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XLS\2023\"/>
    </mc:Choice>
  </mc:AlternateContent>
  <bookViews>
    <workbookView xWindow="0" yWindow="0" windowWidth="28800" windowHeight="11475" tabRatio="834" activeTab="3"/>
  </bookViews>
  <sheets>
    <sheet name="סיכום (1)" sheetId="12" r:id="rId1"/>
    <sheet name="נספח 1 - התקציב הרגיל (2)" sheetId="11" r:id="rId2"/>
    <sheet name="ריכוז תקבולים ותשלומים 2022 3" sheetId="6" r:id="rId3"/>
    <sheet name="ריכוז תקבולים ותשלומים 2023 4" sheetId="7" r:id="rId4"/>
    <sheet name="תשלומים לפי אגפים5" sheetId="8" r:id="rId5"/>
    <sheet name="תקבולים לפי סעיפים 6" sheetId="9" r:id="rId6"/>
    <sheet name="תשלומים לפי סעיפים 7" sheetId="10" r:id="rId7"/>
    <sheet name="הכנסות " sheetId="1" r:id="rId8"/>
    <sheet name="הוצאות " sheetId="2" r:id="rId9"/>
    <sheet name="תקציב 2022" sheetId="37" state="hidden" r:id="rId10"/>
    <sheet name="מותנה 37" sheetId="18" r:id="rId11"/>
    <sheet name="רזרבה38 " sheetId="33" r:id="rId12"/>
    <sheet name="39שכירויות 2023" sheetId="34" r:id="rId13"/>
    <sheet name="רכב 2023" sheetId="38" r:id="rId14"/>
    <sheet name="אומדן 28.11.2022" sheetId="36" state="hidden" r:id="rId15"/>
    <sheet name="גמלאים 2023" sheetId="39" state="hidden" r:id="rId16"/>
    <sheet name="רזרבה מותנה" sheetId="32" state="hidden" r:id="rId17"/>
    <sheet name="רווחה " sheetId="29" state="hidden" r:id="rId18"/>
    <sheet name="ארנונה " sheetId="28" state="hidden" r:id="rId19"/>
    <sheet name="הנדסה" sheetId="27" state="hidden" r:id="rId20"/>
    <sheet name="מלוות" sheetId="26" state="hidden" r:id="rId21"/>
    <sheet name="חופים" sheetId="25" state="hidden" r:id="rId22"/>
    <sheet name="אכיפה" sheetId="24" state="hidden" r:id="rId23"/>
    <sheet name="שרי" sheetId="22" state="hidden" r:id="rId24"/>
    <sheet name="שלומית" sheetId="21" state="hidden" r:id="rId25"/>
    <sheet name="כרמית " sheetId="20" state="hidden" r:id="rId26"/>
    <sheet name="חינוך" sheetId="23" state="hidden" r:id="rId27"/>
    <sheet name=" גמלאים 78-82" sheetId="19" state="hidden" r:id="rId28"/>
    <sheet name=" רכב 83-86" sheetId="15" state="hidden" r:id="rId29"/>
    <sheet name="שכירויות 87" sheetId="17" state="hidden" r:id="rId30"/>
    <sheet name="שכר סיכום" sheetId="35" state="hidden" r:id="rId31"/>
  </sheets>
  <externalReferences>
    <externalReference r:id="rId32"/>
    <externalReference r:id="rId33"/>
    <externalReference r:id="rId34"/>
    <externalReference r:id="rId35"/>
  </externalReferences>
  <definedNames>
    <definedName name="_xlnm._FilterDatabase" localSheetId="28" hidden="1">' רכב 83-86'!$B$3:$N$150</definedName>
    <definedName name="_xlnm._FilterDatabase" localSheetId="14" hidden="1">'אומדן 28.11.2022'!$A$5:$IF$1075</definedName>
    <definedName name="_xlnm._FilterDatabase" localSheetId="8" hidden="1">'הוצאות '!$A$2:$XER$693</definedName>
    <definedName name="_xlnm._FilterDatabase" localSheetId="7" hidden="1">'הכנסות '!$A$2:$J$271</definedName>
    <definedName name="_xlnm._FilterDatabase" localSheetId="17" hidden="1">'רווחה '!$A$135:$Q$285</definedName>
    <definedName name="_xlnm.Print_Area" localSheetId="27">' גמלאים 78-82'!$A$1:$I$351</definedName>
    <definedName name="_xlnm.Print_Area" localSheetId="12">'39שכירויות 2023'!$A$1:$R$24</definedName>
    <definedName name="_xlnm.Print_Area" localSheetId="14">'אומדן 28.11.2022'!$A$1:$N$1066</definedName>
    <definedName name="_xlnm.Print_Area" localSheetId="15">'גמלאים 2023'!$A$1:$I$341</definedName>
    <definedName name="_xlnm.Print_Area" localSheetId="8">'הוצאות '!$A$1:$J$691</definedName>
    <definedName name="_xlnm.Print_Area" localSheetId="7">'הכנסות '!$A$1:$J$265</definedName>
    <definedName name="_xlnm.Print_Area" localSheetId="19">הנדסה!$B$10</definedName>
    <definedName name="_xlnm.Print_Area" localSheetId="1">'נספח 1 - התקציב הרגיל (2)'!$A$1:$D$49</definedName>
    <definedName name="_xlnm.Print_Area" localSheetId="11">'רזרבה38 '!$A$1:$F$23</definedName>
    <definedName name="_xlnm.Print_Area" localSheetId="2">'ריכוז תקבולים ותשלומים 2022 3'!$A$1:$J$51</definedName>
    <definedName name="_xlnm.Print_Area" localSheetId="3">'ריכוז תקבולים ותשלומים 2023 4'!$A$1:$J$53</definedName>
    <definedName name="_xlnm.Print_Area" localSheetId="29">'שכירויות 87'!$A$1:$N$29</definedName>
    <definedName name="_xlnm.Print_Area" localSheetId="5">'תקבולים לפי סעיפים 6'!$A$1:$E$27</definedName>
    <definedName name="_xlnm.Print_Area" localSheetId="4">'תשלומים לפי אגפים5'!$A$1:$E$61</definedName>
    <definedName name="_xlnm.Print_Area" localSheetId="6">'תשלומים לפי סעיפים 7'!$A$1:$E$40</definedName>
    <definedName name="_xlnm.Print_Titles" localSheetId="27">' גמלאים 78-82'!$3:$3</definedName>
    <definedName name="_xlnm.Print_Titles" localSheetId="28">' רכב 83-86'!$3:$3</definedName>
    <definedName name="_xlnm.Print_Titles" localSheetId="14">'אומדן 28.11.2022'!$5:$5</definedName>
    <definedName name="_xlnm.Print_Titles" localSheetId="8">'הוצאות '!$1:$2</definedName>
    <definedName name="_xlnm.Print_Titles" localSheetId="7">'הכנסות '!$1:$2</definedName>
  </definedNames>
  <calcPr calcId="162913"/>
  <pivotCaches>
    <pivotCache cacheId="0" r:id="rId3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8" l="1"/>
  <c r="D7" i="8"/>
  <c r="D6" i="8" s="1"/>
  <c r="E7" i="8"/>
  <c r="E6" i="8" s="1"/>
  <c r="C8" i="8"/>
  <c r="D8" i="8"/>
  <c r="E8" i="8"/>
  <c r="C10" i="8"/>
  <c r="D10" i="8"/>
  <c r="D9" i="8" s="1"/>
  <c r="E10" i="8"/>
  <c r="C11" i="8"/>
  <c r="D11" i="8"/>
  <c r="E11" i="8"/>
  <c r="C13" i="8"/>
  <c r="D13" i="8"/>
  <c r="D12" i="8" s="1"/>
  <c r="E13" i="8"/>
  <c r="C14" i="8"/>
  <c r="D14" i="8"/>
  <c r="E14" i="8"/>
  <c r="C16" i="8"/>
  <c r="D16" i="8"/>
  <c r="D15" i="8" s="1"/>
  <c r="E16" i="8"/>
  <c r="E15" i="8" s="1"/>
  <c r="C17" i="8"/>
  <c r="D17" i="8"/>
  <c r="E17" i="8"/>
  <c r="C19" i="8"/>
  <c r="C18" i="8" s="1"/>
  <c r="D19" i="8"/>
  <c r="E19" i="8"/>
  <c r="C20" i="8"/>
  <c r="D20" i="8"/>
  <c r="E20" i="8"/>
  <c r="C22" i="8"/>
  <c r="D22" i="8"/>
  <c r="D21" i="8" s="1"/>
  <c r="E22" i="8"/>
  <c r="C23" i="8"/>
  <c r="D23" i="8"/>
  <c r="E23" i="8"/>
  <c r="D24" i="8"/>
  <c r="C25" i="8"/>
  <c r="D25" i="8"/>
  <c r="E25" i="8"/>
  <c r="E24" i="8" s="1"/>
  <c r="C26" i="8"/>
  <c r="D26" i="8"/>
  <c r="E26" i="8"/>
  <c r="E27" i="8"/>
  <c r="C28" i="8"/>
  <c r="C27" i="8" s="1"/>
  <c r="D28" i="8"/>
  <c r="D27" i="8" s="1"/>
  <c r="E28" i="8"/>
  <c r="C29" i="8"/>
  <c r="D29" i="8"/>
  <c r="E29" i="8"/>
  <c r="C31" i="8"/>
  <c r="D31" i="8"/>
  <c r="E31" i="8"/>
  <c r="C32" i="8"/>
  <c r="D32" i="8"/>
  <c r="E33" i="8"/>
  <c r="C34" i="8"/>
  <c r="C33" i="8" s="1"/>
  <c r="D34" i="8"/>
  <c r="D33" i="8" s="1"/>
  <c r="C35" i="8"/>
  <c r="D35" i="8"/>
  <c r="E35" i="8"/>
  <c r="C37" i="8"/>
  <c r="C36" i="8" s="1"/>
  <c r="D37" i="8"/>
  <c r="E37" i="8"/>
  <c r="C38" i="8"/>
  <c r="D38" i="8"/>
  <c r="E38" i="8"/>
  <c r="E39" i="8"/>
  <c r="C40" i="8"/>
  <c r="C39" i="8" s="1"/>
  <c r="D40" i="8"/>
  <c r="D39" i="8" s="1"/>
  <c r="E40" i="8"/>
  <c r="C41" i="8"/>
  <c r="C42" i="8" s="1"/>
  <c r="D41" i="8"/>
  <c r="E42" i="8"/>
  <c r="C43" i="8"/>
  <c r="D43" i="8"/>
  <c r="D42" i="8" s="1"/>
  <c r="C44" i="8"/>
  <c r="D44" i="8"/>
  <c r="D45" i="8" s="1"/>
  <c r="E44" i="8"/>
  <c r="E45" i="8" s="1"/>
  <c r="C45" i="8"/>
  <c r="C46" i="8"/>
  <c r="D46" i="8"/>
  <c r="E46" i="8"/>
  <c r="C47" i="8"/>
  <c r="D47" i="8"/>
  <c r="E47" i="8"/>
  <c r="C49" i="8"/>
  <c r="C48" i="8" s="1"/>
  <c r="D49" i="8"/>
  <c r="E49" i="8"/>
  <c r="E48" i="8" s="1"/>
  <c r="C52" i="8"/>
  <c r="C51" i="8" s="1"/>
  <c r="D52" i="8"/>
  <c r="D51" i="8" s="1"/>
  <c r="E52" i="8"/>
  <c r="E51" i="8" s="1"/>
  <c r="C55" i="8"/>
  <c r="C54" i="8" s="1"/>
  <c r="D55" i="8"/>
  <c r="D54" i="8" s="1"/>
  <c r="E55" i="8"/>
  <c r="E54" i="8" s="1"/>
  <c r="C56" i="8"/>
  <c r="D56" i="8"/>
  <c r="E56" i="8"/>
  <c r="C58" i="8"/>
  <c r="C57" i="8" s="1"/>
  <c r="D58" i="8"/>
  <c r="D57" i="8" s="1"/>
  <c r="E58" i="8"/>
  <c r="C5" i="8"/>
  <c r="C59" i="8" s="1"/>
  <c r="D5" i="8"/>
  <c r="E5" i="8"/>
  <c r="C6" i="8" l="1"/>
  <c r="E30" i="8"/>
  <c r="D30" i="8"/>
  <c r="C21" i="8"/>
  <c r="D36" i="8"/>
  <c r="C30" i="8"/>
  <c r="C9" i="8"/>
  <c r="C61" i="8"/>
  <c r="C62" i="8" s="1"/>
  <c r="E18" i="8"/>
  <c r="D59" i="8"/>
  <c r="D18" i="8"/>
  <c r="C15" i="8"/>
  <c r="D61" i="8"/>
  <c r="D62" i="8" s="1"/>
  <c r="E12" i="8"/>
  <c r="E36" i="8"/>
  <c r="C24" i="8"/>
  <c r="C12" i="8"/>
  <c r="E59" i="8"/>
  <c r="E21" i="8"/>
  <c r="E9" i="8"/>
  <c r="E57" i="8"/>
  <c r="E61" i="8"/>
  <c r="D48" i="8"/>
  <c r="F6" i="33"/>
  <c r="D6" i="33" s="1"/>
  <c r="C6" i="33"/>
  <c r="E15" i="33"/>
  <c r="D60" i="8" l="1"/>
  <c r="E60" i="8"/>
  <c r="C60" i="8"/>
  <c r="E62" i="8"/>
  <c r="D4" i="18"/>
  <c r="C41" i="35"/>
  <c r="C42" i="35"/>
  <c r="C38" i="35"/>
  <c r="I76" i="1" l="1"/>
  <c r="I114" i="1"/>
  <c r="I238" i="1"/>
  <c r="I117" i="1"/>
  <c r="C23" i="35"/>
  <c r="C14" i="33" l="1"/>
  <c r="I22" i="1" l="1"/>
  <c r="G22" i="1"/>
  <c r="H7" i="1"/>
  <c r="H29" i="1"/>
  <c r="I38" i="1"/>
  <c r="I255" i="1"/>
  <c r="F14" i="33"/>
  <c r="D14" i="33" s="1"/>
  <c r="H257" i="1"/>
  <c r="H85" i="1" l="1"/>
  <c r="H21" i="1"/>
  <c r="H22" i="1" s="1"/>
  <c r="G7" i="1"/>
  <c r="H6" i="1"/>
  <c r="Q7" i="36" l="1"/>
  <c r="P7" i="36"/>
  <c r="I3" i="1"/>
  <c r="D8" i="18"/>
  <c r="F8" i="18" s="1"/>
  <c r="C8" i="18"/>
  <c r="I11" i="1"/>
  <c r="E25" i="18"/>
  <c r="D20" i="18"/>
  <c r="F20" i="18" s="1"/>
  <c r="D13" i="18"/>
  <c r="F13" i="18" s="1"/>
  <c r="C24" i="18"/>
  <c r="C23" i="18"/>
  <c r="C22" i="18"/>
  <c r="C21" i="18"/>
  <c r="C20" i="18"/>
  <c r="C19" i="18"/>
  <c r="C18" i="18"/>
  <c r="O7" i="36" l="1"/>
  <c r="O8" i="36"/>
  <c r="P8" i="36"/>
  <c r="Q8" i="36" s="1"/>
  <c r="O9" i="36"/>
  <c r="P9" i="36"/>
  <c r="Q9" i="36" s="1"/>
  <c r="O10" i="36"/>
  <c r="P10" i="36"/>
  <c r="Q10" i="36"/>
  <c r="O11" i="36"/>
  <c r="P11" i="36"/>
  <c r="Q11" i="36" s="1"/>
  <c r="O12" i="36"/>
  <c r="P12" i="36"/>
  <c r="Q12" i="36" s="1"/>
  <c r="O13" i="36"/>
  <c r="P13" i="36"/>
  <c r="Q13" i="36" s="1"/>
  <c r="O14" i="36"/>
  <c r="P14" i="36"/>
  <c r="Q14" i="36" s="1"/>
  <c r="O15" i="36"/>
  <c r="P15" i="36"/>
  <c r="Q15" i="36" s="1"/>
  <c r="O16" i="36"/>
  <c r="P16" i="36"/>
  <c r="Q16" i="36" s="1"/>
  <c r="O17" i="36"/>
  <c r="P17" i="36"/>
  <c r="Q17" i="36" s="1"/>
  <c r="O18" i="36"/>
  <c r="P18" i="36"/>
  <c r="Q18" i="36" s="1"/>
  <c r="O19" i="36"/>
  <c r="P19" i="36"/>
  <c r="Q19" i="36" s="1"/>
  <c r="O20" i="36"/>
  <c r="P20" i="36"/>
  <c r="Q20" i="36" s="1"/>
  <c r="O21" i="36"/>
  <c r="P21" i="36"/>
  <c r="Q21" i="36" s="1"/>
  <c r="O22" i="36"/>
  <c r="P22" i="36"/>
  <c r="Q22" i="36" s="1"/>
  <c r="O23" i="36"/>
  <c r="P23" i="36"/>
  <c r="Q23" i="36" s="1"/>
  <c r="O24" i="36"/>
  <c r="P24" i="36"/>
  <c r="Q24" i="36" s="1"/>
  <c r="O25" i="36"/>
  <c r="P25" i="36"/>
  <c r="Q25" i="36" s="1"/>
  <c r="O26" i="36"/>
  <c r="P26" i="36"/>
  <c r="Q26" i="36" s="1"/>
  <c r="O27" i="36"/>
  <c r="P27" i="36"/>
  <c r="Q27" i="36" s="1"/>
  <c r="O28" i="36"/>
  <c r="P28" i="36"/>
  <c r="Q28" i="36" s="1"/>
  <c r="O29" i="36"/>
  <c r="P29" i="36"/>
  <c r="Q29" i="36" s="1"/>
  <c r="O30" i="36"/>
  <c r="P30" i="36"/>
  <c r="Q30" i="36" s="1"/>
  <c r="O31" i="36"/>
  <c r="P31" i="36"/>
  <c r="Q31" i="36" s="1"/>
  <c r="O32" i="36"/>
  <c r="P32" i="36"/>
  <c r="Q32" i="36" s="1"/>
  <c r="O33" i="36"/>
  <c r="P33" i="36"/>
  <c r="Q33" i="36" s="1"/>
  <c r="O34" i="36"/>
  <c r="P34" i="36"/>
  <c r="Q34" i="36" s="1"/>
  <c r="O35" i="36"/>
  <c r="P35" i="36"/>
  <c r="Q35" i="36" s="1"/>
  <c r="O36" i="36"/>
  <c r="P36" i="36"/>
  <c r="Q36" i="36" s="1"/>
  <c r="O37" i="36"/>
  <c r="P37" i="36"/>
  <c r="Q37" i="36" s="1"/>
  <c r="O38" i="36"/>
  <c r="P38" i="36"/>
  <c r="Q38" i="36" s="1"/>
  <c r="O39" i="36"/>
  <c r="P39" i="36"/>
  <c r="Q39" i="36" s="1"/>
  <c r="O40" i="36"/>
  <c r="P40" i="36"/>
  <c r="Q40" i="36" s="1"/>
  <c r="O41" i="36"/>
  <c r="P41" i="36"/>
  <c r="Q41" i="36" s="1"/>
  <c r="O42" i="36"/>
  <c r="P42" i="36"/>
  <c r="Q42" i="36" s="1"/>
  <c r="O43" i="36"/>
  <c r="P43" i="36"/>
  <c r="Q43" i="36" s="1"/>
  <c r="O44" i="36"/>
  <c r="P44" i="36"/>
  <c r="Q44" i="36" s="1"/>
  <c r="O45" i="36"/>
  <c r="P45" i="36"/>
  <c r="Q45" i="36" s="1"/>
  <c r="O46" i="36"/>
  <c r="P46" i="36"/>
  <c r="Q46" i="36" s="1"/>
  <c r="O47" i="36"/>
  <c r="P47" i="36"/>
  <c r="Q47" i="36" s="1"/>
  <c r="O48" i="36"/>
  <c r="P48" i="36"/>
  <c r="Q48" i="36" s="1"/>
  <c r="O49" i="36"/>
  <c r="P49" i="36"/>
  <c r="Q49" i="36" s="1"/>
  <c r="O50" i="36"/>
  <c r="P50" i="36"/>
  <c r="Q50" i="36" s="1"/>
  <c r="O51" i="36"/>
  <c r="P51" i="36"/>
  <c r="Q51" i="36" s="1"/>
  <c r="O52" i="36"/>
  <c r="P52" i="36"/>
  <c r="Q52" i="36" s="1"/>
  <c r="O53" i="36"/>
  <c r="P53" i="36"/>
  <c r="Q53" i="36" s="1"/>
  <c r="O54" i="36"/>
  <c r="P54" i="36"/>
  <c r="Q54" i="36" s="1"/>
  <c r="O55" i="36"/>
  <c r="P55" i="36"/>
  <c r="Q55" i="36" s="1"/>
  <c r="O56" i="36"/>
  <c r="P56" i="36"/>
  <c r="Q56" i="36" s="1"/>
  <c r="O57" i="36"/>
  <c r="P57" i="36"/>
  <c r="Q57" i="36"/>
  <c r="O58" i="36"/>
  <c r="P58" i="36"/>
  <c r="Q58" i="36" s="1"/>
  <c r="O59" i="36"/>
  <c r="P59" i="36"/>
  <c r="Q59" i="36" s="1"/>
  <c r="O60" i="36"/>
  <c r="P60" i="36"/>
  <c r="Q60" i="36" s="1"/>
  <c r="O61" i="36"/>
  <c r="P61" i="36"/>
  <c r="Q61" i="36" s="1"/>
  <c r="O62" i="36"/>
  <c r="P62" i="36"/>
  <c r="Q62" i="36" s="1"/>
  <c r="O63" i="36"/>
  <c r="P63" i="36"/>
  <c r="Q63" i="36" s="1"/>
  <c r="O64" i="36"/>
  <c r="P64" i="36"/>
  <c r="Q64" i="36" s="1"/>
  <c r="O65" i="36"/>
  <c r="P65" i="36"/>
  <c r="Q65" i="36" s="1"/>
  <c r="O66" i="36"/>
  <c r="P66" i="36"/>
  <c r="Q66" i="36" s="1"/>
  <c r="O67" i="36"/>
  <c r="P67" i="36"/>
  <c r="Q67" i="36" s="1"/>
  <c r="O68" i="36"/>
  <c r="P68" i="36"/>
  <c r="Q68" i="36" s="1"/>
  <c r="O69" i="36"/>
  <c r="P69" i="36"/>
  <c r="Q69" i="36" s="1"/>
  <c r="O70" i="36"/>
  <c r="P70" i="36"/>
  <c r="Q70" i="36" s="1"/>
  <c r="O71" i="36"/>
  <c r="P71" i="36"/>
  <c r="Q71" i="36" s="1"/>
  <c r="O72" i="36"/>
  <c r="P72" i="36"/>
  <c r="Q72" i="36" s="1"/>
  <c r="O73" i="36"/>
  <c r="P73" i="36"/>
  <c r="Q73" i="36" s="1"/>
  <c r="O74" i="36"/>
  <c r="P74" i="36"/>
  <c r="Q74" i="36" s="1"/>
  <c r="O75" i="36"/>
  <c r="P75" i="36"/>
  <c r="Q75" i="36" s="1"/>
  <c r="O76" i="36"/>
  <c r="P76" i="36"/>
  <c r="Q76" i="36" s="1"/>
  <c r="O77" i="36"/>
  <c r="P77" i="36"/>
  <c r="Q77" i="36" s="1"/>
  <c r="O78" i="36"/>
  <c r="P78" i="36"/>
  <c r="Q78" i="36" s="1"/>
  <c r="O79" i="36"/>
  <c r="P79" i="36"/>
  <c r="Q79" i="36" s="1"/>
  <c r="O80" i="36"/>
  <c r="P80" i="36"/>
  <c r="Q80" i="36" s="1"/>
  <c r="O81" i="36"/>
  <c r="P81" i="36"/>
  <c r="Q81" i="36" s="1"/>
  <c r="O82" i="36"/>
  <c r="P82" i="36"/>
  <c r="Q82" i="36" s="1"/>
  <c r="O83" i="36"/>
  <c r="P83" i="36"/>
  <c r="Q83" i="36" s="1"/>
  <c r="O84" i="36"/>
  <c r="P84" i="36"/>
  <c r="Q84" i="36" s="1"/>
  <c r="O85" i="36"/>
  <c r="P85" i="36"/>
  <c r="Q85" i="36" s="1"/>
  <c r="O86" i="36"/>
  <c r="P86" i="36"/>
  <c r="Q86" i="36" s="1"/>
  <c r="O87" i="36"/>
  <c r="P87" i="36"/>
  <c r="Q87" i="36" s="1"/>
  <c r="O88" i="36"/>
  <c r="P88" i="36"/>
  <c r="Q88" i="36" s="1"/>
  <c r="O89" i="36"/>
  <c r="P89" i="36"/>
  <c r="Q89" i="36" s="1"/>
  <c r="O90" i="36"/>
  <c r="P90" i="36"/>
  <c r="Q90" i="36" s="1"/>
  <c r="O91" i="36"/>
  <c r="P91" i="36"/>
  <c r="Q91" i="36" s="1"/>
  <c r="O92" i="36"/>
  <c r="P92" i="36"/>
  <c r="Q92" i="36" s="1"/>
  <c r="O93" i="36"/>
  <c r="P93" i="36"/>
  <c r="Q93" i="36" s="1"/>
  <c r="O94" i="36"/>
  <c r="P94" i="36"/>
  <c r="Q94" i="36" s="1"/>
  <c r="O95" i="36"/>
  <c r="P95" i="36"/>
  <c r="Q95" i="36"/>
  <c r="O96" i="36"/>
  <c r="P96" i="36"/>
  <c r="Q96" i="36" s="1"/>
  <c r="O97" i="36"/>
  <c r="P97" i="36"/>
  <c r="Q97" i="36" s="1"/>
  <c r="O98" i="36"/>
  <c r="P98" i="36"/>
  <c r="Q98" i="36" s="1"/>
  <c r="O99" i="36"/>
  <c r="P99" i="36"/>
  <c r="Q99" i="36" s="1"/>
  <c r="O100" i="36"/>
  <c r="P100" i="36"/>
  <c r="Q100" i="36" s="1"/>
  <c r="O101" i="36"/>
  <c r="P101" i="36"/>
  <c r="Q101" i="36" s="1"/>
  <c r="O102" i="36"/>
  <c r="P102" i="36"/>
  <c r="Q102" i="36" s="1"/>
  <c r="O103" i="36"/>
  <c r="P103" i="36"/>
  <c r="Q103" i="36" s="1"/>
  <c r="O104" i="36"/>
  <c r="P104" i="36"/>
  <c r="Q104" i="36" s="1"/>
  <c r="O105" i="36"/>
  <c r="P105" i="36"/>
  <c r="Q105" i="36" s="1"/>
  <c r="O106" i="36"/>
  <c r="P106" i="36"/>
  <c r="Q106" i="36"/>
  <c r="O107" i="36"/>
  <c r="P107" i="36"/>
  <c r="Q107" i="36" s="1"/>
  <c r="O108" i="36"/>
  <c r="P108" i="36"/>
  <c r="Q108" i="36" s="1"/>
  <c r="O109" i="36"/>
  <c r="P109" i="36"/>
  <c r="Q109" i="36" s="1"/>
  <c r="O110" i="36"/>
  <c r="P110" i="36"/>
  <c r="Q110" i="36" s="1"/>
  <c r="O111" i="36"/>
  <c r="P111" i="36"/>
  <c r="Q111" i="36" s="1"/>
  <c r="O112" i="36"/>
  <c r="P112" i="36"/>
  <c r="Q112" i="36" s="1"/>
  <c r="O113" i="36"/>
  <c r="P113" i="36"/>
  <c r="Q113" i="36" s="1"/>
  <c r="O114" i="36"/>
  <c r="P114" i="36"/>
  <c r="Q114" i="36" s="1"/>
  <c r="O115" i="36"/>
  <c r="P115" i="36"/>
  <c r="Q115" i="36" s="1"/>
  <c r="O116" i="36"/>
  <c r="P116" i="36"/>
  <c r="Q116" i="36" s="1"/>
  <c r="O117" i="36"/>
  <c r="P117" i="36"/>
  <c r="Q117" i="36" s="1"/>
  <c r="O118" i="36"/>
  <c r="P118" i="36"/>
  <c r="Q118" i="36" s="1"/>
  <c r="O119" i="36"/>
  <c r="P119" i="36"/>
  <c r="Q119" i="36" s="1"/>
  <c r="O120" i="36"/>
  <c r="P120" i="36"/>
  <c r="Q120" i="36" s="1"/>
  <c r="O121" i="36"/>
  <c r="P121" i="36"/>
  <c r="Q121" i="36" s="1"/>
  <c r="O122" i="36"/>
  <c r="P122" i="36"/>
  <c r="Q122" i="36" s="1"/>
  <c r="O123" i="36"/>
  <c r="P123" i="36"/>
  <c r="Q123" i="36" s="1"/>
  <c r="O124" i="36"/>
  <c r="P124" i="36"/>
  <c r="Q124" i="36" s="1"/>
  <c r="O125" i="36"/>
  <c r="P125" i="36"/>
  <c r="Q125" i="36" s="1"/>
  <c r="O126" i="36"/>
  <c r="P126" i="36"/>
  <c r="Q126" i="36" s="1"/>
  <c r="O127" i="36"/>
  <c r="P127" i="36"/>
  <c r="Q127" i="36" s="1"/>
  <c r="O128" i="36"/>
  <c r="P128" i="36"/>
  <c r="Q128" i="36" s="1"/>
  <c r="O129" i="36"/>
  <c r="P129" i="36"/>
  <c r="Q129" i="36" s="1"/>
  <c r="O130" i="36"/>
  <c r="P130" i="36"/>
  <c r="Q130" i="36" s="1"/>
  <c r="O131" i="36"/>
  <c r="P131" i="36"/>
  <c r="Q131" i="36" s="1"/>
  <c r="O132" i="36"/>
  <c r="P132" i="36"/>
  <c r="Q132" i="36" s="1"/>
  <c r="O133" i="36"/>
  <c r="P133" i="36"/>
  <c r="Q133" i="36"/>
  <c r="O134" i="36"/>
  <c r="P134" i="36"/>
  <c r="Q134" i="36" s="1"/>
  <c r="O135" i="36"/>
  <c r="P135" i="36"/>
  <c r="Q135" i="36"/>
  <c r="O136" i="36"/>
  <c r="P136" i="36"/>
  <c r="Q136" i="36" s="1"/>
  <c r="O137" i="36"/>
  <c r="P137" i="36"/>
  <c r="Q137" i="36" s="1"/>
  <c r="O138" i="36"/>
  <c r="P138" i="36"/>
  <c r="Q138" i="36" s="1"/>
  <c r="O139" i="36"/>
  <c r="P139" i="36"/>
  <c r="Q139" i="36" s="1"/>
  <c r="O140" i="36"/>
  <c r="P140" i="36"/>
  <c r="Q140" i="36"/>
  <c r="O141" i="36"/>
  <c r="P141" i="36"/>
  <c r="Q141" i="36" s="1"/>
  <c r="O142" i="36"/>
  <c r="P142" i="36"/>
  <c r="Q142" i="36" s="1"/>
  <c r="O143" i="36"/>
  <c r="P143" i="36"/>
  <c r="Q143" i="36" s="1"/>
  <c r="O144" i="36"/>
  <c r="P144" i="36"/>
  <c r="Q144" i="36" s="1"/>
  <c r="O145" i="36"/>
  <c r="P145" i="36"/>
  <c r="Q145" i="36" s="1"/>
  <c r="O146" i="36"/>
  <c r="P146" i="36"/>
  <c r="Q146" i="36" s="1"/>
  <c r="O147" i="36"/>
  <c r="P147" i="36"/>
  <c r="Q147" i="36" s="1"/>
  <c r="O148" i="36"/>
  <c r="P148" i="36"/>
  <c r="Q148" i="36" s="1"/>
  <c r="O149" i="36"/>
  <c r="P149" i="36"/>
  <c r="Q149" i="36" s="1"/>
  <c r="O150" i="36"/>
  <c r="P150" i="36"/>
  <c r="Q150" i="36" s="1"/>
  <c r="O151" i="36"/>
  <c r="P151" i="36"/>
  <c r="Q151" i="36" s="1"/>
  <c r="O152" i="36"/>
  <c r="P152" i="36"/>
  <c r="Q152" i="36" s="1"/>
  <c r="O153" i="36"/>
  <c r="P153" i="36"/>
  <c r="Q153" i="36" s="1"/>
  <c r="O154" i="36"/>
  <c r="P154" i="36"/>
  <c r="Q154" i="36" s="1"/>
  <c r="O155" i="36"/>
  <c r="P155" i="36"/>
  <c r="Q155" i="36" s="1"/>
  <c r="O156" i="36"/>
  <c r="P156" i="36"/>
  <c r="Q156" i="36" s="1"/>
  <c r="O157" i="36"/>
  <c r="P157" i="36"/>
  <c r="Q157" i="36" s="1"/>
  <c r="O158" i="36"/>
  <c r="P158" i="36"/>
  <c r="Q158" i="36" s="1"/>
  <c r="O159" i="36"/>
  <c r="P159" i="36"/>
  <c r="Q159" i="36" s="1"/>
  <c r="O160" i="36"/>
  <c r="P160" i="36"/>
  <c r="Q160" i="36" s="1"/>
  <c r="O161" i="36"/>
  <c r="P161" i="36"/>
  <c r="Q161" i="36" s="1"/>
  <c r="O162" i="36"/>
  <c r="P162" i="36"/>
  <c r="Q162" i="36" s="1"/>
  <c r="O163" i="36"/>
  <c r="P163" i="36"/>
  <c r="Q163" i="36" s="1"/>
  <c r="O164" i="36"/>
  <c r="P164" i="36"/>
  <c r="Q164" i="36" s="1"/>
  <c r="O165" i="36"/>
  <c r="P165" i="36"/>
  <c r="Q165" i="36" s="1"/>
  <c r="O166" i="36"/>
  <c r="P166" i="36"/>
  <c r="Q166" i="36" s="1"/>
  <c r="O167" i="36"/>
  <c r="P167" i="36"/>
  <c r="Q167" i="36" s="1"/>
  <c r="O168" i="36"/>
  <c r="P168" i="36"/>
  <c r="Q168" i="36" s="1"/>
  <c r="O169" i="36"/>
  <c r="P169" i="36"/>
  <c r="Q169" i="36" s="1"/>
  <c r="O170" i="36"/>
  <c r="P170" i="36"/>
  <c r="Q170" i="36" s="1"/>
  <c r="O171" i="36"/>
  <c r="P171" i="36"/>
  <c r="Q171" i="36" s="1"/>
  <c r="O172" i="36"/>
  <c r="P172" i="36"/>
  <c r="Q172" i="36" s="1"/>
  <c r="O173" i="36"/>
  <c r="P173" i="36"/>
  <c r="Q173" i="36" s="1"/>
  <c r="O174" i="36"/>
  <c r="P174" i="36"/>
  <c r="Q174" i="36" s="1"/>
  <c r="O175" i="36"/>
  <c r="P175" i="36"/>
  <c r="Q175" i="36" s="1"/>
  <c r="O176" i="36"/>
  <c r="P176" i="36"/>
  <c r="Q176" i="36" s="1"/>
  <c r="O177" i="36"/>
  <c r="P177" i="36"/>
  <c r="Q177" i="36" s="1"/>
  <c r="O178" i="36"/>
  <c r="P178" i="36"/>
  <c r="Q178" i="36" s="1"/>
  <c r="O179" i="36"/>
  <c r="P179" i="36"/>
  <c r="Q179" i="36" s="1"/>
  <c r="O180" i="36"/>
  <c r="P180" i="36"/>
  <c r="Q180" i="36" s="1"/>
  <c r="O181" i="36"/>
  <c r="P181" i="36"/>
  <c r="Q181" i="36" s="1"/>
  <c r="O182" i="36"/>
  <c r="P182" i="36"/>
  <c r="Q182" i="36" s="1"/>
  <c r="O183" i="36"/>
  <c r="P183" i="36"/>
  <c r="Q183" i="36" s="1"/>
  <c r="O184" i="36"/>
  <c r="P184" i="36"/>
  <c r="Q184" i="36" s="1"/>
  <c r="O185" i="36"/>
  <c r="P185" i="36"/>
  <c r="Q185" i="36" s="1"/>
  <c r="O186" i="36"/>
  <c r="P186" i="36"/>
  <c r="Q186" i="36" s="1"/>
  <c r="O187" i="36"/>
  <c r="P187" i="36"/>
  <c r="Q187" i="36" s="1"/>
  <c r="O188" i="36"/>
  <c r="P188" i="36"/>
  <c r="Q188" i="36" s="1"/>
  <c r="O189" i="36"/>
  <c r="P189" i="36"/>
  <c r="Q189" i="36" s="1"/>
  <c r="O190" i="36"/>
  <c r="P190" i="36"/>
  <c r="Q190" i="36" s="1"/>
  <c r="O191" i="36"/>
  <c r="P191" i="36"/>
  <c r="Q191" i="36" s="1"/>
  <c r="O192" i="36"/>
  <c r="P192" i="36"/>
  <c r="Q192" i="36" s="1"/>
  <c r="O193" i="36"/>
  <c r="P193" i="36"/>
  <c r="Q193" i="36" s="1"/>
  <c r="O194" i="36"/>
  <c r="P194" i="36"/>
  <c r="Q194" i="36" s="1"/>
  <c r="O195" i="36"/>
  <c r="P195" i="36"/>
  <c r="Q195" i="36" s="1"/>
  <c r="O196" i="36"/>
  <c r="P196" i="36"/>
  <c r="Q196" i="36" s="1"/>
  <c r="O197" i="36"/>
  <c r="P197" i="36"/>
  <c r="Q197" i="36" s="1"/>
  <c r="O198" i="36"/>
  <c r="P198" i="36"/>
  <c r="Q198" i="36" s="1"/>
  <c r="O199" i="36"/>
  <c r="P199" i="36"/>
  <c r="Q199" i="36" s="1"/>
  <c r="O200" i="36"/>
  <c r="P200" i="36"/>
  <c r="Q200" i="36" s="1"/>
  <c r="O201" i="36"/>
  <c r="P201" i="36"/>
  <c r="Q201" i="36" s="1"/>
  <c r="O202" i="36"/>
  <c r="P202" i="36"/>
  <c r="Q202" i="36" s="1"/>
  <c r="O203" i="36"/>
  <c r="P203" i="36"/>
  <c r="Q203" i="36" s="1"/>
  <c r="O204" i="36"/>
  <c r="P204" i="36"/>
  <c r="Q204" i="36"/>
  <c r="O205" i="36"/>
  <c r="P205" i="36"/>
  <c r="Q205" i="36" s="1"/>
  <c r="O206" i="36"/>
  <c r="P206" i="36"/>
  <c r="Q206" i="36" s="1"/>
  <c r="O207" i="36"/>
  <c r="P207" i="36"/>
  <c r="Q207" i="36" s="1"/>
  <c r="O208" i="36"/>
  <c r="P208" i="36"/>
  <c r="Q208" i="36" s="1"/>
  <c r="O209" i="36"/>
  <c r="P209" i="36"/>
  <c r="Q209" i="36" s="1"/>
  <c r="O210" i="36"/>
  <c r="P210" i="36"/>
  <c r="Q210" i="36" s="1"/>
  <c r="O211" i="36"/>
  <c r="P211" i="36"/>
  <c r="Q211" i="36" s="1"/>
  <c r="O212" i="36"/>
  <c r="P212" i="36"/>
  <c r="Q212" i="36" s="1"/>
  <c r="O213" i="36"/>
  <c r="P213" i="36"/>
  <c r="Q213" i="36" s="1"/>
  <c r="O214" i="36"/>
  <c r="P214" i="36"/>
  <c r="Q214" i="36" s="1"/>
  <c r="O215" i="36"/>
  <c r="P215" i="36"/>
  <c r="Q215" i="36" s="1"/>
  <c r="O216" i="36"/>
  <c r="P216" i="36"/>
  <c r="Q216" i="36" s="1"/>
  <c r="O217" i="36"/>
  <c r="P217" i="36"/>
  <c r="Q217" i="36" s="1"/>
  <c r="O218" i="36"/>
  <c r="P218" i="36"/>
  <c r="Q218" i="36" s="1"/>
  <c r="O219" i="36"/>
  <c r="P219" i="36"/>
  <c r="Q219" i="36" s="1"/>
  <c r="O220" i="36"/>
  <c r="P220" i="36"/>
  <c r="Q220" i="36" s="1"/>
  <c r="O221" i="36"/>
  <c r="P221" i="36"/>
  <c r="Q221" i="36" s="1"/>
  <c r="O222" i="36"/>
  <c r="P222" i="36"/>
  <c r="Q222" i="36" s="1"/>
  <c r="O223" i="36"/>
  <c r="P223" i="36"/>
  <c r="Q223" i="36" s="1"/>
  <c r="O224" i="36"/>
  <c r="P224" i="36"/>
  <c r="Q224" i="36" s="1"/>
  <c r="O225" i="36"/>
  <c r="P225" i="36"/>
  <c r="Q225" i="36" s="1"/>
  <c r="O226" i="36"/>
  <c r="P226" i="36"/>
  <c r="Q226" i="36" s="1"/>
  <c r="O227" i="36"/>
  <c r="P227" i="36"/>
  <c r="Q227" i="36" s="1"/>
  <c r="O228" i="36"/>
  <c r="P228" i="36"/>
  <c r="Q228" i="36" s="1"/>
  <c r="O229" i="36"/>
  <c r="P229" i="36"/>
  <c r="Q229" i="36" s="1"/>
  <c r="O230" i="36"/>
  <c r="P230" i="36"/>
  <c r="Q230" i="36" s="1"/>
  <c r="O231" i="36"/>
  <c r="P231" i="36"/>
  <c r="Q231" i="36" s="1"/>
  <c r="O232" i="36"/>
  <c r="P232" i="36"/>
  <c r="Q232" i="36" s="1"/>
  <c r="O233" i="36"/>
  <c r="P233" i="36"/>
  <c r="Q233" i="36" s="1"/>
  <c r="O234" i="36"/>
  <c r="P234" i="36"/>
  <c r="Q234" i="36" s="1"/>
  <c r="O235" i="36"/>
  <c r="P235" i="36"/>
  <c r="Q235" i="36" s="1"/>
  <c r="O236" i="36"/>
  <c r="P236" i="36"/>
  <c r="Q236" i="36" s="1"/>
  <c r="O237" i="36"/>
  <c r="P237" i="36"/>
  <c r="Q237" i="36" s="1"/>
  <c r="O238" i="36"/>
  <c r="P238" i="36"/>
  <c r="Q238" i="36" s="1"/>
  <c r="O239" i="36"/>
  <c r="P239" i="36"/>
  <c r="Q239" i="36" s="1"/>
  <c r="O240" i="36"/>
  <c r="P240" i="36"/>
  <c r="Q240" i="36" s="1"/>
  <c r="O241" i="36"/>
  <c r="P241" i="36"/>
  <c r="Q241" i="36" s="1"/>
  <c r="O242" i="36"/>
  <c r="P242" i="36"/>
  <c r="Q242" i="36" s="1"/>
  <c r="O243" i="36"/>
  <c r="P243" i="36"/>
  <c r="Q243" i="36" s="1"/>
  <c r="O244" i="36"/>
  <c r="P244" i="36"/>
  <c r="Q244" i="36" s="1"/>
  <c r="O245" i="36"/>
  <c r="P245" i="36"/>
  <c r="Q245" i="36" s="1"/>
  <c r="O246" i="36"/>
  <c r="P246" i="36"/>
  <c r="Q246" i="36" s="1"/>
  <c r="O247" i="36"/>
  <c r="P247" i="36"/>
  <c r="Q247" i="36" s="1"/>
  <c r="O248" i="36"/>
  <c r="P248" i="36"/>
  <c r="Q248" i="36" s="1"/>
  <c r="O249" i="36"/>
  <c r="P249" i="36"/>
  <c r="Q249" i="36" s="1"/>
  <c r="O250" i="36"/>
  <c r="P250" i="36"/>
  <c r="Q250" i="36" s="1"/>
  <c r="O251" i="36"/>
  <c r="P251" i="36"/>
  <c r="Q251" i="36" s="1"/>
  <c r="O252" i="36"/>
  <c r="P252" i="36"/>
  <c r="Q252" i="36" s="1"/>
  <c r="O253" i="36"/>
  <c r="P253" i="36"/>
  <c r="Q253" i="36" s="1"/>
  <c r="O254" i="36"/>
  <c r="P254" i="36"/>
  <c r="Q254" i="36" s="1"/>
  <c r="O255" i="36"/>
  <c r="P255" i="36"/>
  <c r="Q255" i="36" s="1"/>
  <c r="O256" i="36"/>
  <c r="P256" i="36"/>
  <c r="Q256" i="36" s="1"/>
  <c r="O257" i="36"/>
  <c r="P257" i="36"/>
  <c r="Q257" i="36" s="1"/>
  <c r="O258" i="36"/>
  <c r="P258" i="36"/>
  <c r="Q258" i="36" s="1"/>
  <c r="O259" i="36"/>
  <c r="P259" i="36"/>
  <c r="Q259" i="36" s="1"/>
  <c r="O260" i="36"/>
  <c r="P260" i="36"/>
  <c r="Q260" i="36" s="1"/>
  <c r="O261" i="36"/>
  <c r="P261" i="36"/>
  <c r="Q261" i="36" s="1"/>
  <c r="O262" i="36"/>
  <c r="P262" i="36"/>
  <c r="Q262" i="36" s="1"/>
  <c r="O263" i="36"/>
  <c r="P263" i="36"/>
  <c r="Q263" i="36" s="1"/>
  <c r="O264" i="36"/>
  <c r="P264" i="36"/>
  <c r="Q264" i="36" s="1"/>
  <c r="O265" i="36"/>
  <c r="P265" i="36"/>
  <c r="Q265" i="36" s="1"/>
  <c r="O266" i="36"/>
  <c r="P266" i="36"/>
  <c r="Q266" i="36" s="1"/>
  <c r="O267" i="36"/>
  <c r="P267" i="36"/>
  <c r="Q267" i="36" s="1"/>
  <c r="O268" i="36"/>
  <c r="P268" i="36"/>
  <c r="Q268" i="36" s="1"/>
  <c r="O269" i="36"/>
  <c r="P269" i="36"/>
  <c r="Q269" i="36" s="1"/>
  <c r="O270" i="36"/>
  <c r="P270" i="36"/>
  <c r="Q270" i="36" s="1"/>
  <c r="O271" i="36"/>
  <c r="P271" i="36"/>
  <c r="Q271" i="36" s="1"/>
  <c r="O272" i="36"/>
  <c r="P272" i="36"/>
  <c r="Q272" i="36" s="1"/>
  <c r="O273" i="36"/>
  <c r="P273" i="36"/>
  <c r="Q273" i="36" s="1"/>
  <c r="O274" i="36"/>
  <c r="P274" i="36"/>
  <c r="Q274" i="36" s="1"/>
  <c r="O275" i="36"/>
  <c r="P275" i="36"/>
  <c r="Q275" i="36" s="1"/>
  <c r="O276" i="36"/>
  <c r="P276" i="36"/>
  <c r="Q276" i="36"/>
  <c r="O277" i="36"/>
  <c r="P277" i="36"/>
  <c r="Q277" i="36" s="1"/>
  <c r="O278" i="36"/>
  <c r="P278" i="36"/>
  <c r="Q278" i="36" s="1"/>
  <c r="O279" i="36"/>
  <c r="P279" i="36"/>
  <c r="Q279" i="36" s="1"/>
  <c r="O280" i="36"/>
  <c r="P280" i="36"/>
  <c r="Q280" i="36" s="1"/>
  <c r="O281" i="36"/>
  <c r="P281" i="36"/>
  <c r="Q281" i="36" s="1"/>
  <c r="O282" i="36"/>
  <c r="P282" i="36"/>
  <c r="Q282" i="36" s="1"/>
  <c r="O283" i="36"/>
  <c r="P283" i="36"/>
  <c r="Q283" i="36" s="1"/>
  <c r="O284" i="36"/>
  <c r="P284" i="36"/>
  <c r="Q284" i="36" s="1"/>
  <c r="O285" i="36"/>
  <c r="P285" i="36"/>
  <c r="Q285" i="36" s="1"/>
  <c r="O286" i="36"/>
  <c r="P286" i="36"/>
  <c r="Q286" i="36" s="1"/>
  <c r="O287" i="36"/>
  <c r="P287" i="36"/>
  <c r="Q287" i="36" s="1"/>
  <c r="O288" i="36"/>
  <c r="P288" i="36"/>
  <c r="Q288" i="36" s="1"/>
  <c r="O289" i="36"/>
  <c r="P289" i="36"/>
  <c r="Q289" i="36" s="1"/>
  <c r="O290" i="36"/>
  <c r="P290" i="36"/>
  <c r="Q290" i="36" s="1"/>
  <c r="O291" i="36"/>
  <c r="P291" i="36"/>
  <c r="Q291" i="36" s="1"/>
  <c r="O292" i="36"/>
  <c r="P292" i="36"/>
  <c r="Q292" i="36" s="1"/>
  <c r="O293" i="36"/>
  <c r="P293" i="36"/>
  <c r="Q293" i="36" s="1"/>
  <c r="O294" i="36"/>
  <c r="P294" i="36"/>
  <c r="Q294" i="36" s="1"/>
  <c r="O295" i="36"/>
  <c r="P295" i="36"/>
  <c r="Q295" i="36" s="1"/>
  <c r="O296" i="36"/>
  <c r="P296" i="36"/>
  <c r="Q296" i="36" s="1"/>
  <c r="O297" i="36"/>
  <c r="P297" i="36"/>
  <c r="Q297" i="36" s="1"/>
  <c r="O298" i="36"/>
  <c r="P298" i="36"/>
  <c r="Q298" i="36" s="1"/>
  <c r="O299" i="36"/>
  <c r="P299" i="36"/>
  <c r="Q299" i="36" s="1"/>
  <c r="O300" i="36"/>
  <c r="P300" i="36"/>
  <c r="Q300" i="36" s="1"/>
  <c r="O301" i="36"/>
  <c r="P301" i="36"/>
  <c r="Q301" i="36" s="1"/>
  <c r="O302" i="36"/>
  <c r="P302" i="36"/>
  <c r="Q302" i="36" s="1"/>
  <c r="O303" i="36"/>
  <c r="P303" i="36"/>
  <c r="Q303" i="36" s="1"/>
  <c r="O304" i="36"/>
  <c r="P304" i="36"/>
  <c r="Q304" i="36" s="1"/>
  <c r="O305" i="36"/>
  <c r="P305" i="36"/>
  <c r="Q305" i="36" s="1"/>
  <c r="O306" i="36"/>
  <c r="P306" i="36"/>
  <c r="Q306" i="36" s="1"/>
  <c r="O307" i="36"/>
  <c r="P307" i="36"/>
  <c r="Q307" i="36" s="1"/>
  <c r="O308" i="36"/>
  <c r="P308" i="36"/>
  <c r="Q308" i="36" s="1"/>
  <c r="O309" i="36"/>
  <c r="P309" i="36"/>
  <c r="Q309" i="36" s="1"/>
  <c r="O310" i="36"/>
  <c r="P310" i="36"/>
  <c r="Q310" i="36" s="1"/>
  <c r="O311" i="36"/>
  <c r="P311" i="36"/>
  <c r="Q311" i="36" s="1"/>
  <c r="O312" i="36"/>
  <c r="P312" i="36"/>
  <c r="Q312" i="36" s="1"/>
  <c r="O313" i="36"/>
  <c r="P313" i="36"/>
  <c r="Q313" i="36" s="1"/>
  <c r="O314" i="36"/>
  <c r="P314" i="36"/>
  <c r="Q314" i="36" s="1"/>
  <c r="O315" i="36"/>
  <c r="P315" i="36"/>
  <c r="Q315" i="36" s="1"/>
  <c r="O316" i="36"/>
  <c r="P316" i="36"/>
  <c r="Q316" i="36" s="1"/>
  <c r="O317" i="36"/>
  <c r="P317" i="36"/>
  <c r="Q317" i="36" s="1"/>
  <c r="O318" i="36"/>
  <c r="P318" i="36"/>
  <c r="Q318" i="36" s="1"/>
  <c r="O319" i="36"/>
  <c r="P319" i="36"/>
  <c r="Q319" i="36" s="1"/>
  <c r="O320" i="36"/>
  <c r="P320" i="36"/>
  <c r="Q320" i="36" s="1"/>
  <c r="O321" i="36"/>
  <c r="P321" i="36"/>
  <c r="Q321" i="36" s="1"/>
  <c r="O322" i="36"/>
  <c r="P322" i="36"/>
  <c r="Q322" i="36" s="1"/>
  <c r="O323" i="36"/>
  <c r="P323" i="36"/>
  <c r="Q323" i="36" s="1"/>
  <c r="O324" i="36"/>
  <c r="P324" i="36"/>
  <c r="Q324" i="36" s="1"/>
  <c r="O325" i="36"/>
  <c r="P325" i="36"/>
  <c r="Q325" i="36" s="1"/>
  <c r="O326" i="36"/>
  <c r="P326" i="36"/>
  <c r="Q326" i="36" s="1"/>
  <c r="O327" i="36"/>
  <c r="P327" i="36"/>
  <c r="Q327" i="36" s="1"/>
  <c r="O328" i="36"/>
  <c r="P328" i="36"/>
  <c r="Q328" i="36" s="1"/>
  <c r="O329" i="36"/>
  <c r="P329" i="36"/>
  <c r="Q329" i="36" s="1"/>
  <c r="O330" i="36"/>
  <c r="P330" i="36"/>
  <c r="Q330" i="36" s="1"/>
  <c r="O331" i="36"/>
  <c r="P331" i="36"/>
  <c r="Q331" i="36" s="1"/>
  <c r="O332" i="36"/>
  <c r="P332" i="36"/>
  <c r="Q332" i="36" s="1"/>
  <c r="O333" i="36"/>
  <c r="P333" i="36"/>
  <c r="Q333" i="36" s="1"/>
  <c r="O334" i="36"/>
  <c r="P334" i="36"/>
  <c r="Q334" i="36" s="1"/>
  <c r="O335" i="36"/>
  <c r="P335" i="36"/>
  <c r="Q335" i="36" s="1"/>
  <c r="O336" i="36"/>
  <c r="P336" i="36"/>
  <c r="Q336" i="36" s="1"/>
  <c r="O337" i="36"/>
  <c r="P337" i="36"/>
  <c r="Q337" i="36" s="1"/>
  <c r="O338" i="36"/>
  <c r="P338" i="36"/>
  <c r="Q338" i="36" s="1"/>
  <c r="O339" i="36"/>
  <c r="P339" i="36"/>
  <c r="Q339" i="36" s="1"/>
  <c r="O340" i="36"/>
  <c r="P340" i="36"/>
  <c r="Q340" i="36" s="1"/>
  <c r="O341" i="36"/>
  <c r="P341" i="36"/>
  <c r="Q341" i="36" s="1"/>
  <c r="O342" i="36"/>
  <c r="P342" i="36"/>
  <c r="Q342" i="36" s="1"/>
  <c r="O343" i="36"/>
  <c r="P343" i="36"/>
  <c r="Q343" i="36" s="1"/>
  <c r="O344" i="36"/>
  <c r="P344" i="36"/>
  <c r="Q344" i="36" s="1"/>
  <c r="O345" i="36"/>
  <c r="P345" i="36"/>
  <c r="Q345" i="36" s="1"/>
  <c r="O346" i="36"/>
  <c r="P346" i="36"/>
  <c r="Q346" i="36" s="1"/>
  <c r="O347" i="36"/>
  <c r="P347" i="36"/>
  <c r="Q347" i="36"/>
  <c r="O348" i="36"/>
  <c r="P348" i="36"/>
  <c r="Q348" i="36" s="1"/>
  <c r="O349" i="36"/>
  <c r="P349" i="36"/>
  <c r="Q349" i="36" s="1"/>
  <c r="O350" i="36"/>
  <c r="P350" i="36"/>
  <c r="Q350" i="36" s="1"/>
  <c r="O351" i="36"/>
  <c r="P351" i="36"/>
  <c r="Q351" i="36" s="1"/>
  <c r="O352" i="36"/>
  <c r="P352" i="36"/>
  <c r="Q352" i="36" s="1"/>
  <c r="O353" i="36"/>
  <c r="P353" i="36"/>
  <c r="Q353" i="36" s="1"/>
  <c r="O354" i="36"/>
  <c r="P354" i="36"/>
  <c r="Q354" i="36" s="1"/>
  <c r="O355" i="36"/>
  <c r="P355" i="36"/>
  <c r="Q355" i="36" s="1"/>
  <c r="O356" i="36"/>
  <c r="P356" i="36"/>
  <c r="Q356" i="36" s="1"/>
  <c r="O357" i="36"/>
  <c r="P357" i="36"/>
  <c r="Q357" i="36" s="1"/>
  <c r="O358" i="36"/>
  <c r="P358" i="36"/>
  <c r="Q358" i="36" s="1"/>
  <c r="O359" i="36"/>
  <c r="P359" i="36"/>
  <c r="Q359" i="36" s="1"/>
  <c r="O360" i="36"/>
  <c r="P360" i="36"/>
  <c r="Q360" i="36" s="1"/>
  <c r="O361" i="36"/>
  <c r="P361" i="36"/>
  <c r="Q361" i="36" s="1"/>
  <c r="O362" i="36"/>
  <c r="P362" i="36"/>
  <c r="Q362" i="36" s="1"/>
  <c r="O363" i="36"/>
  <c r="P363" i="36"/>
  <c r="Q363" i="36" s="1"/>
  <c r="O364" i="36"/>
  <c r="P364" i="36"/>
  <c r="Q364" i="36" s="1"/>
  <c r="O365" i="36"/>
  <c r="P365" i="36"/>
  <c r="Q365" i="36" s="1"/>
  <c r="O366" i="36"/>
  <c r="P366" i="36"/>
  <c r="Q366" i="36" s="1"/>
  <c r="O367" i="36"/>
  <c r="P367" i="36"/>
  <c r="Q367" i="36" s="1"/>
  <c r="O368" i="36"/>
  <c r="P368" i="36"/>
  <c r="Q368" i="36" s="1"/>
  <c r="O369" i="36"/>
  <c r="P369" i="36"/>
  <c r="Q369" i="36" s="1"/>
  <c r="O370" i="36"/>
  <c r="P370" i="36"/>
  <c r="Q370" i="36" s="1"/>
  <c r="O371" i="36"/>
  <c r="P371" i="36"/>
  <c r="Q371" i="36" s="1"/>
  <c r="O372" i="36"/>
  <c r="P372" i="36"/>
  <c r="Q372" i="36" s="1"/>
  <c r="O373" i="36"/>
  <c r="P373" i="36"/>
  <c r="Q373" i="36" s="1"/>
  <c r="O374" i="36"/>
  <c r="P374" i="36"/>
  <c r="Q374" i="36" s="1"/>
  <c r="O375" i="36"/>
  <c r="P375" i="36"/>
  <c r="Q375" i="36" s="1"/>
  <c r="O376" i="36"/>
  <c r="P376" i="36"/>
  <c r="Q376" i="36" s="1"/>
  <c r="O377" i="36"/>
  <c r="P377" i="36"/>
  <c r="Q377" i="36" s="1"/>
  <c r="O378" i="36"/>
  <c r="P378" i="36"/>
  <c r="Q378" i="36" s="1"/>
  <c r="O379" i="36"/>
  <c r="P379" i="36"/>
  <c r="Q379" i="36" s="1"/>
  <c r="O380" i="36"/>
  <c r="P380" i="36"/>
  <c r="Q380" i="36" s="1"/>
  <c r="O381" i="36"/>
  <c r="P381" i="36"/>
  <c r="Q381" i="36" s="1"/>
  <c r="O382" i="36"/>
  <c r="P382" i="36"/>
  <c r="Q382" i="36" s="1"/>
  <c r="O383" i="36"/>
  <c r="P383" i="36"/>
  <c r="Q383" i="36" s="1"/>
  <c r="O384" i="36"/>
  <c r="P384" i="36"/>
  <c r="Q384" i="36" s="1"/>
  <c r="O385" i="36"/>
  <c r="P385" i="36"/>
  <c r="Q385" i="36" s="1"/>
  <c r="O386" i="36"/>
  <c r="P386" i="36"/>
  <c r="Q386" i="36" s="1"/>
  <c r="O387" i="36"/>
  <c r="P387" i="36"/>
  <c r="Q387" i="36" s="1"/>
  <c r="O388" i="36"/>
  <c r="P388" i="36"/>
  <c r="Q388" i="36" s="1"/>
  <c r="O389" i="36"/>
  <c r="P389" i="36"/>
  <c r="Q389" i="36" s="1"/>
  <c r="O390" i="36"/>
  <c r="P390" i="36"/>
  <c r="Q390" i="36" s="1"/>
  <c r="O391" i="36"/>
  <c r="P391" i="36"/>
  <c r="Q391" i="36" s="1"/>
  <c r="O392" i="36"/>
  <c r="P392" i="36"/>
  <c r="Q392" i="36" s="1"/>
  <c r="O393" i="36"/>
  <c r="P393" i="36"/>
  <c r="Q393" i="36" s="1"/>
  <c r="O394" i="36"/>
  <c r="P394" i="36"/>
  <c r="Q394" i="36" s="1"/>
  <c r="O395" i="36"/>
  <c r="P395" i="36"/>
  <c r="Q395" i="36" s="1"/>
  <c r="O396" i="36"/>
  <c r="P396" i="36"/>
  <c r="Q396" i="36" s="1"/>
  <c r="O397" i="36"/>
  <c r="P397" i="36"/>
  <c r="Q397" i="36" s="1"/>
  <c r="O398" i="36"/>
  <c r="P398" i="36"/>
  <c r="Q398" i="36" s="1"/>
  <c r="O399" i="36"/>
  <c r="P399" i="36"/>
  <c r="Q399" i="36" s="1"/>
  <c r="O400" i="36"/>
  <c r="P400" i="36"/>
  <c r="Q400" i="36" s="1"/>
  <c r="O401" i="36"/>
  <c r="P401" i="36"/>
  <c r="Q401" i="36" s="1"/>
  <c r="O402" i="36"/>
  <c r="P402" i="36"/>
  <c r="Q402" i="36" s="1"/>
  <c r="O403" i="36"/>
  <c r="P403" i="36"/>
  <c r="Q403" i="36" s="1"/>
  <c r="O404" i="36"/>
  <c r="P404" i="36"/>
  <c r="Q404" i="36"/>
  <c r="O405" i="36"/>
  <c r="P405" i="36"/>
  <c r="Q405" i="36" s="1"/>
  <c r="O406" i="36"/>
  <c r="P406" i="36"/>
  <c r="Q406" i="36" s="1"/>
  <c r="O407" i="36"/>
  <c r="P407" i="36"/>
  <c r="Q407" i="36" s="1"/>
  <c r="O408" i="36"/>
  <c r="P408" i="36"/>
  <c r="Q408" i="36" s="1"/>
  <c r="O409" i="36"/>
  <c r="P409" i="36"/>
  <c r="Q409" i="36" s="1"/>
  <c r="O410" i="36"/>
  <c r="P410" i="36"/>
  <c r="Q410" i="36" s="1"/>
  <c r="O411" i="36"/>
  <c r="P411" i="36"/>
  <c r="Q411" i="36" s="1"/>
  <c r="O412" i="36"/>
  <c r="P412" i="36"/>
  <c r="Q412" i="36" s="1"/>
  <c r="O413" i="36"/>
  <c r="P413" i="36"/>
  <c r="Q413" i="36" s="1"/>
  <c r="O414" i="36"/>
  <c r="P414" i="36"/>
  <c r="Q414" i="36"/>
  <c r="O415" i="36"/>
  <c r="P415" i="36"/>
  <c r="Q415" i="36" s="1"/>
  <c r="O416" i="36"/>
  <c r="P416" i="36"/>
  <c r="Q416" i="36" s="1"/>
  <c r="O417" i="36"/>
  <c r="P417" i="36"/>
  <c r="Q417" i="36" s="1"/>
  <c r="O418" i="36"/>
  <c r="P418" i="36"/>
  <c r="Q418" i="36" s="1"/>
  <c r="O419" i="36"/>
  <c r="P419" i="36"/>
  <c r="Q419" i="36" s="1"/>
  <c r="O420" i="36"/>
  <c r="P420" i="36"/>
  <c r="Q420" i="36" s="1"/>
  <c r="O421" i="36"/>
  <c r="P421" i="36"/>
  <c r="Q421" i="36" s="1"/>
  <c r="O422" i="36"/>
  <c r="P422" i="36"/>
  <c r="Q422" i="36" s="1"/>
  <c r="O423" i="36"/>
  <c r="P423" i="36"/>
  <c r="Q423" i="36" s="1"/>
  <c r="O424" i="36"/>
  <c r="P424" i="36"/>
  <c r="Q424" i="36" s="1"/>
  <c r="O425" i="36"/>
  <c r="P425" i="36"/>
  <c r="Q425" i="36" s="1"/>
  <c r="O426" i="36"/>
  <c r="P426" i="36"/>
  <c r="Q426" i="36" s="1"/>
  <c r="O427" i="36"/>
  <c r="P427" i="36"/>
  <c r="Q427" i="36" s="1"/>
  <c r="O428" i="36"/>
  <c r="P428" i="36"/>
  <c r="Q428" i="36"/>
  <c r="O429" i="36"/>
  <c r="P429" i="36"/>
  <c r="Q429" i="36" s="1"/>
  <c r="O430" i="36"/>
  <c r="P430" i="36"/>
  <c r="Q430" i="36" s="1"/>
  <c r="O431" i="36"/>
  <c r="P431" i="36"/>
  <c r="Q431" i="36" s="1"/>
  <c r="O432" i="36"/>
  <c r="P432" i="36"/>
  <c r="Q432" i="36" s="1"/>
  <c r="O433" i="36"/>
  <c r="P433" i="36"/>
  <c r="Q433" i="36" s="1"/>
  <c r="O434" i="36"/>
  <c r="P434" i="36"/>
  <c r="Q434" i="36" s="1"/>
  <c r="O435" i="36"/>
  <c r="P435" i="36"/>
  <c r="Q435" i="36" s="1"/>
  <c r="O436" i="36"/>
  <c r="P436" i="36"/>
  <c r="Q436" i="36" s="1"/>
  <c r="O437" i="36"/>
  <c r="P437" i="36"/>
  <c r="Q437" i="36"/>
  <c r="O438" i="36"/>
  <c r="P438" i="36"/>
  <c r="Q438" i="36" s="1"/>
  <c r="O439" i="36"/>
  <c r="P439" i="36"/>
  <c r="Q439" i="36" s="1"/>
  <c r="O440" i="36"/>
  <c r="P440" i="36"/>
  <c r="Q440" i="36" s="1"/>
  <c r="O441" i="36"/>
  <c r="P441" i="36"/>
  <c r="Q441" i="36" s="1"/>
  <c r="O442" i="36"/>
  <c r="P442" i="36"/>
  <c r="Q442" i="36" s="1"/>
  <c r="O443" i="36"/>
  <c r="P443" i="36"/>
  <c r="Q443" i="36" s="1"/>
  <c r="O444" i="36"/>
  <c r="P444" i="36"/>
  <c r="Q444" i="36" s="1"/>
  <c r="O445" i="36"/>
  <c r="P445" i="36"/>
  <c r="Q445" i="36" s="1"/>
  <c r="O446" i="36"/>
  <c r="P446" i="36"/>
  <c r="Q446" i="36" s="1"/>
  <c r="O447" i="36"/>
  <c r="P447" i="36"/>
  <c r="Q447" i="36" s="1"/>
  <c r="O448" i="36"/>
  <c r="P448" i="36"/>
  <c r="Q448" i="36" s="1"/>
  <c r="O449" i="36"/>
  <c r="P449" i="36"/>
  <c r="Q449" i="36" s="1"/>
  <c r="O450" i="36"/>
  <c r="P450" i="36"/>
  <c r="Q450" i="36" s="1"/>
  <c r="O451" i="36"/>
  <c r="P451" i="36"/>
  <c r="Q451" i="36" s="1"/>
  <c r="O452" i="36"/>
  <c r="P452" i="36"/>
  <c r="Q452" i="36" s="1"/>
  <c r="O453" i="36"/>
  <c r="P453" i="36"/>
  <c r="Q453" i="36" s="1"/>
  <c r="O454" i="36"/>
  <c r="P454" i="36"/>
  <c r="Q454" i="36" s="1"/>
  <c r="O455" i="36"/>
  <c r="P455" i="36"/>
  <c r="Q455" i="36" s="1"/>
  <c r="O456" i="36"/>
  <c r="P456" i="36"/>
  <c r="Q456" i="36" s="1"/>
  <c r="O457" i="36"/>
  <c r="P457" i="36"/>
  <c r="Q457" i="36" s="1"/>
  <c r="O458" i="36"/>
  <c r="P458" i="36"/>
  <c r="Q458" i="36" s="1"/>
  <c r="O459" i="36"/>
  <c r="P459" i="36"/>
  <c r="Q459" i="36"/>
  <c r="O460" i="36"/>
  <c r="P460" i="36"/>
  <c r="Q460" i="36" s="1"/>
  <c r="O461" i="36"/>
  <c r="P461" i="36"/>
  <c r="Q461" i="36" s="1"/>
  <c r="O462" i="36"/>
  <c r="P462" i="36"/>
  <c r="Q462" i="36" s="1"/>
  <c r="O463" i="36"/>
  <c r="P463" i="36"/>
  <c r="Q463" i="36" s="1"/>
  <c r="O464" i="36"/>
  <c r="P464" i="36"/>
  <c r="Q464" i="36" s="1"/>
  <c r="O465" i="36"/>
  <c r="P465" i="36"/>
  <c r="Q465" i="36" s="1"/>
  <c r="O466" i="36"/>
  <c r="P466" i="36"/>
  <c r="Q466" i="36" s="1"/>
  <c r="O467" i="36"/>
  <c r="P467" i="36"/>
  <c r="Q467" i="36" s="1"/>
  <c r="O468" i="36"/>
  <c r="P468" i="36"/>
  <c r="Q468" i="36" s="1"/>
  <c r="O469" i="36"/>
  <c r="P469" i="36"/>
  <c r="Q469" i="36" s="1"/>
  <c r="O470" i="36"/>
  <c r="P470" i="36"/>
  <c r="Q470" i="36" s="1"/>
  <c r="O471" i="36"/>
  <c r="P471" i="36"/>
  <c r="Q471" i="36" s="1"/>
  <c r="O472" i="36"/>
  <c r="P472" i="36"/>
  <c r="Q472" i="36" s="1"/>
  <c r="O473" i="36"/>
  <c r="P473" i="36"/>
  <c r="Q473" i="36" s="1"/>
  <c r="O474" i="36"/>
  <c r="P474" i="36"/>
  <c r="Q474" i="36" s="1"/>
  <c r="O475" i="36"/>
  <c r="P475" i="36"/>
  <c r="Q475" i="36" s="1"/>
  <c r="O476" i="36"/>
  <c r="P476" i="36"/>
  <c r="Q476" i="36" s="1"/>
  <c r="O477" i="36"/>
  <c r="P477" i="36"/>
  <c r="Q477" i="36" s="1"/>
  <c r="O478" i="36"/>
  <c r="P478" i="36"/>
  <c r="Q478" i="36" s="1"/>
  <c r="O479" i="36"/>
  <c r="P479" i="36"/>
  <c r="Q479" i="36" s="1"/>
  <c r="O480" i="36"/>
  <c r="P480" i="36"/>
  <c r="Q480" i="36" s="1"/>
  <c r="O481" i="36"/>
  <c r="P481" i="36"/>
  <c r="Q481" i="36" s="1"/>
  <c r="O482" i="36"/>
  <c r="P482" i="36"/>
  <c r="Q482" i="36" s="1"/>
  <c r="O483" i="36"/>
  <c r="P483" i="36"/>
  <c r="Q483" i="36" s="1"/>
  <c r="O484" i="36"/>
  <c r="P484" i="36"/>
  <c r="Q484" i="36" s="1"/>
  <c r="O485" i="36"/>
  <c r="P485" i="36"/>
  <c r="Q485" i="36" s="1"/>
  <c r="O486" i="36"/>
  <c r="P486" i="36"/>
  <c r="Q486" i="36" s="1"/>
  <c r="O487" i="36"/>
  <c r="P487" i="36"/>
  <c r="Q487" i="36" s="1"/>
  <c r="O488" i="36"/>
  <c r="P488" i="36"/>
  <c r="Q488" i="36" s="1"/>
  <c r="O489" i="36"/>
  <c r="P489" i="36"/>
  <c r="Q489" i="36" s="1"/>
  <c r="O490" i="36"/>
  <c r="P490" i="36"/>
  <c r="Q490" i="36" s="1"/>
  <c r="O491" i="36"/>
  <c r="P491" i="36"/>
  <c r="Q491" i="36" s="1"/>
  <c r="O492" i="36"/>
  <c r="P492" i="36"/>
  <c r="Q492" i="36"/>
  <c r="O493" i="36"/>
  <c r="P493" i="36"/>
  <c r="Q493" i="36" s="1"/>
  <c r="O494" i="36"/>
  <c r="P494" i="36"/>
  <c r="Q494" i="36" s="1"/>
  <c r="O495" i="36"/>
  <c r="P495" i="36"/>
  <c r="Q495" i="36" s="1"/>
  <c r="O496" i="36"/>
  <c r="P496" i="36"/>
  <c r="Q496" i="36" s="1"/>
  <c r="O497" i="36"/>
  <c r="P497" i="36"/>
  <c r="Q497" i="36" s="1"/>
  <c r="O498" i="36"/>
  <c r="P498" i="36"/>
  <c r="Q498" i="36" s="1"/>
  <c r="O499" i="36"/>
  <c r="P499" i="36"/>
  <c r="Q499" i="36" s="1"/>
  <c r="O500" i="36"/>
  <c r="P500" i="36"/>
  <c r="Q500" i="36" s="1"/>
  <c r="O501" i="36"/>
  <c r="P501" i="36"/>
  <c r="Q501" i="36" s="1"/>
  <c r="O502" i="36"/>
  <c r="P502" i="36"/>
  <c r="Q502" i="36" s="1"/>
  <c r="O503" i="36"/>
  <c r="P503" i="36"/>
  <c r="Q503" i="36" s="1"/>
  <c r="O504" i="36"/>
  <c r="P504" i="36"/>
  <c r="Q504" i="36" s="1"/>
  <c r="O505" i="36"/>
  <c r="P505" i="36"/>
  <c r="Q505" i="36" s="1"/>
  <c r="O506" i="36"/>
  <c r="P506" i="36"/>
  <c r="Q506" i="36" s="1"/>
  <c r="O507" i="36"/>
  <c r="P507" i="36"/>
  <c r="Q507" i="36" s="1"/>
  <c r="O508" i="36"/>
  <c r="P508" i="36"/>
  <c r="Q508" i="36" s="1"/>
  <c r="O509" i="36"/>
  <c r="P509" i="36"/>
  <c r="Q509" i="36" s="1"/>
  <c r="O510" i="36"/>
  <c r="P510" i="36"/>
  <c r="Q510" i="36" s="1"/>
  <c r="O511" i="36"/>
  <c r="P511" i="36"/>
  <c r="Q511" i="36" s="1"/>
  <c r="O512" i="36"/>
  <c r="P512" i="36"/>
  <c r="Q512" i="36" s="1"/>
  <c r="O513" i="36"/>
  <c r="P513" i="36"/>
  <c r="Q513" i="36" s="1"/>
  <c r="O514" i="36"/>
  <c r="P514" i="36"/>
  <c r="Q514" i="36" s="1"/>
  <c r="O515" i="36"/>
  <c r="P515" i="36"/>
  <c r="Q515" i="36" s="1"/>
  <c r="O516" i="36"/>
  <c r="P516" i="36"/>
  <c r="Q516" i="36" s="1"/>
  <c r="O517" i="36"/>
  <c r="P517" i="36"/>
  <c r="Q517" i="36" s="1"/>
  <c r="O518" i="36"/>
  <c r="P518" i="36"/>
  <c r="Q518" i="36" s="1"/>
  <c r="O519" i="36"/>
  <c r="P519" i="36"/>
  <c r="Q519" i="36" s="1"/>
  <c r="O520" i="36"/>
  <c r="P520" i="36"/>
  <c r="Q520" i="36" s="1"/>
  <c r="O521" i="36"/>
  <c r="P521" i="36"/>
  <c r="Q521" i="36" s="1"/>
  <c r="O522" i="36"/>
  <c r="P522" i="36"/>
  <c r="Q522" i="36" s="1"/>
  <c r="O523" i="36"/>
  <c r="P523" i="36"/>
  <c r="Q523" i="36" s="1"/>
  <c r="O524" i="36"/>
  <c r="P524" i="36"/>
  <c r="Q524" i="36" s="1"/>
  <c r="O525" i="36"/>
  <c r="P525" i="36"/>
  <c r="Q525" i="36" s="1"/>
  <c r="O526" i="36"/>
  <c r="P526" i="36"/>
  <c r="Q526" i="36" s="1"/>
  <c r="O527" i="36"/>
  <c r="P527" i="36"/>
  <c r="Q527" i="36" s="1"/>
  <c r="O528" i="36"/>
  <c r="P528" i="36"/>
  <c r="Q528" i="36" s="1"/>
  <c r="O529" i="36"/>
  <c r="P529" i="36"/>
  <c r="Q529" i="36" s="1"/>
  <c r="O530" i="36"/>
  <c r="P530" i="36"/>
  <c r="Q530" i="36" s="1"/>
  <c r="O531" i="36"/>
  <c r="P531" i="36"/>
  <c r="Q531" i="36" s="1"/>
  <c r="O532" i="36"/>
  <c r="P532" i="36"/>
  <c r="Q532" i="36" s="1"/>
  <c r="O533" i="36"/>
  <c r="P533" i="36"/>
  <c r="Q533" i="36" s="1"/>
  <c r="O534" i="36"/>
  <c r="P534" i="36"/>
  <c r="Q534" i="36" s="1"/>
  <c r="O535" i="36"/>
  <c r="P535" i="36"/>
  <c r="Q535" i="36" s="1"/>
  <c r="O536" i="36"/>
  <c r="P536" i="36"/>
  <c r="Q536" i="36" s="1"/>
  <c r="O537" i="36"/>
  <c r="P537" i="36"/>
  <c r="Q537" i="36" s="1"/>
  <c r="O538" i="36"/>
  <c r="P538" i="36"/>
  <c r="Q538" i="36" s="1"/>
  <c r="O539" i="36"/>
  <c r="P539" i="36"/>
  <c r="Q539" i="36" s="1"/>
  <c r="O540" i="36"/>
  <c r="P540" i="36"/>
  <c r="Q540" i="36" s="1"/>
  <c r="O541" i="36"/>
  <c r="P541" i="36"/>
  <c r="Q541" i="36" s="1"/>
  <c r="O542" i="36"/>
  <c r="P542" i="36"/>
  <c r="Q542" i="36" s="1"/>
  <c r="O543" i="36"/>
  <c r="P543" i="36"/>
  <c r="Q543" i="36" s="1"/>
  <c r="O544" i="36"/>
  <c r="P544" i="36"/>
  <c r="Q544" i="36" s="1"/>
  <c r="O545" i="36"/>
  <c r="P545" i="36"/>
  <c r="Q545" i="36"/>
  <c r="O546" i="36"/>
  <c r="P546" i="36"/>
  <c r="Q546" i="36" s="1"/>
  <c r="O547" i="36"/>
  <c r="P547" i="36"/>
  <c r="Q547" i="36" s="1"/>
  <c r="O548" i="36"/>
  <c r="P548" i="36"/>
  <c r="Q548" i="36" s="1"/>
  <c r="O549" i="36"/>
  <c r="P549" i="36"/>
  <c r="Q549" i="36" s="1"/>
  <c r="O550" i="36"/>
  <c r="P550" i="36"/>
  <c r="Q550" i="36" s="1"/>
  <c r="O551" i="36"/>
  <c r="P551" i="36"/>
  <c r="Q551" i="36" s="1"/>
  <c r="O552" i="36"/>
  <c r="P552" i="36"/>
  <c r="Q552" i="36" s="1"/>
  <c r="O553" i="36"/>
  <c r="P553" i="36"/>
  <c r="Q553" i="36" s="1"/>
  <c r="O554" i="36"/>
  <c r="P554" i="36"/>
  <c r="Q554" i="36" s="1"/>
  <c r="O555" i="36"/>
  <c r="P555" i="36"/>
  <c r="Q555" i="36"/>
  <c r="O556" i="36"/>
  <c r="P556" i="36"/>
  <c r="Q556" i="36" s="1"/>
  <c r="O557" i="36"/>
  <c r="P557" i="36"/>
  <c r="Q557" i="36" s="1"/>
  <c r="O558" i="36"/>
  <c r="P558" i="36"/>
  <c r="Q558" i="36" s="1"/>
  <c r="O559" i="36"/>
  <c r="P559" i="36"/>
  <c r="Q559" i="36" s="1"/>
  <c r="O560" i="36"/>
  <c r="P560" i="36"/>
  <c r="Q560" i="36" s="1"/>
  <c r="O561" i="36"/>
  <c r="P561" i="36"/>
  <c r="Q561" i="36" s="1"/>
  <c r="O562" i="36"/>
  <c r="P562" i="36"/>
  <c r="Q562" i="36" s="1"/>
  <c r="O563" i="36"/>
  <c r="P563" i="36"/>
  <c r="Q563" i="36" s="1"/>
  <c r="O564" i="36"/>
  <c r="P564" i="36"/>
  <c r="Q564" i="36" s="1"/>
  <c r="O565" i="36"/>
  <c r="P565" i="36"/>
  <c r="Q565" i="36" s="1"/>
  <c r="O566" i="36"/>
  <c r="P566" i="36"/>
  <c r="Q566" i="36" s="1"/>
  <c r="O567" i="36"/>
  <c r="P567" i="36"/>
  <c r="Q567" i="36" s="1"/>
  <c r="O568" i="36"/>
  <c r="P568" i="36"/>
  <c r="Q568" i="36" s="1"/>
  <c r="O569" i="36"/>
  <c r="P569" i="36"/>
  <c r="Q569" i="36" s="1"/>
  <c r="O570" i="36"/>
  <c r="P570" i="36"/>
  <c r="Q570" i="36"/>
  <c r="O571" i="36"/>
  <c r="P571" i="36"/>
  <c r="Q571" i="36" s="1"/>
  <c r="O572" i="36"/>
  <c r="P572" i="36"/>
  <c r="Q572" i="36"/>
  <c r="O573" i="36"/>
  <c r="P573" i="36"/>
  <c r="Q573" i="36" s="1"/>
  <c r="O574" i="36"/>
  <c r="P574" i="36"/>
  <c r="Q574" i="36" s="1"/>
  <c r="O575" i="36"/>
  <c r="P575" i="36"/>
  <c r="Q575" i="36" s="1"/>
  <c r="O576" i="36"/>
  <c r="P576" i="36"/>
  <c r="Q576" i="36" s="1"/>
  <c r="O577" i="36"/>
  <c r="P577" i="36"/>
  <c r="Q577" i="36" s="1"/>
  <c r="O578" i="36"/>
  <c r="P578" i="36"/>
  <c r="Q578" i="36" s="1"/>
  <c r="O579" i="36"/>
  <c r="P579" i="36"/>
  <c r="Q579" i="36" s="1"/>
  <c r="O580" i="36"/>
  <c r="P580" i="36"/>
  <c r="Q580" i="36" s="1"/>
  <c r="O581" i="36"/>
  <c r="P581" i="36"/>
  <c r="Q581" i="36" s="1"/>
  <c r="O582" i="36"/>
  <c r="P582" i="36"/>
  <c r="Q582" i="36" s="1"/>
  <c r="O583" i="36"/>
  <c r="P583" i="36"/>
  <c r="Q583" i="36" s="1"/>
  <c r="O584" i="36"/>
  <c r="P584" i="36"/>
  <c r="Q584" i="36" s="1"/>
  <c r="O585" i="36"/>
  <c r="P585" i="36"/>
  <c r="Q585" i="36" s="1"/>
  <c r="O586" i="36"/>
  <c r="P586" i="36"/>
  <c r="Q586" i="36" s="1"/>
  <c r="O587" i="36"/>
  <c r="P587" i="36"/>
  <c r="Q587" i="36" s="1"/>
  <c r="O588" i="36"/>
  <c r="P588" i="36"/>
  <c r="Q588" i="36" s="1"/>
  <c r="O589" i="36"/>
  <c r="P589" i="36"/>
  <c r="Q589" i="36" s="1"/>
  <c r="O590" i="36"/>
  <c r="P590" i="36"/>
  <c r="Q590" i="36" s="1"/>
  <c r="O591" i="36"/>
  <c r="P591" i="36"/>
  <c r="Q591" i="36" s="1"/>
  <c r="O592" i="36"/>
  <c r="P592" i="36"/>
  <c r="Q592" i="36" s="1"/>
  <c r="O593" i="36"/>
  <c r="P593" i="36"/>
  <c r="Q593" i="36" s="1"/>
  <c r="O594" i="36"/>
  <c r="P594" i="36"/>
  <c r="Q594" i="36" s="1"/>
  <c r="O595" i="36"/>
  <c r="P595" i="36"/>
  <c r="Q595" i="36" s="1"/>
  <c r="O596" i="36"/>
  <c r="P596" i="36"/>
  <c r="Q596" i="36" s="1"/>
  <c r="O597" i="36"/>
  <c r="P597" i="36"/>
  <c r="Q597" i="36"/>
  <c r="O598" i="36"/>
  <c r="P598" i="36"/>
  <c r="Q598" i="36" s="1"/>
  <c r="O599" i="36"/>
  <c r="P599" i="36"/>
  <c r="Q599" i="36" s="1"/>
  <c r="O600" i="36"/>
  <c r="P600" i="36"/>
  <c r="Q600" i="36" s="1"/>
  <c r="O601" i="36"/>
  <c r="P601" i="36"/>
  <c r="Q601" i="36" s="1"/>
  <c r="O602" i="36"/>
  <c r="P602" i="36"/>
  <c r="Q602" i="36" s="1"/>
  <c r="O603" i="36"/>
  <c r="P603" i="36"/>
  <c r="Q603" i="36" s="1"/>
  <c r="O604" i="36"/>
  <c r="P604" i="36"/>
  <c r="Q604" i="36" s="1"/>
  <c r="O605" i="36"/>
  <c r="P605" i="36"/>
  <c r="Q605" i="36" s="1"/>
  <c r="O606" i="36"/>
  <c r="P606" i="36"/>
  <c r="Q606" i="36" s="1"/>
  <c r="O607" i="36"/>
  <c r="P607" i="36"/>
  <c r="Q607" i="36" s="1"/>
  <c r="O608" i="36"/>
  <c r="P608" i="36"/>
  <c r="Q608" i="36" s="1"/>
  <c r="O609" i="36"/>
  <c r="P609" i="36"/>
  <c r="Q609" i="36" s="1"/>
  <c r="O610" i="36"/>
  <c r="P610" i="36"/>
  <c r="Q610" i="36" s="1"/>
  <c r="O611" i="36"/>
  <c r="P611" i="36"/>
  <c r="Q611" i="36" s="1"/>
  <c r="O612" i="36"/>
  <c r="P612" i="36"/>
  <c r="Q612" i="36" s="1"/>
  <c r="O613" i="36"/>
  <c r="P613" i="36"/>
  <c r="Q613" i="36" s="1"/>
  <c r="O614" i="36"/>
  <c r="P614" i="36"/>
  <c r="Q614" i="36" s="1"/>
  <c r="O615" i="36"/>
  <c r="P615" i="36"/>
  <c r="Q615" i="36" s="1"/>
  <c r="O616" i="36"/>
  <c r="P616" i="36"/>
  <c r="Q616" i="36" s="1"/>
  <c r="O617" i="36"/>
  <c r="P617" i="36"/>
  <c r="Q617" i="36" s="1"/>
  <c r="O618" i="36"/>
  <c r="P618" i="36"/>
  <c r="Q618" i="36"/>
  <c r="O619" i="36"/>
  <c r="P619" i="36"/>
  <c r="Q619" i="36" s="1"/>
  <c r="O620" i="36"/>
  <c r="P620" i="36"/>
  <c r="Q620" i="36"/>
  <c r="O621" i="36"/>
  <c r="P621" i="36"/>
  <c r="Q621" i="36" s="1"/>
  <c r="O622" i="36"/>
  <c r="P622" i="36"/>
  <c r="Q622" i="36" s="1"/>
  <c r="O623" i="36"/>
  <c r="P623" i="36"/>
  <c r="Q623" i="36" s="1"/>
  <c r="O624" i="36"/>
  <c r="P624" i="36"/>
  <c r="Q624" i="36" s="1"/>
  <c r="O625" i="36"/>
  <c r="P625" i="36"/>
  <c r="Q625" i="36" s="1"/>
  <c r="O626" i="36"/>
  <c r="P626" i="36"/>
  <c r="Q626" i="36" s="1"/>
  <c r="O627" i="36"/>
  <c r="P627" i="36"/>
  <c r="Q627" i="36" s="1"/>
  <c r="O628" i="36"/>
  <c r="P628" i="36"/>
  <c r="Q628" i="36" s="1"/>
  <c r="O629" i="36"/>
  <c r="P629" i="36"/>
  <c r="Q629" i="36" s="1"/>
  <c r="O630" i="36"/>
  <c r="P630" i="36"/>
  <c r="Q630" i="36" s="1"/>
  <c r="O631" i="36"/>
  <c r="P631" i="36"/>
  <c r="Q631" i="36" s="1"/>
  <c r="O632" i="36"/>
  <c r="P632" i="36"/>
  <c r="Q632" i="36" s="1"/>
  <c r="O633" i="36"/>
  <c r="P633" i="36"/>
  <c r="Q633" i="36" s="1"/>
  <c r="O634" i="36"/>
  <c r="P634" i="36"/>
  <c r="Q634" i="36" s="1"/>
  <c r="O635" i="36"/>
  <c r="P635" i="36"/>
  <c r="Q635" i="36" s="1"/>
  <c r="O636" i="36"/>
  <c r="P636" i="36"/>
  <c r="Q636" i="36" s="1"/>
  <c r="O637" i="36"/>
  <c r="P637" i="36"/>
  <c r="Q637" i="36" s="1"/>
  <c r="O638" i="36"/>
  <c r="P638" i="36"/>
  <c r="Q638" i="36" s="1"/>
  <c r="O639" i="36"/>
  <c r="P639" i="36"/>
  <c r="Q639" i="36" s="1"/>
  <c r="O640" i="36"/>
  <c r="P640" i="36"/>
  <c r="Q640" i="36" s="1"/>
  <c r="O641" i="36"/>
  <c r="P641" i="36"/>
  <c r="Q641" i="36" s="1"/>
  <c r="O642" i="36"/>
  <c r="P642" i="36"/>
  <c r="Q642" i="36" s="1"/>
  <c r="O643" i="36"/>
  <c r="P643" i="36"/>
  <c r="Q643" i="36" s="1"/>
  <c r="O644" i="36"/>
  <c r="P644" i="36"/>
  <c r="Q644" i="36" s="1"/>
  <c r="O645" i="36"/>
  <c r="P645" i="36"/>
  <c r="Q645" i="36" s="1"/>
  <c r="O646" i="36"/>
  <c r="P646" i="36"/>
  <c r="Q646" i="36" s="1"/>
  <c r="O647" i="36"/>
  <c r="P647" i="36"/>
  <c r="Q647" i="36" s="1"/>
  <c r="O648" i="36"/>
  <c r="P648" i="36"/>
  <c r="Q648" i="36"/>
  <c r="O649" i="36"/>
  <c r="P649" i="36"/>
  <c r="Q649" i="36" s="1"/>
  <c r="O650" i="36"/>
  <c r="P650" i="36"/>
  <c r="Q650" i="36" s="1"/>
  <c r="O651" i="36"/>
  <c r="P651" i="36"/>
  <c r="Q651" i="36" s="1"/>
  <c r="O652" i="36"/>
  <c r="P652" i="36"/>
  <c r="Q652" i="36" s="1"/>
  <c r="O653" i="36"/>
  <c r="P653" i="36"/>
  <c r="Q653" i="36" s="1"/>
  <c r="O654" i="36"/>
  <c r="P654" i="36"/>
  <c r="Q654" i="36" s="1"/>
  <c r="O655" i="36"/>
  <c r="P655" i="36"/>
  <c r="Q655" i="36" s="1"/>
  <c r="O656" i="36"/>
  <c r="P656" i="36"/>
  <c r="Q656" i="36" s="1"/>
  <c r="O657" i="36"/>
  <c r="P657" i="36"/>
  <c r="Q657" i="36" s="1"/>
  <c r="O658" i="36"/>
  <c r="P658" i="36"/>
  <c r="Q658" i="36" s="1"/>
  <c r="O659" i="36"/>
  <c r="P659" i="36"/>
  <c r="Q659" i="36" s="1"/>
  <c r="O660" i="36"/>
  <c r="P660" i="36"/>
  <c r="Q660" i="36" s="1"/>
  <c r="O661" i="36"/>
  <c r="P661" i="36"/>
  <c r="Q661" i="36" s="1"/>
  <c r="O662" i="36"/>
  <c r="P662" i="36"/>
  <c r="Q662" i="36" s="1"/>
  <c r="O663" i="36"/>
  <c r="P663" i="36"/>
  <c r="Q663" i="36" s="1"/>
  <c r="O664" i="36"/>
  <c r="P664" i="36"/>
  <c r="Q664" i="36" s="1"/>
  <c r="O665" i="36"/>
  <c r="P665" i="36"/>
  <c r="Q665" i="36" s="1"/>
  <c r="O666" i="36"/>
  <c r="P666" i="36"/>
  <c r="Q666" i="36" s="1"/>
  <c r="O667" i="36"/>
  <c r="P667" i="36"/>
  <c r="Q667" i="36" s="1"/>
  <c r="O668" i="36"/>
  <c r="P668" i="36"/>
  <c r="Q668" i="36" s="1"/>
  <c r="O669" i="36"/>
  <c r="P669" i="36"/>
  <c r="Q669" i="36" s="1"/>
  <c r="O670" i="36"/>
  <c r="P670" i="36"/>
  <c r="Q670" i="36" s="1"/>
  <c r="O671" i="36"/>
  <c r="P671" i="36"/>
  <c r="Q671" i="36" s="1"/>
  <c r="O672" i="36"/>
  <c r="P672" i="36"/>
  <c r="Q672" i="36" s="1"/>
  <c r="O673" i="36"/>
  <c r="P673" i="36"/>
  <c r="Q673" i="36" s="1"/>
  <c r="O674" i="36"/>
  <c r="P674" i="36"/>
  <c r="Q674" i="36" s="1"/>
  <c r="O675" i="36"/>
  <c r="P675" i="36"/>
  <c r="Q675" i="36" s="1"/>
  <c r="O676" i="36"/>
  <c r="P676" i="36"/>
  <c r="Q676" i="36" s="1"/>
  <c r="O677" i="36"/>
  <c r="P677" i="36"/>
  <c r="Q677" i="36" s="1"/>
  <c r="O678" i="36"/>
  <c r="P678" i="36"/>
  <c r="Q678" i="36" s="1"/>
  <c r="O679" i="36"/>
  <c r="P679" i="36"/>
  <c r="Q679" i="36" s="1"/>
  <c r="O680" i="36"/>
  <c r="P680" i="36"/>
  <c r="Q680" i="36" s="1"/>
  <c r="O681" i="36"/>
  <c r="P681" i="36"/>
  <c r="Q681" i="36" s="1"/>
  <c r="O682" i="36"/>
  <c r="P682" i="36"/>
  <c r="Q682" i="36" s="1"/>
  <c r="O683" i="36"/>
  <c r="P683" i="36"/>
  <c r="Q683" i="36" s="1"/>
  <c r="O684" i="36"/>
  <c r="P684" i="36"/>
  <c r="Q684" i="36" s="1"/>
  <c r="O685" i="36"/>
  <c r="P685" i="36"/>
  <c r="Q685" i="36" s="1"/>
  <c r="O686" i="36"/>
  <c r="P686" i="36"/>
  <c r="Q686" i="36" s="1"/>
  <c r="O687" i="36"/>
  <c r="P687" i="36"/>
  <c r="Q687" i="36" s="1"/>
  <c r="O688" i="36"/>
  <c r="P688" i="36"/>
  <c r="Q688" i="36" s="1"/>
  <c r="O689" i="36"/>
  <c r="P689" i="36"/>
  <c r="Q689" i="36" s="1"/>
  <c r="O690" i="36"/>
  <c r="P690" i="36"/>
  <c r="Q690" i="36" s="1"/>
  <c r="O691" i="36"/>
  <c r="P691" i="36"/>
  <c r="Q691" i="36" s="1"/>
  <c r="O692" i="36"/>
  <c r="P692" i="36"/>
  <c r="Q692" i="36" s="1"/>
  <c r="O693" i="36"/>
  <c r="P693" i="36"/>
  <c r="Q693" i="36" s="1"/>
  <c r="O694" i="36"/>
  <c r="P694" i="36"/>
  <c r="Q694" i="36" s="1"/>
  <c r="O695" i="36"/>
  <c r="P695" i="36"/>
  <c r="Q695" i="36" s="1"/>
  <c r="O696" i="36"/>
  <c r="P696" i="36"/>
  <c r="Q696" i="36" s="1"/>
  <c r="O697" i="36"/>
  <c r="P697" i="36"/>
  <c r="Q697" i="36" s="1"/>
  <c r="O698" i="36"/>
  <c r="P698" i="36"/>
  <c r="Q698" i="36" s="1"/>
  <c r="O699" i="36"/>
  <c r="P699" i="36"/>
  <c r="Q699" i="36" s="1"/>
  <c r="O700" i="36"/>
  <c r="P700" i="36"/>
  <c r="Q700" i="36"/>
  <c r="O701" i="36"/>
  <c r="P701" i="36"/>
  <c r="Q701" i="36" s="1"/>
  <c r="O702" i="36"/>
  <c r="P702" i="36"/>
  <c r="Q702" i="36" s="1"/>
  <c r="O703" i="36"/>
  <c r="P703" i="36"/>
  <c r="Q703" i="36" s="1"/>
  <c r="O704" i="36"/>
  <c r="P704" i="36"/>
  <c r="Q704" i="36" s="1"/>
  <c r="O705" i="36"/>
  <c r="P705" i="36"/>
  <c r="Q705" i="36" s="1"/>
  <c r="O706" i="36"/>
  <c r="P706" i="36"/>
  <c r="Q706" i="36" s="1"/>
  <c r="O707" i="36"/>
  <c r="P707" i="36"/>
  <c r="Q707" i="36" s="1"/>
  <c r="O708" i="36"/>
  <c r="P708" i="36"/>
  <c r="Q708" i="36" s="1"/>
  <c r="O709" i="36"/>
  <c r="P709" i="36"/>
  <c r="Q709" i="36"/>
  <c r="O710" i="36"/>
  <c r="P710" i="36"/>
  <c r="Q710" i="36" s="1"/>
  <c r="O711" i="36"/>
  <c r="P711" i="36"/>
  <c r="Q711" i="36"/>
  <c r="O712" i="36"/>
  <c r="P712" i="36"/>
  <c r="Q712" i="36" s="1"/>
  <c r="O713" i="36"/>
  <c r="P713" i="36"/>
  <c r="Q713" i="36" s="1"/>
  <c r="O714" i="36"/>
  <c r="P714" i="36"/>
  <c r="Q714" i="36" s="1"/>
  <c r="O715" i="36"/>
  <c r="P715" i="36"/>
  <c r="Q715" i="36" s="1"/>
  <c r="O716" i="36"/>
  <c r="P716" i="36"/>
  <c r="Q716" i="36" s="1"/>
  <c r="O717" i="36"/>
  <c r="P717" i="36"/>
  <c r="Q717" i="36" s="1"/>
  <c r="O718" i="36"/>
  <c r="P718" i="36"/>
  <c r="Q718" i="36" s="1"/>
  <c r="O719" i="36"/>
  <c r="P719" i="36"/>
  <c r="Q719" i="36" s="1"/>
  <c r="O720" i="36"/>
  <c r="P720" i="36"/>
  <c r="Q720" i="36" s="1"/>
  <c r="O721" i="36"/>
  <c r="P721" i="36"/>
  <c r="Q721" i="36" s="1"/>
  <c r="O722" i="36"/>
  <c r="P722" i="36"/>
  <c r="Q722" i="36"/>
  <c r="O723" i="36"/>
  <c r="P723" i="36"/>
  <c r="Q723" i="36" s="1"/>
  <c r="O724" i="36"/>
  <c r="P724" i="36"/>
  <c r="Q724" i="36" s="1"/>
  <c r="O725" i="36"/>
  <c r="P725" i="36"/>
  <c r="Q725" i="36" s="1"/>
  <c r="O726" i="36"/>
  <c r="P726" i="36"/>
  <c r="Q726" i="36" s="1"/>
  <c r="O727" i="36"/>
  <c r="P727" i="36"/>
  <c r="Q727" i="36" s="1"/>
  <c r="O728" i="36"/>
  <c r="P728" i="36"/>
  <c r="Q728" i="36" s="1"/>
  <c r="O729" i="36"/>
  <c r="P729" i="36"/>
  <c r="Q729" i="36" s="1"/>
  <c r="O730" i="36"/>
  <c r="P730" i="36"/>
  <c r="Q730" i="36" s="1"/>
  <c r="O731" i="36"/>
  <c r="P731" i="36"/>
  <c r="Q731" i="36" s="1"/>
  <c r="O732" i="36"/>
  <c r="P732" i="36"/>
  <c r="Q732" i="36" s="1"/>
  <c r="O733" i="36"/>
  <c r="P733" i="36"/>
  <c r="Q733" i="36" s="1"/>
  <c r="O734" i="36"/>
  <c r="P734" i="36"/>
  <c r="Q734" i="36" s="1"/>
  <c r="O735" i="36"/>
  <c r="P735" i="36"/>
  <c r="Q735" i="36" s="1"/>
  <c r="O736" i="36"/>
  <c r="P736" i="36"/>
  <c r="Q736" i="36" s="1"/>
  <c r="O737" i="36"/>
  <c r="P737" i="36"/>
  <c r="Q737" i="36" s="1"/>
  <c r="O738" i="36"/>
  <c r="P738" i="36"/>
  <c r="Q738" i="36" s="1"/>
  <c r="O739" i="36"/>
  <c r="P739" i="36"/>
  <c r="Q739" i="36" s="1"/>
  <c r="O740" i="36"/>
  <c r="P740" i="36"/>
  <c r="Q740" i="36" s="1"/>
  <c r="O741" i="36"/>
  <c r="P741" i="36"/>
  <c r="Q741" i="36" s="1"/>
  <c r="O742" i="36"/>
  <c r="P742" i="36"/>
  <c r="Q742" i="36" s="1"/>
  <c r="O743" i="36"/>
  <c r="P743" i="36"/>
  <c r="Q743" i="36" s="1"/>
  <c r="O744" i="36"/>
  <c r="P744" i="36"/>
  <c r="Q744" i="36" s="1"/>
  <c r="O745" i="36"/>
  <c r="P745" i="36"/>
  <c r="Q745" i="36" s="1"/>
  <c r="O746" i="36"/>
  <c r="P746" i="36"/>
  <c r="Q746" i="36" s="1"/>
  <c r="O747" i="36"/>
  <c r="P747" i="36"/>
  <c r="Q747" i="36" s="1"/>
  <c r="O748" i="36"/>
  <c r="P748" i="36"/>
  <c r="Q748" i="36" s="1"/>
  <c r="O749" i="36"/>
  <c r="P749" i="36"/>
  <c r="Q749" i="36" s="1"/>
  <c r="O750" i="36"/>
  <c r="P750" i="36"/>
  <c r="Q750" i="36" s="1"/>
  <c r="O751" i="36"/>
  <c r="P751" i="36"/>
  <c r="Q751" i="36" s="1"/>
  <c r="O752" i="36"/>
  <c r="P752" i="36"/>
  <c r="Q752" i="36"/>
  <c r="O753" i="36"/>
  <c r="P753" i="36"/>
  <c r="Q753" i="36" s="1"/>
  <c r="O754" i="36"/>
  <c r="P754" i="36"/>
  <c r="Q754" i="36" s="1"/>
  <c r="O755" i="36"/>
  <c r="P755" i="36"/>
  <c r="Q755" i="36" s="1"/>
  <c r="O756" i="36"/>
  <c r="P756" i="36"/>
  <c r="Q756" i="36" s="1"/>
  <c r="O757" i="36"/>
  <c r="P757" i="36"/>
  <c r="Q757" i="36" s="1"/>
  <c r="O758" i="36"/>
  <c r="P758" i="36"/>
  <c r="Q758" i="36" s="1"/>
  <c r="O759" i="36"/>
  <c r="P759" i="36"/>
  <c r="Q759" i="36" s="1"/>
  <c r="O760" i="36"/>
  <c r="P760" i="36"/>
  <c r="Q760" i="36" s="1"/>
  <c r="O761" i="36"/>
  <c r="P761" i="36"/>
  <c r="Q761" i="36" s="1"/>
  <c r="O762" i="36"/>
  <c r="P762" i="36"/>
  <c r="Q762" i="36" s="1"/>
  <c r="O763" i="36"/>
  <c r="P763" i="36"/>
  <c r="Q763" i="36" s="1"/>
  <c r="O764" i="36"/>
  <c r="P764" i="36"/>
  <c r="Q764" i="36" s="1"/>
  <c r="O765" i="36"/>
  <c r="P765" i="36"/>
  <c r="Q765" i="36" s="1"/>
  <c r="O766" i="36"/>
  <c r="P766" i="36"/>
  <c r="Q766" i="36" s="1"/>
  <c r="O767" i="36"/>
  <c r="P767" i="36"/>
  <c r="Q767" i="36" s="1"/>
  <c r="O768" i="36"/>
  <c r="P768" i="36"/>
  <c r="Q768" i="36" s="1"/>
  <c r="O769" i="36"/>
  <c r="P769" i="36"/>
  <c r="Q769" i="36" s="1"/>
  <c r="O770" i="36"/>
  <c r="P770" i="36"/>
  <c r="Q770" i="36" s="1"/>
  <c r="O771" i="36"/>
  <c r="P771" i="36"/>
  <c r="Q771" i="36" s="1"/>
  <c r="O772" i="36"/>
  <c r="P772" i="36"/>
  <c r="Q772" i="36" s="1"/>
  <c r="O773" i="36"/>
  <c r="P773" i="36"/>
  <c r="Q773" i="36" s="1"/>
  <c r="O774" i="36"/>
  <c r="P774" i="36"/>
  <c r="Q774" i="36" s="1"/>
  <c r="O775" i="36"/>
  <c r="P775" i="36"/>
  <c r="Q775" i="36" s="1"/>
  <c r="O776" i="36"/>
  <c r="P776" i="36"/>
  <c r="Q776" i="36" s="1"/>
  <c r="O777" i="36"/>
  <c r="P777" i="36"/>
  <c r="Q777" i="36"/>
  <c r="O778" i="36"/>
  <c r="P778" i="36"/>
  <c r="Q778" i="36" s="1"/>
  <c r="O779" i="36"/>
  <c r="P779" i="36"/>
  <c r="Q779" i="36" s="1"/>
  <c r="O780" i="36"/>
  <c r="P780" i="36"/>
  <c r="Q780" i="36" s="1"/>
  <c r="O781" i="36"/>
  <c r="P781" i="36"/>
  <c r="Q781" i="36" s="1"/>
  <c r="O782" i="36"/>
  <c r="P782" i="36"/>
  <c r="Q782" i="36" s="1"/>
  <c r="O783" i="36"/>
  <c r="P783" i="36"/>
  <c r="Q783" i="36" s="1"/>
  <c r="O784" i="36"/>
  <c r="P784" i="36"/>
  <c r="Q784" i="36" s="1"/>
  <c r="O785" i="36"/>
  <c r="P785" i="36"/>
  <c r="Q785" i="36" s="1"/>
  <c r="O786" i="36"/>
  <c r="P786" i="36"/>
  <c r="Q786" i="36" s="1"/>
  <c r="O787" i="36"/>
  <c r="P787" i="36"/>
  <c r="Q787" i="36" s="1"/>
  <c r="O788" i="36"/>
  <c r="P788" i="36"/>
  <c r="Q788" i="36" s="1"/>
  <c r="O789" i="36"/>
  <c r="P789" i="36"/>
  <c r="Q789" i="36" s="1"/>
  <c r="O790" i="36"/>
  <c r="P790" i="36"/>
  <c r="Q790" i="36" s="1"/>
  <c r="O791" i="36"/>
  <c r="P791" i="36"/>
  <c r="Q791" i="36" s="1"/>
  <c r="O792" i="36"/>
  <c r="P792" i="36"/>
  <c r="Q792" i="36" s="1"/>
  <c r="O793" i="36"/>
  <c r="P793" i="36"/>
  <c r="Q793" i="36" s="1"/>
  <c r="O794" i="36"/>
  <c r="P794" i="36"/>
  <c r="Q794" i="36" s="1"/>
  <c r="O795" i="36"/>
  <c r="P795" i="36"/>
  <c r="Q795" i="36" s="1"/>
  <c r="O796" i="36"/>
  <c r="P796" i="36"/>
  <c r="Q796" i="36" s="1"/>
  <c r="O797" i="36"/>
  <c r="P797" i="36"/>
  <c r="Q797" i="36" s="1"/>
  <c r="O798" i="36"/>
  <c r="P798" i="36"/>
  <c r="Q798" i="36" s="1"/>
  <c r="O799" i="36"/>
  <c r="P799" i="36"/>
  <c r="Q799" i="36" s="1"/>
  <c r="O800" i="36"/>
  <c r="P800" i="36"/>
  <c r="Q800" i="36" s="1"/>
  <c r="O801" i="36"/>
  <c r="P801" i="36"/>
  <c r="Q801" i="36" s="1"/>
  <c r="O802" i="36"/>
  <c r="P802" i="36"/>
  <c r="Q802" i="36" s="1"/>
  <c r="O803" i="36"/>
  <c r="P803" i="36"/>
  <c r="Q803" i="36" s="1"/>
  <c r="O804" i="36"/>
  <c r="P804" i="36"/>
  <c r="Q804" i="36" s="1"/>
  <c r="O805" i="36"/>
  <c r="P805" i="36"/>
  <c r="Q805" i="36" s="1"/>
  <c r="O806" i="36"/>
  <c r="P806" i="36"/>
  <c r="Q806" i="36" s="1"/>
  <c r="O807" i="36"/>
  <c r="P807" i="36"/>
  <c r="Q807" i="36" s="1"/>
  <c r="O808" i="36"/>
  <c r="P808" i="36"/>
  <c r="Q808" i="36" s="1"/>
  <c r="O809" i="36"/>
  <c r="P809" i="36"/>
  <c r="Q809" i="36" s="1"/>
  <c r="O810" i="36"/>
  <c r="P810" i="36"/>
  <c r="Q810" i="36" s="1"/>
  <c r="O811" i="36"/>
  <c r="P811" i="36"/>
  <c r="Q811" i="36" s="1"/>
  <c r="O812" i="36"/>
  <c r="P812" i="36"/>
  <c r="Q812" i="36" s="1"/>
  <c r="O813" i="36"/>
  <c r="P813" i="36"/>
  <c r="Q813" i="36" s="1"/>
  <c r="O814" i="36"/>
  <c r="P814" i="36"/>
  <c r="Q814" i="36" s="1"/>
  <c r="O815" i="36"/>
  <c r="P815" i="36"/>
  <c r="Q815" i="36" s="1"/>
  <c r="O816" i="36"/>
  <c r="P816" i="36"/>
  <c r="Q816" i="36" s="1"/>
  <c r="O817" i="36"/>
  <c r="P817" i="36"/>
  <c r="Q817" i="36" s="1"/>
  <c r="O818" i="36"/>
  <c r="P818" i="36"/>
  <c r="Q818" i="36" s="1"/>
  <c r="O819" i="36"/>
  <c r="P819" i="36"/>
  <c r="Q819" i="36" s="1"/>
  <c r="O820" i="36"/>
  <c r="P820" i="36"/>
  <c r="Q820" i="36" s="1"/>
  <c r="O821" i="36"/>
  <c r="P821" i="36"/>
  <c r="Q821" i="36" s="1"/>
  <c r="O822" i="36"/>
  <c r="P822" i="36"/>
  <c r="Q822" i="36" s="1"/>
  <c r="O823" i="36"/>
  <c r="P823" i="36"/>
  <c r="Q823" i="36" s="1"/>
  <c r="O824" i="36"/>
  <c r="P824" i="36"/>
  <c r="Q824" i="36" s="1"/>
  <c r="O825" i="36"/>
  <c r="P825" i="36"/>
  <c r="Q825" i="36" s="1"/>
  <c r="O826" i="36"/>
  <c r="P826" i="36"/>
  <c r="Q826" i="36" s="1"/>
  <c r="O827" i="36"/>
  <c r="P827" i="36"/>
  <c r="Q827" i="36" s="1"/>
  <c r="O828" i="36"/>
  <c r="P828" i="36"/>
  <c r="Q828" i="36" s="1"/>
  <c r="O829" i="36"/>
  <c r="P829" i="36"/>
  <c r="Q829" i="36" s="1"/>
  <c r="O830" i="36"/>
  <c r="P830" i="36"/>
  <c r="Q830" i="36" s="1"/>
  <c r="O831" i="36"/>
  <c r="P831" i="36"/>
  <c r="Q831" i="36" s="1"/>
  <c r="O832" i="36"/>
  <c r="P832" i="36"/>
  <c r="Q832" i="36" s="1"/>
  <c r="O833" i="36"/>
  <c r="P833" i="36"/>
  <c r="Q833" i="36" s="1"/>
  <c r="O834" i="36"/>
  <c r="P834" i="36"/>
  <c r="Q834" i="36" s="1"/>
  <c r="O835" i="36"/>
  <c r="P835" i="36"/>
  <c r="Q835" i="36" s="1"/>
  <c r="O836" i="36"/>
  <c r="P836" i="36"/>
  <c r="Q836" i="36" s="1"/>
  <c r="O837" i="36"/>
  <c r="P837" i="36"/>
  <c r="Q837" i="36" s="1"/>
  <c r="O838" i="36"/>
  <c r="P838" i="36"/>
  <c r="Q838" i="36" s="1"/>
  <c r="O839" i="36"/>
  <c r="P839" i="36"/>
  <c r="Q839" i="36" s="1"/>
  <c r="O840" i="36"/>
  <c r="P840" i="36"/>
  <c r="Q840" i="36" s="1"/>
  <c r="O841" i="36"/>
  <c r="P841" i="36"/>
  <c r="Q841" i="36" s="1"/>
  <c r="O842" i="36"/>
  <c r="P842" i="36"/>
  <c r="Q842" i="36" s="1"/>
  <c r="O843" i="36"/>
  <c r="P843" i="36"/>
  <c r="Q843" i="36" s="1"/>
  <c r="O844" i="36"/>
  <c r="P844" i="36"/>
  <c r="Q844" i="36" s="1"/>
  <c r="O845" i="36"/>
  <c r="P845" i="36"/>
  <c r="Q845" i="36" s="1"/>
  <c r="O846" i="36"/>
  <c r="P846" i="36"/>
  <c r="Q846" i="36" s="1"/>
  <c r="O847" i="36"/>
  <c r="P847" i="36"/>
  <c r="Q847" i="36" s="1"/>
  <c r="O848" i="36"/>
  <c r="P848" i="36"/>
  <c r="Q848" i="36" s="1"/>
  <c r="O849" i="36"/>
  <c r="P849" i="36"/>
  <c r="Q849" i="36" s="1"/>
  <c r="O850" i="36"/>
  <c r="P850" i="36"/>
  <c r="Q850" i="36" s="1"/>
  <c r="O851" i="36"/>
  <c r="P851" i="36"/>
  <c r="Q851" i="36" s="1"/>
  <c r="O852" i="36"/>
  <c r="P852" i="36"/>
  <c r="Q852" i="36" s="1"/>
  <c r="O853" i="36"/>
  <c r="P853" i="36"/>
  <c r="Q853" i="36" s="1"/>
  <c r="O854" i="36"/>
  <c r="P854" i="36"/>
  <c r="Q854" i="36" s="1"/>
  <c r="O855" i="36"/>
  <c r="P855" i="36"/>
  <c r="Q855" i="36" s="1"/>
  <c r="O856" i="36"/>
  <c r="P856" i="36"/>
  <c r="Q856" i="36" s="1"/>
  <c r="O857" i="36"/>
  <c r="P857" i="36"/>
  <c r="Q857" i="36" s="1"/>
  <c r="O858" i="36"/>
  <c r="P858" i="36"/>
  <c r="Q858" i="36" s="1"/>
  <c r="O859" i="36"/>
  <c r="P859" i="36"/>
  <c r="Q859" i="36" s="1"/>
  <c r="O860" i="36"/>
  <c r="P860" i="36"/>
  <c r="Q860" i="36" s="1"/>
  <c r="O861" i="36"/>
  <c r="P861" i="36"/>
  <c r="Q861" i="36" s="1"/>
  <c r="O862" i="36"/>
  <c r="P862" i="36"/>
  <c r="Q862" i="36"/>
  <c r="O863" i="36"/>
  <c r="P863" i="36"/>
  <c r="Q863" i="36" s="1"/>
  <c r="O864" i="36"/>
  <c r="P864" i="36"/>
  <c r="Q864" i="36" s="1"/>
  <c r="O865" i="36"/>
  <c r="P865" i="36"/>
  <c r="Q865" i="36" s="1"/>
  <c r="O866" i="36"/>
  <c r="P866" i="36"/>
  <c r="Q866" i="36" s="1"/>
  <c r="O867" i="36"/>
  <c r="P867" i="36"/>
  <c r="Q867" i="36" s="1"/>
  <c r="O868" i="36"/>
  <c r="P868" i="36"/>
  <c r="Q868" i="36" s="1"/>
  <c r="O869" i="36"/>
  <c r="P869" i="36"/>
  <c r="Q869" i="36" s="1"/>
  <c r="O870" i="36"/>
  <c r="P870" i="36"/>
  <c r="Q870" i="36" s="1"/>
  <c r="O871" i="36"/>
  <c r="P871" i="36"/>
  <c r="Q871" i="36" s="1"/>
  <c r="O872" i="36"/>
  <c r="P872" i="36"/>
  <c r="Q872" i="36" s="1"/>
  <c r="O873" i="36"/>
  <c r="P873" i="36"/>
  <c r="Q873" i="36" s="1"/>
  <c r="O874" i="36"/>
  <c r="P874" i="36"/>
  <c r="Q874" i="36" s="1"/>
  <c r="O875" i="36"/>
  <c r="P875" i="36"/>
  <c r="Q875" i="36" s="1"/>
  <c r="O876" i="36"/>
  <c r="P876" i="36"/>
  <c r="Q876" i="36" s="1"/>
  <c r="O877" i="36"/>
  <c r="P877" i="36"/>
  <c r="Q877" i="36" s="1"/>
  <c r="O878" i="36"/>
  <c r="P878" i="36"/>
  <c r="Q878" i="36" s="1"/>
  <c r="O879" i="36"/>
  <c r="P879" i="36"/>
  <c r="Q879" i="36" s="1"/>
  <c r="O880" i="36"/>
  <c r="P880" i="36"/>
  <c r="Q880" i="36" s="1"/>
  <c r="O881" i="36"/>
  <c r="P881" i="36"/>
  <c r="Q881" i="36" s="1"/>
  <c r="O882" i="36"/>
  <c r="P882" i="36"/>
  <c r="Q882" i="36" s="1"/>
  <c r="O883" i="36"/>
  <c r="P883" i="36"/>
  <c r="Q883" i="36" s="1"/>
  <c r="O884" i="36"/>
  <c r="P884" i="36"/>
  <c r="Q884" i="36" s="1"/>
  <c r="O885" i="36"/>
  <c r="P885" i="36"/>
  <c r="Q885" i="36" s="1"/>
  <c r="O886" i="36"/>
  <c r="P886" i="36"/>
  <c r="Q886" i="36" s="1"/>
  <c r="O887" i="36"/>
  <c r="P887" i="36"/>
  <c r="Q887" i="36" s="1"/>
  <c r="O888" i="36"/>
  <c r="P888" i="36"/>
  <c r="Q888" i="36" s="1"/>
  <c r="O889" i="36"/>
  <c r="P889" i="36"/>
  <c r="Q889" i="36" s="1"/>
  <c r="O890" i="36"/>
  <c r="P890" i="36"/>
  <c r="Q890" i="36" s="1"/>
  <c r="O891" i="36"/>
  <c r="P891" i="36"/>
  <c r="Q891" i="36" s="1"/>
  <c r="O892" i="36"/>
  <c r="P892" i="36"/>
  <c r="Q892" i="36" s="1"/>
  <c r="O893" i="36"/>
  <c r="P893" i="36"/>
  <c r="Q893" i="36" s="1"/>
  <c r="O894" i="36"/>
  <c r="P894" i="36"/>
  <c r="Q894" i="36" s="1"/>
  <c r="O895" i="36"/>
  <c r="P895" i="36"/>
  <c r="Q895" i="36" s="1"/>
  <c r="O896" i="36"/>
  <c r="P896" i="36"/>
  <c r="Q896" i="36" s="1"/>
  <c r="O897" i="36"/>
  <c r="P897" i="36"/>
  <c r="Q897" i="36" s="1"/>
  <c r="O898" i="36"/>
  <c r="P898" i="36"/>
  <c r="Q898" i="36" s="1"/>
  <c r="O899" i="36"/>
  <c r="P899" i="36"/>
  <c r="Q899" i="36" s="1"/>
  <c r="O900" i="36"/>
  <c r="P900" i="36"/>
  <c r="Q900" i="36" s="1"/>
  <c r="O901" i="36"/>
  <c r="P901" i="36"/>
  <c r="Q901" i="36" s="1"/>
  <c r="O902" i="36"/>
  <c r="P902" i="36"/>
  <c r="Q902" i="36" s="1"/>
  <c r="O903" i="36"/>
  <c r="P903" i="36"/>
  <c r="Q903" i="36" s="1"/>
  <c r="O904" i="36"/>
  <c r="P904" i="36"/>
  <c r="Q904" i="36" s="1"/>
  <c r="O905" i="36"/>
  <c r="P905" i="36"/>
  <c r="Q905" i="36" s="1"/>
  <c r="O906" i="36"/>
  <c r="P906" i="36"/>
  <c r="Q906" i="36" s="1"/>
  <c r="O907" i="36"/>
  <c r="P907" i="36"/>
  <c r="Q907" i="36" s="1"/>
  <c r="O908" i="36"/>
  <c r="P908" i="36"/>
  <c r="Q908" i="36" s="1"/>
  <c r="O909" i="36"/>
  <c r="P909" i="36"/>
  <c r="Q909" i="36" s="1"/>
  <c r="O910" i="36"/>
  <c r="P910" i="36"/>
  <c r="Q910" i="36" s="1"/>
  <c r="O911" i="36"/>
  <c r="P911" i="36"/>
  <c r="Q911" i="36" s="1"/>
  <c r="O912" i="36"/>
  <c r="P912" i="36"/>
  <c r="Q912" i="36" s="1"/>
  <c r="O913" i="36"/>
  <c r="P913" i="36"/>
  <c r="Q913" i="36" s="1"/>
  <c r="O914" i="36"/>
  <c r="P914" i="36"/>
  <c r="Q914" i="36" s="1"/>
  <c r="O915" i="36"/>
  <c r="P915" i="36"/>
  <c r="Q915" i="36" s="1"/>
  <c r="O916" i="36"/>
  <c r="P916" i="36"/>
  <c r="Q916" i="36" s="1"/>
  <c r="O917" i="36"/>
  <c r="P917" i="36"/>
  <c r="Q917" i="36" s="1"/>
  <c r="O918" i="36"/>
  <c r="P918" i="36"/>
  <c r="Q918" i="36" s="1"/>
  <c r="O919" i="36"/>
  <c r="P919" i="36"/>
  <c r="Q919" i="36" s="1"/>
  <c r="O920" i="36"/>
  <c r="P920" i="36"/>
  <c r="Q920" i="36" s="1"/>
  <c r="O921" i="36"/>
  <c r="P921" i="36"/>
  <c r="Q921" i="36" s="1"/>
  <c r="O922" i="36"/>
  <c r="P922" i="36"/>
  <c r="Q922" i="36" s="1"/>
  <c r="O923" i="36"/>
  <c r="P923" i="36"/>
  <c r="Q923" i="36" s="1"/>
  <c r="O924" i="36"/>
  <c r="P924" i="36"/>
  <c r="Q924" i="36" s="1"/>
  <c r="O925" i="36"/>
  <c r="P925" i="36"/>
  <c r="Q925" i="36" s="1"/>
  <c r="O926" i="36"/>
  <c r="P926" i="36"/>
  <c r="Q926" i="36" s="1"/>
  <c r="O927" i="36"/>
  <c r="P927" i="36"/>
  <c r="Q927" i="36" s="1"/>
  <c r="O928" i="36"/>
  <c r="P928" i="36"/>
  <c r="Q928" i="36" s="1"/>
  <c r="O929" i="36"/>
  <c r="P929" i="36"/>
  <c r="Q929" i="36" s="1"/>
  <c r="O930" i="36"/>
  <c r="P930" i="36"/>
  <c r="Q930" i="36" s="1"/>
  <c r="O931" i="36"/>
  <c r="P931" i="36"/>
  <c r="Q931" i="36" s="1"/>
  <c r="O932" i="36"/>
  <c r="P932" i="36"/>
  <c r="Q932" i="36" s="1"/>
  <c r="O933" i="36"/>
  <c r="P933" i="36"/>
  <c r="Q933" i="36" s="1"/>
  <c r="O934" i="36"/>
  <c r="P934" i="36"/>
  <c r="Q934" i="36" s="1"/>
  <c r="O935" i="36"/>
  <c r="P935" i="36"/>
  <c r="Q935" i="36" s="1"/>
  <c r="O936" i="36"/>
  <c r="P936" i="36"/>
  <c r="Q936" i="36" s="1"/>
  <c r="O937" i="36"/>
  <c r="P937" i="36"/>
  <c r="Q937" i="36" s="1"/>
  <c r="O938" i="36"/>
  <c r="P938" i="36"/>
  <c r="Q938" i="36" s="1"/>
  <c r="O939" i="36"/>
  <c r="P939" i="36"/>
  <c r="Q939" i="36" s="1"/>
  <c r="O940" i="36"/>
  <c r="P940" i="36"/>
  <c r="Q940" i="36" s="1"/>
  <c r="O941" i="36"/>
  <c r="P941" i="36"/>
  <c r="Q941" i="36" s="1"/>
  <c r="O942" i="36"/>
  <c r="P942" i="36"/>
  <c r="Q942" i="36" s="1"/>
  <c r="O943" i="36"/>
  <c r="P943" i="36"/>
  <c r="Q943" i="36" s="1"/>
  <c r="O944" i="36"/>
  <c r="P944" i="36"/>
  <c r="Q944" i="36" s="1"/>
  <c r="O945" i="36"/>
  <c r="P945" i="36"/>
  <c r="Q945" i="36" s="1"/>
  <c r="O946" i="36"/>
  <c r="P946" i="36"/>
  <c r="Q946" i="36" s="1"/>
  <c r="O947" i="36"/>
  <c r="P947" i="36"/>
  <c r="Q947" i="36" s="1"/>
  <c r="O948" i="36"/>
  <c r="P948" i="36"/>
  <c r="Q948" i="36" s="1"/>
  <c r="O949" i="36"/>
  <c r="P949" i="36"/>
  <c r="Q949" i="36" s="1"/>
  <c r="O950" i="36"/>
  <c r="P950" i="36"/>
  <c r="Q950" i="36" s="1"/>
  <c r="O951" i="36"/>
  <c r="P951" i="36"/>
  <c r="Q951" i="36" s="1"/>
  <c r="O952" i="36"/>
  <c r="P952" i="36"/>
  <c r="Q952" i="36" s="1"/>
  <c r="O953" i="36"/>
  <c r="P953" i="36"/>
  <c r="Q953" i="36" s="1"/>
  <c r="O954" i="36"/>
  <c r="P954" i="36"/>
  <c r="Q954" i="36" s="1"/>
  <c r="O955" i="36"/>
  <c r="P955" i="36"/>
  <c r="Q955" i="36" s="1"/>
  <c r="O956" i="36"/>
  <c r="P956" i="36"/>
  <c r="Q956" i="36" s="1"/>
  <c r="O957" i="36"/>
  <c r="P957" i="36"/>
  <c r="Q957" i="36" s="1"/>
  <c r="O958" i="36"/>
  <c r="P958" i="36"/>
  <c r="Q958" i="36" s="1"/>
  <c r="O959" i="36"/>
  <c r="P959" i="36"/>
  <c r="Q959" i="36" s="1"/>
  <c r="O960" i="36"/>
  <c r="P960" i="36"/>
  <c r="Q960" i="36" s="1"/>
  <c r="O961" i="36"/>
  <c r="P961" i="36"/>
  <c r="Q961" i="36" s="1"/>
  <c r="O962" i="36"/>
  <c r="P962" i="36"/>
  <c r="Q962" i="36" s="1"/>
  <c r="O963" i="36"/>
  <c r="P963" i="36"/>
  <c r="Q963" i="36" s="1"/>
  <c r="O964" i="36"/>
  <c r="P964" i="36"/>
  <c r="Q964" i="36" s="1"/>
  <c r="O965" i="36"/>
  <c r="P965" i="36"/>
  <c r="Q965" i="36" s="1"/>
  <c r="O966" i="36"/>
  <c r="P966" i="36"/>
  <c r="Q966" i="36" s="1"/>
  <c r="O967" i="36"/>
  <c r="P967" i="36"/>
  <c r="Q967" i="36" s="1"/>
  <c r="O968" i="36"/>
  <c r="P968" i="36"/>
  <c r="Q968" i="36" s="1"/>
  <c r="O969" i="36"/>
  <c r="P969" i="36"/>
  <c r="Q969" i="36" s="1"/>
  <c r="O970" i="36"/>
  <c r="P970" i="36"/>
  <c r="Q970" i="36" s="1"/>
  <c r="O971" i="36"/>
  <c r="P971" i="36"/>
  <c r="Q971" i="36" s="1"/>
  <c r="O972" i="36"/>
  <c r="P972" i="36"/>
  <c r="Q972" i="36" s="1"/>
  <c r="O973" i="36"/>
  <c r="P973" i="36"/>
  <c r="Q973" i="36" s="1"/>
  <c r="O974" i="36"/>
  <c r="P974" i="36"/>
  <c r="Q974" i="36" s="1"/>
  <c r="O975" i="36"/>
  <c r="P975" i="36"/>
  <c r="Q975" i="36" s="1"/>
  <c r="O976" i="36"/>
  <c r="P976" i="36"/>
  <c r="Q976" i="36" s="1"/>
  <c r="O977" i="36"/>
  <c r="P977" i="36"/>
  <c r="Q977" i="36" s="1"/>
  <c r="O978" i="36"/>
  <c r="P978" i="36"/>
  <c r="Q978" i="36" s="1"/>
  <c r="O979" i="36"/>
  <c r="P979" i="36"/>
  <c r="Q979" i="36" s="1"/>
  <c r="O980" i="36"/>
  <c r="P980" i="36"/>
  <c r="Q980" i="36" s="1"/>
  <c r="O981" i="36"/>
  <c r="P981" i="36"/>
  <c r="Q981" i="36" s="1"/>
  <c r="O982" i="36"/>
  <c r="P982" i="36"/>
  <c r="Q982" i="36" s="1"/>
  <c r="O983" i="36"/>
  <c r="P983" i="36"/>
  <c r="Q983" i="36" s="1"/>
  <c r="O984" i="36"/>
  <c r="P984" i="36"/>
  <c r="Q984" i="36" s="1"/>
  <c r="O985" i="36"/>
  <c r="P985" i="36"/>
  <c r="Q985" i="36" s="1"/>
  <c r="O986" i="36"/>
  <c r="P986" i="36"/>
  <c r="Q986" i="36" s="1"/>
  <c r="O987" i="36"/>
  <c r="P987" i="36"/>
  <c r="Q987" i="36" s="1"/>
  <c r="O988" i="36"/>
  <c r="P988" i="36"/>
  <c r="Q988" i="36" s="1"/>
  <c r="O989" i="36"/>
  <c r="P989" i="36"/>
  <c r="Q989" i="36" s="1"/>
  <c r="O990" i="36"/>
  <c r="P990" i="36"/>
  <c r="Q990" i="36" s="1"/>
  <c r="O991" i="36"/>
  <c r="P991" i="36"/>
  <c r="Q991" i="36" s="1"/>
  <c r="O992" i="36"/>
  <c r="P992" i="36"/>
  <c r="Q992" i="36" s="1"/>
  <c r="O993" i="36"/>
  <c r="P993" i="36"/>
  <c r="Q993" i="36" s="1"/>
  <c r="O994" i="36"/>
  <c r="P994" i="36"/>
  <c r="Q994" i="36" s="1"/>
  <c r="O995" i="36"/>
  <c r="P995" i="36"/>
  <c r="Q995" i="36" s="1"/>
  <c r="O996" i="36"/>
  <c r="P996" i="36"/>
  <c r="Q996" i="36" s="1"/>
  <c r="O997" i="36"/>
  <c r="P997" i="36"/>
  <c r="Q997" i="36" s="1"/>
  <c r="O998" i="36"/>
  <c r="P998" i="36"/>
  <c r="Q998" i="36" s="1"/>
  <c r="O999" i="36"/>
  <c r="P999" i="36"/>
  <c r="Q999" i="36" s="1"/>
  <c r="O1000" i="36"/>
  <c r="P1000" i="36"/>
  <c r="Q1000" i="36" s="1"/>
  <c r="O1001" i="36"/>
  <c r="P1001" i="36"/>
  <c r="Q1001" i="36" s="1"/>
  <c r="O1002" i="36"/>
  <c r="P1002" i="36"/>
  <c r="Q1002" i="36" s="1"/>
  <c r="O1003" i="36"/>
  <c r="P1003" i="36"/>
  <c r="Q1003" i="36" s="1"/>
  <c r="O1004" i="36"/>
  <c r="P1004" i="36"/>
  <c r="Q1004" i="36" s="1"/>
  <c r="O1005" i="36"/>
  <c r="P1005" i="36"/>
  <c r="Q1005" i="36" s="1"/>
  <c r="O1006" i="36"/>
  <c r="P1006" i="36"/>
  <c r="Q1006" i="36" s="1"/>
  <c r="O1007" i="36"/>
  <c r="P1007" i="36"/>
  <c r="Q1007" i="36" s="1"/>
  <c r="O1008" i="36"/>
  <c r="P1008" i="36"/>
  <c r="Q1008" i="36" s="1"/>
  <c r="O1009" i="36"/>
  <c r="P1009" i="36"/>
  <c r="Q1009" i="36" s="1"/>
  <c r="O1010" i="36"/>
  <c r="P1010" i="36"/>
  <c r="Q1010" i="36" s="1"/>
  <c r="O1011" i="36"/>
  <c r="P1011" i="36"/>
  <c r="Q1011" i="36" s="1"/>
  <c r="O1012" i="36"/>
  <c r="P1012" i="36"/>
  <c r="Q1012" i="36" s="1"/>
  <c r="O1013" i="36"/>
  <c r="P1013" i="36"/>
  <c r="Q1013" i="36" s="1"/>
  <c r="O1014" i="36"/>
  <c r="P1014" i="36"/>
  <c r="Q1014" i="36" s="1"/>
  <c r="O1015" i="36"/>
  <c r="P1015" i="36"/>
  <c r="Q1015" i="36" s="1"/>
  <c r="O1016" i="36"/>
  <c r="P1016" i="36"/>
  <c r="Q1016" i="36" s="1"/>
  <c r="O1017" i="36"/>
  <c r="P1017" i="36"/>
  <c r="Q1017" i="36" s="1"/>
  <c r="O1018" i="36"/>
  <c r="P1018" i="36"/>
  <c r="Q1018" i="36" s="1"/>
  <c r="O1019" i="36"/>
  <c r="P1019" i="36"/>
  <c r="Q1019" i="36" s="1"/>
  <c r="O1020" i="36"/>
  <c r="P1020" i="36"/>
  <c r="Q1020" i="36" s="1"/>
  <c r="O1021" i="36"/>
  <c r="P1021" i="36"/>
  <c r="Q1021" i="36" s="1"/>
  <c r="O1022" i="36"/>
  <c r="P1022" i="36"/>
  <c r="Q1022" i="36"/>
  <c r="O1023" i="36"/>
  <c r="P1023" i="36"/>
  <c r="Q1023" i="36" s="1"/>
  <c r="O1024" i="36"/>
  <c r="P1024" i="36"/>
  <c r="Q1024" i="36" s="1"/>
  <c r="O1025" i="36"/>
  <c r="P1025" i="36"/>
  <c r="Q1025" i="36" s="1"/>
  <c r="O1026" i="36"/>
  <c r="P1026" i="36"/>
  <c r="Q1026" i="36" s="1"/>
  <c r="O1027" i="36"/>
  <c r="P1027" i="36"/>
  <c r="Q1027" i="36" s="1"/>
  <c r="O1028" i="36"/>
  <c r="P1028" i="36"/>
  <c r="Q1028" i="36" s="1"/>
  <c r="O1029" i="36"/>
  <c r="P1029" i="36"/>
  <c r="Q1029" i="36" s="1"/>
  <c r="O1030" i="36"/>
  <c r="P1030" i="36"/>
  <c r="Q1030" i="36" s="1"/>
  <c r="O1031" i="36"/>
  <c r="P1031" i="36"/>
  <c r="Q1031" i="36" s="1"/>
  <c r="O1032" i="36"/>
  <c r="P1032" i="36"/>
  <c r="Q1032" i="36" s="1"/>
  <c r="O1033" i="36"/>
  <c r="P1033" i="36"/>
  <c r="Q1033" i="36" s="1"/>
  <c r="O1034" i="36"/>
  <c r="P1034" i="36"/>
  <c r="Q1034" i="36" s="1"/>
  <c r="O1035" i="36"/>
  <c r="P1035" i="36"/>
  <c r="Q1035" i="36" s="1"/>
  <c r="O1036" i="36"/>
  <c r="P1036" i="36"/>
  <c r="Q1036" i="36" s="1"/>
  <c r="O1037" i="36"/>
  <c r="P1037" i="36"/>
  <c r="Q1037" i="36" s="1"/>
  <c r="O1038" i="36"/>
  <c r="P1038" i="36"/>
  <c r="Q1038" i="36" s="1"/>
  <c r="O1039" i="36"/>
  <c r="P1039" i="36"/>
  <c r="Q1039" i="36" s="1"/>
  <c r="O1040" i="36"/>
  <c r="P1040" i="36"/>
  <c r="Q1040" i="36" s="1"/>
  <c r="O1041" i="36"/>
  <c r="P1041" i="36"/>
  <c r="Q1041" i="36" s="1"/>
  <c r="O1042" i="36"/>
  <c r="P1042" i="36"/>
  <c r="Q1042" i="36" s="1"/>
  <c r="O1043" i="36"/>
  <c r="P1043" i="36"/>
  <c r="Q1043" i="36" s="1"/>
  <c r="O1044" i="36"/>
  <c r="P1044" i="36"/>
  <c r="Q1044" i="36" s="1"/>
  <c r="O1045" i="36"/>
  <c r="P1045" i="36"/>
  <c r="Q1045" i="36" s="1"/>
  <c r="O1046" i="36"/>
  <c r="P1046" i="36"/>
  <c r="Q1046" i="36" s="1"/>
  <c r="O1047" i="36"/>
  <c r="P1047" i="36"/>
  <c r="Q1047" i="36" s="1"/>
  <c r="O1048" i="36"/>
  <c r="P1048" i="36"/>
  <c r="Q1048" i="36" s="1"/>
  <c r="O1049" i="36"/>
  <c r="P1049" i="36"/>
  <c r="Q1049" i="36" s="1"/>
  <c r="O1050" i="36"/>
  <c r="P1050" i="36"/>
  <c r="Q1050" i="36" s="1"/>
  <c r="O1051" i="36"/>
  <c r="P1051" i="36"/>
  <c r="Q1051" i="36" s="1"/>
  <c r="O1052" i="36"/>
  <c r="P1052" i="36"/>
  <c r="Q1052" i="36" s="1"/>
  <c r="O1053" i="36"/>
  <c r="P1053" i="36"/>
  <c r="Q1053" i="36" s="1"/>
  <c r="O1054" i="36"/>
  <c r="P1054" i="36"/>
  <c r="Q1054" i="36" s="1"/>
  <c r="O1055" i="36"/>
  <c r="P1055" i="36"/>
  <c r="Q1055" i="36" s="1"/>
  <c r="O1056" i="36"/>
  <c r="P1056" i="36"/>
  <c r="Q1056" i="36" s="1"/>
  <c r="O1057" i="36"/>
  <c r="P1057" i="36"/>
  <c r="Q1057" i="36" s="1"/>
  <c r="O1058" i="36"/>
  <c r="P1058" i="36"/>
  <c r="Q1058" i="36" s="1"/>
  <c r="O1059" i="36"/>
  <c r="P1059" i="36"/>
  <c r="Q1059" i="36" s="1"/>
  <c r="P1060" i="36"/>
  <c r="Q1060" i="36"/>
  <c r="P1061" i="36"/>
  <c r="Q1061" i="36"/>
  <c r="P1062" i="36"/>
  <c r="Q1062" i="36" s="1"/>
  <c r="B1063" i="36"/>
  <c r="P1063" i="36"/>
  <c r="Q1063" i="36"/>
  <c r="O1064" i="36"/>
  <c r="P1064" i="36"/>
  <c r="Q1064" i="36" s="1"/>
  <c r="O1065" i="36"/>
  <c r="P1065" i="36"/>
  <c r="Q1065" i="36"/>
  <c r="P1066" i="36"/>
  <c r="Q1066" i="36"/>
  <c r="P1067" i="36"/>
  <c r="Q1067" i="36" s="1"/>
  <c r="B1068" i="36"/>
  <c r="P1068" i="36"/>
  <c r="Q1068" i="36"/>
  <c r="B1069" i="36"/>
  <c r="P1069" i="36"/>
  <c r="Q1069" i="36"/>
  <c r="B1070" i="36"/>
  <c r="P1070" i="36"/>
  <c r="Q1070" i="36"/>
  <c r="B1071" i="36"/>
  <c r="P1071" i="36"/>
  <c r="Q1071" i="36" s="1"/>
  <c r="P1072" i="36"/>
  <c r="Q1072" i="36"/>
  <c r="P1073" i="36"/>
  <c r="Q1073" i="36"/>
  <c r="P1074" i="36"/>
  <c r="Q1074" i="36"/>
  <c r="P1075" i="36"/>
  <c r="Q1075" i="36"/>
  <c r="X165" i="36" l="1"/>
  <c r="O1076" i="36"/>
  <c r="C108" i="35"/>
  <c r="D14" i="18" l="1"/>
  <c r="F14" i="18" s="1"/>
  <c r="I19" i="1" l="1"/>
  <c r="I80" i="1" l="1"/>
  <c r="C5" i="18" l="1"/>
  <c r="C6" i="18"/>
  <c r="C7" i="18"/>
  <c r="C9" i="18"/>
  <c r="C10" i="18"/>
  <c r="C11" i="18"/>
  <c r="C12" i="18"/>
  <c r="C13" i="18"/>
  <c r="C14" i="18"/>
  <c r="C15" i="18"/>
  <c r="C16" i="18"/>
  <c r="C17" i="18"/>
  <c r="D343" i="39" l="1"/>
  <c r="D351" i="19"/>
  <c r="D350" i="19"/>
  <c r="C9" i="9" l="1"/>
  <c r="D19" i="18" l="1"/>
  <c r="F19" i="18" s="1"/>
  <c r="D20" i="33" l="1"/>
  <c r="D21" i="33" l="1"/>
  <c r="D29" i="33" s="1"/>
  <c r="H50" i="37"/>
  <c r="B16" i="11" s="1"/>
  <c r="I50" i="37"/>
  <c r="I44" i="37"/>
  <c r="I42" i="37"/>
  <c r="I41" i="37"/>
  <c r="H34" i="37"/>
  <c r="I32" i="37"/>
  <c r="B9" i="11" s="1"/>
  <c r="H30" i="37"/>
  <c r="H29" i="37"/>
  <c r="B12" i="11" s="1"/>
  <c r="H19" i="37"/>
  <c r="H17" i="37"/>
  <c r="H16" i="37"/>
  <c r="J8" i="37"/>
  <c r="B21" i="11" s="1"/>
  <c r="C48" i="37"/>
  <c r="E43" i="37"/>
  <c r="C42" i="37"/>
  <c r="C35" i="37"/>
  <c r="C34" i="37"/>
  <c r="C32" i="37"/>
  <c r="B35" i="11" s="1"/>
  <c r="C29" i="37"/>
  <c r="B32" i="11" s="1"/>
  <c r="C22" i="37"/>
  <c r="B14" i="11" l="1"/>
  <c r="I9" i="1"/>
  <c r="C30" i="37" l="1"/>
  <c r="C28" i="37"/>
  <c r="C24" i="37"/>
  <c r="C23" i="37"/>
  <c r="C21" i="37"/>
  <c r="C20" i="37"/>
  <c r="C19" i="37"/>
  <c r="C18" i="37"/>
  <c r="C17" i="37"/>
  <c r="C16" i="37"/>
  <c r="C9" i="37"/>
  <c r="C7" i="37"/>
  <c r="H51" i="37"/>
  <c r="J49" i="37"/>
  <c r="J48" i="37"/>
  <c r="H45" i="37"/>
  <c r="D43" i="37"/>
  <c r="J40" i="37"/>
  <c r="I33" i="37"/>
  <c r="I31" i="37"/>
  <c r="I22" i="37"/>
  <c r="I20" i="37"/>
  <c r="H13" i="37"/>
  <c r="I12" i="37"/>
  <c r="I10" i="37"/>
  <c r="I8" i="37"/>
  <c r="D8" i="37"/>
  <c r="E38" i="10"/>
  <c r="C13" i="37" l="1"/>
  <c r="H25" i="37"/>
  <c r="C25" i="37"/>
  <c r="I18" i="1" l="1"/>
  <c r="D31" i="18"/>
  <c r="F10" i="33"/>
  <c r="D10" i="33" s="1"/>
  <c r="C13" i="33"/>
  <c r="C12" i="33"/>
  <c r="C11" i="33"/>
  <c r="C10" i="33"/>
  <c r="C9" i="33"/>
  <c r="C8" i="33"/>
  <c r="C7" i="33"/>
  <c r="C5" i="33"/>
  <c r="C4" i="33"/>
  <c r="E31" i="18"/>
  <c r="C4" i="18"/>
  <c r="I40" i="1" l="1"/>
  <c r="G40" i="1"/>
  <c r="J28" i="37" s="1"/>
  <c r="D9" i="18"/>
  <c r="F9" i="18" s="1"/>
  <c r="F4" i="33"/>
  <c r="D4" i="33" s="1"/>
  <c r="I10" i="1"/>
  <c r="E24" i="37"/>
  <c r="D24" i="37" s="1"/>
  <c r="E42" i="37"/>
  <c r="E41" i="37"/>
  <c r="E35" i="37"/>
  <c r="E34" i="37"/>
  <c r="E33" i="37"/>
  <c r="G25" i="1"/>
  <c r="J18" i="37" s="1"/>
  <c r="J17" i="37"/>
  <c r="G17" i="1"/>
  <c r="J16" i="37" s="1"/>
  <c r="E20" i="37"/>
  <c r="D20" i="37" s="1"/>
  <c r="E11" i="37"/>
  <c r="E10" i="37"/>
  <c r="I57" i="1"/>
  <c r="I94" i="1"/>
  <c r="I49" i="1"/>
  <c r="I118" i="1"/>
  <c r="D15" i="18"/>
  <c r="F15" i="18" s="1"/>
  <c r="I126" i="1"/>
  <c r="I122" i="1"/>
  <c r="I91" i="1"/>
  <c r="I69" i="1"/>
  <c r="I67" i="1"/>
  <c r="I55" i="1"/>
  <c r="I44" i="1"/>
  <c r="E28" i="37" l="1"/>
  <c r="D28" i="37" s="1"/>
  <c r="D10" i="37"/>
  <c r="B41" i="11"/>
  <c r="D11" i="37"/>
  <c r="B39" i="11"/>
  <c r="D33" i="37"/>
  <c r="I28" i="37"/>
  <c r="E9" i="37"/>
  <c r="D9" i="37" s="1"/>
  <c r="E16" i="37"/>
  <c r="D16" i="37" s="1"/>
  <c r="E19" i="37"/>
  <c r="D19" i="37" s="1"/>
  <c r="E22" i="37"/>
  <c r="D22" i="37" s="1"/>
  <c r="C51" i="37"/>
  <c r="E23" i="37"/>
  <c r="D23" i="37" s="1"/>
  <c r="E7" i="37"/>
  <c r="E18" i="37"/>
  <c r="D18" i="37" s="1"/>
  <c r="E21" i="37"/>
  <c r="D21" i="37" s="1"/>
  <c r="H99" i="1"/>
  <c r="H47" i="1"/>
  <c r="H250" i="1"/>
  <c r="H50" i="1"/>
  <c r="H169" i="1"/>
  <c r="H43" i="1"/>
  <c r="H123" i="1"/>
  <c r="H244" i="1"/>
  <c r="H65" i="1"/>
  <c r="H63" i="1"/>
  <c r="H27" i="1"/>
  <c r="H52" i="1"/>
  <c r="H11" i="1"/>
  <c r="H139" i="1"/>
  <c r="H71" i="1"/>
  <c r="H246" i="1"/>
  <c r="H48" i="1"/>
  <c r="H53" i="1"/>
  <c r="H223" i="1"/>
  <c r="H208" i="1"/>
  <c r="H67" i="1"/>
  <c r="H148" i="1"/>
  <c r="H193" i="1"/>
  <c r="H159" i="1"/>
  <c r="H178" i="1"/>
  <c r="H37" i="1"/>
  <c r="H203" i="1"/>
  <c r="C21" i="7"/>
  <c r="H3" i="1"/>
  <c r="H41" i="1"/>
  <c r="H113" i="1"/>
  <c r="H116" i="1" l="1"/>
  <c r="H92" i="1"/>
  <c r="H56" i="1"/>
  <c r="H57" i="1"/>
  <c r="H60" i="1"/>
  <c r="C45" i="37"/>
  <c r="B28" i="11" s="1"/>
  <c r="B4" i="12" s="1"/>
  <c r="H58" i="1"/>
  <c r="H73" i="1"/>
  <c r="H64" i="1"/>
  <c r="H196" i="1"/>
  <c r="H115" i="1"/>
  <c r="H66" i="1"/>
  <c r="H168" i="1"/>
  <c r="H255" i="1"/>
  <c r="H215" i="1"/>
  <c r="H214" i="1"/>
  <c r="H202" i="1"/>
  <c r="H122" i="1"/>
  <c r="H216" i="1"/>
  <c r="H211" i="1"/>
  <c r="H70" i="1"/>
  <c r="H195" i="1"/>
  <c r="H59" i="1"/>
  <c r="H210" i="1"/>
  <c r="H140" i="1"/>
  <c r="C7" i="7"/>
  <c r="D7" i="37"/>
  <c r="E13" i="37"/>
  <c r="C32" i="7"/>
  <c r="H194" i="1"/>
  <c r="H190" i="1"/>
  <c r="H133" i="1"/>
  <c r="H15" i="1"/>
  <c r="H186" i="1"/>
  <c r="H62" i="1"/>
  <c r="H121" i="1"/>
  <c r="H165" i="1"/>
  <c r="H125" i="1"/>
  <c r="H5" i="1"/>
  <c r="H13" i="1"/>
  <c r="H188" i="1"/>
  <c r="H182" i="1"/>
  <c r="H32" i="1"/>
  <c r="H173" i="1"/>
  <c r="H201" i="1"/>
  <c r="H69" i="1"/>
  <c r="H217" i="1"/>
  <c r="H209" i="1"/>
  <c r="H199" i="1"/>
  <c r="H258" i="1"/>
  <c r="H72" i="1"/>
  <c r="H109" i="1"/>
  <c r="H240" i="1"/>
  <c r="H142" i="1"/>
  <c r="H161" i="1"/>
  <c r="H198" i="1"/>
  <c r="H180" i="1"/>
  <c r="H248" i="1"/>
  <c r="H207" i="1"/>
  <c r="H101" i="1"/>
  <c r="H107" i="1"/>
  <c r="H97" i="1"/>
  <c r="H24" i="1"/>
  <c r="H237" i="1"/>
  <c r="H31" i="1"/>
  <c r="H179" i="1"/>
  <c r="H135" i="1"/>
  <c r="H18" i="1"/>
  <c r="H158" i="1"/>
  <c r="H75" i="1"/>
  <c r="H54" i="1"/>
  <c r="H81" i="1"/>
  <c r="H124" i="1"/>
  <c r="H14" i="1"/>
  <c r="H105" i="1"/>
  <c r="H106" i="1"/>
  <c r="H147" i="1"/>
  <c r="H46" i="1"/>
  <c r="H35" i="1"/>
  <c r="H49" i="1"/>
  <c r="H213" i="1"/>
  <c r="H55" i="1"/>
  <c r="H238" i="1"/>
  <c r="H172" i="1"/>
  <c r="H234" i="1"/>
  <c r="H34" i="1"/>
  <c r="H91" i="1"/>
  <c r="H9" i="1"/>
  <c r="H89" i="1"/>
  <c r="H83" i="1"/>
  <c r="H45" i="1"/>
  <c r="H33" i="1"/>
  <c r="H134" i="1"/>
  <c r="H164" i="1"/>
  <c r="H23" i="1"/>
  <c r="H206" i="1"/>
  <c r="H19" i="1"/>
  <c r="H129" i="1"/>
  <c r="H98" i="1"/>
  <c r="H39" i="1"/>
  <c r="H192" i="1"/>
  <c r="H242" i="1"/>
  <c r="H235" i="1"/>
  <c r="H167" i="1"/>
  <c r="H231" i="1"/>
  <c r="H226" i="1"/>
  <c r="H82" i="1"/>
  <c r="H95" i="1"/>
  <c r="H87" i="1"/>
  <c r="H78" i="1"/>
  <c r="H26" i="1"/>
  <c r="H138" i="1"/>
  <c r="H174" i="1"/>
  <c r="H8" i="1"/>
  <c r="H114" i="1"/>
  <c r="H44" i="1"/>
  <c r="H253" i="1"/>
  <c r="H30" i="1"/>
  <c r="I31" i="1"/>
  <c r="H40" i="1" l="1"/>
  <c r="H252" i="1"/>
  <c r="H150" i="1"/>
  <c r="H185" i="1"/>
  <c r="H88" i="1"/>
  <c r="H96" i="1"/>
  <c r="H228" i="1"/>
  <c r="H262" i="1"/>
  <c r="H227" i="1"/>
  <c r="H184" i="1"/>
  <c r="H61" i="1"/>
  <c r="H20" i="1"/>
  <c r="H256" i="1"/>
  <c r="H197" i="1"/>
  <c r="H191" i="1"/>
  <c r="H153" i="1"/>
  <c r="H132" i="1"/>
  <c r="H79" i="1"/>
  <c r="H68" i="1"/>
  <c r="H120" i="1"/>
  <c r="H221" i="1"/>
  <c r="H219" i="1"/>
  <c r="H218" i="1"/>
  <c r="H149" i="1"/>
  <c r="H144" i="1"/>
  <c r="H143" i="1"/>
  <c r="H171" i="1"/>
  <c r="H170" i="1"/>
  <c r="H80" i="1"/>
  <c r="H103" i="1"/>
  <c r="H183" i="1"/>
  <c r="H160" i="1"/>
  <c r="H131" i="1"/>
  <c r="H204" i="1"/>
  <c r="H86" i="1"/>
  <c r="H152" i="1"/>
  <c r="H151" i="1"/>
  <c r="H130" i="1"/>
  <c r="H127" i="1"/>
  <c r="H163" i="1"/>
  <c r="H176" i="1"/>
  <c r="H175" i="1"/>
  <c r="H84" i="1"/>
  <c r="H4" i="1"/>
  <c r="H212" i="1"/>
  <c r="H205" i="1"/>
  <c r="H230" i="1"/>
  <c r="H222" i="1"/>
  <c r="H16" i="1"/>
  <c r="H90" i="1"/>
  <c r="H233" i="1"/>
  <c r="H146" i="1"/>
  <c r="H111" i="1"/>
  <c r="H145" i="1"/>
  <c r="H119" i="1"/>
  <c r="H187" i="1"/>
  <c r="H77" i="1"/>
  <c r="H126" i="1"/>
  <c r="H181" i="1"/>
  <c r="H189" i="1"/>
  <c r="H162" i="1"/>
  <c r="H220" i="1"/>
  <c r="H108" i="1"/>
  <c r="H166" i="1"/>
  <c r="D9" i="9"/>
  <c r="D13" i="37"/>
  <c r="C36" i="37"/>
  <c r="C52" i="37" s="1"/>
  <c r="H137" i="1"/>
  <c r="H94" i="1"/>
  <c r="H118" i="1"/>
  <c r="I244" i="1"/>
  <c r="I262" i="1"/>
  <c r="H50" i="7" s="1"/>
  <c r="I16" i="1"/>
  <c r="H17" i="6" l="1"/>
  <c r="I32" i="6"/>
  <c r="H29" i="6"/>
  <c r="C7" i="6"/>
  <c r="C47" i="6"/>
  <c r="H136" i="1"/>
  <c r="H141" i="1" s="1"/>
  <c r="H260" i="1"/>
  <c r="D16" i="18" l="1"/>
  <c r="F16" i="18" s="1"/>
  <c r="I14" i="1"/>
  <c r="I98" i="1"/>
  <c r="F7" i="33" l="1"/>
  <c r="D7" i="33" s="1"/>
  <c r="F12" i="33"/>
  <c r="D12" i="33" s="1"/>
  <c r="F8" i="33"/>
  <c r="D8" i="33" s="1"/>
  <c r="D7" i="18" l="1"/>
  <c r="F7" i="18" s="1"/>
  <c r="D38" i="32" l="1"/>
  <c r="E37" i="32"/>
  <c r="E36" i="32"/>
  <c r="E35" i="32"/>
  <c r="E34" i="32"/>
  <c r="E33" i="32"/>
  <c r="E32" i="32"/>
  <c r="E31" i="32"/>
  <c r="E30" i="32"/>
  <c r="E29" i="32"/>
  <c r="E28" i="32"/>
  <c r="E27" i="32"/>
  <c r="E26" i="32"/>
  <c r="E25" i="32"/>
  <c r="E24" i="32"/>
  <c r="E23" i="32"/>
  <c r="E22" i="32"/>
  <c r="E21" i="32"/>
  <c r="E20" i="32"/>
  <c r="E19" i="32"/>
  <c r="E18" i="32"/>
  <c r="D22" i="18"/>
  <c r="F22" i="18" s="1"/>
  <c r="B11" i="32"/>
  <c r="F9" i="33"/>
  <c r="D9" i="33" s="1"/>
  <c r="F11" i="33"/>
  <c r="D11" i="33" s="1"/>
  <c r="F5" i="33" l="1"/>
  <c r="D5" i="33" s="1"/>
  <c r="F13" i="33"/>
  <c r="D13" i="33" s="1"/>
  <c r="I12" i="1"/>
  <c r="G12" i="1"/>
  <c r="J11" i="37" s="1"/>
  <c r="G10" i="1"/>
  <c r="J9" i="37" s="1"/>
  <c r="I9" i="37" s="1"/>
  <c r="G112" i="1"/>
  <c r="J30" i="37" s="1"/>
  <c r="I11" i="37" l="1"/>
  <c r="H12" i="1" l="1"/>
  <c r="I4" i="1"/>
  <c r="I13" i="1"/>
  <c r="I17" i="1" s="1"/>
  <c r="I20" i="1"/>
  <c r="H17" i="7" s="1"/>
  <c r="I24" i="1"/>
  <c r="I30" i="1"/>
  <c r="I32" i="1"/>
  <c r="I33" i="1"/>
  <c r="I41" i="1"/>
  <c r="I42" i="1"/>
  <c r="I43" i="1"/>
  <c r="I46" i="1"/>
  <c r="I47" i="1"/>
  <c r="I50" i="1"/>
  <c r="I52" i="1"/>
  <c r="I53" i="1"/>
  <c r="I54" i="1"/>
  <c r="I56" i="1"/>
  <c r="I60" i="1"/>
  <c r="I61" i="1"/>
  <c r="I62" i="1"/>
  <c r="I65" i="1"/>
  <c r="I66" i="1"/>
  <c r="I71" i="1"/>
  <c r="I73" i="1"/>
  <c r="I75" i="1"/>
  <c r="I78" i="1"/>
  <c r="I81" i="1"/>
  <c r="I82" i="1"/>
  <c r="I83" i="1"/>
  <c r="I85" i="1"/>
  <c r="I86" i="1"/>
  <c r="I87" i="1"/>
  <c r="I88" i="1"/>
  <c r="I89" i="1"/>
  <c r="I90" i="1"/>
  <c r="I92" i="1"/>
  <c r="I97" i="1"/>
  <c r="I99" i="1"/>
  <c r="I105" i="1"/>
  <c r="I106" i="1"/>
  <c r="I107" i="1"/>
  <c r="I108" i="1"/>
  <c r="I109" i="1"/>
  <c r="E9" i="9" s="1"/>
  <c r="I111" i="1"/>
  <c r="I113" i="1"/>
  <c r="I121" i="1"/>
  <c r="I130" i="1"/>
  <c r="I133" i="1"/>
  <c r="I142" i="1"/>
  <c r="I160" i="1"/>
  <c r="I194" i="1"/>
  <c r="I201" i="1"/>
  <c r="I205" i="1"/>
  <c r="I208" i="1"/>
  <c r="I213" i="1"/>
  <c r="I218" i="1"/>
  <c r="I237" i="1"/>
  <c r="I240" i="1"/>
  <c r="I242" i="1"/>
  <c r="I39" i="37" s="1"/>
  <c r="I45" i="37" s="1"/>
  <c r="I252" i="1"/>
  <c r="I256" i="1"/>
  <c r="I7" i="1" l="1"/>
  <c r="J16" i="7"/>
  <c r="I36" i="1"/>
  <c r="I51" i="1"/>
  <c r="H10" i="1"/>
  <c r="H112" i="1"/>
  <c r="I112" i="1"/>
  <c r="H74" i="1"/>
  <c r="J7" i="7" l="1"/>
  <c r="I7" i="7" s="1"/>
  <c r="D6" i="11" s="1"/>
  <c r="E28" i="6"/>
  <c r="I16" i="37"/>
  <c r="I30" i="37"/>
  <c r="G117" i="1" l="1"/>
  <c r="I239" i="1"/>
  <c r="D10" i="18" l="1"/>
  <c r="F10" i="18" s="1"/>
  <c r="D5" i="18"/>
  <c r="F5" i="18" s="1"/>
  <c r="C18" i="7" l="1"/>
  <c r="E48" i="37" l="1"/>
  <c r="D48" i="37" s="1"/>
  <c r="E49" i="37"/>
  <c r="B44" i="11" s="1"/>
  <c r="E50" i="37"/>
  <c r="E17" i="37" l="1"/>
  <c r="E25" i="37" s="1"/>
  <c r="E32" i="37"/>
  <c r="D50" i="37"/>
  <c r="B42" i="11"/>
  <c r="D49" i="37"/>
  <c r="E51" i="37"/>
  <c r="D51" i="37" l="1"/>
  <c r="D17" i="37"/>
  <c r="D25" i="37" s="1"/>
  <c r="T550" i="26" l="1"/>
  <c r="H467" i="29" l="1"/>
  <c r="I424" i="29"/>
  <c r="I425" i="29"/>
  <c r="I426" i="29"/>
  <c r="I427" i="29"/>
  <c r="I428" i="29"/>
  <c r="I429" i="29"/>
  <c r="I430" i="29"/>
  <c r="I431" i="29"/>
  <c r="I432" i="29"/>
  <c r="I433" i="29"/>
  <c r="I434" i="29"/>
  <c r="I435" i="29"/>
  <c r="I436" i="29"/>
  <c r="I437" i="29"/>
  <c r="I438" i="29"/>
  <c r="I439" i="29"/>
  <c r="I440" i="29"/>
  <c r="I441" i="29"/>
  <c r="I442" i="29"/>
  <c r="I443" i="29"/>
  <c r="I444" i="29"/>
  <c r="I445" i="29"/>
  <c r="I446" i="29"/>
  <c r="I447" i="29"/>
  <c r="I448" i="29"/>
  <c r="I449" i="29"/>
  <c r="I450" i="29"/>
  <c r="I451" i="29"/>
  <c r="I452" i="29"/>
  <c r="I453" i="29"/>
  <c r="I454" i="29"/>
  <c r="I455" i="29"/>
  <c r="I456" i="29"/>
  <c r="I457" i="29"/>
  <c r="I458" i="29"/>
  <c r="I459" i="29"/>
  <c r="I460" i="29"/>
  <c r="I461" i="29"/>
  <c r="I462" i="29"/>
  <c r="I463" i="29"/>
  <c r="I423" i="29"/>
  <c r="I422" i="29"/>
  <c r="I421" i="29"/>
  <c r="I416" i="29"/>
  <c r="I417" i="29"/>
  <c r="I418" i="29"/>
  <c r="I419" i="29"/>
  <c r="I420" i="29"/>
  <c r="I366" i="29"/>
  <c r="I367" i="29"/>
  <c r="I368" i="29"/>
  <c r="I369" i="29"/>
  <c r="I370" i="29"/>
  <c r="I371" i="29"/>
  <c r="I372" i="29"/>
  <c r="I373" i="29"/>
  <c r="I374" i="29"/>
  <c r="I375" i="29"/>
  <c r="I376" i="29"/>
  <c r="I377" i="29"/>
  <c r="I378" i="29"/>
  <c r="I379" i="29"/>
  <c r="I380" i="29"/>
  <c r="I381" i="29"/>
  <c r="I382" i="29"/>
  <c r="I383" i="29"/>
  <c r="I384" i="29"/>
  <c r="I385" i="29"/>
  <c r="I386" i="29"/>
  <c r="I387" i="29"/>
  <c r="I388" i="29"/>
  <c r="I389" i="29"/>
  <c r="I390" i="29"/>
  <c r="I391" i="29"/>
  <c r="I392" i="29"/>
  <c r="I393" i="29"/>
  <c r="I394" i="29"/>
  <c r="I395" i="29"/>
  <c r="I396" i="29"/>
  <c r="I397" i="29"/>
  <c r="I398" i="29"/>
  <c r="I399" i="29"/>
  <c r="I400" i="29"/>
  <c r="I401" i="29"/>
  <c r="I402" i="29"/>
  <c r="I403" i="29"/>
  <c r="I404" i="29"/>
  <c r="I405" i="29"/>
  <c r="I406" i="29"/>
  <c r="I407" i="29"/>
  <c r="I408" i="29"/>
  <c r="I409" i="29"/>
  <c r="I410" i="29"/>
  <c r="I411" i="29"/>
  <c r="I412" i="29"/>
  <c r="I413" i="29"/>
  <c r="I414" i="29"/>
  <c r="I415" i="29"/>
  <c r="I365" i="29"/>
  <c r="F560" i="2"/>
  <c r="F559" i="2"/>
  <c r="F555" i="2"/>
  <c r="I351" i="29"/>
  <c r="I352" i="29"/>
  <c r="I353" i="29"/>
  <c r="I354" i="29"/>
  <c r="I355" i="29"/>
  <c r="I356" i="29"/>
  <c r="I357" i="29"/>
  <c r="I358" i="29"/>
  <c r="I359" i="29"/>
  <c r="I360" i="29"/>
  <c r="I361" i="29"/>
  <c r="I362" i="29"/>
  <c r="I363" i="29"/>
  <c r="I364" i="29"/>
  <c r="I350" i="29"/>
  <c r="I333" i="29"/>
  <c r="I334" i="29"/>
  <c r="I335" i="29"/>
  <c r="I336" i="29"/>
  <c r="I337" i="29"/>
  <c r="I338" i="29"/>
  <c r="I339" i="29"/>
  <c r="I340" i="29"/>
  <c r="I341" i="29"/>
  <c r="I342" i="29"/>
  <c r="I343" i="29"/>
  <c r="I344" i="29"/>
  <c r="I345" i="29"/>
  <c r="I346" i="29"/>
  <c r="I347" i="29"/>
  <c r="I348" i="29"/>
  <c r="I349" i="29"/>
  <c r="I332" i="29"/>
  <c r="I330" i="29"/>
  <c r="F522" i="2"/>
  <c r="I315" i="29"/>
  <c r="I316" i="29"/>
  <c r="I317" i="29"/>
  <c r="I318" i="29"/>
  <c r="I319" i="29"/>
  <c r="I320" i="29"/>
  <c r="I321" i="29"/>
  <c r="I322" i="29"/>
  <c r="I323" i="29"/>
  <c r="I324" i="29"/>
  <c r="I325" i="29"/>
  <c r="I326" i="29"/>
  <c r="I327" i="29"/>
  <c r="I328" i="29"/>
  <c r="I329" i="29"/>
  <c r="I314" i="29"/>
  <c r="H92" i="29"/>
  <c r="I203" i="1" s="1"/>
  <c r="G225" i="1"/>
  <c r="D32" i="37" l="1"/>
  <c r="B36" i="11" s="1"/>
  <c r="H94" i="29"/>
  <c r="F211" i="1"/>
  <c r="M50" i="29"/>
  <c r="M51" i="29"/>
  <c r="M52" i="29"/>
  <c r="M53" i="29"/>
  <c r="M54" i="29"/>
  <c r="M55" i="29"/>
  <c r="M56" i="29"/>
  <c r="M57" i="29"/>
  <c r="M58" i="29"/>
  <c r="M59" i="29"/>
  <c r="M60" i="29"/>
  <c r="M61" i="29"/>
  <c r="M62" i="29"/>
  <c r="M63" i="29"/>
  <c r="M64" i="29"/>
  <c r="M65" i="29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M82" i="29"/>
  <c r="M83" i="29"/>
  <c r="M84" i="29"/>
  <c r="M85" i="29"/>
  <c r="M86" i="29"/>
  <c r="M87" i="29"/>
  <c r="M88" i="29"/>
  <c r="M89" i="29"/>
  <c r="M90" i="29"/>
  <c r="M91" i="29"/>
  <c r="M92" i="29"/>
  <c r="M93" i="29"/>
  <c r="M49" i="29"/>
  <c r="G157" i="1"/>
  <c r="G128" i="1"/>
  <c r="H290" i="29"/>
  <c r="G285" i="29"/>
  <c r="H284" i="29"/>
  <c r="F283" i="29"/>
  <c r="E283" i="29"/>
  <c r="H282" i="29"/>
  <c r="F282" i="29"/>
  <c r="G281" i="29"/>
  <c r="F281" i="29"/>
  <c r="H280" i="29"/>
  <c r="H279" i="29"/>
  <c r="G278" i="29"/>
  <c r="F278" i="29"/>
  <c r="H277" i="29"/>
  <c r="H276" i="29"/>
  <c r="H275" i="29"/>
  <c r="G274" i="29"/>
  <c r="F274" i="29"/>
  <c r="H273" i="29"/>
  <c r="H272" i="29"/>
  <c r="H271" i="29"/>
  <c r="H270" i="29" s="1"/>
  <c r="H269" i="29"/>
  <c r="H268" i="29"/>
  <c r="H266" i="29"/>
  <c r="H267" i="29" s="1"/>
  <c r="H264" i="29"/>
  <c r="H262" i="29"/>
  <c r="H263" i="29" s="1"/>
  <c r="K260" i="29"/>
  <c r="H260" i="29"/>
  <c r="H261" i="29" s="1"/>
  <c r="K259" i="29"/>
  <c r="H259" i="29"/>
  <c r="K258" i="29"/>
  <c r="H258" i="29"/>
  <c r="H252" i="29" s="1"/>
  <c r="E258" i="29"/>
  <c r="I257" i="29"/>
  <c r="H256" i="29"/>
  <c r="H257" i="29" s="1"/>
  <c r="H255" i="29"/>
  <c r="H254" i="29" s="1"/>
  <c r="H253" i="29"/>
  <c r="E252" i="29"/>
  <c r="H251" i="29"/>
  <c r="H250" i="29"/>
  <c r="H249" i="29"/>
  <c r="H247" i="29"/>
  <c r="H246" i="29"/>
  <c r="H245" i="29"/>
  <c r="H244" i="29"/>
  <c r="H243" i="29"/>
  <c r="H241" i="29"/>
  <c r="G240" i="29"/>
  <c r="F240" i="29"/>
  <c r="H239" i="29"/>
  <c r="H238" i="29" s="1"/>
  <c r="H236" i="29"/>
  <c r="H235" i="29"/>
  <c r="H234" i="29"/>
  <c r="H233" i="29"/>
  <c r="H232" i="29"/>
  <c r="H231" i="29"/>
  <c r="H230" i="29"/>
  <c r="H229" i="29"/>
  <c r="H228" i="29"/>
  <c r="H227" i="29"/>
  <c r="H226" i="29"/>
  <c r="H225" i="29"/>
  <c r="H224" i="29"/>
  <c r="H223" i="29"/>
  <c r="H222" i="29"/>
  <c r="H221" i="29"/>
  <c r="H220" i="29"/>
  <c r="H219" i="29"/>
  <c r="H217" i="29"/>
  <c r="H215" i="29"/>
  <c r="H237" i="29" s="1"/>
  <c r="G214" i="29"/>
  <c r="F214" i="29"/>
  <c r="H212" i="29"/>
  <c r="H211" i="29"/>
  <c r="H210" i="29"/>
  <c r="H209" i="29"/>
  <c r="H208" i="29"/>
  <c r="H207" i="29"/>
  <c r="H206" i="29"/>
  <c r="H205" i="29"/>
  <c r="H204" i="29"/>
  <c r="H203" i="29"/>
  <c r="H202" i="29"/>
  <c r="H201" i="29"/>
  <c r="H200" i="29"/>
  <c r="H199" i="29"/>
  <c r="H198" i="29"/>
  <c r="H197" i="29"/>
  <c r="H196" i="29"/>
  <c r="H195" i="29"/>
  <c r="H194" i="29"/>
  <c r="G192" i="29"/>
  <c r="F192" i="29"/>
  <c r="H191" i="29"/>
  <c r="H190" i="29"/>
  <c r="H189" i="29"/>
  <c r="H184" i="29"/>
  <c r="H180" i="29"/>
  <c r="G177" i="29"/>
  <c r="F177" i="29"/>
  <c r="H176" i="29"/>
  <c r="H175" i="29"/>
  <c r="H174" i="29" s="1"/>
  <c r="H173" i="29"/>
  <c r="H172" i="29"/>
  <c r="H171" i="29"/>
  <c r="H170" i="29"/>
  <c r="H169" i="29"/>
  <c r="H168" i="29"/>
  <c r="H167" i="29"/>
  <c r="H159" i="29" s="1"/>
  <c r="H165" i="29"/>
  <c r="H162" i="29"/>
  <c r="H163" i="29" s="1"/>
  <c r="H161" i="29"/>
  <c r="G160" i="29"/>
  <c r="F160" i="29"/>
  <c r="H156" i="29"/>
  <c r="H155" i="29"/>
  <c r="H158" i="29" s="1"/>
  <c r="H154" i="29"/>
  <c r="H153" i="29" s="1"/>
  <c r="H152" i="29"/>
  <c r="H151" i="29" s="1"/>
  <c r="H150" i="29"/>
  <c r="H149" i="29"/>
  <c r="H148" i="29" s="1"/>
  <c r="H146" i="29"/>
  <c r="H145" i="29" s="1"/>
  <c r="G144" i="29"/>
  <c r="F144" i="29"/>
  <c r="H142" i="29"/>
  <c r="H137" i="29"/>
  <c r="H136" i="29"/>
  <c r="H125" i="29"/>
  <c r="G125" i="29"/>
  <c r="F125" i="29"/>
  <c r="G122" i="29"/>
  <c r="F122" i="29"/>
  <c r="H121" i="29"/>
  <c r="H120" i="29"/>
  <c r="E120" i="29"/>
  <c r="H119" i="29"/>
  <c r="I233" i="1" s="1"/>
  <c r="G118" i="29"/>
  <c r="F118" i="29"/>
  <c r="H117" i="29"/>
  <c r="H116" i="29"/>
  <c r="G115" i="29"/>
  <c r="F115" i="29"/>
  <c r="H114" i="29"/>
  <c r="H113" i="29"/>
  <c r="H112" i="29"/>
  <c r="G111" i="29"/>
  <c r="F111" i="29"/>
  <c r="H110" i="29"/>
  <c r="H109" i="29"/>
  <c r="H108" i="29"/>
  <c r="H107" i="29"/>
  <c r="H106" i="29"/>
  <c r="H105" i="29"/>
  <c r="H104" i="29"/>
  <c r="H103" i="29"/>
  <c r="H102" i="29"/>
  <c r="H101" i="29"/>
  <c r="H100" i="29"/>
  <c r="H99" i="29"/>
  <c r="H97" i="29"/>
  <c r="H96" i="29"/>
  <c r="H95" i="29"/>
  <c r="H91" i="29"/>
  <c r="H90" i="29"/>
  <c r="G89" i="29"/>
  <c r="F89" i="29"/>
  <c r="H88" i="29"/>
  <c r="H87" i="29"/>
  <c r="H86" i="29"/>
  <c r="H85" i="29"/>
  <c r="H84" i="29"/>
  <c r="H83" i="29"/>
  <c r="H82" i="29"/>
  <c r="H81" i="29"/>
  <c r="H80" i="29"/>
  <c r="H79" i="29"/>
  <c r="H78" i="29"/>
  <c r="H77" i="29"/>
  <c r="H76" i="29"/>
  <c r="H75" i="29"/>
  <c r="H74" i="29"/>
  <c r="H73" i="29"/>
  <c r="H72" i="29"/>
  <c r="H71" i="29"/>
  <c r="H70" i="29"/>
  <c r="H69" i="29"/>
  <c r="H68" i="29"/>
  <c r="H67" i="29"/>
  <c r="G66" i="29"/>
  <c r="F66" i="29"/>
  <c r="H65" i="29"/>
  <c r="H64" i="29"/>
  <c r="H63" i="29"/>
  <c r="H62" i="29"/>
  <c r="H61" i="29"/>
  <c r="H60" i="29"/>
  <c r="H59" i="29"/>
  <c r="H58" i="29"/>
  <c r="H57" i="29"/>
  <c r="H56" i="29"/>
  <c r="H55" i="29"/>
  <c r="H54" i="29"/>
  <c r="H53" i="29"/>
  <c r="H52" i="29"/>
  <c r="H51" i="29"/>
  <c r="H50" i="29"/>
  <c r="H49" i="29"/>
  <c r="G48" i="29"/>
  <c r="G124" i="29" s="1"/>
  <c r="F48" i="29"/>
  <c r="A48" i="29"/>
  <c r="H47" i="29"/>
  <c r="G47" i="29"/>
  <c r="F47" i="29"/>
  <c r="H46" i="29"/>
  <c r="G46" i="29"/>
  <c r="F46" i="29"/>
  <c r="H45" i="29"/>
  <c r="G45" i="29"/>
  <c r="F45" i="29"/>
  <c r="H44" i="29"/>
  <c r="H43" i="29"/>
  <c r="H42" i="29"/>
  <c r="H41" i="29"/>
  <c r="H40" i="29"/>
  <c r="H39" i="29"/>
  <c r="H38" i="29"/>
  <c r="H37" i="29"/>
  <c r="H36" i="29"/>
  <c r="H35" i="29"/>
  <c r="H34" i="29"/>
  <c r="E34" i="29"/>
  <c r="H33" i="29"/>
  <c r="A33" i="29"/>
  <c r="G32" i="29"/>
  <c r="F32" i="29"/>
  <c r="H31" i="29"/>
  <c r="H30" i="29"/>
  <c r="H29" i="29"/>
  <c r="H28" i="29"/>
  <c r="H27" i="29"/>
  <c r="P26" i="29"/>
  <c r="O26" i="29" s="1"/>
  <c r="H25" i="29" s="1"/>
  <c r="H26" i="29"/>
  <c r="Q25" i="29"/>
  <c r="H23" i="29"/>
  <c r="H22" i="29"/>
  <c r="H20" i="29"/>
  <c r="G19" i="29"/>
  <c r="F19" i="29"/>
  <c r="H18" i="29"/>
  <c r="H17" i="29"/>
  <c r="H16" i="29"/>
  <c r="H15" i="29"/>
  <c r="H14" i="29"/>
  <c r="H13" i="29"/>
  <c r="H11" i="29"/>
  <c r="H9" i="29"/>
  <c r="H8" i="29"/>
  <c r="G7" i="29"/>
  <c r="F7" i="29"/>
  <c r="F124" i="29" s="1"/>
  <c r="F126" i="29" s="1"/>
  <c r="F127" i="29" s="1"/>
  <c r="H6" i="29"/>
  <c r="I115" i="1" s="1"/>
  <c r="J5" i="29"/>
  <c r="H5" i="29"/>
  <c r="H19" i="29" l="1"/>
  <c r="I119" i="1"/>
  <c r="I171" i="1"/>
  <c r="I182" i="1"/>
  <c r="I224" i="1"/>
  <c r="I207" i="1"/>
  <c r="I158" i="1"/>
  <c r="I172" i="1"/>
  <c r="I183" i="1"/>
  <c r="I195" i="1"/>
  <c r="I214" i="1"/>
  <c r="I152" i="1"/>
  <c r="I153" i="1"/>
  <c r="I123" i="1"/>
  <c r="I143" i="1"/>
  <c r="I173" i="1"/>
  <c r="I32" i="7" s="1"/>
  <c r="I184" i="1"/>
  <c r="I215" i="1"/>
  <c r="I234" i="1"/>
  <c r="I124" i="1"/>
  <c r="I134" i="1"/>
  <c r="I144" i="1"/>
  <c r="I154" i="1"/>
  <c r="H66" i="29"/>
  <c r="I174" i="1"/>
  <c r="I185" i="1"/>
  <c r="I197" i="1"/>
  <c r="I216" i="1"/>
  <c r="I226" i="1"/>
  <c r="I235" i="1"/>
  <c r="I135" i="1"/>
  <c r="I159" i="1"/>
  <c r="I196" i="1"/>
  <c r="I125" i="1"/>
  <c r="I136" i="1"/>
  <c r="I145" i="1"/>
  <c r="I161" i="1"/>
  <c r="I175" i="1"/>
  <c r="I186" i="1"/>
  <c r="I198" i="1"/>
  <c r="I210" i="1"/>
  <c r="I227" i="1"/>
  <c r="I131" i="1"/>
  <c r="I181" i="1"/>
  <c r="I138" i="1"/>
  <c r="I188" i="1"/>
  <c r="I139" i="1"/>
  <c r="I146" i="1"/>
  <c r="I165" i="1"/>
  <c r="I189" i="1"/>
  <c r="I222" i="1"/>
  <c r="I170" i="1"/>
  <c r="I137" i="1"/>
  <c r="I187" i="1"/>
  <c r="H7" i="29"/>
  <c r="I155" i="1"/>
  <c r="I140" i="1"/>
  <c r="I166" i="1"/>
  <c r="I178" i="1"/>
  <c r="I190" i="1"/>
  <c r="I221" i="1"/>
  <c r="I230" i="1"/>
  <c r="I212" i="1"/>
  <c r="I132" i="1"/>
  <c r="I162" i="1"/>
  <c r="I228" i="1"/>
  <c r="I219" i="1"/>
  <c r="I147" i="1"/>
  <c r="I150" i="1"/>
  <c r="I168" i="1"/>
  <c r="I179" i="1"/>
  <c r="I191" i="1"/>
  <c r="I202" i="1"/>
  <c r="I223" i="1"/>
  <c r="I231" i="1"/>
  <c r="H144" i="29"/>
  <c r="I193" i="1"/>
  <c r="I199" i="1"/>
  <c r="I127" i="1"/>
  <c r="I164" i="1"/>
  <c r="I129" i="1"/>
  <c r="I148" i="1"/>
  <c r="I169" i="1"/>
  <c r="I180" i="1"/>
  <c r="I192" i="1"/>
  <c r="I220" i="1"/>
  <c r="F285" i="29"/>
  <c r="F288" i="29" s="1"/>
  <c r="F292" i="29" s="1"/>
  <c r="G288" i="29"/>
  <c r="H281" i="29"/>
  <c r="H48" i="29"/>
  <c r="H122" i="29"/>
  <c r="H214" i="29"/>
  <c r="H285" i="29"/>
  <c r="H89" i="29"/>
  <c r="H118" i="29"/>
  <c r="I125" i="29"/>
  <c r="H192" i="29"/>
  <c r="H278" i="29"/>
  <c r="H32" i="29"/>
  <c r="H115" i="29"/>
  <c r="H242" i="29"/>
  <c r="H274" i="29" s="1"/>
  <c r="H111" i="29"/>
  <c r="H160" i="29"/>
  <c r="H240" i="29"/>
  <c r="H177" i="29"/>
  <c r="K5" i="29"/>
  <c r="I236" i="1" l="1"/>
  <c r="I177" i="1"/>
  <c r="I128" i="1"/>
  <c r="I141" i="1"/>
  <c r="I232" i="1"/>
  <c r="H124" i="29"/>
  <c r="I124" i="29" s="1"/>
  <c r="I229" i="1"/>
  <c r="I225" i="1"/>
  <c r="I157" i="1"/>
  <c r="I200" i="1"/>
  <c r="E23" i="9"/>
  <c r="H288" i="29"/>
  <c r="I288" i="29" s="1"/>
  <c r="H126" i="29" l="1"/>
  <c r="H127" i="29" s="1"/>
  <c r="I127" i="29" s="1"/>
  <c r="M111" i="29"/>
  <c r="H291" i="29"/>
  <c r="H292" i="29" s="1"/>
  <c r="G267" i="1" l="1"/>
  <c r="I267" i="1" l="1"/>
  <c r="P79" i="24" l="1"/>
  <c r="O79" i="24"/>
  <c r="P72" i="24"/>
  <c r="O72" i="24"/>
  <c r="P66" i="24"/>
  <c r="O66" i="24"/>
  <c r="P58" i="24"/>
  <c r="O58" i="24"/>
  <c r="P49" i="24"/>
  <c r="O49" i="24"/>
  <c r="P38" i="24"/>
  <c r="P31" i="24"/>
  <c r="O31" i="24"/>
  <c r="P24" i="24"/>
  <c r="O24" i="24"/>
  <c r="P8" i="24"/>
  <c r="O8" i="24"/>
  <c r="I254" i="1" l="1"/>
  <c r="G498" i="26" l="1"/>
  <c r="D23" i="18" l="1"/>
  <c r="F23" i="18" s="1"/>
  <c r="D21" i="18"/>
  <c r="F21" i="18" s="1"/>
  <c r="D18" i="18"/>
  <c r="F18" i="18" s="1"/>
  <c r="D17" i="18"/>
  <c r="F17" i="18" s="1"/>
  <c r="G93" i="1"/>
  <c r="I84" i="1"/>
  <c r="I59" i="1"/>
  <c r="I63" i="1"/>
  <c r="I64" i="1"/>
  <c r="I70" i="1"/>
  <c r="I72" i="1"/>
  <c r="D12" i="18"/>
  <c r="F12" i="18" s="1"/>
  <c r="D6" i="18"/>
  <c r="F6" i="18" s="1"/>
  <c r="D11" i="18"/>
  <c r="F11" i="18" s="1"/>
  <c r="E31" i="10" l="1"/>
  <c r="E39" i="10"/>
  <c r="H29" i="7"/>
  <c r="E43" i="7"/>
  <c r="D43" i="7" s="1"/>
  <c r="D24" i="18"/>
  <c r="F24" i="18" s="1"/>
  <c r="H20" i="20"/>
  <c r="D35" i="37" l="1"/>
  <c r="D41" i="37"/>
  <c r="D34" i="37" l="1"/>
  <c r="G263" i="1"/>
  <c r="G270" i="1"/>
  <c r="J7" i="37"/>
  <c r="B6" i="11" s="1"/>
  <c r="G254" i="1"/>
  <c r="J50" i="37" s="1"/>
  <c r="J51" i="37" s="1"/>
  <c r="H254" i="1"/>
  <c r="G251" i="1"/>
  <c r="J44" i="37" s="1"/>
  <c r="H251" i="1"/>
  <c r="G249" i="1"/>
  <c r="J42" i="37" s="1"/>
  <c r="H249" i="1"/>
  <c r="G247" i="1"/>
  <c r="H247" i="1"/>
  <c r="G245" i="1"/>
  <c r="H245" i="1"/>
  <c r="G243" i="1"/>
  <c r="J39" i="37" s="1"/>
  <c r="B7" i="11" s="1"/>
  <c r="H243" i="1"/>
  <c r="G241" i="1"/>
  <c r="J35" i="37" s="1"/>
  <c r="H241" i="1"/>
  <c r="G239" i="1"/>
  <c r="J34" i="37" s="1"/>
  <c r="I34" i="37" s="1"/>
  <c r="H239" i="1"/>
  <c r="G236" i="1"/>
  <c r="H236" i="1"/>
  <c r="G232" i="1"/>
  <c r="H232" i="1"/>
  <c r="G229" i="1"/>
  <c r="H229" i="1"/>
  <c r="H225" i="1"/>
  <c r="G200" i="1"/>
  <c r="H200" i="1"/>
  <c r="G177" i="1"/>
  <c r="H177" i="1"/>
  <c r="H157" i="1"/>
  <c r="G141" i="1"/>
  <c r="G76" i="1"/>
  <c r="G74" i="1"/>
  <c r="G51" i="1"/>
  <c r="G38" i="1"/>
  <c r="J24" i="37" s="1"/>
  <c r="G36" i="1"/>
  <c r="J23" i="37" s="1"/>
  <c r="I23" i="37" s="1"/>
  <c r="G29" i="1"/>
  <c r="J19" i="37" s="1"/>
  <c r="I24" i="37" l="1"/>
  <c r="I7" i="37"/>
  <c r="I13" i="37" s="1"/>
  <c r="J13" i="37"/>
  <c r="J32" i="37"/>
  <c r="H32" i="37" s="1"/>
  <c r="J41" i="37"/>
  <c r="J29" i="37"/>
  <c r="H36" i="37" l="1"/>
  <c r="H52" i="37" s="1"/>
  <c r="B13" i="11"/>
  <c r="H263" i="1"/>
  <c r="D39" i="10" l="1"/>
  <c r="H128" i="1" l="1"/>
  <c r="H117" i="1"/>
  <c r="H93" i="1"/>
  <c r="H76" i="1"/>
  <c r="H51" i="1"/>
  <c r="H38" i="1"/>
  <c r="H36" i="1"/>
  <c r="H25" i="1"/>
  <c r="H17" i="1"/>
  <c r="E32" i="18" l="1"/>
  <c r="F31" i="18"/>
  <c r="F4" i="18"/>
  <c r="N29" i="17" l="1"/>
  <c r="N27" i="17"/>
  <c r="L27" i="17"/>
  <c r="J22" i="17" l="1"/>
  <c r="N6" i="17"/>
  <c r="L5" i="17"/>
  <c r="N5" i="17"/>
  <c r="N4" i="17" l="1"/>
  <c r="L25" i="17" l="1"/>
  <c r="K25" i="17"/>
  <c r="L24" i="17"/>
  <c r="N24" i="17" s="1"/>
  <c r="K24" i="17"/>
  <c r="L23" i="17"/>
  <c r="N23" i="17" s="1"/>
  <c r="K23" i="17"/>
  <c r="L22" i="17"/>
  <c r="N22" i="17" s="1"/>
  <c r="K22" i="17"/>
  <c r="J21" i="17"/>
  <c r="L21" i="17" s="1"/>
  <c r="N21" i="17" s="1"/>
  <c r="L20" i="17"/>
  <c r="N20" i="17" s="1"/>
  <c r="L19" i="17"/>
  <c r="N19" i="17" s="1"/>
  <c r="N18" i="17"/>
  <c r="L18" i="17"/>
  <c r="L17" i="17"/>
  <c r="N17" i="17" s="1"/>
  <c r="K17" i="17"/>
  <c r="L16" i="17"/>
  <c r="N16" i="17" s="1"/>
  <c r="K16" i="17"/>
  <c r="J15" i="17"/>
  <c r="K15" i="17" s="1"/>
  <c r="N14" i="17"/>
  <c r="L13" i="17"/>
  <c r="N13" i="17" s="1"/>
  <c r="K13" i="17"/>
  <c r="L11" i="17"/>
  <c r="N11" i="17" s="1"/>
  <c r="K11" i="17"/>
  <c r="M10" i="17"/>
  <c r="L10" i="17"/>
  <c r="N10" i="17" s="1"/>
  <c r="K10" i="17"/>
  <c r="M9" i="17"/>
  <c r="L9" i="17"/>
  <c r="K9" i="17"/>
  <c r="M8" i="17"/>
  <c r="J8" i="17"/>
  <c r="L8" i="17" s="1"/>
  <c r="N8" i="17" s="1"/>
  <c r="M7" i="17"/>
  <c r="J7" i="17"/>
  <c r="L7" i="17" s="1"/>
  <c r="L6" i="17"/>
  <c r="K6" i="17"/>
  <c r="M5" i="17"/>
  <c r="K5" i="17"/>
  <c r="L4" i="17"/>
  <c r="K4" i="17"/>
  <c r="L29" i="17" l="1"/>
  <c r="M29" i="17"/>
  <c r="L15" i="17"/>
  <c r="N15" i="17" s="1"/>
  <c r="K8" i="17"/>
  <c r="N9" i="17"/>
  <c r="N7" i="17"/>
  <c r="K7" i="17"/>
  <c r="I93" i="1" l="1"/>
  <c r="I74" i="1"/>
  <c r="C32" i="6" l="1"/>
  <c r="B40" i="11" l="1"/>
  <c r="B37" i="11"/>
  <c r="B17" i="11"/>
  <c r="H16" i="7" l="1"/>
  <c r="E17" i="6" l="1"/>
  <c r="E35" i="10"/>
  <c r="I44" i="7"/>
  <c r="I42" i="7"/>
  <c r="I41" i="7"/>
  <c r="I39" i="7"/>
  <c r="H34" i="7"/>
  <c r="H30" i="7"/>
  <c r="H19" i="7"/>
  <c r="H25" i="7" s="1"/>
  <c r="I49" i="6"/>
  <c r="I50" i="6" s="1"/>
  <c r="I43" i="6"/>
  <c r="I42" i="6"/>
  <c r="I41" i="6"/>
  <c r="I39" i="6"/>
  <c r="J8" i="6" l="1"/>
  <c r="H49" i="6"/>
  <c r="H34" i="6"/>
  <c r="H30" i="6"/>
  <c r="H19" i="6"/>
  <c r="H16" i="6"/>
  <c r="C14" i="11" s="1"/>
  <c r="C42" i="6"/>
  <c r="C35" i="6"/>
  <c r="C34" i="6"/>
  <c r="C30" i="6"/>
  <c r="C29" i="6"/>
  <c r="C28" i="6"/>
  <c r="C24" i="6"/>
  <c r="C23" i="6"/>
  <c r="C22" i="6"/>
  <c r="C21" i="6"/>
  <c r="C20" i="6"/>
  <c r="C19" i="6"/>
  <c r="C18" i="6"/>
  <c r="C17" i="6"/>
  <c r="H25" i="6" l="1"/>
  <c r="C36" i="6"/>
  <c r="J43" i="6" l="1"/>
  <c r="J42" i="6"/>
  <c r="J39" i="6"/>
  <c r="J35" i="6"/>
  <c r="J34" i="6"/>
  <c r="J30" i="6"/>
  <c r="J28" i="6"/>
  <c r="J24" i="6"/>
  <c r="J23" i="6"/>
  <c r="J19" i="6"/>
  <c r="I29" i="1"/>
  <c r="J18" i="6"/>
  <c r="I25" i="1"/>
  <c r="J17" i="6"/>
  <c r="J16" i="6"/>
  <c r="J11" i="6"/>
  <c r="J7" i="6"/>
  <c r="I7" i="6" l="1"/>
  <c r="C6" i="11"/>
  <c r="I19" i="37"/>
  <c r="I18" i="37"/>
  <c r="J19" i="7"/>
  <c r="J28" i="7"/>
  <c r="J17" i="7"/>
  <c r="J18" i="7"/>
  <c r="I270" i="1"/>
  <c r="J41" i="6"/>
  <c r="J29" i="6"/>
  <c r="I29" i="6" s="1"/>
  <c r="J49" i="6"/>
  <c r="J32" i="6"/>
  <c r="J25" i="6"/>
  <c r="I17" i="37" l="1"/>
  <c r="J25" i="37"/>
  <c r="J36" i="6"/>
  <c r="I25" i="37" l="1"/>
  <c r="C48" i="7"/>
  <c r="C17" i="7" l="1"/>
  <c r="E29" i="37" l="1"/>
  <c r="D29" i="37" s="1"/>
  <c r="B33" i="11" s="1"/>
  <c r="B34" i="11" s="1"/>
  <c r="I251" i="1" l="1"/>
  <c r="I249" i="1"/>
  <c r="I247" i="1"/>
  <c r="I245" i="1"/>
  <c r="I243" i="1"/>
  <c r="I241" i="1"/>
  <c r="J24" i="7"/>
  <c r="J35" i="7" l="1"/>
  <c r="I35" i="37"/>
  <c r="B10" i="11" s="1"/>
  <c r="B11" i="11" s="1"/>
  <c r="J45" i="37"/>
  <c r="I29" i="37"/>
  <c r="B8" i="11" s="1"/>
  <c r="J36" i="37"/>
  <c r="J42" i="7"/>
  <c r="J34" i="7"/>
  <c r="J39" i="7"/>
  <c r="J44" i="7"/>
  <c r="J11" i="7"/>
  <c r="J23" i="7"/>
  <c r="J25" i="7" s="1"/>
  <c r="J30" i="7"/>
  <c r="J41" i="7"/>
  <c r="J32" i="7"/>
  <c r="J29" i="7"/>
  <c r="B20" i="11" l="1"/>
  <c r="B23" i="11" s="1"/>
  <c r="B25" i="11" s="1"/>
  <c r="I36" i="37"/>
  <c r="J36" i="7"/>
  <c r="I29" i="7"/>
  <c r="E16" i="6"/>
  <c r="B7" i="12" l="1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E32" i="10"/>
  <c r="E30" i="10"/>
  <c r="E29" i="10"/>
  <c r="E27" i="10"/>
  <c r="E25" i="10"/>
  <c r="E24" i="10"/>
  <c r="E21" i="10"/>
  <c r="E20" i="10"/>
  <c r="E19" i="10"/>
  <c r="E18" i="10"/>
  <c r="E17" i="10"/>
  <c r="E16" i="10"/>
  <c r="E13" i="10"/>
  <c r="E12" i="10"/>
  <c r="E11" i="10"/>
  <c r="E10" i="10"/>
  <c r="E8" i="10"/>
  <c r="E7" i="10"/>
  <c r="E6" i="10"/>
  <c r="C38" i="10"/>
  <c r="C5" i="10"/>
  <c r="C6" i="10"/>
  <c r="C8" i="10"/>
  <c r="C10" i="10"/>
  <c r="C11" i="10"/>
  <c r="C13" i="10"/>
  <c r="C17" i="10"/>
  <c r="C18" i="10"/>
  <c r="C19" i="10"/>
  <c r="C20" i="10"/>
  <c r="C21" i="10"/>
  <c r="C22" i="10"/>
  <c r="C23" i="10"/>
  <c r="C24" i="10"/>
  <c r="C25" i="10"/>
  <c r="C27" i="10"/>
  <c r="C29" i="10"/>
  <c r="C30" i="10"/>
  <c r="E24" i="9"/>
  <c r="E22" i="9"/>
  <c r="E15" i="9"/>
  <c r="E10" i="9"/>
  <c r="E26" i="9"/>
  <c r="E25" i="9"/>
  <c r="E21" i="9"/>
  <c r="E20" i="9"/>
  <c r="E18" i="9"/>
  <c r="E17" i="9"/>
  <c r="E16" i="9"/>
  <c r="E13" i="9"/>
  <c r="E12" i="9"/>
  <c r="E11" i="9"/>
  <c r="E8" i="9"/>
  <c r="E7" i="9"/>
  <c r="D23" i="9"/>
  <c r="C22" i="9"/>
  <c r="D21" i="9"/>
  <c r="C21" i="9"/>
  <c r="D20" i="9"/>
  <c r="C20" i="9"/>
  <c r="D19" i="9"/>
  <c r="D18" i="9"/>
  <c r="C18" i="9"/>
  <c r="D17" i="9"/>
  <c r="C17" i="9"/>
  <c r="D16" i="9"/>
  <c r="C16" i="9"/>
  <c r="D15" i="9"/>
  <c r="C15" i="9"/>
  <c r="C14" i="9"/>
  <c r="D13" i="9"/>
  <c r="C13" i="9"/>
  <c r="D12" i="9"/>
  <c r="C12" i="9"/>
  <c r="D11" i="9"/>
  <c r="C11" i="9"/>
  <c r="D10" i="9"/>
  <c r="C10" i="9"/>
  <c r="D8" i="9"/>
  <c r="C8" i="9"/>
  <c r="D7" i="9"/>
  <c r="C7" i="9"/>
  <c r="E6" i="9"/>
  <c r="D6" i="9"/>
  <c r="C6" i="9"/>
  <c r="E5" i="9"/>
  <c r="D5" i="9"/>
  <c r="C5" i="9"/>
  <c r="E4" i="9"/>
  <c r="D4" i="9"/>
  <c r="C4" i="9"/>
  <c r="D26" i="9"/>
  <c r="C26" i="9"/>
  <c r="D25" i="9"/>
  <c r="C25" i="9"/>
  <c r="D24" i="9"/>
  <c r="C24" i="9"/>
  <c r="H51" i="7"/>
  <c r="C51" i="7"/>
  <c r="D7" i="11"/>
  <c r="J8" i="7"/>
  <c r="I8" i="7" s="1"/>
  <c r="H13" i="7"/>
  <c r="J48" i="7"/>
  <c r="H45" i="7"/>
  <c r="J40" i="7"/>
  <c r="J45" i="7" s="1"/>
  <c r="I33" i="7"/>
  <c r="I31" i="7"/>
  <c r="I22" i="7"/>
  <c r="I20" i="7"/>
  <c r="I12" i="7"/>
  <c r="I10" i="7"/>
  <c r="D8" i="7"/>
  <c r="I28" i="6"/>
  <c r="C9" i="11"/>
  <c r="C8" i="11"/>
  <c r="I33" i="6"/>
  <c r="I31" i="6"/>
  <c r="I20" i="6"/>
  <c r="I22" i="6"/>
  <c r="I12" i="6"/>
  <c r="I10" i="6"/>
  <c r="I8" i="6"/>
  <c r="C21" i="11" s="1"/>
  <c r="H50" i="6"/>
  <c r="H13" i="6"/>
  <c r="C50" i="6"/>
  <c r="C44" i="6"/>
  <c r="J47" i="6"/>
  <c r="H44" i="6"/>
  <c r="J40" i="6"/>
  <c r="J44" i="6" s="1"/>
  <c r="D8" i="6"/>
  <c r="D14" i="11" l="1"/>
  <c r="I28" i="7"/>
  <c r="C16" i="11"/>
  <c r="D16" i="11"/>
  <c r="D21" i="11"/>
  <c r="D8" i="11"/>
  <c r="D9" i="11"/>
  <c r="I45" i="7"/>
  <c r="I44" i="6"/>
  <c r="C7" i="11" l="1"/>
  <c r="E18" i="6" l="1"/>
  <c r="I16" i="6"/>
  <c r="H268" i="1" l="1"/>
  <c r="E5" i="10" l="1"/>
  <c r="D23" i="10"/>
  <c r="D22" i="10"/>
  <c r="E22" i="10" l="1"/>
  <c r="E23" i="10"/>
  <c r="C35" i="10" l="1"/>
  <c r="C9" i="10"/>
  <c r="C36" i="10"/>
  <c r="C28" i="10"/>
  <c r="C15" i="10"/>
  <c r="E19" i="6" l="1"/>
  <c r="E20" i="6"/>
  <c r="C34" i="10"/>
  <c r="C16" i="10"/>
  <c r="C12" i="10"/>
  <c r="C14" i="10"/>
  <c r="C32" i="10"/>
  <c r="C37" i="10"/>
  <c r="C26" i="10"/>
  <c r="C7" i="10"/>
  <c r="C31" i="10"/>
  <c r="C4" i="10"/>
  <c r="E26" i="10"/>
  <c r="E37" i="10"/>
  <c r="E21" i="6" l="1"/>
  <c r="E36" i="10"/>
  <c r="E28" i="10"/>
  <c r="E9" i="10"/>
  <c r="E14" i="10"/>
  <c r="E15" i="10"/>
  <c r="E34" i="10"/>
  <c r="E33" i="10"/>
  <c r="D4" i="10"/>
  <c r="D22" i="9"/>
  <c r="J128" i="1" l="1"/>
  <c r="J93" i="1"/>
  <c r="C19" i="9" l="1"/>
  <c r="C23" i="9"/>
  <c r="E22" i="6" l="1"/>
  <c r="C27" i="9"/>
  <c r="E23" i="6" l="1"/>
  <c r="E24" i="6"/>
  <c r="E25" i="6" l="1"/>
  <c r="D17" i="6" l="1"/>
  <c r="D18" i="6" l="1"/>
  <c r="H269" i="1"/>
  <c r="D19" i="6" l="1"/>
  <c r="D20" i="6" l="1"/>
  <c r="D21" i="6" l="1"/>
  <c r="D22" i="6"/>
  <c r="D24" i="6" l="1"/>
  <c r="D23" i="6" l="1"/>
  <c r="D28" i="6"/>
  <c r="C32" i="11" l="1"/>
  <c r="E29" i="6" l="1"/>
  <c r="D29" i="6" s="1"/>
  <c r="C33" i="11" s="1"/>
  <c r="C34" i="11" s="1"/>
  <c r="C35" i="11" l="1"/>
  <c r="I11" i="6" l="1"/>
  <c r="I34" i="6"/>
  <c r="I35" i="6"/>
  <c r="I23" i="6"/>
  <c r="I24" i="6"/>
  <c r="I19" i="6"/>
  <c r="I21" i="6"/>
  <c r="I17" i="6"/>
  <c r="I30" i="6"/>
  <c r="I11" i="7" l="1"/>
  <c r="I17" i="7"/>
  <c r="I35" i="7"/>
  <c r="I24" i="7"/>
  <c r="I19" i="7"/>
  <c r="I23" i="7"/>
  <c r="I34" i="7"/>
  <c r="I30" i="7"/>
  <c r="I16" i="7"/>
  <c r="I36" i="6"/>
  <c r="H32" i="7"/>
  <c r="H36" i="7" s="1"/>
  <c r="H52" i="7" s="1"/>
  <c r="I18" i="7"/>
  <c r="H270" i="1"/>
  <c r="H271" i="1" s="1"/>
  <c r="H32" i="6"/>
  <c r="C13" i="11" s="1"/>
  <c r="I25" i="7" l="1"/>
  <c r="I36" i="7"/>
  <c r="D14" i="9"/>
  <c r="D27" i="9" s="1"/>
  <c r="D13" i="11"/>
  <c r="D12" i="11"/>
  <c r="I18" i="6"/>
  <c r="D17" i="11" l="1"/>
  <c r="C39" i="10"/>
  <c r="H36" i="6"/>
  <c r="H51" i="6" s="1"/>
  <c r="C12" i="11"/>
  <c r="C17" i="11" s="1"/>
  <c r="I25" i="6"/>
  <c r="J48" i="6"/>
  <c r="J50" i="6" s="1"/>
  <c r="E7" i="6" l="1"/>
  <c r="D7" i="6" l="1"/>
  <c r="D40" i="10" l="1"/>
  <c r="E19" i="9" l="1"/>
  <c r="J49" i="7" l="1"/>
  <c r="E11" i="7" l="1"/>
  <c r="D11" i="7" s="1"/>
  <c r="D39" i="11" s="1"/>
  <c r="E17" i="7" l="1"/>
  <c r="D17" i="7" l="1"/>
  <c r="D35" i="11" l="1"/>
  <c r="G269" i="1" l="1"/>
  <c r="G271" i="1" s="1"/>
  <c r="I268" i="1" l="1"/>
  <c r="I269" i="1" s="1"/>
  <c r="I271" i="1" s="1"/>
  <c r="I257" i="1" s="1"/>
  <c r="I50" i="7" l="1"/>
  <c r="I51" i="37"/>
  <c r="I52" i="37" s="1"/>
  <c r="I263" i="1"/>
  <c r="E14" i="9"/>
  <c r="E27" i="9" s="1"/>
  <c r="E18" i="7"/>
  <c r="J50" i="7" l="1"/>
  <c r="J51" i="7" s="1"/>
  <c r="J52" i="37"/>
  <c r="I51" i="7"/>
  <c r="D18" i="7"/>
  <c r="E41" i="6" l="1"/>
  <c r="E9" i="7"/>
  <c r="E11" i="6"/>
  <c r="D11" i="6" s="1"/>
  <c r="C39" i="11" s="1"/>
  <c r="C40" i="11" s="1"/>
  <c r="E33" i="6"/>
  <c r="D33" i="6" s="1"/>
  <c r="E9" i="6"/>
  <c r="E10" i="7"/>
  <c r="D10" i="7" s="1"/>
  <c r="D41" i="11" s="1"/>
  <c r="E10" i="6"/>
  <c r="C9" i="7"/>
  <c r="E32" i="7"/>
  <c r="C9" i="6"/>
  <c r="C13" i="6" s="1"/>
  <c r="E34" i="6"/>
  <c r="D34" i="6" s="1"/>
  <c r="C16" i="6"/>
  <c r="C25" i="6" s="1"/>
  <c r="E48" i="6" l="1"/>
  <c r="D48" i="6" s="1"/>
  <c r="C44" i="11" s="1"/>
  <c r="E47" i="6"/>
  <c r="D47" i="6" s="1"/>
  <c r="E31" i="37"/>
  <c r="D31" i="37" s="1"/>
  <c r="E48" i="7"/>
  <c r="C28" i="11"/>
  <c r="C4" i="12" s="1"/>
  <c r="D9" i="6"/>
  <c r="D16" i="6"/>
  <c r="D25" i="6" s="1"/>
  <c r="E13" i="6"/>
  <c r="D40" i="11"/>
  <c r="D10" i="6"/>
  <c r="C41" i="11" s="1"/>
  <c r="E31" i="7"/>
  <c r="D31" i="7" s="1"/>
  <c r="E41" i="7"/>
  <c r="D9" i="7"/>
  <c r="D41" i="6"/>
  <c r="E32" i="6"/>
  <c r="D32" i="6" s="1"/>
  <c r="C36" i="11" s="1"/>
  <c r="C37" i="11" s="1"/>
  <c r="E35" i="6"/>
  <c r="D35" i="6" s="1"/>
  <c r="E31" i="6"/>
  <c r="D31" i="6" s="1"/>
  <c r="E33" i="7"/>
  <c r="D33" i="7" s="1"/>
  <c r="D32" i="7"/>
  <c r="D36" i="11" s="1"/>
  <c r="C51" i="6"/>
  <c r="E42" i="6"/>
  <c r="D42" i="6" s="1"/>
  <c r="E50" i="7"/>
  <c r="D50" i="7" s="1"/>
  <c r="D42" i="11" s="1"/>
  <c r="E49" i="6"/>
  <c r="D49" i="6" s="1"/>
  <c r="C42" i="11" s="1"/>
  <c r="E49" i="7"/>
  <c r="D49" i="7" s="1"/>
  <c r="D44" i="11" s="1"/>
  <c r="E50" i="6" l="1"/>
  <c r="D13" i="6"/>
  <c r="D50" i="6"/>
  <c r="D48" i="7"/>
  <c r="D51" i="7" s="1"/>
  <c r="E51" i="7"/>
  <c r="D37" i="11"/>
  <c r="E44" i="6"/>
  <c r="D41" i="7"/>
  <c r="D44" i="6"/>
  <c r="C23" i="7" l="1"/>
  <c r="E21" i="7" l="1"/>
  <c r="D21" i="7" s="1"/>
  <c r="E29" i="7"/>
  <c r="C35" i="7"/>
  <c r="E35" i="7" l="1"/>
  <c r="D35" i="7" s="1"/>
  <c r="C29" i="7" l="1"/>
  <c r="D32" i="11" s="1"/>
  <c r="D29" i="7" l="1"/>
  <c r="D33" i="11" l="1"/>
  <c r="D34" i="11" l="1"/>
  <c r="C30" i="7" l="1"/>
  <c r="E30" i="7"/>
  <c r="D30" i="7" l="1"/>
  <c r="C34" i="7"/>
  <c r="C36" i="7" s="1"/>
  <c r="E7" i="7" l="1"/>
  <c r="E23" i="7"/>
  <c r="E34" i="7"/>
  <c r="D34" i="7" l="1"/>
  <c r="D36" i="7" s="1"/>
  <c r="E36" i="7"/>
  <c r="D23" i="7"/>
  <c r="C33" i="10" l="1"/>
  <c r="C40" i="10" s="1"/>
  <c r="E30" i="37" l="1"/>
  <c r="D30" i="37" s="1"/>
  <c r="C41" i="10"/>
  <c r="E36" i="37" l="1"/>
  <c r="D36" i="37"/>
  <c r="E30" i="6" l="1"/>
  <c r="D30" i="6" s="1"/>
  <c r="D41" i="10" l="1"/>
  <c r="C29" i="11"/>
  <c r="C31" i="11" s="1"/>
  <c r="C43" i="11" s="1"/>
  <c r="C46" i="11" s="1"/>
  <c r="C48" i="11" s="1"/>
  <c r="D36" i="6"/>
  <c r="D51" i="6" s="1"/>
  <c r="E36" i="6"/>
  <c r="E51" i="6" s="1"/>
  <c r="F60" i="6" s="1"/>
  <c r="C6" i="12" l="1"/>
  <c r="C5" i="12"/>
  <c r="C22" i="7" l="1"/>
  <c r="C24" i="7"/>
  <c r="C42" i="7"/>
  <c r="C45" i="7" s="1"/>
  <c r="D42" i="37" l="1"/>
  <c r="E45" i="37"/>
  <c r="E52" i="37" s="1"/>
  <c r="F54" i="37" s="1"/>
  <c r="E42" i="7"/>
  <c r="E24" i="7"/>
  <c r="D24" i="7" s="1"/>
  <c r="E22" i="7"/>
  <c r="D22" i="7" s="1"/>
  <c r="C19" i="7"/>
  <c r="D45" i="37" l="1"/>
  <c r="D52" i="37" s="1"/>
  <c r="B29" i="11"/>
  <c r="B31" i="11" s="1"/>
  <c r="B43" i="11" s="1"/>
  <c r="B46" i="11" s="1"/>
  <c r="B48" i="11" s="1"/>
  <c r="E19" i="7"/>
  <c r="D19" i="7" s="1"/>
  <c r="C20" i="7"/>
  <c r="D42" i="7"/>
  <c r="D45" i="7" s="1"/>
  <c r="E45" i="7"/>
  <c r="B6" i="12" l="1"/>
  <c r="B8" i="12" s="1"/>
  <c r="B5" i="12"/>
  <c r="E20" i="7"/>
  <c r="D20" i="7" s="1"/>
  <c r="C16" i="7" l="1"/>
  <c r="C25" i="7" l="1"/>
  <c r="E16" i="7"/>
  <c r="E25" i="7" s="1"/>
  <c r="D16" i="7" l="1"/>
  <c r="D25" i="7" s="1"/>
  <c r="I264" i="1" l="1"/>
  <c r="I265" i="1" s="1"/>
  <c r="E28" i="9" s="1"/>
  <c r="J9" i="7"/>
  <c r="J13" i="7" s="1"/>
  <c r="J52" i="7" s="1"/>
  <c r="J54" i="7" l="1"/>
  <c r="I9" i="7"/>
  <c r="I13" i="7" s="1"/>
  <c r="I52" i="7" s="1"/>
  <c r="D10" i="11" l="1"/>
  <c r="D11" i="11" s="1"/>
  <c r="D20" i="11" s="1"/>
  <c r="D23" i="11" l="1"/>
  <c r="D25" i="11" s="1"/>
  <c r="D7" i="12" s="1"/>
  <c r="E7" i="12" s="1"/>
  <c r="G264" i="1"/>
  <c r="G265" i="1" s="1"/>
  <c r="G266" i="1" l="1"/>
  <c r="C28" i="9"/>
  <c r="J9" i="6"/>
  <c r="I9" i="6" s="1"/>
  <c r="C10" i="11" s="1"/>
  <c r="H264" i="1"/>
  <c r="H265" i="1" s="1"/>
  <c r="D28" i="9" s="1"/>
  <c r="H266" i="1" l="1"/>
  <c r="C11" i="11"/>
  <c r="C20" i="11" s="1"/>
  <c r="C23" i="11" s="1"/>
  <c r="C25" i="11" s="1"/>
  <c r="I13" i="6"/>
  <c r="I51" i="6" s="1"/>
  <c r="J13" i="6"/>
  <c r="J51" i="6" s="1"/>
  <c r="C7" i="12" l="1"/>
  <c r="C8" i="12" s="1"/>
  <c r="C49" i="11"/>
  <c r="F7" i="12" l="1"/>
  <c r="C13" i="7" l="1"/>
  <c r="D28" i="11" s="1"/>
  <c r="D4" i="12" s="1"/>
  <c r="E4" i="10"/>
  <c r="E40" i="10" s="1"/>
  <c r="C52" i="7" l="1"/>
  <c r="I266" i="1" l="1"/>
  <c r="E41" i="10"/>
  <c r="D7" i="7"/>
  <c r="E13" i="7"/>
  <c r="E52" i="7" s="1"/>
  <c r="D29" i="11" l="1"/>
  <c r="D13" i="7"/>
  <c r="D52" i="7" s="1"/>
  <c r="F4" i="12"/>
  <c r="E4" i="12"/>
  <c r="D31" i="11" l="1"/>
  <c r="D43" i="11" s="1"/>
  <c r="D46" i="11" l="1"/>
  <c r="D48" i="11" l="1"/>
  <c r="D6" i="12" l="1"/>
  <c r="D8" i="12" s="1"/>
  <c r="D5" i="12"/>
  <c r="F5" i="12" s="1"/>
  <c r="D49" i="11"/>
  <c r="E5" i="12" l="1"/>
  <c r="F6" i="12"/>
  <c r="E6" i="12"/>
</calcChain>
</file>

<file path=xl/comments1.xml><?xml version="1.0" encoding="utf-8"?>
<comments xmlns="http://schemas.openxmlformats.org/spreadsheetml/2006/main">
  <authors>
    <author>נעמי חייט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</rPr>
          <t>נעמי חייט:</t>
        </r>
        <r>
          <rPr>
            <sz val="9"/>
            <color indexed="81"/>
            <rFont val="Tahoma"/>
            <family val="2"/>
          </rPr>
          <t xml:space="preserve">
קיימת טעות בספר התקציב ל 2019 לאחר תיקונים</t>
        </r>
      </text>
    </comment>
  </commentList>
</comments>
</file>

<file path=xl/comments2.xml><?xml version="1.0" encoding="utf-8"?>
<comments xmlns="http://schemas.openxmlformats.org/spreadsheetml/2006/main">
  <authors>
    <author>מורן מנור</author>
  </authors>
  <commentList>
    <comment ref="F267" authorId="0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  <comment ref="F268" authorId="0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</commentList>
</comments>
</file>

<file path=xl/comments3.xml><?xml version="1.0" encoding="utf-8"?>
<comments xmlns="http://schemas.openxmlformats.org/spreadsheetml/2006/main">
  <authors>
    <author>מורן מנור</author>
  </authors>
  <commentList>
    <comment ref="O5" authorId="0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שפ"ח 54%
הון אנושי 38%
שכר 8%</t>
        </r>
      </text>
    </comment>
  </commentList>
</comments>
</file>

<file path=xl/comments4.xml><?xml version="1.0" encoding="utf-8"?>
<comments xmlns="http://schemas.openxmlformats.org/spreadsheetml/2006/main">
  <authors>
    <author>מורן לאון</author>
    <author>מורן מנור</author>
    <author>חיים שפונדר</author>
    <author>שרי אלדן</author>
    <author>user</author>
  </authors>
  <commentList>
    <comment ref="H2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לבדוק התאמה ליתרה נטו ספר 1 גליון תקופה </t>
        </r>
      </text>
    </comment>
    <comment ref="K2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גרעון או עודף יחסי לתקופה (נכנס לני"ע הרכבת מאזן לתקופה)</t>
        </r>
      </text>
    </comment>
    <comment ref="J8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לפי דוח גבייה שם טוב </t>
        </r>
      </text>
    </comment>
    <comment ref="J9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לפי דוח גבייה שם טוב 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חוק נהרי מוכש"ר
בכל שנה חברה חיצונית מחשבת כמה צריך להעביר פר תלמיד. יוצא כ3 מ' בשנה. מקזזים מהעלויות סייעות שהן עובדות עירייה ומנגד מעבירים כסף שמקבלים בגין סייעות/אבות בית שמועסקים על ידם</t>
        </r>
      </text>
    </comment>
    <comment ref="J59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לדעתי להעמיד כמו התקציב, יש לוודא עם נעמי/שרי</t>
        </r>
      </text>
    </comment>
    <comment ref="J67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בשלב זה מעמידה על התקציב, סעיף בעייתי. להתייעץעם נחמיה</t>
        </r>
      </text>
    </comment>
    <comment ref="J78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לפי נעמי לקחת פחות מהקרן</t>
        </r>
      </text>
    </comment>
    <comment ref="J97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הכנ מראש</t>
        </r>
      </text>
    </comment>
    <comment ref="J105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הכנסות צפויות שיפוי עבור תוספת סייעות - לפי ההוצאה בשכר 100 סייעות</t>
        </r>
      </text>
    </comment>
    <comment ref="J177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רכזי מענים דיווח רשות 10-12/21</t>
        </r>
      </text>
    </comment>
    <comment ref="I243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סגירת הכנסות לקבל 2020</t>
        </r>
      </text>
    </comment>
    <comment ref="J243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דיווחים 7-12/21</t>
        </r>
      </text>
    </comment>
    <comment ref="J246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שכר איתור נוער</t>
        </r>
      </text>
    </comment>
    <comment ref="J303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הכנסות שהתקבלו ממשרד התעשיה והמסחר במרץ 2021 עבור 2020</t>
        </r>
      </text>
    </comment>
    <comment ref="J306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לפי שרי - מהמשרד לשוויון חברתי
</t>
        </r>
      </text>
    </comment>
    <comment ref="J311" authorId="2" shapeId="0">
      <text>
        <r>
          <rPr>
            <b/>
            <sz val="9"/>
            <color indexed="81"/>
            <rFont val="Tahoma"/>
            <family val="2"/>
          </rPr>
          <t>חיים שפונדר:</t>
        </r>
        <r>
          <rPr>
            <sz val="9"/>
            <color indexed="81"/>
            <rFont val="Tahoma"/>
            <family val="2"/>
          </rPr>
          <t xml:space="preserve">
החזרי עמלות ממשכ"ל</t>
        </r>
      </text>
    </comment>
    <comment ref="J316" authorId="2" shapeId="0">
      <text>
        <r>
          <rPr>
            <b/>
            <sz val="9"/>
            <color indexed="81"/>
            <rFont val="Tahoma"/>
            <family val="2"/>
          </rPr>
          <t>מי חדרה - מוקד 120K</t>
        </r>
      </text>
    </comment>
    <comment ref="J396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ש"נ+כוננות 12.2020</t>
        </r>
      </text>
    </comment>
    <comment ref="J397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הערכה גמ"ח פנסיונרים+ מינהל הגמלאות חודש 12</t>
        </r>
      </text>
    </comment>
    <comment ref="J400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הערכה גמ"ח פנסיונרים+ מינהל הגמלאות חודש 12</t>
        </r>
      </text>
    </comment>
    <comment ref="J447" authorId="3" shapeId="0">
      <text>
        <r>
          <rPr>
            <b/>
            <sz val="9"/>
            <color indexed="81"/>
            <rFont val="Tahoma"/>
            <family val="2"/>
          </rPr>
          <t>שרי אלדן:</t>
        </r>
        <r>
          <rPr>
            <sz val="9"/>
            <color indexed="81"/>
            <rFont val="Tahoma"/>
            <family val="2"/>
          </rPr>
          <t xml:space="preserve">
להתייעץ עם נעמי</t>
        </r>
      </text>
    </comment>
    <comment ref="J474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לפי שרי חסרות חשבוניות מילגם מתחילת השנה</t>
        </r>
      </text>
    </comment>
    <comment ref="J489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27 צריכת מים טיאוט </t>
        </r>
      </text>
    </comment>
    <comment ref="J490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800K פסולת מיקס- בהנחיית נעמי
</t>
        </r>
      </text>
    </comment>
    <comment ref="J516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בגין חריגה בחשמל מקלטים שלא בוצעה מדידה (נרשם בשנים קודמות) - קיין מייל מבת חן</t>
        </r>
      </text>
    </comment>
    <comment ref="J536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נרשם לפי תקציב היות ועוברים לקורן </t>
        </r>
      </text>
    </comment>
    <comment ref="J550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מעריכה יותר מביצוע ש"ק</t>
        </r>
      </text>
    </comment>
    <comment ref="J557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הערכה לפי נתוני רבעון 1 , מעל רבעןן 1 אשתקד
</t>
        </r>
      </text>
    </comment>
    <comment ref="J581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הערכה שלי</t>
        </r>
      </text>
    </comment>
    <comment ref="J642" authorId="4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התקבל ממורן במיל 20/3/17
</t>
        </r>
      </text>
    </comment>
    <comment ref="J738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ש"נ+כוננות 12.2020</t>
        </r>
      </text>
    </comment>
    <comment ref="I822" authorId="3" shapeId="0">
      <text>
        <r>
          <rPr>
            <b/>
            <sz val="9"/>
            <color indexed="81"/>
            <rFont val="Tahoma"/>
            <family val="2"/>
          </rPr>
          <t>שרי אלדן:</t>
        </r>
        <r>
          <rPr>
            <sz val="9"/>
            <color indexed="81"/>
            <rFont val="Tahoma"/>
            <family val="2"/>
          </rPr>
          <t xml:space="preserve">
לבדוק עם נעמי</t>
        </r>
      </text>
    </comment>
    <comment ref="J844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אומדן 3 חודשים לשפח</t>
        </r>
      </text>
    </comment>
    <comment ref="J1052" authorId="1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ניכויים ב"ל +מ"ה -350K
+
סגירת תביעות תלויות +  
הפסדים פנאי העיר (אם יש)
</t>
        </r>
      </text>
    </comment>
  </commentList>
</comments>
</file>

<file path=xl/comments5.xml><?xml version="1.0" encoding="utf-8"?>
<comments xmlns="http://schemas.openxmlformats.org/spreadsheetml/2006/main">
  <authors>
    <author>מורן לאון</author>
    <author>קארין בוזנח</author>
    <author>מורן מנור</author>
    <author>נעמי חייט</author>
  </authors>
  <commentList>
    <comment ref="E92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שינוי שם סעיף קיים מנוער וצעירים</t>
        </r>
      </text>
    </comment>
    <comment ref="H136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כולל דמי חבר 2018</t>
        </r>
      </text>
    </comment>
    <comment ref="H139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אומדן שנתי לפי 1-8/21</t>
        </r>
      </text>
    </comment>
    <comment ref="H145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אלכוהול - 950050
מרכז יום - 209874 
בדיקות שתן - 20 אלף</t>
        </r>
      </text>
    </comment>
    <comment ref="H169" authorId="1" shapeId="0">
      <text>
        <r>
          <rPr>
            <b/>
            <sz val="9"/>
            <color indexed="81"/>
            <rFont val="Tahoma"/>
            <family val="2"/>
          </rPr>
          <t>קארין בוזנח:</t>
        </r>
        <r>
          <rPr>
            <sz val="9"/>
            <color indexed="81"/>
            <rFont val="Tahoma"/>
            <family val="2"/>
          </rPr>
          <t xml:space="preserve">
לפי צרכים של המחלקות 182 מושמים רגילים (ללא עולים) לפי תעריף ממוצע להשמה פלט ספטמבר</t>
        </r>
      </text>
    </comment>
    <comment ref="H195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תוספת השמות ארציות. 100% מימון
</t>
        </r>
      </text>
    </comment>
    <comment ref="H199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לפי השמות ספטמבר כולל עדכון תעריפים אקים וכן תוספת 5 מושמים לכל המסגרות ממוצע</t>
        </r>
      </text>
    </comment>
    <comment ref="H201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איחוד 2 מסגרות תעסוקה מוגנת ונתמכת - לפי לפי ג'ני
</t>
        </r>
      </text>
    </comment>
    <comment ref="H220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לפי המחלקה יש רשימות המתנה יש להשאיר תקציב כפי שהוא
</t>
        </r>
      </text>
    </comment>
    <comment ref="H229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כולל תוספת 2 השמות לחריש + השמה בית גיא + צפי לתוספת</t>
        </r>
      </text>
    </comment>
    <comment ref="H234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כרגע קיימת חלופה לאבחונים במימון המשרד. לבקשת המחלקה הפחתה של שליש בתקציב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</rPr>
          <t>מורן לאון:</t>
        </r>
        <r>
          <rPr>
            <sz val="9"/>
            <color indexed="81"/>
            <rFont val="Tahoma"/>
            <family val="2"/>
          </rPr>
          <t xml:space="preserve">
שינוי שם סעיף קיים מנוער וצעירים</t>
        </r>
      </text>
    </comment>
    <comment ref="G303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</t>
        </r>
      </text>
    </comment>
    <comment ref="G315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316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  <comment ref="G321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  <comment ref="G328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341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  <comment ref="G363" authorId="3" shapeId="0">
      <text>
        <r>
          <rPr>
            <b/>
            <sz val="9"/>
            <color indexed="81"/>
            <rFont val="Tahoma"/>
            <family val="2"/>
          </rPr>
          <t>נעמי חייט:</t>
        </r>
        <r>
          <rPr>
            <sz val="9"/>
            <color indexed="81"/>
            <rFont val="Tahoma"/>
            <family val="2"/>
          </rPr>
          <t xml:space="preserve">
800 אלש"ח בקשת ראש העיר
אושר 100 אלש"ח</t>
        </r>
      </text>
    </comment>
    <comment ref="G394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 לאחר שינויים </t>
        </r>
      </text>
    </comment>
    <comment ref="G415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16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21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22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30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33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38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39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50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  <comment ref="G460" authorId="2" shapeId="0">
      <text>
        <r>
          <rPr>
            <b/>
            <sz val="9"/>
            <color indexed="81"/>
            <rFont val="Tahoma"/>
            <family val="2"/>
          </rPr>
          <t>מורן מנור:</t>
        </r>
        <r>
          <rPr>
            <sz val="9"/>
            <color indexed="81"/>
            <rFont val="Tahoma"/>
            <family val="2"/>
          </rPr>
          <t xml:space="preserve">
תקציב מעודכן</t>
        </r>
      </text>
    </comment>
  </commentList>
</comments>
</file>

<file path=xl/sharedStrings.xml><?xml version="1.0" encoding="utf-8"?>
<sst xmlns="http://schemas.openxmlformats.org/spreadsheetml/2006/main" count="14442" uniqueCount="4000">
  <si>
    <t>עיריית חדרה תקציב הכנסות</t>
  </si>
  <si>
    <t>מחלקה</t>
  </si>
  <si>
    <t>סעיף</t>
  </si>
  <si>
    <t>פרק</t>
  </si>
  <si>
    <t xml:space="preserve"> </t>
  </si>
  <si>
    <t>הערות</t>
  </si>
  <si>
    <t>ארנונות</t>
  </si>
  <si>
    <t>הכנסות מארנונה כללית</t>
  </si>
  <si>
    <t>הכנסות מהוצאות גביה</t>
  </si>
  <si>
    <t>הנחות ארנונה</t>
  </si>
  <si>
    <t>סה"כ ארנונות</t>
  </si>
  <si>
    <t>אגרות</t>
  </si>
  <si>
    <t>תעודות ואישורים</t>
  </si>
  <si>
    <t>הכנסות מאגרות שילוט</t>
  </si>
  <si>
    <t>סה"כ אגרות</t>
  </si>
  <si>
    <t>הכנסות משירותי מיחשוב</t>
  </si>
  <si>
    <t>סה"כ מיחשוב</t>
  </si>
  <si>
    <t>תברואה</t>
  </si>
  <si>
    <t>הכנסות מחזור אריזות (תמיר)</t>
  </si>
  <si>
    <t>פיקוח וטרינרי - אגרות</t>
  </si>
  <si>
    <t>משלטון מקומי - פיקוח וטרינרי</t>
  </si>
  <si>
    <t>סה"כ תברואה</t>
  </si>
  <si>
    <t>שמירה ובטחון</t>
  </si>
  <si>
    <t>אגרת שמירה</t>
  </si>
  <si>
    <t>מ.מהמשטרה לשמירת ב.ספר</t>
  </si>
  <si>
    <t>פקחים מסייעים</t>
  </si>
  <si>
    <t>סה"כ שמירה ובטחון</t>
  </si>
  <si>
    <t>תכנון ובניין עיר</t>
  </si>
  <si>
    <t>הכנסות שונות מהנדסה</t>
  </si>
  <si>
    <t>אגרות רישיונות בנייה</t>
  </si>
  <si>
    <t>סה"כ תכנון ובניין עיר</t>
  </si>
  <si>
    <t>נכסים ציבוריים</t>
  </si>
  <si>
    <t>הכנסות מתשלום חשמל</t>
  </si>
  <si>
    <t>הכנסות ממשלה לחופים</t>
  </si>
  <si>
    <t>סה"כ נכסים ציבוריים</t>
  </si>
  <si>
    <t>דמי הדבקת מודעות</t>
  </si>
  <si>
    <t>פיקוח עירוני</t>
  </si>
  <si>
    <t>ברירת קנס חנייה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</si>
  <si>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</si>
  <si>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</si>
  <si>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</si>
  <si>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</si>
  <si>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</si>
  <si>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</si>
  <si>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</si>
  <si>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</si>
  <si>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</si>
  <si>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הכנסות מתוכנית פיס בקהילה</t>
  </si>
  <si>
    <t>השתתפות הורים</t>
  </si>
  <si>
    <t>א.חינוך גנ"י</t>
  </si>
  <si>
    <t xml:space="preserve">עוזרות גננות </t>
  </si>
  <si>
    <t xml:space="preserve">השת' משה"ח גננות </t>
  </si>
  <si>
    <t>ניצנים בחופשות</t>
  </si>
  <si>
    <t xml:space="preserve">שכר גני ילדים 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</si>
  <si>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</si>
  <si>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</si>
  <si>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</si>
  <si>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</si>
  <si>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</si>
  <si>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</si>
  <si>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ניהול עצמי</t>
  </si>
  <si>
    <t>שכר דירה עבור חב"ד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</si>
  <si>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</si>
  <si>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</si>
  <si>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</si>
  <si>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</si>
  <si>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</si>
  <si>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</si>
  <si>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</si>
  <si>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</si>
  <si>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</si>
  <si>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</si>
  <si>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</si>
  <si>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</si>
  <si>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</si>
  <si>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</si>
  <si>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</si>
  <si>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</si>
  <si>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</si>
  <si>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>סה"כ חינוך על יסודי</t>
  </si>
  <si>
    <t>שירותים נוספים</t>
  </si>
  <si>
    <t>מ.החינוך לקב"טים</t>
  </si>
  <si>
    <t>שומרים</t>
  </si>
  <si>
    <t>ממשלה לפסגה</t>
  </si>
  <si>
    <t>ממשלה לשירות פסיכולוגי</t>
  </si>
  <si>
    <t>הדרכה שירות פסיכולוגי</t>
  </si>
  <si>
    <t>ממשלה לרווחה חינוכית</t>
  </si>
  <si>
    <t>הדרך החדשה</t>
  </si>
  <si>
    <t>התוכנית הלאומית בחינוך</t>
  </si>
  <si>
    <t>קב"סים</t>
  </si>
  <si>
    <t>הסעות ילדים השתתפות הורים</t>
  </si>
  <si>
    <t xml:space="preserve">הסעות ח.מיוחד חיפה </t>
  </si>
  <si>
    <t xml:space="preserve">הסעות נט חיפה </t>
  </si>
  <si>
    <t xml:space="preserve">ל.הסעות ח"מ חיפה </t>
  </si>
  <si>
    <t>הכנסות עצמיות שונות לחינוך</t>
  </si>
  <si>
    <t>הכנסות שונות מחינוך</t>
  </si>
  <si>
    <t>הכנסות בגין שיפוצי קיץ</t>
  </si>
  <si>
    <t>סה"כ שירותים נוספים</t>
  </si>
  <si>
    <t>תרבות נוער וספורט</t>
  </si>
  <si>
    <t xml:space="preserve"> הרשות לבטחון קהילתי</t>
  </si>
  <si>
    <t>הכנסות מאירועים עירוניים</t>
  </si>
  <si>
    <t>הכנסות ממכירת כרטיסים וחסויות באירועים עירוניים</t>
  </si>
  <si>
    <t>התוכנית הלאומית בפנאי העיר</t>
  </si>
  <si>
    <t>הכנסות מפעילות קונסרבטוריון, בית ספר מנגן, סטודיו במה וצבעי מחול</t>
  </si>
  <si>
    <t>הכנסות מפעילות תרבות תורנית</t>
  </si>
  <si>
    <t>ממשלה לתרבות תורנית</t>
  </si>
  <si>
    <t>הדרך החדשה  במוקד</t>
  </si>
  <si>
    <t>ממשלה לפעילות ספורט</t>
  </si>
  <si>
    <t>סה"כ נוער וספורט</t>
  </si>
  <si>
    <t>מינהל רווחה</t>
  </si>
  <si>
    <t>משירותי רווחה</t>
  </si>
  <si>
    <t>ממשלה למנהל רווחה</t>
  </si>
  <si>
    <t>סה"כ מינהל רווחה</t>
  </si>
  <si>
    <t>רווחת הפרט והמשפחה</t>
  </si>
  <si>
    <t>טיפול במשפחה - השתתפות פונים</t>
  </si>
  <si>
    <t>מרכז עצמה</t>
  </si>
  <si>
    <t>100% מימון משרד הרווחה</t>
  </si>
  <si>
    <t>השתתפות בשכר עובדי אלימות</t>
  </si>
  <si>
    <t>75% מימון משרד הרווחה</t>
  </si>
  <si>
    <t>טיפול באלכוהוליסטים</t>
  </si>
  <si>
    <t>מרכז יום התמכרויות</t>
  </si>
  <si>
    <t>משפחות במצוקה בקהילה</t>
  </si>
  <si>
    <t>טיפול בפרט ובמשפחה</t>
  </si>
  <si>
    <t>טיפול בדרי רחוב</t>
  </si>
  <si>
    <t>תחנה לטיפול משפחתי</t>
  </si>
  <si>
    <t>מודל קליטה ליוצאי צרפת</t>
  </si>
  <si>
    <t>סה"כ רווחת הפרט והמשפחה</t>
  </si>
  <si>
    <t>שירותים לילד ולנוער</t>
  </si>
  <si>
    <t>טיפול בהורים וילדיהם</t>
  </si>
  <si>
    <t>יצירת קשר הורים ילדים</t>
  </si>
  <si>
    <t>טיפול בילד בקהילה</t>
  </si>
  <si>
    <t>טיפול בילדים בסיכון + הפעלת חוק סדרי דין</t>
  </si>
  <si>
    <t>אחזקת ילדים בפנימיות-השתתפות פונים</t>
  </si>
  <si>
    <t>ממשלה לטיפול בילד</t>
  </si>
  <si>
    <t>טיפול במשפחות אומנה</t>
  </si>
  <si>
    <t>פעולות תוכנית לאומית לילד ולנוער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</si>
  <si>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</si>
  <si>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</si>
  <si>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</si>
  <si>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</si>
  <si>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</si>
  <si>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</si>
  <si>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</si>
  <si>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</si>
  <si>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שכונה תומכת</t>
  </si>
  <si>
    <t>מופ"ת ניצולי שואה</t>
  </si>
  <si>
    <t>טיפול בזקן בקהילה</t>
  </si>
  <si>
    <t>נופשונים לזקן</t>
  </si>
  <si>
    <t>מועדונים לאזרחים ותיקים</t>
  </si>
  <si>
    <t>מועדונים מועשרים</t>
  </si>
  <si>
    <t>טיפול בניצולי שואה</t>
  </si>
  <si>
    <t>סה"כ שירותים לזקן</t>
  </si>
  <si>
    <t>שירותים למפגר</t>
  </si>
  <si>
    <t>סידור מפגרים במוסדות</t>
  </si>
  <si>
    <t>מפגרים במוסד ממשלתי</t>
  </si>
  <si>
    <t>מסגרות יום ארוך</t>
  </si>
  <si>
    <t>מפגרים במעון טיפולי</t>
  </si>
  <si>
    <t>שרותים תומכים למפגר</t>
  </si>
  <si>
    <t>השתתפות במסגרת מגורים במעון אמוני</t>
  </si>
  <si>
    <t>משפחות אומנה למפגר</t>
  </si>
  <si>
    <t>אחזקת אוטיסטים</t>
  </si>
  <si>
    <t>השתתפות בסביבה תומכת</t>
  </si>
  <si>
    <t>הכנסות אחרות + תשלומים לחניכים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</si>
  <si>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</si>
  <si>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</si>
  <si>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</si>
  <si>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הסעות + ליווי לאוטיסטים</t>
  </si>
  <si>
    <t>הכנסות ממע"ש מכירות</t>
  </si>
  <si>
    <t>חניכים במע"ש - חוץ</t>
  </si>
  <si>
    <t>הסעות למפגר</t>
  </si>
  <si>
    <t>מועדונים חברתיים למפגר - אקי"ם</t>
  </si>
  <si>
    <t>סה"כ שירותים למפגר</t>
  </si>
  <si>
    <t>שירותי אבחון ושיקום</t>
  </si>
  <si>
    <t>ילדים עוורים בקהילה</t>
  </si>
  <si>
    <t>שיקום העיוור בקהילה</t>
  </si>
  <si>
    <t>הדרכת עיוור ובני ביתו</t>
  </si>
  <si>
    <t>תעסוקה נתמכת לנכים</t>
  </si>
  <si>
    <t>נכים במשפחות אומנה</t>
  </si>
  <si>
    <t>אחזקת נכים בפנימיות</t>
  </si>
  <si>
    <t>מעונות ממשלתיים שיקום</t>
  </si>
  <si>
    <t>מסגרות לילד המוגבל</t>
  </si>
  <si>
    <t>הסעות לגן שיקומי</t>
  </si>
  <si>
    <t>ליווי להסעות לגן שיקומי</t>
  </si>
  <si>
    <t>נופשונים והבראה לנכים</t>
  </si>
  <si>
    <t>מעון יום שיקומי לנכים</t>
  </si>
  <si>
    <t>מרכז יום לנכים קשים</t>
  </si>
  <si>
    <t>תעסוקה מוגנת למוגבל</t>
  </si>
  <si>
    <t>תוכניות לילד החריג</t>
  </si>
  <si>
    <t>קהילה תומכת לנכים</t>
  </si>
  <si>
    <t>מועדונים חברתיים לבוגרים - רגיש נגיש</t>
  </si>
  <si>
    <t>מרכזי אבחון ושיקום</t>
  </si>
  <si>
    <t>שיקום נכים בקהילה</t>
  </si>
  <si>
    <t>נכים קשים בקהילה</t>
  </si>
  <si>
    <t>מרכז למשפחה</t>
  </si>
  <si>
    <t>סה"כ שירותי אבחון ושיקום</t>
  </si>
  <si>
    <t>שרותי תיקון</t>
  </si>
  <si>
    <t>טיפול בנערות במצוקה</t>
  </si>
  <si>
    <t>מקלטים לנשים מוכות</t>
  </si>
  <si>
    <t>טיפול בנוער ובצעירים</t>
  </si>
  <si>
    <t>שכר עובדי שיקום האסיר</t>
  </si>
  <si>
    <t>טיפול במפגעי סמים - פרוייקטים</t>
  </si>
  <si>
    <t>שכר איתור נוער מכור</t>
  </si>
  <si>
    <t>נוח"ם - נוער חרדי מנותק</t>
  </si>
  <si>
    <t>מפתן חוץ</t>
  </si>
  <si>
    <t>מיתר נירים  מפת"ן מקומי - אחזקה</t>
  </si>
  <si>
    <t>תוכנית מעטפת פעולות</t>
  </si>
  <si>
    <t>נפגעות תקיפה מינית</t>
  </si>
  <si>
    <t>תוכנית מט"ל</t>
  </si>
  <si>
    <t>תוכנית ניצוץ</t>
  </si>
  <si>
    <t>גשר לעצמאות</t>
  </si>
  <si>
    <t xml:space="preserve"> מרחב פתוח לנערות בסיכון</t>
  </si>
  <si>
    <t>יתד פעולות</t>
  </si>
  <si>
    <t xml:space="preserve">סה"כ שירותי תיקון </t>
  </si>
  <si>
    <t>עבודה קהילתית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</si>
  <si>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</si>
  <si>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</si>
  <si>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</si>
  <si>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</si>
  <si>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</si>
  <si>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שיקום שכונות פעולות</t>
  </si>
  <si>
    <t>סה"כ שיקום שכונות</t>
  </si>
  <si>
    <t>ילדים בפנימיות עולים</t>
  </si>
  <si>
    <t>טיפול בזקנים עולים</t>
  </si>
  <si>
    <t>משפחות עולים במצוקה</t>
  </si>
  <si>
    <t>סה"כ שירותים לעולים</t>
  </si>
  <si>
    <t>קליטה</t>
  </si>
  <si>
    <t>הכנסות שונות לקליטה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</si>
  <si>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</si>
  <si>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</si>
  <si>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</si>
  <si>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</si>
  <si>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</si>
  <si>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</si>
  <si>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</si>
  <si>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סה"כ משק המים</t>
  </si>
  <si>
    <t xml:space="preserve">נכסים  </t>
  </si>
  <si>
    <t>הכנסות משכר דירה</t>
  </si>
  <si>
    <t xml:space="preserve">סה"כ נכסים  </t>
  </si>
  <si>
    <t>שוק</t>
  </si>
  <si>
    <t>שוק עירוני דמי תפעול</t>
  </si>
  <si>
    <t>סה"כ שוק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</si>
  <si>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</si>
  <si>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</si>
  <si>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</si>
  <si>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</si>
  <si>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</si>
  <si>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</si>
  <si>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</si>
  <si>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</si>
  <si>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>ביטול יתרות והקטנת הפרשות</t>
  </si>
  <si>
    <t>סה"כ הכנסות מריבית</t>
  </si>
  <si>
    <t>החזר מקרנות והכנסות מיוחדות</t>
  </si>
  <si>
    <t>הכנסות מביטוח לאומי</t>
  </si>
  <si>
    <t>הכנסות מחברת ביטוח</t>
  </si>
  <si>
    <t>קרן פיתוח</t>
  </si>
  <si>
    <t>הכנסות ממכרזים</t>
  </si>
  <si>
    <t>החזרות והכנסות שונות</t>
  </si>
  <si>
    <t>מענקים שונים</t>
  </si>
  <si>
    <t>סה"כ החזר והכנסות מיוחדות</t>
  </si>
  <si>
    <t>סה"כ הכנסות</t>
  </si>
  <si>
    <t>הפרש</t>
  </si>
  <si>
    <t>הלוואות פיתוח</t>
  </si>
  <si>
    <t>הוצאות הנדסה</t>
  </si>
  <si>
    <t>תקורה</t>
  </si>
  <si>
    <t>הכנסות הנדסה</t>
  </si>
  <si>
    <t>העברה מקרן הפיתוח</t>
  </si>
  <si>
    <t>הכנסות בני חיל קורונה</t>
  </si>
  <si>
    <t>הכנסות מצהרונים פנאי העיר</t>
  </si>
  <si>
    <t>הכנסות ספריה עירונית</t>
  </si>
  <si>
    <t>הכנסות מפעילות ספורט</t>
  </si>
  <si>
    <t xml:space="preserve">עיריית חדרה תקציב הוצאות </t>
  </si>
  <si>
    <t>תאור</t>
  </si>
  <si>
    <t>נבחרים</t>
  </si>
  <si>
    <t>שכר נבחרים</t>
  </si>
  <si>
    <t xml:space="preserve">ראה נספח א </t>
  </si>
  <si>
    <t>כיבוד וארוח</t>
  </si>
  <si>
    <t>כיבוד לישיבות הנהלה ומועצה</t>
  </si>
  <si>
    <t>אחזקת רכב וביטוח</t>
  </si>
  <si>
    <t>ראה נספח ב</t>
  </si>
  <si>
    <t>טלפון דואר ומכשירים ניידים</t>
  </si>
  <si>
    <t>הוצאות אחרות</t>
  </si>
  <si>
    <t>הוצאות שונות לסגנים וחברי המועצה</t>
  </si>
  <si>
    <t>סה"כ נבחרים</t>
  </si>
  <si>
    <t>הנהלה ומועצה - עובדים</t>
  </si>
  <si>
    <t>שכר לשכות נבחרים</t>
  </si>
  <si>
    <t>ביטוח בריאות לעובדים</t>
  </si>
  <si>
    <t xml:space="preserve">כיבוד והוצאות ארוח </t>
  </si>
  <si>
    <t xml:space="preserve">ראה נספח ב </t>
  </si>
  <si>
    <t>עבודות קבלניות</t>
  </si>
  <si>
    <t>קשרי חוץ</t>
  </si>
  <si>
    <t>מועצה ציונית</t>
  </si>
  <si>
    <t>פעילות המועצה הציונית</t>
  </si>
  <si>
    <t>מועצת נשים</t>
  </si>
  <si>
    <t xml:space="preserve">יוזמות ראש העיר לאזרחים ותיקים </t>
  </si>
  <si>
    <t>פעילות לצעירים</t>
  </si>
  <si>
    <t>פיתוח מנהיגות קהילתית בשכונות הותיקות</t>
  </si>
  <si>
    <t>קשרי מימשל</t>
  </si>
  <si>
    <t>קופה קטנה + הוצאות שונות</t>
  </si>
  <si>
    <t>אבטחה</t>
  </si>
  <si>
    <t>שירות לתושב</t>
  </si>
  <si>
    <t>הוצאות למזכירות המועצה</t>
  </si>
  <si>
    <t>סה"כ הנהלה ומועצה עובדים</t>
  </si>
  <si>
    <t>מבקר העירייה</t>
  </si>
  <si>
    <t>שכר מבקר העירייה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</si>
  <si>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</si>
  <si>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</si>
  <si>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</si>
  <si>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</si>
  <si>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</si>
  <si>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</si>
  <si>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</si>
  <si>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>חשמל</t>
  </si>
  <si>
    <t>ארכיון העירייה</t>
  </si>
  <si>
    <t>שיפור חזות העיר</t>
  </si>
  <si>
    <t>הוצאות אחרות - מנכ"ל</t>
  </si>
  <si>
    <t>סה"כ לשכת מנכ"ל</t>
  </si>
  <si>
    <t>תקשורת שיווקית</t>
  </si>
  <si>
    <t>שכר דוברות והסברה</t>
  </si>
  <si>
    <t>הוצאות פרסום</t>
  </si>
  <si>
    <t xml:space="preserve">הוצאות פרסום בכלי התקשורת השונים </t>
  </si>
  <si>
    <t>שכר יועץ תקשורת</t>
  </si>
  <si>
    <t>ניו מדיה</t>
  </si>
  <si>
    <t xml:space="preserve">הוצאות שונות   </t>
  </si>
  <si>
    <t>סה"כ תקשורת שיווקית</t>
  </si>
  <si>
    <t>הון אנושי</t>
  </si>
  <si>
    <t>שכר הון אנושי</t>
  </si>
  <si>
    <t>השתלמויות</t>
  </si>
  <si>
    <t>ספרות מקצועית</t>
  </si>
  <si>
    <t>ספרות מקצועית ועיתונים</t>
  </si>
  <si>
    <t>יוזמות ראש העיר לרווחת העובד</t>
  </si>
  <si>
    <t>שכר עובדים לא משובצים</t>
  </si>
  <si>
    <t>סה"כ הון אנושי</t>
  </si>
  <si>
    <t>יחידה משפטית</t>
  </si>
  <si>
    <t>שכר יחידה משפטית</t>
  </si>
  <si>
    <t>ספרות משפטית ודינים</t>
  </si>
  <si>
    <t>הוצאות משפטיות</t>
  </si>
  <si>
    <t>פסיקות בית משפט נגד העירייה</t>
  </si>
  <si>
    <t>ייעוץ משפטי</t>
  </si>
  <si>
    <t>סה"כ יחידה משפטית</t>
  </si>
  <si>
    <t>מערכות מידע</t>
  </si>
  <si>
    <t>שכר מערכות מידע</t>
  </si>
  <si>
    <t>מיכון ועיבוד נתונים</t>
  </si>
  <si>
    <t>רכישת ציוד מחשוב לכלל העירייה.</t>
  </si>
  <si>
    <t>סה"כ מערכות מידע</t>
  </si>
  <si>
    <t>גזברות</t>
  </si>
  <si>
    <t>שכר גזברות</t>
  </si>
  <si>
    <t>ראה נספח א</t>
  </si>
  <si>
    <t>כולל אינטרנט ותקשורת ישירה לבנקים</t>
  </si>
  <si>
    <t xml:space="preserve"> חוו"ד כלכליות </t>
  </si>
  <si>
    <t xml:space="preserve">קופה קטנה והוצאות </t>
  </si>
  <si>
    <t>סה"כ גזברות</t>
  </si>
  <si>
    <t>הנהח"ש ושכר</t>
  </si>
  <si>
    <t>שכר הנהח"ש ושכר</t>
  </si>
  <si>
    <t>קופה קטנה + הוצאות שונות + יעוץ בנושא שכר + 50 אלשח סריקת תיקי עובדים</t>
  </si>
  <si>
    <t>סה"כ הנהח"ש ושכר</t>
  </si>
  <si>
    <t>גבייה ושומה</t>
  </si>
  <si>
    <t>שכר מחלקת גביה</t>
  </si>
  <si>
    <t>כולל משלוח דואר כמותי של חשבונות ארנונה ומים</t>
  </si>
  <si>
    <t xml:space="preserve">עמלת חברת גבייה + חקירות </t>
  </si>
  <si>
    <t>סקר נכסים</t>
  </si>
  <si>
    <t>סה"כ 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</si>
  <si>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</si>
  <si>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</si>
  <si>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</si>
  <si>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</si>
  <si>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</si>
  <si>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</si>
  <si>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</si>
  <si>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</si>
  <si>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</si>
  <si>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</si>
  <si>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</si>
  <si>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</si>
  <si>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</si>
  <si>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</si>
  <si>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</si>
  <si>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</si>
  <si>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</si>
  <si>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</si>
  <si>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הוצאות שונות</t>
  </si>
  <si>
    <t>אגף שפ"ע</t>
  </si>
  <si>
    <t>שכר אגף שפ"ע</t>
  </si>
  <si>
    <t>חשמל במשרדי האגף</t>
  </si>
  <si>
    <t>סה"כ אגף שפ"ע</t>
  </si>
  <si>
    <t>מחלקת תברואה</t>
  </si>
  <si>
    <t>שכר מחלקת תברואה</t>
  </si>
  <si>
    <t>טלפונים ניידים ומירסים</t>
  </si>
  <si>
    <t>סה"כ מחלקת תברואה</t>
  </si>
  <si>
    <t>ניקוי רחובות</t>
  </si>
  <si>
    <t>סה"כ ניקוי רחובות</t>
  </si>
  <si>
    <t>איסוף אשפה</t>
  </si>
  <si>
    <t>איסוף כלי מחזור</t>
  </si>
  <si>
    <t>סה"כ איסוף אשפה</t>
  </si>
  <si>
    <t xml:space="preserve"> רובעים</t>
  </si>
  <si>
    <t>שכר פיקוח תברואי</t>
  </si>
  <si>
    <t>עבודות קבלניות ברבעים</t>
  </si>
  <si>
    <t>סה"כ רובעים</t>
  </si>
  <si>
    <t>פיקוח וטרינרי</t>
  </si>
  <si>
    <t xml:space="preserve">שכר פיקוח וטרינרי </t>
  </si>
  <si>
    <t>חשמל וטרינר</t>
  </si>
  <si>
    <t>חומרים</t>
  </si>
  <si>
    <t>שבבים, ציוד רפואי, חומרי הרדמה, תרופות ומזון</t>
  </si>
  <si>
    <t>סה"כ פיקוח וטרינרי</t>
  </si>
  <si>
    <t>הדברה</t>
  </si>
  <si>
    <t>שירותי הדברה ריסוס מזיקים ועשבייה על מדרכות + קריאות מוקד</t>
  </si>
  <si>
    <t>סה"כ תברואה מונעת</t>
  </si>
  <si>
    <t>מנהל שמירה ובטחון</t>
  </si>
  <si>
    <t>שכר שמירה בטחונית</t>
  </si>
  <si>
    <t>סה"כ מנהל שמירה וביטחון</t>
  </si>
  <si>
    <t>משמר אזרחי</t>
  </si>
  <si>
    <t>חשמל  בבסיסי משא"ז</t>
  </si>
  <si>
    <t>עבודות בבסיסי משא"ז</t>
  </si>
  <si>
    <t>השתתפות בפעילות משא"ז ע"פ מפתח משרד הפנים כולל כיבוד</t>
  </si>
  <si>
    <t>סה"כ משמר אזרחי</t>
  </si>
  <si>
    <t>שיטור עירוני</t>
  </si>
  <si>
    <t>שכר שיטור עירוני</t>
  </si>
  <si>
    <t>יחידת האבטחה</t>
  </si>
  <si>
    <t>שכר יחידת האבטחה</t>
  </si>
  <si>
    <t>סה"כ יחידת האבטחה</t>
  </si>
  <si>
    <t>הג"א</t>
  </si>
  <si>
    <t>שכר מיקלטים</t>
  </si>
  <si>
    <t>תיקונים וחמרים</t>
  </si>
  <si>
    <t>ע"פ מפתח של פיקוד העורף</t>
  </si>
  <si>
    <t>מאור  במקלטים</t>
  </si>
  <si>
    <t>השתתפות בהגא</t>
  </si>
  <si>
    <t>השתתפות בהג"א ע"פ מפתח בינעירוני + השתתפות בנפה איזורית מנשה</t>
  </si>
  <si>
    <t>סה"כ הג"א</t>
  </si>
  <si>
    <t>מינהל מהנדס העיר</t>
  </si>
  <si>
    <t>שכר מהנדס העיר</t>
  </si>
  <si>
    <t xml:space="preserve">ראה נספח ג' </t>
  </si>
  <si>
    <t>חוקי תכנון ובניה</t>
  </si>
  <si>
    <t>סה"כ מינהל מהנדס העיר</t>
  </si>
  <si>
    <t>תכנון עיר</t>
  </si>
  <si>
    <t>שכר תכנון העיר</t>
  </si>
  <si>
    <t xml:space="preserve">ראה נספח א  </t>
  </si>
  <si>
    <t>סה"כ תכנון עיר</t>
  </si>
  <si>
    <t>פיקוח בנייה</t>
  </si>
  <si>
    <t>שכר רישוי ופיקוח בניה</t>
  </si>
  <si>
    <t>סה"כ פיקוח ובנייה</t>
  </si>
  <si>
    <t>פיתוח כבישים</t>
  </si>
  <si>
    <t>שכר פיתוח כבישים</t>
  </si>
  <si>
    <t>סה"כ פיתוח כבישים</t>
  </si>
  <si>
    <t>מחלקת השבחה</t>
  </si>
  <si>
    <t>שכר מחלקת השבחה</t>
  </si>
  <si>
    <t>סה"כ השבחה</t>
  </si>
  <si>
    <t>אחזקת כבישים</t>
  </si>
  <si>
    <t>שכר אחזקת כבישים</t>
  </si>
  <si>
    <t>סה"כ אחזקת כבישים</t>
  </si>
  <si>
    <t>תאורת רחובות</t>
  </si>
  <si>
    <t>שכר תאורת רחובות</t>
  </si>
  <si>
    <t xml:space="preserve">חומרי ציוד מתכלה </t>
  </si>
  <si>
    <t>כלים מכשירים וציוד</t>
  </si>
  <si>
    <t>ציוד לתיקונים שוטפים</t>
  </si>
  <si>
    <t>חשמל ודלק לפעולות</t>
  </si>
  <si>
    <t>הוצאות לתאורת רחובות</t>
  </si>
  <si>
    <t>סה"כ תאורת רחובות</t>
  </si>
  <si>
    <t>בטיחות בדרכים</t>
  </si>
  <si>
    <t>שכר בטיחות בדרכים</t>
  </si>
  <si>
    <t>מטה בטיחות עירוני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</si>
  <si>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</si>
  <si>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</si>
  <si>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</si>
  <si>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</si>
  <si>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</si>
  <si>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>תחזוקת פארקים</t>
  </si>
  <si>
    <t>שירותי אחזקה חיצוניים</t>
  </si>
  <si>
    <t>אחזקת מתקני משחק בגנים ציבוריים + אחזקת הצללות</t>
  </si>
  <si>
    <t>גיזומים ברחבי העיר</t>
  </si>
  <si>
    <t>אחזקת מערכות השקייה</t>
  </si>
  <si>
    <t>פיקוח וייעוץ</t>
  </si>
  <si>
    <t>סה"כ גנים ציבוריים</t>
  </si>
  <si>
    <t>חופים</t>
  </si>
  <si>
    <t>שכר אגף חופים</t>
  </si>
  <si>
    <t>חשמל  בחוף הים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</si>
  <si>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</si>
  <si>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</si>
  <si>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</si>
  <si>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</si>
  <si>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</si>
  <si>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</si>
  <si>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</si>
  <si>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</si>
  <si>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</si>
  <si>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</si>
  <si>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</si>
  <si>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חשבונות טלפון ודואר של כלל העירייה</t>
  </si>
  <si>
    <t>מכשירי כתיבה והדפסה</t>
  </si>
  <si>
    <t xml:space="preserve">ציוד משרדי לכלל העירייה </t>
  </si>
  <si>
    <t>חומרי ניקוי  למשרדי העירייה</t>
  </si>
  <si>
    <t xml:space="preserve">רכישות שונות לכלל העירייה </t>
  </si>
  <si>
    <t>סה"כ רכש ואספקה</t>
  </si>
  <si>
    <t>ארועים ואחזקה</t>
  </si>
  <si>
    <t>שכר מחלקת ארועים ואחזקה</t>
  </si>
  <si>
    <t>סה"כ אירועים ואחזקה</t>
  </si>
  <si>
    <t>מוקד עירוני</t>
  </si>
  <si>
    <t>שכר מוקד עירוני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</si>
  <si>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</si>
  <si>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</si>
  <si>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</si>
  <si>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</si>
  <si>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</si>
  <si>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כלליים</t>
  </si>
  <si>
    <t>דמי חבר לשלטון המקומי</t>
  </si>
  <si>
    <t>על פי מפתח בינעירוני</t>
  </si>
  <si>
    <t>רשות הניקוז</t>
  </si>
  <si>
    <t>הקרן לפיתוח חדרה</t>
  </si>
  <si>
    <t>ע"פ הסכם - השתתפות בפרויקטים</t>
  </si>
  <si>
    <t xml:space="preserve">תמיכות  </t>
  </si>
  <si>
    <t>השתתפות באיגוד ערים לא.ס.</t>
  </si>
  <si>
    <t>סה"כ מוסדות כלליים</t>
  </si>
  <si>
    <t>וועד מקומי</t>
  </si>
  <si>
    <t>שכר ועד מקומי</t>
  </si>
  <si>
    <t>סה"כ וועד מקומי</t>
  </si>
  <si>
    <t>עידוד קייט ותיירות</t>
  </si>
  <si>
    <t>אירועים עירוניים</t>
  </si>
  <si>
    <t>סה"כ עידוד קייט ותיירות</t>
  </si>
  <si>
    <t>עידוד תעשיה ומלאכה</t>
  </si>
  <si>
    <t>שכר מנהלת תעשיות</t>
  </si>
  <si>
    <t>מינהלת עסקים</t>
  </si>
  <si>
    <t>הפעלת מינהלת עסקים בחברה הכלכלית</t>
  </si>
  <si>
    <t>סה"כ עידוד תעשיה ומלאכה</t>
  </si>
  <si>
    <t>אגף אכיפה</t>
  </si>
  <si>
    <t>שכר אגף אכיפה</t>
  </si>
  <si>
    <t>חשמל שיטור עירוני</t>
  </si>
  <si>
    <t>סה"כ אגף אכיפה</t>
  </si>
  <si>
    <t>שכר פיקוח עירוני</t>
  </si>
  <si>
    <t>עמלת זכיין חניה</t>
  </si>
  <si>
    <t>בית משפט לעיניינים מקומיים</t>
  </si>
  <si>
    <t>שכר בית משפט מקומי</t>
  </si>
  <si>
    <t>חשמל במשרדי המחלקה</t>
  </si>
  <si>
    <t xml:space="preserve">עבודות קבלניות </t>
  </si>
  <si>
    <t>שכר לעובדי בית המשפט + אחזקה</t>
  </si>
  <si>
    <t xml:space="preserve">קופה קטנה + הוצאות שונות </t>
  </si>
  <si>
    <t>סה"כ בית משפט לעניינים מקומיים</t>
  </si>
  <si>
    <t>שכר רישוי עסקים</t>
  </si>
  <si>
    <t>מינהל שירותים חקלאיים</t>
  </si>
  <si>
    <t>שכר שירות חקלאי</t>
  </si>
  <si>
    <t>סה"כ מינהל שירותים חקלאיים</t>
  </si>
  <si>
    <t>מינהל חברה וקהילה</t>
  </si>
  <si>
    <t>ניו מדיה שיווק ויח"צ</t>
  </si>
  <si>
    <t>עובדי פנאי העיר במינהל</t>
  </si>
  <si>
    <t>הרשות לבטחון קהילתי</t>
  </si>
  <si>
    <t>הדרך החדשה ברשות לבטחון קהילתי</t>
  </si>
  <si>
    <t>תוכנית הפעלה מפעל הפיס</t>
  </si>
  <si>
    <t>מינהל אגף החינוך</t>
  </si>
  <si>
    <t>שכר אגף החינוך</t>
  </si>
  <si>
    <t>יוזמות חינוכיות</t>
  </si>
  <si>
    <t>הוצאות מחלקת רישום</t>
  </si>
  <si>
    <t>הוצאות תפעול מרכז הוליסטי</t>
  </si>
  <si>
    <t>ביטוח רפואי</t>
  </si>
  <si>
    <t>ביטוח תאונות אישיות לתלמידים</t>
  </si>
  <si>
    <t>סה"כ מינהל החינוך</t>
  </si>
  <si>
    <t>גנ"י חובה</t>
  </si>
  <si>
    <t>שכר סייעות ביום האשה</t>
  </si>
  <si>
    <t>שכר סייעות מחליפות ביום האשה</t>
  </si>
  <si>
    <t>שכר גנ"י עוזרת גננת וממלאות מקום</t>
  </si>
  <si>
    <t>שכר סייעות רפואיות וצמודות בגנים</t>
  </si>
  <si>
    <t>חשמל גנ"י</t>
  </si>
  <si>
    <t>מים גנ"י</t>
  </si>
  <si>
    <t>מחשבים לגני ילדים</t>
  </si>
  <si>
    <t>אחזקת מחשבים בגני ילדים + רכישת מחשבים חדשים</t>
  </si>
  <si>
    <t>בנות שרות לאומי בגנ"י</t>
  </si>
  <si>
    <t xml:space="preserve">בנות שרות לאומי  </t>
  </si>
  <si>
    <t>יוזמות גנ"י + סל תרבות</t>
  </si>
  <si>
    <t>סה"כ גני חובה</t>
  </si>
  <si>
    <t>גני טרום חובה</t>
  </si>
  <si>
    <t>שכר סייעות שניות בגנ"י</t>
  </si>
  <si>
    <t xml:space="preserve">חשמל גנ"י </t>
  </si>
  <si>
    <t xml:space="preserve">מים גנ"י </t>
  </si>
  <si>
    <t>תוכנית ניצנים</t>
  </si>
  <si>
    <t>השתתפות משרד החינוך בצהרונים בסך 300 ש"ח לתלמיד לפי 410 תלמידים שיפוי מלא</t>
  </si>
  <si>
    <t>100%מימון</t>
  </si>
  <si>
    <t>השתתפות בשכר גננות</t>
  </si>
  <si>
    <t>עלות שכר גננות</t>
  </si>
  <si>
    <t>שכר סייעות תגבור בגנים</t>
  </si>
  <si>
    <t>סה"כ גני טרום חובה</t>
  </si>
  <si>
    <t>בתי ספר יסודיים</t>
  </si>
  <si>
    <t>שכר סייעות רפואיות וצמודות בבתי ספר</t>
  </si>
  <si>
    <t>שכר מזכירות ושרתים בבתי ספר יסודיים</t>
  </si>
  <si>
    <t xml:space="preserve">ניהול עצמי בתי ספר </t>
  </si>
  <si>
    <t>מחשבים לבתי ספר</t>
  </si>
  <si>
    <t>שמירה במוס"ח</t>
  </si>
  <si>
    <t>שמירה בבתי ספר עבור 12 חודשים</t>
  </si>
  <si>
    <t>ניהול עצמי בתי ספר + מכיל + יסודי נוסף</t>
  </si>
  <si>
    <t>סה"כ בתי ספר יסודיים</t>
  </si>
  <si>
    <t>בתי ספר מיוחדים</t>
  </si>
  <si>
    <t>שכר בתי ספר מיוחדים</t>
  </si>
  <si>
    <t>מזון והפעלה למעון גלאור גלים ופאר צור, ישנו גדול בהכנסות להזנה</t>
  </si>
  <si>
    <t>סה"כ בתי ספר מיוחדים</t>
  </si>
  <si>
    <t>טכנודע</t>
  </si>
  <si>
    <t>שכר טכנודע</t>
  </si>
  <si>
    <t>חשמל ומים טכנודע</t>
  </si>
  <si>
    <t xml:space="preserve">העברת תקציב חשמל ומים לטכנודע </t>
  </si>
  <si>
    <t>השתתפות בטכנודע</t>
  </si>
  <si>
    <t>סה"כ טכנודע</t>
  </si>
  <si>
    <t>מוסדות מוכרים שאינם רשמיים</t>
  </si>
  <si>
    <t>העברה ישירה למוסדות ע"פ חוק נהרי כולל מים וחשמל לפי 100% לתלמיד.</t>
  </si>
  <si>
    <t>שכר סייעות כיתתיות ותגבור בבתי הספר</t>
  </si>
  <si>
    <t>חינוך משלים</t>
  </si>
  <si>
    <t>אגרות תלמידי חוץ</t>
  </si>
  <si>
    <t>תשלום עבור תלמידים הלומדים מחוץ לחדרה</t>
  </si>
  <si>
    <t>סה"כ חינוך משלים</t>
  </si>
  <si>
    <t>חווה חקלאית</t>
  </si>
  <si>
    <t>שכר חווה חקלאית</t>
  </si>
  <si>
    <t>סה"כ חווה חקלאית</t>
  </si>
  <si>
    <t>חטיבות ביינים</t>
  </si>
  <si>
    <t>העברות משרד החינוך לשרתים ומזכירות שאינם עובדי עירייה</t>
  </si>
  <si>
    <t>הקצבות לחט"ב</t>
  </si>
  <si>
    <t>סה"כ חטיבות ביינים</t>
  </si>
  <si>
    <t>סה"כ בתי"ס תיכון עיוניים</t>
  </si>
  <si>
    <t>אחזקה אשכול פיס</t>
  </si>
  <si>
    <t>קרן מלגות ראש העיר</t>
  </si>
  <si>
    <t>סה"כ חינוך גבוה</t>
  </si>
  <si>
    <t>מרכז פסג"ה</t>
  </si>
  <si>
    <t>שכר פסג"ה</t>
  </si>
  <si>
    <t>סה"כ מרכז פיסג"ה</t>
  </si>
  <si>
    <t>שירות פסיכולוגי</t>
  </si>
  <si>
    <t>שכר שירות פסיכולוגי חינוכי</t>
  </si>
  <si>
    <t>סדנאות והשתלמויות במימון משרד החינוך</t>
  </si>
  <si>
    <t>צילומים שכפולים וועד בית והוצאות שונות לשרות פסיכולוגי</t>
  </si>
  <si>
    <t>פסיכולוגים עבודה נוספת</t>
  </si>
  <si>
    <t>סה"כ שירות פסיכולוגי</t>
  </si>
  <si>
    <t>רווחה חינוכית</t>
  </si>
  <si>
    <t>חוגים ופעולות שונות ברווחה חינוכית + שיקום</t>
  </si>
  <si>
    <t>התוכנית הלאומית לילדים ונוער בסיכון 360</t>
  </si>
  <si>
    <t>תוכניות: אור, מעגן, קשת מעגן, מרכז לגיל הרך, חיזוק משאבי התמודדות, התקשרות</t>
  </si>
  <si>
    <t>סה"כ רווחה חינוכית</t>
  </si>
  <si>
    <t>הסעות תלמידים</t>
  </si>
  <si>
    <t>הסעת ילדים - הובלות</t>
  </si>
  <si>
    <t>תשלומים בגין הסעת תלמידים לבתי ספר כפוף לוועדה + מכיל + ליווי</t>
  </si>
  <si>
    <t>סה"כ הסעות תלמידים</t>
  </si>
  <si>
    <t>אחזקת מבני חינוך</t>
  </si>
  <si>
    <t>הוצאות בגין שיפוצי קיץ</t>
  </si>
  <si>
    <t>כספים שהתקבלו ממשרד החינוך</t>
  </si>
  <si>
    <t>סה"כ אחזקת מבני חינוך</t>
  </si>
  <si>
    <t>תוכנית 360</t>
  </si>
  <si>
    <t>התוכנית הלאומית לילדים ונוער בסיכון</t>
  </si>
  <si>
    <t xml:space="preserve">מרכז נוער ישובי </t>
  </si>
  <si>
    <t>השתתפות בעמותת פנאי העיר</t>
  </si>
  <si>
    <t>תשלומים בגין כספים שהתקבלו</t>
  </si>
  <si>
    <t>תשלומים בגין כספים שהתקבלו ממשרדי ממשלה - מותנה בהכנסות ממשרדי הממשלה</t>
  </si>
  <si>
    <t>העברה עבור מרחבים קהילתיים</t>
  </si>
  <si>
    <t>סה"כ פעולות תרבות</t>
  </si>
  <si>
    <t>ספריות</t>
  </si>
  <si>
    <t>שכר ספרייה עירונית</t>
  </si>
  <si>
    <t>עובדי פנאי העיר בספריות</t>
  </si>
  <si>
    <t>סה"כ סיפריות</t>
  </si>
  <si>
    <t>הקצבות למתנ"ס</t>
  </si>
  <si>
    <t>ארועי יום העצמאות במערב העיר</t>
  </si>
  <si>
    <t>יום העצמאות ואירועים נוספים</t>
  </si>
  <si>
    <t>סה"כ מתנ"ס</t>
  </si>
  <si>
    <t>אגף אתו"ס</t>
  </si>
  <si>
    <t>שכר אגף אתו"ס</t>
  </si>
  <si>
    <t>סה"כ אתו"ס</t>
  </si>
  <si>
    <t>מחול מוסיקה ואומנויות הבמה</t>
  </si>
  <si>
    <t>להקת מחול עירונית</t>
  </si>
  <si>
    <t>מרכז צעירים</t>
  </si>
  <si>
    <t xml:space="preserve">אומנויות הבמה </t>
  </si>
  <si>
    <t>סה"כ מחול ומוסיקה</t>
  </si>
  <si>
    <t>מחלקת אירועים</t>
  </si>
  <si>
    <t>עובדי פנאי העיר במחלקת אירועים</t>
  </si>
  <si>
    <t>אירועים במימון חיצוני</t>
  </si>
  <si>
    <t>מותנה בהרשאות חיצוניות</t>
  </si>
  <si>
    <t>סה"כ מחלקת אירועים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</si>
  <si>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</si>
  <si>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</si>
  <si>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</si>
  <si>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</si>
  <si>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</si>
  <si>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>סה"כ גן המיסדים</t>
  </si>
  <si>
    <t>מחלקות תורניות</t>
  </si>
  <si>
    <t>שכר מחלקות תורניות</t>
  </si>
  <si>
    <t>פעולות תרבות וקהילה</t>
  </si>
  <si>
    <t>פעולות תרבות תורנית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</si>
  <si>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</si>
  <si>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</si>
  <si>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</si>
  <si>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באחריות כל המחלקות</t>
  </si>
  <si>
    <t>סה"כ מחלקות  תורניות</t>
  </si>
  <si>
    <t>אגף נוצ"ץ</t>
  </si>
  <si>
    <t>שכר אגף נוצ"ץ</t>
  </si>
  <si>
    <t>סה"כ אגף נוצ"ץ</t>
  </si>
  <si>
    <t>מחלקת נוער</t>
  </si>
  <si>
    <t>שכר מחלקת נוער</t>
  </si>
  <si>
    <t>עובדי פנאי העיר במחלקת נוער</t>
  </si>
  <si>
    <t>סה"כ מחלקת נוער</t>
  </si>
  <si>
    <t>מועדוני נוער</t>
  </si>
  <si>
    <t>שכר מועדוני נוער</t>
  </si>
  <si>
    <t>ראה נספח א עובדי העירייה בפנאי העיר</t>
  </si>
  <si>
    <t>סה"כ מועדוני נוער</t>
  </si>
  <si>
    <t>מחלקת צעירים ומשפחות צעירות</t>
  </si>
  <si>
    <t>שכר מחלקת צעירים</t>
  </si>
  <si>
    <t>סה"כ צעירים ומשפחות צעירות</t>
  </si>
  <si>
    <t>סה"כ מוקד קליטה</t>
  </si>
  <si>
    <t>ספורט עירוני</t>
  </si>
  <si>
    <t>שכר ספורט עירוני</t>
  </si>
  <si>
    <t>סלע + קלרין + בית שמואל</t>
  </si>
  <si>
    <t>עובדי פנאי העיר במחלקת ספורט</t>
  </si>
  <si>
    <t>פעילות, ציוד, משרדיות ופרויקט "זוזו"</t>
  </si>
  <si>
    <t>העברות לאגודות הספורט ע"פ סל הספורט</t>
  </si>
  <si>
    <t>מותנה בהכנסה ממנהל הספורט</t>
  </si>
  <si>
    <t>הפעלת אנרבוקס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</si>
  <si>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</si>
  <si>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</si>
  <si>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</si>
  <si>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</si>
  <si>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</si>
  <si>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</si>
  <si>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</si>
  <si>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לפי גרעון נט"ן</t>
  </si>
  <si>
    <t>סה"כ נט"ן</t>
  </si>
  <si>
    <t>שכר מינהל רווחה</t>
  </si>
  <si>
    <t>ראה נספח א השתתפות משרד הרווחה ב - 75% משכר הבסיס</t>
  </si>
  <si>
    <t>תיקונים ציוד, חומרים מתכלים והוצאות שונות</t>
  </si>
  <si>
    <t>יוזמות אגפיות</t>
  </si>
  <si>
    <t>הוצאות בחירום פיס</t>
  </si>
  <si>
    <t>שכר טיפול בדרי רחוב</t>
  </si>
  <si>
    <t>טיפול באלכוהוליסטים - פעולות</t>
  </si>
  <si>
    <t>עזרה חומרית למשפחות במצוקה</t>
  </si>
  <si>
    <t>מימון 100% משרד הרווחה עבור משפחות החיות בעוני והדרה</t>
  </si>
  <si>
    <t>מימון 75%</t>
  </si>
  <si>
    <t>שכר תחנה לטיפול משפחתי</t>
  </si>
  <si>
    <t>שכר עובדי אלימות</t>
  </si>
  <si>
    <t xml:space="preserve">תחנה לטיפול משפחתי </t>
  </si>
  <si>
    <t>שכר מודל קליטה ליוצאי צרפת</t>
  </si>
  <si>
    <t>סה"כ טיפול פרט ומשפחה</t>
  </si>
  <si>
    <t>טיפול בילד ובנוער</t>
  </si>
  <si>
    <t>שכר לטיפול בילד בקהילה</t>
  </si>
  <si>
    <t>שכר לטיפול בהורים וילדיהם</t>
  </si>
  <si>
    <t>הפעלת המרכז להורים וילדים</t>
  </si>
  <si>
    <t>יצירת קשר הורים - ילדים</t>
  </si>
  <si>
    <t>מפגשים בין ילדים להורים גרושים</t>
  </si>
  <si>
    <t>מועדונים חוגים טיפוח ובדיקות פסיכולוגיות</t>
  </si>
  <si>
    <t>טיפול בילדים בסיכון הפעלת חוק סדרי דין</t>
  </si>
  <si>
    <t>הוצאות נסיעה דחופות ע"פ דין</t>
  </si>
  <si>
    <t>שכר יצירת קשר</t>
  </si>
  <si>
    <t>סיוע לצעירים בסיכון</t>
  </si>
  <si>
    <t>שכר תוכנית לאומית לילד ולנוער</t>
  </si>
  <si>
    <t>אחזקת ילדים בפנימיות</t>
  </si>
  <si>
    <t>טיפול במשפחות אמנה</t>
  </si>
  <si>
    <t xml:space="preserve">נתיבים להורות, מועדונית מתבגרים, מועדונית טיפולית גני אלון, מועדונית גיל רך סנונית, מועדונית גיל רך נירית </t>
  </si>
  <si>
    <t>טיפול בפגיעות מיניות בילדים</t>
  </si>
  <si>
    <t>סה"כ טיפול בילד</t>
  </si>
  <si>
    <t>טיפול בקשישים</t>
  </si>
  <si>
    <t>שירותים תומכים לקשישים</t>
  </si>
  <si>
    <t>מועדונים חברתיים +  מועדוני מופ"ת 100%</t>
  </si>
  <si>
    <t xml:space="preserve">טיפול בזקן בקהילה  </t>
  </si>
  <si>
    <t>עזרה ביתית, ציוד , נסיעות לטיפולים רפואיים ועוד.</t>
  </si>
  <si>
    <t xml:space="preserve">החזר ב-  100% </t>
  </si>
  <si>
    <t>מועדונים אזרח ותיק</t>
  </si>
  <si>
    <t>מועשרים 75%, הועבר מטיפול בניצולי שואה</t>
  </si>
  <si>
    <t>מרכזי יום לקשיש</t>
  </si>
  <si>
    <t>עבור הפעלת שני מרכזי יום לקשיש - תוספת תקציבית מול פתיחת ההסכם</t>
  </si>
  <si>
    <t>סה"כ  טיפול בקשישים</t>
  </si>
  <si>
    <t>טיפול במפגר</t>
  </si>
  <si>
    <t>סידור מפגרים מבוגרים במוסדות ממשלתיים</t>
  </si>
  <si>
    <t>הפעלת מעון גלאור לאחר מסגרת החינוך</t>
  </si>
  <si>
    <t xml:space="preserve">טיפול בהורים וילדיהם - אוטיסטים </t>
  </si>
  <si>
    <t>מפגרים במעון אימוני</t>
  </si>
  <si>
    <t>מרכז יום שיקומי למפגר</t>
  </si>
  <si>
    <t>הסעות + ליווי לאוטיסטים בתעסוקה נתמכת</t>
  </si>
  <si>
    <t>מע"ש</t>
  </si>
  <si>
    <t>שכר עובדי מע"ש</t>
  </si>
  <si>
    <t>תיקונים מע"ש</t>
  </si>
  <si>
    <t>תיקונים במבנה מע"ש</t>
  </si>
  <si>
    <t>חומרים לעבודה במע"ש</t>
  </si>
  <si>
    <t>משכורות לחניכים והוצאות שונות</t>
  </si>
  <si>
    <t>ארוחות מע"ש</t>
  </si>
  <si>
    <t xml:space="preserve">ארוחות לתלמידי המע"ש </t>
  </si>
  <si>
    <t>חניכים במע"ש חוץ</t>
  </si>
  <si>
    <t xml:space="preserve">הסעות מע"ש+ קשישות למרכזי יום + שווים במדים. לפי מכרזים חדשים </t>
  </si>
  <si>
    <t>מועדונים חברתיים למפגר</t>
  </si>
  <si>
    <t>סה"כ טיפול במפגר כולל מע"ש</t>
  </si>
  <si>
    <t>אבחון ושיקום נכים</t>
  </si>
  <si>
    <t>שכר מועדונים לעיוור</t>
  </si>
  <si>
    <t>הדרכה ושכ"ל לעוורים</t>
  </si>
  <si>
    <t>מורות להדרכה ביתית</t>
  </si>
  <si>
    <t>ילדים עיוורים בקהילה</t>
  </si>
  <si>
    <t>שילוב נכים בשוק התעסוקה</t>
  </si>
  <si>
    <t>סידור נכה אחד במוסד ממשלתי</t>
  </si>
  <si>
    <t>ילדים נכים הזקוקים לסידור חוץ ביתי</t>
  </si>
  <si>
    <t>תשלום עבור הוצאות למשפחות</t>
  </si>
  <si>
    <t xml:space="preserve">מסגרות יום לילד המוגבל </t>
  </si>
  <si>
    <t>שילוב ילדים נכויות במסגרות</t>
  </si>
  <si>
    <t>הסעות ע"פ חוק פעוטות בסיכון</t>
  </si>
  <si>
    <t>מ. יום שיקומי לנכים</t>
  </si>
  <si>
    <t>ע"פ חוק</t>
  </si>
  <si>
    <t>שכר קהילה תומכת</t>
  </si>
  <si>
    <t>סייעות וליויי לילדים עם נכויות</t>
  </si>
  <si>
    <t>מתן שירותי סיוע 24/7 לנכים</t>
  </si>
  <si>
    <t>מרכז לאבחון רמת נכות ושיקום</t>
  </si>
  <si>
    <t>עזרה בתית הדרכה וטיפוח</t>
  </si>
  <si>
    <t>עזרה בתית וטיפול בנכה בבית</t>
  </si>
  <si>
    <t>פעילות מועדונים חברתיים לבוגרים רגיש - נגיש</t>
  </si>
  <si>
    <t>שכר מרכז למשפחה</t>
  </si>
  <si>
    <t>סה"כ שיקום נכים</t>
  </si>
  <si>
    <t>שרותי תקון</t>
  </si>
  <si>
    <t>שכר טיפול בנערות במצוקה</t>
  </si>
  <si>
    <t>תקציב עבור נשות חדרה המופנות למקלטים בערים אחרות</t>
  </si>
  <si>
    <t>מרכז יום להתמכרויות</t>
  </si>
  <si>
    <t>אישור המשרד למרכז יום חדש</t>
  </si>
  <si>
    <t>טיפול בנפגעי סמים - פרויקטים</t>
  </si>
  <si>
    <t>פרויקטים מיוחדים + עולים על דרך</t>
  </si>
  <si>
    <t>מפת"ן חוץ</t>
  </si>
  <si>
    <t>מפת"ן מקומי - אחזקה מיתר נירים</t>
  </si>
  <si>
    <t>שכר מפת"ן מיתר נירים</t>
  </si>
  <si>
    <t>שכר נוח"ם</t>
  </si>
  <si>
    <t>שכר נפגעות תקיפה מינית</t>
  </si>
  <si>
    <t>השתתפות 75% משרד הרווחה</t>
  </si>
  <si>
    <t>שכר תכנית מט"ל</t>
  </si>
  <si>
    <t>תוכנית מט"ל פעולות</t>
  </si>
  <si>
    <t>מרכז טיפולי לנוער</t>
  </si>
  <si>
    <t>שכר תוכנית ניצוץ</t>
  </si>
  <si>
    <t>פעולות תוכנית ניצוץ</t>
  </si>
  <si>
    <t>שכר מרחב פתוח לנערות בסיכון</t>
  </si>
  <si>
    <t>מרחב פתוח לנערות בסיכון פעולות</t>
  </si>
  <si>
    <t>סה"כ שירותי תיקון</t>
  </si>
  <si>
    <t>פעולות בקהילה</t>
  </si>
  <si>
    <t>תוכנית מיפנה.קהילה נגישה, וועדי שכונות , לימודים להפעלה עצמית</t>
  </si>
  <si>
    <t>הוצאות למתנדבים</t>
  </si>
  <si>
    <t>עבור הוצאות נסיעה, פרסומים ושבוע ההתנדבות</t>
  </si>
  <si>
    <t>לשכת ייעוץ שי"ל</t>
  </si>
  <si>
    <t>לשכת ייעוץ לאזרח, אחזקה שוטפת</t>
  </si>
  <si>
    <t>סה"כ פעולות בקהילה</t>
  </si>
  <si>
    <t>הוצאות שיקום שכונות תנופה</t>
  </si>
  <si>
    <t>הוצ שיקום שכונות</t>
  </si>
  <si>
    <t xml:space="preserve">סה"כ שיקום שכונות </t>
  </si>
  <si>
    <t>סיוע ביתי ונסיעות לטיפולים והשתתפות בשכונות תומכות- גידול בתעריף</t>
  </si>
  <si>
    <t xml:space="preserve">משפחות עולים במצוקה </t>
  </si>
  <si>
    <t>עזרה ביתית ציוד ונסיעות לטיפולים רפואיים-גידול בתעריף</t>
  </si>
  <si>
    <t>שירותי דת</t>
  </si>
  <si>
    <t>השתתפות לשירותי דת</t>
  </si>
  <si>
    <t>סה"כ שירותי דת</t>
  </si>
  <si>
    <t>מדור קליטה</t>
  </si>
  <si>
    <t>שכר מדור קליטה</t>
  </si>
  <si>
    <t>עידוד עליה</t>
  </si>
  <si>
    <t>הפעלת מועדון עירוני לעולי קווקז</t>
  </si>
  <si>
    <t>פעולות שונות לקליטה</t>
  </si>
  <si>
    <t>סה"כ קליטה ועליה</t>
  </si>
  <si>
    <t>שכר איכות סביבה</t>
  </si>
  <si>
    <t xml:space="preserve">הוצאות אחרות </t>
  </si>
  <si>
    <t>ביגוד, הדרכה, סדנא ושונות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</si>
  <si>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</si>
  <si>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</si>
  <si>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</si>
  <si>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</si>
  <si>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</si>
  <si>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</si>
  <si>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קצין רכב + שטיפת רכבי העירייה + הוצאות המחלקה</t>
  </si>
  <si>
    <t>פנסייה</t>
  </si>
  <si>
    <t>שכר פנסיונרים</t>
  </si>
  <si>
    <t>ראה נספח א-1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</si>
  <si>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</si>
  <si>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</si>
  <si>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</si>
  <si>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</si>
  <si>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</si>
  <si>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</si>
  <si>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</si>
  <si>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</si>
  <si>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</si>
  <si>
    <t>גירעון</t>
  </si>
  <si>
    <t>גינה קהילתית</t>
  </si>
  <si>
    <t>השתתפות מ. החקלאות בגינה קהילתית</t>
  </si>
  <si>
    <t>תחום צה"ל</t>
  </si>
  <si>
    <t>מחלקת שותפויות בקהילה</t>
  </si>
  <si>
    <t>שכר שותפויות בקהילה</t>
  </si>
  <si>
    <t>מימון מלא</t>
  </si>
  <si>
    <t>שיפור שירות לתושב</t>
  </si>
  <si>
    <t>השתלמויות מקצועיות לעובדים, העברת כלל ההשתלמויות לתקציב הון אנושי</t>
  </si>
  <si>
    <t>ליווי פרישה, יועץ פנסיוני, ליווי עובדים במצוקה,תחזוקת מערכות המחשוב והשעונים, פיתוח ארגוני, הדרכה ורווחת הפרט</t>
  </si>
  <si>
    <t>טקס עובדים מצטיינים ופורשים + סוכות אבלים לעובדיי ערייה 100 אלש"ח + 120 אלש"ח עבור הרמות כוסית וימי גיבוש לכלל האגפים, שי לחג, סדנת פרישה, פעילות תרבות לעובדים</t>
  </si>
  <si>
    <t>קופה קטנה + הוצאות שונות + דמי חבר</t>
  </si>
  <si>
    <t>עבודות תיקון אחזקה והתקנת מחשבים לכלל העירייה</t>
  </si>
  <si>
    <t xml:space="preserve"> מדידות שטחים לצרכי ארנונה</t>
  </si>
  <si>
    <t>חשמל לתאורת רחובות, במסגרת הסכם התייעלות אנרגטית, הכסף מועבר לחכ"ל</t>
  </si>
  <si>
    <t xml:space="preserve">תוכנות מכונות צילום ויועצים + שיפור שירות </t>
  </si>
  <si>
    <t>קבלני תחזוקה שונים + מעלית + שירותי ניקיון במשרדים + אינסטלטורים</t>
  </si>
  <si>
    <t>מספר</t>
  </si>
  <si>
    <t>סעיף תקציבי</t>
  </si>
  <si>
    <t>אגף/מחלקה</t>
  </si>
  <si>
    <t>בעל הנכס</t>
  </si>
  <si>
    <t>מהות שימוש</t>
  </si>
  <si>
    <t>כתובת</t>
  </si>
  <si>
    <t>תאריך סיום חוזה</t>
  </si>
  <si>
    <t>תשלום חודשי בשקלים לא כולל מע"מ והצמדה</t>
  </si>
  <si>
    <t>תשלום חודשי בשקלים כולל מע"מ והצמדה</t>
  </si>
  <si>
    <t>סה"כ לשנה כולל מע"מ והצמדה</t>
  </si>
  <si>
    <t>סה"כ</t>
  </si>
  <si>
    <t>מנהל</t>
  </si>
  <si>
    <t>זברקו דירות חדרה (93) בע"מ</t>
  </si>
  <si>
    <t>מבקרת העירייה</t>
  </si>
  <si>
    <t>רחוב הלל יפה 28 (קומה 1)</t>
  </si>
  <si>
    <t>זברקו חברה לבנין והשקעות בע"מ</t>
  </si>
  <si>
    <t>אגף משאבי אנוש</t>
  </si>
  <si>
    <t>רחוב הלל יפה 15 (קומה 2)</t>
  </si>
  <si>
    <t>בנק דיסקונט לישראל בע"מ - המחאת זכויות מחברת מ.מ. בוני המרכז חברה לבנין והשקעות בע"מ</t>
  </si>
  <si>
    <t>הלשכה המשפטית</t>
  </si>
  <si>
    <t>רחוב הלל יפה 11 (קומה 2), בניין קורן MST1</t>
  </si>
  <si>
    <t>שפ"ע</t>
  </si>
  <si>
    <t>ריט 1 בע"מ</t>
  </si>
  <si>
    <t>יהודי פקיעין 1 (מתחם שערי חדרה)</t>
  </si>
  <si>
    <t>הנדסה/אכיפה</t>
  </si>
  <si>
    <t>קוסטרן בע"מ</t>
  </si>
  <si>
    <t>רישוי עסקים, מבני ציבור  ומבנים מסוכנים</t>
  </si>
  <si>
    <t>רחוב הרברט סמואל 51 (קומת קרקע)</t>
  </si>
  <si>
    <t>הנדסה/מנהל</t>
  </si>
  <si>
    <t>זברקו מבנים (1971) בע"מ</t>
  </si>
  <si>
    <t>נכסים + פיתוח תשתיות + נהלים + פניות הציבור</t>
  </si>
  <si>
    <t>הלל יפה 25 (קומה 4)</t>
  </si>
  <si>
    <t>מנהלה</t>
  </si>
  <si>
    <t>מרכזי מסחר (אזו-ריט) בע"מ</t>
  </si>
  <si>
    <t>משרד הרישוי</t>
  </si>
  <si>
    <t>קניון עופר לב חדרה, רחוב רוטשילד 40 (קומה 2)</t>
  </si>
  <si>
    <t>חינוך</t>
  </si>
  <si>
    <t>מד. משקוף ודלת ייצור דלתות בע"מ</t>
  </si>
  <si>
    <t>רחוב קומבה 10</t>
  </si>
  <si>
    <t>לא ידוע</t>
  </si>
  <si>
    <t>רווחה</t>
  </si>
  <si>
    <t>שי כרכור יזמות בע"מ</t>
  </si>
  <si>
    <t>משרדי אגף הרווחה החדשים</t>
  </si>
  <si>
    <t>רחוב הרברט סמואל פינת הרצל (קומה 1)</t>
  </si>
  <si>
    <t>יהודה לוי - רואה חשבון</t>
  </si>
  <si>
    <t>הרברט סמואל 59 (קומה7)</t>
  </si>
  <si>
    <t>נכסי משפחת שבי מ.בע"מ</t>
  </si>
  <si>
    <t>לוי יחזקאל + לוי מלכה + עדנה שרעבי</t>
  </si>
  <si>
    <t>הלל יפה 25 (קומה 2)</t>
  </si>
  <si>
    <t>הלל יפה 25 (קומה 3)</t>
  </si>
  <si>
    <t>אוריאל חן השקעות בע"מ</t>
  </si>
  <si>
    <t>מרכז עוצמ"ה</t>
  </si>
  <si>
    <t>רחוב הנשיא ויצמן 24 (קומה 2)</t>
  </si>
  <si>
    <t>עמידר החברה הלאומית לשיכון בישראל בע"מ</t>
  </si>
  <si>
    <t>מועדונית מקס"ם - שכונת פאר</t>
  </si>
  <si>
    <t>רחוב מיכאל חזני 12</t>
  </si>
  <si>
    <t>בהליכי כריתת חוזה</t>
  </si>
  <si>
    <t xml:space="preserve">רווחה </t>
  </si>
  <si>
    <t>יוניברסל מוטורס ישראל בע"מ</t>
  </si>
  <si>
    <t>המדור לטיפול בהתמכרויות + מנהלת איזור התעשייה</t>
  </si>
  <si>
    <t>רחוב פרידלנדר פינת מנא"י</t>
  </si>
  <si>
    <t>אוריאל חן השקעות בע"מ + רעמים אוז בע"מ</t>
  </si>
  <si>
    <t>מט"ל - מרכז לנוער בסיכון</t>
  </si>
  <si>
    <t>רחוב הנשיא ויצמן 16 (קומה 1)</t>
  </si>
  <si>
    <t>זיווה עובדיה השקעות בע"מ + רוט לוי עופר + פוס עדנה + בן יעקב ליאורה</t>
  </si>
  <si>
    <t>מרחב הל"ב</t>
  </si>
  <si>
    <t>רחוב הנשיא ויצמן 43</t>
  </si>
  <si>
    <t>ללא תמורה</t>
  </si>
  <si>
    <t>ויצו הסתדרות עולמית לנשים ציוניות (ע"ר)</t>
  </si>
  <si>
    <t>מועדונית לילדים בסיכון</t>
  </si>
  <si>
    <t>רחוב הגיבורים 57</t>
  </si>
  <si>
    <t>אכיפה</t>
  </si>
  <si>
    <t>נקודת שיטור קהילתי (משא"ז)</t>
  </si>
  <si>
    <t>קניון לב חדרה, רחוב רוטשילד 40 (קומת קרקע)</t>
  </si>
  <si>
    <t xml:space="preserve">מנהל חברה קהילה ואגף החינוך </t>
  </si>
  <si>
    <t>שי חי יזמות והשקעות בע"מ</t>
  </si>
  <si>
    <t>משרדי מנהל חבק"ל ואגף החינוך</t>
  </si>
  <si>
    <t>רחוב הלל יפה 20 (קומה 7)</t>
  </si>
  <si>
    <t>נמצא בהליכי התאמות- לא ידוע מועד מסירת חזקה</t>
  </si>
  <si>
    <t>קורן אמ.אס.תי. בוני המרכז - חברה לבניין והשקעות בע"מ</t>
  </si>
  <si>
    <t>משרדי מחלקת רכש</t>
  </si>
  <si>
    <t>רחוב הלל יפה 11 (קומה 1) בניין קורן MST2</t>
  </si>
  <si>
    <t>ישיבת בני עקיבא בית שמואל- מרכז ישיבות בני עקיבא</t>
  </si>
  <si>
    <t>בית ספר חב"ד</t>
  </si>
  <si>
    <t>מול חט"ב בני עקיבא בית שמואל (קומות ב+ג)</t>
  </si>
  <si>
    <t>ככל ולא יהא תקצוב ממשרד החינוך, תשלם העירייה סכום של 74,520 ₪ למשך שנה שלמה</t>
  </si>
  <si>
    <t>26</t>
  </si>
  <si>
    <t>סה"כ (מעוגל לאלפים)</t>
  </si>
  <si>
    <t>בית משפט לעניינים מקומיים</t>
  </si>
  <si>
    <t>מס</t>
  </si>
  <si>
    <t>מס' רישוי</t>
  </si>
  <si>
    <t>שם נהג</t>
  </si>
  <si>
    <t>תאור 
קבוצה</t>
  </si>
  <si>
    <t>מיון</t>
  </si>
  <si>
    <t>שנת 
ייצור</t>
  </si>
  <si>
    <t>יצרן</t>
  </si>
  <si>
    <t>דגם</t>
  </si>
  <si>
    <t>סוג</t>
  </si>
  <si>
    <t>ת.רישוי</t>
  </si>
  <si>
    <t>אפיון 
למיסוי</t>
  </si>
  <si>
    <t>תאריך
 קניה</t>
  </si>
  <si>
    <t>פנימי</t>
  </si>
  <si>
    <t>מטה ומינהלה</t>
  </si>
  <si>
    <t>1</t>
  </si>
  <si>
    <t>63292101</t>
  </si>
  <si>
    <t>1611000530</t>
  </si>
  <si>
    <t>צביקה גנדלמן</t>
  </si>
  <si>
    <t>בכירים</t>
  </si>
  <si>
    <t>סקודה</t>
  </si>
  <si>
    <t>קודיאק</t>
  </si>
  <si>
    <t>פרטי</t>
  </si>
  <si>
    <t>צמוד</t>
  </si>
  <si>
    <t>2</t>
  </si>
  <si>
    <t>84997601</t>
  </si>
  <si>
    <t>1611100530</t>
  </si>
  <si>
    <t>גיורא שחר</t>
  </si>
  <si>
    <t>סגנים/עוזרים</t>
  </si>
  <si>
    <t>בבר אפללו</t>
  </si>
  <si>
    <t>יונדאי</t>
  </si>
  <si>
    <t>יוניק</t>
  </si>
  <si>
    <t>3</t>
  </si>
  <si>
    <t>42785501</t>
  </si>
  <si>
    <t>איציק נחמני</t>
  </si>
  <si>
    <t>קאיה</t>
  </si>
  <si>
    <t>נירו</t>
  </si>
  <si>
    <t>4</t>
  </si>
  <si>
    <t>1613000530</t>
  </si>
  <si>
    <t>5</t>
  </si>
  <si>
    <t>22437302</t>
  </si>
  <si>
    <t>זיגדון יעקב</t>
  </si>
  <si>
    <t>טויוטה</t>
  </si>
  <si>
    <t>קאמרי</t>
  </si>
  <si>
    <t>מחלקת מחשוב</t>
  </si>
  <si>
    <t>6</t>
  </si>
  <si>
    <t>1618000530</t>
  </si>
  <si>
    <t>חזוט משה</t>
  </si>
  <si>
    <t>פיקנטו</t>
  </si>
  <si>
    <t>עבודה</t>
  </si>
  <si>
    <t>וועדה חקלאית</t>
  </si>
  <si>
    <t>7</t>
  </si>
  <si>
    <t>47476701</t>
  </si>
  <si>
    <t>1791000530</t>
  </si>
  <si>
    <t>חומרי חיים</t>
  </si>
  <si>
    <t>ו.חקלאית</t>
  </si>
  <si>
    <t>איסוזו</t>
  </si>
  <si>
    <t>דימקס</t>
  </si>
  <si>
    <t>מסחרי</t>
  </si>
  <si>
    <t>8</t>
  </si>
  <si>
    <t>1827000530</t>
  </si>
  <si>
    <t>לוי ניסים</t>
  </si>
  <si>
    <t>תינוך תורני</t>
  </si>
  <si>
    <t>אגף ההון האנושי</t>
  </si>
  <si>
    <t>9</t>
  </si>
  <si>
    <t>18467802</t>
  </si>
  <si>
    <t>1615000530</t>
  </si>
  <si>
    <t>שרון שרוני</t>
  </si>
  <si>
    <t>לשכה משפטית</t>
  </si>
  <si>
    <t>10</t>
  </si>
  <si>
    <t>66512801</t>
  </si>
  <si>
    <t>1617000530</t>
  </si>
  <si>
    <t>אוקטביה</t>
  </si>
  <si>
    <t>אגף הכספים</t>
  </si>
  <si>
    <t>11</t>
  </si>
  <si>
    <t>12</t>
  </si>
  <si>
    <t>42784801</t>
  </si>
  <si>
    <t>חייט נעמי</t>
  </si>
  <si>
    <t>מחלקת הגביה</t>
  </si>
  <si>
    <t>13</t>
  </si>
  <si>
    <t>69312301</t>
  </si>
  <si>
    <t>1623000530</t>
  </si>
  <si>
    <t>שם טוב שמבי</t>
  </si>
  <si>
    <t>כספים</t>
  </si>
  <si>
    <t>גבייה</t>
  </si>
  <si>
    <t>14</t>
  </si>
  <si>
    <t>אלכסנדר לנדא</t>
  </si>
  <si>
    <t>15</t>
  </si>
  <si>
    <t>שמואל מיכאליאן</t>
  </si>
  <si>
    <t>קוואנג יאנג</t>
  </si>
  <si>
    <t>G  DINK 125i</t>
  </si>
  <si>
    <t>קטנועים</t>
  </si>
  <si>
    <t>16</t>
  </si>
  <si>
    <t>אלי שימונוב</t>
  </si>
  <si>
    <t>ניו דינק 125</t>
  </si>
  <si>
    <t>אגף הנדסה</t>
  </si>
  <si>
    <t>17</t>
  </si>
  <si>
    <t>37201702</t>
  </si>
  <si>
    <t>1731000530</t>
  </si>
  <si>
    <t>נדב הדר</t>
  </si>
  <si>
    <t>הנדסה</t>
  </si>
  <si>
    <t>סיאט</t>
  </si>
  <si>
    <t>אטקה</t>
  </si>
  <si>
    <t>ג'יפון</t>
  </si>
  <si>
    <t>מחלקת פיתוח כבישים</t>
  </si>
  <si>
    <t>18</t>
  </si>
  <si>
    <t>21651002</t>
  </si>
  <si>
    <t>1734000530</t>
  </si>
  <si>
    <t>כפיר אורוגובי</t>
  </si>
  <si>
    <t>קורולה</t>
  </si>
  <si>
    <t>אגף חופים</t>
  </si>
  <si>
    <t>19</t>
  </si>
  <si>
    <t>1747000530</t>
  </si>
  <si>
    <t/>
  </si>
  <si>
    <t>20</t>
  </si>
  <si>
    <t>21</t>
  </si>
  <si>
    <t>אופנועי ים</t>
  </si>
  <si>
    <t>22</t>
  </si>
  <si>
    <t>rotex</t>
  </si>
  <si>
    <t>23</t>
  </si>
  <si>
    <t>24</t>
  </si>
  <si>
    <t>25</t>
  </si>
  <si>
    <t>יוסי תורגמן</t>
  </si>
  <si>
    <t>פ.נחל חדרה</t>
  </si>
  <si>
    <t>איסוזו דימקס</t>
  </si>
  <si>
    <t>27</t>
  </si>
  <si>
    <t>28</t>
  </si>
  <si>
    <t>מיול</t>
  </si>
  <si>
    <t>29</t>
  </si>
  <si>
    <t>30</t>
  </si>
  <si>
    <t>גרור למיול</t>
  </si>
  <si>
    <t>31</t>
  </si>
  <si>
    <t>גרור לסירה</t>
  </si>
  <si>
    <t>אגף את"ל</t>
  </si>
  <si>
    <t>32</t>
  </si>
  <si>
    <t>80690401</t>
  </si>
  <si>
    <t>1752000530</t>
  </si>
  <si>
    <t>ואנה אהוד</t>
  </si>
  <si>
    <t>אירועים</t>
  </si>
  <si>
    <t>33</t>
  </si>
  <si>
    <t>ניסן</t>
  </si>
  <si>
    <t>34</t>
  </si>
  <si>
    <t>35</t>
  </si>
  <si>
    <t>72663301</t>
  </si>
  <si>
    <t>סמיונוב איסוג</t>
  </si>
  <si>
    <t>פיאט</t>
  </si>
  <si>
    <t>דוקטו</t>
  </si>
  <si>
    <t>36</t>
  </si>
  <si>
    <t>אברהם חכם</t>
  </si>
  <si>
    <t>37</t>
  </si>
  <si>
    <t>38</t>
  </si>
  <si>
    <t>42811401</t>
  </si>
  <si>
    <t>ברוך אוהד</t>
  </si>
  <si>
    <t>39</t>
  </si>
  <si>
    <t>מרכז הגרורים</t>
  </si>
  <si>
    <t>עגלה נגררת</t>
  </si>
  <si>
    <t>40</t>
  </si>
  <si>
    <t>19098102</t>
  </si>
  <si>
    <t>1811000530</t>
  </si>
  <si>
    <t>סגלית איצקוביץ</t>
  </si>
  <si>
    <t>שלומי דהן</t>
  </si>
  <si>
    <t>41</t>
  </si>
  <si>
    <t>42784701</t>
  </si>
  <si>
    <t>חלפון שמעון</t>
  </si>
  <si>
    <t>שמעון חלפון</t>
  </si>
  <si>
    <t>42</t>
  </si>
  <si>
    <t>גילה גואטה</t>
  </si>
  <si>
    <t>43</t>
  </si>
  <si>
    <t>18758502</t>
  </si>
  <si>
    <t>1800000530</t>
  </si>
  <si>
    <t>44</t>
  </si>
  <si>
    <t>טל מיחלב</t>
  </si>
  <si>
    <t>אליעזר ענבי</t>
  </si>
  <si>
    <t>cub cadet</t>
  </si>
  <si>
    <t>lx-42</t>
  </si>
  <si>
    <t>מכסחת דשא</t>
  </si>
  <si>
    <t>46</t>
  </si>
  <si>
    <t>12899202</t>
  </si>
  <si>
    <t>קוואסקי</t>
  </si>
  <si>
    <t>47</t>
  </si>
  <si>
    <t>79306301</t>
  </si>
  <si>
    <t>עיר ללא אלימות</t>
  </si>
  <si>
    <t>48</t>
  </si>
  <si>
    <t>18468002</t>
  </si>
  <si>
    <t>1825000530</t>
  </si>
  <si>
    <t>סעדה רפי</t>
  </si>
  <si>
    <t>אלחנדרו ביאר</t>
  </si>
  <si>
    <t>אגף רווחה</t>
  </si>
  <si>
    <t>49</t>
  </si>
  <si>
    <t>1845400530</t>
  </si>
  <si>
    <t>50</t>
  </si>
  <si>
    <t>1710000530</t>
  </si>
  <si>
    <t>בוריס קוסינובסקי</t>
  </si>
  <si>
    <t>מחלקת שילוט</t>
  </si>
  <si>
    <t>51</t>
  </si>
  <si>
    <t>יהודה כליף</t>
  </si>
  <si>
    <t>שילוט</t>
  </si>
  <si>
    <t>מינהלת תעשיות</t>
  </si>
  <si>
    <t>52</t>
  </si>
  <si>
    <t>1772000530</t>
  </si>
  <si>
    <t>שמעון מרג'י</t>
  </si>
  <si>
    <t>מנהלת תעשיות</t>
  </si>
  <si>
    <t>53</t>
  </si>
  <si>
    <t>54</t>
  </si>
  <si>
    <t>אקו פארק</t>
  </si>
  <si>
    <t>אחים אלקלעי</t>
  </si>
  <si>
    <t>AB1D</t>
  </si>
  <si>
    <t>מינהלת רובע ב"א</t>
  </si>
  <si>
    <t>55</t>
  </si>
  <si>
    <t>82806501</t>
  </si>
  <si>
    <t>1713000530</t>
  </si>
  <si>
    <t>בוריס בר</t>
  </si>
  <si>
    <t>רובע ב"א</t>
  </si>
  <si>
    <t>בליץ</t>
  </si>
  <si>
    <t>חשמלי</t>
  </si>
  <si>
    <t>56</t>
  </si>
  <si>
    <t>57</t>
  </si>
  <si>
    <t>58</t>
  </si>
  <si>
    <t>יוסיפיאן נינה</t>
  </si>
  <si>
    <t>נגררי השרון</t>
  </si>
  <si>
    <t>nh751</t>
  </si>
  <si>
    <t>59</t>
  </si>
  <si>
    <t>JCB</t>
  </si>
  <si>
    <t>3CXL</t>
  </si>
  <si>
    <t>טרקטור ישן</t>
  </si>
  <si>
    <t>60</t>
  </si>
  <si>
    <t>65865201</t>
  </si>
  <si>
    <t>מינהלת רובע ג"א</t>
  </si>
  <si>
    <t>61</t>
  </si>
  <si>
    <t>רובע ג"א</t>
  </si>
  <si>
    <t>62</t>
  </si>
  <si>
    <t>63</t>
  </si>
  <si>
    <t>G450</t>
  </si>
  <si>
    <t>מינהלת רובע מרכז</t>
  </si>
  <si>
    <t>64</t>
  </si>
  <si>
    <t>מהצרי זכריה</t>
  </si>
  <si>
    <t>רובע מרכז</t>
  </si>
  <si>
    <t>65</t>
  </si>
  <si>
    <t>66</t>
  </si>
  <si>
    <t>82806601</t>
  </si>
  <si>
    <t>67</t>
  </si>
  <si>
    <t>G7501</t>
  </si>
  <si>
    <t>68</t>
  </si>
  <si>
    <t>מחלקה וטרינרית</t>
  </si>
  <si>
    <t>69</t>
  </si>
  <si>
    <t>42783201</t>
  </si>
  <si>
    <t>1714200530</t>
  </si>
  <si>
    <t>70</t>
  </si>
  <si>
    <t>משיח אייל</t>
  </si>
  <si>
    <t>וטרינר</t>
  </si>
  <si>
    <t>71</t>
  </si>
  <si>
    <t>מחלקת אחזקת כבישים</t>
  </si>
  <si>
    <t>72</t>
  </si>
  <si>
    <t>1742000530</t>
  </si>
  <si>
    <t>כחלון כפיר</t>
  </si>
  <si>
    <t>כבישים</t>
  </si>
  <si>
    <t>73</t>
  </si>
  <si>
    <t>67939701</t>
  </si>
  <si>
    <t>שרמה כרמי</t>
  </si>
  <si>
    <t>NV</t>
  </si>
  <si>
    <t>מחלקת חשמל</t>
  </si>
  <si>
    <t>74</t>
  </si>
  <si>
    <t>1743000530</t>
  </si>
  <si>
    <t>אדרי שלום</t>
  </si>
  <si>
    <t>75</t>
  </si>
  <si>
    <t>שבת מיכאל</t>
  </si>
  <si>
    <t>סומו 7.5 טון</t>
  </si>
  <si>
    <t>משאית+מנוף</t>
  </si>
  <si>
    <t>76</t>
  </si>
  <si>
    <t>67939601</t>
  </si>
  <si>
    <t>מח' חשמל</t>
  </si>
  <si>
    <t>77</t>
  </si>
  <si>
    <t>G23502</t>
  </si>
  <si>
    <t>מחלקת רכב</t>
  </si>
  <si>
    <t>78</t>
  </si>
  <si>
    <t>15756202</t>
  </si>
  <si>
    <t>סובארו</t>
  </si>
  <si>
    <t>XV</t>
  </si>
  <si>
    <t>4X4</t>
  </si>
  <si>
    <t>רכב משולב</t>
  </si>
  <si>
    <t>79</t>
  </si>
  <si>
    <t>167810</t>
  </si>
  <si>
    <t>טרקטור חדש</t>
  </si>
  <si>
    <t>80</t>
  </si>
  <si>
    <t>82806701</t>
  </si>
  <si>
    <t>81</t>
  </si>
  <si>
    <t>84873901</t>
  </si>
  <si>
    <t>איי 25</t>
  </si>
  <si>
    <t>מחלקת גנים ונוף</t>
  </si>
  <si>
    <t>82</t>
  </si>
  <si>
    <t>1746000530</t>
  </si>
  <si>
    <t>אסף גבאי</t>
  </si>
  <si>
    <t>חברה כלכלית</t>
  </si>
  <si>
    <t>גון-דיר</t>
  </si>
  <si>
    <t>83</t>
  </si>
  <si>
    <t>נלי יוסף</t>
  </si>
  <si>
    <t>גינון</t>
  </si>
  <si>
    <t>84</t>
  </si>
  <si>
    <t>אורי שחר</t>
  </si>
  <si>
    <t>85</t>
  </si>
  <si>
    <t>67796801</t>
  </si>
  <si>
    <t>86</t>
  </si>
  <si>
    <t>36064001</t>
  </si>
  <si>
    <t>משאבת מים</t>
  </si>
  <si>
    <t>87</t>
  </si>
  <si>
    <t>19721502</t>
  </si>
  <si>
    <t>1780000530</t>
  </si>
  <si>
    <t>איתן כהן</t>
  </si>
  <si>
    <t>מחלקת בטחון</t>
  </si>
  <si>
    <t>88</t>
  </si>
  <si>
    <t>19721402</t>
  </si>
  <si>
    <t>1722000530</t>
  </si>
  <si>
    <t>89</t>
  </si>
  <si>
    <t>בטחון</t>
  </si>
  <si>
    <t>90</t>
  </si>
  <si>
    <t>57425101</t>
  </si>
  <si>
    <t>עגלות</t>
  </si>
  <si>
    <t>91</t>
  </si>
  <si>
    <t>מח' ביטחון</t>
  </si>
  <si>
    <t>מרכיבי נוע בע"מ</t>
  </si>
  <si>
    <t>PLM750A</t>
  </si>
  <si>
    <t>92</t>
  </si>
  <si>
    <t>גנרטור- נייד</t>
  </si>
  <si>
    <t>93</t>
  </si>
  <si>
    <t>94</t>
  </si>
  <si>
    <t>ניסטל שלמה</t>
  </si>
  <si>
    <t>ממונה בטיחות</t>
  </si>
  <si>
    <t>95</t>
  </si>
  <si>
    <t>18280802</t>
  </si>
  <si>
    <t>96</t>
  </si>
  <si>
    <t>97</t>
  </si>
  <si>
    <t>1781000530</t>
  </si>
  <si>
    <t>98</t>
  </si>
  <si>
    <t>99</t>
  </si>
  <si>
    <t>שמעון ניזרי</t>
  </si>
  <si>
    <t>100</t>
  </si>
  <si>
    <t>101</t>
  </si>
  <si>
    <t>אילן ניסן</t>
  </si>
  <si>
    <t>102</t>
  </si>
  <si>
    <t>31769301</t>
  </si>
  <si>
    <t>לוי סהר/סתיו</t>
  </si>
  <si>
    <t>103</t>
  </si>
  <si>
    <t>104</t>
  </si>
  <si>
    <t>31769501</t>
  </si>
  <si>
    <t>דוד  הבהיל</t>
  </si>
  <si>
    <t>105</t>
  </si>
  <si>
    <t>רוז צמח</t>
  </si>
  <si>
    <t>106</t>
  </si>
  <si>
    <t>רועי אברהם</t>
  </si>
  <si>
    <t>107</t>
  </si>
  <si>
    <t>108</t>
  </si>
  <si>
    <t>31769601</t>
  </si>
  <si>
    <t>בני טלקר</t>
  </si>
  <si>
    <t>109</t>
  </si>
  <si>
    <t>31769401</t>
  </si>
  <si>
    <t>שאדי עבדאללה</t>
  </si>
  <si>
    <t>110</t>
  </si>
  <si>
    <t>נחום אלעד</t>
  </si>
  <si>
    <t>111</t>
  </si>
  <si>
    <t>42784001</t>
  </si>
  <si>
    <t>1870000530</t>
  </si>
  <si>
    <t>בוזגלו יצחק</t>
  </si>
  <si>
    <t>איכה"ס</t>
  </si>
  <si>
    <t>מוגדר משולב אכיפה</t>
  </si>
  <si>
    <t>112</t>
  </si>
  <si>
    <t>113</t>
  </si>
  <si>
    <t>קלר אוהד</t>
  </si>
  <si>
    <t>מבני ציבור ופיתוח תשתיות</t>
  </si>
  <si>
    <t>תשלומים</t>
  </si>
  <si>
    <t xml:space="preserve">תקבולים </t>
  </si>
  <si>
    <t>מס פרק</t>
  </si>
  <si>
    <t>שם הפרק</t>
  </si>
  <si>
    <t>שכר</t>
  </si>
  <si>
    <t>פעולות</t>
  </si>
  <si>
    <t>מס' פרק</t>
  </si>
  <si>
    <t>ממשלה</t>
  </si>
  <si>
    <t>עצמיות</t>
  </si>
  <si>
    <t>6 הנהלה וכלליות</t>
  </si>
  <si>
    <t>1 מיסים ומענקים</t>
  </si>
  <si>
    <t>מנהל כללי</t>
  </si>
  <si>
    <t>מנהל כספי</t>
  </si>
  <si>
    <t>הוצאות מימון</t>
  </si>
  <si>
    <t>היטלים</t>
  </si>
  <si>
    <t>פרעון מלוות</t>
  </si>
  <si>
    <t>מכירת שירותים</t>
  </si>
  <si>
    <t>מענקים כללים</t>
  </si>
  <si>
    <t>סה"כ 6</t>
  </si>
  <si>
    <t>סה"כ 1</t>
  </si>
  <si>
    <t>7 שירותים מקומיים</t>
  </si>
  <si>
    <t>2 שירותים מקומיים</t>
  </si>
  <si>
    <t>תכנון בניין עיר</t>
  </si>
  <si>
    <t>חגיגות ואירועים</t>
  </si>
  <si>
    <t>חגיגות וארועים</t>
  </si>
  <si>
    <t>שרותים שונים</t>
  </si>
  <si>
    <t>פיתוח כלכלי</t>
  </si>
  <si>
    <t>פיתוח תעשיה ומלאכה</t>
  </si>
  <si>
    <t>שירותים חקלאיים</t>
  </si>
  <si>
    <t>סה"כ 7</t>
  </si>
  <si>
    <t>סה"כ 2</t>
  </si>
  <si>
    <t>8 שרותים ממלכתיים</t>
  </si>
  <si>
    <t>3 שרותים ממלכתיים</t>
  </si>
  <si>
    <t>תרבות</t>
  </si>
  <si>
    <t>בריאות</t>
  </si>
  <si>
    <t>דת</t>
  </si>
  <si>
    <t>קליטת עליה</t>
  </si>
  <si>
    <t>סה"כ 8</t>
  </si>
  <si>
    <t>סה"כ 3</t>
  </si>
  <si>
    <t>9 מפעלים</t>
  </si>
  <si>
    <t>4 מפעלים</t>
  </si>
  <si>
    <t>בתי מטבחיים</t>
  </si>
  <si>
    <t>נכסים</t>
  </si>
  <si>
    <t>מפעל ביוב</t>
  </si>
  <si>
    <t>סה"כ 91-97</t>
  </si>
  <si>
    <t>סה"כ 4</t>
  </si>
  <si>
    <t>98-99 תשלומים בלתי רגילים</t>
  </si>
  <si>
    <t>5 תקבולים בלתי רגילים</t>
  </si>
  <si>
    <t>פנסיה</t>
  </si>
  <si>
    <t>הלוואות</t>
  </si>
  <si>
    <t>קרנות</t>
  </si>
  <si>
    <t>הוצאות מיוחדות</t>
  </si>
  <si>
    <t>אחרות</t>
  </si>
  <si>
    <t>סה"כ 98-99</t>
  </si>
  <si>
    <t>סה"כ 5</t>
  </si>
  <si>
    <t>סה"כ תשלומים</t>
  </si>
  <si>
    <t>סה"כ תקבולים</t>
  </si>
  <si>
    <t>מינהל חבק"ל</t>
  </si>
  <si>
    <t>סה"כ מינהל חבק"ל</t>
  </si>
  <si>
    <t>תשלומים לפי אגפים</t>
  </si>
  <si>
    <t>אגף</t>
  </si>
  <si>
    <t>הנהלה</t>
  </si>
  <si>
    <t>פעילות</t>
  </si>
  <si>
    <t xml:space="preserve">משאבי אנוש </t>
  </si>
  <si>
    <t>אכיפה ובטחון</t>
  </si>
  <si>
    <t xml:space="preserve">חינוך </t>
  </si>
  <si>
    <t>אתו"ס</t>
  </si>
  <si>
    <t>נוצ"ץ</t>
  </si>
  <si>
    <t>פנאי העיר</t>
  </si>
  <si>
    <t>השתתפויות ותמיכות</t>
  </si>
  <si>
    <t>מימון</t>
  </si>
  <si>
    <t>תקבולים לפי סעיפים</t>
  </si>
  <si>
    <t>שם הסעיף</t>
  </si>
  <si>
    <t>100-102</t>
  </si>
  <si>
    <t>אגרות מים וביוב</t>
  </si>
  <si>
    <t>אגרות בגין שירותים וחמרים</t>
  </si>
  <si>
    <t>שכל"מ מתושבים</t>
  </si>
  <si>
    <t>השתתפות תושבים בשירותים משלימים</t>
  </si>
  <si>
    <t>430-431</t>
  </si>
  <si>
    <t>השתתפויות מוסדות ורשויות בשכל"מ</t>
  </si>
  <si>
    <t>השתתפויות רשויות ומוסדות בשירותים משלימים</t>
  </si>
  <si>
    <t>שרותים ושכר לימוד - שונות</t>
  </si>
  <si>
    <t>החזרות מחברת ביטוח</t>
  </si>
  <si>
    <t>החזרות מקרנות</t>
  </si>
  <si>
    <t>610-611</t>
  </si>
  <si>
    <t>מכירת חמרים</t>
  </si>
  <si>
    <t>שכ"ד</t>
  </si>
  <si>
    <t>דמי שימוש</t>
  </si>
  <si>
    <t>הכנסות מימון</t>
  </si>
  <si>
    <t>690-694</t>
  </si>
  <si>
    <t>רכוש ומפעלים - שונות</t>
  </si>
  <si>
    <t>השתתפות משרד הפנים</t>
  </si>
  <si>
    <t>920-923</t>
  </si>
  <si>
    <t>השתתפות משרד החינוך</t>
  </si>
  <si>
    <t>930-939</t>
  </si>
  <si>
    <t>השתתפות משרד העבודה והרווחה</t>
  </si>
  <si>
    <t>השתתפות משרדי ממשלה אחרים</t>
  </si>
  <si>
    <t>תשלומים לפי סעיפים</t>
  </si>
  <si>
    <t>משכורת ושכ"ע</t>
  </si>
  <si>
    <t>תיקונים</t>
  </si>
  <si>
    <t>ארוח וכיבוד</t>
  </si>
  <si>
    <t>ספרות מקצועית ועיתונות</t>
  </si>
  <si>
    <t>הוצאות רכב</t>
  </si>
  <si>
    <t>הוצאות תקשורת</t>
  </si>
  <si>
    <t>הוצאות משרדיות</t>
  </si>
  <si>
    <t>עמלות</t>
  </si>
  <si>
    <t>ריבית</t>
  </si>
  <si>
    <t>תשלום ע"ח קרן - מלוות</t>
  </si>
  <si>
    <t>תשלום ע"ח ריבית - מלוות</t>
  </si>
  <si>
    <t>תשלום ע"ח הצמדה - מלוות</t>
  </si>
  <si>
    <t>החזר הוצאות הסעה לתלמידים</t>
  </si>
  <si>
    <t>חמרים</t>
  </si>
  <si>
    <t>רכישת מחשבים</t>
  </si>
  <si>
    <t>750-757</t>
  </si>
  <si>
    <t>קניית שרותים מרשויות ומוסדות</t>
  </si>
  <si>
    <t>780-785</t>
  </si>
  <si>
    <t>810-816</t>
  </si>
  <si>
    <t>השתתפויות תמיכות ותרומות</t>
  </si>
  <si>
    <t>820-829</t>
  </si>
  <si>
    <t>הקצבות</t>
  </si>
  <si>
    <t>830-834</t>
  </si>
  <si>
    <t>השתתפויות באיגודי ערים</t>
  </si>
  <si>
    <t>מלגות לתלמידים וסטודנטים</t>
  </si>
  <si>
    <t>הנחות</t>
  </si>
  <si>
    <t>980-998</t>
  </si>
  <si>
    <t>דו"ח הכנסות והוצאות</t>
  </si>
  <si>
    <t>הסעיף התקציבי</t>
  </si>
  <si>
    <t>ארנונה כללית</t>
  </si>
  <si>
    <t>מפעל המים</t>
  </si>
  <si>
    <t>עצמיות חינוך</t>
  </si>
  <si>
    <t>עצמיות רווחה</t>
  </si>
  <si>
    <t>עצמיות אחר</t>
  </si>
  <si>
    <t>סה"כ הכנסות עצמיות</t>
  </si>
  <si>
    <t>תקבולים ממשרד החינוך</t>
  </si>
  <si>
    <t>תקבולים ממשרד הרווחה</t>
  </si>
  <si>
    <t>תקבולים ממשלתיים אחרים</t>
  </si>
  <si>
    <t>הלוואה לאיזון</t>
  </si>
  <si>
    <t>מענקים אחרים ממשרד הפנים</t>
  </si>
  <si>
    <t>סה"כ תקבולי ממשלה</t>
  </si>
  <si>
    <t>תקבולים אחרים</t>
  </si>
  <si>
    <t>הכנסות ח"פ ובגין שנים קודמות</t>
  </si>
  <si>
    <t>סה"כ הכנסות לפני הנחות בארנונה וכיסוי גרעון נצבר</t>
  </si>
  <si>
    <t>הנחות בארנונה</t>
  </si>
  <si>
    <t>הכנסה לכיסוי גרעון נצבר</t>
  </si>
  <si>
    <t>סה"כ הכנסות ללא מותנה</t>
  </si>
  <si>
    <t>הכנסה מותנה</t>
  </si>
  <si>
    <t>סה"כ הכנסות כולל מותנה</t>
  </si>
  <si>
    <t>הוצאות</t>
  </si>
  <si>
    <t>שכר כללי</t>
  </si>
  <si>
    <t xml:space="preserve">פעולות כלליות </t>
  </si>
  <si>
    <t>סה"כ הוצאות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</si>
  <si>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</si>
  <si>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</si>
  <si>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</si>
  <si>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</si>
  <si>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</si>
  <si>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</si>
  <si>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פרעון-מלוות מים וביוב</t>
  </si>
  <si>
    <t>פרעון-מלוות אחר</t>
  </si>
  <si>
    <t>סה"כ פרעון-מלוות</t>
  </si>
  <si>
    <t>הוצאות ח"פ ובגין שנים קודמות</t>
  </si>
  <si>
    <t>סה"כ הוצאות לפני הנחות בארנונה וכיסוי גרעון נצבר</t>
  </si>
  <si>
    <t>הוצאה לכיסוי גרעון נצבר</t>
  </si>
  <si>
    <t>סה"כ הוצאות ללא מותנה</t>
  </si>
  <si>
    <t>הוצאה מותנה</t>
  </si>
  <si>
    <t>סה"כ הוצאות כולל מותנה</t>
  </si>
  <si>
    <t>עודף (גרעון)</t>
  </si>
  <si>
    <t>הוצאות שכר שוטף</t>
  </si>
  <si>
    <t>הוצאות לפעילות</t>
  </si>
  <si>
    <t>הפרש בין הכנסות להוצאות</t>
  </si>
  <si>
    <t>ע"פ  מכרז חדש, כולל תשתית למצלמות</t>
  </si>
  <si>
    <t xml:space="preserve">עבודות דחופות ע"פ קריאת מוקד + תחזוקת מצלמות + תוכנת מוקד חירום </t>
  </si>
  <si>
    <t>מימון 75% ע"י הבט"פ</t>
  </si>
  <si>
    <t>מימון 100% ע"י הבט"פ</t>
  </si>
  <si>
    <t>מימון 100% פיס</t>
  </si>
  <si>
    <t>מימון 100%</t>
  </si>
  <si>
    <t xml:space="preserve">שכר דירה דירות חיילים </t>
  </si>
  <si>
    <t xml:space="preserve"> 100 אלש"ח מלגות לנסיעה לפולין + 140 אלש"ח מילגות לסטודנטים + 75 קהילת סטודנטים</t>
  </si>
  <si>
    <t>אירועים לצעירים, סדנאות וציוד</t>
  </si>
  <si>
    <t>תפעול מחלקת הרישום כולל מערכת רישום חדשה</t>
  </si>
  <si>
    <t>פעילות מרכז הוליסטי</t>
  </si>
  <si>
    <t>הפגות לניצולי שואה</t>
  </si>
  <si>
    <t>הסבת חוזה קונסרבטוריון לעירייה</t>
  </si>
  <si>
    <t>הוצאות שנות לאגף אתו"ס</t>
  </si>
  <si>
    <t>עובדי פנאי העיר בקונסבטוריון בית ספר מנגן ורנה שני</t>
  </si>
  <si>
    <t>הוצאות שונות רנה שני</t>
  </si>
  <si>
    <t>הצגות מנויים, הצגות ילדים ומופעי סל</t>
  </si>
  <si>
    <t>מגמות ספורט בית ספריות</t>
  </si>
  <si>
    <t>הכנסות ממשלה עבור קונסרבטוריון סטודיו במה וצבי מחול</t>
  </si>
  <si>
    <t>הכנסות רנה שני</t>
  </si>
  <si>
    <t>בתי"ס תיכוניים</t>
  </si>
  <si>
    <t>שכר קידום נוער</t>
  </si>
  <si>
    <t>הכנסות קידום נוער</t>
  </si>
  <si>
    <t>יחידת מצויינות וחדשנות</t>
  </si>
  <si>
    <t xml:space="preserve"> הכנסות ממשלה לתרבות </t>
  </si>
  <si>
    <t>הכנות לפעולות תרבות ואירועי תרבות</t>
  </si>
  <si>
    <t>פנסים להחלפה, נורות וכבלים לתאורת רחובות, חלק מהפנסים יועברו במהלך השנה לתחזוקת חכל במסגרת התייעלות אנרגטית</t>
  </si>
  <si>
    <t>יעקב זיגדון</t>
  </si>
  <si>
    <t>הילאל פטימה</t>
  </si>
  <si>
    <t>אהוד ואנה</t>
  </si>
  <si>
    <t>גיל שלמה</t>
  </si>
  <si>
    <r>
      <rPr>
        <sz val="11"/>
        <rFont val="Arial"/>
        <family val="2"/>
      </rPr>
      <t>מעון נעמת,</t>
    </r>
    <r>
      <rPr>
        <b/>
        <sz val="11"/>
        <rFont val="Arial"/>
        <family val="2"/>
      </rPr>
      <t xml:space="preserve"> לפי חוק</t>
    </r>
  </si>
  <si>
    <t>כנס מתגייסים, שי למתגיסים ופעולות נוספות.</t>
  </si>
  <si>
    <t>יוזמות ראש העיר עבור מרכזים קהילתיים</t>
  </si>
  <si>
    <t>העברה עבור מרחבים קהילתיים ע"פ הסכם מתן שירותים</t>
  </si>
  <si>
    <t>פעילות קליטת עולי צרפת</t>
  </si>
  <si>
    <t>פעולות קהילתיות</t>
  </si>
  <si>
    <t>שכר מטה פנאי העיר</t>
  </si>
  <si>
    <t>באחריות עוזר רה"ע עבור לשכת ראש העיר + פניות הציבור</t>
  </si>
  <si>
    <t>הדרך החדשה ברווחה</t>
  </si>
  <si>
    <t xml:space="preserve">באחריות פרויקטורית לקליטת עולי צרפת </t>
  </si>
  <si>
    <t>שם משפחה</t>
  </si>
  <si>
    <t>שם פרטי</t>
  </si>
  <si>
    <t>אחוז גמלה</t>
  </si>
  <si>
    <t>ברמן</t>
  </si>
  <si>
    <t>אירית</t>
  </si>
  <si>
    <t>תוהמי</t>
  </si>
  <si>
    <t>משה</t>
  </si>
  <si>
    <t>שלום</t>
  </si>
  <si>
    <t>מדר</t>
  </si>
  <si>
    <t>שושנה</t>
  </si>
  <si>
    <t>אריה</t>
  </si>
  <si>
    <t>משולם</t>
  </si>
  <si>
    <t>ישראל</t>
  </si>
  <si>
    <t>עשורי</t>
  </si>
  <si>
    <t>אורה</t>
  </si>
  <si>
    <t>אופטובסקי</t>
  </si>
  <si>
    <t>יהודה</t>
  </si>
  <si>
    <t>מדהלה</t>
  </si>
  <si>
    <t>בוארון</t>
  </si>
  <si>
    <t>תמר</t>
  </si>
  <si>
    <t>שמש</t>
  </si>
  <si>
    <t>אברהם</t>
  </si>
  <si>
    <t>אושרי</t>
  </si>
  <si>
    <t>מרים</t>
  </si>
  <si>
    <t>גזית</t>
  </si>
  <si>
    <t>חנה</t>
  </si>
  <si>
    <t>סלהוב</t>
  </si>
  <si>
    <t>רחל</t>
  </si>
  <si>
    <t>אליהו</t>
  </si>
  <si>
    <t>צפורה</t>
  </si>
  <si>
    <t>נוימן</t>
  </si>
  <si>
    <t>צבי</t>
  </si>
  <si>
    <t>ליובין</t>
  </si>
  <si>
    <t>מאיר</t>
  </si>
  <si>
    <t>צורף</t>
  </si>
  <si>
    <t>צוריאל</t>
  </si>
  <si>
    <t>זהרוני</t>
  </si>
  <si>
    <t>עדינה</t>
  </si>
  <si>
    <t>קובץ</t>
  </si>
  <si>
    <t>מלכה</t>
  </si>
  <si>
    <t>ברזלי</t>
  </si>
  <si>
    <t>דב</t>
  </si>
  <si>
    <t>ליפשיץ</t>
  </si>
  <si>
    <t>צפרירה</t>
  </si>
  <si>
    <t>גולדין</t>
  </si>
  <si>
    <t>שרה</t>
  </si>
  <si>
    <t>דורי</t>
  </si>
  <si>
    <t>יהודית</t>
  </si>
  <si>
    <t>אלחדד</t>
  </si>
  <si>
    <t>איטח</t>
  </si>
  <si>
    <t>דוד</t>
  </si>
  <si>
    <t>אשתר</t>
  </si>
  <si>
    <t>עפגין</t>
  </si>
  <si>
    <t>מסורי</t>
  </si>
  <si>
    <t>צברי</t>
  </si>
  <si>
    <t>שאול</t>
  </si>
  <si>
    <t>פרידמן</t>
  </si>
  <si>
    <t>זרניצקי</t>
  </si>
  <si>
    <t>נאוה</t>
  </si>
  <si>
    <t>עדנה</t>
  </si>
  <si>
    <t>נגר</t>
  </si>
  <si>
    <t>מזל</t>
  </si>
  <si>
    <t>לוי</t>
  </si>
  <si>
    <t>נחמה</t>
  </si>
  <si>
    <t>כהן</t>
  </si>
  <si>
    <t>דמתי</t>
  </si>
  <si>
    <t>יחיאל</t>
  </si>
  <si>
    <t>מלכין</t>
  </si>
  <si>
    <t>שבתאי</t>
  </si>
  <si>
    <t>יעקובי</t>
  </si>
  <si>
    <t>יונה</t>
  </si>
  <si>
    <t>גואטה</t>
  </si>
  <si>
    <t>בנימין</t>
  </si>
  <si>
    <t>חומסקי</t>
  </si>
  <si>
    <t>דרורה</t>
  </si>
  <si>
    <t>ברכה</t>
  </si>
  <si>
    <t>רשף</t>
  </si>
  <si>
    <t>יהושע</t>
  </si>
  <si>
    <t>נסים</t>
  </si>
  <si>
    <t>יוגב</t>
  </si>
  <si>
    <t>אסתר</t>
  </si>
  <si>
    <t>לוין</t>
  </si>
  <si>
    <t>עירד</t>
  </si>
  <si>
    <t>קאופשטיין</t>
  </si>
  <si>
    <t>רונית</t>
  </si>
  <si>
    <t>וינברג</t>
  </si>
  <si>
    <t>לאה</t>
  </si>
  <si>
    <t>בן גיגי</t>
  </si>
  <si>
    <t>אפרים</t>
  </si>
  <si>
    <t>דניאלי</t>
  </si>
  <si>
    <t>ארזה</t>
  </si>
  <si>
    <t>ארז</t>
  </si>
  <si>
    <t>דבורה</t>
  </si>
  <si>
    <t>נתן</t>
  </si>
  <si>
    <t>עטייה</t>
  </si>
  <si>
    <t>אבוטבול</t>
  </si>
  <si>
    <t>שלו</t>
  </si>
  <si>
    <t>מרדכי</t>
  </si>
  <si>
    <t>הלמן</t>
  </si>
  <si>
    <t>טובה</t>
  </si>
  <si>
    <t>וולשטין</t>
  </si>
  <si>
    <t>יאשיהו</t>
  </si>
  <si>
    <t>שטרן</t>
  </si>
  <si>
    <t>צור</t>
  </si>
  <si>
    <t>דרור</t>
  </si>
  <si>
    <t>להב</t>
  </si>
  <si>
    <t>נחמיה</t>
  </si>
  <si>
    <t>בן צור</t>
  </si>
  <si>
    <t>יוסף</t>
  </si>
  <si>
    <t>שער</t>
  </si>
  <si>
    <t>תקוה</t>
  </si>
  <si>
    <t>אבינעם</t>
  </si>
  <si>
    <t>כץ</t>
  </si>
  <si>
    <t>חולדה</t>
  </si>
  <si>
    <t>אופירה</t>
  </si>
  <si>
    <t>ששון</t>
  </si>
  <si>
    <t>עירית</t>
  </si>
  <si>
    <t>שטרנין</t>
  </si>
  <si>
    <t>זבולון</t>
  </si>
  <si>
    <t>חומרי</t>
  </si>
  <si>
    <t>אהרוני</t>
  </si>
  <si>
    <t>רוחמה</t>
  </si>
  <si>
    <t>אדמוני</t>
  </si>
  <si>
    <t>רות</t>
  </si>
  <si>
    <t>אבידר</t>
  </si>
  <si>
    <t>מתנה</t>
  </si>
  <si>
    <t>רצון</t>
  </si>
  <si>
    <t>יוכבד</t>
  </si>
  <si>
    <t>גרשי</t>
  </si>
  <si>
    <t>אפרת</t>
  </si>
  <si>
    <t>מנצור</t>
  </si>
  <si>
    <t>כרמלה</t>
  </si>
  <si>
    <t>חממי</t>
  </si>
  <si>
    <t>מיכאל</t>
  </si>
  <si>
    <t>נגה</t>
  </si>
  <si>
    <t>שיר</t>
  </si>
  <si>
    <t>תחיה</t>
  </si>
  <si>
    <t>לוינגר</t>
  </si>
  <si>
    <t>מאירה</t>
  </si>
  <si>
    <t>אהרון</t>
  </si>
  <si>
    <t>מזרחי</t>
  </si>
  <si>
    <t>יאיר</t>
  </si>
  <si>
    <t>פנינה</t>
  </si>
  <si>
    <t>תירם</t>
  </si>
  <si>
    <t>ויכה חיצין</t>
  </si>
  <si>
    <t>פרומה</t>
  </si>
  <si>
    <t>ויסבלך</t>
  </si>
  <si>
    <t>שמואל</t>
  </si>
  <si>
    <t>בן צבי</t>
  </si>
  <si>
    <t>הדסה</t>
  </si>
  <si>
    <t>וחש</t>
  </si>
  <si>
    <t>מליחי</t>
  </si>
  <si>
    <t>אחיהוד</t>
  </si>
  <si>
    <t>באר</t>
  </si>
  <si>
    <t>דנין</t>
  </si>
  <si>
    <t>זכריהו</t>
  </si>
  <si>
    <t>רינה</t>
  </si>
  <si>
    <t>שרעבי</t>
  </si>
  <si>
    <t>גאולה</t>
  </si>
  <si>
    <t>רותי</t>
  </si>
  <si>
    <t>מדור חיים</t>
  </si>
  <si>
    <t>פסקולסקו</t>
  </si>
  <si>
    <t>עמית</t>
  </si>
  <si>
    <t>לוקר</t>
  </si>
  <si>
    <t>בעדני</t>
  </si>
  <si>
    <t>ברלין</t>
  </si>
  <si>
    <t>גיבלי</t>
  </si>
  <si>
    <t>אורנשטיין</t>
  </si>
  <si>
    <t>בני</t>
  </si>
  <si>
    <t>יאירה</t>
  </si>
  <si>
    <t>מנחם</t>
  </si>
  <si>
    <t>עזרא</t>
  </si>
  <si>
    <t>אילנה</t>
  </si>
  <si>
    <t>הרצברגר</t>
  </si>
  <si>
    <t>הנדי</t>
  </si>
  <si>
    <t>ציון</t>
  </si>
  <si>
    <t>קופלוביץ</t>
  </si>
  <si>
    <t>עמירה</t>
  </si>
  <si>
    <t>ארזי</t>
  </si>
  <si>
    <t>מיכל</t>
  </si>
  <si>
    <t>פורטונה</t>
  </si>
  <si>
    <t>פלס</t>
  </si>
  <si>
    <t>גורדון</t>
  </si>
  <si>
    <t>יצחק</t>
  </si>
  <si>
    <t>רושו</t>
  </si>
  <si>
    <t>חדד</t>
  </si>
  <si>
    <t>דינה</t>
  </si>
  <si>
    <t>גיאת</t>
  </si>
  <si>
    <t>יצחקי</t>
  </si>
  <si>
    <t>נעמי</t>
  </si>
  <si>
    <t>מרציאנו</t>
  </si>
  <si>
    <t>קופפר</t>
  </si>
  <si>
    <t>שורר</t>
  </si>
  <si>
    <t>יעקובוביץ</t>
  </si>
  <si>
    <t>מרגלית</t>
  </si>
  <si>
    <t>בגנו</t>
  </si>
  <si>
    <t>שולמית</t>
  </si>
  <si>
    <t>זמירה</t>
  </si>
  <si>
    <t>זכריה</t>
  </si>
  <si>
    <t>שמעון</t>
  </si>
  <si>
    <t>זהבה</t>
  </si>
  <si>
    <t>סגל</t>
  </si>
  <si>
    <t>אלישבע</t>
  </si>
  <si>
    <t>מסיכה</t>
  </si>
  <si>
    <t>זיוה</t>
  </si>
  <si>
    <t>ארגמן</t>
  </si>
  <si>
    <t>דורית</t>
  </si>
  <si>
    <t>אשורוב</t>
  </si>
  <si>
    <t>בלהה</t>
  </si>
  <si>
    <t>לשץ</t>
  </si>
  <si>
    <t>רעיה</t>
  </si>
  <si>
    <t>שפריר</t>
  </si>
  <si>
    <t>מורין</t>
  </si>
  <si>
    <t>בולוצקי</t>
  </si>
  <si>
    <t>אלכסנדר</t>
  </si>
  <si>
    <t>אדינייאב</t>
  </si>
  <si>
    <t>שומי</t>
  </si>
  <si>
    <t>פנקס</t>
  </si>
  <si>
    <t>בלדב</t>
  </si>
  <si>
    <t>מילארה</t>
  </si>
  <si>
    <t>מרי דולי</t>
  </si>
  <si>
    <t>בן אברהם</t>
  </si>
  <si>
    <t>יעקב</t>
  </si>
  <si>
    <t>שליב</t>
  </si>
  <si>
    <t>קמיע</t>
  </si>
  <si>
    <t>אושרוב ליט</t>
  </si>
  <si>
    <t>פולינה</t>
  </si>
  <si>
    <t>ממליגר</t>
  </si>
  <si>
    <t>ויסמן</t>
  </si>
  <si>
    <t>ליאוני</t>
  </si>
  <si>
    <t>קליימן</t>
  </si>
  <si>
    <t>רוזה</t>
  </si>
  <si>
    <t>וינברג דר</t>
  </si>
  <si>
    <t>יזרסקיה</t>
  </si>
  <si>
    <t>אללה</t>
  </si>
  <si>
    <t>נידל</t>
  </si>
  <si>
    <t>דורה</t>
  </si>
  <si>
    <t>קלייזר</t>
  </si>
  <si>
    <t>אנריקי</t>
  </si>
  <si>
    <t>לפידות</t>
  </si>
  <si>
    <t>ארמיאס</t>
  </si>
  <si>
    <t>דניאל</t>
  </si>
  <si>
    <t>איציק</t>
  </si>
  <si>
    <t>ישי</t>
  </si>
  <si>
    <t>נועה</t>
  </si>
  <si>
    <t>נחשונוב</t>
  </si>
  <si>
    <t>גרשום</t>
  </si>
  <si>
    <t>אדינייב</t>
  </si>
  <si>
    <t>דוידוב</t>
  </si>
  <si>
    <t>מריה</t>
  </si>
  <si>
    <t>רגומובה</t>
  </si>
  <si>
    <t>מרגריט</t>
  </si>
  <si>
    <t>בילצ'ינסקי</t>
  </si>
  <si>
    <t>דובוסרסקי</t>
  </si>
  <si>
    <t>איליה</t>
  </si>
  <si>
    <t>יונהייב</t>
  </si>
  <si>
    <t>רוזנבלום</t>
  </si>
  <si>
    <t>פאינה</t>
  </si>
  <si>
    <t>סטאל</t>
  </si>
  <si>
    <t>תומא</t>
  </si>
  <si>
    <t>בן לולו</t>
  </si>
  <si>
    <t>חיים</t>
  </si>
  <si>
    <t>גרפי</t>
  </si>
  <si>
    <t>עליזה</t>
  </si>
  <si>
    <t>אסרף</t>
  </si>
  <si>
    <t>שטרית</t>
  </si>
  <si>
    <t>הרשקוביץ</t>
  </si>
  <si>
    <t>אברהם א</t>
  </si>
  <si>
    <t>רוטנברג</t>
  </si>
  <si>
    <t>מצרפי</t>
  </si>
  <si>
    <t>ירדנה</t>
  </si>
  <si>
    <t>אגארונובא</t>
  </si>
  <si>
    <t>שטורמר-אוסד</t>
  </si>
  <si>
    <t>קלרית</t>
  </si>
  <si>
    <t>חגג</t>
  </si>
  <si>
    <t>שניצר</t>
  </si>
  <si>
    <t>אורלי</t>
  </si>
  <si>
    <t>ביטון</t>
  </si>
  <si>
    <t>מסעודה</t>
  </si>
  <si>
    <t>גולאברי</t>
  </si>
  <si>
    <t>אוליביה</t>
  </si>
  <si>
    <t>אלמליח</t>
  </si>
  <si>
    <t>איבון</t>
  </si>
  <si>
    <t>שיטרית</t>
  </si>
  <si>
    <t>סיבוני</t>
  </si>
  <si>
    <t>גבאי</t>
  </si>
  <si>
    <t>חביב</t>
  </si>
  <si>
    <t>ויזמן</t>
  </si>
  <si>
    <t>חסיבה</t>
  </si>
  <si>
    <t>גרשון</t>
  </si>
  <si>
    <t>אזולאי</t>
  </si>
  <si>
    <t>בשארי</t>
  </si>
  <si>
    <t>רונן</t>
  </si>
  <si>
    <t>בן חיים</t>
  </si>
  <si>
    <t>קפלן</t>
  </si>
  <si>
    <t>פטר</t>
  </si>
  <si>
    <t>לין</t>
  </si>
  <si>
    <t>פדידה</t>
  </si>
  <si>
    <t>סימי</t>
  </si>
  <si>
    <t>איטן</t>
  </si>
  <si>
    <t>ורדה</t>
  </si>
  <si>
    <t>רנה</t>
  </si>
  <si>
    <t>דהן</t>
  </si>
  <si>
    <t>שלמה</t>
  </si>
  <si>
    <t>פרינבוך</t>
  </si>
  <si>
    <t>ציליביץ</t>
  </si>
  <si>
    <t>צפר</t>
  </si>
  <si>
    <t>שמחי</t>
  </si>
  <si>
    <t>יוכלמן</t>
  </si>
  <si>
    <t>רפאלי</t>
  </si>
  <si>
    <t>גרנאי</t>
  </si>
  <si>
    <t>דיאמנט</t>
  </si>
  <si>
    <t>יונגשטין</t>
  </si>
  <si>
    <t>סימה</t>
  </si>
  <si>
    <t>ניסים</t>
  </si>
  <si>
    <t>צדקה</t>
  </si>
  <si>
    <t>נח</t>
  </si>
  <si>
    <t>אהובה</t>
  </si>
  <si>
    <t>צדוק</t>
  </si>
  <si>
    <t>זטלאוי</t>
  </si>
  <si>
    <t>סגולה</t>
  </si>
  <si>
    <t>אוזאני</t>
  </si>
  <si>
    <t>אשבל</t>
  </si>
  <si>
    <t>דוראני</t>
  </si>
  <si>
    <t>זירד</t>
  </si>
  <si>
    <t>רומיה</t>
  </si>
  <si>
    <t>עוזרי</t>
  </si>
  <si>
    <t>תורגמן</t>
  </si>
  <si>
    <t>בן מיכאל</t>
  </si>
  <si>
    <t>יחיא</t>
  </si>
  <si>
    <t>דדון</t>
  </si>
  <si>
    <t>אחרק</t>
  </si>
  <si>
    <t>זיידי</t>
  </si>
  <si>
    <t>עודד</t>
  </si>
  <si>
    <t>גמליאל</t>
  </si>
  <si>
    <t>עמיחי</t>
  </si>
  <si>
    <t>ואנה</t>
  </si>
  <si>
    <t>כוכבה</t>
  </si>
  <si>
    <t>גולדפינגר</t>
  </si>
  <si>
    <t>אנקה</t>
  </si>
  <si>
    <t>מטילסקי</t>
  </si>
  <si>
    <t>עדה</t>
  </si>
  <si>
    <t>אנס</t>
  </si>
  <si>
    <t>דנינו</t>
  </si>
  <si>
    <t>שגן</t>
  </si>
  <si>
    <t>גוב</t>
  </si>
  <si>
    <t>דחייני</t>
  </si>
  <si>
    <t>נעמה</t>
  </si>
  <si>
    <t>ברדה</t>
  </si>
  <si>
    <t>סעדיה</t>
  </si>
  <si>
    <t>טרטקובסקי שמשי</t>
  </si>
  <si>
    <t>חוה</t>
  </si>
  <si>
    <t>משרקי</t>
  </si>
  <si>
    <t>מנטין</t>
  </si>
  <si>
    <t>נינה</t>
  </si>
  <si>
    <t>עמרם</t>
  </si>
  <si>
    <t>מורגן</t>
  </si>
  <si>
    <t>סעיד</t>
  </si>
  <si>
    <t>פחימה</t>
  </si>
  <si>
    <t>אוחיון</t>
  </si>
  <si>
    <t>בת שבע</t>
  </si>
  <si>
    <t>סעדה</t>
  </si>
  <si>
    <t>בתיה</t>
  </si>
  <si>
    <t>שחר</t>
  </si>
  <si>
    <t>כרמון</t>
  </si>
  <si>
    <t>רפאל</t>
  </si>
  <si>
    <t>בוזגלו</t>
  </si>
  <si>
    <t>תימור</t>
  </si>
  <si>
    <t>אביבה</t>
  </si>
  <si>
    <t>חזות</t>
  </si>
  <si>
    <t>סימיאן</t>
  </si>
  <si>
    <t>ליאורה</t>
  </si>
  <si>
    <t>חסן</t>
  </si>
  <si>
    <t>ארץ</t>
  </si>
  <si>
    <t>סבח</t>
  </si>
  <si>
    <t>נורית</t>
  </si>
  <si>
    <t>רון</t>
  </si>
  <si>
    <t>עמנואל</t>
  </si>
  <si>
    <t>טפר</t>
  </si>
  <si>
    <t>אמנון</t>
  </si>
  <si>
    <t>זכאי</t>
  </si>
  <si>
    <t>אידו</t>
  </si>
  <si>
    <t>סברי</t>
  </si>
  <si>
    <t>כחלון</t>
  </si>
  <si>
    <t>שפר</t>
  </si>
  <si>
    <t>רבקה</t>
  </si>
  <si>
    <t>דנן</t>
  </si>
  <si>
    <t>קינן</t>
  </si>
  <si>
    <t>נירה</t>
  </si>
  <si>
    <t>חן</t>
  </si>
  <si>
    <t>אינס</t>
  </si>
  <si>
    <t>סלמה</t>
  </si>
  <si>
    <t>ציפורה</t>
  </si>
  <si>
    <t>גידה</t>
  </si>
  <si>
    <t>ג'וני</t>
  </si>
  <si>
    <t>מור</t>
  </si>
  <si>
    <t>חרתי</t>
  </si>
  <si>
    <t>מנשה</t>
  </si>
  <si>
    <t>שעיר</t>
  </si>
  <si>
    <t>נאור</t>
  </si>
  <si>
    <t>עטרה</t>
  </si>
  <si>
    <t>הינדי</t>
  </si>
  <si>
    <t>מחפוד</t>
  </si>
  <si>
    <t>אלגוב</t>
  </si>
  <si>
    <t>ציפי</t>
  </si>
  <si>
    <t>צור זיידי</t>
  </si>
  <si>
    <t>ז'אן</t>
  </si>
  <si>
    <t>יקותיאל</t>
  </si>
  <si>
    <t>שובל</t>
  </si>
  <si>
    <t>אביחיל</t>
  </si>
  <si>
    <t>בן מנחם</t>
  </si>
  <si>
    <t>מטרי</t>
  </si>
  <si>
    <t>ציונה</t>
  </si>
  <si>
    <t>עמר-אושר</t>
  </si>
  <si>
    <t>אורנה</t>
  </si>
  <si>
    <t>ליבנה</t>
  </si>
  <si>
    <t>עמיאל</t>
  </si>
  <si>
    <t>סיגלית</t>
  </si>
  <si>
    <t>עדני</t>
  </si>
  <si>
    <t>לילי</t>
  </si>
  <si>
    <t>אשואל</t>
  </si>
  <si>
    <t>אהרן</t>
  </si>
  <si>
    <t>כותא</t>
  </si>
  <si>
    <t>בן דוד</t>
  </si>
  <si>
    <t>קרוננפלד</t>
  </si>
  <si>
    <t>דקל</t>
  </si>
  <si>
    <t>הרוש</t>
  </si>
  <si>
    <t>שניידר</t>
  </si>
  <si>
    <t>בן משה</t>
  </si>
  <si>
    <t>אילת</t>
  </si>
  <si>
    <t>מלול שורץ</t>
  </si>
  <si>
    <t>אריאלה</t>
  </si>
  <si>
    <t>רובין</t>
  </si>
  <si>
    <t>שפרה שפי</t>
  </si>
  <si>
    <t>בוריה</t>
  </si>
  <si>
    <t>רומנו</t>
  </si>
  <si>
    <t>ברוריה</t>
  </si>
  <si>
    <t>יואש</t>
  </si>
  <si>
    <t>גרבי</t>
  </si>
  <si>
    <t>נורמה</t>
  </si>
  <si>
    <t>דליה</t>
  </si>
  <si>
    <t>נחמיאס</t>
  </si>
  <si>
    <t>ויקי</t>
  </si>
  <si>
    <t>בן גל</t>
  </si>
  <si>
    <t>אפשטין</t>
  </si>
  <si>
    <t>שרון</t>
  </si>
  <si>
    <t>דרומר</t>
  </si>
  <si>
    <t>דוידוביץ</t>
  </si>
  <si>
    <t>לבן</t>
  </si>
  <si>
    <t>דמארי</t>
  </si>
  <si>
    <t>עין הבר</t>
  </si>
  <si>
    <t>אורית</t>
  </si>
  <si>
    <t>מדר בוטיל</t>
  </si>
  <si>
    <t>דראחי</t>
  </si>
  <si>
    <t>ענבי</t>
  </si>
  <si>
    <t>אליעזר</t>
  </si>
  <si>
    <t>גל</t>
  </si>
  <si>
    <t>שלום(מא</t>
  </si>
  <si>
    <t>ערבה</t>
  </si>
  <si>
    <t>וקנין</t>
  </si>
  <si>
    <t>אלעודאת</t>
  </si>
  <si>
    <t>הליל</t>
  </si>
  <si>
    <t>גלרנטר</t>
  </si>
  <si>
    <t>חגית</t>
  </si>
  <si>
    <t>אגמון</t>
  </si>
  <si>
    <t>סטורזי</t>
  </si>
  <si>
    <t>ענת</t>
  </si>
  <si>
    <t>ענתבי</t>
  </si>
  <si>
    <t>יוטה</t>
  </si>
  <si>
    <t>רוספישר</t>
  </si>
  <si>
    <t>בוהארון</t>
  </si>
  <si>
    <t>צבכון</t>
  </si>
  <si>
    <t>ממקה</t>
  </si>
  <si>
    <t>מיטל-משל</t>
  </si>
  <si>
    <t>ורדי</t>
  </si>
  <si>
    <t>כובני</t>
  </si>
  <si>
    <t>רחמים</t>
  </si>
  <si>
    <t>עופרה</t>
  </si>
  <si>
    <t>בת-חיל</t>
  </si>
  <si>
    <t>ימין</t>
  </si>
  <si>
    <t>שוקרון</t>
  </si>
  <si>
    <t>ליבוביץ</t>
  </si>
  <si>
    <t>עבדו</t>
  </si>
  <si>
    <t>קחלון</t>
  </si>
  <si>
    <t>יפה</t>
  </si>
  <si>
    <t>אביטן</t>
  </si>
  <si>
    <t>אילוז</t>
  </si>
  <si>
    <t>עמר</t>
  </si>
  <si>
    <t>פרץ</t>
  </si>
  <si>
    <t>יגיל</t>
  </si>
  <si>
    <t>שמשון</t>
  </si>
  <si>
    <t>נחום</t>
  </si>
  <si>
    <t>דהרי</t>
  </si>
  <si>
    <t>גולן</t>
  </si>
  <si>
    <t>שמחה</t>
  </si>
  <si>
    <t>אור</t>
  </si>
  <si>
    <t>סתוית</t>
  </si>
  <si>
    <t>בן איטח</t>
  </si>
  <si>
    <t>ניצה</t>
  </si>
  <si>
    <t>צאיג</t>
  </si>
  <si>
    <t>רמי</t>
  </si>
  <si>
    <t>בודנר</t>
  </si>
  <si>
    <t>קמחי</t>
  </si>
  <si>
    <t>חנונא</t>
  </si>
  <si>
    <t>ויולט</t>
  </si>
  <si>
    <t>לולי</t>
  </si>
  <si>
    <t>דגן</t>
  </si>
  <si>
    <t>מונט</t>
  </si>
  <si>
    <t>קלודין</t>
  </si>
  <si>
    <t>פסו</t>
  </si>
  <si>
    <t>רושני</t>
  </si>
  <si>
    <t>זהר</t>
  </si>
  <si>
    <t>רושנרוז</t>
  </si>
  <si>
    <t>פרגון</t>
  </si>
  <si>
    <t>נימצן</t>
  </si>
  <si>
    <t>קלרה</t>
  </si>
  <si>
    <t>אופיר</t>
  </si>
  <si>
    <t>רימר</t>
  </si>
  <si>
    <t>הורן</t>
  </si>
  <si>
    <t>דוניו</t>
  </si>
  <si>
    <t>סבים</t>
  </si>
  <si>
    <t>מרי</t>
  </si>
  <si>
    <t>בן סדון</t>
  </si>
  <si>
    <t>חיה</t>
  </si>
  <si>
    <t>זפרן</t>
  </si>
  <si>
    <t>מסעודי</t>
  </si>
  <si>
    <t>עדרי</t>
  </si>
  <si>
    <t>איבט</t>
  </si>
  <si>
    <t>אוחנה</t>
  </si>
  <si>
    <t>לנקרי</t>
  </si>
  <si>
    <t>אברג'ל</t>
  </si>
  <si>
    <t>סמי</t>
  </si>
  <si>
    <t>מור יוסף</t>
  </si>
  <si>
    <t>פני</t>
  </si>
  <si>
    <t>אלפסי</t>
  </si>
  <si>
    <t>חזוט</t>
  </si>
  <si>
    <t>דני</t>
  </si>
  <si>
    <t>קקון</t>
  </si>
  <si>
    <t>פרלה</t>
  </si>
  <si>
    <t>וסרמן</t>
  </si>
  <si>
    <t>ארנסטי</t>
  </si>
  <si>
    <t>אבן חיים</t>
  </si>
  <si>
    <t>סול</t>
  </si>
  <si>
    <t>ונונו</t>
  </si>
  <si>
    <t>גרייף</t>
  </si>
  <si>
    <t>עזיזה</t>
  </si>
  <si>
    <t>אליס עליזה</t>
  </si>
  <si>
    <t>בן בנימין</t>
  </si>
  <si>
    <t>קוניא</t>
  </si>
  <si>
    <t>אני</t>
  </si>
  <si>
    <t>ברנס</t>
  </si>
  <si>
    <t>אבן צור</t>
  </si>
  <si>
    <t>אלי</t>
  </si>
  <si>
    <t>בן עזרא</t>
  </si>
  <si>
    <t>ספל</t>
  </si>
  <si>
    <t>הנריטה</t>
  </si>
  <si>
    <t>בן שמואל</t>
  </si>
  <si>
    <t>אנט</t>
  </si>
  <si>
    <t>גילה</t>
  </si>
  <si>
    <t>גויטע</t>
  </si>
  <si>
    <t>חי</t>
  </si>
  <si>
    <t>ריחנה</t>
  </si>
  <si>
    <t>נועם</t>
  </si>
  <si>
    <t>פרחיה</t>
  </si>
  <si>
    <t>אדרי</t>
  </si>
  <si>
    <t>מלמד</t>
  </si>
  <si>
    <t>נעם</t>
  </si>
  <si>
    <t>לחמי</t>
  </si>
  <si>
    <t>בוסי</t>
  </si>
  <si>
    <t>זהרה</t>
  </si>
  <si>
    <t>גוטר</t>
  </si>
  <si>
    <t>אוליאל</t>
  </si>
  <si>
    <t>עמוס</t>
  </si>
  <si>
    <t>ארביב</t>
  </si>
  <si>
    <t>גנח</t>
  </si>
  <si>
    <t>סרוסי</t>
  </si>
  <si>
    <t>צרור</t>
  </si>
  <si>
    <t>ויקטור</t>
  </si>
  <si>
    <t>טולידנו</t>
  </si>
  <si>
    <t>טוני</t>
  </si>
  <si>
    <t>רחמני</t>
  </si>
  <si>
    <t>אבלין</t>
  </si>
  <si>
    <t>אלישע</t>
  </si>
  <si>
    <t>עליז</t>
  </si>
  <si>
    <t>עטון</t>
  </si>
  <si>
    <t>יפת</t>
  </si>
  <si>
    <t>טוויל</t>
  </si>
  <si>
    <t>עיזה</t>
  </si>
  <si>
    <t>פריינטה</t>
  </si>
  <si>
    <t>שבת</t>
  </si>
  <si>
    <t>דוידי</t>
  </si>
  <si>
    <t>מדלן</t>
  </si>
  <si>
    <t>אלקובי</t>
  </si>
  <si>
    <t>יפרח</t>
  </si>
  <si>
    <t>פלורה</t>
  </si>
  <si>
    <t>בן יצחק</t>
  </si>
  <si>
    <t>וינברנד</t>
  </si>
  <si>
    <t>אנה</t>
  </si>
  <si>
    <t>יוסקוביץ</t>
  </si>
  <si>
    <t>יוליאנה</t>
  </si>
  <si>
    <t>פיש</t>
  </si>
  <si>
    <t>אירינה</t>
  </si>
  <si>
    <t>פסחוב</t>
  </si>
  <si>
    <t>בלה</t>
  </si>
  <si>
    <t>דבורצוב</t>
  </si>
  <si>
    <t>פירה</t>
  </si>
  <si>
    <t>גרבר</t>
  </si>
  <si>
    <t>דוניה</t>
  </si>
  <si>
    <t>חנבן</t>
  </si>
  <si>
    <t>ולדמיר</t>
  </si>
  <si>
    <t>סמליינסקי</t>
  </si>
  <si>
    <t>יבגני</t>
  </si>
  <si>
    <t>גרינברג</t>
  </si>
  <si>
    <t>לאוניד</t>
  </si>
  <si>
    <t>מסרמן</t>
  </si>
  <si>
    <t>שפיר</t>
  </si>
  <si>
    <t>נחמן</t>
  </si>
  <si>
    <t>מרזליק</t>
  </si>
  <si>
    <t>יסורוביץ</t>
  </si>
  <si>
    <t>יורי</t>
  </si>
  <si>
    <t>קרייזל</t>
  </si>
  <si>
    <t>ריטה</t>
  </si>
  <si>
    <t>יבטחוב</t>
  </si>
  <si>
    <t>יוסופוב</t>
  </si>
  <si>
    <t>אבדלימוב</t>
  </si>
  <si>
    <t>סבי</t>
  </si>
  <si>
    <t>אברמוב</t>
  </si>
  <si>
    <t>גרייפל</t>
  </si>
  <si>
    <t>טוקמקוב</t>
  </si>
  <si>
    <t>לריסה</t>
  </si>
  <si>
    <t>ששי</t>
  </si>
  <si>
    <t>מאריצה</t>
  </si>
  <si>
    <t>בולבול</t>
  </si>
  <si>
    <t>סובחיה</t>
  </si>
  <si>
    <t>נספח א - 1 גימלאים ושארים</t>
  </si>
  <si>
    <t>כל הכנסה שתתקבל מעבר לתקציב, תשמש לפעילות נוספת לפי מדיניות מחזיק התיק</t>
  </si>
  <si>
    <t>משרות</t>
  </si>
  <si>
    <t>גמלאים ושארים</t>
  </si>
  <si>
    <t>נופשונים לאוטיסט</t>
  </si>
  <si>
    <t>אומדן 2021</t>
  </si>
  <si>
    <t>תקציב 2022</t>
  </si>
  <si>
    <t>פקח לנזקי חקלאות</t>
  </si>
  <si>
    <t xml:space="preserve">תקציב 2022 </t>
  </si>
  <si>
    <t>הכנסות משרד הפנים לחופים</t>
  </si>
  <si>
    <t>עבודות קבלניות לחופים, חובש, השתלמות מצילים (פיקוח ושיטור עברו לסעיף 1781000750)</t>
  </si>
  <si>
    <t>הוצאות שונות קונסרבטוריון</t>
  </si>
  <si>
    <t>תמלוגים להשמעה פומבית ולהשמעות בתשלום</t>
  </si>
  <si>
    <t>תשלום לחברות המיחשוב חילן ומטרופולינט ותוכנות נוספות + מנמ"ר + תוכנת לניהול משפטית + פורטל עובדים + פרויקט גיבויים + הלפדסק</t>
  </si>
  <si>
    <t>מודד לבדיקות תצ"רים  + יועץ נכסים +  ציוד משרדי + פרסומים + הוצאות שונות + 2 משקיפים לוועדה המקומית+פרילנס חישוב אגרות והיטלים</t>
  </si>
  <si>
    <t>ספרות מקצועית, תוכנות לעבודה, תוכנת סימפלקס לשימוש תב"ע ופיקוח על הבנייה</t>
  </si>
  <si>
    <t xml:space="preserve"> 3 קטנועים + רכב קיה + רכב צמוד</t>
  </si>
  <si>
    <t>אחזקת גני ילדים בניהול אגף אירועים</t>
  </si>
  <si>
    <t>הסעות, מילגות, הצטיידות, רכישת כלי נגינה, תחזוקת משרד וכו'</t>
  </si>
  <si>
    <t xml:space="preserve">הסכם הפעלה מול עמותת צבעי מחול 300 אלש"ח. פסטיבלים והופעות של הלהקה 150 אלש"ח </t>
  </si>
  <si>
    <t>הסכם שירות עבור פעילות אומנויות הבמה</t>
  </si>
  <si>
    <t>תקציב מוגנות ממומן 75% ע"י משרד הרווחה עבור: מאבטח נייח, נייד ותקציב גמיש למוגנות</t>
  </si>
  <si>
    <t>שכר טיפול באלכוהוליסטים</t>
  </si>
  <si>
    <t>שכר הדרך החדשה</t>
  </si>
  <si>
    <t>כולל תקציב ייחודי למניעת אלימות שנרשם בסעיפים שונים</t>
  </si>
  <si>
    <t>מגן זהב לבני משפחה מטפלים</t>
  </si>
  <si>
    <t>הפגת בדידות מגן זהב + העסקת עובדות רכזי מענים מגן זהב+בני משפחה מטפלים+אזרח ותיק בסיכון</t>
  </si>
  <si>
    <t>ליווי והדרכה למשפחות  לילדים אוטיסטים בקהילה וכן שילוב סייעות כחלופה למעון - בעקבות היעדר מקומות פנויים במעונות תקשורת (חלופה הינה עפ"י חוק)</t>
  </si>
  <si>
    <t>תקורה צהרונים</t>
  </si>
  <si>
    <t>כ- 1,800 ילדים, תקורה חודשים 43 ₪ לילד. 10 חודשים</t>
  </si>
  <si>
    <t>תקציב לפעילות בית קרן</t>
  </si>
  <si>
    <t>פעולות וסיוע לנערים בדווח רשות</t>
  </si>
  <si>
    <t>טיפול בנערות  דווח</t>
  </si>
  <si>
    <t>פעולות וסיוע לנערות בדווח רשות</t>
  </si>
  <si>
    <t>שכר מרכז יום להתמכרויות</t>
  </si>
  <si>
    <t>מסגרות חוץ ביתיות לאסירים משוחררים ומכורים</t>
  </si>
  <si>
    <t>שכר תוכנית להט"ב</t>
  </si>
  <si>
    <t>שכר איתור נוח"ם</t>
  </si>
  <si>
    <t>פעולות איתור נוח"ם</t>
  </si>
  <si>
    <t>איתור נוח"ם</t>
  </si>
  <si>
    <t>תוכנית להט"ב</t>
  </si>
  <si>
    <t>מצויינות בחטיבות הבניים- קרן טראמפ</t>
  </si>
  <si>
    <t>השתתפות הרשות בפרויקט שממומן ע"י קרן טראמפ</t>
  </si>
  <si>
    <t>אגרות הורים גנ"י</t>
  </si>
  <si>
    <t>מגביית הורים :שירותים מרצון, מסיבות, טיולים וחוגים</t>
  </si>
  <si>
    <t xml:space="preserve">תקציב גננות + הצטיידות + העשרה + חופשות </t>
  </si>
  <si>
    <t>חשמל בבתי ספר מיוחדים + פאר צור</t>
  </si>
  <si>
    <t>מים בבתי ספר מיוחדים+פאר צור</t>
  </si>
  <si>
    <t>תקציב אב בית חווה עבר לפעילות</t>
  </si>
  <si>
    <t xml:space="preserve">סל תלמיד יוצמד לאגרת תלמידי חוץ </t>
  </si>
  <si>
    <t>כולל ניקיון</t>
  </si>
  <si>
    <t>מעבר למבנה חדש</t>
  </si>
  <si>
    <t>חשמל במשרדי האגף ובמרכז ההוליסטי</t>
  </si>
  <si>
    <t>אחזקת בתי ספר בניהול מחלקת אחזקת מבני חינוך כולל אחזקת מעליות בבתי ספר</t>
  </si>
  <si>
    <t>הוספת שמירה מבנה מינהל + קידום נוער</t>
  </si>
  <si>
    <t>לכידות מיוחדות הובלת בע"ח תשלום עבור הסגר וטיפול בכלבים משוטטים בכלביות סמוכות</t>
  </si>
  <si>
    <t>גיזום עצים ברחבי העיר יוצא מכרז חדש התקציב תלוי במכרז</t>
  </si>
  <si>
    <t xml:space="preserve">שירותי אחזקה וניהול למערכות השקייה ממוחשבת </t>
  </si>
  <si>
    <t xml:space="preserve"> הכנסות מפינוי קרטון </t>
  </si>
  <si>
    <t>אגף שירות</t>
  </si>
  <si>
    <t>סה"כ שירות</t>
  </si>
  <si>
    <t xml:space="preserve"> רשימת רכבים עיריית חדרה 2022</t>
  </si>
  <si>
    <t>סעיף 
תקציב</t>
  </si>
  <si>
    <t>צביקה גנדלמן - ראה"ע</t>
  </si>
  <si>
    <t>53467002</t>
  </si>
  <si>
    <t>רנו חשמלי</t>
  </si>
  <si>
    <t>זואי</t>
  </si>
  <si>
    <t xml:space="preserve">מיכל רוזין </t>
  </si>
  <si>
    <t>53468202</t>
  </si>
  <si>
    <t>2663628</t>
  </si>
  <si>
    <t>9386530</t>
  </si>
  <si>
    <t>48781</t>
  </si>
  <si>
    <t>49114</t>
  </si>
  <si>
    <t>48385</t>
  </si>
  <si>
    <t>3495439</t>
  </si>
  <si>
    <t>67916802</t>
  </si>
  <si>
    <t>ברלינגו</t>
  </si>
  <si>
    <t>67916702</t>
  </si>
  <si>
    <t>67916402</t>
  </si>
  <si>
    <t>53467702</t>
  </si>
  <si>
    <t>9286360</t>
  </si>
  <si>
    <t>46387202</t>
  </si>
  <si>
    <t>קוריאה</t>
  </si>
  <si>
    <t>9999901</t>
  </si>
  <si>
    <t>77083701</t>
  </si>
  <si>
    <t>בר חן חינוך על יסודי</t>
  </si>
  <si>
    <t>מיצובישי</t>
  </si>
  <si>
    <t>גישור</t>
  </si>
  <si>
    <t>36672302</t>
  </si>
  <si>
    <t>סמנכלית-אסנת</t>
  </si>
  <si>
    <t>קובי בוזגלו</t>
  </si>
  <si>
    <t>53468002</t>
  </si>
  <si>
    <t>62857002</t>
  </si>
  <si>
    <t>1841000530</t>
  </si>
  <si>
    <t xml:space="preserve">רווחה - מאבטח </t>
  </si>
  <si>
    <t>40792502</t>
  </si>
  <si>
    <t>רווחה - זיווה הימברג</t>
  </si>
  <si>
    <t>ספורטג'</t>
  </si>
  <si>
    <t>67916302</t>
  </si>
  <si>
    <t>11267402</t>
  </si>
  <si>
    <t>אופל</t>
  </si>
  <si>
    <t>14410902</t>
  </si>
  <si>
    <t>קטנוע</t>
  </si>
  <si>
    <t>53467902</t>
  </si>
  <si>
    <t>55649202</t>
  </si>
  <si>
    <t>טנדר</t>
  </si>
  <si>
    <t>טרייטון</t>
  </si>
  <si>
    <t>5200000</t>
  </si>
  <si>
    <t>9159230</t>
  </si>
  <si>
    <t>53468102</t>
  </si>
  <si>
    <t>55649102</t>
  </si>
  <si>
    <t>9127679</t>
  </si>
  <si>
    <t>53467802</t>
  </si>
  <si>
    <t>55649302</t>
  </si>
  <si>
    <t>9561760</t>
  </si>
  <si>
    <t>53468302</t>
  </si>
  <si>
    <t>67916502</t>
  </si>
  <si>
    <t>9199776</t>
  </si>
  <si>
    <t>4202213</t>
  </si>
  <si>
    <t>יורם ולטר</t>
  </si>
  <si>
    <t>9191630</t>
  </si>
  <si>
    <t>55649002</t>
  </si>
  <si>
    <t>50388702</t>
  </si>
  <si>
    <t>קיה</t>
  </si>
  <si>
    <t>53467302</t>
  </si>
  <si>
    <t>2061280</t>
  </si>
  <si>
    <t>רגיל</t>
  </si>
  <si>
    <t>7374015</t>
  </si>
  <si>
    <t>1941000530</t>
  </si>
  <si>
    <t xml:space="preserve">רכב איגום -כללי </t>
  </si>
  <si>
    <t>53467102</t>
  </si>
  <si>
    <t>3916856</t>
  </si>
  <si>
    <t>1711000530</t>
  </si>
  <si>
    <t>8228985</t>
  </si>
  <si>
    <t>53467502</t>
  </si>
  <si>
    <t>2601828</t>
  </si>
  <si>
    <t>קב"ט</t>
  </si>
  <si>
    <t>53468402</t>
  </si>
  <si>
    <t>9162875</t>
  </si>
  <si>
    <t>9331478</t>
  </si>
  <si>
    <t>66608101</t>
  </si>
  <si>
    <t>9450479</t>
  </si>
  <si>
    <t>9386430</t>
  </si>
  <si>
    <t>קטנוע חירום</t>
  </si>
  <si>
    <t>53467602</t>
  </si>
  <si>
    <t>53467402</t>
  </si>
  <si>
    <t>53467202</t>
  </si>
  <si>
    <t>עבר מחופים, הוזמן 4*4</t>
  </si>
  <si>
    <t>2601728</t>
  </si>
  <si>
    <t>9159030</t>
  </si>
  <si>
    <t>9929530</t>
  </si>
  <si>
    <t>14262102</t>
  </si>
  <si>
    <t>14262202</t>
  </si>
  <si>
    <t>2601428</t>
  </si>
  <si>
    <t>14411102</t>
  </si>
  <si>
    <t>9457430</t>
  </si>
  <si>
    <t>ייעוץ משפטי חיצוני + 200 אלש"ח עבור חבק"ל</t>
  </si>
  <si>
    <t>החברה לתיירות</t>
  </si>
  <si>
    <t>הערכות לוגיסטית לחגים</t>
  </si>
  <si>
    <t>האם ליסינג או בבעלות העירייה</t>
  </si>
  <si>
    <t xml:space="preserve">סיום שנת ליסינג </t>
  </si>
  <si>
    <t xml:space="preserve">ליסינג </t>
  </si>
  <si>
    <t>2022</t>
  </si>
  <si>
    <t>2023</t>
  </si>
  <si>
    <t>ליסינג</t>
  </si>
  <si>
    <t>2024</t>
  </si>
  <si>
    <t>הוזמן רכב חדש</t>
  </si>
  <si>
    <t>2021</t>
  </si>
  <si>
    <t>נעמי שוחט</t>
  </si>
  <si>
    <t>עירייה</t>
  </si>
  <si>
    <t>רשות ניקוז השרון</t>
  </si>
  <si>
    <t>ליסינג/גישור</t>
  </si>
  <si>
    <t xml:space="preserve">עירייה </t>
  </si>
  <si>
    <t>פורד קוגה</t>
  </si>
  <si>
    <t>ליסימג</t>
  </si>
  <si>
    <t>ליסינג/געשור</t>
  </si>
  <si>
    <t>הרשות לבטחון קהילתי 75% מ 1,048 אלש"ח, הדרך החדשה 100% מ 406 אלש"ח</t>
  </si>
  <si>
    <t>בשיתוף עם רת"ג ועם מועצה אזורית עמק חפר</t>
  </si>
  <si>
    <t xml:space="preserve">גנ"י מוכש"ר, בי"ס שאינם מוכרים ואינם מוכש"ר, ספורט הישגי, תנועות ואירגוני  נוער, </t>
  </si>
  <si>
    <t>שיעור גידול מביצוע 2021</t>
  </si>
  <si>
    <t>צילום הישיבות, פרוטוקולים, הקלטות, ספרות מקצועית, ושונות - עבר ממנכ"ל</t>
  </si>
  <si>
    <t>פעולות שיקום שכונות כולל מלגות לסטודנטים</t>
  </si>
  <si>
    <t>הפעלה שוטפת בשכונות</t>
  </si>
  <si>
    <t xml:space="preserve">תקציבי הפעלה למחלקת קליטה </t>
  </si>
  <si>
    <t xml:space="preserve">הפעלת המועדון הערוני לעולי קווקז </t>
  </si>
  <si>
    <t>עלות הפעלת ההיכל לשנה לפי התוכנית העסקית + סבסוד מופעים + שיווק</t>
  </si>
  <si>
    <t>מוגנות רווחה</t>
  </si>
  <si>
    <t>מרכזי יום אזרח ותיק</t>
  </si>
  <si>
    <t>אחזקת פארק נחל חדרה באחריות אגף חופים</t>
  </si>
  <si>
    <t>אחזקת פארק נחל חדרה</t>
  </si>
  <si>
    <t>קבלניות לפארקים צמודי חוף וחופים לא מוכרזים</t>
  </si>
  <si>
    <t>עבר למינהל חבק"ל</t>
  </si>
  <si>
    <t>קמפיין ארצי להשקת מוזיאון הרפואה - עבר לתקציב יח"צ אצל המנכ"ל</t>
  </si>
  <si>
    <t>על פי הסכם מתן שירותים,  528 ינתנו בחציון הראשון ו 528 נוספים ינתנו על פי החלטת ראש העיר לאחר בחינת השגי המרכזים בחציון הראשון</t>
  </si>
  <si>
    <t>מתנ"ס גבעת אולגה</t>
  </si>
  <si>
    <t>אבוקסיס</t>
  </si>
  <si>
    <t>אבייב</t>
  </si>
  <si>
    <t>אבישג</t>
  </si>
  <si>
    <t>אברהמי</t>
  </si>
  <si>
    <t>אשר</t>
  </si>
  <si>
    <t>ביטון הראל</t>
  </si>
  <si>
    <t>ברק</t>
  </si>
  <si>
    <t>גבור</t>
  </si>
  <si>
    <t>גוטליב</t>
  </si>
  <si>
    <t>ברוך</t>
  </si>
  <si>
    <t>דנילוב</t>
  </si>
  <si>
    <t>רזיאל</t>
  </si>
  <si>
    <t>כסלאסי</t>
  </si>
  <si>
    <t>מאירי</t>
  </si>
  <si>
    <t>יעל</t>
  </si>
  <si>
    <t>ממן</t>
  </si>
  <si>
    <t>פרג</t>
  </si>
  <si>
    <t>אורי</t>
  </si>
  <si>
    <t>פריימן</t>
  </si>
  <si>
    <t>גלינה</t>
  </si>
  <si>
    <t>קרפציוב</t>
  </si>
  <si>
    <t>ריבניק</t>
  </si>
  <si>
    <t>נוגה</t>
  </si>
  <si>
    <t>שמיס</t>
  </si>
  <si>
    <t>קבדיה</t>
  </si>
  <si>
    <t>אביגיל</t>
  </si>
  <si>
    <t>תהומי</t>
  </si>
  <si>
    <t>ברזילי</t>
  </si>
  <si>
    <t>מוסיה</t>
  </si>
  <si>
    <t>סגל כהנא</t>
  </si>
  <si>
    <t>פעילות למצויינות לילדי גנים ובתי ספר</t>
  </si>
  <si>
    <t>90 גנים חובה+ ח.מ. כולל רישום הוצאות כנגד גביית תשלומי הורים (ישנו גידול בהכנ' בהתאם). הפרש בגין תקורות צהרונים 79 אלש"ח קיימת הכנסה במקביל</t>
  </si>
  <si>
    <t>שיווק ויח"צ</t>
  </si>
  <si>
    <t>שרותי סליקה + בקרת שכר והבאה לקו אפס של תיקי העובדים</t>
  </si>
  <si>
    <t>4 משרות מפקחי גינון</t>
  </si>
  <si>
    <t>45</t>
  </si>
  <si>
    <t>נספח ג' -  שכירויות  2022</t>
  </si>
  <si>
    <t>סל צמצום פערים בחינוך</t>
  </si>
  <si>
    <t>מימון מלא משרד החינוך</t>
  </si>
  <si>
    <t>סל צמצום פערים</t>
  </si>
  <si>
    <t>שטח ברוטו</t>
  </si>
  <si>
    <t>תשלום ל -1 מ"ר כולל מע"מ והצמדה</t>
  </si>
  <si>
    <t>דמי ניהול/ אחזקה כולל מע"מ /ועד בית לשנה</t>
  </si>
  <si>
    <t>הערות מח נכסים 10.2021</t>
  </si>
  <si>
    <t>הערות מח נכסים 10.2022</t>
  </si>
  <si>
    <t>הערות מח נכסים 10.2023</t>
  </si>
  <si>
    <t>הערות מח נכסים 10.2024</t>
  </si>
  <si>
    <t>7.8.2026</t>
  </si>
  <si>
    <t>ש-26</t>
  </si>
  <si>
    <t>1.6.2022</t>
  </si>
  <si>
    <t>כפל שכירות עקב סיום חוזה  ב 31.12 אך הישארות צפויה עד 1.6.2022 ללא חוזה עד מעבר למקום אחר</t>
  </si>
  <si>
    <t>ש-14</t>
  </si>
  <si>
    <t>ללא שינוי. המחיר כולל ניהול, חשמל, מים, אחזקת מזגנים</t>
  </si>
  <si>
    <t>ש-38</t>
  </si>
  <si>
    <t>השנה מומשה האופציה הראשונה ל- 5 שנים נוספות (עד 2026). לכן יש לעדכן התייקרות של 10% לפי החוזה (53.9 ₪ דמי שכירות למ"ר לחודש, ועוד 6.60 ₪ דמי ניהול למ"ר לחודש+ מע"מ).</t>
  </si>
  <si>
    <t>ש-31</t>
  </si>
  <si>
    <t>אין שינוי</t>
  </si>
  <si>
    <t>ש-17</t>
  </si>
  <si>
    <t>אנו נמצאים בנכס ללא הסכם שכירות. יפונה עם המעבר עוד חצי שנה.נלקח בחשבון כפל דמי שכירות- קנס</t>
  </si>
  <si>
    <t>ש-8</t>
  </si>
  <si>
    <t>ש-39</t>
  </si>
  <si>
    <t xml:space="preserve"> בודקת אפשרות להעביר את החוזה למשרד התחבורה. </t>
  </si>
  <si>
    <t>ש-23</t>
  </si>
  <si>
    <r>
      <t xml:space="preserve">אין מידע/חוזה במחלקת נכסים. </t>
    </r>
    <r>
      <rPr>
        <sz val="10"/>
        <color rgb="FFFF0000"/>
        <rFont val="Arial"/>
        <family val="2"/>
      </rPr>
      <t>התקבלה דרישה לשלם לדיור הממשלתי תמורה מלאה. עדיין אין דרישת סכום. יבדק וינוהל מו"מ</t>
    </r>
  </si>
  <si>
    <t>אין שינוי בשכירות. מועד מסירת החזקה הסופי לפי הדיווח מחבק"ל הינו 19.5.2021</t>
  </si>
  <si>
    <t>ש-44</t>
  </si>
  <si>
    <r>
      <t xml:space="preserve">אין מידע במחלקת נכסים. </t>
    </r>
    <r>
      <rPr>
        <sz val="10"/>
        <color rgb="FFFF0000"/>
        <rFont val="Arial"/>
        <family val="2"/>
      </rPr>
      <t>נא להעביר אלינו העתק החוזה.</t>
    </r>
  </si>
  <si>
    <t>ש-47</t>
  </si>
  <si>
    <t xml:space="preserve">נמצא בפתיחת מעטפות קול קורא. </t>
  </si>
  <si>
    <t>ש-20</t>
  </si>
  <si>
    <t>ש-9</t>
  </si>
  <si>
    <t>היחידה לאיתור נוער (השם הנכון: מחלקת נוער וצעירים)</t>
  </si>
  <si>
    <t>צפוי מהלך של איחוד מחלקות ומעבר למבנה אחר. אומדן</t>
  </si>
  <si>
    <t>ש-13</t>
  </si>
  <si>
    <t>שי"ל והיחידה למאבק בסמים ובאלכוהול (נכון לכתוב שי"ל ושלום המשפחה)</t>
  </si>
  <si>
    <t>ש- 27</t>
  </si>
  <si>
    <t>התנדבות בקהילה ואלימות במשפחה (נכון לכתוב עבודה קהילתית והתנדבות ושלום המשפחה)</t>
  </si>
  <si>
    <t>צפוי מהלך של איחוד מחלקות ומעבר למבנה אחר.אומדן</t>
  </si>
  <si>
    <t>ש-16</t>
  </si>
  <si>
    <t>ש-2</t>
  </si>
  <si>
    <t>ש-3</t>
  </si>
  <si>
    <t>ש-15</t>
  </si>
  <si>
    <t>ש-27</t>
  </si>
  <si>
    <t>ש-33</t>
  </si>
  <si>
    <t>ש-10</t>
  </si>
  <si>
    <t>התקבלה אצל זיווה הודעה מויצו כי הם רוצים לפנות את הנכס אחרי אוגוסט 2022. יהיה צורך במקום חלופי.</t>
  </si>
  <si>
    <t>חדש</t>
  </si>
  <si>
    <t>מע"ש - שיקום לאנשים עם מוגבלות</t>
  </si>
  <si>
    <t>מבנה זמני מע"ש (עד גמר שיפוץ כשנה וחצי)</t>
  </si>
  <si>
    <t>אומדן. נמצא בתהליכי קול קורא</t>
  </si>
  <si>
    <t>איתור מבנה זמני מע"ש- למשך שנה וחצי 2022-2023- לעדכן בטבלה לאחר שיתקבלו הצעות כספיות.</t>
  </si>
  <si>
    <t>הוצאות  מרכז הוליסטי</t>
  </si>
  <si>
    <t>כרגע בהליכי קול קורא</t>
  </si>
  <si>
    <t>ע"פ מדיניות מחזיק התיק</t>
  </si>
  <si>
    <t>ע"פ מדיניות מחזיקי התיק</t>
  </si>
  <si>
    <t xml:space="preserve">ע"פ מדיניות מחזיק התיק </t>
  </si>
  <si>
    <t>פעילות לאזרחים ותיקים ושילוב תרבויות + יום ניצחון על גרמניה הנאצית על פי מדיניות מחזיק התיק</t>
  </si>
  <si>
    <t>פעילות מועצת נשים על פי מדיניות מחזיקת התיק 60 אלש"ח יום האשה + 50 אלש"ח נשות עסקים</t>
  </si>
  <si>
    <t>עידוד עליה לחדרה ופעילות לקליטת עולים על פי מדיניות מחזיק התיק</t>
  </si>
  <si>
    <t>פעילות  לזהירות בדרכים במימון העירייה + 127 אלש"ח מעבירי דרך. 25 אלש"ח באחריות מחזיק התיק</t>
  </si>
  <si>
    <t xml:space="preserve">אירועי חגים ואירועים עירוניים שונים, ע"פ תוכנית אירועים עירונית באחריות סמנכ"לית חבק"ל. 100 אלש"ח עבור אירוע בבית אליעזר </t>
  </si>
  <si>
    <t>בית מורשת אתיופיה בניהול החכ"ל</t>
  </si>
  <si>
    <t>קליטת משפחות חדשות, מילגות לתמידים בתנועות נוער, מקס"ם 190 אלש"ח ע"פ מדיניות מחזיק תיק שכונות מרכז העיר, אקוקמפינג, פעילות לשותפות בקהילה, סדנאות ותחזוקה באגף</t>
  </si>
  <si>
    <t>פעילות תורנית עבור כלל הציבור בחדרה. 40 אלש"ח באחריות מחזיק תיק שכונות ותיקות</t>
  </si>
  <si>
    <t>שכר בית חם נערות חרדיות</t>
  </si>
  <si>
    <t>פעולות בית חם נערות חרדיות</t>
  </si>
  <si>
    <t>בית חם נערות חרדיות</t>
  </si>
  <si>
    <t>השתתפות במטה עמותת פנאי העיר ע"פ הסכם מתן שירותים. תוספת שתי משרות אב בית במקום עובדים שפרשו</t>
  </si>
  <si>
    <t>השתתפות העירייה בפעילות המתנ"ס. מותנה בהסכם חתום מול המתנ"ס</t>
  </si>
  <si>
    <t>סל תלמיד לתלמידי החט"ב. 400 אלש"ח מותנה בהכנסות ארנונה</t>
  </si>
  <si>
    <t>קולות קוראים ותוכניות חינוכיות בהתאם להכנסות 322 אלש"ח תקורה צהרונים קיימת הכנסה במקביל. ניקיון</t>
  </si>
  <si>
    <t>אירועי הקהילה האתיופית 100 אלש"ח. סליחות 120 אלש"ח. בר מצווה למעוטי יכולת 32 אלש"ח. טיול ופעילות למשפחות שכולות 30 אלש"ח.</t>
  </si>
  <si>
    <t>200 אלש"ח מותנה בהכנסות ארנונה</t>
  </si>
  <si>
    <t>אירועים עירוניים בנחלים</t>
  </si>
  <si>
    <t>קבלניות אחזקת כבישים</t>
  </si>
  <si>
    <t>קבלניות גינון</t>
  </si>
  <si>
    <t>פארק נחל חדרה, טיילת, כפר הים, חופים לא מוכרזים גינון + ניקיון באחריות אגף שפ"ע. 100 אלש"ח מותנה בהכנסות ארנונה</t>
  </si>
  <si>
    <t>הוצאות שונות אגף את"ל</t>
  </si>
  <si>
    <t>הוצאות שונות לתחזוקת מבנה העירייה. 50 אלש"ח מותנה בהכנסות ארנונה</t>
  </si>
  <si>
    <t>הוצאות שונות אגף אכיפה</t>
  </si>
  <si>
    <t>יוזמות ראש העיר באגף החינוך. 100 אלש"ח מותנה בהכנסות ארנונה</t>
  </si>
  <si>
    <t>יוזמות ראש העיר בחינוך</t>
  </si>
  <si>
    <t>אחזקת מחשבים בבתי ספר</t>
  </si>
  <si>
    <t>אחזקת מחשבים בבתי ספר - באחריות מחלקת מערכות מידע. 50 אלש"ח מותנה בהכנסות ארנונה</t>
  </si>
  <si>
    <t>יוזמות חינוכיות בבתי ספר</t>
  </si>
  <si>
    <t>יוזמות חינוכיות בבתי ספר יסודיים. 200 אלש"ח מותנה בהכנסות ארנונה</t>
  </si>
  <si>
    <t>יוזמות חינוכיות בעל יסודי</t>
  </si>
  <si>
    <t>יוזמות בבתי ספר על יסודיים. 150 אלש"ח מותנה בהכנסות ארנונה</t>
  </si>
  <si>
    <t>הוצאות שונות ספריה</t>
  </si>
  <si>
    <t>אחזקה, שמירה, משרדיות. 50 אלש"ח מותנה בהכנסות ארנונה</t>
  </si>
  <si>
    <t>הוצאות שונות מחלקת נוער</t>
  </si>
  <si>
    <t>קבלניות איכות סביבה</t>
  </si>
  <si>
    <t>קבלניות טיאוט</t>
  </si>
  <si>
    <t>קבלניות איסוף אשפה</t>
  </si>
  <si>
    <t>סעיפי הכנסה מותנית</t>
  </si>
  <si>
    <t>סעיף תקציב</t>
  </si>
  <si>
    <t xml:space="preserve">תקציב מותנה </t>
  </si>
  <si>
    <t>למימוש ללא התניה</t>
  </si>
  <si>
    <t>תקציב 2022 כולל</t>
  </si>
  <si>
    <t>עבודות קבלניות מנכ"ל</t>
  </si>
  <si>
    <t>הכנסות תוכנית ניצנים</t>
  </si>
  <si>
    <t xml:space="preserve">30 אלש"ח על פי מדיניות מחזיק התיק. ערים תאומות וקש"ח </t>
  </si>
  <si>
    <t>רכישת מזון קורונה</t>
  </si>
  <si>
    <t>קיטנה לאמהות</t>
  </si>
  <si>
    <t>אירועים לנוער, רכז נוער, קורסים והכשרות לנוער, עידוד ספורט לצעירי הקהילה 30 אלש"ח ע"פ מדיניות מחזיק תיק השכונות ומשרדיות. 50 אלש"ח מותנה בהכנסות ארנונה</t>
  </si>
  <si>
    <t xml:space="preserve">הסברים/ הערות </t>
  </si>
  <si>
    <t xml:space="preserve">הכנסות סל"ע </t>
  </si>
  <si>
    <t xml:space="preserve">סל"ע </t>
  </si>
  <si>
    <t>בקשות לתקציב 2023</t>
  </si>
  <si>
    <t>על סמך תקציב מאושר משרד הקליטה לשנת 2022</t>
  </si>
  <si>
    <t>לפי טבלה מפורטת של עלויות הפעלת האנרבוקס</t>
  </si>
  <si>
    <t>ממליצה לפתוח כרטיס נפרד להוצאות כנגד הכנסות של מחלקת הספורט</t>
  </si>
  <si>
    <t>הכנסות כנגד הוצאות - מחלקת ספורט</t>
  </si>
  <si>
    <t>כרטיס חדש</t>
  </si>
  <si>
    <t>שכר דירה עבור דירת חיילים</t>
  </si>
  <si>
    <t>מקסם בלבד - יעבור לסעיף אחר</t>
  </si>
  <si>
    <t xml:space="preserve">בשלב זה מתוקצב לשני רכבים למחלקה - רכב ציון בסה וניסים לוי </t>
  </si>
  <si>
    <t>לפי פירוט בטבלת אירועים - הגידול נובע בעיקר מהעובדה שהסכום כולל גם אירועים של נחלים שעברו לאתו"ס</t>
  </si>
  <si>
    <t>עובדים מושאלים מפנאי העיר - שי מנשס + גיוס חדש של עוזר הפקה</t>
  </si>
  <si>
    <t>כספים שיועברו לפנאי העיר</t>
  </si>
  <si>
    <t>לא אושר רכב נוסף למחלקה</t>
  </si>
  <si>
    <t>תוקצב בשלב זה כמו ש.ק - יש לקבל החלטת הנהלה/גזברית לגבי הסכום</t>
  </si>
  <si>
    <t>נותרה רק עובדת אחת מושאלת דרך פנאי העיר , העובדת השנייה דרך קבלן הניקיון</t>
  </si>
  <si>
    <t>תוקצב בשלב זה לפי החוזה הקיים מול פנאי העיר</t>
  </si>
  <si>
    <t>יש להעביר לאגף אכיפה - בינתיים תקצבתי על סמך שנה קודמת ונתונים מדבורה עמר</t>
  </si>
  <si>
    <t>עבור עובדת מושאלת מפנאי העיר - איריס גרניט , יש להעביר סעיף למחלקה של סיון לקרב</t>
  </si>
  <si>
    <t>לתקצב לאחר פגישה שתתקיים בנושא ב- 30.10.22</t>
  </si>
  <si>
    <t>מדובר בתכנית ספציפית שהיתה בשנת 2022 לא ידוע בשלב זה על המשכיות התוכנית לשנת 2023</t>
  </si>
  <si>
    <t xml:space="preserve">יש להפריד הכנסות עיריה והכנסות פנאי העיר - מציעה לתקצב לאחר ישיבה עם העמותה </t>
  </si>
  <si>
    <t>הוצאות כנגד הכנסות ספורט</t>
  </si>
  <si>
    <t>רק לאגף שפע</t>
  </si>
  <si>
    <t>הסכום שרשמתי הוא הסכום שבוריס טוען שיספיק, לדעתי צריך 25,000,000 ₪</t>
  </si>
  <si>
    <t>מכרז חדש הערכה</t>
  </si>
  <si>
    <t>לפי 3 פקחים, מכרז חדש</t>
  </si>
  <si>
    <r>
      <rPr>
        <sz val="9"/>
        <color theme="1"/>
        <rFont val="Arial"/>
        <family val="2"/>
        <scheme val="minor"/>
      </rPr>
      <t>מידי שנה מתבצעת הגדלה</t>
    </r>
    <r>
      <rPr>
        <sz val="11"/>
        <color theme="1"/>
        <rFont val="Arial"/>
        <family val="2"/>
        <charset val="177"/>
        <scheme val="minor"/>
      </rPr>
      <t xml:space="preserve"> </t>
    </r>
  </si>
  <si>
    <t>לבדוק כי יש קליטת עובדים</t>
  </si>
  <si>
    <t xml:space="preserve">לבדוק </t>
  </si>
  <si>
    <t>גידול ויישור קו ,פרויקטים חדשים</t>
  </si>
  <si>
    <t>גידול בעמלות</t>
  </si>
  <si>
    <t>החלפת רכבים</t>
  </si>
  <si>
    <t>חברת נקיון</t>
  </si>
  <si>
    <t>לבדוק אם בדוברות</t>
  </si>
  <si>
    <t>גידול בגני ילדים</t>
  </si>
  <si>
    <t>פירוט מעודכן ?</t>
  </si>
  <si>
    <t xml:space="preserve">הסבר לתוספת </t>
  </si>
  <si>
    <t xml:space="preserve">קיזוז גפן </t>
  </si>
  <si>
    <t>שכר דירה עבור ברקת ועדנים</t>
  </si>
  <si>
    <t>תוספת תקנים קיזוז 820,000 שח עלות</t>
  </si>
  <si>
    <t xml:space="preserve">סל רשותי בגפן </t>
  </si>
  <si>
    <t xml:space="preserve">חדש בגפן </t>
  </si>
  <si>
    <t xml:space="preserve">מחלקת לידה עד שלוש קולות קוראים </t>
  </si>
  <si>
    <t>כולל מעבירי דרך לפנאי העיר בעבר היה ביוזמות ראש העיר</t>
  </si>
  <si>
    <t xml:space="preserve">להעביר את הסעיף לחינוך יש יתרה לטובת פעילות מהסכום שאושר ב 2022 </t>
  </si>
  <si>
    <t xml:space="preserve">הצמדה למדד </t>
  </si>
  <si>
    <t>חשמל מבנה הלל יפה 20 עליה בתעריף של 8%</t>
  </si>
  <si>
    <t>דואר גידול הוצאות טלפוניה משרדים חדשים לפי הוצאות שנה ראשונה</t>
  </si>
  <si>
    <t xml:space="preserve">הוצאות מחלקת רישום כולל תוכנה </t>
  </si>
  <si>
    <t>הוספת רישום לחנ"מ הערה לא קשורה לסעיף ???? להפריד את התקציב לשלושה סעיפים: בתי"ס 3.14 מלש"ח, גנים 1.9 מלש"ח, ומבני תרבות 630 אלש"ח.</t>
  </si>
  <si>
    <t>השתתפות הרשות בפרויקט שממומן ע"י קרן טראמפ מימון יועצת אקדמית ותוכנית סודקות את תקרת הזכוכית</t>
  </si>
  <si>
    <t>על בסיס הוצאות כולל אבטחהשונות מינהל אגף חינוך+ מבנה מינהל סעיף 1800000780</t>
  </si>
  <si>
    <t>פוליסות ביטוח תאונות תלמידים הלומדים ברשות שינוי תעריף ל 69 שח לתלמיד</t>
  </si>
  <si>
    <t>חשמל גנ"י9 גנים חדשים ועליית תעריף החשמל ב 8%</t>
  </si>
  <si>
    <t>מים גנ"י תשע גנים חדשים</t>
  </si>
  <si>
    <t>אחזקת מחשבים בגני ילדים + רכישת מחשבים חדשים 80 טרום חובה</t>
  </si>
  <si>
    <t>אחזקת גני ילדים בניהול אגף אירועים שיפור תחזוקת גנים</t>
  </si>
  <si>
    <t>בנות שרות לאומי . בהתאם להסכמים עם עמותות בנות שירות לשנה"ל תשפ"ב</t>
  </si>
  <si>
    <t>ראו גליון שוטף גנ"י בתוכנית העבודה .</t>
  </si>
  <si>
    <t xml:space="preserve">ראו גליון אגרות גני בתוכנית העבודה </t>
  </si>
  <si>
    <t xml:space="preserve">ראה גליון יוזמות קדם יסודי כמו הבקשה של 2022 </t>
  </si>
  <si>
    <t xml:space="preserve">סעיף חדש </t>
  </si>
  <si>
    <t>סעיף חדששש</t>
  </si>
  <si>
    <t xml:space="preserve">מחלקת לידה עד 3 רפורמת משרד החינוך </t>
  </si>
  <si>
    <t xml:space="preserve">שני קולות קוראים שהתקבלו סביר שההכנסות וההוצאות יהיו כפולות יש צפי לעוד קולות קוראים </t>
  </si>
  <si>
    <t>חשמל גנ"י תוספת 8%</t>
  </si>
  <si>
    <t>ראו גליון שוטף גנ"י.</t>
  </si>
  <si>
    <t>300 ₪ לילד בשנה. מתבצע ע"י פנאי העיר ומתנס אולגה גידול במספר הנרשמים</t>
  </si>
  <si>
    <t xml:space="preserve">קולות קוראים ניצנים בחופשות גידול הכנסה והוצאה </t>
  </si>
  <si>
    <t>הפרשה להוצאות שכר גננות ע"פ דוח מית"ר</t>
  </si>
  <si>
    <t>עדנים וברקת ללא חבד בנות</t>
  </si>
  <si>
    <t>ראו גליון שוטף יסודי תוספת למכיל ולנבון עליה של 8%</t>
  </si>
  <si>
    <t>מים מוסדות חינוך כולל נבון והמכיל קיזוז גפן 500000</t>
  </si>
  <si>
    <t xml:space="preserve">שוטף מחשבים בתי ספר הסכם טלקוד ברפורמת הגפן </t>
  </si>
  <si>
    <t>תוספת 2 שומרים (נבון, ברקת)</t>
  </si>
  <si>
    <t xml:space="preserve"> קולות קוראים קוזזו בגפן מנקות בתקן מחברת ניקיון 17.5 משרות כולל טכנודע ופסגה קידום נוער  בנוסף 960,000 החלפות </t>
  </si>
  <si>
    <t>קיזוז גפן של מיליןן וחצי</t>
  </si>
  <si>
    <t xml:space="preserve">ראו גליון יוזמות יסודי וגליון יוזמות צמיד כולל קיזוז גפן </t>
  </si>
  <si>
    <t>חשמל מוסדות חינוך מיוחד- להעביר תקציב לכול מוסד בהתאם לביצוע עלית מחירים 8%</t>
  </si>
  <si>
    <t>מים מוסדות חינוך מיוחד</t>
  </si>
  <si>
    <t>שוטף , חופשות והזנה חינוך מיוחד גידול בתלמדי החינוך מיוחד</t>
  </si>
  <si>
    <t>תוספת 8%</t>
  </si>
  <si>
    <t xml:space="preserve">השתתפות לפי נעמי להוריד שורה </t>
  </si>
  <si>
    <t>גידול של כ 200 תלמידים</t>
  </si>
  <si>
    <t>החזר שרתים לדמוקרטים</t>
  </si>
  <si>
    <t>הכנסה מהסל הרשותי בגפן 600,000</t>
  </si>
  <si>
    <t>קיזוז גפן 350000</t>
  </si>
  <si>
    <t xml:space="preserve">שישי ערכי שתפ נוער ומחלקת תיכונים </t>
  </si>
  <si>
    <t xml:space="preserve">מתוך סל רשותי בגפן 155000 ₪ </t>
  </si>
  <si>
    <t xml:space="preserve">סעיף חדש גפן </t>
  </si>
  <si>
    <t xml:space="preserve">תקציב לפעילות בגפן עבור הנוער </t>
  </si>
  <si>
    <t>מתוקצב בגפן בסל הרשותי 482000</t>
  </si>
  <si>
    <t>מלגות פולין ומלגות סטודנטים</t>
  </si>
  <si>
    <t>לפי הוצאות בפועל 2022</t>
  </si>
  <si>
    <t xml:space="preserve">קומה 6 בהילל יפה 20 ? </t>
  </si>
  <si>
    <t>קומה שש מיזוג מרכזי</t>
  </si>
  <si>
    <t>הדרכות בהתאם למימון משה"ח</t>
  </si>
  <si>
    <t xml:space="preserve">מעבר למבנה חדש </t>
  </si>
  <si>
    <t>לפי מכרז ההסעות החדש</t>
  </si>
  <si>
    <t xml:space="preserve">תחזוקת בתי ספר </t>
  </si>
  <si>
    <t xml:space="preserve">התקבל בגפן סל רשותי </t>
  </si>
  <si>
    <t xml:space="preserve">בהתאמה לפי גידול הוצאות טלפוניה משרדים חדשים </t>
  </si>
  <si>
    <t>תפעול מחלקת הרישום כולל מערכת רישום חנ"מ</t>
  </si>
  <si>
    <t>ניהול עצמי בתי ספר - קיזוז גפן</t>
  </si>
  <si>
    <t>ניהול עצמי בתי ספר - תוספת ביהס מכיל ונבון</t>
  </si>
  <si>
    <t xml:space="preserve">שמירה בבתי ספר עבור 12 חודשים- תוספת שומרים בברקת ונבון </t>
  </si>
  <si>
    <t xml:space="preserve">ניהול עצמי בתי ספר + מכיל + יסודי נוסף- בקיזוז הגפן </t>
  </si>
  <si>
    <t xml:space="preserve">מזון והפעלה למעון גלאור גלים ופאר צור,כולל חופשות </t>
  </si>
  <si>
    <t>סל תלמיד יוצמד לאגרת תלמידי חוץ -קיזוז הגפן</t>
  </si>
  <si>
    <t xml:space="preserve">מתוכו סל רשותי גפן 155 אלש"ח </t>
  </si>
  <si>
    <t xml:space="preserve">ראה נספח ג' - מעבר למשרדים חדשים </t>
  </si>
  <si>
    <t xml:space="preserve">חשמל במשרדי המחלקה- מיזוג משרדים חדשים </t>
  </si>
  <si>
    <t>לפי גפן- כספים שהתקבלו ממשרד החינוך</t>
  </si>
  <si>
    <t>הצעת תקציב אגף אכיפה לשנת 2023</t>
  </si>
  <si>
    <t xml:space="preserve">תקציב2022 </t>
  </si>
  <si>
    <t>הצעה תקציב 2023</t>
  </si>
  <si>
    <t>שמירה מוס"ח</t>
  </si>
  <si>
    <t>משטרה  שמירה בתי ספר</t>
  </si>
  <si>
    <t xml:space="preserve"> 52%הכנסות מבט"פ</t>
  </si>
  <si>
    <t>פקחים מסייעים מבט"פ</t>
  </si>
  <si>
    <t>במידה ויש 14 פקחים</t>
  </si>
  <si>
    <t>עיריית חדרה תקציב הוצאות</t>
  </si>
  <si>
    <t>תקציב2022</t>
  </si>
  <si>
    <t>תקציב  2023</t>
  </si>
  <si>
    <t>מינהל  אכיפה</t>
  </si>
  <si>
    <t>שכר מינהל אכיפה</t>
  </si>
  <si>
    <t>שכר דירה</t>
  </si>
  <si>
    <t>אחזקת רכב ובטוח</t>
  </si>
  <si>
    <t>טלפון דואר מכשיר נייד</t>
  </si>
  <si>
    <t>ביגוד  לפיקוח עירוני + י אחזקה שוטפת של האגף + השתלמוית  הוצאות שוטפות של האגף כולל אישוי עסקים  פיקוח חניה מטווחים</t>
  </si>
  <si>
    <t>סה"כ מינהל אכיפה</t>
  </si>
  <si>
    <t>שכר שיטור קהילתי</t>
  </si>
  <si>
    <t>מאור ומים</t>
  </si>
  <si>
    <t>בולים טלפון ומברקים</t>
  </si>
  <si>
    <t>ארוחות שיטור+הכשרה+קורס רענוון+ציוד שוטף</t>
  </si>
  <si>
    <t>רכב מהסיירת עובר לכאן ההפרש 300000</t>
  </si>
  <si>
    <t>סה"כ שיטור עירוני</t>
  </si>
  <si>
    <t>תוספת 3 פקחים מסייעים</t>
  </si>
  <si>
    <t>כולל   הוספת תקנים</t>
  </si>
  <si>
    <t>החלפה 4 קטנועים</t>
  </si>
  <si>
    <t>שכר שוטרים + אבטחה חוף הים</t>
  </si>
  <si>
    <t>סה"כ  פיקוח עירוני</t>
  </si>
  <si>
    <t>פיקוח חניה</t>
  </si>
  <si>
    <t>שכר מנהל חניה</t>
  </si>
  <si>
    <t>1 משרות בפועל</t>
  </si>
  <si>
    <t>סה"כ יחידת אבטחה</t>
  </si>
  <si>
    <t>טלפון דואר וניידים</t>
  </si>
  <si>
    <t>מינהל שמירה וביטחון</t>
  </si>
  <si>
    <t>כוול אנשי אבטחה   + עובדי מקלטים</t>
  </si>
  <si>
    <t>טלפון  דואר וניידים</t>
  </si>
  <si>
    <t>הדפסת מפות + תצ"א</t>
  </si>
  <si>
    <t xml:space="preserve">סה"כ </t>
  </si>
  <si>
    <t>מקלטים</t>
  </si>
  <si>
    <t>שכר מקלטים</t>
  </si>
  <si>
    <t>עבר למחלקת  בטחון</t>
  </si>
  <si>
    <t>תיקונים חשמל וחומרין</t>
  </si>
  <si>
    <t>פרסומים</t>
  </si>
  <si>
    <t>חשמל מקלטים</t>
  </si>
  <si>
    <t xml:space="preserve">השתתפ הג"א </t>
  </si>
  <si>
    <t>לבדוק מס תןשבים + הוצאת נפה</t>
  </si>
  <si>
    <t>לפי תקנון של הבט"פ</t>
  </si>
  <si>
    <t>איכות הסביבה</t>
  </si>
  <si>
    <t>שכר איכות הסביבה</t>
  </si>
  <si>
    <t>רכישת  מצלמות</t>
  </si>
  <si>
    <t>שימור אתרים</t>
  </si>
  <si>
    <t>סה"כ איכות הסביבה</t>
  </si>
  <si>
    <t>שמירה</t>
  </si>
  <si>
    <t>הוצ שמירה בתי ספר</t>
  </si>
  <si>
    <t>68 תקנים, 175 שעות חודשיות, 12 חודשים,57 ₪ שעת עבודה+מע"מ</t>
  </si>
  <si>
    <t>סה"כ הוצ' שמירה</t>
  </si>
  <si>
    <t>שכר  רישוי עסקים</t>
  </si>
  <si>
    <t>שירותי תברואן</t>
  </si>
  <si>
    <t>השתלמויות   לעובדי האגף   -משאבי אנוש -עלות 100000ש"ח</t>
  </si>
  <si>
    <t>מחלקת בטחון תוספת 2 רכבים  טנדר + רכב קטן</t>
  </si>
  <si>
    <t>מצלמות גזם   -לפקןח   תבר  עלות 150000ש"ח</t>
  </si>
  <si>
    <t>דיגטציה   סיטי מערכות- רישוי עסקים   ת.ב.ר -עלות 70000ש"ח</t>
  </si>
  <si>
    <t>מחלקת איכות סביבה   תוספת רכב  קטן+ 2 קטנועים</t>
  </si>
  <si>
    <t>מדוע תוספת ?</t>
  </si>
  <si>
    <t>האם עפי מכרז חדש? קיטון ?</t>
  </si>
  <si>
    <t>על מה מדובר ?</t>
  </si>
  <si>
    <t>חופשים ? ימי שבתון ?</t>
  </si>
  <si>
    <t>יש שני עובדי אחזקה ועובד ניקיון אחד שעוזבים/ עזבו השנה. במקומם ניקח בשנה הבאה עובדי קבלן לניקיון החוף והמלתחות</t>
  </si>
  <si>
    <t xml:space="preserve">עבודות קבלניות לחופים,אחזקה, חובש, השתלמות מצילים, עובד ניקיון </t>
  </si>
  <si>
    <t xml:space="preserve">ההפרש הינו רק עבור עובד ניקיון ? </t>
  </si>
  <si>
    <t>עפי שלומית לתקצב סעיף זה ב-800K</t>
  </si>
  <si>
    <t>מדוע צפוי קיטון ?</t>
  </si>
  <si>
    <t>בנק גובה</t>
  </si>
  <si>
    <t>מס' מלווה בבנק</t>
  </si>
  <si>
    <t>מס' המלווה</t>
  </si>
  <si>
    <t>תאריך החזר</t>
  </si>
  <si>
    <t>פקודת יומן</t>
  </si>
  <si>
    <t>סכום קרן</t>
  </si>
  <si>
    <t>הצמדה קרן</t>
  </si>
  <si>
    <t>סכום ריבית</t>
  </si>
  <si>
    <t>הצמדה ריבית</t>
  </si>
  <si>
    <t>עמלה</t>
  </si>
  <si>
    <t>סה"כ לתשלום</t>
  </si>
  <si>
    <t>סטטוס</t>
  </si>
  <si>
    <t>30.01.23</t>
  </si>
  <si>
    <t>30.04.23</t>
  </si>
  <si>
    <t>30.07.23</t>
  </si>
  <si>
    <t>30.10.23</t>
  </si>
  <si>
    <t>30.03.23</t>
  </si>
  <si>
    <t>30.06.23</t>
  </si>
  <si>
    <t>30.09.23</t>
  </si>
  <si>
    <t>30.12.23</t>
  </si>
  <si>
    <t>28.02.23</t>
  </si>
  <si>
    <t>30.05.23</t>
  </si>
  <si>
    <t>30.08.23</t>
  </si>
  <si>
    <t>30.11.23</t>
  </si>
  <si>
    <t>05.01.23</t>
  </si>
  <si>
    <t>05.02.23</t>
  </si>
  <si>
    <t>05.03.23</t>
  </si>
  <si>
    <t>05.04.23</t>
  </si>
  <si>
    <t>05.05.23</t>
  </si>
  <si>
    <t>05.06.23</t>
  </si>
  <si>
    <t>05.07.23</t>
  </si>
  <si>
    <t>05.08.23</t>
  </si>
  <si>
    <t>05.09.23</t>
  </si>
  <si>
    <t>05.10.23</t>
  </si>
  <si>
    <t>05.11.23</t>
  </si>
  <si>
    <t>05.12.23</t>
  </si>
  <si>
    <t>17.01.23</t>
  </si>
  <si>
    <t>17.02.23</t>
  </si>
  <si>
    <t>17.03.23</t>
  </si>
  <si>
    <t>17.04.23</t>
  </si>
  <si>
    <t>17.05.23</t>
  </si>
  <si>
    <t>17.06.23</t>
  </si>
  <si>
    <t>17.07.23</t>
  </si>
  <si>
    <t>17.08.23</t>
  </si>
  <si>
    <t>17.09.23</t>
  </si>
  <si>
    <t>17.10.23</t>
  </si>
  <si>
    <t>17.11.23</t>
  </si>
  <si>
    <t>17.12.23</t>
  </si>
  <si>
    <t>31.01.23</t>
  </si>
  <si>
    <t>31.03.23</t>
  </si>
  <si>
    <t>31.05.23</t>
  </si>
  <si>
    <t>31.07.23</t>
  </si>
  <si>
    <t>31.08.23</t>
  </si>
  <si>
    <t>31.10.23</t>
  </si>
  <si>
    <t>31.12.23</t>
  </si>
  <si>
    <t>12.01.23</t>
  </si>
  <si>
    <t>12.02.23</t>
  </si>
  <si>
    <t>12.03.23</t>
  </si>
  <si>
    <t>12.04.23</t>
  </si>
  <si>
    <t>12.05.23</t>
  </si>
  <si>
    <t>12.06.23</t>
  </si>
  <si>
    <t>12.07.23</t>
  </si>
  <si>
    <t>12.08.23</t>
  </si>
  <si>
    <t>12.09.23</t>
  </si>
  <si>
    <t>12.10.23</t>
  </si>
  <si>
    <t>12.11.23</t>
  </si>
  <si>
    <t>12.12.23</t>
  </si>
  <si>
    <t>07.01.23</t>
  </si>
  <si>
    <t>07.02.23</t>
  </si>
  <si>
    <t>07.03.23</t>
  </si>
  <si>
    <t>07.04.23</t>
  </si>
  <si>
    <t>07.05.23</t>
  </si>
  <si>
    <t>07.06.23</t>
  </si>
  <si>
    <t>07.07.23</t>
  </si>
  <si>
    <t>07.08.23</t>
  </si>
  <si>
    <t>07.09.23</t>
  </si>
  <si>
    <t>07.10.23</t>
  </si>
  <si>
    <t>07.11.23</t>
  </si>
  <si>
    <t>07.12.23</t>
  </si>
  <si>
    <t>13.01.23</t>
  </si>
  <si>
    <t>13.02.23</t>
  </si>
  <si>
    <t>13.03.23</t>
  </si>
  <si>
    <t>13.04.23</t>
  </si>
  <si>
    <t>13.05.23</t>
  </si>
  <si>
    <t>13.06.23</t>
  </si>
  <si>
    <t>13.07.23</t>
  </si>
  <si>
    <t>13.08.23</t>
  </si>
  <si>
    <t>13.09.23</t>
  </si>
  <si>
    <t>13.10.23</t>
  </si>
  <si>
    <t>13.11.23</t>
  </si>
  <si>
    <t>13.12.23</t>
  </si>
  <si>
    <t>10.01.23</t>
  </si>
  <si>
    <t>10.02.23</t>
  </si>
  <si>
    <t>10.03.23</t>
  </si>
  <si>
    <t>10.04.23</t>
  </si>
  <si>
    <t>10.05.23</t>
  </si>
  <si>
    <t>10.06.23</t>
  </si>
  <si>
    <t>10.07.23</t>
  </si>
  <si>
    <t>10.08.23</t>
  </si>
  <si>
    <t>10.09.23</t>
  </si>
  <si>
    <t>10.10.23</t>
  </si>
  <si>
    <t>10.11.23</t>
  </si>
  <si>
    <t>10.12.23</t>
  </si>
  <si>
    <t>02.01.23</t>
  </si>
  <si>
    <t>02.02.23</t>
  </si>
  <si>
    <t>02.03.23</t>
  </si>
  <si>
    <t>02.04.23</t>
  </si>
  <si>
    <t>02.05.23</t>
  </si>
  <si>
    <t>02.06.23</t>
  </si>
  <si>
    <t>02.07.23</t>
  </si>
  <si>
    <t>02.08.23</t>
  </si>
  <si>
    <t>02.09.23</t>
  </si>
  <si>
    <t>02.10.23</t>
  </si>
  <si>
    <t>02.11.23</t>
  </si>
  <si>
    <t>02.12.23</t>
  </si>
  <si>
    <t>21.01.23</t>
  </si>
  <si>
    <t>21.02.23</t>
  </si>
  <si>
    <t>21.03.23</t>
  </si>
  <si>
    <t>21.04.23</t>
  </si>
  <si>
    <t>21.05.23</t>
  </si>
  <si>
    <t>21.06.23</t>
  </si>
  <si>
    <t>21.07.23</t>
  </si>
  <si>
    <t>21.08.23</t>
  </si>
  <si>
    <t>21.09.23</t>
  </si>
  <si>
    <t>21.10.23</t>
  </si>
  <si>
    <t>21.11.23</t>
  </si>
  <si>
    <t>21.12.23</t>
  </si>
  <si>
    <t>01.01.23</t>
  </si>
  <si>
    <t>01.02.23</t>
  </si>
  <si>
    <t>01.03.23</t>
  </si>
  <si>
    <t>01.04.23</t>
  </si>
  <si>
    <t>01.05.23</t>
  </si>
  <si>
    <t>01.06.23</t>
  </si>
  <si>
    <t>01.07.23</t>
  </si>
  <si>
    <t>01.08.23</t>
  </si>
  <si>
    <t>01.09.23</t>
  </si>
  <si>
    <t>01.10.23</t>
  </si>
  <si>
    <t>01.11.23</t>
  </si>
  <si>
    <t>01.12.23</t>
  </si>
  <si>
    <t>23.01.23</t>
  </si>
  <si>
    <t>23.02.23</t>
  </si>
  <si>
    <t>23.03.23</t>
  </si>
  <si>
    <t>23.04.23</t>
  </si>
  <si>
    <t>23.05.23</t>
  </si>
  <si>
    <t>23.06.23</t>
  </si>
  <si>
    <t>23.07.23</t>
  </si>
  <si>
    <t>23.08.23</t>
  </si>
  <si>
    <t>23.09.23</t>
  </si>
  <si>
    <t>23.10.23</t>
  </si>
  <si>
    <t>23.11.23</t>
  </si>
  <si>
    <t>23.12.23</t>
  </si>
  <si>
    <t>16.01.23</t>
  </si>
  <si>
    <t>16.02.23</t>
  </si>
  <si>
    <t>16.03.23</t>
  </si>
  <si>
    <t>16.04.23</t>
  </si>
  <si>
    <t>16.05.23</t>
  </si>
  <si>
    <t>16.06.23</t>
  </si>
  <si>
    <t>16.07.23</t>
  </si>
  <si>
    <t>16.08.23</t>
  </si>
  <si>
    <t>16.09.23</t>
  </si>
  <si>
    <t>16.10.23</t>
  </si>
  <si>
    <t>16.11.23</t>
  </si>
  <si>
    <t>16.12.23</t>
  </si>
  <si>
    <t>27.01.23</t>
  </si>
  <si>
    <t>27.02.23</t>
  </si>
  <si>
    <t>27.03.23</t>
  </si>
  <si>
    <t>27.04.23</t>
  </si>
  <si>
    <t>27.05.23</t>
  </si>
  <si>
    <t>27.06.23</t>
  </si>
  <si>
    <t>27.07.23</t>
  </si>
  <si>
    <t>27.08.23</t>
  </si>
  <si>
    <t>27.09.23</t>
  </si>
  <si>
    <t>27.10.23</t>
  </si>
  <si>
    <t>27.11.23</t>
  </si>
  <si>
    <t>27.12.23</t>
  </si>
  <si>
    <t>28.01.23</t>
  </si>
  <si>
    <t>28.03.23</t>
  </si>
  <si>
    <t>28.04.23</t>
  </si>
  <si>
    <t>28.05.23</t>
  </si>
  <si>
    <t>28.06.23</t>
  </si>
  <si>
    <t>28.07.23</t>
  </si>
  <si>
    <t>28.08.23</t>
  </si>
  <si>
    <t>28.09.23</t>
  </si>
  <si>
    <t>28.10.23</t>
  </si>
  <si>
    <t>28.11.23</t>
  </si>
  <si>
    <t>28.12.23</t>
  </si>
  <si>
    <t>קרן</t>
  </si>
  <si>
    <t xml:space="preserve">חוזה ישן  עד 5/23, 83 אשח לשנה לרישוי  ומבניציבור+ חוזה חדש 16 אשח לחודש לפני מעמ  מחולק לרישוי עסקים ומבני ציבור  </t>
  </si>
  <si>
    <t>נדב 80+ נילי 45</t>
  </si>
  <si>
    <t>יועץ הפקעות , הסדרת  זכויות, לווי וטיפול בהקצאות , פרסום ( איתור גובלים ), משקיפים</t>
  </si>
  <si>
    <t>סימפלקס  פרסומים, והוצאות לפרויקטים</t>
  </si>
  <si>
    <t>רכב רונה</t>
  </si>
  <si>
    <t xml:space="preserve">אחזקת רכב </t>
  </si>
  <si>
    <t>רכב  פיקוח בניה</t>
  </si>
  <si>
    <t>50% נכסים 50% תשתיות</t>
  </si>
  <si>
    <t>יועץ תנועה , פרילנס תוכניות ותחצ, מיקור חוץ , מנהל מחלקת תנועה , מנהל מחלקת פרויקטים , מהנדס ניקוז</t>
  </si>
  <si>
    <t>הבטחתי שתקבלו היום ...בבקשה  באש"ח :</t>
  </si>
  <si>
    <t xml:space="preserve">ארנונה – 410,000 </t>
  </si>
  <si>
    <t>שמירה – 7,200</t>
  </si>
  <si>
    <t xml:space="preserve">שילוט  - 7,100 </t>
  </si>
  <si>
    <r>
      <t>הנחות</t>
    </r>
    <r>
      <rPr>
        <sz val="11"/>
        <color theme="1"/>
        <rFont val="Calibri"/>
        <family val="2"/>
      </rPr>
      <t xml:space="preserve"> – 64,000</t>
    </r>
  </si>
  <si>
    <t>שם-טוב שמבי</t>
  </si>
  <si>
    <t>סגן גזבר, מנהל הארנונה וממונה על הכנסות העירייה</t>
  </si>
  <si>
    <t>טלפון – 04-6303346 | פקס – 04-6303282</t>
  </si>
  <si>
    <t xml:space="preserve">ף 1782000410 שנת 2022 לא נשלם ישנה מחלוקת מול הנהלת בתי המשפט </t>
  </si>
  <si>
    <t>שנת 2023 יש לתקצב באותו סכום</t>
  </si>
  <si>
    <t xml:space="preserve">סעיף 1782000750 חסרות חשבוניות מאפריל 2022 והלאה,כל התקציב צריך להיות מנוצל אם יגיעו החשבוניות בזמן ,שנת 2023 אותו תקציב </t>
  </si>
  <si>
    <t xml:space="preserve">סעיף 1782000780 ניצול הכל ,שנת 2023 אותו תקציב </t>
  </si>
  <si>
    <t>ביגוד  לפיקוח עירוני + י אחזקה שוטפת של האגף + השתלמוית  הוצאות שוטפות של האגף כולל אישוי עסקים  פיקוח חניה מטווחים+ החלפת אקדחים</t>
  </si>
  <si>
    <t xml:space="preserve">הכנסות גפן  ממשרד החינוך </t>
  </si>
  <si>
    <t xml:space="preserve">ייעוץ משפטי חיצוני </t>
  </si>
  <si>
    <t xml:space="preserve">ראה נספח ג' - מיון בעקבות מעבר משרדים </t>
  </si>
  <si>
    <t>בנק</t>
  </si>
  <si>
    <t>מלווה</t>
  </si>
  <si>
    <t>תאור מלווה</t>
  </si>
  <si>
    <t>תאריך קבלת המלווה</t>
  </si>
  <si>
    <t>תאריך ערך</t>
  </si>
  <si>
    <t>תאריך סיום</t>
  </si>
  <si>
    <t>אחוז ריבית</t>
  </si>
  <si>
    <t>מרווח ריבית</t>
  </si>
  <si>
    <t>אחוז הצמדה למדד ריבית</t>
  </si>
  <si>
    <t>סוג הצמדה למדד</t>
  </si>
  <si>
    <t>קרן מקורית</t>
  </si>
  <si>
    <t>יתרת קרן ליום</t>
  </si>
  <si>
    <t>תקבולים לתקופה</t>
  </si>
  <si>
    <t>הצמדה</t>
  </si>
  <si>
    <t>נומינלית</t>
  </si>
  <si>
    <t>משוערכת</t>
  </si>
  <si>
    <t>יתרה משוערכת</t>
  </si>
  <si>
    <t>קרן+הצמדה קרן</t>
  </si>
  <si>
    <t>כרטיס הוצאות קרן</t>
  </si>
  <si>
    <t>שם כרטיס הוצאות קרן</t>
  </si>
  <si>
    <t>כרטיס הוצאות ריבית</t>
  </si>
  <si>
    <t>שם כרטיס הוצאות ריבית</t>
  </si>
  <si>
    <t>כרטיס הוצאות הצמדה</t>
  </si>
  <si>
    <t>שם כרטיס הוצאות הצמדה</t>
  </si>
  <si>
    <t>פיתוח</t>
  </si>
  <si>
    <t>27.05.2013</t>
  </si>
  <si>
    <t>30.05.2028</t>
  </si>
  <si>
    <t>לא צמוד</t>
  </si>
  <si>
    <t>מלוות מוכרות-קרן</t>
  </si>
  <si>
    <t>מלוות מוכרות-ריבי</t>
  </si>
  <si>
    <t>מלוות מוכרות-הצמד</t>
  </si>
  <si>
    <t>הלוואת פיתוח</t>
  </si>
  <si>
    <t>13.06.2019</t>
  </si>
  <si>
    <t>05.06.2034</t>
  </si>
  <si>
    <t>הלוואת פיתוח-גריס</t>
  </si>
  <si>
    <t>05.07.2034</t>
  </si>
  <si>
    <t>31.12.2006</t>
  </si>
  <si>
    <t>31.12.2026</t>
  </si>
  <si>
    <t>12.03.2007</t>
  </si>
  <si>
    <t>12.03.2027</t>
  </si>
  <si>
    <t>02.10.2008</t>
  </si>
  <si>
    <t>02.10.2028</t>
  </si>
  <si>
    <t>18.08.2014</t>
  </si>
  <si>
    <t>17.08.2014</t>
  </si>
  <si>
    <t>17.08.2029</t>
  </si>
  <si>
    <t>27.07.2016</t>
  </si>
  <si>
    <t>27.07.2031</t>
  </si>
  <si>
    <t>P</t>
  </si>
  <si>
    <t>07.02.2019</t>
  </si>
  <si>
    <t>28.12.2033</t>
  </si>
  <si>
    <t>28.01.2034</t>
  </si>
  <si>
    <t>08.03.2020</t>
  </si>
  <si>
    <t>16.02.2035</t>
  </si>
  <si>
    <t>08.08.2016</t>
  </si>
  <si>
    <t>10.08.2031</t>
  </si>
  <si>
    <t>הלוואת פיתוח ניוד מאיגוד</t>
  </si>
  <si>
    <t>26.12.2021</t>
  </si>
  <si>
    <t>10.02.2035</t>
  </si>
  <si>
    <t>18.06.2009</t>
  </si>
  <si>
    <t>01.06.2024</t>
  </si>
  <si>
    <t>08.09.2011</t>
  </si>
  <si>
    <t>01.09.2026</t>
  </si>
  <si>
    <t>10.06.2013</t>
  </si>
  <si>
    <t>01.06.2028</t>
  </si>
  <si>
    <t>הלוואת לפיתוח</t>
  </si>
  <si>
    <t>28.09.2014</t>
  </si>
  <si>
    <t>07.10.2014</t>
  </si>
  <si>
    <t>01.10.2029</t>
  </si>
  <si>
    <t>27.01.2019</t>
  </si>
  <si>
    <t>01.02.2034</t>
  </si>
  <si>
    <t>05.03.2020</t>
  </si>
  <si>
    <t>01.03.2035</t>
  </si>
  <si>
    <t>שכר תוכנית בשבילי</t>
  </si>
  <si>
    <t xml:space="preserve">רזרבה לפעילות- עיר איתנה </t>
  </si>
  <si>
    <t>1% מסך התקציב - עיר איתנה</t>
  </si>
  <si>
    <t>טיוטת תקציב 2023 - אגף הרווחה</t>
  </si>
  <si>
    <t>הכנסות</t>
  </si>
  <si>
    <t>סעיף במשרד הרווחה</t>
  </si>
  <si>
    <t>תקציב 2022 לאחר ויסותים במועצה</t>
  </si>
  <si>
    <t>תקציב 2023</t>
  </si>
  <si>
    <t>ליווי הסעות יצא לסעיפים נפרדים</t>
  </si>
  <si>
    <t>לעשות אומדן יותר מדוייק לפי דוח כ"א משרד הרווחה 9/22 (של גליה)</t>
  </si>
  <si>
    <t>אומדן לפי גבייה בפועל עד אוגוסט</t>
  </si>
  <si>
    <t xml:space="preserve"> טיפול בדרי רחוב</t>
  </si>
  <si>
    <t>פעולות הדרך החדשה</t>
  </si>
  <si>
    <t>ביצוע 1-10/21</t>
  </si>
  <si>
    <t>תוכנית לאומית לילד ולנוער</t>
  </si>
  <si>
    <t>טיפול בקהילה אזרח ותיק</t>
  </si>
  <si>
    <t>מגן זהב</t>
  </si>
  <si>
    <t>נופשון לאזרח ותיק</t>
  </si>
  <si>
    <t>243413, 243430, 243432</t>
  </si>
  <si>
    <t>243434,243435, 243436</t>
  </si>
  <si>
    <t>הזדקנות מיטבית קהילה</t>
  </si>
  <si>
    <t>שירותים לניצולי שואה</t>
  </si>
  <si>
    <t>דיווח רשות אזרחים ותיקים</t>
  </si>
  <si>
    <t>הוצאות אחרות + תשלומים לחניכים</t>
  </si>
  <si>
    <t>טיפול בנערים ונערות בדיווח</t>
  </si>
  <si>
    <t>להכניס לסעיף של הדיווח</t>
  </si>
  <si>
    <t>איתור נוחם</t>
  </si>
  <si>
    <t>בית חם מערות חרדיות</t>
  </si>
  <si>
    <t>מיתר נירים</t>
  </si>
  <si>
    <t>תוכנית מעטפת</t>
  </si>
  <si>
    <t>תוכנית להטב</t>
  </si>
  <si>
    <t>ניצוץ פעולות</t>
  </si>
  <si>
    <t>מעגל החיים</t>
  </si>
  <si>
    <t xml:space="preserve">מעונות חסות </t>
  </si>
  <si>
    <t>שירותים לעולים</t>
  </si>
  <si>
    <t>חלק הרשות</t>
  </si>
  <si>
    <t>תקציב 2023 - אגף הרווחה</t>
  </si>
  <si>
    <t>ראה נספח ג' (כולל מבנה זמני למע"ש בזמן השיפוץ)</t>
  </si>
  <si>
    <t>רכב למנהלת האגף כולל רכב סיור (ליסינג+דלק)</t>
  </si>
  <si>
    <r>
      <rPr>
        <sz val="11"/>
        <rFont val="Arial"/>
        <family val="2"/>
        <scheme val="minor"/>
      </rPr>
      <t>תיקונים ציוד, חומרים מתכלים, מכשירי מים והוצאות שונות (ללא אחזקת מעלית ומדפסות)</t>
    </r>
    <r>
      <rPr>
        <b/>
        <sz val="11"/>
        <rFont val="Arial"/>
        <family val="2"/>
        <scheme val="minor"/>
      </rPr>
      <t xml:space="preserve"> </t>
    </r>
    <r>
      <rPr>
        <b/>
        <sz val="12"/>
        <color rgb="FFFF0000"/>
        <rFont val="Arial"/>
        <family val="2"/>
      </rPr>
      <t>נקיון ואבטחה לא בתקציב של הרווחה</t>
    </r>
  </si>
  <si>
    <t>יוזמות למטופלי הרווחה + הורות צעירה מצ'ינג 67 אלף ₪ + 65 אלף ₪ חוזה גוונים של מתוק + תוכניות נוספות</t>
  </si>
  <si>
    <t>1175060א</t>
  </si>
  <si>
    <t>15 השמות צעירים, 53 השמות בוגרים,17 חוץ, 10 מרכז יום חדרה וחוץ   עבור: סדנאות, טיפולי גמילה והעסקת רופא</t>
  </si>
  <si>
    <t>עזרה חומרית למשפחות במצוקה אוחד עם סעיף סיוע למשפחות עניות עם ילדים. חלק מההוצאות עברו לקרן לידידות</t>
  </si>
  <si>
    <t>טיפול בדרי רחוב פעולות</t>
  </si>
  <si>
    <t>המרכז פועל באמצעות עמותה ומאכלס דרי רחוב - 540 אלף קורת גג (15 השמות), 200 אלף אמבולטורי (35 השמות),  144 אלף הוסטל מלא (2 השמות)</t>
  </si>
  <si>
    <t>1039370ג</t>
  </si>
  <si>
    <t>תוכנית חדשה 100% מימון משרד הרווחה</t>
  </si>
  <si>
    <t>עובדי אלימות</t>
  </si>
  <si>
    <t>תכנית למניעת אלימות</t>
  </si>
  <si>
    <t>תקציב ייחודי למניעת אלימות במשפחה. סעיף חדש לפתיחה. בשנה קודמת היה בתוך סעיף אחר.</t>
  </si>
  <si>
    <t>1039712 + 1039800</t>
  </si>
  <si>
    <t>העסקת פרילנסרים כולל אובדן ושכול</t>
  </si>
  <si>
    <t>1039800+1039810</t>
  </si>
  <si>
    <t>בעקבות איחוד סעיפים במשרד הרווחה כולל: טיפול בפרט ובמשפחה, הפעלת חוק סדרי דין, יצירת קשר. רק תחנה לטיפול משפחתי בסעיף נפרד כולל תוכנית חדשה 9810</t>
  </si>
  <si>
    <t>להתייעץ עם זיוה תקציב חדש 9810</t>
  </si>
  <si>
    <t>ראה נספח א +מטפלת ועו"ס</t>
  </si>
  <si>
    <t>סכום גבוה מדי??</t>
  </si>
  <si>
    <t>50 אלף ע"ח רשות</t>
  </si>
  <si>
    <t>אוחד לסעיף טיפול בפרט ובמשפחה</t>
  </si>
  <si>
    <t xml:space="preserve">אחזקת ילדים במוסדות </t>
  </si>
  <si>
    <t xml:space="preserve"> השמות במשפחות אומנה</t>
  </si>
  <si>
    <t xml:space="preserve">תוכנית לאומית לילדים ונוער בסיכון </t>
  </si>
  <si>
    <t>מעון נעמת, לפי חוק</t>
  </si>
  <si>
    <t>1175330א</t>
  </si>
  <si>
    <t>להכניס שכר עובדת חדשה</t>
  </si>
  <si>
    <t>טיפול בפגיעות מיניות בילדים, לפי ביצוע 2020</t>
  </si>
  <si>
    <t>אזרחים ותיקים</t>
  </si>
  <si>
    <t>אחזקה במעונות אזרח ותיק</t>
  </si>
  <si>
    <t xml:space="preserve">לפי 48 קשישים מסודרים </t>
  </si>
  <si>
    <t>אוחד לסעיף חדש הזדקנות מיטבית קהילה</t>
  </si>
  <si>
    <t>אוחד לסעיף חדש שירותי לניצולי שואה</t>
  </si>
  <si>
    <t>1844400820</t>
  </si>
  <si>
    <t>רק מועדונים אזרח ותיק 75% מימון</t>
  </si>
  <si>
    <t>עזרה ביתית, ציוד , נסיעות לטיפולים רפואיים ועוד</t>
  </si>
  <si>
    <t>1844400821</t>
  </si>
  <si>
    <t>120217+243418+243437+243433</t>
  </si>
  <si>
    <t xml:space="preserve">מגן זהב </t>
  </si>
  <si>
    <t xml:space="preserve"> תקציב פעולה העסקת עובדות רכזות מענים מגן זהב</t>
  </si>
  <si>
    <t>100% מימון - סיוע לניצולי שואה. הפרש מול שנה קודמת כי תקציבים הועברו לסעיפים אחרים</t>
  </si>
  <si>
    <t>1844400823</t>
  </si>
  <si>
    <t>אוחד לסעיף דיווחי רשות כללי</t>
  </si>
  <si>
    <t>1844400827</t>
  </si>
  <si>
    <t>איחוד סעיפים שכונה תומכת, מועדונים מועשרים (2 מועדונים קיימים+אישור לחדש באולגה), מרכז יום אזרח ותיק</t>
  </si>
  <si>
    <t>איחוד סעיפים שכונה תומכת ניצולי שואה, מופת</t>
  </si>
  <si>
    <t>הוצאות בדיווח: מועדונים אזרח ותיק, קפה אירופה ובריטניה, הפגות לניצולי שואה ובני משפחה מטפלים, מניעת אלימות נגד קשישים</t>
  </si>
  <si>
    <t>סה"כ אזרחים ותיקים</t>
  </si>
  <si>
    <t>להוריד מחצית מהיתרה ל2022</t>
  </si>
  <si>
    <t>100% מימון</t>
  </si>
  <si>
    <t>עלויות נוספות לעמותות אומנה</t>
  </si>
  <si>
    <t>ליווי והדרכה למשפחות  לילדים אוטיסטים בקהילה וכן שילוב סייעת כחלופה למעון - בעקבות היעדר מקומות פנויים במעונות תקשורת (חלופה הינה עפ"י חוק)</t>
  </si>
  <si>
    <t>כולל סעיף חלופה למ.יום שיקומי 722023 - לבדוק סעיף. ג'ני ביקשה תוספת חונכות 100אלש"ח</t>
  </si>
  <si>
    <t>סידור חניכים במסגרת יומית מחוץ לחדרה.</t>
  </si>
  <si>
    <t>תוספת תקציב 450 אלש"ח. לבדוק ביצוע</t>
  </si>
  <si>
    <t>לבדוק סעיף. לפי ג'ני צפי לגרעון להוסיף 2 מושמים</t>
  </si>
  <si>
    <t xml:space="preserve"> לבדוק סעיף. לפי ג'ני תוספת 250 אלש"ח</t>
  </si>
  <si>
    <t>להגדיל ל30 אלש"ח</t>
  </si>
  <si>
    <t>תוספת 5 השמות</t>
  </si>
  <si>
    <t>ראה נספח ב עבר ממנהל רווחה</t>
  </si>
  <si>
    <t>הסעות מע"ש+ קשישות למרכזי יום + אקים + סביון + מגל</t>
  </si>
  <si>
    <t>מועדון אחה"מ מע"ש בהפעלת הרשות. נכנס בתוך בעיפי המע"ש</t>
  </si>
  <si>
    <t>אוחד עם סעיף שיקום בקהילה מוגבוליות</t>
  </si>
  <si>
    <t>לפי ביצוע</t>
  </si>
  <si>
    <t>להשאיר</t>
  </si>
  <si>
    <t>721010 + 721012</t>
  </si>
  <si>
    <t>אחזקת נכים בוגרים בפנימיות- לפי 47 מושמים +12 בהמתנה (כולל ילדים עיוורים במוסדות)</t>
  </si>
  <si>
    <t>12 מועמדים לשנת 2023 בנוסף לתוספת בוויסותים 1.8M</t>
  </si>
  <si>
    <t>תוספת 1 מושם</t>
  </si>
  <si>
    <t>תוספת 2 לשנת 2023</t>
  </si>
  <si>
    <t xml:space="preserve">שילוב נכים בתעסוקה במפעל מוגן + עיוורים במפעלי שיקום ובמפעלי תעסוקה </t>
  </si>
  <si>
    <t>תוספת 10 השמות כ20 אלש"ח</t>
  </si>
  <si>
    <t>שילוב ילדים נכויות במסגרות + תוספת  מכסות המתנה</t>
  </si>
  <si>
    <t>ליווי ע"פ חוק פעוטות בסיכון</t>
  </si>
  <si>
    <t>נופשונים והבראה משה ונכים</t>
  </si>
  <si>
    <t>איחוד מש"ה ושיקום</t>
  </si>
  <si>
    <t>אוחד עם מ. יום שיקומי לאוטיסט</t>
  </si>
  <si>
    <t>לפי ביצוע 2022</t>
  </si>
  <si>
    <t>תוספת 2 מושמים לשנת 2023</t>
  </si>
  <si>
    <t>סייעות וליויי לילדים עם נכויות. לפי צפי של 4 מושמים, לפי ממוצע השמה ל48 שעות חודשיות</t>
  </si>
  <si>
    <t>תוספת 30 אלש"ח</t>
  </si>
  <si>
    <t>722210 + 722212</t>
  </si>
  <si>
    <t>שיקום בקהילה מוגבלויות</t>
  </si>
  <si>
    <t xml:space="preserve">עזרה בתית הדרכה וטיפוח + מט"ב, בני ברק, 2 מושמים מתנסים רעים + הסעות למשפעל מוגן </t>
  </si>
  <si>
    <t>להשאיר ללא שינוי</t>
  </si>
  <si>
    <t>לפי 29 מושמים במועדון חדרה (נכים) + 20 מושמים במועדון חברתי (עיוורים) + 15 השמות (צעירים)</t>
  </si>
  <si>
    <t>תוספת מועדון לצעירים 15 השמות</t>
  </si>
  <si>
    <t>מרכז למשפחה פעולות</t>
  </si>
  <si>
    <t>מימון 75% 60 השמות +36 השמות ל-4 חודשים</t>
  </si>
  <si>
    <t>פוצל משכר מנהל</t>
  </si>
  <si>
    <t>לפי 24 השמות: 15 השמות בסעיף זה, 9 השמות נוספות מתוכנית לאומית נוער וצעירים</t>
  </si>
  <si>
    <t>טיפול בנוער וצעירים בדיווח</t>
  </si>
  <si>
    <t>פעולות וסיוע לנערים בדיווח רשות</t>
  </si>
  <si>
    <t>טיפול בנערות דיווח</t>
  </si>
  <si>
    <t>פעולות וסיוע לנערות בדיווח רשות</t>
  </si>
  <si>
    <t>2 השמות הוסטל שיקומי (144K), 2 השמות הוסטל מורכב (192K), 2 קלט ומיון (288K)</t>
  </si>
  <si>
    <t>1175060ב</t>
  </si>
  <si>
    <t>אוחד עם אלכוהוליסטים</t>
  </si>
  <si>
    <t>השתתפות עם אגף החינוך, לפי הצורך</t>
  </si>
  <si>
    <t>שכר תוכנית להטב</t>
  </si>
  <si>
    <t>לפי הגדלת מספר הועדות</t>
  </si>
  <si>
    <t>הגדלה ל14 הועדות 60% משרה - לבדוק שמכסה</t>
  </si>
  <si>
    <t>כולל פעולות משלימות למפתנים</t>
  </si>
  <si>
    <t xml:space="preserve">100% מימון משרד הרווחה - כולל 5 השמות מעטפת </t>
  </si>
  <si>
    <t>שכר איתור נוחם</t>
  </si>
  <si>
    <t>שכר איתור נוער מכור - תוכנית לאומית</t>
  </si>
  <si>
    <t>קיטון במודל, ראה נספח א'</t>
  </si>
  <si>
    <t>מרחב הלב כולל תקציב סל גמיש טיפול בזמות - 100% מימון משרד הרווחה</t>
  </si>
  <si>
    <t>1175330ב + 1175322</t>
  </si>
  <si>
    <t>דירות לווין, מעבר לצעירים ללא עורף משפחתי לקליטה כולל נערות חוץ ביתי - הגדלה ל12 השמות (מימון 75%)</t>
  </si>
  <si>
    <t>פעולות שוטפות, איבחונים, סל גמיש</t>
  </si>
  <si>
    <t>ניצוץ פעולה</t>
  </si>
  <si>
    <t>ניצוץ שכר</t>
  </si>
  <si>
    <t>שכר מעגל החיים</t>
  </si>
  <si>
    <t>תוכנית חדשה לצעירים במצבי סיכון: ליווי פרטני, השכלה, תעסוקה, זכויות וכישורי חיים</t>
  </si>
  <si>
    <t>567 תעריף השמה ל 30 השמות</t>
  </si>
  <si>
    <t>1165600+1165610</t>
  </si>
  <si>
    <t>מעונות חסות</t>
  </si>
  <si>
    <t>נלקח בשנים קודמות בסעיפים אחרים. יש לפתוח סעיף חדש</t>
  </si>
  <si>
    <t xml:space="preserve">הפעלה שוטפת בשכונות </t>
  </si>
  <si>
    <t>טיפול בנערות-דיווח</t>
  </si>
  <si>
    <t>טיפול בנערות</t>
  </si>
  <si>
    <t xml:space="preserve">הוסטלים לאסירים נסגרו והמטופלים הזכאים מופנים למסגרות רווחה </t>
  </si>
  <si>
    <t>הכשרה+קורס רענוון+ציוד שוטף</t>
  </si>
  <si>
    <t>תקציב פיקוח ואחזקה על הרמזורים + יועץ תנועה לוועדות תנועה + יועץ הנדסה אזרחית + יועץ תנועה לפרויקטים + מנהל פרויקטים + אוטוקד + מנהל ניקוז</t>
  </si>
  <si>
    <t>הוצאות רזרבה</t>
  </si>
  <si>
    <t>שכר הרשות לבטחון קהילתי</t>
  </si>
  <si>
    <t xml:space="preserve">שיפוי גפן 482 אלש"ח </t>
  </si>
  <si>
    <t>שכר מחלקת מבנים</t>
  </si>
  <si>
    <t xml:space="preserve">עבודות קבלניות אחרות </t>
  </si>
  <si>
    <t>סה"כ הרשות לבטחון קהילתי</t>
  </si>
  <si>
    <t>שכר מטה אגף שירות</t>
  </si>
  <si>
    <t xml:space="preserve">שכר פניות ציבור </t>
  </si>
  <si>
    <t xml:space="preserve">פעילויות ארגוניות </t>
  </si>
  <si>
    <t xml:space="preserve">מיחשוב </t>
  </si>
  <si>
    <t>הכנסות בגין הוצאות 75%</t>
  </si>
  <si>
    <t>סה"כ הוצאות רזרבה</t>
  </si>
  <si>
    <t xml:space="preserve"> הכנסות מאירועים אנרבוקס </t>
  </si>
  <si>
    <t>תברואן</t>
  </si>
  <si>
    <t xml:space="preserve">הכנות מאירועים אנרבוקס </t>
  </si>
  <si>
    <t xml:space="preserve">הכנסות שוות להוצאות </t>
  </si>
  <si>
    <t xml:space="preserve">מיזם לביטחון לאומי </t>
  </si>
  <si>
    <t>השתתפות הרשות 25%</t>
  </si>
  <si>
    <t xml:space="preserve">הכנסות בחירות מוניציפאליים </t>
  </si>
  <si>
    <t>סה"כ בחירות</t>
  </si>
  <si>
    <t xml:space="preserve">הוצאות בחירות מוניציפאליות </t>
  </si>
  <si>
    <t xml:space="preserve">שכר- בחירות מוניציפאליות </t>
  </si>
  <si>
    <t xml:space="preserve"> ריכוז תקבולים ותשלומים לפי פרקי תקציב לשנת 2023</t>
  </si>
  <si>
    <t xml:space="preserve">הפרש </t>
  </si>
  <si>
    <t>עיריית חדרה</t>
  </si>
  <si>
    <t>דוח תקציב מול ביצוע מפורט</t>
  </si>
  <si>
    <t>30.9.2022</t>
  </si>
  <si>
    <t>מספר חודשים</t>
  </si>
  <si>
    <t>כרטיס הנה"ח</t>
  </si>
  <si>
    <t>אומדן שנתי 2022</t>
  </si>
  <si>
    <t>לפתוח כרטיס חדש</t>
  </si>
  <si>
    <t xml:space="preserve">הנחות שניתנו בשל משבר הקורונה </t>
  </si>
  <si>
    <t>מדי מים חבור צרכנ</t>
  </si>
  <si>
    <t>הכנסות עצמיות</t>
  </si>
  <si>
    <t>שכ"ל גנ"י טרום חובה</t>
  </si>
  <si>
    <t>הכנסות מבת"ס בגין הזנה</t>
  </si>
  <si>
    <t>מהורים לחוגי העשר</t>
  </si>
  <si>
    <t>הכנסות מפעולות תר</t>
  </si>
  <si>
    <t>הכנסות מספריות עי</t>
  </si>
  <si>
    <t>הכנסות שונות מחינ</t>
  </si>
  <si>
    <t>הסעת ילדים השתת'</t>
  </si>
  <si>
    <t>יתר עצמיות</t>
  </si>
  <si>
    <t>מכירת פחי אשפה</t>
  </si>
  <si>
    <t xml:space="preserve"> הכנסות מפינוי קרטון ובקבוקים</t>
  </si>
  <si>
    <t>הכנסות מתשלום חשב</t>
  </si>
  <si>
    <t>אגרת חוף מוטורי</t>
  </si>
  <si>
    <t>חיובי מים</t>
  </si>
  <si>
    <t>הכנסות ממכירת נכסים לתאגיד</t>
  </si>
  <si>
    <t>הכנסות מפעילות בית מורשת אתיופיה</t>
  </si>
  <si>
    <t>הכנסות פעילות חינוך תורני</t>
  </si>
  <si>
    <t>הכנסות פעילות תרב</t>
  </si>
  <si>
    <t>הכנסות מקונסרוטוריון</t>
  </si>
  <si>
    <t>השתתפות בהתחדשות עירונית</t>
  </si>
  <si>
    <t xml:space="preserve">שכ"ל גני ילדים </t>
  </si>
  <si>
    <t>ממשלה לג.ילדים טר</t>
  </si>
  <si>
    <t>הנכנסות תוכנית ניצנים</t>
  </si>
  <si>
    <t>הכנסות ניצנים בחופשות</t>
  </si>
  <si>
    <t>העשרה גנ"י</t>
  </si>
  <si>
    <t>שכר דירה עבור חב""ד"</t>
  </si>
  <si>
    <t>ממשלה לחטיבות הביניים</t>
  </si>
  <si>
    <t>ברנקו וייס לתיכון תחכמוני</t>
  </si>
  <si>
    <t>הכנסות מתמיכות מחשוב</t>
  </si>
  <si>
    <t>הכנסות בגין או""פ"</t>
  </si>
  <si>
    <t>תוכנית תהל</t>
  </si>
  <si>
    <t>תוכנית מש"י</t>
  </si>
  <si>
    <t>הדרך חדשה</t>
  </si>
  <si>
    <t>תוכנית שמיד בחינוך</t>
  </si>
  <si>
    <t>ממשלה להסעת תלמידים</t>
  </si>
  <si>
    <t>הסעות חיפה</t>
  </si>
  <si>
    <t>השתת.ממשלה למועדו</t>
  </si>
  <si>
    <t>הכנסות מנהל חברה וקהילה</t>
  </si>
  <si>
    <t>פעולות ארגוניות</t>
  </si>
  <si>
    <t>הוצאות מנהליות</t>
  </si>
  <si>
    <t>השתתפות בשכר עובדי אלכוהול</t>
  </si>
  <si>
    <t>התמכרויות בקהילה האתיופית</t>
  </si>
  <si>
    <t>מס' ארציות  דרי רחוב</t>
  </si>
  <si>
    <t>מרכז עוצמה נושמים לרווחה</t>
  </si>
  <si>
    <t>סיוע מיוחד למשפחות עם ילדים</t>
  </si>
  <si>
    <t>שכר טיפול בילד בקהילה</t>
  </si>
  <si>
    <t>השתתפות בשכר עובדי מרכז הורים וילדים</t>
  </si>
  <si>
    <t>מועדונים לזקנים</t>
  </si>
  <si>
    <t>מסגרת יומית לזקן</t>
  </si>
  <si>
    <t>תעסוקה לזקנים</t>
  </si>
  <si>
    <t>נופשונים למפגר</t>
  </si>
  <si>
    <t>השתתפות בשכר עובדי מסגרות יום ארוך</t>
  </si>
  <si>
    <t>מעון יום שיקומי לאוטיסט</t>
  </si>
  <si>
    <t>סביבה תומכת למפגרים</t>
  </si>
  <si>
    <t>השתתפות בשכר עובדי מע"ש</t>
  </si>
  <si>
    <t>דמי ליווי לעיור</t>
  </si>
  <si>
    <t>מפעלי שיקום לעיוור</t>
  </si>
  <si>
    <t>מפעלי תעסוקה ומועדון</t>
  </si>
  <si>
    <t>תוכניות מעבר</t>
  </si>
  <si>
    <t>הסעות נכים</t>
  </si>
  <si>
    <t>שכר קהילה תומכת לנכים</t>
  </si>
  <si>
    <t>פעולות לשיקום עיוורים</t>
  </si>
  <si>
    <t>שכר פעולות למועדון לעיוור</t>
  </si>
  <si>
    <t>פעולות טיפול בנערות במצוקה</t>
  </si>
  <si>
    <t>נוער וצעירים חוץ ביתי</t>
  </si>
  <si>
    <t>שכר עובדי סמים + מרכז להתמכרויות</t>
  </si>
  <si>
    <t>בדיקות למשתמשי סמים</t>
  </si>
  <si>
    <t>מתאם עירוני למלחמה בסמים</t>
  </si>
  <si>
    <t>איתור נוער מכור</t>
  </si>
  <si>
    <t>התמכרויות חוץ ביתי</t>
  </si>
  <si>
    <t xml:space="preserve">נוח"ם - נוער חרדי מנותק </t>
  </si>
  <si>
    <t>שכר תוכנית מעטפת</t>
  </si>
  <si>
    <t>מפת"ן מקומי - אחזקה</t>
  </si>
  <si>
    <t>גשר עצמאות-יתד</t>
  </si>
  <si>
    <t>פיתוח תוכניות בקה</t>
  </si>
  <si>
    <t>מעונות יום עולים</t>
  </si>
  <si>
    <t>מפגרים בפנימיה עולים</t>
  </si>
  <si>
    <t>ילדים במצוקה עולים</t>
  </si>
  <si>
    <t>אבחנה ושיקום נכים עולים</t>
  </si>
  <si>
    <t>הכנסות פיס בחירום</t>
  </si>
  <si>
    <t>ממשלה למשא"ז</t>
  </si>
  <si>
    <t>השתתפות משרד הפנים בחופים</t>
  </si>
  <si>
    <t>הכנסות מ. הבטחון לקורונה</t>
  </si>
  <si>
    <t>הכנסה ממשרד הפנים קורונה</t>
  </si>
  <si>
    <t>הכנסות מהמשרד להגנת הסביבה בגין פסולת</t>
  </si>
  <si>
    <t>ממש לבטיחות בדרכי</t>
  </si>
  <si>
    <t>פקחים מסייעים מהבט"פ</t>
  </si>
  <si>
    <t>ממשלה לבטיחות בדרכים</t>
  </si>
  <si>
    <t>הכנסות לתרבות</t>
  </si>
  <si>
    <t xml:space="preserve">תוכנית שמיד </t>
  </si>
  <si>
    <t>הכנסות ממשלה קונסרבטוריון</t>
  </si>
  <si>
    <t>הכנסות סל"ע 22</t>
  </si>
  <si>
    <t>השתת משרד החקלאות בגינה קהילתית</t>
  </si>
  <si>
    <t>שיפוי ארנונה קורונה 2020</t>
  </si>
  <si>
    <t>הכנסות מפקחים מסייעים</t>
  </si>
  <si>
    <t>בחירות צ_מוניציפל</t>
  </si>
  <si>
    <t xml:space="preserve">הכנסות מותנות </t>
  </si>
  <si>
    <t>מענקים מיועדים</t>
  </si>
  <si>
    <t>מענק לכיסוי גירעון מצטבר</t>
  </si>
  <si>
    <t xml:space="preserve">סווג לבקשת חיים </t>
  </si>
  <si>
    <t>הוצאות כלליות</t>
  </si>
  <si>
    <t>שכר משאבי אנוש</t>
  </si>
  <si>
    <t>שכר אגף שירות</t>
  </si>
  <si>
    <t>שכר מיחשוב</t>
  </si>
  <si>
    <t>שכר בחירות</t>
  </si>
  <si>
    <t>שכר מינהל תפעל</t>
  </si>
  <si>
    <t>שכר אגף תפעול</t>
  </si>
  <si>
    <t>שכר איסוף אשפה</t>
  </si>
  <si>
    <t>שכר פיקוח וטרינרי ובית מטבחיים</t>
  </si>
  <si>
    <t>שכר תגבור פיקוח ומוקד קורונה</t>
  </si>
  <si>
    <t>שכר מתשאלים קורונה</t>
  </si>
  <si>
    <t>שכר הג"א</t>
  </si>
  <si>
    <t>שיפור פני העיר</t>
  </si>
  <si>
    <t>הפרשה לביטוח לאומי</t>
  </si>
  <si>
    <t>שכר עיר ללא אלימות בחינוך</t>
  </si>
  <si>
    <t>שכר עיר ללא אלימות ברווחה</t>
  </si>
  <si>
    <t>שכר תרבות כללית</t>
  </si>
  <si>
    <t>שכר מנהל פרויקט</t>
  </si>
  <si>
    <t>שכר עובדי מתנ"ס</t>
  </si>
  <si>
    <t>שכר מחלקת אירועים</t>
  </si>
  <si>
    <t>מוקד קליטה</t>
  </si>
  <si>
    <t>שכר מועדונים-מנהל</t>
  </si>
  <si>
    <t>שכר מחלקת הקליטה</t>
  </si>
  <si>
    <t>שכר מפעל המים</t>
  </si>
  <si>
    <t>פעולות כלליות</t>
  </si>
  <si>
    <t>יוזמות ראש העיר לאזרחים ותיקים</t>
  </si>
  <si>
    <t>אבטחת ראש העיר</t>
  </si>
  <si>
    <t>פיתוח מנהיגות קהילתית</t>
  </si>
  <si>
    <t>קשרי ממשל</t>
  </si>
  <si>
    <t>שיפור השירות</t>
  </si>
  <si>
    <t>הוצאות למזיכרות המועצה</t>
  </si>
  <si>
    <t>מאור וכח</t>
  </si>
  <si>
    <t>קידום איכות השירות</t>
  </si>
  <si>
    <t>הוצאות אחרות - מזכירת ישיבות המועצה</t>
  </si>
  <si>
    <t>יוזמות ראש העיר בתפעול</t>
  </si>
  <si>
    <t>טיאוט</t>
  </si>
  <si>
    <t>פינוי אשפה</t>
  </si>
  <si>
    <t>איסוף קרטון ובקבוקים</t>
  </si>
  <si>
    <t>תפעול משקל האשפה</t>
  </si>
  <si>
    <t>פינוי אסבסט</t>
  </si>
  <si>
    <t>קבלניות</t>
  </si>
  <si>
    <t>תיקונים חשמל וחמרים</t>
  </si>
  <si>
    <t>השתתפות באיגוד ערים וכיבוי אש</t>
  </si>
  <si>
    <t>הסברה בני חיל קורונה</t>
  </si>
  <si>
    <t>בני חייל קורונה</t>
  </si>
  <si>
    <t>עבודות קבלניות קורונה - פו"ש</t>
  </si>
  <si>
    <t>אחזקת רכב קורונה</t>
  </si>
  <si>
    <t>הסברה ופרסום קורונה</t>
  </si>
  <si>
    <t>הצטיידות מוקד קורונה</t>
  </si>
  <si>
    <t>ציוד מיגון והצטיידות קורונה</t>
  </si>
  <si>
    <t>הוצאות מינהלת התחדשות עירונית</t>
  </si>
  <si>
    <t>עבודות קבלניות- השבחה</t>
  </si>
  <si>
    <t>כלים מכשירים וציו</t>
  </si>
  <si>
    <t>חשמל גינון</t>
  </si>
  <si>
    <t>אחזקת גינון יד לבנים</t>
  </si>
  <si>
    <t>שכר דירה ודמי מפת</t>
  </si>
  <si>
    <t>החזקת מכוניות ובט</t>
  </si>
  <si>
    <t>הוצאות לאירועי חגים</t>
  </si>
  <si>
    <t>אחזקת מבני ציבור</t>
  </si>
  <si>
    <t>פעולות תרבות לעובדים</t>
  </si>
  <si>
    <t>עידוד עסקים</t>
  </si>
  <si>
    <t>מרכז חדשנות</t>
  </si>
  <si>
    <t>קבלניות פקוח ערונ</t>
  </si>
  <si>
    <t>פעילות עיר ללא אלימות בחינוך</t>
  </si>
  <si>
    <t>פעולות עיר ללא  אלימות ברווחה</t>
  </si>
  <si>
    <t>פעולות עיר ללא אלימות אכיפה</t>
  </si>
  <si>
    <t>פעולות עיר ללא אלימות בעמותה</t>
  </si>
  <si>
    <t>השתתפות בעמותת תרבות נוער וספורט</t>
  </si>
  <si>
    <t xml:space="preserve">ארועי תרבות </t>
  </si>
  <si>
    <t>כנס מתגייסים</t>
  </si>
  <si>
    <t>מתנס-תנופה ומוסדו</t>
  </si>
  <si>
    <t>השתתפות בשכר ספרניות</t>
  </si>
  <si>
    <t>מאור כח חימום מים</t>
  </si>
  <si>
    <t>בולים טלפון ומברק</t>
  </si>
  <si>
    <t>אירועי יום העצמאות במערב העיר</t>
  </si>
  <si>
    <t>השתתפויות ותרומות</t>
  </si>
  <si>
    <t>הוצאות בית מורשת אתיופיה</t>
  </si>
  <si>
    <t>אומנויות הבמה</t>
  </si>
  <si>
    <t>תזמורת קאמרית</t>
  </si>
  <si>
    <t>מקהלת פרחי חדרה</t>
  </si>
  <si>
    <t>תנועות נוער</t>
  </si>
  <si>
    <t>סל"ע 22</t>
  </si>
  <si>
    <t>פעולות מותנות הכנסה ממשרד החינוך</t>
  </si>
  <si>
    <t xml:space="preserve">חשמל </t>
  </si>
  <si>
    <t>השתתפות נוער לחו"</t>
  </si>
  <si>
    <t>פעילות ספורט</t>
  </si>
  <si>
    <t>עידוד עלייה</t>
  </si>
  <si>
    <t>קבלניות-פרוייקט ע</t>
  </si>
  <si>
    <t>שכר מינהל חברה וקהילה</t>
  </si>
  <si>
    <t>שכר עוזרות גננות</t>
  </si>
  <si>
    <t>שכר גנ"י טרום חוב</t>
  </si>
  <si>
    <t>שכר סייעות בבתי ספר</t>
  </si>
  <si>
    <t>שכר בתי ספר יסודיים</t>
  </si>
  <si>
    <t>שכר תיכון תחכמוני</t>
  </si>
  <si>
    <t>שכר מחלקה פדגוגית</t>
  </si>
  <si>
    <t>שכר גנ"י עוזרת גננת וממלאת מקום</t>
  </si>
  <si>
    <t>שכר רצף חינוכי</t>
  </si>
  <si>
    <t>שכר סייעת תגבור בגנים</t>
  </si>
  <si>
    <t>שכר פסיכולוגים - עבודה נוספת</t>
  </si>
  <si>
    <t>שכר רווחה חינוכית</t>
  </si>
  <si>
    <t>שכר התוכנית הלאומית לילדים ונוער בסיכון</t>
  </si>
  <si>
    <t>שכר סייעות כיתתיות ותגבור בבת"ס</t>
  </si>
  <si>
    <t>שכר אחז.מבני חינו</t>
  </si>
  <si>
    <t>הפרשה/החזרים</t>
  </si>
  <si>
    <t>טלפון, דואר ומכשירים ניידים</t>
  </si>
  <si>
    <t>הרשות לביטחון קהילתי</t>
  </si>
  <si>
    <t>הוצאות בגין תוכנית הפעלה מפעל</t>
  </si>
  <si>
    <t>חשמל טכנודע</t>
  </si>
  <si>
    <t>אחזקה ושיפוצי מוסדות חינוך</t>
  </si>
  <si>
    <t>ק. חדרה לנשים חילוניות ודתיות</t>
  </si>
  <si>
    <t>תוכנית רב שנתית לחינוך</t>
  </si>
  <si>
    <t>עדלא ידע בתי ספר</t>
  </si>
  <si>
    <t>עבודות קבלניות - טכנודע</t>
  </si>
  <si>
    <t>גני ילדים אגו"י ו</t>
  </si>
  <si>
    <t>הוצאות בגין צהרנים פנאי העיר</t>
  </si>
  <si>
    <t>שכר דירה דמי חכיר</t>
  </si>
  <si>
    <t>תוכנית ניצנים בחופשות</t>
  </si>
  <si>
    <t>בנות שרות לאומי</t>
  </si>
  <si>
    <t>פתיחת אזורי רישום</t>
  </si>
  <si>
    <t>בית ספר מנגן</t>
  </si>
  <si>
    <t>היחידה לקידום נוער</t>
  </si>
  <si>
    <t>מכון ברנקו וייס</t>
  </si>
  <si>
    <t>מניעת נשירה</t>
  </si>
  <si>
    <t>קריית נריה חט"ב וחטיבה עליונה</t>
  </si>
  <si>
    <t>תמיכות מחשוב</t>
  </si>
  <si>
    <t>הקמת מכללה</t>
  </si>
  <si>
    <t>סטודיו אומן</t>
  </si>
  <si>
    <t>שכר דירה ודמי חכי</t>
  </si>
  <si>
    <t>החזר נסיעות לתלמידים</t>
  </si>
  <si>
    <t>שכר עובדי אלכוהוליסטים</t>
  </si>
  <si>
    <t>שכר עובדי מסגרות יום ארוך</t>
  </si>
  <si>
    <t>שכר טיפול בנוער וצעירים</t>
  </si>
  <si>
    <t>שכר לשלם/מראש</t>
  </si>
  <si>
    <t>ריהוט</t>
  </si>
  <si>
    <t>הוצאות בחירום - פיס</t>
  </si>
  <si>
    <t>קיטנות לאמהות</t>
  </si>
  <si>
    <t>מרכז טיפול באלימות</t>
  </si>
  <si>
    <t>משפחה מטיבה</t>
  </si>
  <si>
    <t>מגן זהב ובני משפחה מטפלים</t>
  </si>
  <si>
    <t>מועדונים לאזרח ותיק</t>
  </si>
  <si>
    <t>מרכז יום שיקומי לאוטיסט</t>
  </si>
  <si>
    <t xml:space="preserve">מפעלי תעסוקה </t>
  </si>
  <si>
    <t>ליווי בהסעות לגן שיקומי</t>
  </si>
  <si>
    <t>פעולות לשקום עיוורים</t>
  </si>
  <si>
    <t>טיפול בנוער ובצעי</t>
  </si>
  <si>
    <t>מתאם עירוני - סמים</t>
  </si>
  <si>
    <t>נוחם נוער חרדי מנותק</t>
  </si>
  <si>
    <t>פעולות איתור נו"חם</t>
  </si>
  <si>
    <t>פעולות תכנית ניצוץ</t>
  </si>
  <si>
    <t>פיתוח תוכניות קהי</t>
  </si>
  <si>
    <t>עמלות והוצאות בנק</t>
  </si>
  <si>
    <t>הוצאות מימון ריבי</t>
  </si>
  <si>
    <t>הוצאות לכיסוי ערבות לפנאי העיר</t>
  </si>
  <si>
    <t>ביטול יתרות חובה</t>
  </si>
  <si>
    <t xml:space="preserve">הוצאות מותנות </t>
  </si>
  <si>
    <t>העברות והוצאות חד פעמיות</t>
  </si>
  <si>
    <t>הנחות ארנונה עפ"י</t>
  </si>
  <si>
    <t>הנחות מימון מארנונה</t>
  </si>
  <si>
    <t>רזרבה</t>
  </si>
  <si>
    <t>גיליון נפרד ורזרבה</t>
  </si>
  <si>
    <t xml:space="preserve">לפי ביצוע </t>
  </si>
  <si>
    <t>מותנות</t>
  </si>
  <si>
    <t>הכנסות ממשלה לאירועים</t>
  </si>
  <si>
    <t>אירועי חגים ואירועים עירוניים שונים, ע"פ תוכנית אירועים עירונית . 1,500 אלש"ח רזרבה</t>
  </si>
  <si>
    <t>2,000 אלש"ח רזרבה תקציבית</t>
  </si>
  <si>
    <t xml:space="preserve">השתתפות  בהפעלת הטכנודע ומוזיאון הרפואה במסגרת הסכם. רזרבה תקציבית 1,000 אלש"ח </t>
  </si>
  <si>
    <t xml:space="preserve">עלות הפעלת ההיכל לשנה לפי התוכנית העסקית + סבסוד מופעים + שיווק . רזרבה תקציבית 500 אלש"ח </t>
  </si>
  <si>
    <t>הוליסטי</t>
  </si>
  <si>
    <t xml:space="preserve">יוזמות ראש העיר באגף החינוך. </t>
  </si>
  <si>
    <t xml:space="preserve">הוצאות רזרבה </t>
  </si>
  <si>
    <t>הוצאות רזרבה 2023</t>
  </si>
  <si>
    <t>תקציב 2023 כולל</t>
  </si>
  <si>
    <t xml:space="preserve">תקציב רזרבה </t>
  </si>
  <si>
    <t>למימוש ללא רזרבה</t>
  </si>
  <si>
    <t xml:space="preserve">סעיף רזרבה </t>
  </si>
  <si>
    <t>אחזקה, שמירה, משרדיות.</t>
  </si>
  <si>
    <t xml:space="preserve">אירועים לנוער, רכז נוער, קורסים והכשרות לנוער, עידוד ספורט לצעירי הקהילה 30 אלש"ח ע"פ מדיניות מחזיק תיק השכונות ומשרדיות. </t>
  </si>
  <si>
    <t>מס"ד</t>
  </si>
  <si>
    <t>תשלום חודשי בשקלים כולל מע"מ (ללא הצמדה)</t>
  </si>
  <si>
    <t>מדד בסיס לפי החוזה (לצורך חישוב הצמדה)</t>
  </si>
  <si>
    <t>עמודה2</t>
  </si>
  <si>
    <t>עמודה1</t>
  </si>
  <si>
    <t>סה"כ לשנה לא כולל מע"מ ולא כולל דמי ניהול/אחזקה/הצמדה</t>
  </si>
  <si>
    <t>דמי ניהול/ אחזקה כולל מע"מ /ועד בית לשנה בנוסף לדמי השכירות</t>
  </si>
  <si>
    <t>08.08.2021</t>
  </si>
  <si>
    <t>אגף משאבי אנוש + שפ"ח + שכר</t>
  </si>
  <si>
    <t>רחוב הלל יפה 20 (קומה 6)</t>
  </si>
  <si>
    <t>02.10.2027</t>
  </si>
  <si>
    <t>04.04.2022</t>
  </si>
  <si>
    <t xml:space="preserve">בוני המרכז חברה לבנין והשקעות בע"מ-                   בנק דיסקונט לישראל בע"מ המחאת זכויות מחברת מ.מ. </t>
  </si>
  <si>
    <t>29.10.18</t>
  </si>
  <si>
    <t>חודש דצמבר 2015</t>
  </si>
  <si>
    <t>אין התייחסות למדד</t>
  </si>
  <si>
    <t>מ.מ. בוני המרכז חברה לבנין והשקעות בע"מ</t>
  </si>
  <si>
    <t>נכסים + פיתוח תשתיות</t>
  </si>
  <si>
    <t>הלל יפה 11 (קומה 2)</t>
  </si>
  <si>
    <t>30.08.22</t>
  </si>
  <si>
    <t>22.09.2019</t>
  </si>
  <si>
    <t>03.05.2028</t>
  </si>
  <si>
    <t>חודש ספטמבר 2020</t>
  </si>
  <si>
    <t>01.09.2019</t>
  </si>
  <si>
    <t>18.10.2018</t>
  </si>
  <si>
    <t xml:space="preserve">חברת עמר ר.א. נכסים בע"מ </t>
  </si>
  <si>
    <t>היחידה לשלום המשפחה+ נוער וצעירים</t>
  </si>
  <si>
    <t>רח' הלל יפה 11 קומה 8</t>
  </si>
  <si>
    <t>עתיד להיחתם השבוע</t>
  </si>
  <si>
    <t xml:space="preserve">אוריאל חן השקעות בע"מ </t>
  </si>
  <si>
    <t xml:space="preserve">שי"ל + עוצמה + התנדבות בקהילה </t>
  </si>
  <si>
    <t>הרברט סמואל 52</t>
  </si>
  <si>
    <t>03.10.2022</t>
  </si>
  <si>
    <t>חודש אוגוסט 2009</t>
  </si>
  <si>
    <t>הליך קול קורא לאיתור נכס</t>
  </si>
  <si>
    <t>טרם אותר נכס</t>
  </si>
  <si>
    <t>28.02.2022</t>
  </si>
  <si>
    <t>נמצא בהליך קול קורא</t>
  </si>
  <si>
    <t>היחידה לטיפול משפחתי</t>
  </si>
  <si>
    <t>טרם נחתם</t>
  </si>
  <si>
    <t>רח' ביאליק - בום</t>
  </si>
  <si>
    <t>06.07.2022</t>
  </si>
  <si>
    <t>נספח ג' - שכירויות 2023</t>
  </si>
  <si>
    <t>חינוך ומחלקת תרבות</t>
  </si>
  <si>
    <t xml:space="preserve">משרדי אגף החינוך ומחלקת תרבות </t>
  </si>
  <si>
    <t>1817300410 /  1621300410 / 1615000410</t>
  </si>
  <si>
    <t xml:space="preserve">עלות כוללת שנתית </t>
  </si>
  <si>
    <t>דירת בני שירות-מויין מסעיף אחר</t>
  </si>
  <si>
    <t xml:space="preserve">איסוף קרטון, אריזות, נייר </t>
  </si>
  <si>
    <t xml:space="preserve">מויין מסעיף אחר </t>
  </si>
  <si>
    <t xml:space="preserve">פעילות, ציוד, משרדיות ופרויקט "זוזו"  רזרבה תקציבית 138 אלש"ח </t>
  </si>
  <si>
    <t xml:space="preserve">מותנה בתקציב משרד הדתות 75% עיריית חדרה, 25% משרד הדתות. </t>
  </si>
  <si>
    <t xml:space="preserve">קיים בהתאמה סעיף הוצאות </t>
  </si>
  <si>
    <t>שיפוי משרד החינוך</t>
  </si>
  <si>
    <t xml:space="preserve">סעיף תקציבי </t>
  </si>
  <si>
    <t>שינויים גפן</t>
  </si>
  <si>
    <t xml:space="preserve">הרשות לבטחון קהילתי 75% , הדרך החדשה 100% </t>
  </si>
  <si>
    <t xml:space="preserve">צילום הישיבות, פרוטוקולים, הקלטות, ספרות מקצועית, ושונות </t>
  </si>
  <si>
    <t xml:space="preserve">מימון 100% </t>
  </si>
  <si>
    <t>קופה קטנה + הוצאות שונות + דמי חבר+מיחשוב ללשכה</t>
  </si>
  <si>
    <t>תשלום לחברות המיחשוב/ שכר/כח אדם ותוכנת הנה"ח  ותוכנות נוספות + מנמ"ר + תוכנת לניהול משפטית + פורטל עובדים + פרויקט גיבויים + הלפדסק+ פרויקטים חדשים</t>
  </si>
  <si>
    <t xml:space="preserve"> יועצים/ חוו"ד כלכליות </t>
  </si>
  <si>
    <t>קופה קטנה והוצאות מטה</t>
  </si>
  <si>
    <t>קופה קטנה + הוצאות שונות + יעוץ בנושא שכר +  סריקת תיקי עובדים</t>
  </si>
  <si>
    <t xml:space="preserve">כולל משלוח דואר כמותי של חשבונות ארנונה </t>
  </si>
  <si>
    <t>איסוף אשפה וגזם מרחבי העיר                  150 אלש"ח ,באחריות מחזיק תיק שכונות ותיקות. 300 אלש"ח מותנה בהכנסות ארנונה</t>
  </si>
  <si>
    <t>כולל רכב מהנדס+רכב עבודה אגפי לטובת פיקוח על הבניה, נכסים ותשתיות</t>
  </si>
  <si>
    <t>פעילות לזהירות בדרכים במימון העירייה מעבירי דרך. 25 אלש"ח באחריות מחזיק התיק</t>
  </si>
  <si>
    <t xml:space="preserve">הוצאות אחזקה + איתור חייבים רישוי עסקים, פינוי אגרנים ומבצעים, פיקוח הנגשה, ביגוד פקחים, מטווחים, כיבוד, משרדיות. רזרבה 100 אלש"ח </t>
  </si>
  <si>
    <t>ביטוח תאונות אישיות לתלמידים- לפי עדכון 9.2022</t>
  </si>
  <si>
    <t>חשמל  במתקנים שלא בהפעלת העמותה, מתקנים שבהפעלת העמותה</t>
  </si>
  <si>
    <t>עבור סדנאות, טיפולי גמילה והעסקת רופא</t>
  </si>
  <si>
    <t xml:space="preserve">המרכז פועל באמצעות עמותה ומאכלס דרי רחוב </t>
  </si>
  <si>
    <t>העסקת פרילנסרים</t>
  </si>
  <si>
    <t xml:space="preserve"> מימון משרד הרווחה 100% </t>
  </si>
  <si>
    <t xml:space="preserve">קשישים מוסדרים </t>
  </si>
  <si>
    <t xml:space="preserve"> אוטיסטים-100% מימון</t>
  </si>
  <si>
    <t xml:space="preserve">סידור חניכים במסגרת יומית מחוץ לחדרה.   </t>
  </si>
  <si>
    <t xml:space="preserve">אחזקת נכים בוגרים בפנימיות. </t>
  </si>
  <si>
    <t xml:space="preserve"> שילוב נכים בתעסוקה במפעל מוגן.</t>
  </si>
  <si>
    <t>השמות</t>
  </si>
  <si>
    <t xml:space="preserve">אבטחת ראה"ע </t>
  </si>
  <si>
    <t xml:space="preserve">האגף נסגר </t>
  </si>
  <si>
    <t>האגף נסגר</t>
  </si>
  <si>
    <t>מויין לסעיף אחר - בעקבות סגירת האגף</t>
  </si>
  <si>
    <t xml:space="preserve">פרויקט במימון  70% משרד החקלאות-מויין מסעיף אחר </t>
  </si>
  <si>
    <t>סה"כ מינהל חברה וקהילה</t>
  </si>
  <si>
    <t>מימון 75% ע"י הבט"פ- מויין לסעיף אחר</t>
  </si>
  <si>
    <t>מימון 100% ע"י הבט"פ- מויין לסעיף אחר</t>
  </si>
  <si>
    <t>ראה נספח א'- מויין לסעיף אחר בעקבות סגירת המינהל</t>
  </si>
  <si>
    <t>ראה נספח ב -סגירת המינהל</t>
  </si>
  <si>
    <t>סגירת המינהל</t>
  </si>
  <si>
    <t>ניו מדיה שיווק ויח"צ- סגירת המינהל</t>
  </si>
  <si>
    <t>שירותי אחזקה מולטימדיה וביטוח + ניקיון+ עבודות אחזקה+ זכויות יוצרים לספרים + מעלית + שכר מנהלת דרך הקרן כולל תקורה. תוכניות חינוכיות, הדרכות - מויין לסעיף אחר</t>
  </si>
  <si>
    <t>הוצאות משרדיות לכלל המינהל + יוזמות והכשרות + אחזקת מבני משרדים חבק"ל- סגירת המינהל</t>
  </si>
  <si>
    <t xml:space="preserve"> התקציב הרגיל של הרשות לשנת 2023</t>
  </si>
  <si>
    <t>אומדן 2022</t>
  </si>
  <si>
    <t xml:space="preserve">תקציב 2023 </t>
  </si>
  <si>
    <t>סה"כ הכנסות מתוכנית פיס בקהילה</t>
  </si>
  <si>
    <t>תוויות שורה</t>
  </si>
  <si>
    <t>סכום כולל</t>
  </si>
  <si>
    <t>סעיפים</t>
  </si>
  <si>
    <t xml:space="preserve">תקציב שנתי מאושר מהמערכת </t>
  </si>
  <si>
    <t>תקציב יחסי לרבעון</t>
  </si>
  <si>
    <t>ביצוע מצטבר</t>
  </si>
  <si>
    <t xml:space="preserve">סגירת הפרשה </t>
  </si>
  <si>
    <t>פ"נ</t>
  </si>
  <si>
    <t>ביצוע לאחר פ"נ</t>
  </si>
  <si>
    <t>סטיה מהתקציב היחסי</t>
  </si>
  <si>
    <t>הערות+תגובת החשבים</t>
  </si>
  <si>
    <t>שם טוב</t>
  </si>
  <si>
    <t>*</t>
  </si>
  <si>
    <t xml:space="preserve">לימור - כרגע זו הגבייה מהשתתפות ההורים - פסימית לגבי הכנסות </t>
  </si>
  <si>
    <t xml:space="preserve">לימור- לפי החודשים בפועל- צפי גבייה 1.5. מיליון לפי חן אלמליח </t>
  </si>
  <si>
    <t>לימור - סעיף זה מתוקצב על 0 ולכן פקיומן לקיזוז עם א. חינוך גנ"י</t>
  </si>
  <si>
    <t>לימור- זה מה שבפועל בינתיים עם קיזוז צהרונים - הערכה עד סוף שנה</t>
  </si>
  <si>
    <t>לימור</t>
  </si>
  <si>
    <t>כרמית</t>
  </si>
  <si>
    <t>לימור- בהתאמה לש.ק</t>
  </si>
  <si>
    <t>לימור- בהתאמה לגבייה לינארית</t>
  </si>
  <si>
    <t>לפי נעמי להעמיד על תקציב</t>
  </si>
  <si>
    <t xml:space="preserve">לימור- עדיין לא נרדמו בסעיף זה </t>
  </si>
  <si>
    <t>לימור- חוזה פחות הכנסות מהצפוי לפי עקרון הכנסות מופחת</t>
  </si>
  <si>
    <t>קארין</t>
  </si>
  <si>
    <t>הכנסות מיחשוב פנאי העיר</t>
  </si>
  <si>
    <t>שלומית</t>
  </si>
  <si>
    <t>שלומית - לאחר בדיקת הכנסות בפועל</t>
  </si>
  <si>
    <t>יעל - הוחזרו פקדונות  בסך 540 אשח ב7.22</t>
  </si>
  <si>
    <t>לפי הכנסה בפועל - לבדוק אם צפויות עוד</t>
  </si>
  <si>
    <t>יעל -  הכנסות  ממטש 473 אשח שנתיות   בתוספת שכד  מ.ד</t>
  </si>
  <si>
    <t>עפי תחשיב</t>
  </si>
  <si>
    <t xml:space="preserve">לימור- הכנסות קבועות מידי חודש ממיתר משהח </t>
  </si>
  <si>
    <t xml:space="preserve">לימור- </t>
  </si>
  <si>
    <t xml:space="preserve">לימור- הכנסות קבועות מידי חודש ממיתר משהח לפי תקציב מותנה </t>
  </si>
  <si>
    <t>לימור-לפי קוד חופשות</t>
  </si>
  <si>
    <t>לימור- קיבלנו קצת יותר</t>
  </si>
  <si>
    <t xml:space="preserve">לימור- קיבלנו בפועל יותר בחצי שנתי - השארתי כמו בתקציב מותנה </t>
  </si>
  <si>
    <t>לימור- לא התקבל עדיין אולי יתקבל לקראת סוף שנה כמו בש.ק</t>
  </si>
  <si>
    <t>לימור- בפועל בחצי שנתי התקבל רוב סכום ההכנסה ולכן הוספתי לצפי</t>
  </si>
  <si>
    <t>לימור- לפי צפי חודשים בפועל כפול10</t>
  </si>
  <si>
    <t>לימור- צפי שכל הסכום יתקבל כמו שצריך- בחצי שנתי קיבלנו בפועל יותר</t>
  </si>
  <si>
    <t>לימור- לפי בפועל צפי ההכנסה בפועל *2</t>
  </si>
  <si>
    <t>לימור- משאירה לפי הכנסה חצי שנתית בפועל</t>
  </si>
  <si>
    <t>לימור- לפי הצפי של תקציב מותנה</t>
  </si>
  <si>
    <t>לימור/ כרמית אין ביצוע?</t>
  </si>
  <si>
    <t xml:space="preserve">לימור- לפי הכנסה חצי שנתית בפועל </t>
  </si>
  <si>
    <t>לימור- אין תקציב האם למיין להכנסה אחרת?</t>
  </si>
  <si>
    <t xml:space="preserve">לימור- נכנס פחות ממה שהיה צריך - יעבור לבדיקתה של חן מפישמן </t>
  </si>
  <si>
    <t xml:space="preserve">לימור- לא התקבל עדיין אולי יתקבל לקראת סוף שנה כמו בש.ק- בדיקתה של חן מפישמן </t>
  </si>
  <si>
    <t xml:space="preserve">לימור- לא התקבלה ההכנסה הרצוייה - לבדיקתה של חן מפישמן </t>
  </si>
  <si>
    <t>לימור- לא התקבלה ההכנסה הרצוייה - לבדיקתה של חן מפישמן גם בשנת 2021 לא התקבל שליש מהסכום</t>
  </si>
  <si>
    <t xml:space="preserve">לימור- התקבל כמו בצפי </t>
  </si>
  <si>
    <t xml:space="preserve">לימור- תקבולים לינארים כמידי חודש תשלום עבור הסעות ח"מ </t>
  </si>
  <si>
    <t>לימור- גם ב2021 התקבל פחות מחצי התקציב למה תוקצב גבוה?</t>
  </si>
  <si>
    <t>לימור- חוסר גדול בהכנסה מעריכה שצריך פקודות מיון בין הסעות חיפה מתקזז עם ס.ת 1317802920</t>
  </si>
  <si>
    <t>לימור- מצב מעולה התקבל כל הסכום המתוקצב להכנסה אך בשנה קודמת סעיף זה תוקצב ב10 מיליון שח,נכנסו מסעיפים שונים בהכנסות</t>
  </si>
  <si>
    <t>לימור- עובדתי מה שנכנס עד היום</t>
  </si>
  <si>
    <t>לימור- בעקבות פק'הכנ' לקבל בפועל לא התקבלה הכנסה. דרושות פק' מיון בין סעיפים דומים</t>
  </si>
  <si>
    <t>לפי מסמך נעמי</t>
  </si>
  <si>
    <t>כרמית - קיבלנו תקציב מאושר בסך של 219 אלף , נמצא בבקשה לשינויים בסעיפי תקציב , הגדלת הוצאות כנגד הגדלת הכנסות</t>
  </si>
  <si>
    <t>התקבל בפועל</t>
  </si>
  <si>
    <t>לפי נעמי</t>
  </si>
  <si>
    <t>נחמיה - 100 אלף פרישה עופר</t>
  </si>
  <si>
    <t>יעל - שולמו החודש ביטוחי רכב</t>
  </si>
  <si>
    <t>שרי</t>
  </si>
  <si>
    <t>שרי - 100 אש"ח יתקבל מהמשרד לשויון חברתי לא בטוח שהשנה</t>
  </si>
  <si>
    <t>שרי - הוצאות לחודשים8-12.2022</t>
  </si>
  <si>
    <t>שרי ציינה להתייעץ עם נעמי</t>
  </si>
  <si>
    <t>שירות-טרם נפתח</t>
  </si>
  <si>
    <t>שלומית - הסבר לחריגה במסמך נפרד</t>
  </si>
  <si>
    <t xml:space="preserve">יועץ אסטרטגי </t>
  </si>
  <si>
    <t>יעל - לא ינוצל כל התקציב ליועץ תצר וליועץ הפקעות</t>
  </si>
  <si>
    <t>יעל - לדברי התבע תרכש  תוכנת סימפלקס</t>
  </si>
  <si>
    <t>יעל - שכד  זברקו עד 8.22 164 אשח  בתוספת כ30 אשח   החל  מ9.22  בבנין קורן</t>
  </si>
  <si>
    <t>יעל - חברת tmr לא מועסקת, יצאו למכרז חדש   אמדתי תחילת עבודה מ10.22ועשת  מחייבים פחות מהחוזה</t>
  </si>
  <si>
    <t>תאורת רחובות-חכ"ל +רמזורים - באחריותי (אין חריגה לפי החוזה)</t>
  </si>
  <si>
    <t>באחריותי - לפי תחשיב מים</t>
  </si>
  <si>
    <t>בת חן</t>
  </si>
  <si>
    <t>בת חן - 200 לחובשים</t>
  </si>
  <si>
    <t>שלומית/בת חן</t>
  </si>
  <si>
    <t>כמו שנה קודמת -אומדן</t>
  </si>
  <si>
    <t>שרי - תקצוב לא נכון לגבי עובדות נקיון מהחברה ולא עובדות עירייה</t>
  </si>
  <si>
    <t>באחריותי</t>
  </si>
  <si>
    <t>נחמיה - רכב נוסף</t>
  </si>
  <si>
    <t>לפי נעמי לא ימומש</t>
  </si>
  <si>
    <t>לא תוקצב</t>
  </si>
  <si>
    <t xml:space="preserve">שכ"ד קונסרבטוריון פנאי העיר </t>
  </si>
  <si>
    <t>שכר עובדים מושאלים פנאי העיר</t>
  </si>
  <si>
    <t>שרי - כולל 150Kהתחשבנות שנים קודמות טרם נמצא במערכת</t>
  </si>
  <si>
    <t>כרמית - תוכניות פיס בקהילה</t>
  </si>
  <si>
    <t>לימור שולם שכ"ד עד9/22</t>
  </si>
  <si>
    <t xml:space="preserve">לימור </t>
  </si>
  <si>
    <t>לימור- לא תוקצב</t>
  </si>
  <si>
    <t>לימור- עליית מחירי ביטוח ואחזקה יגיע 300</t>
  </si>
  <si>
    <t>לימור- באחריות שרי ישנה חריגה קטנה</t>
  </si>
  <si>
    <t>לימור - לא תוקצב</t>
  </si>
  <si>
    <t>לימור- לשכת ראש העיר</t>
  </si>
  <si>
    <t>לימור- מעריכה שימוש בתוכונות רישום שלא לקחו מראש</t>
  </si>
  <si>
    <t>לימור- אם יהיה עוד שימוש בסעיף</t>
  </si>
  <si>
    <t xml:space="preserve">לימור-שימוש הסעיף במלואו </t>
  </si>
  <si>
    <t>לימור - כבר בחריגה סעיף מורן מנור ואלה שירום</t>
  </si>
  <si>
    <t>לימור- לא תוקצבו</t>
  </si>
  <si>
    <t>לימור- נשאר לשלם 9-12/22, גם שייך לבת חן 248/8*4 הוספתי לתקציב ביצוע</t>
  </si>
  <si>
    <t>לימור- גנים חדשים + שיפוצים שיילך לאהוד ואנה ושרי אלדן שומש במלואו</t>
  </si>
  <si>
    <t xml:space="preserve">לימור- הערכה של אומדן </t>
  </si>
  <si>
    <t>לימור-מקווה שלא נחרוג מהתקציב</t>
  </si>
  <si>
    <t>לימור- ביצוע *2</t>
  </si>
  <si>
    <t>לימור- פלוס שיריון נגיע לתקציב</t>
  </si>
  <si>
    <t>לימור- עליית מחיר החשמל+ חודשים שלא שולמו</t>
  </si>
  <si>
    <t xml:space="preserve">לימור- שימוש מלא בתקציב לפי הערכתי </t>
  </si>
  <si>
    <t>לימור- כספים לפנאי העיר עבור צהרונים - תהיה סטיה</t>
  </si>
  <si>
    <t>לימור- קיזוזי גננות משהח</t>
  </si>
  <si>
    <t>לימור הסעיף כנראה ישומש במלואו</t>
  </si>
  <si>
    <t>לימור -יש הכנסות ממשה"ח במקביל- שנה הבאה יגדל בכ2 מיליון גידול בחופשות צהרונים החופש הגדול</t>
  </si>
  <si>
    <t>לימור- תהיה חריגה כמו ש.ק אך ממול הכנסות משהח</t>
  </si>
  <si>
    <t>לימור- העברות תקציבים לבי"ס הועבר סל קיומי 9-12/22 הסעיף ישומש במלואו</t>
  </si>
  <si>
    <t>לימור- תוכנית צמצום פערים מרשמה פק' יומן ב7.22 עבור 1-6/22 -אולי יתקבלו עוד הכנסות מהתוכנית עד סוף שנה</t>
  </si>
  <si>
    <t>לימור- שייך לכרמית נלקח מיוזמות 150,000 עבור בה"ס מנגן</t>
  </si>
  <si>
    <t>לימור- כנראה שימוש מלא בסעיף ליוזמות חינוכיות</t>
  </si>
  <si>
    <t xml:space="preserve">לימור - הזנה עד סוף שנה והוצאות ח"מ </t>
  </si>
  <si>
    <t xml:space="preserve">לימור- בטיפול שרי מתאים בדיוק </t>
  </si>
  <si>
    <t>לימור- שולמו כל הפעימות נשאר להשלים חוסרים</t>
  </si>
  <si>
    <t>לימור- ישומש כנראה במלואו</t>
  </si>
  <si>
    <t>לימור- מיונים מול הקצבות לחט"ב - מיונים של פק' יומן מול חטיבות</t>
  </si>
  <si>
    <t>לימור- עברו כל התקציבים</t>
  </si>
  <si>
    <t>לימור- שימוש סעיף בשלמותו + לטובת גפן</t>
  </si>
  <si>
    <t>לימור- אני רואה שלא שומש כלל לא מבינה למה יש ביצוע ?- כנראה למבנה השפ"ח החדש בהלל יפה 20</t>
  </si>
  <si>
    <t>לימור- שפח מעריכה שישתמשו בהכל</t>
  </si>
  <si>
    <t>לימור-  עליית מחירים ומכרז חדש דרך החברה למשק וכלכלה להסעות</t>
  </si>
  <si>
    <t>לימור / סעיף תקציבי בניהול כרמית פלג</t>
  </si>
  <si>
    <t>לימור / סעיף תקציבי בניהול כרמית פלג- מותנה בהכנסות ממשהח</t>
  </si>
  <si>
    <t xml:space="preserve">קרן פיתוח </t>
  </si>
  <si>
    <t>הכנסות במינוס</t>
  </si>
  <si>
    <t>הכנסות מראש</t>
  </si>
  <si>
    <t>הכנסות בפלוס</t>
  </si>
  <si>
    <t xml:space="preserve">הכנסות לקבל </t>
  </si>
  <si>
    <t>הוצאות במינוס</t>
  </si>
  <si>
    <t>הוצאות מראש</t>
  </si>
  <si>
    <t>הוצאות בפלוס</t>
  </si>
  <si>
    <t xml:space="preserve">הוצאות לשלם </t>
  </si>
  <si>
    <t>תקציב</t>
  </si>
  <si>
    <t>ביצוע</t>
  </si>
  <si>
    <t xml:space="preserve">הכנסות יחידה לגיל הרך </t>
  </si>
  <si>
    <t>יחידה חדשה</t>
  </si>
  <si>
    <t>תקציב עיריית חדרה לשנת 2023</t>
  </si>
  <si>
    <t>שיעור גידול מתקציב 2022</t>
  </si>
  <si>
    <t xml:space="preserve">שכר מינהל חבק"ל </t>
  </si>
  <si>
    <t>סה"כ תוכנית 360</t>
  </si>
  <si>
    <t>שרות</t>
  </si>
  <si>
    <t xml:space="preserve"> תקציב 2023</t>
  </si>
  <si>
    <t>פניות ציבור</t>
  </si>
  <si>
    <t>בחירות מוניציפאליות</t>
  </si>
  <si>
    <t>420-421</t>
  </si>
  <si>
    <t>השתתפות משרד החקלאות</t>
  </si>
  <si>
    <t xml:space="preserve">הכנסות ממכירת כרטיסים וחסויות באירועים עירוניים- מויין לסעיף אחר </t>
  </si>
  <si>
    <t>אחזקת מחשבים בבתי ספר לפי הסכם טלקוד והגפן- באחריות מחלקת מערכות מידע</t>
  </si>
  <si>
    <t>הוצאות מותנות בהכנסה -תקציב 2023</t>
  </si>
  <si>
    <t xml:space="preserve">מויין לסעיף אחר </t>
  </si>
  <si>
    <t xml:space="preserve">שפ"ע- טיאוט רחובות </t>
  </si>
  <si>
    <t xml:space="preserve">שפ"ע- גינון </t>
  </si>
  <si>
    <t>ערים תאומות וקש"ח על פי מדיניות מחזיק התיק.</t>
  </si>
  <si>
    <t>חיסוני כלבת/ שבבים /ציוד רפואי עיקור וסירוס חתולי רחוב מותנה בקבלת הרשאה ממשרד החקלאות</t>
  </si>
  <si>
    <t>קופה קטנה + הוצאות שונות +מטווח + פנסי תאורה לחירום, מגפונים, אפליקצית חירום לניידים.</t>
  </si>
  <si>
    <t>הועבר לתקציב דוברות</t>
  </si>
  <si>
    <t>הועבר לתקציב אירועים עירוניים</t>
  </si>
  <si>
    <t xml:space="preserve"> שוטרים בשכר </t>
  </si>
  <si>
    <t>הזנה במועדוני מקס"ם עבר מסעיף 1828000780</t>
  </si>
  <si>
    <t>קמפיין ארצי להשקת מוזיאון הרפואה  300 אלש"ח מותנה בהכנסות ארנונה</t>
  </si>
  <si>
    <t>סכום של תקציב 2022</t>
  </si>
  <si>
    <t>(ריק)</t>
  </si>
  <si>
    <t xml:space="preserve">ראה נספח א - מויין מסעיף אחר </t>
  </si>
  <si>
    <t>עובדי פנאי העיר - מויין מסעיף אחר</t>
  </si>
  <si>
    <t xml:space="preserve"> ליסינג / בעלות העירייה</t>
  </si>
  <si>
    <t>89128402</t>
  </si>
  <si>
    <t>ראש העיר</t>
  </si>
  <si>
    <t xml:space="preserve">סקודה </t>
  </si>
  <si>
    <t>2025</t>
  </si>
  <si>
    <t>הצ'בק</t>
  </si>
  <si>
    <t>59160702</t>
  </si>
  <si>
    <t>מאזדה</t>
  </si>
  <si>
    <t>51411602</t>
  </si>
  <si>
    <t xml:space="preserve">איסוזו </t>
  </si>
  <si>
    <t>דימאקס</t>
  </si>
  <si>
    <t>15766403</t>
  </si>
  <si>
    <t>אלנטרה</t>
  </si>
  <si>
    <t>מחלקת תקציבים</t>
  </si>
  <si>
    <t>82872602</t>
  </si>
  <si>
    <t>טיוטה</t>
  </si>
  <si>
    <t>CHR</t>
  </si>
  <si>
    <t>48134302</t>
  </si>
  <si>
    <t>XTOWN CT 125</t>
  </si>
  <si>
    <t>רונה אדריכלית</t>
  </si>
  <si>
    <t>1950728</t>
  </si>
  <si>
    <t>פארק נחל חדרה</t>
  </si>
  <si>
    <t>גרור לאופנוע</t>
  </si>
  <si>
    <t>רנו</t>
  </si>
  <si>
    <t>16992903</t>
  </si>
  <si>
    <t>K2500</t>
  </si>
  <si>
    <t>76704602</t>
  </si>
  <si>
    <t xml:space="preserve">מיצובושי </t>
  </si>
  <si>
    <t>ASK</t>
  </si>
  <si>
    <t>קונה</t>
  </si>
  <si>
    <t>76761002</t>
  </si>
  <si>
    <t>ASX</t>
  </si>
  <si>
    <t>20899602</t>
  </si>
  <si>
    <t>83447002</t>
  </si>
  <si>
    <t>קארוק</t>
  </si>
  <si>
    <t>תרבות וקהילה ניסים לוי</t>
  </si>
  <si>
    <t>85938302</t>
  </si>
  <si>
    <t>תרבות תורנית</t>
  </si>
  <si>
    <t xml:space="preserve">קיה </t>
  </si>
  <si>
    <t>אי 30</t>
  </si>
  <si>
    <t>83449602</t>
  </si>
  <si>
    <t>48133802</t>
  </si>
  <si>
    <t>רכב פיקוח רובעים</t>
  </si>
  <si>
    <t>48133602</t>
  </si>
  <si>
    <t>48134002</t>
  </si>
  <si>
    <t>77906802</t>
  </si>
  <si>
    <t xml:space="preserve">סובארו </t>
  </si>
  <si>
    <t>xv</t>
  </si>
  <si>
    <t>רכב איגום כללי</t>
  </si>
  <si>
    <t>מח' רכב</t>
  </si>
  <si>
    <t xml:space="preserve">מח רכב </t>
  </si>
  <si>
    <t>48134202</t>
  </si>
  <si>
    <t>15766503</t>
  </si>
  <si>
    <t>48133902</t>
  </si>
  <si>
    <t>21562103</t>
  </si>
  <si>
    <t xml:space="preserve">טיוטה </t>
  </si>
  <si>
    <t>48133502</t>
  </si>
  <si>
    <t>48133702</t>
  </si>
  <si>
    <t>48133402</t>
  </si>
  <si>
    <t>2601528</t>
  </si>
  <si>
    <t>51191101</t>
  </si>
  <si>
    <t>48134102</t>
  </si>
  <si>
    <t>ברליגו</t>
  </si>
  <si>
    <t xml:space="preserve"> רשימת רכבים עיריית חדרה 2023</t>
  </si>
  <si>
    <t>סה"כ לשנה כולל מע"מ וכולל דמי ניהול/אחזקה/הצמדה</t>
  </si>
  <si>
    <t xml:space="preserve">ראה נספח א- 200 אלש"ח מותנה בהכנסות ארנונה </t>
  </si>
  <si>
    <t xml:space="preserve">כולל הצמדה ללא דמ"נ </t>
  </si>
  <si>
    <t>אלגרבלי</t>
  </si>
  <si>
    <t>אלטרס</t>
  </si>
  <si>
    <t>אסולין</t>
  </si>
  <si>
    <t>גאוגנאו</t>
  </si>
  <si>
    <t>גבלי</t>
  </si>
  <si>
    <t>אילן</t>
  </si>
  <si>
    <t>דואני</t>
  </si>
  <si>
    <t>לוזון</t>
  </si>
  <si>
    <t>חזון</t>
  </si>
  <si>
    <t>חכם</t>
  </si>
  <si>
    <t>טוסון</t>
  </si>
  <si>
    <t>ישעיהו</t>
  </si>
  <si>
    <t>כצמן</t>
  </si>
  <si>
    <t>ליודמילה</t>
  </si>
  <si>
    <t>לבייב</t>
  </si>
  <si>
    <t>יקטרינה</t>
  </si>
  <si>
    <t>מעודה דואני</t>
  </si>
  <si>
    <t>שולה</t>
  </si>
  <si>
    <t>עטרי</t>
  </si>
  <si>
    <t>פינקו</t>
  </si>
  <si>
    <t>מינה</t>
  </si>
  <si>
    <t>סלביה</t>
  </si>
  <si>
    <t>קרסנוב</t>
  </si>
  <si>
    <t>רוזן</t>
  </si>
  <si>
    <t>אנטונינה</t>
  </si>
  <si>
    <t>שובייב</t>
  </si>
  <si>
    <t>סבטלנה</t>
  </si>
  <si>
    <t>שחף</t>
  </si>
  <si>
    <t>עפר</t>
  </si>
  <si>
    <t>שעיר תוהמי</t>
  </si>
  <si>
    <t>שצ'טניקוב</t>
  </si>
  <si>
    <t>אלכסנדרה</t>
  </si>
  <si>
    <t>שריקי</t>
  </si>
  <si>
    <t>שרמה</t>
  </si>
  <si>
    <t>נתנאל</t>
  </si>
  <si>
    <t>ברזילי ליפשיץ</t>
  </si>
  <si>
    <t>נצחיה</t>
  </si>
  <si>
    <t>אינה</t>
  </si>
  <si>
    <t>סלומון</t>
  </si>
  <si>
    <t>אריאל</t>
  </si>
  <si>
    <t xml:space="preserve">גנים חובה+ ח.מ. כולל רישום הוצאות כנגד גביית תשלומי הורים -200 אלש"ח מותנה בהכנסות ארנונה </t>
  </si>
  <si>
    <t xml:space="preserve">השתתפות משרד החינוך בצהרונים בסך 300 ש"ח לתלמיד .רזרבה 102 אלש"ח </t>
  </si>
  <si>
    <t xml:space="preserve">תקציב גננות + הצטיידות + העשרה + חופשות  200 אלש"ח מותנה בהכנסות ארנונה </t>
  </si>
  <si>
    <t xml:space="preserve">יוזמות גנ"י + סל תרבות </t>
  </si>
  <si>
    <t xml:space="preserve">תפעול מרכז הוליסטי </t>
  </si>
  <si>
    <t xml:space="preserve">פינוי אסבסט ופינוי פסולת בניין, פינוי גרוטאות רכב. גידור שטחים מסוכנים נלאחר מתן קנסות. </t>
  </si>
  <si>
    <t>עבור הפעלת החברה לתיירות, כולל מרכז התיירות . 350 אלש"ח מותנה בהכנסות ארנונה</t>
  </si>
  <si>
    <t>מעוגל</t>
  </si>
  <si>
    <t xml:space="preserve">השתתפות העירייה בפעילות המתנ"ס. </t>
  </si>
  <si>
    <t>הליך קול קורא</t>
  </si>
  <si>
    <t>עובדי פנאי העיר במח צעירים וכולל שיפוי מנהלת יחידה לגיל הרך</t>
  </si>
  <si>
    <t>הכנסות גפן משרד החינוך</t>
  </si>
  <si>
    <t>קארין - מוין מסעיף טיפול בנפגעי סמים</t>
  </si>
  <si>
    <t>קארין - מוין מסעיף מרכז יום שיקומי</t>
  </si>
  <si>
    <t>קארין - מוין לסעיף 1845200821</t>
  </si>
  <si>
    <t>קארין - מוים לסעיף 1842200820</t>
  </si>
  <si>
    <t>פת</t>
  </si>
  <si>
    <t>ה"</t>
  </si>
  <si>
    <t>210</t>
  </si>
  <si>
    <t>220</t>
  </si>
  <si>
    <t>כנ</t>
  </si>
  <si>
    <t>690</t>
  </si>
  <si>
    <t>410</t>
  </si>
  <si>
    <t>430</t>
  </si>
  <si>
    <t>420</t>
  </si>
  <si>
    <t>431</t>
  </si>
  <si>
    <t>093</t>
  </si>
  <si>
    <t>490</t>
  </si>
  <si>
    <t>610</t>
  </si>
  <si>
    <t>611</t>
  </si>
  <si>
    <t>650</t>
  </si>
  <si>
    <t>440</t>
  </si>
  <si>
    <t>691</t>
  </si>
  <si>
    <t>692</t>
  </si>
  <si>
    <t>693</t>
  </si>
  <si>
    <t>694</t>
  </si>
  <si>
    <t>421</t>
  </si>
  <si>
    <t>640</t>
  </si>
  <si>
    <t>590</t>
  </si>
  <si>
    <t>920</t>
  </si>
  <si>
    <t>910</t>
  </si>
  <si>
    <t>921</t>
  </si>
  <si>
    <t>922</t>
  </si>
  <si>
    <t>923</t>
  </si>
  <si>
    <t>990</t>
  </si>
  <si>
    <t>740</t>
  </si>
  <si>
    <t>930</t>
  </si>
  <si>
    <t>931</t>
  </si>
  <si>
    <t>932</t>
  </si>
  <si>
    <t>933</t>
  </si>
  <si>
    <t>936</t>
  </si>
  <si>
    <t>934</t>
  </si>
  <si>
    <t>935</t>
  </si>
  <si>
    <t>938</t>
  </si>
  <si>
    <t>939</t>
  </si>
  <si>
    <t>937</t>
  </si>
  <si>
    <t>980</t>
  </si>
  <si>
    <t>960</t>
  </si>
  <si>
    <t>950</t>
  </si>
  <si>
    <t>660</t>
  </si>
  <si>
    <t>540</t>
  </si>
  <si>
    <t>וצ</t>
  </si>
  <si>
    <t>511</t>
  </si>
  <si>
    <t>530</t>
  </si>
  <si>
    <t>780</t>
  </si>
  <si>
    <t>754</t>
  </si>
  <si>
    <t>755</t>
  </si>
  <si>
    <t>781</t>
  </si>
  <si>
    <t>750</t>
  </si>
  <si>
    <t>751</t>
  </si>
  <si>
    <t>752</t>
  </si>
  <si>
    <t>753</t>
  </si>
  <si>
    <t>756</t>
  </si>
  <si>
    <t>757</t>
  </si>
  <si>
    <t>784</t>
  </si>
  <si>
    <t>782</t>
  </si>
  <si>
    <t>783</t>
  </si>
  <si>
    <t>550</t>
  </si>
  <si>
    <t>521</t>
  </si>
  <si>
    <t>522</t>
  </si>
  <si>
    <t>581</t>
  </si>
  <si>
    <t>570</t>
  </si>
  <si>
    <t>720</t>
  </si>
  <si>
    <t>830</t>
  </si>
  <si>
    <t>760</t>
  </si>
  <si>
    <t>432</t>
  </si>
  <si>
    <t>810</t>
  </si>
  <si>
    <t>450</t>
  </si>
  <si>
    <t>560</t>
  </si>
  <si>
    <t>811</t>
  </si>
  <si>
    <t>812</t>
  </si>
  <si>
    <t>813</t>
  </si>
  <si>
    <t>820</t>
  </si>
  <si>
    <t>814</t>
  </si>
  <si>
    <t>815</t>
  </si>
  <si>
    <t>816</t>
  </si>
  <si>
    <t>743</t>
  </si>
  <si>
    <t>821</t>
  </si>
  <si>
    <t>850</t>
  </si>
  <si>
    <t>710</t>
  </si>
  <si>
    <t>711</t>
  </si>
  <si>
    <t>וו</t>
  </si>
  <si>
    <t>822</t>
  </si>
  <si>
    <t>824</t>
  </si>
  <si>
    <t>825</t>
  </si>
  <si>
    <t>828</t>
  </si>
  <si>
    <t>829</t>
  </si>
  <si>
    <t>823</t>
  </si>
  <si>
    <t>826</t>
  </si>
  <si>
    <t>827</t>
  </si>
  <si>
    <t>832</t>
  </si>
  <si>
    <t>833</t>
  </si>
  <si>
    <t>834</t>
  </si>
  <si>
    <t>620</t>
  </si>
  <si>
    <t>997</t>
  </si>
  <si>
    <t>999</t>
  </si>
  <si>
    <t>860</t>
  </si>
  <si>
    <t>630</t>
  </si>
  <si>
    <t xml:space="preserve">פעילות מועצת נשים על פי מדיניות מחזיקת התיק . </t>
  </si>
  <si>
    <t>יוזמות ראה"ע לאנשים בעלי מוגבלויות</t>
  </si>
  <si>
    <t>הכנסות מפעילות קונסרבטוריון</t>
  </si>
  <si>
    <t>הכנסות ממשלה עבור קונסרבטוריון</t>
  </si>
  <si>
    <t xml:space="preserve"> מלגות לנסיעה לפולין + מילגות לסטודנטים </t>
  </si>
  <si>
    <t xml:space="preserve">קידום מעמד האישה </t>
  </si>
  <si>
    <t>50 אלש"ח מותנה בהכנסות ארנונה</t>
  </si>
  <si>
    <t xml:space="preserve">תחזוקת אקו פארק, סקייט פארק, גינת קלרין, פארק בעין הים וגינת כלבים. 150 אלש"ח מותנה בהכנסות ארנונה </t>
  </si>
  <si>
    <t xml:space="preserve">אחזקת מחשבים בגני ילדים + רכישת  מחשבים חדשים לגני טרום חובה - 50 אלש"ח מותנה בהכנסות ארנונה </t>
  </si>
  <si>
    <t xml:space="preserve">אירועי הקהילה האתיופית 100 אלש"ח. סליחות 120 אלש"ח. בר מצווה למעוטי יכולת 32 אלש"ח. טיול ופעילות למשפחות שכולות 30 אלש"ח. 100אלש"ח מותנה בהכנסות ארנונה </t>
  </si>
  <si>
    <t>קולות קוראים בקיזוז הגפן ותוכניות חינוכיות בהתאם להכנסות + תקורה צהרונים קיימת הכנסה במקביל.650 אלש"ח מותנה בהכנסות ארנונה</t>
  </si>
  <si>
    <t>סל תלמיד לתלמידי החט"ב. 850 אלש"ח מותנה בהכנסות ארנונה</t>
  </si>
  <si>
    <t>יוזמות בבתי ספר על יסודיים-גפן .-300 אלש"ח מותנה בהכנסות ארנונה</t>
  </si>
  <si>
    <t>צילומים שכפולים וועד בית והוצאות שונות לשרות פסיכולוגי-50 אלש"ח מותנה בהכנסות ארנונה</t>
  </si>
  <si>
    <t>לפי מכרז חדש, 150 אלש"ח באחריות מחזיק תיק שכונות ותיקות. 1,000 אלש"ח רזרבה תקציבית . 3,500 אלש"ח מותנה בהכנסות ארנונה</t>
  </si>
  <si>
    <t>8,000 אלש"ח מותנה בהכנסות ארנונה</t>
  </si>
  <si>
    <t>שיפוי ארנונה קורונה</t>
  </si>
  <si>
    <t>-</t>
  </si>
  <si>
    <t xml:space="preserve">יוזמות למטופלי הרווחה + הורות צעירה  . רזרבה תקציבית 30 אלש"ח </t>
  </si>
  <si>
    <t>עבור הוצאות מנהלה</t>
  </si>
  <si>
    <t>איגום סעיפים שהיו בנחלים ובחבק"ל                200 אלש"ח מותנה</t>
  </si>
  <si>
    <t>השתלמויות מקצועיות לעובדים, העברת כלל ההשתלמויות לתקציב הון אנושי.                        50 אלש"ח מותנה בהכנסות ארנונה</t>
  </si>
  <si>
    <t xml:space="preserve">הגדלת פעילות 100% מימון </t>
  </si>
  <si>
    <t>המחלקה לגיל הרך</t>
  </si>
  <si>
    <t xml:space="preserve">השתתפות במטה עמותת פנאי העיר ע"פ הסכם מתן שירותים ,תוספת חשמל למתקנים חדשים 100 אלש"ח . רזרבה תקציבית 1,000 אלש"ח </t>
  </si>
  <si>
    <t>על פי הסכם מתן שירותים . 250 אלש"ח לפי מדיניות יו"ר העמותה</t>
  </si>
  <si>
    <t xml:space="preserve">פעילות שוטפת וקריאות מוקד לתיקונים במרחב הציבורי. 50 אלש"ח באחריות מחזיק תיק שפ"ע </t>
  </si>
  <si>
    <t>הצגות מנויים, הצגות ילדים ומופעי סל. 130 אלש"ח מותנה בהכנסות ארנונה</t>
  </si>
  <si>
    <t xml:space="preserve">פעילויות לעובדים </t>
  </si>
  <si>
    <t xml:space="preserve"> שי לחגים, יום האישה, הרמות כוסית, מסיבת חנוכה ופורים, פעילויות לגמלאים , קייטנת עובדים, ספורטיאדה, פעילות תרבות לעובדים- רזרבה תקציבית 1,000 אלש"ח </t>
  </si>
  <si>
    <t>טקס עובדים מצטיינים ופורשים + 120 אלש"ח סוכות אבלים לעובדיי עירייה , ימי גיבוש לאגפים , הכשרות ארגוניות  . חלק מהפעילויות עברו לסעיף 176600780</t>
  </si>
  <si>
    <t xml:space="preserve">ועד עובדים </t>
  </si>
  <si>
    <t xml:space="preserve"> ריכוז תקבולים ותשלומים לפי פרקי תקציב לשנת 2022- לפי אומדן</t>
  </si>
  <si>
    <t>גידול תקציב 2033 תקציב מול 2022</t>
  </si>
  <si>
    <r>
      <t xml:space="preserve">תקציב 2023 מול </t>
    </r>
    <r>
      <rPr>
        <b/>
        <u val="singleAccounting"/>
        <sz val="14"/>
        <color indexed="9"/>
        <rFont val="Arial"/>
        <family val="2"/>
        <scheme val="minor"/>
      </rPr>
      <t xml:space="preserve">אומדן </t>
    </r>
    <r>
      <rPr>
        <b/>
        <sz val="14"/>
        <color indexed="9"/>
        <rFont val="Arial"/>
        <family val="2"/>
        <scheme val="minor"/>
      </rPr>
      <t xml:space="preserve"> 2022</t>
    </r>
  </si>
  <si>
    <t>עמודה3</t>
  </si>
  <si>
    <t>עמודה4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</si>
</sst>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&quot;₪&quot;\ #,##0"/>
    <numFmt numFmtId="166" formatCode="&quot;₪&quot;\ #,##0.0"/>
    <numFmt numFmtId="167" formatCode="0.0%"/>
    <numFmt numFmtId="168" formatCode="_ &quot;¤&quot;\ * #,##0.00_ ;_ &quot;¤&quot;\ * \-#,##0.00_ ;_ &quot;¤&quot;\ * &quot;-&quot;??_ ;_ @_ "/>
    <numFmt numFmtId="169" formatCode="#,##0;\(#,##0\)"/>
    <numFmt numFmtId="170" formatCode="&quot;₪&quot;\ #,##0.00"/>
  </numFmts>
  <fonts count="14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Arial"/>
      <family val="2"/>
    </font>
    <font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4"/>
      <name val="Arial"/>
      <family val="2"/>
    </font>
    <font>
      <sz val="12"/>
      <name val="Arial"/>
      <family val="2"/>
      <charset val="177"/>
    </font>
    <font>
      <sz val="11"/>
      <name val="Arial"/>
      <family val="2"/>
    </font>
    <font>
      <b/>
      <sz val="12"/>
      <color theme="0"/>
      <name val="Arial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sz val="12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sz val="10"/>
      <name val="David"/>
      <family val="2"/>
      <charset val="177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22"/>
      <color theme="2" tint="-0.749992370372631"/>
      <name val="Gungsuh"/>
      <family val="1"/>
    </font>
    <font>
      <sz val="12"/>
      <name val="Arial"/>
      <family val="2"/>
      <scheme val="minor"/>
    </font>
    <font>
      <b/>
      <sz val="11"/>
      <name val="Arial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sz val="10"/>
      <name val="Arial"/>
      <family val="2"/>
      <scheme val="minor"/>
    </font>
    <font>
      <b/>
      <sz val="11"/>
      <color indexed="9"/>
      <name val="Arial"/>
      <family val="2"/>
      <scheme val="minor"/>
    </font>
    <font>
      <b/>
      <sz val="14"/>
      <color indexed="9"/>
      <name val="Aharoni"/>
    </font>
    <font>
      <sz val="11"/>
      <color theme="1"/>
      <name val="Aharoni"/>
    </font>
    <font>
      <sz val="12"/>
      <color theme="1"/>
      <name val="Aharoni"/>
    </font>
    <font>
      <sz val="14"/>
      <name val="Aharoni"/>
    </font>
    <font>
      <sz val="14"/>
      <color theme="1"/>
      <name val="Aharoni"/>
    </font>
    <font>
      <b/>
      <sz val="14"/>
      <name val="Aharoni"/>
    </font>
    <font>
      <sz val="16"/>
      <name val="Aharoni"/>
    </font>
    <font>
      <sz val="16"/>
      <color theme="1"/>
      <name val="Aharoni"/>
    </font>
    <font>
      <b/>
      <sz val="16"/>
      <name val="Aharoni"/>
    </font>
    <font>
      <b/>
      <sz val="16"/>
      <color theme="1"/>
      <name val="Aharoni"/>
    </font>
    <font>
      <b/>
      <sz val="16"/>
      <color indexed="9"/>
      <name val="Aharoni"/>
    </font>
    <font>
      <b/>
      <sz val="18"/>
      <color indexed="9"/>
      <name val="Aharoni"/>
    </font>
    <font>
      <b/>
      <sz val="12"/>
      <color indexed="9"/>
      <name val="Aharoni"/>
    </font>
    <font>
      <b/>
      <sz val="18"/>
      <color theme="0"/>
      <name val="Aharoni"/>
    </font>
    <font>
      <sz val="11"/>
      <color rgb="FF000000"/>
      <name val="Arial"/>
      <family val="2"/>
      <scheme val="minor"/>
    </font>
    <font>
      <sz val="11"/>
      <color theme="0"/>
      <name val="Arial"/>
      <family val="2"/>
      <scheme val="minor"/>
    </font>
    <font>
      <sz val="24"/>
      <color theme="1"/>
      <name val="Arial"/>
      <family val="2"/>
      <scheme val="minor"/>
    </font>
    <font>
      <b/>
      <sz val="24"/>
      <color indexed="17"/>
      <name val="Arial"/>
      <family val="2"/>
      <scheme val="minor"/>
    </font>
    <font>
      <b/>
      <sz val="24"/>
      <color indexed="9"/>
      <name val="Arial"/>
      <family val="2"/>
      <scheme val="minor"/>
    </font>
    <font>
      <b/>
      <sz val="24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0"/>
      <name val="Arial"/>
      <family val="2"/>
    </font>
    <font>
      <sz val="12"/>
      <color rgb="FF000000"/>
      <name val="Arial"/>
      <family val="2"/>
      <charset val="177"/>
    </font>
    <font>
      <b/>
      <sz val="16"/>
      <color indexed="9"/>
      <name val="Arial"/>
      <family val="2"/>
      <scheme val="minor"/>
    </font>
    <font>
      <sz val="10"/>
      <name val="MS Sans Serif"/>
      <family val="2"/>
      <charset val="177"/>
    </font>
    <font>
      <b/>
      <sz val="10"/>
      <name val="MS Sans Serif"/>
      <family val="2"/>
      <charset val="177"/>
    </font>
    <font>
      <sz val="10"/>
      <name val="MS Sans Serif"/>
      <charset val="177"/>
    </font>
    <font>
      <sz val="10"/>
      <color rgb="FF080000"/>
      <name val="MS Sans Serif"/>
      <family val="2"/>
      <charset val="177"/>
    </font>
    <font>
      <b/>
      <sz val="22"/>
      <color rgb="FF009900"/>
      <name val="Aharoni"/>
    </font>
    <font>
      <b/>
      <sz val="24"/>
      <color rgb="FF009900"/>
      <name val="Arial"/>
      <family val="2"/>
      <scheme val="minor"/>
    </font>
    <font>
      <b/>
      <sz val="24"/>
      <color rgb="FF009900"/>
      <name val="Aharoni"/>
    </font>
    <font>
      <b/>
      <sz val="10"/>
      <color rgb="FF009900"/>
      <name val="MS Sans Serif"/>
      <family val="2"/>
      <charset val="177"/>
    </font>
    <font>
      <sz val="10"/>
      <color rgb="FFFF0000"/>
      <name val="Arial"/>
      <family val="2"/>
    </font>
    <font>
      <sz val="11"/>
      <color indexed="8"/>
      <name val="Arial"/>
      <family val="2"/>
      <charset val="177"/>
    </font>
    <font>
      <sz val="18"/>
      <color theme="1"/>
      <name val="Arial"/>
      <family val="2"/>
      <scheme val="minor"/>
    </font>
    <font>
      <b/>
      <sz val="24"/>
      <color indexed="9"/>
      <name val="Aharoni"/>
    </font>
    <font>
      <sz val="18"/>
      <color theme="1"/>
      <name val="Arial"/>
      <family val="2"/>
      <charset val="177"/>
      <scheme val="minor"/>
    </font>
    <font>
      <sz val="18"/>
      <name val="Arial"/>
      <family val="2"/>
    </font>
    <font>
      <b/>
      <sz val="18"/>
      <name val="Arial"/>
      <family val="2"/>
      <scheme val="minor"/>
    </font>
    <font>
      <u/>
      <sz val="11"/>
      <name val="Arial"/>
      <family val="2"/>
    </font>
    <font>
      <u/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1"/>
      <color rgb="FFFF0000"/>
      <name val="Arial"/>
      <family val="2"/>
    </font>
    <font>
      <sz val="11"/>
      <color rgb="FFFF000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u/>
      <sz val="14"/>
      <color rgb="FFFF0000"/>
      <name val="Arial"/>
      <family val="2"/>
      <scheme val="minor"/>
    </font>
    <font>
      <u/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1"/>
      <color rgb="FF1F497D"/>
      <name val="Arial"/>
      <family val="2"/>
    </font>
    <font>
      <sz val="11"/>
      <color theme="1"/>
      <name val="Arial"/>
      <family val="2"/>
    </font>
    <font>
      <sz val="11"/>
      <color rgb="FF1F497D"/>
      <name val="Calibri"/>
      <family val="2"/>
    </font>
    <font>
      <b/>
      <sz val="12"/>
      <color rgb="FF002060"/>
      <name val="Arial"/>
      <family val="2"/>
    </font>
    <font>
      <b/>
      <u/>
      <sz val="20"/>
      <color theme="1"/>
      <name val="Arial"/>
      <family val="2"/>
      <scheme val="minor"/>
    </font>
    <font>
      <b/>
      <sz val="12"/>
      <color indexed="9"/>
      <name val="Arial"/>
      <family val="2"/>
      <charset val="177"/>
    </font>
    <font>
      <sz val="12"/>
      <color theme="1"/>
      <name val="Arial"/>
      <family val="2"/>
      <charset val="177"/>
    </font>
    <font>
      <sz val="12"/>
      <color rgb="FFFF0000"/>
      <name val="Arial"/>
      <family val="2"/>
      <charset val="177"/>
    </font>
    <font>
      <b/>
      <sz val="12"/>
      <name val="Arial"/>
      <family val="2"/>
      <charset val="177"/>
    </font>
    <font>
      <b/>
      <sz val="12"/>
      <color theme="1"/>
      <name val="Arial"/>
      <family val="2"/>
      <scheme val="minor"/>
    </font>
    <font>
      <sz val="12"/>
      <color indexed="9"/>
      <name val="Arial"/>
      <family val="2"/>
      <charset val="177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b/>
      <sz val="12"/>
      <color theme="3" tint="0.39997558519241921"/>
      <name val="Arial"/>
      <family val="2"/>
    </font>
    <font>
      <sz val="12"/>
      <name val="Arial"/>
      <family val="2"/>
      <charset val="177"/>
      <scheme val="minor"/>
    </font>
    <font>
      <b/>
      <u/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theme="1"/>
      <name val="David"/>
      <family val="2"/>
    </font>
    <font>
      <sz val="14"/>
      <color theme="1"/>
      <name val="Arial"/>
      <family val="2"/>
      <charset val="177"/>
      <scheme val="minor"/>
    </font>
    <font>
      <b/>
      <sz val="22"/>
      <color rgb="FF009900"/>
      <name val="David"/>
      <family val="2"/>
    </font>
    <font>
      <b/>
      <sz val="14"/>
      <name val="David"/>
      <family val="2"/>
    </font>
    <font>
      <b/>
      <sz val="10"/>
      <name val="David"/>
      <family val="2"/>
    </font>
    <font>
      <b/>
      <sz val="18"/>
      <color indexed="9"/>
      <name val="David"/>
      <family val="2"/>
    </font>
    <font>
      <b/>
      <sz val="16"/>
      <color indexed="9"/>
      <name val="David"/>
      <family val="2"/>
    </font>
    <font>
      <b/>
      <sz val="11"/>
      <color theme="1"/>
      <name val="David"/>
      <family val="2"/>
    </font>
    <font>
      <b/>
      <sz val="12"/>
      <name val="David"/>
      <family val="2"/>
    </font>
    <font>
      <b/>
      <u/>
      <sz val="11"/>
      <color theme="1"/>
      <name val="David"/>
      <family val="2"/>
    </font>
    <font>
      <b/>
      <u/>
      <sz val="10"/>
      <color rgb="FFFF0000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Segoe UI"/>
      <family val="2"/>
    </font>
    <font>
      <sz val="12"/>
      <color theme="1"/>
      <name val="Segoe UI"/>
      <family val="2"/>
    </font>
    <font>
      <b/>
      <sz val="12"/>
      <color indexed="9"/>
      <name val="Arial"/>
      <family val="2"/>
      <scheme val="minor"/>
    </font>
    <font>
      <b/>
      <sz val="10"/>
      <color rgb="FFFF0000"/>
      <name val="MS Sans Serif"/>
      <family val="2"/>
      <charset val="177"/>
    </font>
    <font>
      <b/>
      <sz val="22"/>
      <color rgb="FFB87B00"/>
      <name val="Aharoni"/>
    </font>
    <font>
      <b/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indexed="9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2"/>
      <name val="Arial (Hebrew)"/>
      <family val="2"/>
      <charset val="177"/>
    </font>
    <font>
      <b/>
      <sz val="16"/>
      <color indexed="9"/>
      <name val="Arial"/>
      <scheme val="minor"/>
    </font>
    <font>
      <b/>
      <sz val="14"/>
      <color indexed="9"/>
      <name val="Arial"/>
      <scheme val="minor"/>
    </font>
    <font>
      <b/>
      <sz val="14"/>
      <color indexed="9"/>
      <name val="Arial"/>
      <family val="2"/>
      <scheme val="minor"/>
    </font>
    <font>
      <b/>
      <u val="singleAccounting"/>
      <sz val="14"/>
      <color indexed="9"/>
      <name val="Arial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4E1F5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indexed="5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/>
      <right/>
      <top style="thin">
        <color indexed="9"/>
      </top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62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3" fillId="0" borderId="0"/>
    <xf numFmtId="0" fontId="16" fillId="0" borderId="0"/>
    <xf numFmtId="43" fontId="13" fillId="0" borderId="0" applyFont="0" applyFill="0" applyBorder="0" applyAlignment="0" applyProtection="0"/>
    <xf numFmtId="0" fontId="18" fillId="0" borderId="0"/>
    <xf numFmtId="0" fontId="13" fillId="0" borderId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30" fillId="10" borderId="22" applyNumberFormat="0" applyAlignment="0" applyProtection="0"/>
    <xf numFmtId="0" fontId="31" fillId="11" borderId="23" applyNumberFormat="0" applyAlignment="0" applyProtection="0"/>
    <xf numFmtId="0" fontId="32" fillId="11" borderId="22" applyNumberFormat="0" applyAlignment="0" applyProtection="0"/>
    <xf numFmtId="0" fontId="33" fillId="0" borderId="24" applyNumberFormat="0" applyFill="0" applyAlignment="0" applyProtection="0"/>
    <xf numFmtId="0" fontId="34" fillId="12" borderId="25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" fillId="37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3" borderId="26" applyNumberFormat="0" applyFont="0" applyAlignment="0" applyProtection="0"/>
    <xf numFmtId="0" fontId="3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26" applyNumberFormat="0" applyFont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3" borderId="26" applyNumberFormat="0" applyFont="0" applyAlignment="0" applyProtection="0"/>
    <xf numFmtId="0" fontId="19" fillId="13" borderId="2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0" fontId="13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3" borderId="26" applyNumberFormat="0" applyFont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5" fillId="0" borderId="0" applyNumberFormat="0" applyFill="0" applyBorder="0" applyAlignment="0" applyProtection="0"/>
    <xf numFmtId="0" fontId="13" fillId="0" borderId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3" fillId="69" borderId="60"/>
    <xf numFmtId="169" fontId="13" fillId="70" borderId="61">
      <protection locked="0"/>
    </xf>
    <xf numFmtId="0" fontId="4" fillId="71" borderId="0">
      <alignment horizontal="right" vertical="center" readingOrder="2"/>
    </xf>
    <xf numFmtId="0" fontId="139" fillId="72" borderId="62">
      <alignment horizontal="center" vertical="center" wrapText="1"/>
      <protection hidden="1"/>
    </xf>
    <xf numFmtId="0" fontId="4" fillId="71" borderId="63">
      <alignment horizontal="right" vertical="center" readingOrder="2"/>
    </xf>
    <xf numFmtId="0" fontId="140" fillId="71" borderId="63" applyBorder="0">
      <alignment horizontal="right" vertical="center"/>
    </xf>
    <xf numFmtId="0" fontId="141" fillId="71" borderId="63">
      <alignment horizontal="right" vertical="center" wrapText="1"/>
    </xf>
    <xf numFmtId="0" fontId="138" fillId="73" borderId="64">
      <alignment horizontal="center" vertical="center"/>
      <protection hidden="1"/>
    </xf>
    <xf numFmtId="0" fontId="1" fillId="0" borderId="0"/>
    <xf numFmtId="0" fontId="39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169" fontId="13" fillId="74" borderId="65"/>
    <xf numFmtId="0" fontId="38" fillId="0" borderId="0" applyNumberFormat="0" applyFill="0" applyBorder="0" applyAlignment="0" applyProtection="0"/>
    <xf numFmtId="0" fontId="95" fillId="0" borderId="0" applyNumberFormat="0" applyFill="0" applyBorder="0" applyAlignment="0" applyProtection="0"/>
  </cellStyleXfs>
  <cellXfs count="1147">
    <xf numFmtId="0" fontId="0" fillId="0" borderId="0" xfId="0"/>
    <xf numFmtId="0" fontId="4" fillId="0" borderId="4" xfId="3" applyFont="1" applyBorder="1" applyAlignment="1">
      <alignment readingOrder="1"/>
    </xf>
    <xf numFmtId="0" fontId="7" fillId="0" borderId="4" xfId="3" applyFont="1" applyBorder="1" applyAlignment="1">
      <alignment readingOrder="1"/>
    </xf>
    <xf numFmtId="164" fontId="4" fillId="0" borderId="4" xfId="2" applyNumberFormat="1" applyFont="1" applyBorder="1" applyAlignment="1">
      <alignment readingOrder="1"/>
    </xf>
    <xf numFmtId="164" fontId="0" fillId="0" borderId="4" xfId="1" applyNumberFormat="1" applyFont="1" applyBorder="1"/>
    <xf numFmtId="43" fontId="0" fillId="0" borderId="4" xfId="1" applyFont="1" applyBorder="1"/>
    <xf numFmtId="41" fontId="4" fillId="0" borderId="4" xfId="3" applyNumberFormat="1" applyFont="1" applyBorder="1" applyAlignment="1">
      <alignment readingOrder="1"/>
    </xf>
    <xf numFmtId="164" fontId="4" fillId="0" borderId="4" xfId="3" applyNumberFormat="1" applyFont="1" applyBorder="1" applyAlignment="1">
      <alignment readingOrder="1"/>
    </xf>
    <xf numFmtId="0" fontId="0" fillId="0" borderId="0" xfId="0" applyFill="1"/>
    <xf numFmtId="41" fontId="10" fillId="0" borderId="4" xfId="2" applyNumberFormat="1" applyFont="1" applyFill="1" applyBorder="1"/>
    <xf numFmtId="0" fontId="14" fillId="5" borderId="0" xfId="9" applyFont="1" applyFill="1" applyAlignment="1">
      <alignment horizontal="right"/>
    </xf>
    <xf numFmtId="0" fontId="13" fillId="0" borderId="0" xfId="9" applyAlignment="1">
      <alignment horizontal="right"/>
    </xf>
    <xf numFmtId="14" fontId="13" fillId="0" borderId="0" xfId="9" applyNumberFormat="1" applyAlignment="1">
      <alignment horizontal="right"/>
    </xf>
    <xf numFmtId="165" fontId="13" fillId="0" borderId="0" xfId="8" applyNumberFormat="1" applyFont="1" applyAlignment="1">
      <alignment horizontal="right"/>
    </xf>
    <xf numFmtId="166" fontId="13" fillId="0" borderId="0" xfId="8" applyNumberFormat="1" applyFont="1" applyAlignment="1">
      <alignment horizontal="right"/>
    </xf>
    <xf numFmtId="165" fontId="14" fillId="5" borderId="0" xfId="9" applyNumberFormat="1" applyFont="1" applyFill="1" applyAlignment="1">
      <alignment horizontal="right"/>
    </xf>
    <xf numFmtId="0" fontId="14" fillId="0" borderId="0" xfId="9" applyFont="1" applyFill="1" applyAlignment="1">
      <alignment horizontal="right"/>
    </xf>
    <xf numFmtId="0" fontId="15" fillId="5" borderId="0" xfId="9" applyFont="1" applyFill="1" applyAlignment="1">
      <alignment horizontal="right"/>
    </xf>
    <xf numFmtId="14" fontId="14" fillId="5" borderId="0" xfId="9" applyNumberFormat="1" applyFont="1" applyFill="1" applyAlignment="1">
      <alignment horizontal="right"/>
    </xf>
    <xf numFmtId="165" fontId="14" fillId="5" borderId="0" xfId="8" applyNumberFormat="1" applyFont="1" applyFill="1" applyAlignment="1">
      <alignment horizontal="right"/>
    </xf>
    <xf numFmtId="166" fontId="14" fillId="5" borderId="0" xfId="8" applyNumberFormat="1" applyFont="1" applyFill="1" applyAlignment="1">
      <alignment horizontal="right"/>
    </xf>
    <xf numFmtId="0" fontId="14" fillId="4" borderId="0" xfId="9" applyFont="1" applyFill="1" applyAlignment="1">
      <alignment horizontal="right"/>
    </xf>
    <xf numFmtId="0" fontId="8" fillId="0" borderId="0" xfId="4" applyFont="1" applyFill="1" applyBorder="1"/>
    <xf numFmtId="0" fontId="8" fillId="0" borderId="0" xfId="4" applyFont="1" applyBorder="1"/>
    <xf numFmtId="41" fontId="8" fillId="0" borderId="0" xfId="2" applyNumberFormat="1" applyFont="1" applyFill="1" applyBorder="1"/>
    <xf numFmtId="41" fontId="8" fillId="0" borderId="0" xfId="2" applyNumberFormat="1" applyFont="1" applyBorder="1" applyAlignment="1">
      <alignment horizontal="right" wrapText="1"/>
    </xf>
    <xf numFmtId="164" fontId="0" fillId="0" borderId="0" xfId="0" applyNumberFormat="1"/>
    <xf numFmtId="43" fontId="19" fillId="0" borderId="0" xfId="1" applyFont="1"/>
    <xf numFmtId="0" fontId="19" fillId="0" borderId="0" xfId="0" applyFont="1"/>
    <xf numFmtId="0" fontId="0" fillId="0" borderId="0" xfId="0" applyAlignment="1">
      <alignment horizontal="right"/>
    </xf>
    <xf numFmtId="43" fontId="0" fillId="0" borderId="0" xfId="0" applyNumberFormat="1"/>
    <xf numFmtId="0" fontId="3" fillId="0" borderId="0" xfId="10"/>
    <xf numFmtId="43" fontId="3" fillId="0" borderId="0" xfId="1" applyFont="1"/>
    <xf numFmtId="0" fontId="21" fillId="0" borderId="0" xfId="10" applyFont="1" applyFill="1" applyAlignment="1">
      <alignment horizontal="center"/>
    </xf>
    <xf numFmtId="0" fontId="3" fillId="0" borderId="0" xfId="10" applyFont="1"/>
    <xf numFmtId="164" fontId="3" fillId="0" borderId="0" xfId="10" applyNumberFormat="1"/>
    <xf numFmtId="43" fontId="3" fillId="0" borderId="0" xfId="10" applyNumberFormat="1" applyFont="1"/>
    <xf numFmtId="43" fontId="3" fillId="0" borderId="0" xfId="10" applyNumberFormat="1"/>
    <xf numFmtId="9" fontId="3" fillId="0" borderId="0" xfId="7" applyFont="1"/>
    <xf numFmtId="0" fontId="19" fillId="0" borderId="0" xfId="0" applyFont="1" applyAlignment="1">
      <alignment horizontal="right"/>
    </xf>
    <xf numFmtId="0" fontId="0" fillId="0" borderId="0" xfId="0" applyAlignment="1">
      <alignment wrapText="1"/>
    </xf>
    <xf numFmtId="164" fontId="0" fillId="0" borderId="0" xfId="1" applyNumberFormat="1" applyFont="1"/>
    <xf numFmtId="164" fontId="6" fillId="0" borderId="4" xfId="1" applyNumberFormat="1" applyFont="1" applyFill="1" applyBorder="1" applyAlignment="1">
      <alignment horizontal="right" readingOrder="2"/>
    </xf>
    <xf numFmtId="0" fontId="0" fillId="0" borderId="0" xfId="0"/>
    <xf numFmtId="10" fontId="3" fillId="0" borderId="0" xfId="7" applyNumberFormat="1" applyFont="1"/>
    <xf numFmtId="164" fontId="6" fillId="0" borderId="4" xfId="1" applyNumberFormat="1" applyFont="1" applyFill="1" applyBorder="1" applyAlignment="1">
      <alignment horizontal="right" wrapText="1" readingOrder="2"/>
    </xf>
    <xf numFmtId="164" fontId="51" fillId="39" borderId="35" xfId="6" applyNumberFormat="1" applyFont="1" applyFill="1" applyBorder="1" applyAlignment="1">
      <alignment horizontal="right"/>
    </xf>
    <xf numFmtId="0" fontId="43" fillId="5" borderId="13" xfId="0" applyFont="1" applyFill="1" applyBorder="1" applyAlignment="1">
      <alignment horizontal="right"/>
    </xf>
    <xf numFmtId="164" fontId="47" fillId="5" borderId="4" xfId="12" applyNumberFormat="1" applyFont="1" applyFill="1" applyBorder="1" applyAlignment="1">
      <alignment horizontal="right" readingOrder="1"/>
    </xf>
    <xf numFmtId="164" fontId="47" fillId="5" borderId="14" xfId="12" applyNumberFormat="1" applyFont="1" applyFill="1" applyBorder="1" applyAlignment="1">
      <alignment horizontal="right" readingOrder="1"/>
    </xf>
    <xf numFmtId="0" fontId="44" fillId="5" borderId="4" xfId="14" applyFont="1" applyFill="1" applyBorder="1" applyAlignment="1">
      <alignment horizontal="right"/>
    </xf>
    <xf numFmtId="0" fontId="44" fillId="5" borderId="3" xfId="14" applyFont="1" applyFill="1" applyBorder="1" applyAlignment="1"/>
    <xf numFmtId="164" fontId="44" fillId="5" borderId="4" xfId="6" applyNumberFormat="1" applyFont="1" applyFill="1" applyBorder="1" applyAlignment="1"/>
    <xf numFmtId="164" fontId="51" fillId="39" borderId="34" xfId="6" applyNumberFormat="1" applyFont="1" applyFill="1" applyBorder="1" applyAlignment="1">
      <alignment horizontal="right"/>
    </xf>
    <xf numFmtId="1" fontId="46" fillId="5" borderId="13" xfId="0" applyNumberFormat="1" applyFont="1" applyFill="1" applyBorder="1" applyAlignment="1">
      <alignment horizontal="right"/>
    </xf>
    <xf numFmtId="0" fontId="45" fillId="5" borderId="4" xfId="0" applyFont="1" applyFill="1" applyBorder="1"/>
    <xf numFmtId="164" fontId="45" fillId="5" borderId="4" xfId="1" applyNumberFormat="1" applyFont="1" applyFill="1" applyBorder="1"/>
    <xf numFmtId="164" fontId="45" fillId="5" borderId="14" xfId="1" applyNumberFormat="1" applyFont="1" applyFill="1" applyBorder="1"/>
    <xf numFmtId="164" fontId="6" fillId="0" borderId="4" xfId="1" applyNumberFormat="1" applyFont="1" applyFill="1" applyBorder="1"/>
    <xf numFmtId="164" fontId="19" fillId="0" borderId="4" xfId="1" applyNumberFormat="1" applyFont="1" applyFill="1" applyBorder="1"/>
    <xf numFmtId="164" fontId="20" fillId="3" borderId="4" xfId="2" applyNumberFormat="1" applyFont="1" applyFill="1" applyBorder="1" applyAlignment="1">
      <alignment readingOrder="1"/>
    </xf>
    <xf numFmtId="0" fontId="6" fillId="0" borderId="4" xfId="3" applyFont="1" applyBorder="1" applyAlignment="1">
      <alignment readingOrder="1"/>
    </xf>
    <xf numFmtId="164" fontId="6" fillId="0" borderId="4" xfId="2" applyNumberFormat="1" applyFont="1" applyFill="1" applyBorder="1" applyAlignment="1">
      <alignment readingOrder="1"/>
    </xf>
    <xf numFmtId="164" fontId="6" fillId="0" borderId="4" xfId="1" applyNumberFormat="1" applyFont="1" applyFill="1" applyBorder="1" applyAlignment="1">
      <alignment readingOrder="1"/>
    </xf>
    <xf numFmtId="0" fontId="6" fillId="0" borderId="4" xfId="3" applyFont="1" applyFill="1" applyBorder="1" applyAlignment="1">
      <alignment wrapText="1" readingOrder="1"/>
    </xf>
    <xf numFmtId="0" fontId="56" fillId="0" borderId="4" xfId="3" applyFont="1" applyFill="1" applyBorder="1" applyAlignment="1">
      <alignment readingOrder="1"/>
    </xf>
    <xf numFmtId="0" fontId="40" fillId="2" borderId="4" xfId="3" applyFont="1" applyFill="1" applyBorder="1" applyAlignment="1">
      <alignment readingOrder="1"/>
    </xf>
    <xf numFmtId="41" fontId="9" fillId="0" borderId="4" xfId="2" applyNumberFormat="1" applyFont="1" applyFill="1" applyBorder="1"/>
    <xf numFmtId="0" fontId="23" fillId="3" borderId="4" xfId="4" applyFont="1" applyFill="1" applyBorder="1"/>
    <xf numFmtId="41" fontId="23" fillId="3" borderId="4" xfId="2" applyNumberFormat="1" applyFont="1" applyFill="1" applyBorder="1"/>
    <xf numFmtId="41" fontId="23" fillId="3" borderId="4" xfId="4" applyNumberFormat="1" applyFont="1" applyFill="1" applyBorder="1"/>
    <xf numFmtId="41" fontId="9" fillId="0" borderId="4" xfId="4" applyNumberFormat="1" applyFont="1" applyFill="1" applyBorder="1"/>
    <xf numFmtId="0" fontId="57" fillId="0" borderId="0" xfId="0" applyFont="1"/>
    <xf numFmtId="164" fontId="57" fillId="0" borderId="0" xfId="0" applyNumberFormat="1" applyFont="1"/>
    <xf numFmtId="0" fontId="58" fillId="0" borderId="0" xfId="3" applyFont="1" applyFill="1" applyAlignment="1">
      <alignment horizontal="center"/>
    </xf>
    <xf numFmtId="0" fontId="57" fillId="0" borderId="8" xfId="14" applyNumberFormat="1" applyFont="1" applyFill="1" applyBorder="1" applyAlignment="1">
      <alignment horizontal="center"/>
    </xf>
    <xf numFmtId="0" fontId="57" fillId="0" borderId="7" xfId="14" applyNumberFormat="1" applyFont="1" applyFill="1" applyBorder="1" applyAlignment="1">
      <alignment horizontal="right"/>
    </xf>
    <xf numFmtId="0" fontId="57" fillId="0" borderId="7" xfId="14" applyNumberFormat="1" applyFont="1" applyFill="1" applyBorder="1" applyAlignment="1">
      <alignment horizontal="center"/>
    </xf>
    <xf numFmtId="0" fontId="57" fillId="0" borderId="9" xfId="14" applyNumberFormat="1" applyFont="1" applyFill="1" applyBorder="1" applyAlignment="1">
      <alignment horizontal="center"/>
    </xf>
    <xf numFmtId="0" fontId="57" fillId="0" borderId="10" xfId="14" applyNumberFormat="1" applyFont="1" applyFill="1" applyBorder="1" applyAlignment="1">
      <alignment horizontal="center"/>
    </xf>
    <xf numFmtId="0" fontId="57" fillId="0" borderId="11" xfId="14" applyNumberFormat="1" applyFont="1" applyFill="1" applyBorder="1" applyAlignment="1">
      <alignment horizontal="right"/>
    </xf>
    <xf numFmtId="164" fontId="57" fillId="0" borderId="11" xfId="1" applyNumberFormat="1" applyFont="1" applyFill="1" applyBorder="1" applyAlignment="1">
      <alignment horizontal="center"/>
    </xf>
    <xf numFmtId="164" fontId="57" fillId="0" borderId="12" xfId="1" applyNumberFormat="1" applyFont="1" applyFill="1" applyBorder="1" applyAlignment="1">
      <alignment horizontal="center"/>
    </xf>
    <xf numFmtId="0" fontId="57" fillId="0" borderId="13" xfId="14" applyNumberFormat="1" applyFont="1" applyFill="1" applyBorder="1" applyAlignment="1">
      <alignment horizontal="center"/>
    </xf>
    <xf numFmtId="0" fontId="57" fillId="0" borderId="4" xfId="14" applyNumberFormat="1" applyFont="1" applyFill="1" applyBorder="1" applyAlignment="1">
      <alignment horizontal="right"/>
    </xf>
    <xf numFmtId="164" fontId="57" fillId="0" borderId="4" xfId="1" applyNumberFormat="1" applyFont="1" applyFill="1" applyBorder="1" applyAlignment="1">
      <alignment horizontal="center"/>
    </xf>
    <xf numFmtId="164" fontId="57" fillId="0" borderId="14" xfId="1" applyNumberFormat="1" applyFont="1" applyFill="1" applyBorder="1" applyAlignment="1">
      <alignment horizontal="center"/>
    </xf>
    <xf numFmtId="0" fontId="57" fillId="0" borderId="11" xfId="14" applyNumberFormat="1" applyFont="1" applyFill="1" applyBorder="1" applyAlignment="1">
      <alignment horizontal="center"/>
    </xf>
    <xf numFmtId="164" fontId="55" fillId="0" borderId="4" xfId="1" applyNumberFormat="1" applyFont="1" applyFill="1" applyBorder="1"/>
    <xf numFmtId="0" fontId="61" fillId="40" borderId="4" xfId="0" applyFont="1" applyFill="1" applyBorder="1" applyAlignment="1">
      <alignment wrapText="1"/>
    </xf>
    <xf numFmtId="43" fontId="61" fillId="40" borderId="4" xfId="1" applyFont="1" applyFill="1" applyBorder="1" applyAlignment="1">
      <alignment wrapText="1"/>
    </xf>
    <xf numFmtId="164" fontId="6" fillId="0" borderId="4" xfId="1" applyNumberFormat="1" applyFont="1" applyFill="1" applyBorder="1" applyAlignment="1">
      <alignment horizontal="right"/>
    </xf>
    <xf numFmtId="164" fontId="20" fillId="3" borderId="4" xfId="1" applyNumberFormat="1" applyFont="1" applyFill="1" applyBorder="1" applyAlignment="1">
      <alignment horizontal="right" readingOrder="1"/>
    </xf>
    <xf numFmtId="164" fontId="6" fillId="0" borderId="4" xfId="1" applyNumberFormat="1" applyFont="1" applyFill="1" applyBorder="1" applyAlignment="1">
      <alignment horizontal="right" wrapText="1"/>
    </xf>
    <xf numFmtId="164" fontId="6" fillId="0" borderId="4" xfId="1" applyNumberFormat="1" applyFont="1" applyBorder="1" applyAlignment="1">
      <alignment horizontal="right"/>
    </xf>
    <xf numFmtId="164" fontId="20" fillId="2" borderId="4" xfId="1" applyNumberFormat="1" applyFont="1" applyFill="1" applyBorder="1" applyAlignment="1">
      <alignment horizontal="right" readingOrder="1"/>
    </xf>
    <xf numFmtId="164" fontId="5" fillId="0" borderId="4" xfId="1" applyNumberFormat="1" applyFont="1" applyBorder="1" applyAlignment="1">
      <alignment horizontal="right"/>
    </xf>
    <xf numFmtId="164" fontId="0" fillId="0" borderId="0" xfId="1" applyNumberFormat="1" applyFont="1" applyAlignment="1">
      <alignment horizontal="right"/>
    </xf>
    <xf numFmtId="164" fontId="40" fillId="0" borderId="4" xfId="1" applyNumberFormat="1" applyFont="1" applyFill="1" applyBorder="1" applyAlignment="1">
      <alignment readingOrder="1"/>
    </xf>
    <xf numFmtId="164" fontId="63" fillId="41" borderId="4" xfId="1" applyNumberFormat="1" applyFont="1" applyFill="1" applyBorder="1" applyAlignment="1">
      <alignment readingOrder="1"/>
    </xf>
    <xf numFmtId="164" fontId="7" fillId="5" borderId="4" xfId="1" applyNumberFormat="1" applyFont="1" applyFill="1" applyBorder="1" applyAlignment="1">
      <alignment readingOrder="1"/>
    </xf>
    <xf numFmtId="164" fontId="65" fillId="42" borderId="31" xfId="1" applyNumberFormat="1" applyFont="1" applyFill="1" applyBorder="1" applyAlignment="1">
      <alignment horizontal="center" wrapText="1"/>
    </xf>
    <xf numFmtId="164" fontId="65" fillId="42" borderId="5" xfId="1" applyNumberFormat="1" applyFont="1" applyFill="1" applyBorder="1" applyAlignment="1">
      <alignment horizontal="right"/>
    </xf>
    <xf numFmtId="164" fontId="65" fillId="42" borderId="5" xfId="1" applyNumberFormat="1" applyFont="1" applyFill="1" applyBorder="1" applyAlignment="1">
      <alignment horizontal="center" wrapText="1"/>
    </xf>
    <xf numFmtId="0" fontId="16" fillId="0" borderId="0" xfId="11"/>
    <xf numFmtId="0" fontId="16" fillId="5" borderId="0" xfId="11" applyFill="1"/>
    <xf numFmtId="49" fontId="66" fillId="5" borderId="7" xfId="11" applyNumberFormat="1" applyFont="1" applyFill="1" applyBorder="1" applyAlignment="1">
      <alignment horizontal="right"/>
    </xf>
    <xf numFmtId="0" fontId="66" fillId="5" borderId="7" xfId="11" applyFont="1" applyFill="1" applyBorder="1" applyAlignment="1">
      <alignment horizontal="right"/>
    </xf>
    <xf numFmtId="14" fontId="66" fillId="5" borderId="7" xfId="11" applyNumberFormat="1" applyFont="1" applyFill="1" applyBorder="1" applyAlignment="1">
      <alignment horizontal="right"/>
    </xf>
    <xf numFmtId="49" fontId="66" fillId="5" borderId="4" xfId="11" applyNumberFormat="1" applyFont="1" applyFill="1" applyBorder="1" applyAlignment="1">
      <alignment horizontal="right"/>
    </xf>
    <xf numFmtId="0" fontId="66" fillId="5" borderId="4" xfId="11" applyFont="1" applyFill="1" applyBorder="1" applyAlignment="1">
      <alignment horizontal="right"/>
    </xf>
    <xf numFmtId="14" fontId="66" fillId="5" borderId="4" xfId="11" applyNumberFormat="1" applyFont="1" applyFill="1" applyBorder="1" applyAlignment="1">
      <alignment horizontal="right"/>
    </xf>
    <xf numFmtId="49" fontId="66" fillId="0" borderId="4" xfId="11" applyNumberFormat="1" applyFont="1" applyBorder="1" applyAlignment="1">
      <alignment horizontal="right"/>
    </xf>
    <xf numFmtId="0" fontId="66" fillId="0" borderId="4" xfId="11" applyFont="1" applyBorder="1" applyAlignment="1">
      <alignment horizontal="right"/>
    </xf>
    <xf numFmtId="14" fontId="66" fillId="0" borderId="4" xfId="11" applyNumberFormat="1" applyFont="1" applyBorder="1" applyAlignment="1">
      <alignment horizontal="right"/>
    </xf>
    <xf numFmtId="0" fontId="16" fillId="0" borderId="0" xfId="11" applyFill="1"/>
    <xf numFmtId="49" fontId="68" fillId="5" borderId="4" xfId="11" applyNumberFormat="1" applyFont="1" applyFill="1" applyBorder="1" applyAlignment="1">
      <alignment horizontal="right"/>
    </xf>
    <xf numFmtId="49" fontId="66" fillId="5" borderId="4" xfId="11" applyNumberFormat="1" applyFont="1" applyFill="1" applyBorder="1" applyAlignment="1">
      <alignment horizontal="center"/>
    </xf>
    <xf numFmtId="0" fontId="69" fillId="0" borderId="4" xfId="11" applyFont="1" applyBorder="1" applyAlignment="1">
      <alignment horizontal="right"/>
    </xf>
    <xf numFmtId="14" fontId="69" fillId="0" borderId="4" xfId="11" applyNumberFormat="1" applyFont="1" applyBorder="1" applyAlignment="1">
      <alignment horizontal="right"/>
    </xf>
    <xf numFmtId="0" fontId="69" fillId="0" borderId="0" xfId="11" applyFont="1" applyAlignment="1">
      <alignment horizontal="right"/>
    </xf>
    <xf numFmtId="41" fontId="57" fillId="0" borderId="0" xfId="0" applyNumberFormat="1" applyFont="1"/>
    <xf numFmtId="164" fontId="53" fillId="43" borderId="29" xfId="6" applyNumberFormat="1" applyFont="1" applyFill="1" applyBorder="1" applyAlignment="1">
      <alignment horizontal="right"/>
    </xf>
    <xf numFmtId="164" fontId="51" fillId="43" borderId="28" xfId="6" applyNumberFormat="1" applyFont="1" applyFill="1" applyBorder="1" applyAlignment="1">
      <alignment horizontal="center"/>
    </xf>
    <xf numFmtId="164" fontId="51" fillId="43" borderId="30" xfId="6" applyNumberFormat="1" applyFont="1" applyFill="1" applyBorder="1" applyAlignment="1">
      <alignment horizontal="center"/>
    </xf>
    <xf numFmtId="164" fontId="53" fillId="43" borderId="28" xfId="6" applyNumberFormat="1" applyFont="1" applyFill="1" applyBorder="1" applyAlignment="1">
      <alignment horizontal="right" wrapText="1"/>
    </xf>
    <xf numFmtId="164" fontId="41" fillId="43" borderId="29" xfId="6" applyNumberFormat="1" applyFont="1" applyFill="1" applyBorder="1" applyAlignment="1">
      <alignment horizontal="right"/>
    </xf>
    <xf numFmtId="164" fontId="52" fillId="43" borderId="28" xfId="6" applyNumberFormat="1" applyFont="1" applyFill="1" applyBorder="1" applyAlignment="1">
      <alignment horizontal="right"/>
    </xf>
    <xf numFmtId="164" fontId="52" fillId="43" borderId="30" xfId="6" applyNumberFormat="1" applyFont="1" applyFill="1" applyBorder="1" applyAlignment="1">
      <alignment horizontal="right"/>
    </xf>
    <xf numFmtId="164" fontId="52" fillId="43" borderId="28" xfId="6" applyNumberFormat="1" applyFont="1" applyFill="1" applyBorder="1" applyAlignment="1">
      <alignment horizontal="right" wrapText="1"/>
    </xf>
    <xf numFmtId="164" fontId="53" fillId="43" borderId="35" xfId="6" applyNumberFormat="1" applyFont="1" applyFill="1" applyBorder="1" applyAlignment="1">
      <alignment horizontal="right"/>
    </xf>
    <xf numFmtId="164" fontId="51" fillId="43" borderId="34" xfId="6" applyNumberFormat="1" applyFont="1" applyFill="1" applyBorder="1" applyAlignment="1">
      <alignment horizontal="center"/>
    </xf>
    <xf numFmtId="164" fontId="51" fillId="43" borderId="36" xfId="6" applyNumberFormat="1" applyFont="1" applyFill="1" applyBorder="1" applyAlignment="1">
      <alignment horizontal="center"/>
    </xf>
    <xf numFmtId="164" fontId="49" fillId="38" borderId="13" xfId="12" applyNumberFormat="1" applyFont="1" applyFill="1" applyBorder="1" applyAlignment="1">
      <alignment horizontal="right" readingOrder="1"/>
    </xf>
    <xf numFmtId="164" fontId="47" fillId="38" borderId="4" xfId="12" applyNumberFormat="1" applyFont="1" applyFill="1" applyBorder="1" applyAlignment="1">
      <alignment horizontal="left" readingOrder="1"/>
    </xf>
    <xf numFmtId="164" fontId="47" fillId="38" borderId="4" xfId="6" applyNumberFormat="1" applyFont="1" applyFill="1" applyBorder="1" applyAlignment="1">
      <alignment horizontal="left" readingOrder="1"/>
    </xf>
    <xf numFmtId="164" fontId="47" fillId="38" borderId="14" xfId="13" applyNumberFormat="1" applyFont="1" applyFill="1" applyBorder="1" applyAlignment="1">
      <alignment horizontal="left" readingOrder="1"/>
    </xf>
    <xf numFmtId="164" fontId="46" fillId="44" borderId="13" xfId="12" applyNumberFormat="1" applyFont="1" applyFill="1" applyBorder="1" applyAlignment="1">
      <alignment horizontal="right" readingOrder="1"/>
    </xf>
    <xf numFmtId="164" fontId="49" fillId="44" borderId="4" xfId="12" applyNumberFormat="1" applyFont="1" applyFill="1" applyBorder="1" applyAlignment="1">
      <alignment horizontal="left" readingOrder="1"/>
    </xf>
    <xf numFmtId="164" fontId="49" fillId="44" borderId="4" xfId="6" applyNumberFormat="1" applyFont="1" applyFill="1" applyBorder="1" applyAlignment="1">
      <alignment horizontal="left" readingOrder="1"/>
    </xf>
    <xf numFmtId="164" fontId="49" fillId="44" borderId="14" xfId="13" applyNumberFormat="1" applyFont="1" applyFill="1" applyBorder="1" applyAlignment="1">
      <alignment horizontal="left" readingOrder="1"/>
    </xf>
    <xf numFmtId="164" fontId="17" fillId="44" borderId="13" xfId="12" applyNumberFormat="1" applyFont="1" applyFill="1" applyBorder="1" applyAlignment="1">
      <alignment horizontal="right" readingOrder="1"/>
    </xf>
    <xf numFmtId="164" fontId="22" fillId="44" borderId="4" xfId="12" applyNumberFormat="1" applyFont="1" applyFill="1" applyBorder="1" applyAlignment="1">
      <alignment horizontal="left" readingOrder="1"/>
    </xf>
    <xf numFmtId="164" fontId="22" fillId="44" borderId="4" xfId="6" applyNumberFormat="1" applyFont="1" applyFill="1" applyBorder="1" applyAlignment="1">
      <alignment horizontal="left" readingOrder="1"/>
    </xf>
    <xf numFmtId="164" fontId="22" fillId="44" borderId="14" xfId="13" applyNumberFormat="1" applyFont="1" applyFill="1" applyBorder="1" applyAlignment="1">
      <alignment horizontal="left" readingOrder="1"/>
    </xf>
    <xf numFmtId="164" fontId="51" fillId="43" borderId="35" xfId="6" applyNumberFormat="1" applyFont="1" applyFill="1" applyBorder="1" applyAlignment="1">
      <alignment horizontal="right"/>
    </xf>
    <xf numFmtId="164" fontId="59" fillId="43" borderId="34" xfId="6" applyNumberFormat="1" applyFont="1" applyFill="1" applyBorder="1" applyAlignment="1">
      <alignment horizontal="center"/>
    </xf>
    <xf numFmtId="164" fontId="59" fillId="43" borderId="36" xfId="6" applyNumberFormat="1" applyFont="1" applyFill="1" applyBorder="1" applyAlignment="1">
      <alignment horizontal="center"/>
    </xf>
    <xf numFmtId="164" fontId="53" fillId="43" borderId="6" xfId="6" applyNumberFormat="1" applyFont="1" applyFill="1" applyBorder="1" applyAlignment="1">
      <alignment horizontal="right"/>
    </xf>
    <xf numFmtId="164" fontId="51" fillId="43" borderId="7" xfId="6" applyNumberFormat="1" applyFont="1" applyFill="1" applyBorder="1" applyAlignment="1">
      <alignment horizontal="right"/>
    </xf>
    <xf numFmtId="164" fontId="51" fillId="43" borderId="7" xfId="6" applyNumberFormat="1" applyFont="1" applyFill="1" applyBorder="1" applyAlignment="1">
      <alignment horizontal="center"/>
    </xf>
    <xf numFmtId="164" fontId="51" fillId="43" borderId="15" xfId="6" applyNumberFormat="1" applyFont="1" applyFill="1" applyBorder="1" applyAlignment="1">
      <alignment horizontal="center"/>
    </xf>
    <xf numFmtId="164" fontId="53" fillId="43" borderId="3" xfId="6" applyNumberFormat="1" applyFont="1" applyFill="1" applyBorder="1" applyAlignment="1">
      <alignment horizontal="right"/>
    </xf>
    <xf numFmtId="164" fontId="51" fillId="43" borderId="4" xfId="6" applyNumberFormat="1" applyFont="1" applyFill="1" applyBorder="1" applyAlignment="1">
      <alignment horizontal="right"/>
    </xf>
    <xf numFmtId="164" fontId="51" fillId="43" borderId="4" xfId="6" applyNumberFormat="1" applyFont="1" applyFill="1" applyBorder="1" applyAlignment="1">
      <alignment horizontal="center"/>
    </xf>
    <xf numFmtId="164" fontId="53" fillId="43" borderId="16" xfId="6" applyNumberFormat="1" applyFont="1" applyFill="1" applyBorder="1" applyAlignment="1">
      <alignment horizontal="right"/>
    </xf>
    <xf numFmtId="164" fontId="51" fillId="43" borderId="5" xfId="6" applyNumberFormat="1" applyFont="1" applyFill="1" applyBorder="1" applyAlignment="1">
      <alignment horizontal="right"/>
    </xf>
    <xf numFmtId="164" fontId="51" fillId="43" borderId="5" xfId="6" applyNumberFormat="1" applyFont="1" applyFill="1" applyBorder="1" applyAlignment="1">
      <alignment horizontal="center"/>
    </xf>
    <xf numFmtId="164" fontId="49" fillId="38" borderId="3" xfId="12" applyNumberFormat="1" applyFont="1" applyFill="1" applyBorder="1" applyAlignment="1">
      <alignment readingOrder="1"/>
    </xf>
    <xf numFmtId="164" fontId="47" fillId="38" borderId="4" xfId="12" applyNumberFormat="1" applyFont="1" applyFill="1" applyBorder="1" applyAlignment="1">
      <alignment horizontal="right" readingOrder="1"/>
    </xf>
    <xf numFmtId="164" fontId="47" fillId="38" borderId="4" xfId="6" applyNumberFormat="1" applyFont="1" applyFill="1" applyBorder="1" applyAlignment="1">
      <alignment readingOrder="1"/>
    </xf>
    <xf numFmtId="164" fontId="51" fillId="43" borderId="34" xfId="6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42" fillId="0" borderId="39" xfId="0" applyFont="1" applyFill="1" applyBorder="1" applyAlignment="1">
      <alignment horizontal="right"/>
    </xf>
    <xf numFmtId="0" fontId="50" fillId="0" borderId="39" xfId="0" applyFont="1" applyFill="1" applyBorder="1" applyAlignment="1">
      <alignment horizontal="right"/>
    </xf>
    <xf numFmtId="164" fontId="47" fillId="0" borderId="40" xfId="12" applyNumberFormat="1" applyFont="1" applyFill="1" applyBorder="1" applyAlignment="1">
      <alignment horizontal="right" readingOrder="1"/>
    </xf>
    <xf numFmtId="164" fontId="49" fillId="0" borderId="40" xfId="12" applyNumberFormat="1" applyFont="1" applyFill="1" applyBorder="1" applyAlignment="1">
      <alignment horizontal="right" readingOrder="1"/>
    </xf>
    <xf numFmtId="164" fontId="47" fillId="0" borderId="2" xfId="12" applyNumberFormat="1" applyFont="1" applyFill="1" applyBorder="1" applyAlignment="1">
      <alignment horizontal="right" readingOrder="1"/>
    </xf>
    <xf numFmtId="164" fontId="49" fillId="0" borderId="2" xfId="12" applyNumberFormat="1" applyFont="1" applyFill="1" applyBorder="1" applyAlignment="1">
      <alignment horizontal="right" readingOrder="1"/>
    </xf>
    <xf numFmtId="167" fontId="48" fillId="0" borderId="40" xfId="7" applyNumberFormat="1" applyFont="1" applyFill="1" applyBorder="1" applyAlignment="1">
      <alignment horizontal="right"/>
    </xf>
    <xf numFmtId="167" fontId="50" fillId="0" borderId="40" xfId="7" applyNumberFormat="1" applyFont="1" applyFill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right"/>
    </xf>
    <xf numFmtId="43" fontId="0" fillId="0" borderId="0" xfId="1" applyNumberFormat="1" applyFont="1"/>
    <xf numFmtId="43" fontId="0" fillId="0" borderId="14" xfId="0" applyNumberFormat="1" applyBorder="1" applyAlignment="1">
      <alignment horizontal="right"/>
    </xf>
    <xf numFmtId="43" fontId="0" fillId="0" borderId="43" xfId="0" applyNumberFormat="1" applyBorder="1" applyAlignment="1">
      <alignment horizontal="right"/>
    </xf>
    <xf numFmtId="164" fontId="51" fillId="43" borderId="4" xfId="6" applyNumberFormat="1" applyFont="1" applyFill="1" applyBorder="1" applyAlignment="1">
      <alignment horizontal="right" wrapText="1"/>
    </xf>
    <xf numFmtId="164" fontId="51" fillId="43" borderId="4" xfId="6" applyNumberFormat="1" applyFont="1" applyFill="1" applyBorder="1" applyAlignment="1">
      <alignment horizontal="center" wrapText="1"/>
    </xf>
    <xf numFmtId="49" fontId="66" fillId="0" borderId="7" xfId="11" applyNumberFormat="1" applyFont="1" applyFill="1" applyBorder="1" applyAlignment="1">
      <alignment horizontal="right"/>
    </xf>
    <xf numFmtId="49" fontId="66" fillId="0" borderId="4" xfId="11" applyNumberFormat="1" applyFont="1" applyFill="1" applyBorder="1" applyAlignment="1">
      <alignment horizontal="right"/>
    </xf>
    <xf numFmtId="49" fontId="67" fillId="0" borderId="4" xfId="11" applyNumberFormat="1" applyFont="1" applyFill="1" applyBorder="1" applyAlignment="1">
      <alignment horizontal="right"/>
    </xf>
    <xf numFmtId="0" fontId="69" fillId="0" borderId="4" xfId="11" applyFont="1" applyFill="1" applyBorder="1" applyAlignment="1">
      <alignment horizontal="right"/>
    </xf>
    <xf numFmtId="0" fontId="69" fillId="0" borderId="0" xfId="11" applyFont="1" applyFill="1" applyAlignment="1">
      <alignment horizontal="right"/>
    </xf>
    <xf numFmtId="164" fontId="17" fillId="38" borderId="1" xfId="12" applyNumberFormat="1" applyFont="1" applyFill="1" applyBorder="1" applyAlignment="1">
      <alignment horizontal="right" readingOrder="1"/>
    </xf>
    <xf numFmtId="164" fontId="17" fillId="38" borderId="2" xfId="12" applyNumberFormat="1" applyFont="1" applyFill="1" applyBorder="1" applyAlignment="1">
      <alignment horizontal="right" readingOrder="1"/>
    </xf>
    <xf numFmtId="164" fontId="17" fillId="38" borderId="3" xfId="12" applyNumberFormat="1" applyFont="1" applyFill="1" applyBorder="1" applyAlignment="1">
      <alignment horizontal="right" readingOrder="1"/>
    </xf>
    <xf numFmtId="49" fontId="73" fillId="0" borderId="4" xfId="11" applyNumberFormat="1" applyFont="1" applyBorder="1" applyAlignment="1">
      <alignment horizontal="right"/>
    </xf>
    <xf numFmtId="164" fontId="53" fillId="43" borderId="44" xfId="6" applyNumberFormat="1" applyFont="1" applyFill="1" applyBorder="1" applyAlignment="1">
      <alignment horizontal="right" wrapText="1"/>
    </xf>
    <xf numFmtId="167" fontId="48" fillId="0" borderId="45" xfId="7" applyNumberFormat="1" applyFont="1" applyFill="1" applyBorder="1" applyAlignment="1">
      <alignment horizontal="right"/>
    </xf>
    <xf numFmtId="167" fontId="50" fillId="0" borderId="45" xfId="7" applyNumberFormat="1" applyFont="1" applyFill="1" applyBorder="1" applyAlignment="1">
      <alignment horizontal="right"/>
    </xf>
    <xf numFmtId="164" fontId="52" fillId="43" borderId="44" xfId="6" applyNumberFormat="1" applyFont="1" applyFill="1" applyBorder="1" applyAlignment="1">
      <alignment horizontal="right" wrapText="1"/>
    </xf>
    <xf numFmtId="0" fontId="6" fillId="0" borderId="13" xfId="3" applyFont="1" applyFill="1" applyBorder="1" applyAlignment="1">
      <alignment readingOrder="1"/>
    </xf>
    <xf numFmtId="41" fontId="9" fillId="0" borderId="14" xfId="2" applyNumberFormat="1" applyFont="1" applyFill="1" applyBorder="1" applyAlignment="1">
      <alignment horizontal="right" wrapText="1"/>
    </xf>
    <xf numFmtId="0" fontId="23" fillId="3" borderId="13" xfId="4" applyFont="1" applyFill="1" applyBorder="1"/>
    <xf numFmtId="49" fontId="9" fillId="0" borderId="14" xfId="2" applyNumberFormat="1" applyFont="1" applyFill="1" applyBorder="1" applyAlignment="1">
      <alignment horizontal="right" wrapText="1" readingOrder="2"/>
    </xf>
    <xf numFmtId="41" fontId="9" fillId="0" borderId="14" xfId="2" applyNumberFormat="1" applyFont="1" applyFill="1" applyBorder="1" applyAlignment="1">
      <alignment horizontal="right" wrapText="1" readingOrder="2"/>
    </xf>
    <xf numFmtId="49" fontId="9" fillId="0" borderId="14" xfId="2" applyNumberFormat="1" applyFont="1" applyFill="1" applyBorder="1" applyAlignment="1" applyProtection="1">
      <alignment horizontal="right" wrapText="1"/>
      <protection locked="0"/>
    </xf>
    <xf numFmtId="41" fontId="9" fillId="0" borderId="14" xfId="2" applyNumberFormat="1" applyFont="1" applyFill="1" applyBorder="1" applyAlignment="1">
      <alignment horizontal="right" vertical="center" wrapText="1"/>
    </xf>
    <xf numFmtId="0" fontId="52" fillId="2" borderId="41" xfId="4" applyFont="1" applyFill="1" applyBorder="1"/>
    <xf numFmtId="0" fontId="52" fillId="2" borderId="42" xfId="4" applyFont="1" applyFill="1" applyBorder="1"/>
    <xf numFmtId="164" fontId="52" fillId="2" borderId="43" xfId="4" applyNumberFormat="1" applyFont="1" applyFill="1" applyBorder="1" applyAlignment="1">
      <alignment horizontal="right" wrapText="1"/>
    </xf>
    <xf numFmtId="164" fontId="52" fillId="43" borderId="8" xfId="6" applyNumberFormat="1" applyFont="1" applyFill="1" applyBorder="1" applyAlignment="1">
      <alignment horizontal="right"/>
    </xf>
    <xf numFmtId="164" fontId="52" fillId="43" borderId="7" xfId="6" applyNumberFormat="1" applyFont="1" applyFill="1" applyBorder="1" applyAlignment="1">
      <alignment horizontal="right"/>
    </xf>
    <xf numFmtId="164" fontId="51" fillId="39" borderId="8" xfId="6" applyNumberFormat="1" applyFont="1" applyFill="1" applyBorder="1" applyAlignment="1">
      <alignment horizontal="right"/>
    </xf>
    <xf numFmtId="164" fontId="51" fillId="39" borderId="7" xfId="6" applyNumberFormat="1" applyFont="1" applyFill="1" applyBorder="1" applyAlignment="1">
      <alignment horizontal="right"/>
    </xf>
    <xf numFmtId="43" fontId="13" fillId="0" borderId="0" xfId="1" applyFont="1" applyFill="1" applyAlignment="1">
      <alignment horizontal="right"/>
    </xf>
    <xf numFmtId="164" fontId="52" fillId="43" borderId="7" xfId="6" applyNumberFormat="1" applyFont="1" applyFill="1" applyBorder="1" applyAlignment="1">
      <alignment horizontal="right" wrapText="1"/>
    </xf>
    <xf numFmtId="164" fontId="14" fillId="5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/>
    </xf>
    <xf numFmtId="164" fontId="52" fillId="43" borderId="7" xfId="1" applyNumberFormat="1" applyFont="1" applyFill="1" applyBorder="1" applyAlignment="1">
      <alignment horizontal="right"/>
    </xf>
    <xf numFmtId="164" fontId="51" fillId="39" borderId="36" xfId="6" applyNumberFormat="1" applyFont="1" applyFill="1" applyBorder="1" applyAlignment="1">
      <alignment horizontal="right"/>
    </xf>
    <xf numFmtId="0" fontId="19" fillId="0" borderId="0" xfId="11" applyFont="1" applyAlignment="1">
      <alignment horizontal="right" wrapText="1"/>
    </xf>
    <xf numFmtId="0" fontId="44" fillId="5" borderId="3" xfId="9" applyFont="1" applyFill="1" applyBorder="1" applyAlignment="1">
      <alignment horizontal="right" vertical="center"/>
    </xf>
    <xf numFmtId="0" fontId="44" fillId="5" borderId="4" xfId="9" applyFont="1" applyFill="1" applyBorder="1" applyAlignment="1">
      <alignment horizontal="right" vertical="center"/>
    </xf>
    <xf numFmtId="14" fontId="44" fillId="5" borderId="4" xfId="9" applyNumberFormat="1" applyFont="1" applyFill="1" applyBorder="1" applyAlignment="1">
      <alignment horizontal="right" vertical="center"/>
    </xf>
    <xf numFmtId="165" fontId="44" fillId="5" borderId="4" xfId="8" applyNumberFormat="1" applyFont="1" applyFill="1" applyBorder="1" applyAlignment="1">
      <alignment horizontal="right" vertical="center"/>
    </xf>
    <xf numFmtId="165" fontId="44" fillId="5" borderId="4" xfId="9" applyNumberFormat="1" applyFont="1" applyFill="1" applyBorder="1" applyAlignment="1">
      <alignment horizontal="right" vertical="center"/>
    </xf>
    <xf numFmtId="164" fontId="44" fillId="5" borderId="1" xfId="1" applyNumberFormat="1" applyFont="1" applyFill="1" applyBorder="1" applyAlignment="1">
      <alignment horizontal="right" vertical="center"/>
    </xf>
    <xf numFmtId="0" fontId="44" fillId="5" borderId="4" xfId="9" applyFont="1" applyFill="1" applyBorder="1" applyAlignment="1">
      <alignment horizontal="right" vertical="center" wrapText="1"/>
    </xf>
    <xf numFmtId="0" fontId="44" fillId="5" borderId="4" xfId="9" applyFont="1" applyFill="1" applyBorder="1" applyAlignment="1">
      <alignment horizontal="right"/>
    </xf>
    <xf numFmtId="166" fontId="44" fillId="5" borderId="4" xfId="8" applyNumberFormat="1" applyFont="1" applyFill="1" applyBorder="1" applyAlignment="1">
      <alignment horizontal="right" vertical="center"/>
    </xf>
    <xf numFmtId="0" fontId="44" fillId="5" borderId="4" xfId="9" applyFont="1" applyFill="1" applyBorder="1" applyAlignment="1">
      <alignment horizontal="right" wrapText="1"/>
    </xf>
    <xf numFmtId="14" fontId="44" fillId="5" borderId="4" xfId="9" applyNumberFormat="1" applyFont="1" applyFill="1" applyBorder="1" applyAlignment="1">
      <alignment horizontal="right" vertical="center" wrapText="1"/>
    </xf>
    <xf numFmtId="0" fontId="44" fillId="5" borderId="4" xfId="8" applyNumberFormat="1" applyFont="1" applyFill="1" applyBorder="1" applyAlignment="1">
      <alignment horizontal="right" vertical="center" wrapText="1"/>
    </xf>
    <xf numFmtId="165" fontId="45" fillId="5" borderId="4" xfId="8" applyNumberFormat="1" applyFont="1" applyFill="1" applyBorder="1" applyAlignment="1">
      <alignment horizontal="right" vertical="center"/>
    </xf>
    <xf numFmtId="165" fontId="44" fillId="5" borderId="4" xfId="9" applyNumberFormat="1" applyFont="1" applyFill="1" applyBorder="1" applyAlignment="1">
      <alignment horizontal="right" vertical="center" wrapText="1"/>
    </xf>
    <xf numFmtId="164" fontId="51" fillId="43" borderId="34" xfId="1" applyNumberFormat="1" applyFont="1" applyFill="1" applyBorder="1" applyAlignment="1">
      <alignment horizontal="right"/>
    </xf>
    <xf numFmtId="41" fontId="0" fillId="0" borderId="0" xfId="0" applyNumberFormat="1"/>
    <xf numFmtId="41" fontId="9" fillId="0" borderId="4" xfId="2" applyNumberFormat="1" applyFont="1" applyFill="1" applyBorder="1" applyAlignment="1">
      <alignment horizontal="right" wrapText="1"/>
    </xf>
    <xf numFmtId="0" fontId="9" fillId="0" borderId="4" xfId="4" applyFont="1" applyFill="1" applyBorder="1"/>
    <xf numFmtId="49" fontId="9" fillId="45" borderId="14" xfId="2" applyNumberFormat="1" applyFont="1" applyFill="1" applyBorder="1" applyAlignment="1">
      <alignment horizontal="right" wrapText="1" readingOrder="2"/>
    </xf>
    <xf numFmtId="0" fontId="0" fillId="0" borderId="0" xfId="0"/>
    <xf numFmtId="0" fontId="6" fillId="0" borderId="4" xfId="3" applyFont="1" applyFill="1" applyBorder="1" applyAlignment="1">
      <alignment readingOrder="1"/>
    </xf>
    <xf numFmtId="41" fontId="9" fillId="45" borderId="14" xfId="2" applyNumberFormat="1" applyFont="1" applyFill="1" applyBorder="1" applyAlignment="1">
      <alignment horizontal="right" wrapText="1"/>
    </xf>
    <xf numFmtId="164" fontId="77" fillId="43" borderId="30" xfId="6" applyNumberFormat="1" applyFont="1" applyFill="1" applyBorder="1" applyAlignment="1">
      <alignment horizontal="center"/>
    </xf>
    <xf numFmtId="0" fontId="78" fillId="0" borderId="0" xfId="0" applyFont="1"/>
    <xf numFmtId="164" fontId="52" fillId="43" borderId="49" xfId="6" applyNumberFormat="1" applyFont="1" applyFill="1" applyBorder="1" applyAlignment="1">
      <alignment horizontal="right"/>
    </xf>
    <xf numFmtId="164" fontId="52" fillId="43" borderId="50" xfId="6" applyNumberFormat="1" applyFont="1" applyFill="1" applyBorder="1" applyAlignment="1">
      <alignment horizontal="right"/>
    </xf>
    <xf numFmtId="164" fontId="52" fillId="43" borderId="50" xfId="6" applyNumberFormat="1" applyFont="1" applyFill="1" applyBorder="1" applyAlignment="1">
      <alignment horizontal="center"/>
    </xf>
    <xf numFmtId="164" fontId="52" fillId="43" borderId="51" xfId="6" applyNumberFormat="1" applyFont="1" applyFill="1" applyBorder="1" applyAlignment="1">
      <alignment horizontal="center"/>
    </xf>
    <xf numFmtId="0" fontId="76" fillId="0" borderId="0" xfId="0" applyFont="1"/>
    <xf numFmtId="0" fontId="78" fillId="0" borderId="7" xfId="0" applyFont="1" applyBorder="1"/>
    <xf numFmtId="164" fontId="78" fillId="0" borderId="7" xfId="1" applyNumberFormat="1" applyFont="1" applyBorder="1"/>
    <xf numFmtId="0" fontId="78" fillId="0" borderId="9" xfId="0" applyFont="1" applyBorder="1"/>
    <xf numFmtId="0" fontId="78" fillId="0" borderId="13" xfId="0" applyFont="1" applyBorder="1"/>
    <xf numFmtId="164" fontId="78" fillId="0" borderId="4" xfId="1" applyNumberFormat="1" applyFont="1" applyBorder="1"/>
    <xf numFmtId="0" fontId="78" fillId="0" borderId="14" xfId="0" applyFont="1" applyBorder="1"/>
    <xf numFmtId="0" fontId="79" fillId="0" borderId="4" xfId="4" applyFont="1" applyFill="1" applyBorder="1"/>
    <xf numFmtId="0" fontId="78" fillId="0" borderId="13" xfId="0" applyFont="1" applyFill="1" applyBorder="1"/>
    <xf numFmtId="164" fontId="52" fillId="43" borderId="29" xfId="6" applyNumberFormat="1" applyFont="1" applyFill="1" applyBorder="1" applyAlignment="1">
      <alignment horizontal="right"/>
    </xf>
    <xf numFmtId="164" fontId="52" fillId="43" borderId="30" xfId="6" applyNumberFormat="1" applyFont="1" applyFill="1" applyBorder="1" applyAlignment="1">
      <alignment horizontal="center"/>
    </xf>
    <xf numFmtId="164" fontId="52" fillId="43" borderId="44" xfId="6" applyNumberFormat="1" applyFont="1" applyFill="1" applyBorder="1" applyAlignment="1">
      <alignment horizontal="center"/>
    </xf>
    <xf numFmtId="164" fontId="78" fillId="0" borderId="0" xfId="1" applyNumberFormat="1" applyFont="1"/>
    <xf numFmtId="0" fontId="80" fillId="0" borderId="0" xfId="3" applyFont="1" applyFill="1" applyBorder="1" applyAlignment="1">
      <alignment horizontal="center"/>
    </xf>
    <xf numFmtId="0" fontId="78" fillId="0" borderId="14" xfId="0" applyFont="1" applyBorder="1" applyAlignment="1">
      <alignment wrapText="1"/>
    </xf>
    <xf numFmtId="0" fontId="0" fillId="0" borderId="16" xfId="0" applyBorder="1" applyAlignment="1">
      <alignment horizontal="right"/>
    </xf>
    <xf numFmtId="0" fontId="0" fillId="0" borderId="5" xfId="0" applyBorder="1"/>
    <xf numFmtId="0" fontId="61" fillId="40" borderId="7" xfId="0" applyFont="1" applyFill="1" applyBorder="1" applyAlignment="1">
      <alignment wrapText="1"/>
    </xf>
    <xf numFmtId="43" fontId="61" fillId="40" borderId="7" xfId="1" applyFont="1" applyFill="1" applyBorder="1" applyAlignment="1">
      <alignment wrapText="1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43" fontId="0" fillId="0" borderId="9" xfId="0" applyNumberFormat="1" applyBorder="1" applyAlignment="1">
      <alignment horizontal="right"/>
    </xf>
    <xf numFmtId="0" fontId="61" fillId="40" borderId="49" xfId="0" applyFont="1" applyFill="1" applyBorder="1" applyAlignment="1">
      <alignment horizontal="right" wrapText="1"/>
    </xf>
    <xf numFmtId="0" fontId="61" fillId="40" borderId="50" xfId="0" applyFont="1" applyFill="1" applyBorder="1" applyAlignment="1">
      <alignment horizontal="right" wrapText="1"/>
    </xf>
    <xf numFmtId="43" fontId="61" fillId="40" borderId="51" xfId="1" applyNumberFormat="1" applyFont="1" applyFill="1" applyBorder="1" applyAlignment="1">
      <alignment horizontal="right" wrapText="1"/>
    </xf>
    <xf numFmtId="0" fontId="0" fillId="46" borderId="0" xfId="0" applyFill="1"/>
    <xf numFmtId="0" fontId="52" fillId="46" borderId="13" xfId="3" applyFont="1" applyFill="1" applyBorder="1" applyAlignment="1">
      <alignment horizontal="center"/>
    </xf>
    <xf numFmtId="0" fontId="52" fillId="46" borderId="4" xfId="3" applyFont="1" applyFill="1" applyBorder="1" applyAlignment="1">
      <alignment horizontal="center"/>
    </xf>
    <xf numFmtId="0" fontId="52" fillId="46" borderId="4" xfId="3" applyFont="1" applyFill="1" applyBorder="1" applyAlignment="1"/>
    <xf numFmtId="164" fontId="52" fillId="46" borderId="4" xfId="1" applyNumberFormat="1" applyFont="1" applyFill="1" applyBorder="1" applyAlignment="1">
      <alignment horizontal="center"/>
    </xf>
    <xf numFmtId="164" fontId="52" fillId="46" borderId="4" xfId="1" applyNumberFormat="1" applyFont="1" applyFill="1" applyBorder="1" applyAlignment="1">
      <alignment horizontal="center" wrapText="1"/>
    </xf>
    <xf numFmtId="164" fontId="54" fillId="46" borderId="14" xfId="1" applyNumberFormat="1" applyFont="1" applyFill="1" applyBorder="1" applyAlignment="1">
      <alignment horizontal="center"/>
    </xf>
    <xf numFmtId="164" fontId="54" fillId="46" borderId="4" xfId="1" applyNumberFormat="1" applyFont="1" applyFill="1" applyBorder="1" applyAlignment="1">
      <alignment horizontal="right"/>
    </xf>
    <xf numFmtId="0" fontId="52" fillId="46" borderId="3" xfId="3" applyFont="1" applyFill="1" applyBorder="1" applyAlignment="1">
      <alignment horizontal="center"/>
    </xf>
    <xf numFmtId="0" fontId="9" fillId="0" borderId="3" xfId="4" applyFont="1" applyFill="1" applyBorder="1"/>
    <xf numFmtId="0" fontId="23" fillId="3" borderId="3" xfId="4" applyFont="1" applyFill="1" applyBorder="1"/>
    <xf numFmtId="0" fontId="52" fillId="2" borderId="52" xfId="4" applyFont="1" applyFill="1" applyBorder="1"/>
    <xf numFmtId="0" fontId="20" fillId="3" borderId="4" xfId="3" applyNumberFormat="1" applyFont="1" applyFill="1" applyBorder="1" applyAlignment="1">
      <alignment readingOrder="1"/>
    </xf>
    <xf numFmtId="41" fontId="9" fillId="47" borderId="4" xfId="2" applyNumberFormat="1" applyFont="1" applyFill="1" applyBorder="1"/>
    <xf numFmtId="164" fontId="19" fillId="0" borderId="4" xfId="96" applyNumberFormat="1" applyFont="1" applyFill="1" applyBorder="1"/>
    <xf numFmtId="0" fontId="9" fillId="47" borderId="4" xfId="4" applyFont="1" applyFill="1" applyBorder="1"/>
    <xf numFmtId="0" fontId="9" fillId="47" borderId="3" xfId="4" applyNumberFormat="1" applyFont="1" applyFill="1" applyBorder="1"/>
    <xf numFmtId="0" fontId="9" fillId="47" borderId="13" xfId="4" applyFont="1" applyFill="1" applyBorder="1"/>
    <xf numFmtId="0" fontId="0" fillId="47" borderId="0" xfId="0" applyFill="1"/>
    <xf numFmtId="41" fontId="9" fillId="6" borderId="4" xfId="2" applyNumberFormat="1" applyFont="1" applyFill="1" applyBorder="1"/>
    <xf numFmtId="0" fontId="9" fillId="6" borderId="4" xfId="4" applyFont="1" applyFill="1" applyBorder="1"/>
    <xf numFmtId="0" fontId="19" fillId="47" borderId="13" xfId="0" applyFont="1" applyFill="1" applyBorder="1"/>
    <xf numFmtId="164" fontId="52" fillId="46" borderId="4" xfId="96" applyNumberFormat="1" applyFont="1" applyFill="1" applyBorder="1" applyAlignment="1">
      <alignment horizontal="center" wrapText="1"/>
    </xf>
    <xf numFmtId="164" fontId="54" fillId="46" borderId="14" xfId="96" applyNumberFormat="1" applyFont="1" applyFill="1" applyBorder="1" applyAlignment="1">
      <alignment horizontal="center"/>
    </xf>
    <xf numFmtId="164" fontId="52" fillId="46" borderId="4" xfId="96" applyNumberFormat="1" applyFont="1" applyFill="1" applyBorder="1" applyAlignment="1">
      <alignment horizontal="center"/>
    </xf>
    <xf numFmtId="164" fontId="6" fillId="47" borderId="4" xfId="146" applyNumberFormat="1" applyFont="1" applyFill="1" applyBorder="1" applyAlignment="1">
      <alignment horizontal="right"/>
    </xf>
    <xf numFmtId="164" fontId="6" fillId="47" borderId="4" xfId="146" applyNumberFormat="1" applyFont="1" applyFill="1" applyBorder="1"/>
    <xf numFmtId="164" fontId="19" fillId="47" borderId="4" xfId="146" applyNumberFormat="1" applyFont="1" applyFill="1" applyBorder="1"/>
    <xf numFmtId="0" fontId="6" fillId="47" borderId="4" xfId="3" applyFont="1" applyFill="1" applyBorder="1" applyAlignment="1">
      <alignment readingOrder="1"/>
    </xf>
    <xf numFmtId="0" fontId="6" fillId="47" borderId="4" xfId="3" applyNumberFormat="1" applyFont="1" applyFill="1" applyBorder="1" applyAlignment="1">
      <alignment readingOrder="1"/>
    </xf>
    <xf numFmtId="164" fontId="6" fillId="47" borderId="4" xfId="146" applyNumberFormat="1" applyFont="1" applyFill="1" applyBorder="1" applyAlignment="1">
      <alignment horizontal="right" wrapText="1"/>
    </xf>
    <xf numFmtId="164" fontId="6" fillId="6" borderId="4" xfId="146" applyNumberFormat="1" applyFont="1" applyFill="1" applyBorder="1"/>
    <xf numFmtId="164" fontId="6" fillId="47" borderId="4" xfId="146" applyNumberFormat="1" applyFont="1" applyFill="1" applyBorder="1" applyAlignment="1">
      <alignment readingOrder="1"/>
    </xf>
    <xf numFmtId="164" fontId="0" fillId="47" borderId="0" xfId="146" applyNumberFormat="1" applyFont="1" applyFill="1"/>
    <xf numFmtId="0" fontId="0" fillId="47" borderId="4" xfId="0" applyFill="1" applyBorder="1"/>
    <xf numFmtId="49" fontId="6" fillId="47" borderId="4" xfId="3" applyNumberFormat="1" applyFont="1" applyFill="1" applyBorder="1" applyAlignment="1">
      <alignment horizontal="right" wrapText="1" readingOrder="2"/>
    </xf>
    <xf numFmtId="0" fontId="6" fillId="47" borderId="4" xfId="3" applyFont="1" applyFill="1" applyBorder="1" applyAlignment="1">
      <alignment wrapText="1" readingOrder="1"/>
    </xf>
    <xf numFmtId="164" fontId="52" fillId="46" borderId="4" xfId="146" applyNumberFormat="1" applyFont="1" applyFill="1" applyBorder="1" applyAlignment="1">
      <alignment horizontal="center" wrapText="1"/>
    </xf>
    <xf numFmtId="164" fontId="54" fillId="46" borderId="4" xfId="146" applyNumberFormat="1" applyFont="1" applyFill="1" applyBorder="1" applyAlignment="1">
      <alignment horizontal="right"/>
    </xf>
    <xf numFmtId="164" fontId="52" fillId="46" borderId="4" xfId="146" applyNumberFormat="1" applyFont="1" applyFill="1" applyBorder="1" applyAlignment="1">
      <alignment horizontal="center"/>
    </xf>
    <xf numFmtId="0" fontId="9" fillId="6" borderId="13" xfId="4" applyFont="1" applyFill="1" applyBorder="1"/>
    <xf numFmtId="0" fontId="9" fillId="6" borderId="3" xfId="4" applyNumberFormat="1" applyFont="1" applyFill="1" applyBorder="1"/>
    <xf numFmtId="164" fontId="19" fillId="6" borderId="4" xfId="96" applyNumberFormat="1" applyFont="1" applyFill="1" applyBorder="1"/>
    <xf numFmtId="41" fontId="9" fillId="6" borderId="14" xfId="2" applyNumberFormat="1" applyFont="1" applyFill="1" applyBorder="1" applyAlignment="1">
      <alignment horizontal="right" wrapText="1"/>
    </xf>
    <xf numFmtId="0" fontId="0" fillId="6" borderId="0" xfId="0" applyFill="1"/>
    <xf numFmtId="4" fontId="83" fillId="6" borderId="4" xfId="98" applyNumberFormat="1" applyFont="1" applyFill="1" applyBorder="1" applyAlignment="1">
      <alignment horizontal="right" wrapText="1" readingOrder="2"/>
    </xf>
    <xf numFmtId="3" fontId="88" fillId="6" borderId="4" xfId="98" applyNumberFormat="1" applyFont="1" applyFill="1" applyBorder="1" applyAlignment="1">
      <alignment vertical="center"/>
    </xf>
    <xf numFmtId="41" fontId="9" fillId="0" borderId="9" xfId="167" applyNumberFormat="1" applyFont="1" applyFill="1" applyBorder="1" applyAlignment="1">
      <alignment horizontal="right" wrapText="1"/>
    </xf>
    <xf numFmtId="4" fontId="88" fillId="0" borderId="0" xfId="98" applyNumberFormat="1" applyFont="1" applyBorder="1"/>
    <xf numFmtId="164" fontId="19" fillId="0" borderId="7" xfId="170" applyNumberFormat="1" applyFont="1" applyFill="1" applyBorder="1"/>
    <xf numFmtId="0" fontId="9" fillId="0" borderId="41" xfId="4" applyFont="1" applyFill="1" applyBorder="1"/>
    <xf numFmtId="0" fontId="9" fillId="0" borderId="6" xfId="4" applyNumberFormat="1" applyFont="1" applyFill="1" applyBorder="1"/>
    <xf numFmtId="0" fontId="9" fillId="0" borderId="8" xfId="4" applyFont="1" applyFill="1" applyBorder="1"/>
    <xf numFmtId="0" fontId="0" fillId="0" borderId="53" xfId="0" applyBorder="1"/>
    <xf numFmtId="0" fontId="81" fillId="0" borderId="4" xfId="4" applyFont="1" applyFill="1" applyBorder="1"/>
    <xf numFmtId="41" fontId="81" fillId="0" borderId="4" xfId="148" applyNumberFormat="1" applyFont="1" applyFill="1" applyBorder="1"/>
    <xf numFmtId="0" fontId="82" fillId="0" borderId="0" xfId="0" applyFont="1"/>
    <xf numFmtId="0" fontId="81" fillId="0" borderId="13" xfId="4" applyFont="1" applyFill="1" applyBorder="1"/>
    <xf numFmtId="0" fontId="81" fillId="0" borderId="3" xfId="4" applyNumberFormat="1" applyFont="1" applyFill="1" applyBorder="1"/>
    <xf numFmtId="41" fontId="9" fillId="0" borderId="7" xfId="148" applyNumberFormat="1" applyFont="1" applyFill="1" applyBorder="1"/>
    <xf numFmtId="0" fontId="9" fillId="0" borderId="7" xfId="4" applyFont="1" applyFill="1" applyBorder="1"/>
    <xf numFmtId="0" fontId="83" fillId="0" borderId="4" xfId="98" applyFont="1" applyBorder="1" applyAlignment="1">
      <alignment horizontal="right" wrapText="1" readingOrder="2"/>
    </xf>
    <xf numFmtId="0" fontId="0" fillId="0" borderId="54" xfId="0" applyBorder="1"/>
    <xf numFmtId="0" fontId="88" fillId="0" borderId="4" xfId="98" applyFont="1" applyFill="1" applyBorder="1"/>
    <xf numFmtId="0" fontId="83" fillId="6" borderId="3" xfId="98" applyFont="1" applyFill="1" applyBorder="1" applyAlignment="1">
      <alignment horizontal="right"/>
    </xf>
    <xf numFmtId="0" fontId="87" fillId="0" borderId="0" xfId="98" applyFont="1"/>
    <xf numFmtId="0" fontId="91" fillId="0" borderId="1" xfId="98" applyFont="1" applyBorder="1"/>
    <xf numFmtId="0" fontId="88" fillId="0" borderId="4" xfId="98" applyFont="1" applyBorder="1"/>
    <xf numFmtId="0" fontId="83" fillId="0" borderId="5" xfId="98" applyFont="1" applyBorder="1" applyAlignment="1">
      <alignment horizontal="right"/>
    </xf>
    <xf numFmtId="0" fontId="0" fillId="0" borderId="54" xfId="0" applyBorder="1" applyAlignment="1">
      <alignment wrapText="1"/>
    </xf>
    <xf numFmtId="164" fontId="9" fillId="6" borderId="14" xfId="167" applyNumberFormat="1" applyFont="1" applyFill="1" applyBorder="1" applyAlignment="1">
      <alignment horizontal="right" wrapText="1"/>
    </xf>
    <xf numFmtId="0" fontId="88" fillId="6" borderId="4" xfId="98" applyFont="1" applyFill="1" applyBorder="1" applyAlignment="1">
      <alignment vertical="center"/>
    </xf>
    <xf numFmtId="4" fontId="1" fillId="0" borderId="7" xfId="56" applyNumberFormat="1" applyFont="1" applyFill="1" applyBorder="1" applyAlignment="1">
      <alignment horizontal="right" wrapText="1"/>
    </xf>
    <xf numFmtId="49" fontId="9" fillId="0" borderId="43" xfId="167" applyNumberFormat="1" applyFont="1" applyFill="1" applyBorder="1" applyAlignment="1">
      <alignment horizontal="right" wrapText="1" readingOrder="2"/>
    </xf>
    <xf numFmtId="3" fontId="88" fillId="0" borderId="0" xfId="98" applyNumberFormat="1" applyFont="1" applyBorder="1"/>
    <xf numFmtId="164" fontId="19" fillId="6" borderId="4" xfId="170" applyNumberFormat="1" applyFont="1" applyFill="1" applyBorder="1"/>
    <xf numFmtId="4" fontId="19" fillId="0" borderId="0" xfId="98" applyNumberFormat="1" applyBorder="1"/>
    <xf numFmtId="0" fontId="83" fillId="0" borderId="4" xfId="98" applyFont="1" applyBorder="1" applyAlignment="1">
      <alignment horizontal="right" wrapText="1"/>
    </xf>
    <xf numFmtId="41" fontId="9" fillId="6" borderId="14" xfId="167" applyNumberFormat="1" applyFont="1" applyFill="1" applyBorder="1" applyAlignment="1">
      <alignment horizontal="right" wrapText="1"/>
    </xf>
    <xf numFmtId="0" fontId="92" fillId="0" borderId="4" xfId="98" applyFont="1" applyBorder="1"/>
    <xf numFmtId="0" fontId="83" fillId="0" borderId="0" xfId="98" applyFont="1" applyBorder="1" applyAlignment="1">
      <alignment horizontal="right"/>
    </xf>
    <xf numFmtId="164" fontId="19" fillId="0" borderId="42" xfId="170" applyNumberFormat="1" applyFont="1" applyFill="1" applyBorder="1"/>
    <xf numFmtId="0" fontId="88" fillId="0" borderId="6" xfId="98" applyFont="1" applyBorder="1" applyAlignment="1">
      <alignment horizontal="center"/>
    </xf>
    <xf numFmtId="0" fontId="83" fillId="0" borderId="4" xfId="98" applyFont="1" applyBorder="1" applyAlignment="1">
      <alignment horizontal="right" readingOrder="2"/>
    </xf>
    <xf numFmtId="0" fontId="88" fillId="0" borderId="15" xfId="98" applyFont="1" applyBorder="1" applyAlignment="1">
      <alignment horizontal="center"/>
    </xf>
    <xf numFmtId="0" fontId="88" fillId="0" borderId="53" xfId="98" applyFont="1" applyBorder="1" applyAlignment="1">
      <alignment horizontal="center"/>
    </xf>
    <xf numFmtId="0" fontId="93" fillId="0" borderId="0" xfId="98" applyFont="1"/>
    <xf numFmtId="0" fontId="6" fillId="6" borderId="3" xfId="3" applyNumberFormat="1" applyFont="1" applyFill="1" applyBorder="1" applyAlignment="1">
      <alignment readingOrder="1"/>
    </xf>
    <xf numFmtId="0" fontId="9" fillId="0" borderId="52" xfId="4" applyNumberFormat="1" applyFont="1" applyFill="1" applyBorder="1"/>
    <xf numFmtId="0" fontId="9" fillId="0" borderId="42" xfId="4" applyFont="1" applyFill="1" applyBorder="1"/>
    <xf numFmtId="41" fontId="9" fillId="6" borderId="4" xfId="167" applyNumberFormat="1" applyFont="1" applyFill="1" applyBorder="1"/>
    <xf numFmtId="0" fontId="84" fillId="6" borderId="0" xfId="0" applyFont="1" applyFill="1" applyAlignment="1"/>
    <xf numFmtId="41" fontId="9" fillId="0" borderId="42" xfId="167" applyNumberFormat="1" applyFont="1" applyFill="1" applyBorder="1"/>
    <xf numFmtId="49" fontId="9" fillId="6" borderId="14" xfId="167" applyNumberFormat="1" applyFont="1" applyFill="1" applyBorder="1" applyAlignment="1">
      <alignment horizontal="right" wrapText="1" readingOrder="2"/>
    </xf>
    <xf numFmtId="41" fontId="9" fillId="0" borderId="7" xfId="167" applyNumberFormat="1" applyFont="1" applyFill="1" applyBorder="1"/>
    <xf numFmtId="0" fontId="0" fillId="0" borderId="0" xfId="0"/>
    <xf numFmtId="0" fontId="6" fillId="0" borderId="4" xfId="3" applyFont="1" applyFill="1" applyBorder="1" applyAlignment="1">
      <alignment readingOrder="1"/>
    </xf>
    <xf numFmtId="164" fontId="6" fillId="0" borderId="4" xfId="147" applyNumberFormat="1" applyFont="1" applyFill="1" applyBorder="1"/>
    <xf numFmtId="0" fontId="20" fillId="3" borderId="4" xfId="3" applyFont="1" applyFill="1" applyBorder="1" applyAlignment="1">
      <alignment readingOrder="1"/>
    </xf>
    <xf numFmtId="164" fontId="20" fillId="3" borderId="4" xfId="148" applyNumberFormat="1" applyFont="1" applyFill="1" applyBorder="1" applyAlignment="1">
      <alignment readingOrder="1"/>
    </xf>
    <xf numFmtId="0" fontId="9" fillId="0" borderId="4" xfId="4" applyFont="1" applyFill="1" applyBorder="1"/>
    <xf numFmtId="41" fontId="9" fillId="0" borderId="4" xfId="148" applyNumberFormat="1" applyFont="1" applyFill="1" applyBorder="1"/>
    <xf numFmtId="0" fontId="9" fillId="0" borderId="13" xfId="4" applyFont="1" applyFill="1" applyBorder="1"/>
    <xf numFmtId="0" fontId="52" fillId="46" borderId="13" xfId="3" applyFont="1" applyFill="1" applyBorder="1" applyAlignment="1">
      <alignment horizontal="center"/>
    </xf>
    <xf numFmtId="0" fontId="52" fillId="46" borderId="4" xfId="3" applyFont="1" applyFill="1" applyBorder="1" applyAlignment="1">
      <alignment horizontal="center"/>
    </xf>
    <xf numFmtId="0" fontId="52" fillId="46" borderId="4" xfId="3" applyFont="1" applyFill="1" applyBorder="1" applyAlignment="1"/>
    <xf numFmtId="164" fontId="52" fillId="46" borderId="4" xfId="147" applyNumberFormat="1" applyFont="1" applyFill="1" applyBorder="1" applyAlignment="1">
      <alignment horizontal="center"/>
    </xf>
    <xf numFmtId="164" fontId="52" fillId="46" borderId="4" xfId="147" applyNumberFormat="1" applyFont="1" applyFill="1" applyBorder="1" applyAlignment="1">
      <alignment horizontal="center" wrapText="1"/>
    </xf>
    <xf numFmtId="0" fontId="52" fillId="46" borderId="3" xfId="3" applyFont="1" applyFill="1" applyBorder="1" applyAlignment="1">
      <alignment horizontal="center"/>
    </xf>
    <xf numFmtId="0" fontId="6" fillId="0" borderId="4" xfId="3" applyNumberFormat="1" applyFont="1" applyFill="1" applyBorder="1" applyAlignment="1">
      <alignment readingOrder="1"/>
    </xf>
    <xf numFmtId="0" fontId="9" fillId="0" borderId="3" xfId="4" applyNumberFormat="1" applyFont="1" applyFill="1" applyBorder="1"/>
    <xf numFmtId="41" fontId="9" fillId="0" borderId="43" xfId="167" applyNumberFormat="1" applyFont="1" applyFill="1" applyBorder="1" applyAlignment="1">
      <alignment horizontal="right" wrapText="1"/>
    </xf>
    <xf numFmtId="3" fontId="88" fillId="6" borderId="4" xfId="98" applyNumberFormat="1" applyFont="1" applyFill="1" applyBorder="1"/>
    <xf numFmtId="0" fontId="89" fillId="0" borderId="0" xfId="98" applyFont="1" applyBorder="1"/>
    <xf numFmtId="0" fontId="88" fillId="0" borderId="7" xfId="98" applyFont="1" applyBorder="1"/>
    <xf numFmtId="0" fontId="19" fillId="0" borderId="53" xfId="98" applyBorder="1"/>
    <xf numFmtId="3" fontId="88" fillId="0" borderId="4" xfId="98" applyNumberFormat="1" applyFont="1" applyBorder="1" applyAlignment="1">
      <alignment vertical="center"/>
    </xf>
    <xf numFmtId="0" fontId="19" fillId="6" borderId="0" xfId="98" applyFill="1"/>
    <xf numFmtId="0" fontId="89" fillId="0" borderId="1" xfId="98" applyFont="1" applyBorder="1" applyAlignment="1">
      <alignment horizontal="right"/>
    </xf>
    <xf numFmtId="4" fontId="88" fillId="0" borderId="4" xfId="98" applyNumberFormat="1" applyFont="1" applyBorder="1"/>
    <xf numFmtId="0" fontId="89" fillId="0" borderId="4" xfId="98" applyFont="1" applyBorder="1" applyAlignment="1">
      <alignment horizontal="center" vertical="center" wrapText="1"/>
    </xf>
    <xf numFmtId="0" fontId="83" fillId="6" borderId="4" xfId="98" applyFont="1" applyFill="1" applyBorder="1" applyAlignment="1">
      <alignment horizontal="right"/>
    </xf>
    <xf numFmtId="9" fontId="83" fillId="0" borderId="4" xfId="98" applyNumberFormat="1" applyFont="1" applyBorder="1" applyAlignment="1">
      <alignment horizontal="right"/>
    </xf>
    <xf numFmtId="9" fontId="83" fillId="0" borderId="4" xfId="98" applyNumberFormat="1" applyFont="1" applyBorder="1" applyAlignment="1">
      <alignment horizontal="right" readingOrder="2"/>
    </xf>
    <xf numFmtId="0" fontId="19" fillId="0" borderId="0" xfId="98"/>
    <xf numFmtId="0" fontId="83" fillId="0" borderId="3" xfId="98" applyFont="1" applyBorder="1" applyAlignment="1">
      <alignment horizontal="right"/>
    </xf>
    <xf numFmtId="0" fontId="89" fillId="0" borderId="4" xfId="98" applyFont="1" applyBorder="1" applyAlignment="1">
      <alignment horizontal="center" vertical="center"/>
    </xf>
    <xf numFmtId="0" fontId="89" fillId="6" borderId="4" xfId="98" applyFont="1" applyFill="1" applyBorder="1"/>
    <xf numFmtId="0" fontId="19" fillId="0" borderId="0" xfId="98" applyFont="1"/>
    <xf numFmtId="0" fontId="88" fillId="0" borderId="4" xfId="98" applyFont="1" applyBorder="1" applyAlignment="1">
      <alignment vertical="center"/>
    </xf>
    <xf numFmtId="4" fontId="19" fillId="0" borderId="0" xfId="98" applyNumberFormat="1"/>
    <xf numFmtId="164" fontId="1" fillId="0" borderId="42" xfId="165" applyNumberFormat="1" applyFont="1" applyFill="1" applyBorder="1"/>
    <xf numFmtId="3" fontId="88" fillId="0" borderId="7" xfId="98" applyNumberFormat="1" applyFont="1" applyBorder="1"/>
    <xf numFmtId="0" fontId="91" fillId="0" borderId="4" xfId="98" applyFont="1" applyBorder="1"/>
    <xf numFmtId="164" fontId="1" fillId="0" borderId="7" xfId="165" applyNumberFormat="1" applyFont="1" applyFill="1" applyBorder="1"/>
    <xf numFmtId="0" fontId="89" fillId="0" borderId="2" xfId="98" applyFont="1" applyBorder="1" applyAlignment="1">
      <alignment horizontal="right"/>
    </xf>
    <xf numFmtId="0" fontId="88" fillId="0" borderId="3" xfId="98" applyFont="1" applyBorder="1" applyAlignment="1"/>
    <xf numFmtId="0" fontId="83" fillId="0" borderId="7" xfId="98" applyFont="1" applyBorder="1" applyAlignment="1">
      <alignment horizontal="right" readingOrder="2"/>
    </xf>
    <xf numFmtId="0" fontId="88" fillId="0" borderId="2" xfId="98" applyFont="1" applyBorder="1"/>
    <xf numFmtId="4" fontId="88" fillId="6" borderId="4" xfId="98" applyNumberFormat="1" applyFont="1" applyFill="1" applyBorder="1" applyAlignment="1">
      <alignment vertical="center"/>
    </xf>
    <xf numFmtId="0" fontId="88" fillId="0" borderId="1" xfId="98" applyFont="1" applyBorder="1" applyAlignment="1"/>
    <xf numFmtId="0" fontId="88" fillId="0" borderId="5" xfId="98" applyFont="1" applyBorder="1"/>
    <xf numFmtId="0" fontId="88" fillId="0" borderId="2" xfId="98" applyFont="1" applyBorder="1" applyAlignment="1"/>
    <xf numFmtId="3" fontId="88" fillId="0" borderId="5" xfId="98" applyNumberFormat="1" applyFont="1" applyBorder="1"/>
    <xf numFmtId="0" fontId="88" fillId="0" borderId="0" xfId="98" applyFont="1" applyFill="1" applyBorder="1"/>
    <xf numFmtId="0" fontId="0" fillId="0" borderId="0" xfId="0"/>
    <xf numFmtId="0" fontId="10" fillId="0" borderId="4" xfId="4" applyFont="1" applyFill="1" applyBorder="1"/>
    <xf numFmtId="41" fontId="10" fillId="0" borderId="4" xfId="167" applyNumberFormat="1" applyFont="1" applyFill="1" applyBorder="1"/>
    <xf numFmtId="164" fontId="19" fillId="0" borderId="4" xfId="170" applyNumberFormat="1" applyFont="1" applyFill="1" applyBorder="1"/>
    <xf numFmtId="0" fontId="9" fillId="0" borderId="4" xfId="4" applyFont="1" applyFill="1" applyBorder="1"/>
    <xf numFmtId="41" fontId="9" fillId="0" borderId="4" xfId="167" applyNumberFormat="1" applyFont="1" applyFill="1" applyBorder="1"/>
    <xf numFmtId="0" fontId="9" fillId="0" borderId="13" xfId="4" applyFont="1" applyFill="1" applyBorder="1"/>
    <xf numFmtId="41" fontId="9" fillId="0" borderId="14" xfId="167" applyNumberFormat="1" applyFont="1" applyFill="1" applyBorder="1" applyAlignment="1">
      <alignment horizontal="right" wrapText="1"/>
    </xf>
    <xf numFmtId="49" fontId="9" fillId="0" borderId="14" xfId="167" applyNumberFormat="1" applyFont="1" applyFill="1" applyBorder="1" applyAlignment="1">
      <alignment horizontal="right" wrapText="1" readingOrder="2"/>
    </xf>
    <xf numFmtId="164" fontId="9" fillId="0" borderId="14" xfId="167" applyNumberFormat="1" applyFont="1" applyFill="1" applyBorder="1" applyAlignment="1">
      <alignment horizontal="right" wrapText="1"/>
    </xf>
    <xf numFmtId="0" fontId="10" fillId="0" borderId="13" xfId="4" applyFont="1" applyFill="1" applyBorder="1"/>
    <xf numFmtId="164" fontId="10" fillId="0" borderId="14" xfId="167" applyNumberFormat="1" applyFont="1" applyFill="1" applyBorder="1" applyAlignment="1">
      <alignment horizontal="right" wrapText="1"/>
    </xf>
    <xf numFmtId="41" fontId="9" fillId="0" borderId="4" xfId="167" applyNumberFormat="1" applyFont="1" applyFill="1" applyBorder="1" applyAlignment="1">
      <alignment horizontal="right" wrapText="1"/>
    </xf>
    <xf numFmtId="41" fontId="9" fillId="45" borderId="14" xfId="167" applyNumberFormat="1" applyFont="1" applyFill="1" applyBorder="1" applyAlignment="1">
      <alignment horizontal="right" wrapText="1" readingOrder="2"/>
    </xf>
    <xf numFmtId="41" fontId="9" fillId="45" borderId="14" xfId="167" applyNumberFormat="1" applyFont="1" applyFill="1" applyBorder="1" applyAlignment="1">
      <alignment horizontal="right" wrapText="1"/>
    </xf>
    <xf numFmtId="0" fontId="52" fillId="46" borderId="13" xfId="3" applyFont="1" applyFill="1" applyBorder="1" applyAlignment="1">
      <alignment horizontal="center"/>
    </xf>
    <xf numFmtId="0" fontId="52" fillId="46" borderId="4" xfId="3" applyFont="1" applyFill="1" applyBorder="1" applyAlignment="1">
      <alignment horizontal="center"/>
    </xf>
    <xf numFmtId="0" fontId="52" fillId="46" borderId="4" xfId="3" applyFont="1" applyFill="1" applyBorder="1" applyAlignment="1"/>
    <xf numFmtId="164" fontId="52" fillId="46" borderId="4" xfId="170" applyNumberFormat="1" applyFont="1" applyFill="1" applyBorder="1" applyAlignment="1">
      <alignment horizontal="center"/>
    </xf>
    <xf numFmtId="164" fontId="52" fillId="46" borderId="4" xfId="170" applyNumberFormat="1" applyFont="1" applyFill="1" applyBorder="1" applyAlignment="1">
      <alignment horizontal="center" wrapText="1"/>
    </xf>
    <xf numFmtId="164" fontId="54" fillId="46" borderId="14" xfId="170" applyNumberFormat="1" applyFont="1" applyFill="1" applyBorder="1" applyAlignment="1">
      <alignment horizontal="center"/>
    </xf>
    <xf numFmtId="0" fontId="52" fillId="46" borderId="3" xfId="3" applyFont="1" applyFill="1" applyBorder="1" applyAlignment="1">
      <alignment horizontal="center"/>
    </xf>
    <xf numFmtId="0" fontId="9" fillId="0" borderId="3" xfId="4" applyFont="1" applyFill="1" applyBorder="1"/>
    <xf numFmtId="0" fontId="9" fillId="0" borderId="3" xfId="4" applyNumberFormat="1" applyFont="1" applyFill="1" applyBorder="1"/>
    <xf numFmtId="0" fontId="19" fillId="0" borderId="0" xfId="0" applyFont="1" applyAlignment="1">
      <alignment wrapText="1"/>
    </xf>
    <xf numFmtId="0" fontId="89" fillId="0" borderId="1" xfId="98" applyFont="1" applyBorder="1"/>
    <xf numFmtId="0" fontId="88" fillId="6" borderId="4" xfId="98" applyFont="1" applyFill="1" applyBorder="1"/>
    <xf numFmtId="4" fontId="1" fillId="0" borderId="42" xfId="56" applyNumberFormat="1" applyFont="1" applyFill="1" applyBorder="1" applyAlignment="1">
      <alignment horizontal="right" wrapText="1"/>
    </xf>
    <xf numFmtId="3" fontId="88" fillId="0" borderId="2" xfId="98" applyNumberFormat="1" applyFont="1" applyBorder="1"/>
    <xf numFmtId="3" fontId="88" fillId="0" borderId="4" xfId="98" applyNumberFormat="1" applyFont="1" applyBorder="1"/>
    <xf numFmtId="0" fontId="89" fillId="0" borderId="4" xfId="98" applyFont="1" applyBorder="1"/>
    <xf numFmtId="0" fontId="83" fillId="0" borderId="4" xfId="98" applyFont="1" applyBorder="1" applyAlignment="1">
      <alignment horizontal="right"/>
    </xf>
    <xf numFmtId="0" fontId="88" fillId="0" borderId="0" xfId="98" applyFont="1" applyBorder="1"/>
    <xf numFmtId="0" fontId="94" fillId="6" borderId="0" xfId="0" applyFont="1" applyFill="1" applyAlignment="1">
      <alignment horizontal="center" wrapText="1"/>
    </xf>
    <xf numFmtId="0" fontId="19" fillId="0" borderId="0" xfId="98" applyBorder="1"/>
    <xf numFmtId="0" fontId="0" fillId="0" borderId="0" xfId="0"/>
    <xf numFmtId="0" fontId="0" fillId="0" borderId="0" xfId="0" applyFill="1"/>
    <xf numFmtId="164" fontId="6" fillId="0" borderId="4" xfId="170" applyNumberFormat="1" applyFont="1" applyFill="1" applyBorder="1" applyAlignment="1">
      <alignment horizontal="right" wrapText="1" readingOrder="2"/>
    </xf>
    <xf numFmtId="0" fontId="6" fillId="0" borderId="4" xfId="3" applyFont="1" applyFill="1" applyBorder="1" applyAlignment="1">
      <alignment readingOrder="1"/>
    </xf>
    <xf numFmtId="164" fontId="6" fillId="0" borderId="4" xfId="170" applyNumberFormat="1" applyFont="1" applyFill="1" applyBorder="1"/>
    <xf numFmtId="164" fontId="19" fillId="0" borderId="4" xfId="170" applyNumberFormat="1" applyFont="1" applyFill="1" applyBorder="1"/>
    <xf numFmtId="0" fontId="20" fillId="3" borderId="4" xfId="3" applyFont="1" applyFill="1" applyBorder="1" applyAlignment="1">
      <alignment readingOrder="1"/>
    </xf>
    <xf numFmtId="164" fontId="20" fillId="3" borderId="4" xfId="167" applyNumberFormat="1" applyFont="1" applyFill="1" applyBorder="1" applyAlignment="1">
      <alignment readingOrder="1"/>
    </xf>
    <xf numFmtId="164" fontId="6" fillId="0" borderId="4" xfId="167" applyNumberFormat="1" applyFont="1" applyFill="1" applyBorder="1" applyAlignment="1">
      <alignment readingOrder="1"/>
    </xf>
    <xf numFmtId="164" fontId="6" fillId="0" borderId="4" xfId="170" applyNumberFormat="1" applyFont="1" applyFill="1" applyBorder="1" applyAlignment="1">
      <alignment readingOrder="1"/>
    </xf>
    <xf numFmtId="164" fontId="6" fillId="0" borderId="4" xfId="170" applyNumberFormat="1" applyFont="1" applyFill="1" applyBorder="1" applyAlignment="1">
      <alignment horizontal="right"/>
    </xf>
    <xf numFmtId="164" fontId="20" fillId="3" borderId="4" xfId="170" applyNumberFormat="1" applyFont="1" applyFill="1" applyBorder="1" applyAlignment="1">
      <alignment horizontal="right" readingOrder="1"/>
    </xf>
    <xf numFmtId="0" fontId="52" fillId="46" borderId="4" xfId="3" applyFont="1" applyFill="1" applyBorder="1" applyAlignment="1">
      <alignment horizontal="center"/>
    </xf>
    <xf numFmtId="0" fontId="52" fillId="46" borderId="4" xfId="3" applyFont="1" applyFill="1" applyBorder="1" applyAlignment="1"/>
    <xf numFmtId="164" fontId="52" fillId="46" borderId="4" xfId="170" applyNumberFormat="1" applyFont="1" applyFill="1" applyBorder="1" applyAlignment="1">
      <alignment horizontal="center"/>
    </xf>
    <xf numFmtId="164" fontId="52" fillId="46" borderId="4" xfId="170" applyNumberFormat="1" applyFont="1" applyFill="1" applyBorder="1" applyAlignment="1">
      <alignment horizontal="center" wrapText="1"/>
    </xf>
    <xf numFmtId="164" fontId="54" fillId="46" borderId="4" xfId="170" applyNumberFormat="1" applyFont="1" applyFill="1" applyBorder="1" applyAlignment="1">
      <alignment horizontal="right"/>
    </xf>
    <xf numFmtId="0" fontId="6" fillId="0" borderId="4" xfId="3" applyNumberFormat="1" applyFont="1" applyFill="1" applyBorder="1" applyAlignment="1">
      <alignment readingOrder="1"/>
    </xf>
    <xf numFmtId="0" fontId="6" fillId="6" borderId="4" xfId="3" applyFont="1" applyFill="1" applyBorder="1" applyAlignment="1">
      <alignment readingOrder="1"/>
    </xf>
    <xf numFmtId="164" fontId="1" fillId="48" borderId="0" xfId="165" applyNumberFormat="1" applyFont="1" applyFill="1"/>
    <xf numFmtId="164" fontId="1" fillId="0" borderId="0" xfId="165" applyNumberFormat="1" applyFont="1" applyFill="1"/>
    <xf numFmtId="0" fontId="6" fillId="6" borderId="4" xfId="3" applyNumberFormat="1" applyFont="1" applyFill="1" applyBorder="1" applyAlignment="1">
      <alignment readingOrder="1"/>
    </xf>
    <xf numFmtId="164" fontId="6" fillId="6" borderId="4" xfId="170" applyNumberFormat="1" applyFont="1" applyFill="1" applyBorder="1"/>
    <xf numFmtId="164" fontId="19" fillId="6" borderId="4" xfId="170" applyNumberFormat="1" applyFont="1" applyFill="1" applyBorder="1"/>
    <xf numFmtId="0" fontId="0" fillId="0" borderId="0" xfId="0"/>
    <xf numFmtId="0" fontId="10" fillId="0" borderId="4" xfId="4" applyFont="1" applyFill="1" applyBorder="1"/>
    <xf numFmtId="41" fontId="10" fillId="0" borderId="4" xfId="167" applyNumberFormat="1" applyFont="1" applyFill="1" applyBorder="1"/>
    <xf numFmtId="0" fontId="8" fillId="0" borderId="0" xfId="4" applyFont="1" applyFill="1" applyBorder="1"/>
    <xf numFmtId="0" fontId="8" fillId="0" borderId="0" xfId="4" applyFont="1" applyBorder="1"/>
    <xf numFmtId="41" fontId="8" fillId="0" borderId="0" xfId="167" applyNumberFormat="1" applyFont="1" applyFill="1" applyBorder="1"/>
    <xf numFmtId="41" fontId="8" fillId="0" borderId="0" xfId="167" applyNumberFormat="1" applyFont="1" applyBorder="1" applyAlignment="1">
      <alignment horizontal="right" wrapText="1"/>
    </xf>
    <xf numFmtId="164" fontId="0" fillId="0" borderId="0" xfId="0" applyNumberFormat="1"/>
    <xf numFmtId="0" fontId="0" fillId="0" borderId="0" xfId="0" applyAlignment="1">
      <alignment wrapText="1"/>
    </xf>
    <xf numFmtId="0" fontId="6" fillId="0" borderId="4" xfId="3" applyFont="1" applyFill="1" applyBorder="1" applyAlignment="1">
      <alignment readingOrder="1"/>
    </xf>
    <xf numFmtId="164" fontId="19" fillId="0" borderId="4" xfId="170" applyNumberFormat="1" applyFont="1" applyFill="1" applyBorder="1"/>
    <xf numFmtId="0" fontId="9" fillId="0" borderId="4" xfId="4" applyFont="1" applyFill="1" applyBorder="1"/>
    <xf numFmtId="41" fontId="9" fillId="0" borderId="4" xfId="167" applyNumberFormat="1" applyFont="1" applyFill="1" applyBorder="1"/>
    <xf numFmtId="164" fontId="6" fillId="0" borderId="4" xfId="165" applyNumberFormat="1" applyFont="1" applyFill="1" applyBorder="1"/>
    <xf numFmtId="0" fontId="1" fillId="0" borderId="4" xfId="56" applyFont="1" applyFill="1" applyBorder="1"/>
    <xf numFmtId="164" fontId="0" fillId="0" borderId="4" xfId="165" applyNumberFormat="1" applyFont="1" applyFill="1" applyBorder="1"/>
    <xf numFmtId="0" fontId="9" fillId="0" borderId="13" xfId="4" applyFont="1" applyFill="1" applyBorder="1"/>
    <xf numFmtId="41" fontId="9" fillId="0" borderId="14" xfId="167" applyNumberFormat="1" applyFont="1" applyFill="1" applyBorder="1" applyAlignment="1">
      <alignment horizontal="right" wrapText="1"/>
    </xf>
    <xf numFmtId="49" fontId="9" fillId="0" borderId="14" xfId="167" applyNumberFormat="1" applyFont="1" applyFill="1" applyBorder="1" applyAlignment="1">
      <alignment horizontal="right" wrapText="1" readingOrder="2"/>
    </xf>
    <xf numFmtId="49" fontId="9" fillId="0" borderId="14" xfId="167" applyNumberFormat="1" applyFont="1" applyFill="1" applyBorder="1" applyAlignment="1" applyProtection="1">
      <alignment horizontal="right" wrapText="1"/>
      <protection locked="0"/>
    </xf>
    <xf numFmtId="0" fontId="0" fillId="0" borderId="14" xfId="0" applyFill="1" applyBorder="1" applyAlignment="1">
      <alignment wrapText="1"/>
    </xf>
    <xf numFmtId="0" fontId="0" fillId="0" borderId="14" xfId="0" applyFill="1" applyBorder="1"/>
    <xf numFmtId="41" fontId="9" fillId="0" borderId="13" xfId="4" applyNumberFormat="1" applyFont="1" applyFill="1" applyBorder="1"/>
    <xf numFmtId="0" fontId="6" fillId="0" borderId="14" xfId="54" applyFont="1" applyFill="1" applyBorder="1" applyAlignment="1">
      <alignment wrapText="1" readingOrder="2"/>
    </xf>
    <xf numFmtId="41" fontId="9" fillId="0" borderId="14" xfId="4" applyNumberFormat="1" applyFont="1" applyFill="1" applyBorder="1"/>
    <xf numFmtId="49" fontId="9" fillId="0" borderId="14" xfId="167" applyNumberFormat="1" applyFont="1" applyFill="1" applyBorder="1" applyAlignment="1">
      <alignment horizontal="right" wrapText="1"/>
    </xf>
    <xf numFmtId="0" fontId="6" fillId="0" borderId="14" xfId="0" applyFont="1" applyFill="1" applyBorder="1"/>
    <xf numFmtId="0" fontId="10" fillId="0" borderId="13" xfId="4" applyFont="1" applyFill="1" applyBorder="1"/>
    <xf numFmtId="164" fontId="10" fillId="0" borderId="14" xfId="167" applyNumberFormat="1" applyFont="1" applyFill="1" applyBorder="1" applyAlignment="1">
      <alignment horizontal="right" wrapText="1"/>
    </xf>
    <xf numFmtId="0" fontId="52" fillId="2" borderId="41" xfId="4" applyFont="1" applyFill="1" applyBorder="1"/>
    <xf numFmtId="0" fontId="52" fillId="2" borderId="42" xfId="4" applyFont="1" applyFill="1" applyBorder="1"/>
    <xf numFmtId="41" fontId="54" fillId="2" borderId="42" xfId="4" applyNumberFormat="1" applyFont="1" applyFill="1" applyBorder="1"/>
    <xf numFmtId="164" fontId="52" fillId="2" borderId="43" xfId="4" applyNumberFormat="1" applyFont="1" applyFill="1" applyBorder="1" applyAlignment="1">
      <alignment horizontal="right" wrapText="1"/>
    </xf>
    <xf numFmtId="0" fontId="6" fillId="45" borderId="14" xfId="0" applyFont="1" applyFill="1" applyBorder="1"/>
    <xf numFmtId="49" fontId="9" fillId="45" borderId="14" xfId="167" applyNumberFormat="1" applyFont="1" applyFill="1" applyBorder="1" applyAlignment="1">
      <alignment horizontal="right" wrapText="1" readingOrder="2"/>
    </xf>
    <xf numFmtId="41" fontId="9" fillId="45" borderId="14" xfId="167" applyNumberFormat="1" applyFont="1" applyFill="1" applyBorder="1" applyAlignment="1">
      <alignment horizontal="right" wrapText="1"/>
    </xf>
    <xf numFmtId="0" fontId="52" fillId="46" borderId="13" xfId="3" applyFont="1" applyFill="1" applyBorder="1" applyAlignment="1">
      <alignment horizontal="center"/>
    </xf>
    <xf numFmtId="0" fontId="52" fillId="46" borderId="4" xfId="3" applyFont="1" applyFill="1" applyBorder="1" applyAlignment="1">
      <alignment horizontal="center"/>
    </xf>
    <xf numFmtId="0" fontId="52" fillId="46" borderId="4" xfId="3" applyFont="1" applyFill="1" applyBorder="1" applyAlignment="1"/>
    <xf numFmtId="164" fontId="52" fillId="46" borderId="4" xfId="170" applyNumberFormat="1" applyFont="1" applyFill="1" applyBorder="1" applyAlignment="1">
      <alignment horizontal="center"/>
    </xf>
    <xf numFmtId="164" fontId="52" fillId="46" borderId="4" xfId="170" applyNumberFormat="1" applyFont="1" applyFill="1" applyBorder="1" applyAlignment="1">
      <alignment horizontal="center" wrapText="1"/>
    </xf>
    <xf numFmtId="164" fontId="54" fillId="46" borderId="14" xfId="170" applyNumberFormat="1" applyFont="1" applyFill="1" applyBorder="1" applyAlignment="1">
      <alignment horizontal="center"/>
    </xf>
    <xf numFmtId="0" fontId="52" fillId="46" borderId="3" xfId="3" applyFont="1" applyFill="1" applyBorder="1" applyAlignment="1">
      <alignment horizontal="center"/>
    </xf>
    <xf numFmtId="0" fontId="9" fillId="0" borderId="3" xfId="4" applyFont="1" applyFill="1" applyBorder="1"/>
    <xf numFmtId="0" fontId="52" fillId="2" borderId="52" xfId="4" applyFont="1" applyFill="1" applyBorder="1"/>
    <xf numFmtId="0" fontId="6" fillId="0" borderId="4" xfId="3" applyNumberFormat="1" applyFont="1" applyFill="1" applyBorder="1" applyAlignment="1">
      <alignment readingOrder="1"/>
    </xf>
    <xf numFmtId="0" fontId="9" fillId="0" borderId="3" xfId="4" applyNumberFormat="1" applyFont="1" applyFill="1" applyBorder="1"/>
    <xf numFmtId="0" fontId="6" fillId="0" borderId="3" xfId="3" applyNumberFormat="1" applyFont="1" applyFill="1" applyBorder="1" applyAlignment="1">
      <alignment readingOrder="1"/>
    </xf>
    <xf numFmtId="164" fontId="0" fillId="6" borderId="0" xfId="170" applyNumberFormat="1" applyFont="1" applyFill="1" applyAlignment="1">
      <alignment wrapText="1"/>
    </xf>
    <xf numFmtId="0" fontId="9" fillId="6" borderId="13" xfId="4" applyFont="1" applyFill="1" applyBorder="1"/>
    <xf numFmtId="0" fontId="9" fillId="6" borderId="3" xfId="4" applyNumberFormat="1" applyFont="1" applyFill="1" applyBorder="1"/>
    <xf numFmtId="0" fontId="9" fillId="6" borderId="4" xfId="4" applyFont="1" applyFill="1" applyBorder="1"/>
    <xf numFmtId="41" fontId="9" fillId="6" borderId="4" xfId="167" applyNumberFormat="1" applyFont="1" applyFill="1" applyBorder="1"/>
    <xf numFmtId="4" fontId="1" fillId="0" borderId="4" xfId="56" applyNumberFormat="1" applyFont="1" applyFill="1" applyBorder="1" applyAlignment="1">
      <alignment horizontal="right" wrapText="1"/>
    </xf>
    <xf numFmtId="4" fontId="35" fillId="0" borderId="4" xfId="56" applyNumberFormat="1" applyFont="1" applyFill="1" applyBorder="1" applyAlignment="1">
      <alignment horizontal="right" wrapText="1"/>
    </xf>
    <xf numFmtId="0" fontId="35" fillId="0" borderId="0" xfId="0" applyFont="1" applyAlignment="1">
      <alignment wrapText="1"/>
    </xf>
    <xf numFmtId="164" fontId="1" fillId="0" borderId="4" xfId="165" applyNumberFormat="1" applyFont="1" applyFill="1" applyBorder="1"/>
    <xf numFmtId="4" fontId="0" fillId="0" borderId="4" xfId="56" applyNumberFormat="1" applyFont="1" applyFill="1" applyBorder="1" applyAlignment="1">
      <alignment horizontal="right" wrapText="1"/>
    </xf>
    <xf numFmtId="4" fontId="1" fillId="0" borderId="4" xfId="56" applyNumberFormat="1" applyFont="1" applyFill="1" applyBorder="1" applyAlignment="1">
      <alignment horizontal="right" vertical="top" wrapText="1"/>
    </xf>
    <xf numFmtId="164" fontId="19" fillId="0" borderId="4" xfId="165" applyNumberFormat="1" applyFont="1" applyFill="1" applyBorder="1"/>
    <xf numFmtId="0" fontId="85" fillId="6" borderId="13" xfId="4" applyFont="1" applyFill="1" applyBorder="1"/>
    <xf numFmtId="0" fontId="85" fillId="6" borderId="3" xfId="4" applyNumberFormat="1" applyFont="1" applyFill="1" applyBorder="1"/>
    <xf numFmtId="0" fontId="85" fillId="6" borderId="4" xfId="4" applyFont="1" applyFill="1" applyBorder="1"/>
    <xf numFmtId="41" fontId="85" fillId="6" borderId="4" xfId="167" applyNumberFormat="1" applyFont="1" applyFill="1" applyBorder="1"/>
    <xf numFmtId="164" fontId="86" fillId="6" borderId="4" xfId="165" applyNumberFormat="1" applyFont="1" applyFill="1" applyBorder="1"/>
    <xf numFmtId="4" fontId="86" fillId="6" borderId="0" xfId="56" applyNumberFormat="1" applyFont="1" applyFill="1" applyBorder="1" applyAlignment="1">
      <alignment horizontal="right" wrapText="1"/>
    </xf>
    <xf numFmtId="4" fontId="0" fillId="0" borderId="4" xfId="56" applyNumberFormat="1" applyFont="1" applyFill="1" applyBorder="1" applyAlignment="1">
      <alignment horizontal="right" wrapText="1" readingOrder="2"/>
    </xf>
    <xf numFmtId="164" fontId="5" fillId="0" borderId="4" xfId="165" applyNumberFormat="1" applyFont="1" applyFill="1" applyBorder="1"/>
    <xf numFmtId="4" fontId="5" fillId="0" borderId="4" xfId="56" applyNumberFormat="1" applyFont="1" applyFill="1" applyBorder="1" applyAlignment="1">
      <alignment horizontal="right" wrapText="1"/>
    </xf>
    <xf numFmtId="0" fontId="35" fillId="0" borderId="4" xfId="0" applyFont="1" applyFill="1" applyBorder="1" applyAlignment="1">
      <alignment wrapText="1"/>
    </xf>
    <xf numFmtId="43" fontId="0" fillId="0" borderId="0" xfId="170" applyFont="1" applyAlignment="1">
      <alignment horizontal="right" wrapText="1"/>
    </xf>
    <xf numFmtId="9" fontId="0" fillId="0" borderId="0" xfId="0" applyNumberFormat="1" applyAlignment="1">
      <alignment wrapText="1"/>
    </xf>
    <xf numFmtId="0" fontId="86" fillId="6" borderId="0" xfId="0" applyFont="1" applyFill="1" applyAlignment="1">
      <alignment wrapText="1"/>
    </xf>
    <xf numFmtId="0" fontId="6" fillId="6" borderId="4" xfId="3" applyFont="1" applyFill="1" applyBorder="1" applyAlignment="1">
      <alignment readingOrder="1"/>
    </xf>
    <xf numFmtId="164" fontId="19" fillId="6" borderId="4" xfId="170" applyNumberFormat="1" applyFont="1" applyFill="1" applyBorder="1"/>
    <xf numFmtId="0" fontId="0" fillId="0" borderId="0" xfId="0"/>
    <xf numFmtId="164" fontId="19" fillId="0" borderId="4" xfId="170" applyNumberFormat="1" applyFont="1" applyFill="1" applyBorder="1"/>
    <xf numFmtId="0" fontId="9" fillId="0" borderId="4" xfId="4" applyFont="1" applyFill="1" applyBorder="1"/>
    <xf numFmtId="41" fontId="9" fillId="0" borderId="4" xfId="167" applyNumberFormat="1" applyFont="1" applyFill="1" applyBorder="1"/>
    <xf numFmtId="0" fontId="9" fillId="0" borderId="13" xfId="4" applyFont="1" applyFill="1" applyBorder="1"/>
    <xf numFmtId="41" fontId="9" fillId="0" borderId="14" xfId="167" applyNumberFormat="1" applyFont="1" applyFill="1" applyBorder="1" applyAlignment="1">
      <alignment horizontal="right" wrapText="1"/>
    </xf>
    <xf numFmtId="0" fontId="52" fillId="46" borderId="13" xfId="3" applyFont="1" applyFill="1" applyBorder="1" applyAlignment="1">
      <alignment horizontal="center"/>
    </xf>
    <xf numFmtId="0" fontId="52" fillId="46" borderId="4" xfId="3" applyFont="1" applyFill="1" applyBorder="1" applyAlignment="1">
      <alignment horizontal="center"/>
    </xf>
    <xf numFmtId="0" fontId="52" fillId="46" borderId="4" xfId="3" applyFont="1" applyFill="1" applyBorder="1" applyAlignment="1"/>
    <xf numFmtId="164" fontId="52" fillId="46" borderId="4" xfId="170" applyNumberFormat="1" applyFont="1" applyFill="1" applyBorder="1" applyAlignment="1">
      <alignment horizontal="center"/>
    </xf>
    <xf numFmtId="164" fontId="52" fillId="46" borderId="4" xfId="170" applyNumberFormat="1" applyFont="1" applyFill="1" applyBorder="1" applyAlignment="1">
      <alignment horizontal="center" wrapText="1"/>
    </xf>
    <xf numFmtId="164" fontId="54" fillId="46" borderId="14" xfId="170" applyNumberFormat="1" applyFont="1" applyFill="1" applyBorder="1" applyAlignment="1">
      <alignment horizontal="center"/>
    </xf>
    <xf numFmtId="0" fontId="52" fillId="46" borderId="3" xfId="3" applyFont="1" applyFill="1" applyBorder="1" applyAlignment="1">
      <alignment horizontal="center"/>
    </xf>
    <xf numFmtId="0" fontId="9" fillId="0" borderId="3" xfId="4" applyNumberFormat="1" applyFont="1" applyFill="1" applyBorder="1"/>
    <xf numFmtId="164" fontId="0" fillId="6" borderId="0" xfId="1" applyNumberFormat="1" applyFont="1" applyFill="1"/>
    <xf numFmtId="164" fontId="96" fillId="0" borderId="0" xfId="1" applyNumberFormat="1" applyFont="1"/>
    <xf numFmtId="0" fontId="0" fillId="0" borderId="0" xfId="0"/>
    <xf numFmtId="0" fontId="96" fillId="0" borderId="0" xfId="0" applyFont="1"/>
    <xf numFmtId="0" fontId="0" fillId="6" borderId="0" xfId="0" applyFill="1"/>
    <xf numFmtId="4" fontId="0" fillId="6" borderId="0" xfId="0" applyNumberFormat="1" applyFill="1"/>
    <xf numFmtId="0" fontId="0" fillId="0" borderId="0" xfId="0"/>
    <xf numFmtId="4" fontId="0" fillId="0" borderId="0" xfId="0" applyNumberFormat="1"/>
    <xf numFmtId="0" fontId="96" fillId="0" borderId="0" xfId="0" applyFont="1"/>
    <xf numFmtId="0" fontId="98" fillId="0" borderId="0" xfId="0" applyFont="1" applyAlignment="1">
      <alignment horizontal="right" vertical="center" readingOrder="2"/>
    </xf>
    <xf numFmtId="0" fontId="99" fillId="0" borderId="0" xfId="0" applyFont="1" applyAlignment="1">
      <alignment horizontal="right" vertical="center" readingOrder="2"/>
    </xf>
    <xf numFmtId="0" fontId="100" fillId="0" borderId="0" xfId="0" applyFont="1" applyAlignment="1">
      <alignment horizontal="right" vertical="center" readingOrder="2"/>
    </xf>
    <xf numFmtId="0" fontId="101" fillId="0" borderId="0" xfId="0" applyFont="1" applyAlignment="1">
      <alignment horizontal="right" vertical="center" readingOrder="2"/>
    </xf>
    <xf numFmtId="0" fontId="89" fillId="0" borderId="4" xfId="0" applyFont="1" applyBorder="1" applyAlignment="1">
      <alignment horizontal="center" vertical="center"/>
    </xf>
    <xf numFmtId="0" fontId="89" fillId="0" borderId="4" xfId="0" applyFont="1" applyBorder="1" applyAlignment="1">
      <alignment horizontal="center" vertical="center" wrapText="1"/>
    </xf>
    <xf numFmtId="0" fontId="88" fillId="0" borderId="4" xfId="0" applyFont="1" applyBorder="1"/>
    <xf numFmtId="3" fontId="88" fillId="0" borderId="4" xfId="0" applyNumberFormat="1" applyFont="1" applyBorder="1"/>
    <xf numFmtId="0" fontId="83" fillId="0" borderId="4" xfId="0" applyFont="1" applyBorder="1" applyAlignment="1">
      <alignment horizontal="right"/>
    </xf>
    <xf numFmtId="0" fontId="88" fillId="0" borderId="1" xfId="0" applyFont="1" applyBorder="1" applyAlignment="1"/>
    <xf numFmtId="0" fontId="88" fillId="0" borderId="2" xfId="0" applyFont="1" applyBorder="1" applyAlignment="1"/>
    <xf numFmtId="0" fontId="88" fillId="0" borderId="3" xfId="0" applyFont="1" applyBorder="1" applyAlignment="1"/>
    <xf numFmtId="0" fontId="88" fillId="0" borderId="4" xfId="0" applyFont="1" applyFill="1" applyBorder="1"/>
    <xf numFmtId="9" fontId="83" fillId="0" borderId="4" xfId="0" applyNumberFormat="1" applyFont="1" applyBorder="1" applyAlignment="1">
      <alignment horizontal="right" readingOrder="2"/>
    </xf>
    <xf numFmtId="0" fontId="89" fillId="0" borderId="1" xfId="0" applyFont="1" applyBorder="1" applyAlignment="1">
      <alignment horizontal="right"/>
    </xf>
    <xf numFmtId="0" fontId="89" fillId="0" borderId="2" xfId="0" applyFont="1" applyBorder="1" applyAlignment="1">
      <alignment horizontal="right"/>
    </xf>
    <xf numFmtId="3" fontId="88" fillId="0" borderId="2" xfId="0" applyNumberFormat="1" applyFont="1" applyBorder="1"/>
    <xf numFmtId="0" fontId="83" fillId="0" borderId="3" xfId="0" applyFont="1" applyBorder="1" applyAlignment="1">
      <alignment horizontal="right"/>
    </xf>
    <xf numFmtId="9" fontId="83" fillId="0" borderId="4" xfId="0" applyNumberFormat="1" applyFont="1" applyBorder="1" applyAlignment="1">
      <alignment horizontal="right"/>
    </xf>
    <xf numFmtId="0" fontId="92" fillId="0" borderId="4" xfId="0" applyFont="1" applyBorder="1"/>
    <xf numFmtId="0" fontId="83" fillId="0" borderId="4" xfId="0" applyFont="1" applyBorder="1" applyAlignment="1">
      <alignment horizontal="right" wrapText="1" readingOrder="2"/>
    </xf>
    <xf numFmtId="0" fontId="88" fillId="0" borderId="4" xfId="0" applyFont="1" applyBorder="1" applyAlignment="1">
      <alignment vertical="center"/>
    </xf>
    <xf numFmtId="3" fontId="88" fillId="0" borderId="4" xfId="0" applyNumberFormat="1" applyFont="1" applyBorder="1" applyAlignment="1">
      <alignment vertical="center"/>
    </xf>
    <xf numFmtId="0" fontId="83" fillId="0" borderId="4" xfId="0" applyFont="1" applyBorder="1" applyAlignment="1">
      <alignment horizontal="right" wrapText="1"/>
    </xf>
    <xf numFmtId="0" fontId="89" fillId="0" borderId="4" xfId="0" applyFont="1" applyBorder="1"/>
    <xf numFmtId="0" fontId="83" fillId="0" borderId="4" xfId="0" applyFont="1" applyBorder="1" applyAlignment="1">
      <alignment horizontal="right" readingOrder="2"/>
    </xf>
    <xf numFmtId="4" fontId="88" fillId="0" borderId="4" xfId="0" applyNumberFormat="1" applyFont="1" applyBorder="1"/>
    <xf numFmtId="0" fontId="88" fillId="0" borderId="5" xfId="0" applyFont="1" applyBorder="1"/>
    <xf numFmtId="3" fontId="88" fillId="0" borderId="5" xfId="0" applyNumberFormat="1" applyFont="1" applyBorder="1"/>
    <xf numFmtId="0" fontId="83" fillId="0" borderId="5" xfId="0" applyFont="1" applyBorder="1" applyAlignment="1">
      <alignment horizontal="right"/>
    </xf>
    <xf numFmtId="0" fontId="88" fillId="0" borderId="0" xfId="0" applyFont="1" applyBorder="1"/>
    <xf numFmtId="3" fontId="88" fillId="0" borderId="0" xfId="0" applyNumberFormat="1" applyFont="1" applyBorder="1"/>
    <xf numFmtId="0" fontId="83" fillId="0" borderId="0" xfId="0" applyFont="1" applyBorder="1" applyAlignment="1">
      <alignment horizontal="right"/>
    </xf>
    <xf numFmtId="0" fontId="88" fillId="0" borderId="7" xfId="0" applyFont="1" applyBorder="1"/>
    <xf numFmtId="3" fontId="88" fillId="0" borderId="7" xfId="0" applyNumberFormat="1" applyFont="1" applyBorder="1"/>
    <xf numFmtId="0" fontId="83" fillId="0" borderId="7" xfId="0" applyFont="1" applyBorder="1" applyAlignment="1">
      <alignment horizontal="right" readingOrder="2"/>
    </xf>
    <xf numFmtId="0" fontId="91" fillId="0" borderId="4" xfId="0" applyFont="1" applyBorder="1"/>
    <xf numFmtId="0" fontId="91" fillId="0" borderId="1" xfId="0" applyFont="1" applyBorder="1"/>
    <xf numFmtId="0" fontId="88" fillId="0" borderId="2" xfId="0" applyFont="1" applyBorder="1"/>
    <xf numFmtId="0" fontId="89" fillId="0" borderId="1" xfId="0" applyFont="1" applyBorder="1"/>
    <xf numFmtId="0" fontId="89" fillId="0" borderId="0" xfId="0" applyFont="1" applyBorder="1"/>
    <xf numFmtId="0" fontId="88" fillId="0" borderId="15" xfId="0" applyFont="1" applyBorder="1" applyAlignment="1">
      <alignment horizontal="center"/>
    </xf>
    <xf numFmtId="0" fontId="88" fillId="0" borderId="53" xfId="0" applyFont="1" applyBorder="1" applyAlignment="1">
      <alignment horizontal="center"/>
    </xf>
    <xf numFmtId="0" fontId="88" fillId="0" borderId="6" xfId="0" applyFont="1" applyBorder="1" applyAlignment="1">
      <alignment horizontal="center"/>
    </xf>
    <xf numFmtId="0" fontId="88" fillId="0" borderId="4" xfId="0" applyFont="1" applyFill="1" applyBorder="1" applyAlignment="1">
      <alignment vertical="center"/>
    </xf>
    <xf numFmtId="4" fontId="88" fillId="0" borderId="4" xfId="0" applyNumberFormat="1" applyFont="1" applyBorder="1" applyAlignment="1">
      <alignment vertical="center"/>
    </xf>
    <xf numFmtId="4" fontId="83" fillId="0" borderId="4" xfId="0" applyNumberFormat="1" applyFont="1" applyBorder="1" applyAlignment="1">
      <alignment horizontal="right" wrapText="1" readingOrder="2"/>
    </xf>
    <xf numFmtId="0" fontId="88" fillId="0" borderId="0" xfId="0" applyFont="1" applyFill="1" applyBorder="1"/>
    <xf numFmtId="4" fontId="88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93" fillId="0" borderId="0" xfId="0" applyFont="1"/>
    <xf numFmtId="0" fontId="0" fillId="0" borderId="0" xfId="0" applyFont="1"/>
    <xf numFmtId="164" fontId="0" fillId="0" borderId="0" xfId="1" applyNumberFormat="1" applyFont="1" applyBorder="1"/>
    <xf numFmtId="0" fontId="16" fillId="0" borderId="0" xfId="0" applyFont="1" applyBorder="1"/>
    <xf numFmtId="0" fontId="102" fillId="0" borderId="0" xfId="0" applyFont="1" applyBorder="1"/>
    <xf numFmtId="0" fontId="16" fillId="0" borderId="0" xfId="0" applyFont="1" applyBorder="1" applyAlignment="1">
      <alignment horizontal="right"/>
    </xf>
    <xf numFmtId="164" fontId="16" fillId="0" borderId="0" xfId="1" applyNumberFormat="1" applyFont="1" applyBorder="1"/>
    <xf numFmtId="0" fontId="62" fillId="0" borderId="0" xfId="0" applyFont="1" applyBorder="1"/>
    <xf numFmtId="0" fontId="103" fillId="2" borderId="0" xfId="4" applyFont="1" applyFill="1" applyBorder="1" applyAlignment="1">
      <alignment horizontal="right"/>
    </xf>
    <xf numFmtId="0" fontId="103" fillId="2" borderId="0" xfId="4" applyFont="1" applyFill="1" applyAlignment="1">
      <alignment horizontal="right" wrapText="1"/>
    </xf>
    <xf numFmtId="41" fontId="103" fillId="2" borderId="0" xfId="2" applyNumberFormat="1" applyFont="1" applyFill="1" applyBorder="1" applyAlignment="1">
      <alignment horizontal="right"/>
    </xf>
    <xf numFmtId="41" fontId="103" fillId="2" borderId="0" xfId="2" applyNumberFormat="1" applyFont="1" applyFill="1" applyAlignment="1">
      <alignment horizontal="right" wrapText="1"/>
    </xf>
    <xf numFmtId="0" fontId="8" fillId="0" borderId="0" xfId="3" applyFont="1" applyFill="1" applyBorder="1" applyAlignment="1">
      <alignment readingOrder="1"/>
    </xf>
    <xf numFmtId="0" fontId="8" fillId="49" borderId="0" xfId="3" applyFont="1" applyFill="1" applyBorder="1" applyAlignment="1">
      <alignment readingOrder="1"/>
    </xf>
    <xf numFmtId="164" fontId="104" fillId="0" borderId="0" xfId="1" applyNumberFormat="1" applyFont="1" applyFill="1" applyBorder="1"/>
    <xf numFmtId="164" fontId="104" fillId="50" borderId="0" xfId="1" applyNumberFormat="1" applyFont="1" applyFill="1" applyBorder="1"/>
    <xf numFmtId="0" fontId="104" fillId="0" borderId="0" xfId="0" applyFont="1" applyFill="1" applyBorder="1" applyAlignment="1">
      <alignment horizontal="right"/>
    </xf>
    <xf numFmtId="0" fontId="104" fillId="0" borderId="0" xfId="0" applyFont="1" applyFill="1" applyBorder="1"/>
    <xf numFmtId="0" fontId="104" fillId="0" borderId="0" xfId="1" applyNumberFormat="1" applyFont="1" applyFill="1" applyBorder="1"/>
    <xf numFmtId="164" fontId="104" fillId="6" borderId="0" xfId="1" applyNumberFormat="1" applyFont="1" applyFill="1" applyBorder="1"/>
    <xf numFmtId="43" fontId="104" fillId="0" borderId="0" xfId="0" applyNumberFormat="1" applyFont="1" applyFill="1" applyBorder="1"/>
    <xf numFmtId="0" fontId="105" fillId="49" borderId="0" xfId="3" applyFont="1" applyFill="1" applyBorder="1" applyAlignment="1">
      <alignment readingOrder="1"/>
    </xf>
    <xf numFmtId="164" fontId="64" fillId="50" borderId="0" xfId="1" applyNumberFormat="1" applyFont="1" applyFill="1" applyBorder="1"/>
    <xf numFmtId="0" fontId="106" fillId="51" borderId="0" xfId="3" applyFont="1" applyFill="1" applyBorder="1" applyAlignment="1">
      <alignment readingOrder="1"/>
    </xf>
    <xf numFmtId="164" fontId="106" fillId="51" borderId="0" xfId="2" applyNumberFormat="1" applyFont="1" applyFill="1" applyBorder="1" applyAlignment="1">
      <alignment readingOrder="1"/>
    </xf>
    <xf numFmtId="164" fontId="106" fillId="51" borderId="0" xfId="2" applyNumberFormat="1" applyFont="1" applyFill="1" applyBorder="1" applyAlignment="1">
      <alignment horizontal="right" readingOrder="1"/>
    </xf>
    <xf numFmtId="0" fontId="8" fillId="52" borderId="0" xfId="3" applyFont="1" applyFill="1" applyBorder="1" applyAlignment="1">
      <alignment readingOrder="1"/>
    </xf>
    <xf numFmtId="0" fontId="8" fillId="49" borderId="0" xfId="4" applyFont="1" applyFill="1" applyBorder="1"/>
    <xf numFmtId="0" fontId="8" fillId="52" borderId="0" xfId="4" applyFont="1" applyFill="1" applyBorder="1"/>
    <xf numFmtId="164" fontId="64" fillId="0" borderId="0" xfId="1" applyNumberFormat="1" applyFont="1" applyFill="1" applyBorder="1"/>
    <xf numFmtId="164" fontId="64" fillId="6" borderId="0" xfId="1" applyNumberFormat="1" applyFont="1" applyFill="1" applyBorder="1"/>
    <xf numFmtId="4" fontId="104" fillId="0" borderId="0" xfId="0" applyNumberFormat="1" applyFont="1" applyFill="1" applyBorder="1"/>
    <xf numFmtId="9" fontId="104" fillId="0" borderId="0" xfId="7" applyFont="1" applyFill="1" applyBorder="1"/>
    <xf numFmtId="41" fontId="104" fillId="0" borderId="0" xfId="0" applyNumberFormat="1" applyFont="1" applyFill="1" applyBorder="1"/>
    <xf numFmtId="0" fontId="8" fillId="53" borderId="0" xfId="3" applyFont="1" applyFill="1" applyBorder="1" applyAlignment="1">
      <alignment readingOrder="1"/>
    </xf>
    <xf numFmtId="41" fontId="3" fillId="0" borderId="0" xfId="2" applyNumberFormat="1" applyFont="1" applyFill="1" applyBorder="1" applyAlignment="1">
      <alignment horizontal="right" wrapText="1"/>
    </xf>
    <xf numFmtId="164" fontId="104" fillId="47" borderId="0" xfId="1" applyNumberFormat="1" applyFont="1" applyFill="1" applyBorder="1"/>
    <xf numFmtId="0" fontId="8" fillId="0" borderId="0" xfId="4" applyFont="1" applyFill="1" applyBorder="1" applyAlignment="1">
      <alignment wrapText="1"/>
    </xf>
    <xf numFmtId="164" fontId="104" fillId="0" borderId="0" xfId="0" applyNumberFormat="1" applyFont="1" applyFill="1" applyBorder="1"/>
    <xf numFmtId="0" fontId="8" fillId="0" borderId="0" xfId="4" applyNumberFormat="1" applyFont="1" applyFill="1" applyBorder="1" applyAlignment="1">
      <alignment wrapText="1" readingOrder="2"/>
    </xf>
    <xf numFmtId="164" fontId="104" fillId="0" borderId="0" xfId="0" applyNumberFormat="1" applyFont="1" applyFill="1" applyBorder="1" applyAlignment="1">
      <alignment horizontal="right"/>
    </xf>
    <xf numFmtId="0" fontId="105" fillId="49" borderId="0" xfId="4" applyFont="1" applyFill="1" applyBorder="1" applyAlignment="1">
      <alignment wrapText="1"/>
    </xf>
    <xf numFmtId="0" fontId="104" fillId="6" borderId="0" xfId="0" applyFont="1" applyFill="1" applyBorder="1"/>
    <xf numFmtId="0" fontId="105" fillId="49" borderId="0" xfId="4" applyFont="1" applyFill="1" applyBorder="1"/>
    <xf numFmtId="164" fontId="64" fillId="50" borderId="0" xfId="1" applyNumberFormat="1" applyFont="1" applyFill="1" applyBorder="1" applyAlignment="1">
      <alignment horizontal="right"/>
    </xf>
    <xf numFmtId="0" fontId="107" fillId="0" borderId="0" xfId="0" applyFont="1" applyBorder="1"/>
    <xf numFmtId="164" fontId="107" fillId="0" borderId="56" xfId="0" applyNumberFormat="1" applyFont="1" applyBorder="1"/>
    <xf numFmtId="164" fontId="16" fillId="0" borderId="0" xfId="0" applyNumberFormat="1" applyFont="1" applyBorder="1" applyAlignment="1">
      <alignment horizontal="right"/>
    </xf>
    <xf numFmtId="41" fontId="16" fillId="0" borderId="0" xfId="0" applyNumberFormat="1" applyFont="1" applyBorder="1"/>
    <xf numFmtId="41" fontId="16" fillId="0" borderId="0" xfId="0" applyNumberFormat="1" applyFont="1" applyBorder="1" applyAlignment="1">
      <alignment horizontal="right"/>
    </xf>
    <xf numFmtId="10" fontId="16" fillId="0" borderId="0" xfId="7" applyNumberFormat="1" applyFont="1" applyBorder="1"/>
    <xf numFmtId="10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/>
    <xf numFmtId="0" fontId="87" fillId="0" borderId="0" xfId="0" applyFont="1" applyBorder="1"/>
    <xf numFmtId="0" fontId="16" fillId="0" borderId="0" xfId="0" applyNumberFormat="1" applyFont="1" applyBorder="1" applyAlignment="1">
      <alignment wrapText="1" readingOrder="2"/>
    </xf>
    <xf numFmtId="0" fontId="103" fillId="2" borderId="0" xfId="4" applyFont="1" applyFill="1" applyAlignment="1">
      <alignment horizontal="right"/>
    </xf>
    <xf numFmtId="41" fontId="103" fillId="2" borderId="0" xfId="2" applyNumberFormat="1" applyFont="1" applyFill="1" applyAlignment="1">
      <alignment horizontal="right"/>
    </xf>
    <xf numFmtId="0" fontId="108" fillId="0" borderId="0" xfId="4" applyNumberFormat="1" applyFont="1" applyFill="1" applyAlignment="1">
      <alignment wrapText="1" readingOrder="2"/>
    </xf>
    <xf numFmtId="4" fontId="16" fillId="0" borderId="0" xfId="0" applyNumberFormat="1" applyFont="1"/>
    <xf numFmtId="0" fontId="108" fillId="0" borderId="0" xfId="4" applyFont="1" applyFill="1" applyAlignment="1">
      <alignment horizontal="right"/>
    </xf>
    <xf numFmtId="41" fontId="3" fillId="0" borderId="0" xfId="2" applyNumberFormat="1" applyFont="1" applyFill="1" applyBorder="1"/>
    <xf numFmtId="41" fontId="3" fillId="50" borderId="0" xfId="2" applyNumberFormat="1" applyFont="1" applyFill="1" applyBorder="1"/>
    <xf numFmtId="4" fontId="0" fillId="0" borderId="0" xfId="0" applyNumberFormat="1" applyFill="1"/>
    <xf numFmtId="0" fontId="20" fillId="0" borderId="0" xfId="0" applyFont="1" applyBorder="1" applyAlignment="1">
      <alignment wrapText="1"/>
    </xf>
    <xf numFmtId="0" fontId="3" fillId="0" borderId="0" xfId="4" applyFont="1" applyFill="1" applyBorder="1"/>
    <xf numFmtId="0" fontId="105" fillId="0" borderId="0" xfId="4" applyFont="1" applyFill="1" applyBorder="1"/>
    <xf numFmtId="41" fontId="110" fillId="0" borderId="0" xfId="2" applyNumberFormat="1" applyFont="1" applyFill="1" applyBorder="1" applyAlignment="1">
      <alignment horizontal="right" wrapText="1"/>
    </xf>
    <xf numFmtId="0" fontId="106" fillId="51" borderId="0" xfId="4" applyFont="1" applyFill="1" applyBorder="1"/>
    <xf numFmtId="41" fontId="111" fillId="51" borderId="0" xfId="2" applyNumberFormat="1" applyFont="1" applyFill="1" applyBorder="1"/>
    <xf numFmtId="164" fontId="111" fillId="51" borderId="0" xfId="2" applyNumberFormat="1" applyFont="1" applyFill="1" applyBorder="1" applyAlignment="1">
      <alignment horizontal="right" wrapText="1"/>
    </xf>
    <xf numFmtId="164" fontId="3" fillId="50" borderId="0" xfId="2" applyNumberFormat="1" applyFont="1" applyFill="1" applyBorder="1"/>
    <xf numFmtId="41" fontId="3" fillId="0" borderId="0" xfId="2" applyNumberFormat="1" applyFont="1" applyFill="1" applyBorder="1" applyAlignment="1">
      <alignment horizontal="right" wrapText="1" readingOrder="2"/>
    </xf>
    <xf numFmtId="0" fontId="8" fillId="0" borderId="0" xfId="4" applyNumberFormat="1" applyFont="1" applyFill="1" applyBorder="1" applyAlignment="1">
      <alignment horizontal="right"/>
    </xf>
    <xf numFmtId="41" fontId="3" fillId="0" borderId="0" xfId="6" applyNumberFormat="1" applyFont="1" applyFill="1" applyBorder="1" applyAlignment="1">
      <alignment horizontal="right" wrapText="1"/>
    </xf>
    <xf numFmtId="164" fontId="3" fillId="0" borderId="0" xfId="2" applyNumberFormat="1" applyFont="1" applyFill="1" applyBorder="1" applyAlignment="1">
      <alignment horizontal="right" wrapText="1"/>
    </xf>
    <xf numFmtId="49" fontId="8" fillId="0" borderId="0" xfId="4" applyNumberFormat="1" applyFont="1" applyFill="1" applyBorder="1" applyAlignment="1">
      <alignment horizontal="right"/>
    </xf>
    <xf numFmtId="0" fontId="3" fillId="49" borderId="0" xfId="4" applyFont="1" applyFill="1" applyBorder="1"/>
    <xf numFmtId="0" fontId="8" fillId="0" borderId="0" xfId="4" applyNumberFormat="1" applyFont="1" applyFill="1" applyBorder="1"/>
    <xf numFmtId="0" fontId="112" fillId="0" borderId="0" xfId="4" applyFont="1" applyFill="1" applyBorder="1" applyAlignment="1">
      <alignment readingOrder="2"/>
    </xf>
    <xf numFmtId="0" fontId="106" fillId="0" borderId="0" xfId="4" applyFont="1" applyFill="1" applyBorder="1"/>
    <xf numFmtId="49" fontId="3" fillId="0" borderId="0" xfId="2" applyNumberFormat="1" applyFont="1" applyFill="1" applyBorder="1" applyAlignment="1" applyProtection="1">
      <alignment horizontal="right" wrapText="1"/>
      <protection locked="0"/>
    </xf>
    <xf numFmtId="0" fontId="8" fillId="53" borderId="0" xfId="4" applyFont="1" applyFill="1" applyBorder="1"/>
    <xf numFmtId="41" fontId="111" fillId="0" borderId="0" xfId="2" applyNumberFormat="1" applyFont="1" applyFill="1" applyBorder="1" applyAlignment="1">
      <alignment horizontal="right" wrapText="1"/>
    </xf>
    <xf numFmtId="0" fontId="8" fillId="0" borderId="0" xfId="1" applyNumberFormat="1" applyFont="1" applyFill="1" applyBorder="1" applyAlignment="1">
      <alignment wrapText="1" readingOrder="2"/>
    </xf>
    <xf numFmtId="0" fontId="113" fillId="52" borderId="0" xfId="0" applyFont="1" applyFill="1"/>
    <xf numFmtId="0" fontId="8" fillId="0" borderId="0" xfId="1" applyNumberFormat="1" applyFont="1" applyFill="1" applyBorder="1" applyAlignment="1">
      <alignment horizontal="right" wrapText="1" readingOrder="2"/>
    </xf>
    <xf numFmtId="0" fontId="8" fillId="0" borderId="0" xfId="1" applyNumberFormat="1" applyFont="1" applyFill="1" applyBorder="1" applyAlignment="1">
      <alignment wrapText="1"/>
    </xf>
    <xf numFmtId="0" fontId="8" fillId="0" borderId="0" xfId="4" applyNumberFormat="1" applyFont="1" applyFill="1" applyBorder="1" applyAlignment="1">
      <alignment readingOrder="2"/>
    </xf>
    <xf numFmtId="0" fontId="110" fillId="0" borderId="0" xfId="4" applyFont="1" applyFill="1" applyBorder="1" applyAlignment="1">
      <alignment wrapText="1"/>
    </xf>
    <xf numFmtId="41" fontId="3" fillId="0" borderId="0" xfId="6" applyNumberFormat="1" applyFont="1" applyFill="1" applyBorder="1" applyAlignment="1">
      <alignment horizontal="right" wrapText="1" readingOrder="2"/>
    </xf>
    <xf numFmtId="0" fontId="0" fillId="0" borderId="0" xfId="0" applyNumberFormat="1" applyFill="1"/>
    <xf numFmtId="41" fontId="8" fillId="0" borderId="0" xfId="4" applyNumberFormat="1" applyFont="1" applyFill="1" applyBorder="1"/>
    <xf numFmtId="0" fontId="105" fillId="0" borderId="0" xfId="4" applyFont="1" applyFill="1" applyBorder="1" applyAlignment="1">
      <alignment readingOrder="2"/>
    </xf>
    <xf numFmtId="41" fontId="3" fillId="0" borderId="0" xfId="2" applyNumberFormat="1" applyFont="1" applyFill="1" applyBorder="1" applyAlignment="1">
      <alignment horizontal="right" vertical="top" wrapText="1"/>
    </xf>
    <xf numFmtId="49" fontId="3" fillId="0" borderId="0" xfId="2" applyNumberFormat="1" applyFont="1" applyFill="1" applyBorder="1" applyAlignment="1">
      <alignment horizontal="right" wrapText="1" readingOrder="2"/>
    </xf>
    <xf numFmtId="0" fontId="8" fillId="49" borderId="0" xfId="4" applyFont="1" applyFill="1" applyBorder="1" applyAlignment="1">
      <alignment wrapText="1"/>
    </xf>
    <xf numFmtId="41" fontId="109" fillId="0" borderId="0" xfId="2" applyNumberFormat="1" applyFont="1" applyFill="1" applyBorder="1" applyAlignment="1">
      <alignment horizontal="right" wrapText="1"/>
    </xf>
    <xf numFmtId="0" fontId="0" fillId="0" borderId="0" xfId="0" applyNumberFormat="1" applyAlignment="1">
      <alignment wrapText="1" readingOrder="2"/>
    </xf>
    <xf numFmtId="41" fontId="96" fillId="0" borderId="56" xfId="0" applyNumberFormat="1" applyFont="1" applyBorder="1"/>
    <xf numFmtId="41" fontId="0" fillId="0" borderId="0" xfId="0" applyNumberFormat="1" applyAlignment="1">
      <alignment wrapText="1" readingOrder="2"/>
    </xf>
    <xf numFmtId="0" fontId="8" fillId="6" borderId="0" xfId="4" applyFont="1" applyFill="1" applyBorder="1"/>
    <xf numFmtId="0" fontId="9" fillId="6" borderId="4" xfId="4" applyNumberFormat="1" applyFont="1" applyFill="1" applyBorder="1"/>
    <xf numFmtId="0" fontId="8" fillId="6" borderId="4" xfId="4" applyFont="1" applyFill="1" applyBorder="1"/>
    <xf numFmtId="0" fontId="105" fillId="6" borderId="0" xfId="4" applyFont="1" applyFill="1" applyBorder="1"/>
    <xf numFmtId="41" fontId="3" fillId="0" borderId="4" xfId="2" applyNumberFormat="1" applyFont="1" applyFill="1" applyBorder="1"/>
    <xf numFmtId="41" fontId="3" fillId="6" borderId="4" xfId="2" applyNumberFormat="1" applyFont="1" applyFill="1" applyBorder="1"/>
    <xf numFmtId="43" fontId="16" fillId="0" borderId="0" xfId="0" applyNumberFormat="1" applyFont="1" applyBorder="1"/>
    <xf numFmtId="164" fontId="96" fillId="0" borderId="28" xfId="1" applyNumberFormat="1" applyFont="1" applyBorder="1"/>
    <xf numFmtId="164" fontId="6" fillId="0" borderId="4" xfId="1" applyNumberFormat="1" applyFont="1" applyFill="1" applyBorder="1" applyAlignment="1">
      <alignment horizontal="center"/>
    </xf>
    <xf numFmtId="164" fontId="0" fillId="0" borderId="0" xfId="1" applyNumberFormat="1" applyFont="1" applyFill="1"/>
    <xf numFmtId="0" fontId="6" fillId="0" borderId="0" xfId="0" applyFont="1" applyFill="1"/>
    <xf numFmtId="49" fontId="6" fillId="0" borderId="4" xfId="3" applyNumberFormat="1" applyFont="1" applyFill="1" applyBorder="1" applyAlignment="1">
      <alignment horizontal="right" wrapText="1" readingOrder="2"/>
    </xf>
    <xf numFmtId="0" fontId="6" fillId="0" borderId="4" xfId="0" applyFont="1" applyFill="1" applyBorder="1"/>
    <xf numFmtId="0" fontId="114" fillId="0" borderId="0" xfId="0" applyNumberFormat="1" applyFont="1" applyFill="1" applyAlignment="1">
      <alignment horizontal="right"/>
    </xf>
    <xf numFmtId="0" fontId="114" fillId="0" borderId="0" xfId="0" applyFont="1" applyFill="1" applyAlignment="1">
      <alignment horizontal="right"/>
    </xf>
    <xf numFmtId="3" fontId="39" fillId="0" borderId="0" xfId="0" applyNumberFormat="1" applyFont="1" applyFill="1" applyAlignment="1">
      <alignment horizontal="right"/>
    </xf>
    <xf numFmtId="0" fontId="88" fillId="0" borderId="0" xfId="0" applyFont="1"/>
    <xf numFmtId="169" fontId="115" fillId="6" borderId="0" xfId="125" applyNumberFormat="1" applyFont="1" applyFill="1" applyAlignment="1">
      <alignment horizontal="right"/>
    </xf>
    <xf numFmtId="3" fontId="39" fillId="0" borderId="4" xfId="187" applyNumberFormat="1" applyFont="1" applyFill="1" applyBorder="1" applyAlignment="1">
      <alignment horizontal="right"/>
    </xf>
    <xf numFmtId="14" fontId="114" fillId="0" borderId="0" xfId="0" applyNumberFormat="1" applyFont="1" applyFill="1" applyAlignment="1">
      <alignment horizontal="right"/>
    </xf>
    <xf numFmtId="0" fontId="39" fillId="0" borderId="0" xfId="0" applyNumberFormat="1" applyFont="1" applyFill="1" applyAlignment="1">
      <alignment horizontal="right"/>
    </xf>
    <xf numFmtId="3" fontId="114" fillId="0" borderId="0" xfId="187" applyNumberFormat="1" applyFont="1" applyFill="1" applyAlignment="1">
      <alignment horizontal="right" vertical="center" wrapText="1"/>
    </xf>
    <xf numFmtId="3" fontId="115" fillId="0" borderId="0" xfId="187" applyNumberFormat="1" applyFont="1" applyFill="1" applyBorder="1" applyAlignment="1">
      <alignment horizontal="right"/>
    </xf>
    <xf numFmtId="0" fontId="39" fillId="0" borderId="4" xfId="187" applyNumberFormat="1" applyFont="1" applyFill="1" applyBorder="1" applyAlignment="1">
      <alignment horizontal="right"/>
    </xf>
    <xf numFmtId="3" fontId="115" fillId="47" borderId="0" xfId="187" applyNumberFormat="1" applyFont="1" applyFill="1" applyBorder="1" applyAlignment="1">
      <alignment horizontal="right"/>
    </xf>
    <xf numFmtId="0" fontId="39" fillId="0" borderId="0" xfId="0" applyFont="1" applyFill="1" applyBorder="1"/>
    <xf numFmtId="0" fontId="39" fillId="0" borderId="4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right"/>
    </xf>
    <xf numFmtId="3" fontId="39" fillId="49" borderId="4" xfId="187" applyNumberFormat="1" applyFont="1" applyFill="1" applyBorder="1" applyAlignment="1">
      <alignment horizontal="right"/>
    </xf>
    <xf numFmtId="0" fontId="88" fillId="0" borderId="0" xfId="0" applyFont="1" applyFill="1"/>
    <xf numFmtId="0" fontId="39" fillId="0" borderId="0" xfId="0" applyNumberFormat="1" applyFont="1" applyFill="1" applyBorder="1" applyAlignment="1">
      <alignment horizontal="right"/>
    </xf>
    <xf numFmtId="3" fontId="39" fillId="0" borderId="0" xfId="0" applyNumberFormat="1" applyFont="1" applyFill="1" applyBorder="1" applyAlignment="1">
      <alignment horizontal="right"/>
    </xf>
    <xf numFmtId="164" fontId="39" fillId="0" borderId="0" xfId="125" applyNumberFormat="1" applyFont="1" applyFill="1" applyAlignment="1">
      <alignment horizontal="right"/>
    </xf>
    <xf numFmtId="0" fontId="39" fillId="0" borderId="0" xfId="0" applyFont="1" applyFill="1"/>
    <xf numFmtId="0" fontId="116" fillId="0" borderId="0" xfId="0" applyFont="1" applyFill="1"/>
    <xf numFmtId="3" fontId="39" fillId="57" borderId="0" xfId="187" applyNumberFormat="1" applyFont="1" applyFill="1" applyBorder="1" applyAlignment="1">
      <alignment horizontal="right"/>
    </xf>
    <xf numFmtId="0" fontId="117" fillId="0" borderId="0" xfId="0" applyFont="1"/>
    <xf numFmtId="164" fontId="117" fillId="0" borderId="0" xfId="1" applyNumberFormat="1" applyFont="1"/>
    <xf numFmtId="164" fontId="41" fillId="43" borderId="49" xfId="6" applyNumberFormat="1" applyFont="1" applyFill="1" applyBorder="1" applyAlignment="1">
      <alignment horizontal="right"/>
    </xf>
    <xf numFmtId="164" fontId="41" fillId="43" borderId="50" xfId="6" applyNumberFormat="1" applyFont="1" applyFill="1" applyBorder="1" applyAlignment="1">
      <alignment horizontal="right"/>
    </xf>
    <xf numFmtId="164" fontId="41" fillId="43" borderId="50" xfId="6" applyNumberFormat="1" applyFont="1" applyFill="1" applyBorder="1" applyAlignment="1">
      <alignment horizontal="center"/>
    </xf>
    <xf numFmtId="164" fontId="41" fillId="43" borderId="51" xfId="6" applyNumberFormat="1" applyFont="1" applyFill="1" applyBorder="1" applyAlignment="1">
      <alignment horizontal="center"/>
    </xf>
    <xf numFmtId="0" fontId="118" fillId="0" borderId="8" xfId="0" applyFont="1" applyBorder="1"/>
    <xf numFmtId="0" fontId="118" fillId="0" borderId="7" xfId="0" applyFont="1" applyBorder="1"/>
    <xf numFmtId="164" fontId="118" fillId="0" borderId="7" xfId="1" applyNumberFormat="1" applyFont="1" applyBorder="1"/>
    <xf numFmtId="0" fontId="118" fillId="0" borderId="13" xfId="0" applyFont="1" applyBorder="1"/>
    <xf numFmtId="0" fontId="118" fillId="0" borderId="4" xfId="0" applyFont="1" applyBorder="1"/>
    <xf numFmtId="164" fontId="118" fillId="0" borderId="4" xfId="1" applyNumberFormat="1" applyFont="1" applyBorder="1"/>
    <xf numFmtId="0" fontId="14" fillId="0" borderId="4" xfId="4" applyFont="1" applyFill="1" applyBorder="1"/>
    <xf numFmtId="0" fontId="118" fillId="0" borderId="13" xfId="0" applyFont="1" applyFill="1" applyBorder="1"/>
    <xf numFmtId="164" fontId="41" fillId="43" borderId="30" xfId="6" applyNumberFormat="1" applyFont="1" applyFill="1" applyBorder="1" applyAlignment="1">
      <alignment horizontal="right"/>
    </xf>
    <xf numFmtId="164" fontId="41" fillId="43" borderId="30" xfId="6" applyNumberFormat="1" applyFont="1" applyFill="1" applyBorder="1" applyAlignment="1">
      <alignment horizontal="center"/>
    </xf>
    <xf numFmtId="0" fontId="120" fillId="5" borderId="0" xfId="9" applyFont="1" applyFill="1" applyAlignment="1">
      <alignment horizontal="right"/>
    </xf>
    <xf numFmtId="0" fontId="121" fillId="0" borderId="0" xfId="9" applyFont="1" applyAlignment="1">
      <alignment horizontal="right"/>
    </xf>
    <xf numFmtId="14" fontId="121" fillId="0" borderId="0" xfId="9" applyNumberFormat="1" applyFont="1" applyAlignment="1">
      <alignment horizontal="right"/>
    </xf>
    <xf numFmtId="165" fontId="121" fillId="0" borderId="0" xfId="8" applyNumberFormat="1" applyFont="1" applyAlignment="1">
      <alignment horizontal="right"/>
    </xf>
    <xf numFmtId="166" fontId="121" fillId="0" borderId="0" xfId="8" applyNumberFormat="1" applyFont="1" applyFill="1" applyAlignment="1">
      <alignment horizontal="right"/>
    </xf>
    <xf numFmtId="166" fontId="121" fillId="0" borderId="0" xfId="8" applyNumberFormat="1" applyFont="1" applyAlignment="1">
      <alignment horizontal="right"/>
    </xf>
    <xf numFmtId="164" fontId="120" fillId="5" borderId="0" xfId="1" applyNumberFormat="1" applyFont="1" applyFill="1" applyAlignment="1">
      <alignment horizontal="right"/>
    </xf>
    <xf numFmtId="164" fontId="122" fillId="43" borderId="8" xfId="6" applyNumberFormat="1" applyFont="1" applyFill="1" applyBorder="1" applyAlignment="1">
      <alignment horizontal="right" wrapText="1"/>
    </xf>
    <xf numFmtId="164" fontId="122" fillId="43" borderId="7" xfId="6" applyNumberFormat="1" applyFont="1" applyFill="1" applyBorder="1" applyAlignment="1">
      <alignment horizontal="right" wrapText="1"/>
    </xf>
    <xf numFmtId="164" fontId="122" fillId="0" borderId="7" xfId="6" applyNumberFormat="1" applyFont="1" applyFill="1" applyBorder="1" applyAlignment="1">
      <alignment horizontal="right" wrapText="1"/>
    </xf>
    <xf numFmtId="166" fontId="122" fillId="0" borderId="7" xfId="6" applyNumberFormat="1" applyFont="1" applyFill="1" applyBorder="1" applyAlignment="1">
      <alignment horizontal="right" wrapText="1"/>
    </xf>
    <xf numFmtId="164" fontId="123" fillId="39" borderId="8" xfId="6" applyNumberFormat="1" applyFont="1" applyFill="1" applyBorder="1" applyAlignment="1">
      <alignment horizontal="right" wrapText="1"/>
    </xf>
    <xf numFmtId="164" fontId="123" fillId="39" borderId="34" xfId="6" applyNumberFormat="1" applyFont="1" applyFill="1" applyBorder="1" applyAlignment="1">
      <alignment horizontal="right" wrapText="1"/>
    </xf>
    <xf numFmtId="164" fontId="123" fillId="39" borderId="36" xfId="6" applyNumberFormat="1" applyFont="1" applyFill="1" applyBorder="1" applyAlignment="1">
      <alignment horizontal="right" wrapText="1"/>
    </xf>
    <xf numFmtId="164" fontId="123" fillId="39" borderId="35" xfId="6" applyNumberFormat="1" applyFont="1" applyFill="1" applyBorder="1" applyAlignment="1">
      <alignment horizontal="right" wrapText="1"/>
    </xf>
    <xf numFmtId="0" fontId="124" fillId="0" borderId="0" xfId="11" applyFont="1" applyAlignment="1">
      <alignment horizontal="right" wrapText="1"/>
    </xf>
    <xf numFmtId="0" fontId="120" fillId="5" borderId="3" xfId="9" applyFont="1" applyFill="1" applyBorder="1" applyAlignment="1">
      <alignment horizontal="right" vertical="center"/>
    </xf>
    <xf numFmtId="0" fontId="120" fillId="5" borderId="4" xfId="9" applyFont="1" applyFill="1" applyBorder="1" applyAlignment="1">
      <alignment horizontal="right" vertical="center"/>
    </xf>
    <xf numFmtId="14" fontId="120" fillId="5" borderId="4" xfId="9" applyNumberFormat="1" applyFont="1" applyFill="1" applyBorder="1" applyAlignment="1">
      <alignment horizontal="right" vertical="center"/>
    </xf>
    <xf numFmtId="165" fontId="120" fillId="5" borderId="4" xfId="8" applyNumberFormat="1" applyFont="1" applyFill="1" applyBorder="1" applyAlignment="1">
      <alignment horizontal="right" vertical="center"/>
    </xf>
    <xf numFmtId="165" fontId="120" fillId="0" borderId="4" xfId="8" applyNumberFormat="1" applyFont="1" applyFill="1" applyBorder="1" applyAlignment="1">
      <alignment horizontal="right" vertical="center"/>
    </xf>
    <xf numFmtId="166" fontId="120" fillId="5" borderId="4" xfId="9" applyNumberFormat="1" applyFont="1" applyFill="1" applyBorder="1" applyAlignment="1">
      <alignment horizontal="right" vertical="center"/>
    </xf>
    <xf numFmtId="170" fontId="120" fillId="5" borderId="4" xfId="8" applyNumberFormat="1" applyFont="1" applyFill="1" applyBorder="1" applyAlignment="1">
      <alignment horizontal="right" vertical="center"/>
    </xf>
    <xf numFmtId="165" fontId="120" fillId="5" borderId="4" xfId="9" applyNumberFormat="1" applyFont="1" applyFill="1" applyBorder="1" applyAlignment="1">
      <alignment horizontal="right" vertical="center"/>
    </xf>
    <xf numFmtId="0" fontId="120" fillId="5" borderId="4" xfId="9" applyFont="1" applyFill="1" applyBorder="1" applyAlignment="1">
      <alignment horizontal="right" vertical="center" wrapText="1"/>
    </xf>
    <xf numFmtId="0" fontId="120" fillId="0" borderId="0" xfId="9" applyFont="1" applyFill="1" applyAlignment="1">
      <alignment horizontal="right"/>
    </xf>
    <xf numFmtId="0" fontId="120" fillId="0" borderId="4" xfId="9" applyFont="1" applyFill="1" applyBorder="1" applyAlignment="1">
      <alignment horizontal="right" vertical="center"/>
    </xf>
    <xf numFmtId="0" fontId="120" fillId="0" borderId="4" xfId="9" applyFont="1" applyFill="1" applyBorder="1" applyAlignment="1">
      <alignment horizontal="right" vertical="center" wrapText="1"/>
    </xf>
    <xf numFmtId="14" fontId="120" fillId="0" borderId="4" xfId="9" applyNumberFormat="1" applyFont="1" applyFill="1" applyBorder="1" applyAlignment="1">
      <alignment horizontal="right" vertical="center" wrapText="1"/>
    </xf>
    <xf numFmtId="0" fontId="120" fillId="4" borderId="3" xfId="9" applyFont="1" applyFill="1" applyBorder="1" applyAlignment="1">
      <alignment horizontal="right" vertical="center"/>
    </xf>
    <xf numFmtId="0" fontId="120" fillId="4" borderId="4" xfId="9" applyFont="1" applyFill="1" applyBorder="1" applyAlignment="1">
      <alignment horizontal="right" vertical="center"/>
    </xf>
    <xf numFmtId="14" fontId="120" fillId="4" borderId="4" xfId="9" applyNumberFormat="1" applyFont="1" applyFill="1" applyBorder="1" applyAlignment="1">
      <alignment horizontal="right" vertical="center"/>
    </xf>
    <xf numFmtId="165" fontId="120" fillId="4" borderId="4" xfId="8" applyNumberFormat="1" applyFont="1" applyFill="1" applyBorder="1" applyAlignment="1">
      <alignment horizontal="right" vertical="center"/>
    </xf>
    <xf numFmtId="0" fontId="120" fillId="4" borderId="4" xfId="9" applyFont="1" applyFill="1" applyBorder="1" applyAlignment="1">
      <alignment horizontal="right" vertical="center" wrapText="1"/>
    </xf>
    <xf numFmtId="0" fontId="120" fillId="4" borderId="0" xfId="9" applyFont="1" applyFill="1" applyAlignment="1">
      <alignment horizontal="right"/>
    </xf>
    <xf numFmtId="14" fontId="120" fillId="0" borderId="4" xfId="9" applyNumberFormat="1" applyFont="1" applyFill="1" applyBorder="1" applyAlignment="1">
      <alignment horizontal="right" vertical="center"/>
    </xf>
    <xf numFmtId="0" fontId="120" fillId="0" borderId="0" xfId="9" applyFont="1" applyFill="1" applyAlignment="1">
      <alignment horizontal="right" vertical="center" wrapText="1"/>
    </xf>
    <xf numFmtId="0" fontId="120" fillId="5" borderId="0" xfId="9" applyFont="1" applyFill="1" applyAlignment="1">
      <alignment horizontal="right" vertical="center"/>
    </xf>
    <xf numFmtId="0" fontId="120" fillId="0" borderId="0" xfId="9" applyFont="1" applyFill="1" applyAlignment="1">
      <alignment horizontal="right" vertical="center"/>
    </xf>
    <xf numFmtId="164" fontId="123" fillId="43" borderId="35" xfId="6" applyNumberFormat="1" applyFont="1" applyFill="1" applyBorder="1" applyAlignment="1">
      <alignment horizontal="right"/>
    </xf>
    <xf numFmtId="164" fontId="123" fillId="43" borderId="34" xfId="6" applyNumberFormat="1" applyFont="1" applyFill="1" applyBorder="1" applyAlignment="1">
      <alignment horizontal="right"/>
    </xf>
    <xf numFmtId="164" fontId="123" fillId="59" borderId="34" xfId="6" applyNumberFormat="1" applyFont="1" applyFill="1" applyBorder="1" applyAlignment="1">
      <alignment horizontal="right"/>
    </xf>
    <xf numFmtId="164" fontId="123" fillId="0" borderId="34" xfId="6" applyNumberFormat="1" applyFont="1" applyFill="1" applyBorder="1" applyAlignment="1">
      <alignment horizontal="right"/>
    </xf>
    <xf numFmtId="166" fontId="123" fillId="0" borderId="34" xfId="6" applyNumberFormat="1" applyFont="1" applyFill="1" applyBorder="1" applyAlignment="1">
      <alignment horizontal="right"/>
    </xf>
    <xf numFmtId="43" fontId="121" fillId="0" borderId="0" xfId="1" applyFont="1" applyFill="1" applyAlignment="1">
      <alignment horizontal="right"/>
    </xf>
    <xf numFmtId="164" fontId="123" fillId="39" borderId="35" xfId="6" applyNumberFormat="1" applyFont="1" applyFill="1" applyBorder="1" applyAlignment="1">
      <alignment horizontal="right"/>
    </xf>
    <xf numFmtId="14" fontId="120" fillId="5" borderId="0" xfId="9" applyNumberFormat="1" applyFont="1" applyFill="1" applyAlignment="1">
      <alignment horizontal="right"/>
    </xf>
    <xf numFmtId="165" fontId="120" fillId="5" borderId="0" xfId="8" applyNumberFormat="1" applyFont="1" applyFill="1" applyAlignment="1">
      <alignment horizontal="right"/>
    </xf>
    <xf numFmtId="166" fontId="120" fillId="0" borderId="0" xfId="8" applyNumberFormat="1" applyFont="1" applyFill="1" applyAlignment="1">
      <alignment horizontal="right"/>
    </xf>
    <xf numFmtId="166" fontId="120" fillId="5" borderId="0" xfId="8" applyNumberFormat="1" applyFont="1" applyFill="1" applyAlignment="1">
      <alignment horizontal="right"/>
    </xf>
    <xf numFmtId="164" fontId="125" fillId="0" borderId="0" xfId="1" applyNumberFormat="1" applyFont="1" applyAlignment="1">
      <alignment horizontal="right"/>
    </xf>
    <xf numFmtId="165" fontId="120" fillId="5" borderId="0" xfId="9" applyNumberFormat="1" applyFont="1" applyFill="1" applyAlignment="1">
      <alignment horizontal="right"/>
    </xf>
    <xf numFmtId="0" fontId="119" fillId="0" borderId="0" xfId="10" applyFont="1" applyFill="1" applyAlignment="1">
      <alignment horizontal="center"/>
    </xf>
    <xf numFmtId="0" fontId="126" fillId="6" borderId="0" xfId="0" applyFont="1" applyFill="1"/>
    <xf numFmtId="41" fontId="3" fillId="0" borderId="4" xfId="2" applyNumberFormat="1" applyFont="1" applyFill="1" applyBorder="1" applyAlignment="1">
      <alignment horizontal="right" wrapText="1"/>
    </xf>
    <xf numFmtId="0" fontId="0" fillId="0" borderId="0" xfId="0" pivotButton="1"/>
    <xf numFmtId="0" fontId="89" fillId="6" borderId="0" xfId="0" applyFont="1" applyFill="1"/>
    <xf numFmtId="3" fontId="116" fillId="0" borderId="0" xfId="0" applyNumberFormat="1" applyFont="1" applyFill="1" applyAlignment="1">
      <alignment horizontal="right"/>
    </xf>
    <xf numFmtId="3" fontId="39" fillId="6" borderId="4" xfId="187" applyNumberFormat="1" applyFont="1" applyFill="1" applyBorder="1" applyAlignment="1">
      <alignment horizontal="right"/>
    </xf>
    <xf numFmtId="3" fontId="39" fillId="42" borderId="4" xfId="187" applyNumberFormat="1" applyFont="1" applyFill="1" applyBorder="1" applyAlignment="1">
      <alignment horizontal="right"/>
    </xf>
    <xf numFmtId="3" fontId="116" fillId="0" borderId="0" xfId="0" applyNumberFormat="1" applyFont="1" applyFill="1" applyBorder="1" applyAlignment="1">
      <alignment horizontal="right"/>
    </xf>
    <xf numFmtId="0" fontId="39" fillId="56" borderId="0" xfId="0" applyFont="1" applyFill="1" applyAlignment="1">
      <alignment wrapText="1"/>
    </xf>
    <xf numFmtId="0" fontId="39" fillId="0" borderId="0" xfId="0" applyFont="1" applyFill="1" applyAlignment="1">
      <alignment horizontal="center" wrapText="1"/>
    </xf>
    <xf numFmtId="3" fontId="39" fillId="57" borderId="4" xfId="187" applyNumberFormat="1" applyFont="1" applyFill="1" applyBorder="1" applyAlignment="1">
      <alignment horizontal="right"/>
    </xf>
    <xf numFmtId="3" fontId="39" fillId="61" borderId="4" xfId="187" applyNumberFormat="1" applyFont="1" applyFill="1" applyBorder="1" applyAlignment="1">
      <alignment horizontal="right"/>
    </xf>
    <xf numFmtId="167" fontId="39" fillId="0" borderId="0" xfId="7" applyNumberFormat="1" applyFont="1" applyFill="1"/>
    <xf numFmtId="3" fontId="88" fillId="0" borderId="0" xfId="0" applyNumberFormat="1" applyFont="1"/>
    <xf numFmtId="3" fontId="39" fillId="45" borderId="0" xfId="187" applyNumberFormat="1" applyFont="1" applyFill="1" applyBorder="1" applyAlignment="1">
      <alignment horizontal="right"/>
    </xf>
    <xf numFmtId="0" fontId="115" fillId="0" borderId="53" xfId="0" applyFont="1" applyFill="1" applyBorder="1" applyAlignment="1">
      <alignment horizontal="center" wrapText="1"/>
    </xf>
    <xf numFmtId="0" fontId="115" fillId="0" borderId="0" xfId="0" applyFont="1" applyFill="1"/>
    <xf numFmtId="3" fontId="39" fillId="0" borderId="0" xfId="0" applyNumberFormat="1" applyFont="1" applyFill="1"/>
    <xf numFmtId="3" fontId="39" fillId="0" borderId="53" xfId="0" applyNumberFormat="1" applyFont="1" applyFill="1" applyBorder="1"/>
    <xf numFmtId="164" fontId="39" fillId="0" borderId="0" xfId="125" applyNumberFormat="1" applyFont="1" applyFill="1" applyBorder="1" applyAlignment="1">
      <alignment horizontal="right"/>
    </xf>
    <xf numFmtId="0" fontId="39" fillId="0" borderId="0" xfId="0" applyFont="1" applyFill="1" applyAlignment="1">
      <alignment horizontal="right"/>
    </xf>
    <xf numFmtId="3" fontId="39" fillId="62" borderId="4" xfId="187" applyNumberFormat="1" applyFont="1" applyFill="1" applyBorder="1" applyAlignment="1">
      <alignment horizontal="right"/>
    </xf>
    <xf numFmtId="3" fontId="39" fillId="45" borderId="4" xfId="187" applyNumberFormat="1" applyFont="1" applyFill="1" applyBorder="1" applyAlignment="1">
      <alignment horizontal="right"/>
    </xf>
    <xf numFmtId="164" fontId="114" fillId="0" borderId="0" xfId="125" applyNumberFormat="1" applyFont="1" applyFill="1" applyAlignment="1">
      <alignment horizontal="right" vertical="center" wrapText="1"/>
    </xf>
    <xf numFmtId="0" fontId="114" fillId="0" borderId="0" xfId="0" applyFont="1" applyFill="1" applyBorder="1" applyAlignment="1">
      <alignment horizontal="right" vertical="center" wrapText="1"/>
    </xf>
    <xf numFmtId="164" fontId="114" fillId="0" borderId="0" xfId="125" applyNumberFormat="1" applyFont="1" applyFill="1" applyBorder="1" applyAlignment="1">
      <alignment horizontal="right" vertical="center" wrapText="1"/>
    </xf>
    <xf numFmtId="0" fontId="114" fillId="0" borderId="0" xfId="0" applyFont="1" applyFill="1" applyAlignment="1">
      <alignment horizontal="right" vertical="center" wrapText="1"/>
    </xf>
    <xf numFmtId="0" fontId="115" fillId="0" borderId="0" xfId="0" applyFont="1" applyFill="1" applyAlignment="1">
      <alignment horizontal="right"/>
    </xf>
    <xf numFmtId="0" fontId="115" fillId="0" borderId="0" xfId="0" applyFont="1" applyFill="1" applyBorder="1" applyAlignment="1">
      <alignment horizontal="right"/>
    </xf>
    <xf numFmtId="0" fontId="115" fillId="47" borderId="0" xfId="0" applyFont="1" applyFill="1" applyBorder="1" applyAlignment="1">
      <alignment horizontal="right"/>
    </xf>
    <xf numFmtId="164" fontId="115" fillId="47" borderId="0" xfId="125" applyNumberFormat="1" applyFont="1" applyFill="1" applyBorder="1" applyAlignment="1">
      <alignment horizontal="right"/>
    </xf>
    <xf numFmtId="0" fontId="115" fillId="47" borderId="0" xfId="0" applyFont="1" applyFill="1" applyAlignment="1">
      <alignment horizontal="right"/>
    </xf>
    <xf numFmtId="0" fontId="39" fillId="0" borderId="53" xfId="0" applyFont="1" applyFill="1" applyBorder="1" applyAlignment="1">
      <alignment horizontal="right"/>
    </xf>
    <xf numFmtId="0" fontId="115" fillId="54" borderId="0" xfId="0" applyFont="1" applyFill="1" applyBorder="1" applyAlignment="1">
      <alignment horizontal="right"/>
    </xf>
    <xf numFmtId="0" fontId="115" fillId="54" borderId="53" xfId="0" applyFont="1" applyFill="1" applyBorder="1" applyAlignment="1">
      <alignment horizontal="right"/>
    </xf>
    <xf numFmtId="3" fontId="39" fillId="53" borderId="0" xfId="0" applyNumberFormat="1" applyFont="1" applyFill="1" applyAlignment="1">
      <alignment horizontal="right"/>
    </xf>
    <xf numFmtId="0" fontId="39" fillId="53" borderId="0" xfId="0" applyFont="1" applyFill="1" applyBorder="1" applyAlignment="1">
      <alignment horizontal="right"/>
    </xf>
    <xf numFmtId="0" fontId="39" fillId="53" borderId="0" xfId="0" applyFont="1" applyFill="1" applyAlignment="1">
      <alignment horizontal="right"/>
    </xf>
    <xf numFmtId="3" fontId="39" fillId="6" borderId="0" xfId="0" applyNumberFormat="1" applyFont="1" applyFill="1" applyAlignment="1">
      <alignment horizontal="right"/>
    </xf>
    <xf numFmtId="3" fontId="39" fillId="6" borderId="0" xfId="0" applyNumberFormat="1" applyFont="1" applyFill="1" applyBorder="1" applyAlignment="1">
      <alignment horizontal="right"/>
    </xf>
    <xf numFmtId="0" fontId="39" fillId="6" borderId="0" xfId="0" applyFont="1" applyFill="1" applyBorder="1" applyAlignment="1">
      <alignment horizontal="right"/>
    </xf>
    <xf numFmtId="0" fontId="39" fillId="6" borderId="0" xfId="0" applyFont="1" applyFill="1" applyAlignment="1">
      <alignment horizontal="right"/>
    </xf>
    <xf numFmtId="0" fontId="39" fillId="0" borderId="3" xfId="0" applyFont="1" applyFill="1" applyBorder="1" applyAlignment="1">
      <alignment horizontal="right"/>
    </xf>
    <xf numFmtId="0" fontId="39" fillId="49" borderId="0" xfId="0" applyFont="1" applyFill="1" applyBorder="1" applyAlignment="1">
      <alignment horizontal="right"/>
    </xf>
    <xf numFmtId="0" fontId="39" fillId="49" borderId="0" xfId="0" applyFont="1" applyFill="1" applyAlignment="1">
      <alignment horizontal="right"/>
    </xf>
    <xf numFmtId="0" fontId="115" fillId="47" borderId="57" xfId="0" applyFont="1" applyFill="1" applyBorder="1" applyAlignment="1">
      <alignment horizontal="right"/>
    </xf>
    <xf numFmtId="0" fontId="39" fillId="0" borderId="13" xfId="0" applyFont="1" applyFill="1" applyBorder="1"/>
    <xf numFmtId="0" fontId="115" fillId="6" borderId="0" xfId="0" applyFont="1" applyFill="1" applyBorder="1" applyAlignment="1">
      <alignment horizontal="right"/>
    </xf>
    <xf numFmtId="0" fontId="115" fillId="6" borderId="53" xfId="0" applyFont="1" applyFill="1" applyBorder="1" applyAlignment="1">
      <alignment horizontal="right"/>
    </xf>
    <xf numFmtId="0" fontId="115" fillId="47" borderId="2" xfId="0" applyFont="1" applyFill="1" applyBorder="1" applyAlignment="1">
      <alignment horizontal="right"/>
    </xf>
    <xf numFmtId="0" fontId="115" fillId="55" borderId="0" xfId="0" applyFont="1" applyFill="1" applyBorder="1" applyAlignment="1">
      <alignment horizontal="right"/>
    </xf>
    <xf numFmtId="0" fontId="115" fillId="55" borderId="56" xfId="0" applyFont="1" applyFill="1" applyBorder="1" applyAlignment="1">
      <alignment horizontal="right"/>
    </xf>
    <xf numFmtId="0" fontId="115" fillId="55" borderId="0" xfId="0" applyFont="1" applyFill="1" applyAlignment="1">
      <alignment horizontal="right"/>
    </xf>
    <xf numFmtId="0" fontId="115" fillId="54" borderId="0" xfId="0" applyFont="1" applyFill="1" applyAlignment="1">
      <alignment horizontal="right"/>
    </xf>
    <xf numFmtId="0" fontId="39" fillId="46" borderId="0" xfId="0" applyFont="1" applyFill="1" applyBorder="1" applyAlignment="1">
      <alignment horizontal="right"/>
    </xf>
    <xf numFmtId="164" fontId="39" fillId="46" borderId="0" xfId="125" applyNumberFormat="1" applyFont="1" applyFill="1" applyBorder="1" applyAlignment="1">
      <alignment horizontal="right"/>
    </xf>
    <xf numFmtId="0" fontId="39" fillId="46" borderId="0" xfId="0" applyFont="1" applyFill="1" applyAlignment="1">
      <alignment horizontal="right"/>
    </xf>
    <xf numFmtId="0" fontId="39" fillId="63" borderId="0" xfId="0" applyFont="1" applyFill="1" applyBorder="1" applyAlignment="1">
      <alignment horizontal="right"/>
    </xf>
    <xf numFmtId="0" fontId="39" fillId="63" borderId="0" xfId="0" applyFont="1" applyFill="1" applyAlignment="1">
      <alignment horizontal="right"/>
    </xf>
    <xf numFmtId="3" fontId="39" fillId="63" borderId="4" xfId="187" applyNumberFormat="1" applyFont="1" applyFill="1" applyBorder="1" applyAlignment="1">
      <alignment horizontal="right"/>
    </xf>
    <xf numFmtId="0" fontId="39" fillId="63" borderId="4" xfId="187" applyNumberFormat="1" applyFont="1" applyFill="1" applyBorder="1" applyAlignment="1">
      <alignment horizontal="right"/>
    </xf>
    <xf numFmtId="0" fontId="39" fillId="64" borderId="0" xfId="0" applyFont="1" applyFill="1" applyBorder="1" applyAlignment="1">
      <alignment horizontal="right"/>
    </xf>
    <xf numFmtId="0" fontId="39" fillId="64" borderId="0" xfId="0" applyFont="1" applyFill="1" applyAlignment="1">
      <alignment horizontal="right"/>
    </xf>
    <xf numFmtId="3" fontId="39" fillId="42" borderId="0" xfId="0" applyNumberFormat="1" applyFont="1" applyFill="1" applyAlignment="1">
      <alignment horizontal="right"/>
    </xf>
    <xf numFmtId="0" fontId="39" fillId="42" borderId="0" xfId="0" applyFont="1" applyFill="1" applyBorder="1" applyAlignment="1">
      <alignment horizontal="right"/>
    </xf>
    <xf numFmtId="0" fontId="39" fillId="63" borderId="3" xfId="0" applyFont="1" applyFill="1" applyBorder="1" applyAlignment="1">
      <alignment horizontal="right"/>
    </xf>
    <xf numFmtId="0" fontId="39" fillId="63" borderId="4" xfId="0" applyFont="1" applyFill="1" applyBorder="1" applyAlignment="1">
      <alignment horizontal="right"/>
    </xf>
    <xf numFmtId="0" fontId="115" fillId="6" borderId="0" xfId="0" applyFont="1" applyFill="1" applyAlignment="1">
      <alignment horizontal="right"/>
    </xf>
    <xf numFmtId="0" fontId="115" fillId="54" borderId="2" xfId="0" applyFont="1" applyFill="1" applyBorder="1" applyAlignment="1">
      <alignment horizontal="right"/>
    </xf>
    <xf numFmtId="164" fontId="115" fillId="0" borderId="0" xfId="125" applyNumberFormat="1" applyFont="1" applyFill="1" applyBorder="1" applyAlignment="1">
      <alignment horizontal="right"/>
    </xf>
    <xf numFmtId="0" fontId="115" fillId="0" borderId="53" xfId="0" applyFont="1" applyFill="1" applyBorder="1" applyAlignment="1">
      <alignment horizontal="right"/>
    </xf>
    <xf numFmtId="0" fontId="39" fillId="47" borderId="0" xfId="0" applyFont="1" applyFill="1" applyBorder="1" applyAlignment="1">
      <alignment horizontal="right"/>
    </xf>
    <xf numFmtId="0" fontId="39" fillId="47" borderId="0" xfId="0" applyFont="1" applyFill="1" applyAlignment="1">
      <alignment horizontal="right"/>
    </xf>
    <xf numFmtId="0" fontId="39" fillId="60" borderId="0" xfId="0" applyFont="1" applyFill="1" applyBorder="1" applyAlignment="1">
      <alignment horizontal="right"/>
    </xf>
    <xf numFmtId="0" fontId="39" fillId="60" borderId="0" xfId="0" applyFont="1" applyFill="1" applyAlignment="1">
      <alignment horizontal="right"/>
    </xf>
    <xf numFmtId="0" fontId="39" fillId="4" borderId="0" xfId="0" applyFont="1" applyFill="1" applyBorder="1" applyAlignment="1">
      <alignment horizontal="right"/>
    </xf>
    <xf numFmtId="0" fontId="39" fillId="4" borderId="0" xfId="0" applyFont="1" applyFill="1" applyAlignment="1">
      <alignment horizontal="right"/>
    </xf>
    <xf numFmtId="0" fontId="39" fillId="54" borderId="0" xfId="0" applyFont="1" applyFill="1" applyBorder="1" applyAlignment="1">
      <alignment horizontal="right"/>
    </xf>
    <xf numFmtId="0" fontId="39" fillId="54" borderId="0" xfId="0" applyFont="1" applyFill="1" applyAlignment="1">
      <alignment horizontal="right"/>
    </xf>
    <xf numFmtId="0" fontId="114" fillId="0" borderId="0" xfId="0" applyFont="1" applyFill="1" applyBorder="1" applyAlignment="1">
      <alignment horizontal="right"/>
    </xf>
    <xf numFmtId="0" fontId="39" fillId="55" borderId="0" xfId="0" applyFont="1" applyFill="1" applyBorder="1" applyAlignment="1">
      <alignment horizontal="right"/>
    </xf>
    <xf numFmtId="0" fontId="39" fillId="55" borderId="0" xfId="0" applyFont="1" applyFill="1" applyAlignment="1">
      <alignment horizontal="right"/>
    </xf>
    <xf numFmtId="164" fontId="39" fillId="0" borderId="0" xfId="188" applyNumberFormat="1" applyFont="1" applyFill="1" applyAlignment="1">
      <alignment horizontal="right"/>
    </xf>
    <xf numFmtId="43" fontId="39" fillId="0" borderId="0" xfId="0" applyNumberFormat="1" applyFont="1" applyFill="1"/>
    <xf numFmtId="164" fontId="39" fillId="0" borderId="0" xfId="188" applyNumberFormat="1" applyFont="1" applyFill="1"/>
    <xf numFmtId="0" fontId="19" fillId="6" borderId="0" xfId="0" applyFont="1" applyFill="1" applyAlignment="1">
      <alignment horizontal="right"/>
    </xf>
    <xf numFmtId="1" fontId="131" fillId="0" borderId="17" xfId="0" applyNumberFormat="1" applyFont="1" applyFill="1" applyBorder="1" applyAlignment="1">
      <alignment horizontal="right"/>
    </xf>
    <xf numFmtId="0" fontId="132" fillId="0" borderId="18" xfId="0" applyFont="1" applyFill="1" applyBorder="1"/>
    <xf numFmtId="164" fontId="132" fillId="0" borderId="18" xfId="0" applyNumberFormat="1" applyFont="1" applyFill="1" applyBorder="1"/>
    <xf numFmtId="164" fontId="52" fillId="46" borderId="4" xfId="1" applyNumberFormat="1" applyFont="1" applyFill="1" applyBorder="1" applyAlignment="1"/>
    <xf numFmtId="164" fontId="9" fillId="0" borderId="4" xfId="1" applyNumberFormat="1" applyFont="1" applyFill="1" applyBorder="1"/>
    <xf numFmtId="164" fontId="23" fillId="3" borderId="4" xfId="1" applyNumberFormat="1" applyFont="1" applyFill="1" applyBorder="1"/>
    <xf numFmtId="164" fontId="1" fillId="0" borderId="4" xfId="1" applyNumberFormat="1" applyFont="1" applyFill="1" applyBorder="1"/>
    <xf numFmtId="164" fontId="8" fillId="0" borderId="0" xfId="1" applyNumberFormat="1" applyFont="1" applyFill="1" applyBorder="1"/>
    <xf numFmtId="164" fontId="10" fillId="0" borderId="4" xfId="1" applyNumberFormat="1" applyFont="1" applyFill="1" applyBorder="1"/>
    <xf numFmtId="0" fontId="23" fillId="65" borderId="4" xfId="4" applyFont="1" applyFill="1" applyBorder="1"/>
    <xf numFmtId="169" fontId="115" fillId="6" borderId="0" xfId="188" applyNumberFormat="1" applyFont="1" applyFill="1" applyAlignment="1">
      <alignment horizontal="right"/>
    </xf>
    <xf numFmtId="169" fontId="39" fillId="56" borderId="0" xfId="188" applyNumberFormat="1" applyFont="1" applyFill="1" applyAlignment="1">
      <alignment horizontal="right"/>
    </xf>
    <xf numFmtId="164" fontId="88" fillId="0" borderId="0" xfId="188" applyNumberFormat="1" applyFont="1"/>
    <xf numFmtId="164" fontId="51" fillId="39" borderId="5" xfId="0" applyNumberFormat="1" applyFont="1" applyFill="1" applyBorder="1" applyAlignment="1">
      <alignment horizontal="center"/>
    </xf>
    <xf numFmtId="164" fontId="133" fillId="67" borderId="5" xfId="6" applyNumberFormat="1" applyFont="1" applyFill="1" applyBorder="1" applyAlignment="1">
      <alignment horizontal="center" vertical="center"/>
    </xf>
    <xf numFmtId="164" fontId="133" fillId="67" borderId="5" xfId="6" applyNumberFormat="1" applyFont="1" applyFill="1" applyBorder="1" applyAlignment="1">
      <alignment horizontal="center" vertical="center" wrapText="1"/>
    </xf>
    <xf numFmtId="164" fontId="17" fillId="5" borderId="2" xfId="12" applyNumberFormat="1" applyFont="1" applyFill="1" applyBorder="1" applyAlignment="1">
      <alignment horizontal="right" readingOrder="1"/>
    </xf>
    <xf numFmtId="49" fontId="134" fillId="5" borderId="4" xfId="11" applyNumberFormat="1" applyFont="1" applyFill="1" applyBorder="1" applyAlignment="1">
      <alignment horizontal="right"/>
    </xf>
    <xf numFmtId="164" fontId="17" fillId="5" borderId="3" xfId="12" applyNumberFormat="1" applyFont="1" applyFill="1" applyBorder="1" applyAlignment="1">
      <alignment horizontal="right" readingOrder="1"/>
    </xf>
    <xf numFmtId="0" fontId="69" fillId="5" borderId="4" xfId="11" applyFont="1" applyFill="1" applyBorder="1" applyAlignment="1">
      <alignment horizontal="right"/>
    </xf>
    <xf numFmtId="0" fontId="113" fillId="0" borderId="4" xfId="11" applyFont="1" applyBorder="1"/>
    <xf numFmtId="0" fontId="68" fillId="0" borderId="4" xfId="11" applyFont="1" applyBorder="1"/>
    <xf numFmtId="0" fontId="136" fillId="0" borderId="0" xfId="0" applyFont="1" applyFill="1" applyBorder="1" applyAlignment="1">
      <alignment wrapText="1" readingOrder="2"/>
    </xf>
    <xf numFmtId="0" fontId="6" fillId="0" borderId="3" xfId="133" applyNumberFormat="1" applyFont="1" applyFill="1" applyBorder="1" applyAlignment="1">
      <alignment readingOrder="1"/>
    </xf>
    <xf numFmtId="164" fontId="120" fillId="5" borderId="0" xfId="1" applyNumberFormat="1" applyFont="1" applyFill="1" applyAlignment="1"/>
    <xf numFmtId="164" fontId="122" fillId="43" borderId="7" xfId="6" applyNumberFormat="1" applyFont="1" applyFill="1" applyBorder="1" applyAlignment="1">
      <alignment wrapText="1"/>
    </xf>
    <xf numFmtId="165" fontId="120" fillId="5" borderId="4" xfId="9" applyNumberFormat="1" applyFont="1" applyFill="1" applyBorder="1" applyAlignment="1">
      <alignment vertical="center"/>
    </xf>
    <xf numFmtId="165" fontId="120" fillId="0" borderId="4" xfId="9" applyNumberFormat="1" applyFont="1" applyFill="1" applyBorder="1" applyAlignment="1">
      <alignment vertical="center"/>
    </xf>
    <xf numFmtId="165" fontId="120" fillId="4" borderId="4" xfId="9" applyNumberFormat="1" applyFont="1" applyFill="1" applyBorder="1" applyAlignment="1">
      <alignment vertical="center"/>
    </xf>
    <xf numFmtId="165" fontId="120" fillId="5" borderId="4" xfId="9" applyNumberFormat="1" applyFont="1" applyFill="1" applyBorder="1" applyAlignment="1">
      <alignment vertical="center" wrapText="1"/>
    </xf>
    <xf numFmtId="164" fontId="123" fillId="43" borderId="34" xfId="6" applyNumberFormat="1" applyFont="1" applyFill="1" applyBorder="1" applyAlignment="1"/>
    <xf numFmtId="164" fontId="125" fillId="0" borderId="0" xfId="1" applyNumberFormat="1" applyFont="1" applyAlignment="1"/>
    <xf numFmtId="164" fontId="96" fillId="0" borderId="0" xfId="0" applyNumberFormat="1" applyFont="1" applyFill="1" applyBorder="1" applyAlignment="1">
      <alignment readingOrder="2"/>
    </xf>
    <xf numFmtId="164" fontId="137" fillId="0" borderId="5" xfId="0" applyNumberFormat="1" applyFont="1" applyBorder="1"/>
    <xf numFmtId="164" fontId="23" fillId="65" borderId="4" xfId="1" applyNumberFormat="1" applyFont="1" applyFill="1" applyBorder="1"/>
    <xf numFmtId="41" fontId="23" fillId="65" borderId="4" xfId="2" applyNumberFormat="1" applyFont="1" applyFill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96" fillId="65" borderId="4" xfId="0" applyFont="1" applyFill="1" applyBorder="1" applyAlignment="1">
      <alignment horizontal="center"/>
    </xf>
    <xf numFmtId="0" fontId="78" fillId="0" borderId="6" xfId="0" applyFont="1" applyBorder="1"/>
    <xf numFmtId="0" fontId="78" fillId="0" borderId="3" xfId="0" applyFont="1" applyBorder="1"/>
    <xf numFmtId="0" fontId="78" fillId="0" borderId="3" xfId="0" applyFont="1" applyFill="1" applyBorder="1"/>
    <xf numFmtId="164" fontId="52" fillId="43" borderId="59" xfId="6" applyNumberFormat="1" applyFont="1" applyFill="1" applyBorder="1" applyAlignment="1">
      <alignment horizontal="right"/>
    </xf>
    <xf numFmtId="164" fontId="52" fillId="43" borderId="58" xfId="6" applyNumberFormat="1" applyFont="1" applyFill="1" applyBorder="1" applyAlignment="1">
      <alignment horizontal="right"/>
    </xf>
    <xf numFmtId="0" fontId="78" fillId="0" borderId="4" xfId="0" applyFont="1" applyBorder="1"/>
    <xf numFmtId="0" fontId="120" fillId="5" borderId="4" xfId="9" applyFont="1" applyFill="1" applyBorder="1" applyAlignment="1">
      <alignment vertical="center" wrapText="1"/>
    </xf>
    <xf numFmtId="164" fontId="117" fillId="0" borderId="0" xfId="0" applyNumberFormat="1" applyFont="1"/>
    <xf numFmtId="0" fontId="19" fillId="0" borderId="0" xfId="0" applyFont="1" applyFill="1"/>
    <xf numFmtId="0" fontId="44" fillId="5" borderId="4" xfId="9" applyNumberFormat="1" applyFont="1" applyFill="1" applyBorder="1" applyAlignment="1">
      <alignment horizontal="right" vertical="center"/>
    </xf>
    <xf numFmtId="0" fontId="13" fillId="68" borderId="4" xfId="9" applyNumberFormat="1" applyFont="1" applyFill="1" applyBorder="1" applyAlignment="1">
      <alignment horizontal="right"/>
    </xf>
    <xf numFmtId="0" fontId="125" fillId="68" borderId="4" xfId="9" applyNumberFormat="1" applyFont="1" applyFill="1" applyBorder="1" applyAlignment="1">
      <alignment horizontal="right"/>
    </xf>
    <xf numFmtId="165" fontId="44" fillId="68" borderId="4" xfId="8" applyNumberFormat="1" applyFont="1" applyFill="1" applyBorder="1" applyAlignment="1">
      <alignment horizontal="right" vertical="center"/>
    </xf>
    <xf numFmtId="165" fontId="44" fillId="53" borderId="4" xfId="8" applyNumberFormat="1" applyFont="1" applyFill="1" applyBorder="1" applyAlignment="1">
      <alignment horizontal="right" vertical="center"/>
    </xf>
    <xf numFmtId="170" fontId="44" fillId="5" borderId="4" xfId="8" applyNumberFormat="1" applyFont="1" applyFill="1" applyBorder="1" applyAlignment="1">
      <alignment horizontal="right" vertical="center"/>
    </xf>
    <xf numFmtId="164" fontId="8" fillId="0" borderId="4" xfId="1" applyNumberFormat="1" applyFont="1" applyFill="1" applyBorder="1"/>
    <xf numFmtId="3" fontId="39" fillId="58" borderId="4" xfId="187" applyNumberFormat="1" applyFont="1" applyFill="1" applyBorder="1" applyAlignment="1">
      <alignment horizontal="right"/>
    </xf>
    <xf numFmtId="3" fontId="39" fillId="66" borderId="4" xfId="187" applyNumberFormat="1" applyFont="1" applyFill="1" applyBorder="1" applyAlignment="1">
      <alignment horizontal="right"/>
    </xf>
    <xf numFmtId="0" fontId="0" fillId="0" borderId="0" xfId="0"/>
    <xf numFmtId="164" fontId="0" fillId="0" borderId="0" xfId="0" applyNumberFormat="1"/>
    <xf numFmtId="0" fontId="9" fillId="0" borderId="4" xfId="4" applyFont="1" applyFill="1" applyBorder="1"/>
    <xf numFmtId="3" fontId="127" fillId="0" borderId="0" xfId="187" applyNumberFormat="1" applyFont="1" applyFill="1" applyAlignment="1">
      <alignment horizontal="right" vertical="center" wrapText="1"/>
    </xf>
    <xf numFmtId="3" fontId="115" fillId="0" borderId="0" xfId="187" applyNumberFormat="1" applyFont="1" applyFill="1" applyBorder="1" applyAlignment="1">
      <alignment horizontal="right"/>
    </xf>
    <xf numFmtId="0" fontId="115" fillId="0" borderId="0" xfId="187" applyNumberFormat="1" applyFont="1" applyFill="1" applyBorder="1" applyAlignment="1">
      <alignment horizontal="right"/>
    </xf>
    <xf numFmtId="3" fontId="128" fillId="0" borderId="0" xfId="187" applyNumberFormat="1" applyFont="1" applyFill="1" applyBorder="1" applyAlignment="1">
      <alignment horizontal="right"/>
    </xf>
    <xf numFmtId="3" fontId="39" fillId="6" borderId="4" xfId="187" applyNumberFormat="1" applyFont="1" applyFill="1" applyBorder="1" applyAlignment="1">
      <alignment horizontal="right"/>
    </xf>
    <xf numFmtId="3" fontId="39" fillId="0" borderId="4" xfId="187" applyNumberFormat="1" applyFont="1" applyFill="1" applyBorder="1" applyAlignment="1">
      <alignment horizontal="right"/>
    </xf>
    <xf numFmtId="0" fontId="39" fillId="0" borderId="4" xfId="187" applyNumberFormat="1" applyFont="1" applyFill="1" applyBorder="1" applyAlignment="1">
      <alignment horizontal="right"/>
    </xf>
    <xf numFmtId="3" fontId="116" fillId="0" borderId="4" xfId="187" applyNumberFormat="1" applyFont="1" applyFill="1" applyBorder="1" applyAlignment="1">
      <alignment horizontal="right"/>
    </xf>
    <xf numFmtId="3" fontId="115" fillId="47" borderId="0" xfId="187" applyNumberFormat="1" applyFont="1" applyFill="1" applyBorder="1" applyAlignment="1">
      <alignment horizontal="right"/>
    </xf>
    <xf numFmtId="0" fontId="115" fillId="47" borderId="0" xfId="187" applyNumberFormat="1" applyFont="1" applyFill="1" applyBorder="1" applyAlignment="1">
      <alignment horizontal="right"/>
    </xf>
    <xf numFmtId="3" fontId="39" fillId="0" borderId="0" xfId="187" applyNumberFormat="1" applyFont="1" applyFill="1" applyBorder="1" applyAlignment="1">
      <alignment horizontal="right"/>
    </xf>
    <xf numFmtId="0" fontId="39" fillId="0" borderId="0" xfId="187" applyNumberFormat="1" applyFont="1" applyFill="1" applyBorder="1" applyAlignment="1">
      <alignment horizontal="right"/>
    </xf>
    <xf numFmtId="3" fontId="116" fillId="0" borderId="0" xfId="187" applyNumberFormat="1" applyFont="1" applyFill="1" applyBorder="1" applyAlignment="1">
      <alignment horizontal="right"/>
    </xf>
    <xf numFmtId="3" fontId="115" fillId="54" borderId="2" xfId="187" applyNumberFormat="1" applyFont="1" applyFill="1" applyBorder="1" applyAlignment="1">
      <alignment horizontal="right"/>
    </xf>
    <xf numFmtId="0" fontId="115" fillId="54" borderId="2" xfId="187" applyNumberFormat="1" applyFont="1" applyFill="1" applyBorder="1" applyAlignment="1">
      <alignment horizontal="right"/>
    </xf>
    <xf numFmtId="3" fontId="128" fillId="54" borderId="2" xfId="187" applyNumberFormat="1" applyFont="1" applyFill="1" applyBorder="1" applyAlignment="1">
      <alignment horizontal="right"/>
    </xf>
    <xf numFmtId="0" fontId="39" fillId="0" borderId="0" xfId="0" applyFont="1" applyFill="1" applyBorder="1"/>
    <xf numFmtId="0" fontId="39" fillId="0" borderId="0" xfId="0" applyFont="1" applyFill="1" applyBorder="1" applyAlignment="1">
      <alignment horizontal="right"/>
    </xf>
    <xf numFmtId="3" fontId="39" fillId="0" borderId="5" xfId="187" applyNumberFormat="1" applyFont="1" applyFill="1" applyBorder="1" applyAlignment="1">
      <alignment horizontal="right"/>
    </xf>
    <xf numFmtId="0" fontId="39" fillId="0" borderId="5" xfId="187" applyNumberFormat="1" applyFont="1" applyFill="1" applyBorder="1" applyAlignment="1">
      <alignment horizontal="right"/>
    </xf>
    <xf numFmtId="3" fontId="116" fillId="0" borderId="5" xfId="187" applyNumberFormat="1" applyFont="1" applyFill="1" applyBorder="1" applyAlignment="1">
      <alignment horizontal="right"/>
    </xf>
    <xf numFmtId="0" fontId="39" fillId="0" borderId="4" xfId="0" applyFont="1" applyFill="1" applyBorder="1" applyAlignment="1">
      <alignment horizontal="right"/>
    </xf>
    <xf numFmtId="3" fontId="39" fillId="49" borderId="4" xfId="187" applyNumberFormat="1" applyFont="1" applyFill="1" applyBorder="1" applyAlignment="1">
      <alignment horizontal="right"/>
    </xf>
    <xf numFmtId="0" fontId="39" fillId="49" borderId="4" xfId="187" applyNumberFormat="1" applyFont="1" applyFill="1" applyBorder="1" applyAlignment="1">
      <alignment horizontal="right"/>
    </xf>
    <xf numFmtId="164" fontId="39" fillId="49" borderId="4" xfId="193" applyNumberFormat="1" applyFont="1" applyFill="1" applyBorder="1" applyAlignment="1">
      <alignment horizontal="right"/>
    </xf>
    <xf numFmtId="3" fontId="115" fillId="47" borderId="57" xfId="187" applyNumberFormat="1" applyFont="1" applyFill="1" applyBorder="1" applyAlignment="1">
      <alignment horizontal="right"/>
    </xf>
    <xf numFmtId="0" fontId="115" fillId="47" borderId="57" xfId="187" applyNumberFormat="1" applyFont="1" applyFill="1" applyBorder="1" applyAlignment="1">
      <alignment horizontal="right"/>
    </xf>
    <xf numFmtId="0" fontId="88" fillId="0" borderId="1" xfId="0" applyFont="1" applyFill="1" applyBorder="1"/>
    <xf numFmtId="0" fontId="88" fillId="0" borderId="0" xfId="0" applyFont="1" applyFill="1" applyBorder="1"/>
    <xf numFmtId="0" fontId="88" fillId="0" borderId="4" xfId="0" applyFont="1" applyFill="1" applyBorder="1"/>
    <xf numFmtId="0" fontId="88" fillId="0" borderId="0" xfId="0" applyFont="1" applyFill="1"/>
    <xf numFmtId="3" fontId="39" fillId="0" borderId="53" xfId="187" applyNumberFormat="1" applyFont="1" applyFill="1" applyBorder="1" applyAlignment="1">
      <alignment horizontal="right"/>
    </xf>
    <xf numFmtId="0" fontId="39" fillId="0" borderId="53" xfId="187" applyNumberFormat="1" applyFont="1" applyFill="1" applyBorder="1" applyAlignment="1">
      <alignment horizontal="right"/>
    </xf>
    <xf numFmtId="3" fontId="116" fillId="0" borderId="53" xfId="187" applyNumberFormat="1" applyFont="1" applyFill="1" applyBorder="1" applyAlignment="1">
      <alignment horizontal="right"/>
    </xf>
    <xf numFmtId="3" fontId="115" fillId="47" borderId="2" xfId="187" applyNumberFormat="1" applyFont="1" applyFill="1" applyBorder="1" applyAlignment="1">
      <alignment horizontal="right"/>
    </xf>
    <xf numFmtId="0" fontId="115" fillId="47" borderId="2" xfId="187" applyNumberFormat="1" applyFont="1" applyFill="1" applyBorder="1" applyAlignment="1">
      <alignment horizontal="right"/>
    </xf>
    <xf numFmtId="3" fontId="115" fillId="55" borderId="56" xfId="187" applyNumberFormat="1" applyFont="1" applyFill="1" applyBorder="1" applyAlignment="1">
      <alignment horizontal="right"/>
    </xf>
    <xf numFmtId="0" fontId="115" fillId="55" borderId="56" xfId="187" applyNumberFormat="1" applyFont="1" applyFill="1" applyBorder="1" applyAlignment="1">
      <alignment horizontal="right"/>
    </xf>
    <xf numFmtId="3" fontId="128" fillId="55" borderId="56" xfId="187" applyNumberFormat="1" applyFont="1" applyFill="1" applyBorder="1" applyAlignment="1">
      <alignment horizontal="right"/>
    </xf>
    <xf numFmtId="3" fontId="115" fillId="55" borderId="0" xfId="187" applyNumberFormat="1" applyFont="1" applyFill="1" applyBorder="1" applyAlignment="1">
      <alignment horizontal="right"/>
    </xf>
    <xf numFmtId="0" fontId="115" fillId="55" borderId="0" xfId="187" applyNumberFormat="1" applyFont="1" applyFill="1" applyBorder="1" applyAlignment="1">
      <alignment horizontal="right"/>
    </xf>
    <xf numFmtId="3" fontId="128" fillId="55" borderId="0" xfId="187" applyNumberFormat="1" applyFont="1" applyFill="1" applyBorder="1" applyAlignment="1">
      <alignment horizontal="right"/>
    </xf>
    <xf numFmtId="3" fontId="115" fillId="54" borderId="0" xfId="187" applyNumberFormat="1" applyFont="1" applyFill="1" applyBorder="1" applyAlignment="1">
      <alignment horizontal="right"/>
    </xf>
    <xf numFmtId="0" fontId="115" fillId="54" borderId="0" xfId="187" applyNumberFormat="1" applyFont="1" applyFill="1" applyBorder="1" applyAlignment="1">
      <alignment horizontal="right"/>
    </xf>
    <xf numFmtId="3" fontId="128" fillId="54" borderId="0" xfId="187" applyNumberFormat="1" applyFont="1" applyFill="1" applyBorder="1" applyAlignment="1">
      <alignment horizontal="right"/>
    </xf>
    <xf numFmtId="3" fontId="39" fillId="42" borderId="4" xfId="187" applyNumberFormat="1" applyFont="1" applyFill="1" applyBorder="1" applyAlignment="1">
      <alignment horizontal="right"/>
    </xf>
    <xf numFmtId="3" fontId="39" fillId="46" borderId="4" xfId="187" applyNumberFormat="1" applyFont="1" applyFill="1" applyBorder="1" applyAlignment="1">
      <alignment horizontal="right"/>
    </xf>
    <xf numFmtId="0" fontId="39" fillId="46" borderId="4" xfId="187" applyNumberFormat="1" applyFont="1" applyFill="1" applyBorder="1" applyAlignment="1">
      <alignment horizontal="right"/>
    </xf>
    <xf numFmtId="3" fontId="39" fillId="63" borderId="4" xfId="187" applyNumberFormat="1" applyFont="1" applyFill="1" applyBorder="1" applyAlignment="1">
      <alignment horizontal="right"/>
    </xf>
    <xf numFmtId="0" fontId="39" fillId="0" borderId="4" xfId="0" applyFont="1" applyFill="1" applyBorder="1"/>
    <xf numFmtId="3" fontId="39" fillId="0" borderId="7" xfId="187" applyNumberFormat="1" applyFont="1" applyFill="1" applyBorder="1" applyAlignment="1">
      <alignment horizontal="right"/>
    </xf>
    <xf numFmtId="3" fontId="114" fillId="0" borderId="0" xfId="187" applyNumberFormat="1" applyFont="1" applyFill="1" applyBorder="1" applyAlignment="1">
      <alignment horizontal="right"/>
    </xf>
    <xf numFmtId="0" fontId="114" fillId="0" borderId="0" xfId="187" applyNumberFormat="1" applyFont="1" applyFill="1" applyBorder="1" applyAlignment="1">
      <alignment horizontal="right"/>
    </xf>
    <xf numFmtId="3" fontId="39" fillId="0" borderId="0" xfId="0" applyNumberFormat="1" applyFont="1" applyFill="1" applyBorder="1" applyAlignment="1">
      <alignment horizontal="right"/>
    </xf>
    <xf numFmtId="0" fontId="88" fillId="0" borderId="0" xfId="0" applyFont="1"/>
    <xf numFmtId="3" fontId="114" fillId="0" borderId="0" xfId="187" applyNumberFormat="1" applyFont="1" applyFill="1" applyAlignment="1">
      <alignment horizontal="right" vertical="center" wrapText="1"/>
    </xf>
    <xf numFmtId="0" fontId="114" fillId="0" borderId="0" xfId="187" applyNumberFormat="1" applyFont="1" applyFill="1" applyAlignment="1">
      <alignment horizontal="right" vertical="center" wrapText="1"/>
    </xf>
    <xf numFmtId="3" fontId="39" fillId="0" borderId="3" xfId="187" applyNumberFormat="1" applyFont="1" applyFill="1" applyBorder="1" applyAlignment="1">
      <alignment horizontal="right"/>
    </xf>
    <xf numFmtId="3" fontId="39" fillId="53" borderId="4" xfId="187" applyNumberFormat="1" applyFont="1" applyFill="1" applyBorder="1" applyAlignment="1">
      <alignment horizontal="right"/>
    </xf>
    <xf numFmtId="0" fontId="39" fillId="53" borderId="4" xfId="187" applyNumberFormat="1" applyFont="1" applyFill="1" applyBorder="1" applyAlignment="1">
      <alignment horizontal="right"/>
    </xf>
    <xf numFmtId="3" fontId="116" fillId="53" borderId="4" xfId="187" applyNumberFormat="1" applyFont="1" applyFill="1" applyBorder="1" applyAlignment="1">
      <alignment horizontal="right"/>
    </xf>
    <xf numFmtId="3" fontId="39" fillId="61" borderId="4" xfId="187" applyNumberFormat="1" applyFont="1" applyFill="1" applyBorder="1" applyAlignment="1">
      <alignment horizontal="right"/>
    </xf>
    <xf numFmtId="0" fontId="39" fillId="6" borderId="4" xfId="187" applyNumberFormat="1" applyFont="1" applyFill="1" applyBorder="1" applyAlignment="1">
      <alignment horizontal="right"/>
    </xf>
    <xf numFmtId="3" fontId="116" fillId="6" borderId="4" xfId="187" applyNumberFormat="1" applyFont="1" applyFill="1" applyBorder="1" applyAlignment="1">
      <alignment horizontal="right"/>
    </xf>
    <xf numFmtId="0" fontId="39" fillId="53" borderId="0" xfId="0" applyFont="1" applyFill="1" applyBorder="1"/>
    <xf numFmtId="3" fontId="39" fillId="55" borderId="4" xfId="187" applyNumberFormat="1" applyFont="1" applyFill="1" applyBorder="1" applyAlignment="1">
      <alignment horizontal="right"/>
    </xf>
    <xf numFmtId="0" fontId="39" fillId="55" borderId="4" xfId="187" applyNumberFormat="1" applyFont="1" applyFill="1" applyBorder="1" applyAlignment="1">
      <alignment horizontal="right"/>
    </xf>
    <xf numFmtId="3" fontId="116" fillId="55" borderId="4" xfId="187" applyNumberFormat="1" applyFont="1" applyFill="1" applyBorder="1" applyAlignment="1">
      <alignment horizontal="right"/>
    </xf>
    <xf numFmtId="3" fontId="116" fillId="46" borderId="4" xfId="187" applyNumberFormat="1" applyFont="1" applyFill="1" applyBorder="1" applyAlignment="1">
      <alignment horizontal="right"/>
    </xf>
    <xf numFmtId="3" fontId="39" fillId="58" borderId="4" xfId="187" applyNumberFormat="1" applyFont="1" applyFill="1" applyBorder="1" applyAlignment="1">
      <alignment horizontal="right"/>
    </xf>
    <xf numFmtId="3" fontId="39" fillId="66" borderId="4" xfId="187" applyNumberFormat="1" applyFont="1" applyFill="1" applyBorder="1" applyAlignment="1">
      <alignment horizontal="right"/>
    </xf>
    <xf numFmtId="49" fontId="9" fillId="45" borderId="4" xfId="2" applyNumberFormat="1" applyFont="1" applyFill="1" applyBorder="1" applyAlignment="1">
      <alignment horizontal="right" wrapText="1" readingOrder="2"/>
    </xf>
    <xf numFmtId="0" fontId="78" fillId="0" borderId="33" xfId="0" applyFont="1" applyBorder="1"/>
    <xf numFmtId="164" fontId="0" fillId="0" borderId="0" xfId="0" applyNumberFormat="1" applyBorder="1"/>
    <xf numFmtId="0" fontId="78" fillId="0" borderId="0" xfId="0" applyFont="1" applyBorder="1"/>
    <xf numFmtId="164" fontId="3" fillId="0" borderId="0" xfId="1" applyNumberFormat="1" applyFont="1"/>
    <xf numFmtId="164" fontId="0" fillId="45" borderId="4" xfId="1" applyNumberFormat="1" applyFont="1" applyFill="1" applyBorder="1" applyAlignment="1">
      <alignment wrapText="1"/>
    </xf>
    <xf numFmtId="164" fontId="0" fillId="0" borderId="4" xfId="1" applyNumberFormat="1" applyFont="1" applyBorder="1" applyAlignment="1">
      <alignment horizontal="right"/>
    </xf>
    <xf numFmtId="0" fontId="9" fillId="0" borderId="4" xfId="4" applyNumberFormat="1" applyFont="1" applyFill="1" applyBorder="1"/>
    <xf numFmtId="164" fontId="23" fillId="3" borderId="4" xfId="2" applyNumberFormat="1" applyFont="1" applyFill="1" applyBorder="1" applyAlignment="1">
      <alignment horizontal="right" wrapText="1"/>
    </xf>
    <xf numFmtId="164" fontId="9" fillId="0" borderId="4" xfId="2" applyNumberFormat="1" applyFont="1" applyFill="1" applyBorder="1" applyAlignment="1">
      <alignment horizontal="right" wrapText="1"/>
    </xf>
    <xf numFmtId="0" fontId="6" fillId="65" borderId="4" xfId="3" applyNumberFormat="1" applyFont="1" applyFill="1" applyBorder="1" applyAlignment="1">
      <alignment readingOrder="1"/>
    </xf>
    <xf numFmtId="41" fontId="9" fillId="3" borderId="4" xfId="2" applyNumberFormat="1" applyFont="1" applyFill="1" applyBorder="1" applyAlignment="1">
      <alignment horizontal="right" wrapText="1"/>
    </xf>
    <xf numFmtId="41" fontId="9" fillId="0" borderId="4" xfId="2" applyNumberFormat="1" applyFont="1" applyFill="1" applyBorder="1" applyAlignment="1">
      <alignment horizontal="right" wrapText="1" readingOrder="2"/>
    </xf>
    <xf numFmtId="49" fontId="9" fillId="0" borderId="4" xfId="2" applyNumberFormat="1" applyFont="1" applyFill="1" applyBorder="1" applyAlignment="1">
      <alignment horizontal="right" wrapText="1" readingOrder="2"/>
    </xf>
    <xf numFmtId="0" fontId="5" fillId="45" borderId="4" xfId="0" applyFont="1" applyFill="1" applyBorder="1" applyAlignment="1">
      <alignment wrapText="1"/>
    </xf>
    <xf numFmtId="41" fontId="9" fillId="45" borderId="4" xfId="2" applyNumberFormat="1" applyFont="1" applyFill="1" applyBorder="1" applyAlignment="1">
      <alignment horizontal="right" wrapText="1"/>
    </xf>
    <xf numFmtId="49" fontId="9" fillId="58" borderId="4" xfId="2" applyNumberFormat="1" applyFont="1" applyFill="1" applyBorder="1" applyAlignment="1">
      <alignment horizontal="right" wrapText="1" readingOrder="2"/>
    </xf>
    <xf numFmtId="41" fontId="9" fillId="0" borderId="4" xfId="2" applyNumberFormat="1" applyFont="1" applyFill="1" applyBorder="1" applyAlignment="1">
      <alignment horizontal="right"/>
    </xf>
    <xf numFmtId="41" fontId="9" fillId="0" borderId="4" xfId="4" applyNumberFormat="1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0" fillId="0" borderId="4" xfId="0" applyFill="1" applyBorder="1"/>
    <xf numFmtId="4" fontId="0" fillId="0" borderId="4" xfId="0" applyNumberFormat="1" applyBorder="1"/>
    <xf numFmtId="41" fontId="9" fillId="58" borderId="4" xfId="2" applyNumberFormat="1" applyFont="1" applyFill="1" applyBorder="1" applyAlignment="1">
      <alignment horizontal="right" wrapText="1"/>
    </xf>
    <xf numFmtId="49" fontId="9" fillId="0" borderId="4" xfId="2" applyNumberFormat="1" applyFont="1" applyFill="1" applyBorder="1" applyAlignment="1" applyProtection="1">
      <alignment horizontal="right" wrapText="1"/>
      <protection locked="0"/>
    </xf>
    <xf numFmtId="0" fontId="9" fillId="0" borderId="4" xfId="4" applyFont="1" applyFill="1" applyBorder="1" applyAlignment="1">
      <alignment wrapText="1"/>
    </xf>
    <xf numFmtId="0" fontId="23" fillId="3" borderId="4" xfId="4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6" fillId="58" borderId="4" xfId="54" applyFont="1" applyFill="1" applyBorder="1" applyAlignment="1">
      <alignment wrapText="1" readingOrder="2"/>
    </xf>
    <xf numFmtId="49" fontId="9" fillId="0" borderId="4" xfId="2" applyNumberFormat="1" applyFont="1" applyFill="1" applyBorder="1" applyAlignment="1">
      <alignment horizontal="right" wrapText="1"/>
    </xf>
    <xf numFmtId="0" fontId="6" fillId="45" borderId="4" xfId="0" applyFont="1" applyFill="1" applyBorder="1" applyAlignment="1">
      <alignment wrapText="1"/>
    </xf>
    <xf numFmtId="0" fontId="19" fillId="0" borderId="4" xfId="0" applyFont="1" applyBorder="1"/>
    <xf numFmtId="9" fontId="23" fillId="3" borderId="4" xfId="5" applyFont="1" applyFill="1" applyBorder="1" applyAlignment="1">
      <alignment horizontal="right" wrapText="1"/>
    </xf>
    <xf numFmtId="41" fontId="9" fillId="58" borderId="4" xfId="2" applyNumberFormat="1" applyFont="1" applyFill="1" applyBorder="1" applyAlignment="1">
      <alignment horizontal="right" vertical="center" wrapText="1"/>
    </xf>
    <xf numFmtId="41" fontId="3" fillId="58" borderId="4" xfId="2" applyNumberFormat="1" applyFont="1" applyFill="1" applyBorder="1" applyAlignment="1">
      <alignment horizontal="right" wrapText="1"/>
    </xf>
    <xf numFmtId="41" fontId="3" fillId="0" borderId="4" xfId="2" applyNumberFormat="1" applyFont="1" applyFill="1" applyBorder="1" applyAlignment="1">
      <alignment horizontal="right" wrapText="1" readingOrder="2"/>
    </xf>
    <xf numFmtId="41" fontId="3" fillId="0" borderId="4" xfId="6" applyNumberFormat="1" applyFont="1" applyFill="1" applyBorder="1" applyAlignment="1">
      <alignment horizontal="right" wrapText="1"/>
    </xf>
    <xf numFmtId="164" fontId="19" fillId="0" borderId="4" xfId="1" applyNumberFormat="1" applyFont="1" applyBorder="1"/>
    <xf numFmtId="41" fontId="23" fillId="0" borderId="4" xfId="2" applyNumberFormat="1" applyFont="1" applyFill="1" applyBorder="1" applyAlignment="1">
      <alignment horizontal="right" wrapText="1"/>
    </xf>
    <xf numFmtId="41" fontId="9" fillId="0" borderId="4" xfId="6" applyNumberFormat="1" applyFont="1" applyFill="1" applyBorder="1" applyAlignment="1">
      <alignment horizontal="right" wrapText="1"/>
    </xf>
    <xf numFmtId="41" fontId="9" fillId="0" borderId="4" xfId="6" applyNumberFormat="1" applyFont="1" applyFill="1" applyBorder="1" applyAlignment="1">
      <alignment horizontal="right" wrapText="1" readingOrder="2"/>
    </xf>
    <xf numFmtId="0" fontId="8" fillId="0" borderId="4" xfId="4" applyFont="1" applyFill="1" applyBorder="1"/>
    <xf numFmtId="41" fontId="9" fillId="0" borderId="4" xfId="2" applyNumberFormat="1" applyFont="1" applyFill="1" applyBorder="1" applyAlignment="1">
      <alignment horizontal="right" vertical="top" wrapText="1"/>
    </xf>
    <xf numFmtId="164" fontId="10" fillId="0" borderId="4" xfId="2" applyNumberFormat="1" applyFont="1" applyFill="1" applyBorder="1" applyAlignment="1">
      <alignment horizontal="right" wrapText="1"/>
    </xf>
    <xf numFmtId="49" fontId="66" fillId="5" borderId="2" xfId="11" applyNumberFormat="1" applyFont="1" applyFill="1" applyBorder="1" applyAlignment="1">
      <alignment horizontal="right"/>
    </xf>
    <xf numFmtId="0" fontId="66" fillId="5" borderId="2" xfId="11" applyFont="1" applyFill="1" applyBorder="1" applyAlignment="1">
      <alignment horizontal="right"/>
    </xf>
    <xf numFmtId="14" fontId="66" fillId="5" borderId="2" xfId="11" applyNumberFormat="1" applyFont="1" applyFill="1" applyBorder="1" applyAlignment="1">
      <alignment horizontal="right"/>
    </xf>
    <xf numFmtId="49" fontId="66" fillId="5" borderId="3" xfId="11" applyNumberFormat="1" applyFont="1" applyFill="1" applyBorder="1" applyAlignment="1">
      <alignment horizontal="right"/>
    </xf>
    <xf numFmtId="164" fontId="142" fillId="42" borderId="0" xfId="1" applyNumberFormat="1" applyFont="1" applyFill="1" applyAlignment="1">
      <alignment horizontal="center" wrapText="1"/>
    </xf>
    <xf numFmtId="0" fontId="0" fillId="0" borderId="57" xfId="0" applyBorder="1"/>
    <xf numFmtId="9" fontId="142" fillId="42" borderId="0" xfId="7" applyNumberFormat="1" applyFont="1" applyFill="1" applyAlignment="1">
      <alignment horizontal="center" wrapText="1"/>
    </xf>
    <xf numFmtId="164" fontId="143" fillId="43" borderId="7" xfId="6" applyNumberFormat="1" applyFont="1" applyFill="1" applyBorder="1" applyAlignment="1">
      <alignment horizontal="right" wrapText="1"/>
    </xf>
    <xf numFmtId="164" fontId="142" fillId="42" borderId="16" xfId="0" applyNumberFormat="1" applyFont="1" applyFill="1" applyBorder="1" applyAlignment="1">
      <alignment horizontal="center" wrapText="1"/>
    </xf>
    <xf numFmtId="164" fontId="142" fillId="42" borderId="5" xfId="0" applyNumberFormat="1" applyFont="1" applyFill="1" applyBorder="1" applyAlignment="1">
      <alignment horizontal="right"/>
    </xf>
    <xf numFmtId="164" fontId="142" fillId="42" borderId="5" xfId="0" applyNumberFormat="1" applyFont="1" applyFill="1" applyBorder="1" applyAlignment="1">
      <alignment horizontal="center" wrapText="1"/>
    </xf>
    <xf numFmtId="164" fontId="144" fillId="43" borderId="7" xfId="6" applyNumberFormat="1" applyFont="1" applyFill="1" applyBorder="1" applyAlignment="1">
      <alignment horizontal="right" wrapText="1"/>
    </xf>
    <xf numFmtId="0" fontId="72" fillId="0" borderId="0" xfId="10" applyFont="1" applyFill="1" applyAlignment="1">
      <alignment horizontal="center"/>
    </xf>
    <xf numFmtId="0" fontId="70" fillId="0" borderId="0" xfId="10" applyFont="1" applyFill="1" applyAlignment="1">
      <alignment horizontal="center"/>
    </xf>
    <xf numFmtId="164" fontId="60" fillId="38" borderId="32" xfId="12" applyNumberFormat="1" applyFont="1" applyFill="1" applyBorder="1" applyAlignment="1">
      <alignment horizontal="right" readingOrder="1"/>
    </xf>
    <xf numFmtId="164" fontId="60" fillId="38" borderId="0" xfId="12" applyNumberFormat="1" applyFont="1" applyFill="1" applyBorder="1" applyAlignment="1">
      <alignment horizontal="right" readingOrder="1"/>
    </xf>
    <xf numFmtId="164" fontId="60" fillId="38" borderId="33" xfId="12" applyNumberFormat="1" applyFont="1" applyFill="1" applyBorder="1" applyAlignment="1">
      <alignment horizontal="right" readingOrder="1"/>
    </xf>
    <xf numFmtId="0" fontId="71" fillId="0" borderId="0" xfId="10" applyFont="1" applyFill="1" applyAlignment="1">
      <alignment horizontal="center"/>
    </xf>
    <xf numFmtId="164" fontId="59" fillId="43" borderId="38" xfId="6" applyNumberFormat="1" applyFont="1" applyFill="1" applyBorder="1" applyAlignment="1">
      <alignment horizontal="center"/>
    </xf>
    <xf numFmtId="164" fontId="59" fillId="43" borderId="30" xfId="6" applyNumberFormat="1" applyFont="1" applyFill="1" applyBorder="1" applyAlignment="1">
      <alignment horizontal="center"/>
    </xf>
    <xf numFmtId="164" fontId="59" fillId="43" borderId="37" xfId="6" applyNumberFormat="1" applyFont="1" applyFill="1" applyBorder="1" applyAlignment="1">
      <alignment horizontal="center"/>
    </xf>
    <xf numFmtId="41" fontId="52" fillId="46" borderId="1" xfId="2" applyNumberFormat="1" applyFont="1" applyFill="1" applyBorder="1" applyAlignment="1">
      <alignment horizontal="center"/>
    </xf>
    <xf numFmtId="41" fontId="52" fillId="46" borderId="2" xfId="2" applyNumberFormat="1" applyFont="1" applyFill="1" applyBorder="1" applyAlignment="1">
      <alignment horizontal="center"/>
    </xf>
    <xf numFmtId="41" fontId="52" fillId="46" borderId="3" xfId="2" applyNumberFormat="1" applyFont="1" applyFill="1" applyBorder="1" applyAlignment="1">
      <alignment horizontal="center"/>
    </xf>
    <xf numFmtId="41" fontId="52" fillId="46" borderId="46" xfId="2" applyNumberFormat="1" applyFont="1" applyFill="1" applyBorder="1" applyAlignment="1">
      <alignment horizontal="center"/>
    </xf>
    <xf numFmtId="41" fontId="52" fillId="46" borderId="47" xfId="2" applyNumberFormat="1" applyFont="1" applyFill="1" applyBorder="1" applyAlignment="1">
      <alignment horizontal="center"/>
    </xf>
    <xf numFmtId="41" fontId="52" fillId="46" borderId="48" xfId="2" applyNumberFormat="1" applyFont="1" applyFill="1" applyBorder="1" applyAlignment="1">
      <alignment horizontal="center"/>
    </xf>
    <xf numFmtId="164" fontId="78" fillId="0" borderId="38" xfId="1" applyNumberFormat="1" applyFont="1" applyBorder="1" applyAlignment="1">
      <alignment horizontal="center"/>
    </xf>
    <xf numFmtId="164" fontId="78" fillId="0" borderId="44" xfId="1" applyNumberFormat="1" applyFont="1" applyBorder="1" applyAlignment="1">
      <alignment horizontal="center"/>
    </xf>
    <xf numFmtId="164" fontId="52" fillId="43" borderId="38" xfId="6" applyNumberFormat="1" applyFont="1" applyFill="1" applyBorder="1" applyAlignment="1">
      <alignment horizontal="center"/>
    </xf>
    <xf numFmtId="164" fontId="52" fillId="43" borderId="44" xfId="6" applyNumberFormat="1" applyFont="1" applyFill="1" applyBorder="1" applyAlignment="1">
      <alignment horizontal="center"/>
    </xf>
    <xf numFmtId="0" fontId="119" fillId="0" borderId="0" xfId="10" applyFont="1" applyFill="1" applyAlignment="1">
      <alignment horizontal="center"/>
    </xf>
    <xf numFmtId="164" fontId="17" fillId="5" borderId="2" xfId="12" applyNumberFormat="1" applyFont="1" applyFill="1" applyBorder="1" applyAlignment="1">
      <alignment horizontal="center" readingOrder="1"/>
    </xf>
    <xf numFmtId="164" fontId="17" fillId="5" borderId="3" xfId="12" applyNumberFormat="1" applyFont="1" applyFill="1" applyBorder="1" applyAlignment="1">
      <alignment horizontal="center" readingOrder="1"/>
    </xf>
    <xf numFmtId="0" fontId="135" fillId="0" borderId="0" xfId="10" applyFont="1" applyFill="1" applyAlignment="1">
      <alignment horizontal="center"/>
    </xf>
    <xf numFmtId="0" fontId="62" fillId="0" borderId="0" xfId="0" applyFont="1" applyAlignment="1">
      <alignment horizontal="center"/>
    </xf>
    <xf numFmtId="0" fontId="88" fillId="0" borderId="0" xfId="0" applyFont="1" applyBorder="1" applyAlignment="1">
      <alignment horizontal="center"/>
    </xf>
    <xf numFmtId="0" fontId="88" fillId="0" borderId="4" xfId="0" applyFont="1" applyBorder="1" applyAlignment="1">
      <alignment horizontal="center"/>
    </xf>
    <xf numFmtId="0" fontId="88" fillId="0" borderId="1" xfId="0" applyFont="1" applyBorder="1" applyAlignment="1">
      <alignment horizontal="center"/>
    </xf>
    <xf numFmtId="0" fontId="88" fillId="0" borderId="2" xfId="0" applyFont="1" applyBorder="1" applyAlignment="1">
      <alignment horizontal="center"/>
    </xf>
    <xf numFmtId="0" fontId="88" fillId="0" borderId="3" xfId="0" applyFont="1" applyBorder="1" applyAlignment="1">
      <alignment horizontal="center"/>
    </xf>
    <xf numFmtId="0" fontId="89" fillId="0" borderId="1" xfId="0" applyFont="1" applyBorder="1" applyAlignment="1">
      <alignment horizontal="right"/>
    </xf>
    <xf numFmtId="0" fontId="89" fillId="0" borderId="2" xfId="0" applyFont="1" applyBorder="1" applyAlignment="1">
      <alignment horizontal="right"/>
    </xf>
    <xf numFmtId="0" fontId="89" fillId="0" borderId="3" xfId="0" applyFont="1" applyBorder="1" applyAlignment="1">
      <alignment horizontal="right"/>
    </xf>
    <xf numFmtId="0" fontId="90" fillId="0" borderId="55" xfId="0" applyFont="1" applyBorder="1" applyAlignment="1">
      <alignment horizontal="center" vertical="center"/>
    </xf>
    <xf numFmtId="0" fontId="90" fillId="0" borderId="0" xfId="0" applyFont="1" applyBorder="1" applyAlignment="1">
      <alignment horizontal="center" vertical="center"/>
    </xf>
    <xf numFmtId="0" fontId="90" fillId="0" borderId="15" xfId="0" applyFont="1" applyBorder="1" applyAlignment="1">
      <alignment horizontal="center" vertical="center"/>
    </xf>
    <xf numFmtId="0" fontId="90" fillId="0" borderId="53" xfId="0" applyFont="1" applyBorder="1" applyAlignment="1">
      <alignment horizontal="center" vertical="center"/>
    </xf>
    <xf numFmtId="0" fontId="89" fillId="0" borderId="6" xfId="0" applyFont="1" applyBorder="1" applyAlignment="1">
      <alignment horizontal="right"/>
    </xf>
    <xf numFmtId="0" fontId="90" fillId="0" borderId="55" xfId="98" applyFont="1" applyBorder="1" applyAlignment="1">
      <alignment horizontal="center" vertical="center"/>
    </xf>
    <xf numFmtId="0" fontId="90" fillId="0" borderId="0" xfId="98" applyFont="1" applyBorder="1" applyAlignment="1">
      <alignment horizontal="center" vertical="center"/>
    </xf>
    <xf numFmtId="0" fontId="90" fillId="0" borderId="15" xfId="98" applyFont="1" applyBorder="1" applyAlignment="1">
      <alignment horizontal="center" vertical="center"/>
    </xf>
    <xf numFmtId="0" fontId="90" fillId="0" borderId="53" xfId="98" applyFont="1" applyBorder="1" applyAlignment="1">
      <alignment horizontal="center" vertical="center"/>
    </xf>
    <xf numFmtId="0" fontId="88" fillId="0" borderId="1" xfId="98" applyFont="1" applyBorder="1" applyAlignment="1">
      <alignment horizontal="center"/>
    </xf>
    <xf numFmtId="0" fontId="88" fillId="0" borderId="2" xfId="98" applyFont="1" applyBorder="1" applyAlignment="1">
      <alignment horizontal="center"/>
    </xf>
    <xf numFmtId="0" fontId="88" fillId="0" borderId="3" xfId="98" applyFont="1" applyBorder="1" applyAlignment="1">
      <alignment horizontal="center"/>
    </xf>
    <xf numFmtId="0" fontId="89" fillId="0" borderId="1" xfId="98" applyFont="1" applyBorder="1" applyAlignment="1">
      <alignment horizontal="right"/>
    </xf>
    <xf numFmtId="0" fontId="89" fillId="0" borderId="2" xfId="98" applyFont="1" applyBorder="1" applyAlignment="1">
      <alignment horizontal="right"/>
    </xf>
    <xf numFmtId="0" fontId="89" fillId="0" borderId="6" xfId="98" applyFont="1" applyBorder="1" applyAlignment="1">
      <alignment horizontal="right"/>
    </xf>
    <xf numFmtId="0" fontId="89" fillId="0" borderId="3" xfId="98" applyFont="1" applyBorder="1" applyAlignment="1">
      <alignment horizontal="right"/>
    </xf>
    <xf numFmtId="0" fontId="88" fillId="0" borderId="0" xfId="98" applyFont="1" applyBorder="1" applyAlignment="1">
      <alignment horizontal="center"/>
    </xf>
    <xf numFmtId="0" fontId="88" fillId="0" borderId="4" xfId="98" applyFont="1" applyBorder="1" applyAlignment="1">
      <alignment horizontal="center"/>
    </xf>
  </cellXfs>
  <cellStyles count="623">
    <cellStyle name="20% - הדגשה1" xfId="31" builtinId="30" customBuiltin="1"/>
    <cellStyle name="20% - הדגשה1 2" xfId="65"/>
    <cellStyle name="20% - הדגשה1 3" xfId="79"/>
    <cellStyle name="20% - הדגשה2" xfId="35" builtinId="34" customBuiltin="1"/>
    <cellStyle name="20% - הדגשה2 2" xfId="66"/>
    <cellStyle name="20% - הדגשה2 3" xfId="80"/>
    <cellStyle name="20% - הדגשה3" xfId="39" builtinId="38" customBuiltin="1"/>
    <cellStyle name="20% - הדגשה3 2" xfId="67"/>
    <cellStyle name="20% - הדגשה3 3" xfId="81"/>
    <cellStyle name="20% - הדגשה4" xfId="43" builtinId="42" customBuiltin="1"/>
    <cellStyle name="20% - הדגשה4 2" xfId="68"/>
    <cellStyle name="20% - הדגשה4 3" xfId="82"/>
    <cellStyle name="20% - הדגשה5" xfId="47" builtinId="46" customBuiltin="1"/>
    <cellStyle name="20% - הדגשה5 2" xfId="69"/>
    <cellStyle name="20% - הדגשה5 3" xfId="83"/>
    <cellStyle name="20% - הדגשה6" xfId="51" builtinId="50" customBuiltin="1"/>
    <cellStyle name="20% - הדגשה6 2" xfId="70"/>
    <cellStyle name="20% - הדגשה6 3" xfId="84"/>
    <cellStyle name="40% - הדגשה1" xfId="32" builtinId="31" customBuiltin="1"/>
    <cellStyle name="40% - הדגשה1 2" xfId="71"/>
    <cellStyle name="40% - הדגשה1 3" xfId="85"/>
    <cellStyle name="40% - הדגשה2" xfId="36" builtinId="35" customBuiltin="1"/>
    <cellStyle name="40% - הדגשה2 2" xfId="72"/>
    <cellStyle name="40% - הדגשה2 3" xfId="86"/>
    <cellStyle name="40% - הדגשה3" xfId="40" builtinId="39" customBuiltin="1"/>
    <cellStyle name="40% - הדגשה3 2" xfId="73"/>
    <cellStyle name="40% - הדגשה3 3" xfId="87"/>
    <cellStyle name="40% - הדגשה4" xfId="44" builtinId="43" customBuiltin="1"/>
    <cellStyle name="40% - הדגשה4 2" xfId="74"/>
    <cellStyle name="40% - הדגשה4 3" xfId="88"/>
    <cellStyle name="40% - הדגשה5" xfId="48" builtinId="47" customBuiltin="1"/>
    <cellStyle name="40% - הדגשה5 2" xfId="75"/>
    <cellStyle name="40% - הדגשה5 3" xfId="89"/>
    <cellStyle name="40% - הדגשה6" xfId="52" builtinId="51" customBuiltin="1"/>
    <cellStyle name="40% - הדגשה6 2" xfId="76"/>
    <cellStyle name="40% - הדגשה6 3" xfId="90"/>
    <cellStyle name="60% - הדגשה1" xfId="33" builtinId="32" customBuiltin="1"/>
    <cellStyle name="60% - הדגשה2" xfId="37" builtinId="36" customBuiltin="1"/>
    <cellStyle name="60% - הדגשה3" xfId="41" builtinId="40" customBuiltin="1"/>
    <cellStyle name="60% - הדגשה4" xfId="45" builtinId="44" customBuiltin="1"/>
    <cellStyle name="60% - הדגשה5" xfId="49" builtinId="48" customBuiltin="1"/>
    <cellStyle name="60% - הדגשה6" xfId="53" builtinId="52" customBuiltin="1"/>
    <cellStyle name="Comma" xfId="1" builtinId="3"/>
    <cellStyle name="Comma 10" xfId="96"/>
    <cellStyle name="Comma 10 2" xfId="114"/>
    <cellStyle name="Comma 10 2 2" xfId="170"/>
    <cellStyle name="Comma 10 2 2 2" xfId="193"/>
    <cellStyle name="Comma 10 2 2 3" xfId="192"/>
    <cellStyle name="Comma 10 2 3" xfId="188"/>
    <cellStyle name="Comma 10 2 3 2" xfId="194"/>
    <cellStyle name="Comma 10 2 4" xfId="195"/>
    <cellStyle name="Comma 10 2 5" xfId="191"/>
    <cellStyle name="Comma 10 3" xfId="157"/>
    <cellStyle name="Comma 10 3 2" xfId="197"/>
    <cellStyle name="Comma 10 3 3" xfId="196"/>
    <cellStyle name="Comma 10 4" xfId="198"/>
    <cellStyle name="Comma 10 5" xfId="199"/>
    <cellStyle name="Comma 10 6" xfId="190"/>
    <cellStyle name="Comma 11" xfId="100"/>
    <cellStyle name="Comma 11 2" xfId="115"/>
    <cellStyle name="Comma 11 2 2" xfId="171"/>
    <cellStyle name="Comma 11 2 2 2" xfId="203"/>
    <cellStyle name="Comma 11 2 2 3" xfId="202"/>
    <cellStyle name="Comma 11 2 3" xfId="204"/>
    <cellStyle name="Comma 11 2 4" xfId="205"/>
    <cellStyle name="Comma 11 2 5" xfId="201"/>
    <cellStyle name="Comma 11 3" xfId="158"/>
    <cellStyle name="Comma 11 3 2" xfId="207"/>
    <cellStyle name="Comma 11 3 3" xfId="206"/>
    <cellStyle name="Comma 11 4" xfId="208"/>
    <cellStyle name="Comma 11 5" xfId="209"/>
    <cellStyle name="Comma 11 6" xfId="200"/>
    <cellStyle name="Comma 12" xfId="102"/>
    <cellStyle name="Comma 12 2" xfId="116"/>
    <cellStyle name="Comma 12 2 2" xfId="172"/>
    <cellStyle name="Comma 12 2 2 2" xfId="213"/>
    <cellStyle name="Comma 12 2 2 3" xfId="212"/>
    <cellStyle name="Comma 12 2 3" xfId="214"/>
    <cellStyle name="Comma 12 2 4" xfId="215"/>
    <cellStyle name="Comma 12 2 5" xfId="211"/>
    <cellStyle name="Comma 12 3" xfId="159"/>
    <cellStyle name="Comma 12 3 2" xfId="217"/>
    <cellStyle name="Comma 12 3 3" xfId="216"/>
    <cellStyle name="Comma 12 4" xfId="218"/>
    <cellStyle name="Comma 12 5" xfId="219"/>
    <cellStyle name="Comma 12 6" xfId="210"/>
    <cellStyle name="Comma 13" xfId="146"/>
    <cellStyle name="Comma 13 2" xfId="221"/>
    <cellStyle name="Comma 13 2 2" xfId="222"/>
    <cellStyle name="Comma 13 2 2 2" xfId="223"/>
    <cellStyle name="Comma 13 2 3" xfId="224"/>
    <cellStyle name="Comma 13 3" xfId="225"/>
    <cellStyle name="Comma 13 3 2" xfId="226"/>
    <cellStyle name="Comma 13 4" xfId="227"/>
    <cellStyle name="Comma 13 5" xfId="228"/>
    <cellStyle name="Comma 13 6" xfId="220"/>
    <cellStyle name="Comma 14" xfId="147"/>
    <cellStyle name="Comma 14 2" xfId="230"/>
    <cellStyle name="Comma 14 2 2" xfId="231"/>
    <cellStyle name="Comma 14 2 2 2" xfId="232"/>
    <cellStyle name="Comma 14 2 3" xfId="233"/>
    <cellStyle name="Comma 14 3" xfId="234"/>
    <cellStyle name="Comma 14 3 2" xfId="235"/>
    <cellStyle name="Comma 14 4" xfId="236"/>
    <cellStyle name="Comma 14 5" xfId="229"/>
    <cellStyle name="Comma 15" xfId="237"/>
    <cellStyle name="Comma 15 2" xfId="238"/>
    <cellStyle name="Comma 15 2 2" xfId="239"/>
    <cellStyle name="Comma 15 3" xfId="240"/>
    <cellStyle name="Comma 16" xfId="241"/>
    <cellStyle name="Comma 16 2" xfId="242"/>
    <cellStyle name="Comma 17" xfId="243"/>
    <cellStyle name="Comma 17 2" xfId="244"/>
    <cellStyle name="Comma 18" xfId="245"/>
    <cellStyle name="Comma 19" xfId="189"/>
    <cellStyle name="Comma 2" xfId="6"/>
    <cellStyle name="Comma 2 10" xfId="247"/>
    <cellStyle name="Comma 2 11" xfId="248"/>
    <cellStyle name="Comma 2 12" xfId="246"/>
    <cellStyle name="Comma 2 2" xfId="58"/>
    <cellStyle name="Comma 2 2 2" xfId="110"/>
    <cellStyle name="Comma 2 2 2 2" xfId="166"/>
    <cellStyle name="Comma 2 2 2 2 2" xfId="252"/>
    <cellStyle name="Comma 2 2 2 2 2 2" xfId="253"/>
    <cellStyle name="Comma 2 2 2 2 2 2 2" xfId="254"/>
    <cellStyle name="Comma 2 2 2 2 2 3" xfId="255"/>
    <cellStyle name="Comma 2 2 2 2 3" xfId="256"/>
    <cellStyle name="Comma 2 2 2 2 3 2" xfId="257"/>
    <cellStyle name="Comma 2 2 2 2 4" xfId="258"/>
    <cellStyle name="Comma 2 2 2 2 5" xfId="251"/>
    <cellStyle name="Comma 2 2 2 3" xfId="259"/>
    <cellStyle name="Comma 2 2 2 3 2" xfId="260"/>
    <cellStyle name="Comma 2 2 2 3 2 2" xfId="261"/>
    <cellStyle name="Comma 2 2 2 3 3" xfId="262"/>
    <cellStyle name="Comma 2 2 2 4" xfId="263"/>
    <cellStyle name="Comma 2 2 2 4 2" xfId="264"/>
    <cellStyle name="Comma 2 2 2 5" xfId="265"/>
    <cellStyle name="Comma 2 2 2 6" xfId="266"/>
    <cellStyle name="Comma 2 2 2 7" xfId="250"/>
    <cellStyle name="Comma 2 2 3" xfId="121"/>
    <cellStyle name="Comma 2 2 3 2" xfId="176"/>
    <cellStyle name="Comma 2 2 3 2 2" xfId="269"/>
    <cellStyle name="Comma 2 2 3 2 2 2" xfId="270"/>
    <cellStyle name="Comma 2 2 3 2 3" xfId="271"/>
    <cellStyle name="Comma 2 2 3 2 4" xfId="268"/>
    <cellStyle name="Comma 2 2 3 3" xfId="272"/>
    <cellStyle name="Comma 2 2 3 3 2" xfId="273"/>
    <cellStyle name="Comma 2 2 3 4" xfId="274"/>
    <cellStyle name="Comma 2 2 3 5" xfId="275"/>
    <cellStyle name="Comma 2 2 3 6" xfId="267"/>
    <cellStyle name="Comma 2 2 4" xfId="153"/>
    <cellStyle name="Comma 2 2 4 2" xfId="277"/>
    <cellStyle name="Comma 2 2 4 2 2" xfId="278"/>
    <cellStyle name="Comma 2 2 4 2 2 2" xfId="279"/>
    <cellStyle name="Comma 2 2 4 2 3" xfId="280"/>
    <cellStyle name="Comma 2 2 4 3" xfId="281"/>
    <cellStyle name="Comma 2 2 4 3 2" xfId="282"/>
    <cellStyle name="Comma 2 2 4 4" xfId="283"/>
    <cellStyle name="Comma 2 2 4 5" xfId="276"/>
    <cellStyle name="Comma 2 2 5" xfId="284"/>
    <cellStyle name="Comma 2 2 5 2" xfId="285"/>
    <cellStyle name="Comma 2 2 5 2 2" xfId="286"/>
    <cellStyle name="Comma 2 2 5 3" xfId="287"/>
    <cellStyle name="Comma 2 2 6" xfId="288"/>
    <cellStyle name="Comma 2 2 6 2" xfId="289"/>
    <cellStyle name="Comma 2 2 7" xfId="290"/>
    <cellStyle name="Comma 2 2 8" xfId="291"/>
    <cellStyle name="Comma 2 2 9" xfId="249"/>
    <cellStyle name="Comma 2 3" xfId="106"/>
    <cellStyle name="Comma 2 3 2" xfId="145"/>
    <cellStyle name="Comma 2 3 2 2" xfId="185"/>
    <cellStyle name="Comma 2 3 2 2 2" xfId="295"/>
    <cellStyle name="Comma 2 3 2 2 2 2" xfId="296"/>
    <cellStyle name="Comma 2 3 2 2 3" xfId="297"/>
    <cellStyle name="Comma 2 3 2 2 4" xfId="294"/>
    <cellStyle name="Comma 2 3 2 3" xfId="298"/>
    <cellStyle name="Comma 2 3 2 3 2" xfId="299"/>
    <cellStyle name="Comma 2 3 2 4" xfId="300"/>
    <cellStyle name="Comma 2 3 2 5" xfId="301"/>
    <cellStyle name="Comma 2 3 2 6" xfId="293"/>
    <cellStyle name="Comma 2 3 3" xfId="162"/>
    <cellStyle name="Comma 2 3 3 2" xfId="303"/>
    <cellStyle name="Comma 2 3 3 2 2" xfId="304"/>
    <cellStyle name="Comma 2 3 3 2 2 2" xfId="305"/>
    <cellStyle name="Comma 2 3 3 2 3" xfId="306"/>
    <cellStyle name="Comma 2 3 3 3" xfId="307"/>
    <cellStyle name="Comma 2 3 3 3 2" xfId="308"/>
    <cellStyle name="Comma 2 3 3 4" xfId="309"/>
    <cellStyle name="Comma 2 3 3 5" xfId="302"/>
    <cellStyle name="Comma 2 3 4" xfId="310"/>
    <cellStyle name="Comma 2 3 4 2" xfId="311"/>
    <cellStyle name="Comma 2 3 4 2 2" xfId="312"/>
    <cellStyle name="Comma 2 3 4 3" xfId="313"/>
    <cellStyle name="Comma 2 3 5" xfId="314"/>
    <cellStyle name="Comma 2 3 5 2" xfId="315"/>
    <cellStyle name="Comma 2 3 6" xfId="316"/>
    <cellStyle name="Comma 2 3 7" xfId="317"/>
    <cellStyle name="Comma 2 3 8" xfId="292"/>
    <cellStyle name="Comma 2 4" xfId="120"/>
    <cellStyle name="Comma 2 4 2" xfId="175"/>
    <cellStyle name="Comma 2 4 2 2" xfId="320"/>
    <cellStyle name="Comma 2 4 2 2 2" xfId="321"/>
    <cellStyle name="Comma 2 4 2 3" xfId="322"/>
    <cellStyle name="Comma 2 4 2 4" xfId="319"/>
    <cellStyle name="Comma 2 4 3" xfId="323"/>
    <cellStyle name="Comma 2 4 3 2" xfId="324"/>
    <cellStyle name="Comma 2 4 4" xfId="325"/>
    <cellStyle name="Comma 2 4 5" xfId="326"/>
    <cellStyle name="Comma 2 4 6" xfId="318"/>
    <cellStyle name="Comma 2 5" xfId="149"/>
    <cellStyle name="Comma 2 5 2" xfId="328"/>
    <cellStyle name="Comma 2 5 2 2" xfId="329"/>
    <cellStyle name="Comma 2 5 2 2 2" xfId="330"/>
    <cellStyle name="Comma 2 5 2 3" xfId="331"/>
    <cellStyle name="Comma 2 5 3" xfId="332"/>
    <cellStyle name="Comma 2 5 3 2" xfId="333"/>
    <cellStyle name="Comma 2 5 4" xfId="334"/>
    <cellStyle name="Comma 2 5 5" xfId="327"/>
    <cellStyle name="Comma 2 6" xfId="335"/>
    <cellStyle name="Comma 2 6 2" xfId="336"/>
    <cellStyle name="Comma 2 6 2 2" xfId="337"/>
    <cellStyle name="Comma 2 6 3" xfId="338"/>
    <cellStyle name="Comma 2 7" xfId="339"/>
    <cellStyle name="Comma 2 7 2" xfId="340"/>
    <cellStyle name="Comma 2 7 2 2" xfId="341"/>
    <cellStyle name="Comma 2 7 3" xfId="342"/>
    <cellStyle name="Comma 2 8" xfId="343"/>
    <cellStyle name="Comma 2 8 2" xfId="344"/>
    <cellStyle name="Comma 2 8 2 2" xfId="345"/>
    <cellStyle name="Comma 2 8 3" xfId="346"/>
    <cellStyle name="Comma 2 9" xfId="347"/>
    <cellStyle name="Comma 2 9 2" xfId="348"/>
    <cellStyle name="Comma 3" xfId="2"/>
    <cellStyle name="Comma 3 2" xfId="61"/>
    <cellStyle name="Comma 3 2 2" xfId="111"/>
    <cellStyle name="Comma 3 2 2 2" xfId="167"/>
    <cellStyle name="Comma 3 2 2 2 2" xfId="353"/>
    <cellStyle name="Comma 3 2 2 2 2 2" xfId="354"/>
    <cellStyle name="Comma 3 2 2 2 3" xfId="355"/>
    <cellStyle name="Comma 3 2 2 2 4" xfId="352"/>
    <cellStyle name="Comma 3 2 2 3" xfId="356"/>
    <cellStyle name="Comma 3 2 2 3 2" xfId="357"/>
    <cellStyle name="Comma 3 2 2 4" xfId="358"/>
    <cellStyle name="Comma 3 2 2 5" xfId="359"/>
    <cellStyle name="Comma 3 2 2 6" xfId="351"/>
    <cellStyle name="Comma 3 2 3" xfId="122"/>
    <cellStyle name="Comma 3 2 3 2" xfId="177"/>
    <cellStyle name="Comma 3 2 3 2 2" xfId="362"/>
    <cellStyle name="Comma 3 2 3 2 2 2" xfId="363"/>
    <cellStyle name="Comma 3 2 3 2 3" xfId="364"/>
    <cellStyle name="Comma 3 2 3 2 4" xfId="361"/>
    <cellStyle name="Comma 3 2 3 3" xfId="365"/>
    <cellStyle name="Comma 3 2 3 3 2" xfId="366"/>
    <cellStyle name="Comma 3 2 3 4" xfId="367"/>
    <cellStyle name="Comma 3 2 3 5" xfId="360"/>
    <cellStyle name="Comma 3 2 4" xfId="154"/>
    <cellStyle name="Comma 3 2 4 2" xfId="369"/>
    <cellStyle name="Comma 3 2 4 2 2" xfId="370"/>
    <cellStyle name="Comma 3 2 4 3" xfId="371"/>
    <cellStyle name="Comma 3 2 4 4" xfId="368"/>
    <cellStyle name="Comma 3 2 5" xfId="372"/>
    <cellStyle name="Comma 3 2 5 2" xfId="373"/>
    <cellStyle name="Comma 3 2 6" xfId="374"/>
    <cellStyle name="Comma 3 2 7" xfId="375"/>
    <cellStyle name="Comma 3 2 8" xfId="350"/>
    <cellStyle name="Comma 3 3" xfId="105"/>
    <cellStyle name="Comma 3 3 2" xfId="161"/>
    <cellStyle name="Comma 3 3 2 2" xfId="378"/>
    <cellStyle name="Comma 3 3 2 2 2" xfId="379"/>
    <cellStyle name="Comma 3 3 2 3" xfId="380"/>
    <cellStyle name="Comma 3 3 2 4" xfId="377"/>
    <cellStyle name="Comma 3 3 3" xfId="381"/>
    <cellStyle name="Comma 3 3 3 2" xfId="382"/>
    <cellStyle name="Comma 3 3 4" xfId="383"/>
    <cellStyle name="Comma 3 3 5" xfId="384"/>
    <cellStyle name="Comma 3 3 6" xfId="376"/>
    <cellStyle name="Comma 3 4" xfId="118"/>
    <cellStyle name="Comma 3 4 2" xfId="174"/>
    <cellStyle name="Comma 3 4 2 2" xfId="387"/>
    <cellStyle name="Comma 3 4 2 2 2" xfId="388"/>
    <cellStyle name="Comma 3 4 2 3" xfId="389"/>
    <cellStyle name="Comma 3 4 2 4" xfId="386"/>
    <cellStyle name="Comma 3 4 3" xfId="390"/>
    <cellStyle name="Comma 3 4 3 2" xfId="391"/>
    <cellStyle name="Comma 3 4 4" xfId="392"/>
    <cellStyle name="Comma 3 4 5" xfId="385"/>
    <cellStyle name="Comma 3 5" xfId="148"/>
    <cellStyle name="Comma 3 5 2" xfId="394"/>
    <cellStyle name="Comma 3 5 2 2" xfId="395"/>
    <cellStyle name="Comma 3 5 3" xfId="396"/>
    <cellStyle name="Comma 3 5 4" xfId="393"/>
    <cellStyle name="Comma 3 6" xfId="397"/>
    <cellStyle name="Comma 3 6 2" xfId="398"/>
    <cellStyle name="Comma 3 7" xfId="399"/>
    <cellStyle name="Comma 3 8" xfId="400"/>
    <cellStyle name="Comma 3 9" xfId="349"/>
    <cellStyle name="Comma 4" xfId="12"/>
    <cellStyle name="Comma 4 2" xfId="63"/>
    <cellStyle name="Comma 4 2 2" xfId="112"/>
    <cellStyle name="Comma 4 2 2 2" xfId="168"/>
    <cellStyle name="Comma 4 2 2 2 2" xfId="405"/>
    <cellStyle name="Comma 4 2 2 2 2 2" xfId="406"/>
    <cellStyle name="Comma 4 2 2 2 3" xfId="407"/>
    <cellStyle name="Comma 4 2 2 2 4" xfId="404"/>
    <cellStyle name="Comma 4 2 2 3" xfId="408"/>
    <cellStyle name="Comma 4 2 2 3 2" xfId="409"/>
    <cellStyle name="Comma 4 2 2 4" xfId="410"/>
    <cellStyle name="Comma 4 2 2 5" xfId="403"/>
    <cellStyle name="Comma 4 2 3" xfId="124"/>
    <cellStyle name="Comma 4 2 3 2" xfId="179"/>
    <cellStyle name="Comma 4 2 3 2 2" xfId="413"/>
    <cellStyle name="Comma 4 2 3 2 2 2" xfId="414"/>
    <cellStyle name="Comma 4 2 3 2 3" xfId="415"/>
    <cellStyle name="Comma 4 2 3 2 4" xfId="412"/>
    <cellStyle name="Comma 4 2 3 3" xfId="416"/>
    <cellStyle name="Comma 4 2 3 3 2" xfId="417"/>
    <cellStyle name="Comma 4 2 3 4" xfId="418"/>
    <cellStyle name="Comma 4 2 3 5" xfId="411"/>
    <cellStyle name="Comma 4 2 4" xfId="155"/>
    <cellStyle name="Comma 4 2 4 2" xfId="420"/>
    <cellStyle name="Comma 4 2 4 2 2" xfId="421"/>
    <cellStyle name="Comma 4 2 4 3" xfId="422"/>
    <cellStyle name="Comma 4 2 4 4" xfId="419"/>
    <cellStyle name="Comma 4 2 5" xfId="423"/>
    <cellStyle name="Comma 4 2 5 2" xfId="424"/>
    <cellStyle name="Comma 4 2 6" xfId="425"/>
    <cellStyle name="Comma 4 2 7" xfId="402"/>
    <cellStyle name="Comma 4 3" xfId="108"/>
    <cellStyle name="Comma 4 3 2" xfId="164"/>
    <cellStyle name="Comma 4 3 2 2" xfId="428"/>
    <cellStyle name="Comma 4 3 2 2 2" xfId="429"/>
    <cellStyle name="Comma 4 3 2 3" xfId="430"/>
    <cellStyle name="Comma 4 3 2 4" xfId="427"/>
    <cellStyle name="Comma 4 3 3" xfId="431"/>
    <cellStyle name="Comma 4 3 3 2" xfId="432"/>
    <cellStyle name="Comma 4 3 4" xfId="433"/>
    <cellStyle name="Comma 4 3 5" xfId="434"/>
    <cellStyle name="Comma 4 3 6" xfId="426"/>
    <cellStyle name="Comma 4 4" xfId="123"/>
    <cellStyle name="Comma 4 4 2" xfId="178"/>
    <cellStyle name="Comma 4 4 2 2" xfId="437"/>
    <cellStyle name="Comma 4 4 2 2 2" xfId="438"/>
    <cellStyle name="Comma 4 4 2 3" xfId="439"/>
    <cellStyle name="Comma 4 4 2 4" xfId="436"/>
    <cellStyle name="Comma 4 4 3" xfId="440"/>
    <cellStyle name="Comma 4 4 3 2" xfId="441"/>
    <cellStyle name="Comma 4 4 4" xfId="442"/>
    <cellStyle name="Comma 4 4 5" xfId="435"/>
    <cellStyle name="Comma 4 5" xfId="151"/>
    <cellStyle name="Comma 4 5 2" xfId="444"/>
    <cellStyle name="Comma 4 5 2 2" xfId="445"/>
    <cellStyle name="Comma 4 5 3" xfId="446"/>
    <cellStyle name="Comma 4 5 4" xfId="443"/>
    <cellStyle name="Comma 4 6" xfId="447"/>
    <cellStyle name="Comma 4 6 2" xfId="448"/>
    <cellStyle name="Comma 4 7" xfId="449"/>
    <cellStyle name="Comma 4 8" xfId="401"/>
    <cellStyle name="Comma 5" xfId="94"/>
    <cellStyle name="Comma 5 2" xfId="113"/>
    <cellStyle name="Comma 5 2 2" xfId="169"/>
    <cellStyle name="Comma 5 2 2 2" xfId="453"/>
    <cellStyle name="Comma 5 2 2 2 2" xfId="454"/>
    <cellStyle name="Comma 5 2 2 2 2 2" xfId="455"/>
    <cellStyle name="Comma 5 2 2 2 3" xfId="456"/>
    <cellStyle name="Comma 5 2 2 3" xfId="457"/>
    <cellStyle name="Comma 5 2 2 3 2" xfId="458"/>
    <cellStyle name="Comma 5 2 2 4" xfId="459"/>
    <cellStyle name="Comma 5 2 2 5" xfId="452"/>
    <cellStyle name="Comma 5 2 3" xfId="460"/>
    <cellStyle name="Comma 5 2 3 2" xfId="461"/>
    <cellStyle name="Comma 5 2 3 2 2" xfId="462"/>
    <cellStyle name="Comma 5 2 3 3" xfId="463"/>
    <cellStyle name="Comma 5 2 4" xfId="464"/>
    <cellStyle name="Comma 5 2 4 2" xfId="465"/>
    <cellStyle name="Comma 5 2 5" xfId="466"/>
    <cellStyle name="Comma 5 2 6" xfId="467"/>
    <cellStyle name="Comma 5 2 7" xfId="451"/>
    <cellStyle name="Comma 5 3" xfId="125"/>
    <cellStyle name="Comma 5 3 2" xfId="180"/>
    <cellStyle name="Comma 5 3 2 2" xfId="470"/>
    <cellStyle name="Comma 5 3 2 2 2" xfId="471"/>
    <cellStyle name="Comma 5 3 2 3" xfId="472"/>
    <cellStyle name="Comma 5 3 2 4" xfId="469"/>
    <cellStyle name="Comma 5 3 3" xfId="473"/>
    <cellStyle name="Comma 5 3 3 2" xfId="474"/>
    <cellStyle name="Comma 5 3 4" xfId="475"/>
    <cellStyle name="Comma 5 3 5" xfId="468"/>
    <cellStyle name="Comma 5 4" xfId="156"/>
    <cellStyle name="Comma 5 4 2" xfId="477"/>
    <cellStyle name="Comma 5 4 2 2" xfId="478"/>
    <cellStyle name="Comma 5 4 3" xfId="479"/>
    <cellStyle name="Comma 5 4 4" xfId="476"/>
    <cellStyle name="Comma 5 5" xfId="480"/>
    <cellStyle name="Comma 5 5 2" xfId="481"/>
    <cellStyle name="Comma 5 6" xfId="482"/>
    <cellStyle name="Comma 5 7" xfId="450"/>
    <cellStyle name="Comma 6" xfId="55"/>
    <cellStyle name="Comma 6 2" xfId="109"/>
    <cellStyle name="Comma 6 2 2" xfId="165"/>
    <cellStyle name="Comma 6 2 2 2" xfId="486"/>
    <cellStyle name="Comma 6 2 2 2 2" xfId="487"/>
    <cellStyle name="Comma 6 2 2 2 2 2" xfId="488"/>
    <cellStyle name="Comma 6 2 2 2 3" xfId="489"/>
    <cellStyle name="Comma 6 2 2 3" xfId="490"/>
    <cellStyle name="Comma 6 2 2 3 2" xfId="491"/>
    <cellStyle name="Comma 6 2 2 4" xfId="492"/>
    <cellStyle name="Comma 6 2 2 5" xfId="485"/>
    <cellStyle name="Comma 6 2 3" xfId="493"/>
    <cellStyle name="Comma 6 2 3 2" xfId="494"/>
    <cellStyle name="Comma 6 2 3 2 2" xfId="495"/>
    <cellStyle name="Comma 6 2 3 3" xfId="496"/>
    <cellStyle name="Comma 6 2 4" xfId="497"/>
    <cellStyle name="Comma 6 2 4 2" xfId="498"/>
    <cellStyle name="Comma 6 2 5" xfId="499"/>
    <cellStyle name="Comma 6 2 6" xfId="500"/>
    <cellStyle name="Comma 6 2 7" xfId="484"/>
    <cellStyle name="Comma 6 3" xfId="126"/>
    <cellStyle name="Comma 6 3 2" xfId="181"/>
    <cellStyle name="Comma 6 3 2 2" xfId="503"/>
    <cellStyle name="Comma 6 3 2 2 2" xfId="504"/>
    <cellStyle name="Comma 6 3 2 3" xfId="505"/>
    <cellStyle name="Comma 6 3 2 4" xfId="502"/>
    <cellStyle name="Comma 6 3 3" xfId="506"/>
    <cellStyle name="Comma 6 3 3 2" xfId="507"/>
    <cellStyle name="Comma 6 3 4" xfId="508"/>
    <cellStyle name="Comma 6 3 5" xfId="509"/>
    <cellStyle name="Comma 6 3 6" xfId="501"/>
    <cellStyle name="Comma 6 4" xfId="152"/>
    <cellStyle name="Comma 6 4 2" xfId="511"/>
    <cellStyle name="Comma 6 4 2 2" xfId="512"/>
    <cellStyle name="Comma 6 4 2 2 2" xfId="513"/>
    <cellStyle name="Comma 6 4 2 3" xfId="514"/>
    <cellStyle name="Comma 6 4 3" xfId="515"/>
    <cellStyle name="Comma 6 4 3 2" xfId="516"/>
    <cellStyle name="Comma 6 4 4" xfId="517"/>
    <cellStyle name="Comma 6 4 5" xfId="510"/>
    <cellStyle name="Comma 6 5" xfId="518"/>
    <cellStyle name="Comma 6 5 2" xfId="519"/>
    <cellStyle name="Comma 6 5 2 2" xfId="520"/>
    <cellStyle name="Comma 6 5 3" xfId="521"/>
    <cellStyle name="Comma 6 6" xfId="522"/>
    <cellStyle name="Comma 6 6 2" xfId="523"/>
    <cellStyle name="Comma 6 7" xfId="524"/>
    <cellStyle name="Comma 6 8" xfId="525"/>
    <cellStyle name="Comma 6 9" xfId="483"/>
    <cellStyle name="Comma 7" xfId="104"/>
    <cellStyle name="Comma 7 2" xfId="128"/>
    <cellStyle name="Comma 7 2 2" xfId="183"/>
    <cellStyle name="Comma 7 2 2 2" xfId="529"/>
    <cellStyle name="Comma 7 2 2 2 2" xfId="530"/>
    <cellStyle name="Comma 7 2 2 2 2 2" xfId="531"/>
    <cellStyle name="Comma 7 2 2 2 3" xfId="532"/>
    <cellStyle name="Comma 7 2 2 3" xfId="533"/>
    <cellStyle name="Comma 7 2 2 3 2" xfId="534"/>
    <cellStyle name="Comma 7 2 2 4" xfId="535"/>
    <cellStyle name="Comma 7 2 2 5" xfId="528"/>
    <cellStyle name="Comma 7 2 3" xfId="536"/>
    <cellStyle name="Comma 7 2 3 2" xfId="537"/>
    <cellStyle name="Comma 7 2 3 2 2" xfId="538"/>
    <cellStyle name="Comma 7 2 3 3" xfId="539"/>
    <cellStyle name="Comma 7 2 4" xfId="540"/>
    <cellStyle name="Comma 7 2 4 2" xfId="541"/>
    <cellStyle name="Comma 7 2 5" xfId="542"/>
    <cellStyle name="Comma 7 2 6" xfId="543"/>
    <cellStyle name="Comma 7 2 7" xfId="527"/>
    <cellStyle name="Comma 7 3" xfId="127"/>
    <cellStyle name="Comma 7 3 2" xfId="182"/>
    <cellStyle name="Comma 7 3 2 2" xfId="546"/>
    <cellStyle name="Comma 7 3 2 2 2" xfId="547"/>
    <cellStyle name="Comma 7 3 2 3" xfId="548"/>
    <cellStyle name="Comma 7 3 2 4" xfId="545"/>
    <cellStyle name="Comma 7 3 3" xfId="549"/>
    <cellStyle name="Comma 7 3 3 2" xfId="550"/>
    <cellStyle name="Comma 7 3 4" xfId="551"/>
    <cellStyle name="Comma 7 3 5" xfId="544"/>
    <cellStyle name="Comma 7 4" xfId="160"/>
    <cellStyle name="Comma 7 4 2" xfId="553"/>
    <cellStyle name="Comma 7 4 2 2" xfId="554"/>
    <cellStyle name="Comma 7 4 3" xfId="555"/>
    <cellStyle name="Comma 7 4 4" xfId="552"/>
    <cellStyle name="Comma 7 5" xfId="556"/>
    <cellStyle name="Comma 7 5 2" xfId="557"/>
    <cellStyle name="Comma 7 6" xfId="558"/>
    <cellStyle name="Comma 7 7" xfId="559"/>
    <cellStyle name="Comma 7 8" xfId="526"/>
    <cellStyle name="Comma 8" xfId="8"/>
    <cellStyle name="Comma 8 2" xfId="107"/>
    <cellStyle name="Comma 8 2 2" xfId="163"/>
    <cellStyle name="Comma 8 2 2 2" xfId="563"/>
    <cellStyle name="Comma 8 2 2 2 2" xfId="564"/>
    <cellStyle name="Comma 8 2 2 3" xfId="565"/>
    <cellStyle name="Comma 8 2 2 4" xfId="562"/>
    <cellStyle name="Comma 8 2 3" xfId="566"/>
    <cellStyle name="Comma 8 2 3 2" xfId="567"/>
    <cellStyle name="Comma 8 2 4" xfId="568"/>
    <cellStyle name="Comma 8 2 5" xfId="561"/>
    <cellStyle name="Comma 8 3" xfId="129"/>
    <cellStyle name="Comma 8 3 2" xfId="184"/>
    <cellStyle name="Comma 8 3 2 2" xfId="571"/>
    <cellStyle name="Comma 8 3 2 3" xfId="570"/>
    <cellStyle name="Comma 8 3 3" xfId="572"/>
    <cellStyle name="Comma 8 3 4" xfId="573"/>
    <cellStyle name="Comma 8 3 5" xfId="569"/>
    <cellStyle name="Comma 8 4" xfId="150"/>
    <cellStyle name="Comma 8 4 2" xfId="575"/>
    <cellStyle name="Comma 8 4 3" xfId="574"/>
    <cellStyle name="Comma 8 5" xfId="576"/>
    <cellStyle name="Comma 8 6" xfId="577"/>
    <cellStyle name="Comma 8 7" xfId="560"/>
    <cellStyle name="Comma 9" xfId="117"/>
    <cellStyle name="Comma 9 2" xfId="173"/>
    <cellStyle name="Comma 9 2 2" xfId="580"/>
    <cellStyle name="Comma 9 2 2 2" xfId="581"/>
    <cellStyle name="Comma 9 2 3" xfId="582"/>
    <cellStyle name="Comma 9 2 4" xfId="579"/>
    <cellStyle name="Comma 9 3" xfId="583"/>
    <cellStyle name="Comma 9 3 2" xfId="584"/>
    <cellStyle name="Comma 9 4" xfId="585"/>
    <cellStyle name="Comma 9 5" xfId="586"/>
    <cellStyle name="Comma 9 6" xfId="578"/>
    <cellStyle name="Currency 2" xfId="119"/>
    <cellStyle name="Currency 2 2" xfId="588"/>
    <cellStyle name="Currency 2 2 2" xfId="589"/>
    <cellStyle name="Currency 2 2 2 2" xfId="590"/>
    <cellStyle name="Currency 2 2 2 2 2" xfId="591"/>
    <cellStyle name="Currency 2 2 2 3" xfId="592"/>
    <cellStyle name="Currency 2 2 3" xfId="593"/>
    <cellStyle name="Currency 2 2 3 2" xfId="594"/>
    <cellStyle name="Currency 2 2 4" xfId="595"/>
    <cellStyle name="Currency 2 3" xfId="596"/>
    <cellStyle name="Currency 2 4" xfId="597"/>
    <cellStyle name="Currency 2 4 2" xfId="598"/>
    <cellStyle name="Currency 2 4 2 2" xfId="599"/>
    <cellStyle name="Currency 2 4 3" xfId="600"/>
    <cellStyle name="Currency 2 5" xfId="601"/>
    <cellStyle name="Currency 2 5 2" xfId="602"/>
    <cellStyle name="Currency 2 6" xfId="603"/>
    <cellStyle name="Currency 2 7" xfId="587"/>
    <cellStyle name="GrandTotal" xfId="604"/>
    <cellStyle name="InputField" xfId="605"/>
    <cellStyle name="insiteTable" xfId="606"/>
    <cellStyle name="insiteTableHeader" xfId="607"/>
    <cellStyle name="insiteTableRight" xfId="608"/>
    <cellStyle name="insiteTableSubTitle" xfId="609"/>
    <cellStyle name="insiteTitleBold" xfId="610"/>
    <cellStyle name="LogoHeader" xfId="611"/>
    <cellStyle name="Normal" xfId="0" builtinId="0"/>
    <cellStyle name="Normal 10" xfId="130"/>
    <cellStyle name="Normal 10 2" xfId="612"/>
    <cellStyle name="Normal 11" xfId="131"/>
    <cellStyle name="Normal 12" xfId="132"/>
    <cellStyle name="Normal 13" xfId="10"/>
    <cellStyle name="Normal 14" xfId="11"/>
    <cellStyle name="Normal 19" xfId="99"/>
    <cellStyle name="Normal 2" xfId="3"/>
    <cellStyle name="Normal 2 2" xfId="95"/>
    <cellStyle name="Normal 2 2 2" xfId="133"/>
    <cellStyle name="Normal 2 2 3" xfId="613"/>
    <cellStyle name="Normal 2 3" xfId="97"/>
    <cellStyle name="Normal 2 4" xfId="98"/>
    <cellStyle name="Normal 2 4 2" xfId="615"/>
    <cellStyle name="Normal 2 4 3" xfId="616"/>
    <cellStyle name="Normal 2 4 4" xfId="614"/>
    <cellStyle name="Normal 2 5" xfId="56"/>
    <cellStyle name="Normal 20" xfId="101"/>
    <cellStyle name="Normal 3" xfId="4"/>
    <cellStyle name="Normal 4" xfId="62"/>
    <cellStyle name="Normal 4 2" xfId="135"/>
    <cellStyle name="Normal 4 3" xfId="134"/>
    <cellStyle name="Normal 4 4" xfId="617"/>
    <cellStyle name="Normal 5" xfId="64"/>
    <cellStyle name="Normal 5 2" xfId="136"/>
    <cellStyle name="Normal 5 2 2" xfId="137"/>
    <cellStyle name="Normal 5 3" xfId="138"/>
    <cellStyle name="Normal 6" xfId="78"/>
    <cellStyle name="Normal 6 2" xfId="139"/>
    <cellStyle name="Normal 6 3" xfId="618"/>
    <cellStyle name="Normal 7" xfId="93"/>
    <cellStyle name="Normal 7 2" xfId="140"/>
    <cellStyle name="Normal 8" xfId="54"/>
    <cellStyle name="Normal 8 2" xfId="142"/>
    <cellStyle name="Normal 8 3" xfId="143"/>
    <cellStyle name="Normal 8 4" xfId="141"/>
    <cellStyle name="Normal 8 5" xfId="619"/>
    <cellStyle name="Normal 9" xfId="144"/>
    <cellStyle name="Normal_גיליון1" xfId="187"/>
    <cellStyle name="Normal_טבלאות הבראה2" xfId="13"/>
    <cellStyle name="Normal_שכירויות 2004" xfId="9"/>
    <cellStyle name="Normal_תוכנית למשרד הפנים" xfId="14"/>
    <cellStyle name="Percent" xfId="7" builtinId="5"/>
    <cellStyle name="Percent 2" xfId="5"/>
    <cellStyle name="Percent 2 2" xfId="57"/>
    <cellStyle name="SubTotalSum" xfId="620"/>
    <cellStyle name="הדגשה1" xfId="30" builtinId="29" customBuiltin="1"/>
    <cellStyle name="הדגשה2" xfId="34" builtinId="33" customBuiltin="1"/>
    <cellStyle name="הדגשה3" xfId="38" builtinId="37" customBuiltin="1"/>
    <cellStyle name="הדגשה4" xfId="42" builtinId="41" customBuiltin="1"/>
    <cellStyle name="הדגשה5" xfId="46" builtinId="45" customBuiltin="1"/>
    <cellStyle name="הדגשה6" xfId="50" builtinId="49" customBuiltin="1"/>
    <cellStyle name="הערה" xfId="103" builtinId="10" customBuiltin="1"/>
    <cellStyle name="הערה 2" xfId="59"/>
    <cellStyle name="הערה 3" xfId="77"/>
    <cellStyle name="הערה 4" xfId="91"/>
    <cellStyle name="הערה 5" xfId="92"/>
    <cellStyle name="חישוב" xfId="24" builtinId="22" customBuiltin="1"/>
    <cellStyle name="טוב" xfId="19" builtinId="26" customBuiltin="1"/>
    <cellStyle name="טקסט אזהרה" xfId="27" builtinId="11" customBuiltin="1"/>
    <cellStyle name="טקסט הסברי" xfId="28" builtinId="53" customBuiltin="1"/>
    <cellStyle name="כותרת" xfId="186" builtinId="15" customBuiltin="1"/>
    <cellStyle name="כותרת 1" xfId="15" builtinId="16" customBuiltin="1"/>
    <cellStyle name="כותרת 2" xfId="16" builtinId="17" customBuiltin="1"/>
    <cellStyle name="כותרת 3" xfId="17" builtinId="18" customBuiltin="1"/>
    <cellStyle name="כותרת 4" xfId="18" builtinId="19" customBuiltin="1"/>
    <cellStyle name="כותרת 5" xfId="60"/>
    <cellStyle name="כותרת 6" xfId="621"/>
    <cellStyle name="כותרת 7" xfId="622"/>
    <cellStyle name="ניטראלי" xfId="21" builtinId="28" customBuiltin="1"/>
    <cellStyle name="סה&quot;כ" xfId="29" builtinId="25" customBuiltin="1"/>
    <cellStyle name="פלט" xfId="23" builtinId="21" customBuiltin="1"/>
    <cellStyle name="קלט" xfId="22" builtinId="20" customBuiltin="1"/>
    <cellStyle name="רע" xfId="20" builtinId="27" customBuiltin="1"/>
    <cellStyle name="תא מסומן" xfId="26" builtinId="23" customBuiltin="1"/>
    <cellStyle name="תא מקושר" xfId="25" builtinId="24" customBuiltin="1"/>
  </cellStyles>
  <dxfs count="128"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164" formatCode="_ * #,##0_ ;_ * \-#,##0_ ;_ * &quot;-&quot;??_ ;_ @_ 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35" formatCode="_ * #,##0.00_ ;_ * \-#,##0.00_ ;_ * &quot;-&quot;??_ ;_ @_ "/>
      <fill>
        <patternFill patternType="solid">
          <fgColor indexed="64"/>
          <bgColor theme="0"/>
        </patternFill>
      </fill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 val="0"/>
        <sz val="14"/>
        <color auto="1"/>
        <name val="Aharoni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4"/>
        <color auto="1"/>
        <name val="Aharon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sz val="14"/>
        <color auto="1"/>
        <name val="Aharoni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top style="medium">
          <color indexed="64"/>
        </top>
      </border>
    </dxf>
    <dxf>
      <font>
        <b val="0"/>
        <sz val="14"/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right" textRotation="0" indent="0" justifyLastLine="0" shrinkToFit="0" readingOrder="0"/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5" formatCode="&quot;₪&quot;\ #,##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numFmt numFmtId="170" formatCode="&quot;₪&quot;\ #,##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6" formatCode="&quot;₪&quot;\ 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5" formatCode="&quot;₪&quot;\ 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5" formatCode="&quot;₪&quot;\ 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numFmt numFmtId="165" formatCode="&quot;₪&quot;\ #,##0"/>
      <fill>
        <patternFill patternType="solid">
          <fgColor indexed="64"/>
          <bgColor theme="7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numFmt numFmtId="165" formatCode="&quot;₪&quot;\ #,##0"/>
      <fill>
        <patternFill patternType="solid">
          <fgColor indexed="64"/>
          <bgColor theme="7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name val="David"/>
        <scheme val="none"/>
      </font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vertAlign val="baseline"/>
        <name val="David"/>
        <scheme val="none"/>
      </font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top style="medium">
          <color indexed="64"/>
        </top>
      </border>
    </dxf>
    <dxf>
      <font>
        <b/>
        <strike val="0"/>
        <outline val="0"/>
        <shadow val="0"/>
        <vertAlign val="baseline"/>
        <sz val="14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vertAlign val="baseline"/>
        <name val="David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right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00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rgb="FF00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3" formatCode="0%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</dxf>
    <dxf>
      <border diagonalUp="0" diagonalDown="0" outline="0">
        <left/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3" formatCode="0%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haron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9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rgb="FF0099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71" formatCode="_ * #,##0.0_ ;_ * \-#,##0.0_ ;_ * &quot;-&quot;??_ ;_ @_ "/>
    </dxf>
    <dxf>
      <numFmt numFmtId="171" formatCode="_ * #,##0.0_ ;_ * \-#,##0.0_ ;_ * &quot;-&quot;??_ ;_ @_ "/>
    </dxf>
    <dxf>
      <numFmt numFmtId="171" formatCode="_ * #,##0.0_ ;_ * \-#,##0.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avid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2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0099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FF"/>
      <color rgb="FFFF99FF"/>
      <color rgb="FFB87B00"/>
      <color rgb="FFCCFFCC"/>
      <color rgb="FF66FF66"/>
      <color rgb="FF66FF99"/>
      <color rgb="FF009900"/>
      <color rgb="FFE6EBF6"/>
      <color rgb="FF0000CC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view3D>
      <c:rotX val="15"/>
      <c:rotY val="340"/>
      <c:rAngAx val="1"/>
    </c:view3D>
    <c:floor>
      <c:thickness val="0"/>
      <c:spPr>
        <a:noFill/>
        <a:ln w="6350" cap="flat" cmpd="sng" algn="ctr">
          <a:solidFill>
            <a:schemeClr val="tx1">
              <a:tint val="75000"/>
            </a:schemeClr>
          </a:solidFill>
          <a:prstDash val="solid"/>
          <a:round/>
        </a:ln>
        <a:effectLst/>
        <a:sp3d contourW="6350">
          <a:contourClr>
            <a:schemeClr val="tx1">
              <a:tint val="7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'סיכום (1)'!$B$3</c:f>
              <c:strCache>
                <c:ptCount val="1"/>
                <c:pt idx="0">
                  <c:v>תקציב 2022</c:v>
                </c:pt>
              </c:strCache>
            </c:strRef>
          </c:tx>
          <c:spPr>
            <a:solidFill>
              <a:schemeClr val="accent6">
                <a:shade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'סיכום (1)'!$A$4:$A$7</c:f>
              <c:strCache>
                <c:ptCount val="4"/>
                <c:pt idx="0">
                  <c:v>הוצאות שכר שוטף</c:v>
                </c:pt>
                <c:pt idx="1">
                  <c:v>הוצאות לפעילות</c:v>
                </c:pt>
                <c:pt idx="2">
                  <c:v>סה"כ הוצאות</c:v>
                </c:pt>
                <c:pt idx="3">
                  <c:v>סה"כ הכנסות</c:v>
                </c:pt>
              </c:strCache>
            </c:strRef>
          </c:cat>
          <c:val>
            <c:numRef>
              <c:f>'סיכום (1)'!$B$4:$B$7</c:f>
              <c:numCache>
                <c:formatCode>_ * #,##0_ ;_ * \-#,##0_ ;_ * "-"??_ ;_ @_ </c:formatCode>
                <c:ptCount val="4"/>
                <c:pt idx="0">
                  <c:v>304489567</c:v>
                </c:pt>
                <c:pt idx="1">
                  <c:v>488642433.16000009</c:v>
                </c:pt>
                <c:pt idx="2">
                  <c:v>793132000.16000009</c:v>
                </c:pt>
                <c:pt idx="3">
                  <c:v>793131999.77499998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B-4246-ACB3-3FF245905EEC}"/>
            </c:ext>
          </c:extLst>
        </c:ser>
        <c:ser>
          <c:idx val="1"/>
          <c:order val="1"/>
          <c:tx>
            <c:strRef>
              <c:f>'סיכום (1)'!$C$3</c:f>
              <c:strCache>
                <c:ptCount val="1"/>
                <c:pt idx="0">
                  <c:v>אומדן 2022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'סיכום (1)'!$A$4:$A$7</c:f>
              <c:strCache>
                <c:ptCount val="4"/>
                <c:pt idx="0">
                  <c:v>הוצאות שכר שוטף</c:v>
                </c:pt>
                <c:pt idx="1">
                  <c:v>הוצאות לפעילות</c:v>
                </c:pt>
                <c:pt idx="2">
                  <c:v>סה"כ הוצאות</c:v>
                </c:pt>
                <c:pt idx="3">
                  <c:v>סה"כ הכנסות</c:v>
                </c:pt>
              </c:strCache>
            </c:strRef>
          </c:cat>
          <c:val>
            <c:numRef>
              <c:f>'סיכום (1)'!$C$4:$C$7</c:f>
              <c:numCache>
                <c:formatCode>_ * #,##0_ ;_ * \-#,##0_ ;_ * "-"??_ ;_ @_ </c:formatCode>
                <c:ptCount val="4"/>
                <c:pt idx="0">
                  <c:v>300071700</c:v>
                </c:pt>
                <c:pt idx="1">
                  <c:v>489832000</c:v>
                </c:pt>
                <c:pt idx="2">
                  <c:v>789903700</c:v>
                </c:pt>
                <c:pt idx="3">
                  <c:v>788707000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B-4246-ACB3-3FF245905EEC}"/>
            </c:ext>
          </c:extLst>
        </c:ser>
        <c:ser>
          <c:idx val="2"/>
          <c:order val="2"/>
          <c:tx>
            <c:strRef>
              <c:f>'סיכום (1)'!$D$3</c:f>
              <c:strCache>
                <c:ptCount val="1"/>
                <c:pt idx="0">
                  <c:v>תקציב 2023</c:v>
                </c:pt>
              </c:strCache>
            </c:strRef>
          </c:tx>
          <c:spPr>
            <a:solidFill>
              <a:schemeClr val="accent6">
                <a:tint val="65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'סיכום (1)'!$A$4:$A$7</c:f>
              <c:strCache>
                <c:ptCount val="4"/>
                <c:pt idx="0">
                  <c:v>הוצאות שכר שוטף</c:v>
                </c:pt>
                <c:pt idx="1">
                  <c:v>הוצאות לפעילות</c:v>
                </c:pt>
                <c:pt idx="2">
                  <c:v>סה"כ הוצאות</c:v>
                </c:pt>
                <c:pt idx="3">
                  <c:v>סה"כ הכנסות</c:v>
                </c:pt>
              </c:strCache>
            </c:strRef>
          </c:cat>
          <c:val>
            <c:numRef>
              <c:f>'סיכום (1)'!$D$4:$D$7</c:f>
              <c:numCache>
                <c:formatCode>_ * #,##0_ ;_ * \-#,##0_ ;_ * "-"??_ ;_ @_ </c:formatCode>
                <c:ptCount val="4"/>
                <c:pt idx="0">
                  <c:v>325778000.39999998</c:v>
                </c:pt>
                <c:pt idx="1">
                  <c:v>512282000.61000001</c:v>
                </c:pt>
                <c:pt idx="2">
                  <c:v>838060000.00999999</c:v>
                </c:pt>
                <c:pt idx="3">
                  <c:v>838060000.17845297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FB-4246-ACB3-3FF245905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9789696"/>
        <c:axId val="229791232"/>
        <c:axId val="0"/>
      </c:bar3DChart>
      <c:catAx>
        <c:axId val="229789696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29791232"/>
        <c:crosses val="autoZero"/>
        <c:auto val="1"/>
        <c:lblAlgn val="ctr"/>
        <c:lblOffset val="100"/>
        <c:noMultiLvlLbl val="0"/>
      </c:catAx>
      <c:valAx>
        <c:axId val="229791232"/>
        <c:scaling>
          <c:orientation val="minMax"/>
        </c:scaling>
        <c:delete val="0"/>
        <c:axPos val="r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_ * #,##0_ ;_ * \-#,##0_ ;_ * &quot;-&quot;??_ ;_ @_ 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297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paperSize="9" orientation="landscape" horizontalDpi="-2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jpg@01D8E87D.000BF7D0" TargetMode="External"/><Relationship Id="rId1" Type="http://schemas.openxmlformats.org/officeDocument/2006/relationships/image" Target="../media/image2.jpeg"/><Relationship Id="rId4" Type="http://schemas.openxmlformats.org/officeDocument/2006/relationships/image" Target="cid:image004.png@01D8E87D.000BF7D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17</xdr:row>
      <xdr:rowOff>28575</xdr:rowOff>
    </xdr:from>
    <xdr:to>
      <xdr:col>4</xdr:col>
      <xdr:colOff>781050</xdr:colOff>
      <xdr:row>47</xdr:row>
      <xdr:rowOff>9525</xdr:rowOff>
    </xdr:to>
    <xdr:graphicFrame macro="">
      <xdr:nvGraphicFramePr>
        <xdr:cNvPr id="2" name="תרשים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729837</xdr:colOff>
      <xdr:row>0</xdr:row>
      <xdr:rowOff>0</xdr:rowOff>
    </xdr:from>
    <xdr:ext cx="4405313" cy="623248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1412100" y="0"/>
          <a:ext cx="4405313" cy="62324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36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טיוטה בלבד</a:t>
          </a:r>
        </a:p>
      </xdr:txBody>
    </xdr:sp>
    <xdr:clientData/>
  </xdr:oneCellAnchor>
  <xdr:twoCellAnchor editAs="oneCell">
    <xdr:from>
      <xdr:col>12</xdr:col>
      <xdr:colOff>878279</xdr:colOff>
      <xdr:row>2</xdr:row>
      <xdr:rowOff>61852</xdr:rowOff>
    </xdr:from>
    <xdr:to>
      <xdr:col>18</xdr:col>
      <xdr:colOff>545349</xdr:colOff>
      <xdr:row>16</xdr:row>
      <xdr:rowOff>141838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3257451" y="623827"/>
          <a:ext cx="5115370" cy="3166086"/>
        </a:xfrm>
        <a:prstGeom prst="rect">
          <a:avLst/>
        </a:prstGeom>
      </xdr:spPr>
    </xdr:pic>
    <xdr:clientData/>
  </xdr:twoCellAnchor>
  <xdr:oneCellAnchor>
    <xdr:from>
      <xdr:col>4</xdr:col>
      <xdr:colOff>2012156</xdr:colOff>
      <xdr:row>132</xdr:row>
      <xdr:rowOff>0</xdr:rowOff>
    </xdr:from>
    <xdr:ext cx="4405313" cy="623248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241007331" y="0"/>
          <a:ext cx="4405313" cy="62324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36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טיוטה בלבד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</xdr:col>
      <xdr:colOff>266700</xdr:colOff>
      <xdr:row>16</xdr:row>
      <xdr:rowOff>47625</xdr:rowOff>
    </xdr:to>
    <xdr:pic>
      <xdr:nvPicPr>
        <xdr:cNvPr id="2" name="תמונה 1" descr="עותק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194700" y="20764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2</xdr:col>
      <xdr:colOff>457200</xdr:colOff>
      <xdr:row>15</xdr:row>
      <xdr:rowOff>171450</xdr:rowOff>
    </xdr:to>
    <xdr:pic>
      <xdr:nvPicPr>
        <xdr:cNvPr id="3" name="תמונה 2" descr="cid:image001.png@01D1843F.410DBB00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318400" y="2076450"/>
          <a:ext cx="182880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8.48.18\users\Users\moran-m\AppData\Local\Microsoft\Windows\INetCache\Content.Outlook\BAC1RDE5\&#1514;&#1511;&#1510;&#1497;&#1489;%202023%20&#1512;&#1493;&#1493;&#1495;&#1492;%20-%20&#1490;&#1512;&#1505;&#1492;%2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ANHALA\Bouznah%20Karin\&#1514;&#1511;&#1510;&#1497;&#1489;%202023\&#1491;&#1493;&#1495;%20&#1514;&#1511;&#1510;&#1493;&#1489;%2009.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ANHALA\Leon%20Moran\2021\&#1493;&#1493;&#1497;&#1505;&#1493;&#1514;&#1497;&#1501;%20&#1500;&#1502;&#1493;&#1506;&#1510;&#1492;%20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HANHALA\Leon%20Moran\2022\&#1514;&#1511;&#1510;&#1497;&#1489;%202022%20&#1512;&#1493;&#1493;&#1495;&#1492;%20-%20&#1505;&#1493;&#1508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כנסות"/>
      <sheetName val="בדיקת הכנסות"/>
      <sheetName val="הוצאות"/>
      <sheetName val="פירוט תקציב מוגנות"/>
      <sheetName val="בדיקת הוצאות"/>
      <sheetName val="על פי חוק"/>
      <sheetName val="מימון מלא"/>
      <sheetName val="מימון חלקי"/>
      <sheetName val="שכר רווחה"/>
      <sheetName val="גיליון1"/>
      <sheetName val="רפורמה עוס"/>
      <sheetName val="תוספת כ.א. 2022"/>
      <sheetName val="ילד בקהילה+תוכנית לאומית"/>
      <sheetName val="מתאם עירוני למלחמה בסמים"/>
      <sheetName val="מע&quot;ש + גל אור"/>
      <sheetName val="הסעות"/>
      <sheetName val="רשימת פורשים"/>
      <sheetName val="שכ&quot;ד"/>
      <sheetName val="תוספות תקנים"/>
      <sheetName val="תמי 4"/>
    </sheetNames>
    <sheetDataSet>
      <sheetData sheetId="0">
        <row r="124">
          <cell r="F124">
            <v>99027001.020832807</v>
          </cell>
          <cell r="G124">
            <v>96602885</v>
          </cell>
          <cell r="H124">
            <v>104046274.31947358</v>
          </cell>
        </row>
      </sheetData>
      <sheetData sheetId="1" refreshError="1"/>
      <sheetData sheetId="2">
        <row r="4">
          <cell r="F4">
            <v>22671000</v>
          </cell>
          <cell r="H4">
            <v>24653000</v>
          </cell>
        </row>
        <row r="15">
          <cell r="H15">
            <v>250000</v>
          </cell>
        </row>
        <row r="16">
          <cell r="H16">
            <v>698000</v>
          </cell>
        </row>
        <row r="17">
          <cell r="H17">
            <v>186000</v>
          </cell>
        </row>
        <row r="18">
          <cell r="H18">
            <v>256842.66666666666</v>
          </cell>
        </row>
        <row r="19">
          <cell r="H19">
            <v>244760</v>
          </cell>
        </row>
        <row r="20">
          <cell r="H20">
            <v>103000</v>
          </cell>
        </row>
        <row r="21">
          <cell r="H21">
            <v>103000</v>
          </cell>
        </row>
        <row r="22">
          <cell r="H22">
            <v>306000</v>
          </cell>
        </row>
        <row r="27">
          <cell r="H27">
            <v>832912</v>
          </cell>
        </row>
        <row r="29">
          <cell r="H29">
            <v>790000</v>
          </cell>
        </row>
        <row r="30">
          <cell r="H30">
            <v>757000</v>
          </cell>
        </row>
        <row r="31">
          <cell r="H31">
            <v>59000</v>
          </cell>
        </row>
        <row r="33">
          <cell r="H33">
            <v>1138296.3333333335</v>
          </cell>
        </row>
        <row r="34">
          <cell r="H34">
            <v>0</v>
          </cell>
        </row>
        <row r="36">
          <cell r="H36">
            <v>378000</v>
          </cell>
        </row>
        <row r="37">
          <cell r="H37">
            <v>14530650.666666666</v>
          </cell>
        </row>
        <row r="38">
          <cell r="H38">
            <v>1183724</v>
          </cell>
        </row>
        <row r="39">
          <cell r="H39">
            <v>252725</v>
          </cell>
        </row>
        <row r="41">
          <cell r="H41">
            <v>4162845.333333333</v>
          </cell>
        </row>
        <row r="42">
          <cell r="H42">
            <v>81184</v>
          </cell>
        </row>
        <row r="43">
          <cell r="H43">
            <v>125000</v>
          </cell>
        </row>
        <row r="44">
          <cell r="H44">
            <v>459278.66666666663</v>
          </cell>
        </row>
        <row r="46">
          <cell r="A46" t="str">
            <v>אזרחים ותיקים</v>
          </cell>
          <cell r="E46" t="str">
            <v>אחזקה במעונות אזרח ותיק</v>
          </cell>
          <cell r="H46">
            <v>5200000</v>
          </cell>
        </row>
        <row r="47">
          <cell r="H47">
            <v>0</v>
          </cell>
        </row>
        <row r="48">
          <cell r="H48">
            <v>40000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242000</v>
          </cell>
        </row>
        <row r="53">
          <cell r="H53">
            <v>286000</v>
          </cell>
        </row>
        <row r="54">
          <cell r="H54">
            <v>130000</v>
          </cell>
        </row>
        <row r="55">
          <cell r="H55">
            <v>0</v>
          </cell>
        </row>
        <row r="56">
          <cell r="F56">
            <v>1000000</v>
          </cell>
          <cell r="G56">
            <v>1000000</v>
          </cell>
          <cell r="H56">
            <v>0</v>
          </cell>
        </row>
        <row r="57">
          <cell r="F57">
            <v>0</v>
          </cell>
          <cell r="G57">
            <v>0</v>
          </cell>
          <cell r="H57">
            <v>1827000</v>
          </cell>
        </row>
        <row r="58">
          <cell r="F58">
            <v>0</v>
          </cell>
          <cell r="G58">
            <v>0</v>
          </cell>
          <cell r="H58">
            <v>1596000</v>
          </cell>
        </row>
        <row r="60">
          <cell r="A60" t="str">
            <v>סה"כ אזרחים ותיקים</v>
          </cell>
        </row>
        <row r="61">
          <cell r="H61">
            <v>21980162</v>
          </cell>
        </row>
        <row r="62">
          <cell r="H62">
            <v>3972501.333333333</v>
          </cell>
        </row>
        <row r="63">
          <cell r="H63">
            <v>8735387</v>
          </cell>
        </row>
        <row r="64">
          <cell r="H64">
            <v>62713.333333333336</v>
          </cell>
        </row>
        <row r="66">
          <cell r="H66">
            <v>699310.66666666674</v>
          </cell>
        </row>
        <row r="67">
          <cell r="H67">
            <v>3273916</v>
          </cell>
        </row>
        <row r="68">
          <cell r="H68">
            <v>31001.333333333332</v>
          </cell>
        </row>
        <row r="69">
          <cell r="H69">
            <v>659354.66666666663</v>
          </cell>
        </row>
        <row r="70">
          <cell r="H70">
            <v>12917.333333333332</v>
          </cell>
        </row>
        <row r="71">
          <cell r="H71">
            <v>47000</v>
          </cell>
        </row>
        <row r="72">
          <cell r="H72">
            <v>219832</v>
          </cell>
        </row>
        <row r="79">
          <cell r="H79">
            <v>294000</v>
          </cell>
        </row>
        <row r="80">
          <cell r="H80">
            <v>802000.40960000013</v>
          </cell>
        </row>
        <row r="81">
          <cell r="H81">
            <v>0</v>
          </cell>
        </row>
        <row r="83">
          <cell r="H83">
            <v>70000</v>
          </cell>
        </row>
        <row r="84">
          <cell r="H84">
            <v>0</v>
          </cell>
        </row>
        <row r="85">
          <cell r="H85">
            <v>128484</v>
          </cell>
        </row>
        <row r="86">
          <cell r="H86">
            <v>20000</v>
          </cell>
        </row>
        <row r="87">
          <cell r="H87">
            <v>179494.66666666666</v>
          </cell>
        </row>
        <row r="88">
          <cell r="H88">
            <v>9396847.3516273126</v>
          </cell>
        </row>
        <row r="89">
          <cell r="H89">
            <v>118752</v>
          </cell>
        </row>
        <row r="90">
          <cell r="H90">
            <v>198078</v>
          </cell>
        </row>
        <row r="91">
          <cell r="H91">
            <v>41522.666666666664</v>
          </cell>
        </row>
        <row r="92">
          <cell r="H92">
            <v>429776</v>
          </cell>
        </row>
        <row r="93">
          <cell r="H93">
            <v>86446.666666666657</v>
          </cell>
        </row>
        <row r="94">
          <cell r="H94">
            <v>1298000.2496</v>
          </cell>
        </row>
        <row r="95">
          <cell r="H95">
            <v>1179000</v>
          </cell>
        </row>
        <row r="96">
          <cell r="H96">
            <v>31948</v>
          </cell>
        </row>
        <row r="97">
          <cell r="H97">
            <v>2431066.6666666665</v>
          </cell>
        </row>
        <row r="98">
          <cell r="H98">
            <v>236433.33333333331</v>
          </cell>
        </row>
        <row r="100">
          <cell r="H100">
            <v>124752</v>
          </cell>
        </row>
        <row r="102">
          <cell r="H102">
            <v>71761.333333333343</v>
          </cell>
        </row>
        <row r="103">
          <cell r="H103">
            <v>92799.977199999994</v>
          </cell>
        </row>
        <row r="104">
          <cell r="H104">
            <v>49866.666666666672</v>
          </cell>
        </row>
        <row r="105">
          <cell r="H105">
            <v>179840</v>
          </cell>
        </row>
        <row r="106">
          <cell r="H106">
            <v>155000</v>
          </cell>
        </row>
        <row r="107">
          <cell r="H107">
            <v>155000</v>
          </cell>
        </row>
        <row r="111">
          <cell r="H111">
            <v>979000</v>
          </cell>
        </row>
        <row r="112">
          <cell r="H112">
            <v>60000</v>
          </cell>
        </row>
        <row r="113">
          <cell r="H113">
            <v>25000</v>
          </cell>
        </row>
        <row r="115">
          <cell r="H115">
            <v>624000</v>
          </cell>
        </row>
        <row r="118">
          <cell r="H118">
            <v>34676</v>
          </cell>
        </row>
        <row r="119">
          <cell r="H119">
            <v>271000</v>
          </cell>
        </row>
        <row r="120">
          <cell r="H120">
            <v>487460</v>
          </cell>
        </row>
        <row r="121">
          <cell r="H121">
            <v>58614.666666666672</v>
          </cell>
        </row>
        <row r="122">
          <cell r="H122">
            <v>90100</v>
          </cell>
        </row>
        <row r="123">
          <cell r="H123">
            <v>200000</v>
          </cell>
        </row>
        <row r="124">
          <cell r="H124">
            <v>220000</v>
          </cell>
        </row>
        <row r="125">
          <cell r="H125">
            <v>74000</v>
          </cell>
        </row>
        <row r="126">
          <cell r="H126">
            <v>1255000</v>
          </cell>
        </row>
        <row r="130">
          <cell r="H130">
            <v>156000</v>
          </cell>
        </row>
        <row r="131">
          <cell r="H131">
            <v>78360</v>
          </cell>
        </row>
        <row r="134">
          <cell r="H134">
            <v>703000</v>
          </cell>
        </row>
        <row r="135">
          <cell r="H135">
            <v>691200</v>
          </cell>
        </row>
        <row r="136">
          <cell r="H136">
            <v>410000</v>
          </cell>
        </row>
        <row r="137">
          <cell r="H137">
            <v>48999.666666666664</v>
          </cell>
        </row>
        <row r="138">
          <cell r="H138">
            <v>73000</v>
          </cell>
        </row>
        <row r="139">
          <cell r="H139">
            <v>78000</v>
          </cell>
        </row>
        <row r="140">
          <cell r="H140">
            <v>215000</v>
          </cell>
        </row>
        <row r="141">
          <cell r="H141">
            <v>1057000</v>
          </cell>
        </row>
        <row r="143">
          <cell r="H143">
            <v>30000</v>
          </cell>
        </row>
        <row r="144">
          <cell r="H144">
            <v>50000</v>
          </cell>
        </row>
        <row r="145">
          <cell r="H145">
            <v>15000</v>
          </cell>
        </row>
        <row r="147">
          <cell r="H147">
            <v>30000</v>
          </cell>
        </row>
        <row r="148">
          <cell r="H148">
            <v>19000</v>
          </cell>
        </row>
        <row r="150">
          <cell r="H150">
            <v>1228557.3333333335</v>
          </cell>
        </row>
        <row r="151">
          <cell r="H151">
            <v>18000</v>
          </cell>
        </row>
        <row r="152">
          <cell r="H152">
            <v>27718.666666666664</v>
          </cell>
        </row>
        <row r="156">
          <cell r="F156">
            <v>136262999.87596494</v>
          </cell>
          <cell r="G156">
            <v>132060667</v>
          </cell>
          <cell r="H156">
            <v>143344564.40722731</v>
          </cell>
        </row>
      </sheetData>
      <sheetData sheetId="3">
        <row r="12">
          <cell r="B12">
            <v>436446.58262500004</v>
          </cell>
        </row>
      </sheetData>
      <sheetData sheetId="4" refreshError="1"/>
      <sheetData sheetId="5" refreshError="1"/>
      <sheetData sheetId="6" refreshError="1"/>
      <sheetData sheetId="7">
        <row r="126">
          <cell r="D126" t="str">
            <v>טיפול בעולים אזרח ותיק</v>
          </cell>
        </row>
        <row r="137">
          <cell r="G137">
            <v>11250</v>
          </cell>
        </row>
        <row r="138">
          <cell r="G138">
            <v>360000</v>
          </cell>
        </row>
        <row r="140">
          <cell r="G140">
            <v>165000</v>
          </cell>
        </row>
        <row r="149">
          <cell r="G149">
            <v>50000</v>
          </cell>
        </row>
        <row r="166">
          <cell r="D166" t="str">
            <v>טיפול באזרח ותיק בסיכון</v>
          </cell>
        </row>
      </sheetData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>
        <row r="23">
          <cell r="F23">
            <v>3497376</v>
          </cell>
        </row>
        <row r="24">
          <cell r="F24">
            <v>530689.33333333326</v>
          </cell>
        </row>
      </sheetData>
      <sheetData sheetId="15">
        <row r="4">
          <cell r="C4">
            <v>58582.104000000007</v>
          </cell>
        </row>
        <row r="5">
          <cell r="C5">
            <v>26661.096000000005</v>
          </cell>
        </row>
      </sheetData>
      <sheetData sheetId="16" refreshError="1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 refreshError="1">
        <row r="8">
          <cell r="N8">
            <v>172410</v>
          </cell>
        </row>
        <row r="22">
          <cell r="P22">
            <v>198078</v>
          </cell>
        </row>
        <row r="24">
          <cell r="N24">
            <v>8735387</v>
          </cell>
        </row>
        <row r="26">
          <cell r="N26">
            <v>62713.333333333336</v>
          </cell>
        </row>
        <row r="27">
          <cell r="P27">
            <v>41522.666666666664</v>
          </cell>
        </row>
        <row r="28">
          <cell r="P28">
            <v>118752</v>
          </cell>
        </row>
        <row r="29">
          <cell r="N29">
            <v>3972501.333333333</v>
          </cell>
        </row>
        <row r="30">
          <cell r="P30">
            <v>124752</v>
          </cell>
        </row>
        <row r="31">
          <cell r="P31">
            <v>407840</v>
          </cell>
        </row>
        <row r="32">
          <cell r="P32">
            <v>2431066.6666666665</v>
          </cell>
        </row>
        <row r="35">
          <cell r="P35">
            <v>291470.66666666669</v>
          </cell>
        </row>
        <row r="36">
          <cell r="P36">
            <v>86446.666666666657</v>
          </cell>
        </row>
        <row r="37">
          <cell r="P37">
            <v>31001.333333333332</v>
          </cell>
        </row>
        <row r="38">
          <cell r="N38">
            <v>3273916</v>
          </cell>
        </row>
        <row r="40">
          <cell r="P40">
            <v>31948</v>
          </cell>
        </row>
        <row r="41">
          <cell r="P41">
            <v>12917.333333333332</v>
          </cell>
        </row>
        <row r="46">
          <cell r="P46">
            <v>49866.666666666672</v>
          </cell>
        </row>
        <row r="48">
          <cell r="P48">
            <v>219832</v>
          </cell>
        </row>
        <row r="50">
          <cell r="P50">
            <v>429776</v>
          </cell>
        </row>
        <row r="51">
          <cell r="P51">
            <v>179494.66666666666</v>
          </cell>
        </row>
        <row r="52">
          <cell r="P52">
            <v>41761.333333333336</v>
          </cell>
        </row>
        <row r="53">
          <cell r="P53">
            <v>236433.33333333331</v>
          </cell>
        </row>
        <row r="54">
          <cell r="P54">
            <v>659354.66666666663</v>
          </cell>
        </row>
        <row r="57">
          <cell r="P57">
            <v>128484</v>
          </cell>
        </row>
        <row r="58">
          <cell r="P58">
            <v>979108</v>
          </cell>
        </row>
        <row r="62">
          <cell r="N62">
            <v>14530650.666666666</v>
          </cell>
        </row>
        <row r="63">
          <cell r="P63">
            <v>1228557.3333333335</v>
          </cell>
        </row>
        <row r="64">
          <cell r="N64">
            <v>1183724</v>
          </cell>
        </row>
        <row r="65">
          <cell r="N65">
            <v>4162845.333333333</v>
          </cell>
        </row>
        <row r="77">
          <cell r="N77">
            <v>459278.66666666663</v>
          </cell>
        </row>
        <row r="82">
          <cell r="N82">
            <v>256842.66666666666</v>
          </cell>
        </row>
        <row r="84">
          <cell r="P84">
            <v>27718.666666666664</v>
          </cell>
        </row>
        <row r="91">
          <cell r="P91">
            <v>969398.66666666663</v>
          </cell>
        </row>
        <row r="92">
          <cell r="P92">
            <v>87945.333333333328</v>
          </cell>
        </row>
        <row r="96">
          <cell r="P96">
            <v>58614.666666666672</v>
          </cell>
        </row>
        <row r="102">
          <cell r="N102">
            <v>206184</v>
          </cell>
        </row>
        <row r="103">
          <cell r="P103">
            <v>49130.666666666664</v>
          </cell>
        </row>
        <row r="107">
          <cell r="P107">
            <v>34676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בקשה לוויסותים"/>
      <sheetName val="אושר לוויסות"/>
      <sheetName val="לא אושר לוויסות"/>
      <sheetName val="בדיקה"/>
    </sheetNames>
    <sheetDataSet>
      <sheetData sheetId="0" refreshError="1">
        <row r="9">
          <cell r="E9">
            <v>17547000.007272307</v>
          </cell>
        </row>
        <row r="12">
          <cell r="E12">
            <v>770000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כנסות"/>
      <sheetName val="בדיקת הכנסות"/>
      <sheetName val="הוצאות"/>
      <sheetName val="בדיקת הוצאות"/>
      <sheetName val="על פי חוק"/>
      <sheetName val="מימון מלא"/>
      <sheetName val="מימון חלקי"/>
      <sheetName val="שכר רווחה"/>
      <sheetName val="גיליון1"/>
      <sheetName val="תוספת כ.א. 2022"/>
      <sheetName val="ילד בקהילה+תוכנית לאומית"/>
      <sheetName val="מתאם עירוני למלחמה בסמים"/>
      <sheetName val="מע&quot;ש + גל אור"/>
      <sheetName val="הסעות"/>
      <sheetName val="שכ&quot;ד"/>
      <sheetName val="תוספות תקנים"/>
      <sheetName val="רשימת פורשים"/>
      <sheetName val="תמי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48.48.18\users\moran-manor\&#1514;&#1511;&#1510;&#1497;&#1489;&#1497;&#1501;\2023\&#1492;&#1513;&#1493;&#1493;&#1488;&#1492;%20&#1514;&#1511;&#1510;&#1497;&#1489;%202023%20&#1502;&#1497;&#1493;&#1501;%2019.1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מורן מנור" refreshedDate="44883.590571643515" createdVersion="6" refreshedVersion="6" minRefreshableVersion="3" recordCount="113">
  <cacheSource type="worksheet">
    <worksheetSource ref="B1:C1048576" sheet="גיליון1" r:id="rId2"/>
  </cacheSource>
  <cacheFields count="2">
    <cacheField name="תת" numFmtId="0">
      <sharedItems containsBlank="1" count="20">
        <s v="61"/>
        <s v="62"/>
        <s v="71"/>
        <s v="72"/>
        <s v="73"/>
        <s v="74"/>
        <s v="75"/>
        <s v="76"/>
        <s v="77"/>
        <s v="78"/>
        <s v="80"/>
        <s v="79"/>
        <s v="81"/>
        <s v="82"/>
        <s v="84"/>
        <s v="86"/>
        <s v="87"/>
        <s v="94"/>
        <s v="98"/>
        <m/>
      </sharedItems>
    </cacheField>
    <cacheField name="תקציב 2022" numFmtId="0">
      <sharedItems containsString="0" containsBlank="1" containsNumber="1" containsInteger="1" minValue="0" maxValue="44500000" count="101">
        <n v="3180000"/>
        <n v="4267000"/>
        <n v="899000"/>
        <n v="2008000"/>
        <n v="335000"/>
        <n v="3267000"/>
        <n v="115000"/>
        <n v="518000"/>
        <n v="0"/>
        <n v="3129000"/>
        <n v="547000"/>
        <n v="1705000"/>
        <n v="2948000"/>
        <n v="4695000"/>
        <n v="2130000"/>
        <n v="746000"/>
        <n v="5522000"/>
        <n v="1538000"/>
        <n v="1767000"/>
        <n v="2210000"/>
        <n v="595000"/>
        <n v="520000"/>
        <n v="7206000"/>
        <n v="2612000"/>
        <n v="2148000"/>
        <n v="1535000"/>
        <n v="1122000"/>
        <n v="1839000"/>
        <n v="3259000"/>
        <n v="352000"/>
        <n v="1612000"/>
        <n v="9400000"/>
        <n v="2199000"/>
        <n v="8001000"/>
        <n v="2020000"/>
        <n v="317000"/>
        <n v="460000"/>
        <n v="1368000"/>
        <n v="1155000"/>
        <n v="4358000"/>
        <n v="634000"/>
        <n v="1372000"/>
        <n v="3621000"/>
        <n v="340000"/>
        <n v="11245000"/>
        <n v="20000"/>
        <n v="27633000"/>
        <n v="6391000"/>
        <n v="7120000"/>
        <n v="3271000"/>
        <n v="20961000"/>
        <n v="14383000"/>
        <n v="1704000"/>
        <n v="673000"/>
        <n v="14540000"/>
        <n v="130000"/>
        <n v="560000"/>
        <n v="277000"/>
        <n v="4828000"/>
        <n v="60000"/>
        <n v="410000"/>
        <n v="2885000"/>
        <n v="570000"/>
        <n v="1517000"/>
        <n v="400000"/>
        <n v="850000"/>
        <n v="2352000"/>
        <n v="370000"/>
        <n v="1050000"/>
        <n v="21787167"/>
        <n v="175000"/>
        <n v="188000"/>
        <n v="306000"/>
        <n v="1015000"/>
        <n v="103500"/>
        <n v="270000"/>
        <n v="730000"/>
        <n v="689000"/>
        <n v="90000"/>
        <n v="399000"/>
        <n v="70000"/>
        <n v="2126000"/>
        <n v="1149000"/>
        <n v="337000"/>
        <n v="150000"/>
        <n v="197000"/>
        <n v="105300"/>
        <n v="164000"/>
        <n v="65000"/>
        <n v="148000"/>
        <n v="969000"/>
        <n v="201000"/>
        <n v="294000"/>
        <n v="766000"/>
        <n v="149600"/>
        <n v="179000"/>
        <n v="81000"/>
        <n v="590000"/>
        <n v="618000"/>
        <n v="4450000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3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8"/>
  </r>
  <r>
    <x v="1"/>
    <x v="11"/>
  </r>
  <r>
    <x v="1"/>
    <x v="12"/>
  </r>
  <r>
    <x v="1"/>
    <x v="13"/>
  </r>
  <r>
    <x v="2"/>
    <x v="14"/>
  </r>
  <r>
    <x v="2"/>
    <x v="15"/>
  </r>
  <r>
    <x v="2"/>
    <x v="16"/>
  </r>
  <r>
    <x v="2"/>
    <x v="17"/>
  </r>
  <r>
    <x v="3"/>
    <x v="18"/>
  </r>
  <r>
    <x v="3"/>
    <x v="19"/>
  </r>
  <r>
    <x v="3"/>
    <x v="20"/>
  </r>
  <r>
    <x v="3"/>
    <x v="21"/>
  </r>
  <r>
    <x v="4"/>
    <x v="22"/>
  </r>
  <r>
    <x v="4"/>
    <x v="23"/>
  </r>
  <r>
    <x v="4"/>
    <x v="24"/>
  </r>
  <r>
    <x v="4"/>
    <x v="25"/>
  </r>
  <r>
    <x v="4"/>
    <x v="26"/>
  </r>
  <r>
    <x v="5"/>
    <x v="27"/>
  </r>
  <r>
    <x v="5"/>
    <x v="28"/>
  </r>
  <r>
    <x v="5"/>
    <x v="29"/>
  </r>
  <r>
    <x v="5"/>
    <x v="30"/>
  </r>
  <r>
    <x v="5"/>
    <x v="31"/>
  </r>
  <r>
    <x v="5"/>
    <x v="32"/>
  </r>
  <r>
    <x v="6"/>
    <x v="33"/>
  </r>
  <r>
    <x v="6"/>
    <x v="8"/>
  </r>
  <r>
    <x v="7"/>
    <x v="34"/>
  </r>
  <r>
    <x v="7"/>
    <x v="35"/>
  </r>
  <r>
    <x v="7"/>
    <x v="36"/>
  </r>
  <r>
    <x v="8"/>
    <x v="37"/>
  </r>
  <r>
    <x v="9"/>
    <x v="38"/>
  </r>
  <r>
    <x v="9"/>
    <x v="39"/>
  </r>
  <r>
    <x v="9"/>
    <x v="40"/>
  </r>
  <r>
    <x v="9"/>
    <x v="41"/>
  </r>
  <r>
    <x v="9"/>
    <x v="8"/>
  </r>
  <r>
    <x v="10"/>
    <x v="42"/>
  </r>
  <r>
    <x v="11"/>
    <x v="43"/>
  </r>
  <r>
    <x v="12"/>
    <x v="44"/>
  </r>
  <r>
    <x v="12"/>
    <x v="45"/>
  </r>
  <r>
    <x v="12"/>
    <x v="46"/>
  </r>
  <r>
    <x v="12"/>
    <x v="47"/>
  </r>
  <r>
    <x v="12"/>
    <x v="48"/>
  </r>
  <r>
    <x v="12"/>
    <x v="49"/>
  </r>
  <r>
    <x v="12"/>
    <x v="50"/>
  </r>
  <r>
    <x v="12"/>
    <x v="51"/>
  </r>
  <r>
    <x v="12"/>
    <x v="52"/>
  </r>
  <r>
    <x v="12"/>
    <x v="53"/>
  </r>
  <r>
    <x v="12"/>
    <x v="54"/>
  </r>
  <r>
    <x v="12"/>
    <x v="55"/>
  </r>
  <r>
    <x v="12"/>
    <x v="56"/>
  </r>
  <r>
    <x v="12"/>
    <x v="57"/>
  </r>
  <r>
    <x v="12"/>
    <x v="58"/>
  </r>
  <r>
    <x v="12"/>
    <x v="59"/>
  </r>
  <r>
    <x v="13"/>
    <x v="60"/>
  </r>
  <r>
    <x v="13"/>
    <x v="61"/>
  </r>
  <r>
    <x v="13"/>
    <x v="62"/>
  </r>
  <r>
    <x v="13"/>
    <x v="63"/>
  </r>
  <r>
    <x v="13"/>
    <x v="64"/>
  </r>
  <r>
    <x v="13"/>
    <x v="65"/>
  </r>
  <r>
    <x v="13"/>
    <x v="66"/>
  </r>
  <r>
    <x v="13"/>
    <x v="67"/>
  </r>
  <r>
    <x v="13"/>
    <x v="10"/>
  </r>
  <r>
    <x v="13"/>
    <x v="68"/>
  </r>
  <r>
    <x v="14"/>
    <x v="69"/>
  </r>
  <r>
    <x v="14"/>
    <x v="70"/>
  </r>
  <r>
    <x v="14"/>
    <x v="71"/>
  </r>
  <r>
    <x v="14"/>
    <x v="72"/>
  </r>
  <r>
    <x v="14"/>
    <x v="73"/>
  </r>
  <r>
    <x v="14"/>
    <x v="74"/>
  </r>
  <r>
    <x v="14"/>
    <x v="75"/>
  </r>
  <r>
    <x v="14"/>
    <x v="76"/>
  </r>
  <r>
    <x v="14"/>
    <x v="77"/>
  </r>
  <r>
    <x v="14"/>
    <x v="78"/>
  </r>
  <r>
    <x v="14"/>
    <x v="8"/>
  </r>
  <r>
    <x v="14"/>
    <x v="79"/>
  </r>
  <r>
    <x v="14"/>
    <x v="80"/>
  </r>
  <r>
    <x v="14"/>
    <x v="81"/>
  </r>
  <r>
    <x v="14"/>
    <x v="80"/>
  </r>
  <r>
    <x v="14"/>
    <x v="82"/>
  </r>
  <r>
    <x v="14"/>
    <x v="83"/>
  </r>
  <r>
    <x v="14"/>
    <x v="84"/>
  </r>
  <r>
    <x v="14"/>
    <x v="85"/>
  </r>
  <r>
    <x v="14"/>
    <x v="86"/>
  </r>
  <r>
    <x v="14"/>
    <x v="87"/>
  </r>
  <r>
    <x v="14"/>
    <x v="88"/>
  </r>
  <r>
    <x v="14"/>
    <x v="89"/>
  </r>
  <r>
    <x v="14"/>
    <x v="90"/>
  </r>
  <r>
    <x v="14"/>
    <x v="91"/>
  </r>
  <r>
    <x v="14"/>
    <x v="92"/>
  </r>
  <r>
    <x v="14"/>
    <x v="93"/>
  </r>
  <r>
    <x v="14"/>
    <x v="94"/>
  </r>
  <r>
    <x v="14"/>
    <x v="95"/>
  </r>
  <r>
    <x v="14"/>
    <x v="96"/>
  </r>
  <r>
    <x v="14"/>
    <x v="36"/>
  </r>
  <r>
    <x v="15"/>
    <x v="76"/>
  </r>
  <r>
    <x v="16"/>
    <x v="97"/>
  </r>
  <r>
    <x v="17"/>
    <x v="98"/>
  </r>
  <r>
    <x v="18"/>
    <x v="99"/>
  </r>
  <r>
    <x v="19"/>
    <x v="100"/>
  </r>
  <r>
    <x v="19"/>
    <x v="100"/>
  </r>
  <r>
    <x v="19"/>
    <x v="100"/>
  </r>
  <r>
    <x v="19"/>
    <x v="100"/>
  </r>
  <r>
    <x v="19"/>
    <x v="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ערכים" updatedVersion="6" minRefreshableVersion="3" useAutoFormatting="1" itemPrintTitles="1" createdVersion="6" indent="0" outline="1" outlineData="1" multipleFieldFilters="0">
  <location ref="L5:M26" firstHeaderRow="1" firstDataRow="1" firstDataCol="1"/>
  <pivotFields count="2">
    <pivotField axis="axisRow" showAll="0">
      <items count="21">
        <item x="0"/>
        <item x="1"/>
        <item x="2"/>
        <item x="3"/>
        <item x="4"/>
        <item x="5"/>
        <item x="6"/>
        <item x="7"/>
        <item x="8"/>
        <item x="9"/>
        <item x="11"/>
        <item x="10"/>
        <item x="12"/>
        <item x="13"/>
        <item x="14"/>
        <item x="15"/>
        <item x="16"/>
        <item x="17"/>
        <item x="18"/>
        <item x="19"/>
        <item t="default"/>
      </items>
    </pivotField>
    <pivotField dataField="1" showAll="0">
      <items count="102">
        <item x="8"/>
        <item x="45"/>
        <item x="59"/>
        <item x="88"/>
        <item x="80"/>
        <item x="96"/>
        <item x="78"/>
        <item x="74"/>
        <item x="86"/>
        <item x="6"/>
        <item x="55"/>
        <item x="89"/>
        <item x="94"/>
        <item x="84"/>
        <item x="87"/>
        <item x="70"/>
        <item x="95"/>
        <item x="71"/>
        <item x="85"/>
        <item x="91"/>
        <item x="75"/>
        <item x="57"/>
        <item x="92"/>
        <item x="72"/>
        <item x="35"/>
        <item x="4"/>
        <item x="83"/>
        <item x="43"/>
        <item x="29"/>
        <item x="67"/>
        <item x="79"/>
        <item x="64"/>
        <item x="60"/>
        <item x="36"/>
        <item x="7"/>
        <item x="21"/>
        <item x="10"/>
        <item x="56"/>
        <item x="62"/>
        <item x="97"/>
        <item x="20"/>
        <item x="98"/>
        <item x="40"/>
        <item x="53"/>
        <item x="77"/>
        <item x="76"/>
        <item x="15"/>
        <item x="93"/>
        <item x="65"/>
        <item x="2"/>
        <item x="90"/>
        <item x="73"/>
        <item x="68"/>
        <item x="26"/>
        <item x="82"/>
        <item x="38"/>
        <item x="37"/>
        <item x="41"/>
        <item x="63"/>
        <item x="25"/>
        <item x="17"/>
        <item x="30"/>
        <item x="52"/>
        <item x="11"/>
        <item x="18"/>
        <item x="27"/>
        <item x="3"/>
        <item x="34"/>
        <item x="81"/>
        <item x="14"/>
        <item x="24"/>
        <item x="32"/>
        <item x="19"/>
        <item x="66"/>
        <item x="23"/>
        <item x="61"/>
        <item x="12"/>
        <item x="9"/>
        <item x="0"/>
        <item x="28"/>
        <item x="5"/>
        <item x="49"/>
        <item x="42"/>
        <item x="1"/>
        <item x="39"/>
        <item x="13"/>
        <item x="58"/>
        <item x="16"/>
        <item x="47"/>
        <item x="48"/>
        <item x="22"/>
        <item x="33"/>
        <item x="31"/>
        <item x="44"/>
        <item x="51"/>
        <item x="54"/>
        <item x="50"/>
        <item x="69"/>
        <item x="46"/>
        <item x="99"/>
        <item x="100"/>
        <item t="default"/>
      </items>
    </pivotField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סכום של תקציב 2022" fld="1" baseField="0" baseItem="0" numFmtId="164"/>
  </dataFields>
  <formats count="6">
    <format dxfId="116">
      <pivotArea outline="0" collapsedLevelsAreSubtotals="1" fieldPosition="0"/>
    </format>
    <format dxfId="115">
      <pivotArea dataOnly="0" labelOnly="1" outline="0" axis="axisValues" fieldPosition="0"/>
    </format>
    <format dxfId="114">
      <pivotArea dataOnly="0" labelOnly="1" outline="0" axis="axisValues" fieldPosition="0"/>
    </format>
    <format dxfId="113">
      <pivotArea outline="0" collapsedLevelsAreSubtotals="1" fieldPosition="0"/>
    </format>
    <format dxfId="112">
      <pivotArea dataOnly="0" labelOnly="1" outline="0" axis="axisValues" fieldPosition="0"/>
    </format>
    <format dxfId="11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5" name="טבלה4" displayName="טבלה4" ref="A4:C49" totalsRowShown="0" headerRowDxfId="127" dataDxfId="125" headerRowBorderDxfId="126" tableBorderDxfId="124" totalsRowBorderDxfId="123" dataCellStyle="Comma 4">
  <tableColumns count="3">
    <tableColumn id="1" name="הסעיף התקציבי" dataDxfId="122" totalsRowDxfId="121" dataCellStyle="Normal_טבלאות הבראה2"/>
    <tableColumn id="2" name="תקציב 2022 " dataDxfId="120" totalsRowDxfId="119" dataCellStyle="Comma 4"/>
    <tableColumn id="3" name="אומדן 2022" dataDxfId="118" totalsRowDxfId="117" dataCellStyle="Comma 4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טבלה6" displayName="טבלה6" ref="A4:G63" totalsRowCount="1" headerRowDxfId="110" dataDxfId="108" headerRowBorderDxfId="109" tableBorderDxfId="107" totalsRowBorderDxfId="106" headerRowCellStyle="Comma 2" dataCellStyle="Comma">
  <autoFilter ref="A4:G62"/>
  <tableColumns count="7">
    <tableColumn id="1" name="אגף" dataDxfId="105" totalsRowDxfId="104" dataCellStyle="Comma"/>
    <tableColumn id="2" name="סעיף" dataDxfId="103" totalsRowDxfId="102" dataCellStyle="Comma"/>
    <tableColumn id="3" name="תקציב 2022" dataDxfId="101" totalsRowDxfId="100" dataCellStyle="Comma"/>
    <tableColumn id="4" name="אומדן 2022" dataDxfId="99" totalsRowDxfId="98" dataCellStyle="Comma 2"/>
    <tableColumn id="5" name="תקציב 2023 " dataDxfId="97" totalsRowDxfId="96" dataCellStyle="Comma 2"/>
    <tableColumn id="6" name="גידול תקציב 2033 תקציב מול 2022" dataDxfId="95" totalsRowDxfId="94" dataCellStyle="Percent"/>
    <tableColumn id="7" name="תקציב 2023 מול אומדן  2022" dataDxfId="93" totalsRowDxfId="92" dataCellStyle="Comma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טבלה14" displayName="טבלה14" ref="A3:E28" totalsRowCount="1" headerRowDxfId="91" dataDxfId="89" headerRowBorderDxfId="90" totalsRowBorderDxfId="88" headerRowCellStyle="Comma 2" dataCellStyle="Comma">
  <autoFilter ref="A3:E27"/>
  <tableColumns count="5">
    <tableColumn id="1" name="סעיף" dataDxfId="87" totalsRowDxfId="86"/>
    <tableColumn id="2" name="שם הסעיף" dataDxfId="85" totalsRowDxfId="84"/>
    <tableColumn id="3" name="תקציב 2022" totalsRowFunction="custom" dataDxfId="83" totalsRowDxfId="82" dataCellStyle="Comma">
      <totalsRowFormula>C27-'הכנסות '!G265</totalsRowFormula>
    </tableColumn>
    <tableColumn id="4" name="אומדן 2022" totalsRowFunction="custom" dataDxfId="81" totalsRowDxfId="80" dataCellStyle="Comma">
      <totalsRowFormula>D27-'הכנסות '!H265</totalsRowFormula>
    </tableColumn>
    <tableColumn id="5" name="תקציב 2023" totalsRowFunction="custom" dataDxfId="79" totalsRowDxfId="78" dataCellStyle="Comma">
      <totalsRowFormula>E27-'הכנסות '!I265</totalsRowFormula>
    </tableColumn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4" name="טבלה7" displayName="טבלה7" ref="A3:E41" totalsRowCount="1" headerRowDxfId="77" dataDxfId="75" headerRowBorderDxfId="76" tableBorderDxfId="74" totalsRowBorderDxfId="73" headerRowCellStyle="Comma 2" dataCellStyle="Comma">
  <autoFilter ref="A3:E40"/>
  <tableColumns count="5">
    <tableColumn id="1" name="סעיף" dataDxfId="72" totalsRowDxfId="71"/>
    <tableColumn id="2" name="שם הסעיף" dataDxfId="70" totalsRowDxfId="69"/>
    <tableColumn id="3" name="תקציב 2022" totalsRowFunction="custom" dataDxfId="68" totalsRowDxfId="67" dataCellStyle="Comma">
      <totalsRowFormula>C40-'הוצאות '!G691</totalsRowFormula>
    </tableColumn>
    <tableColumn id="4" name="אומדן 2022" totalsRowFunction="custom" dataDxfId="66" totalsRowDxfId="65" dataCellStyle="Comma">
      <totalsRowFormula>D40-'הוצאות '!H691</totalsRowFormula>
    </tableColumn>
    <tableColumn id="5" name="תקציב 2023 " totalsRowFunction="custom" dataDxfId="64" totalsRowDxfId="63" dataCellStyle="Comma">
      <totalsRowFormula>E40-'הוצאות '!I691</totalsRowFormula>
    </tableColumn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id="1" name="טבלה110372" displayName="טבלה110372" ref="A3:T24" totalsRowShown="0" headerRowDxfId="62" dataDxfId="60" headerRowBorderDxfId="61" tableBorderDxfId="59" totalsRowBorderDxfId="58" dataCellStyle="Normal_שכירויות 2004">
  <autoFilter ref="A3:T24"/>
  <sortState ref="A4:N29">
    <sortCondition ref="B3:B29"/>
  </sortState>
  <tableColumns count="20">
    <tableColumn id="1" name="מס&quot;ד" dataDxfId="57" totalsRowDxfId="56" dataCellStyle="Normal_שכירויות 2004"/>
    <tableColumn id="2" name="סעיף תקציבי" dataDxfId="55" totalsRowDxfId="54" dataCellStyle="Normal_שכירויות 2004"/>
    <tableColumn id="3" name="אגף/מחלקה" dataDxfId="53" totalsRowDxfId="52" dataCellStyle="Normal_שכירויות 2004"/>
    <tableColumn id="4" name="בעל הנכס" dataDxfId="51" dataCellStyle="Normal_שכירויות 2004"/>
    <tableColumn id="5" name="מהות שימוש" dataDxfId="50" dataCellStyle="Normal_שכירויות 2004"/>
    <tableColumn id="6" name="כתובת" dataDxfId="49" dataCellStyle="Normal_שכירויות 2004"/>
    <tableColumn id="7" name="שטח ברוטו" dataDxfId="48" totalsRowDxfId="47" dataCellStyle="Normal_שכירויות 2004"/>
    <tableColumn id="11" name="תאריך סיום חוזה" dataDxfId="46" dataCellStyle="Normal_שכירויות 2004"/>
    <tableColumn id="8" name="תשלום חודשי בשקלים לא כולל מע&quot;מ והצמדה" dataDxfId="45" dataCellStyle="Comma 8"/>
    <tableColumn id="13" name="תשלום חודשי בשקלים כולל מע&quot;מ (ללא הצמדה)" dataDxfId="44" dataCellStyle="Comma 8"/>
    <tableColumn id="9" name="מדד בסיס לפי החוזה (לצורך חישוב הצמדה)" dataDxfId="43" dataCellStyle="Comma 8"/>
    <tableColumn id="17" name="עמודה2" dataDxfId="42" dataCellStyle="Comma 8"/>
    <tableColumn id="16" name="עמודה1" dataDxfId="41" dataCellStyle="Comma 8"/>
    <tableColumn id="10" name="סה&quot;כ לשנה לא כולל מע&quot;מ ולא כולל דמי ניהול/אחזקה/הצמדה" dataDxfId="40" totalsRowDxfId="39" dataCellStyle="Comma 8"/>
    <tableColumn id="19" name="סה&quot;כ לשנה כולל מע&quot;מ וכולל דמי ניהול/אחזקה/הצמדה" dataDxfId="38" totalsRowDxfId="37" dataCellStyle="Comma 8"/>
    <tableColumn id="21" name="כולל הצמדה ללא דמ&quot;נ " dataDxfId="36" totalsRowDxfId="35" dataCellStyle="Comma 8"/>
    <tableColumn id="12" name="דמי ניהול/ אחזקה כולל מע&quot;מ /ועד בית לשנה בנוסף לדמי השכירות" dataDxfId="34" dataCellStyle="Normal_שכירויות 2004"/>
    <tableColumn id="20" name="עלות כוללת שנתית " dataDxfId="33" dataCellStyle="Normal_שכירויות 2004"/>
    <tableColumn id="14" name="עמודה3" dataDxfId="32" dataCellStyle="Normal_שכירויות 2004"/>
    <tableColumn id="15" name="עמודה4" dataDxfId="31" dataCellStyle="Normal_שכירויות 2004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id="6" name="טבלה11037" displayName="טבלה11037" ref="A3:R29" totalsRowShown="0" headerRowDxfId="30" dataDxfId="28" headerRowBorderDxfId="29" tableBorderDxfId="27" totalsRowBorderDxfId="26" dataCellStyle="Normal_שכירויות 2004">
  <autoFilter ref="A3:R29"/>
  <sortState ref="A4:N29">
    <sortCondition ref="B3:B29"/>
  </sortState>
  <tableColumns count="18">
    <tableColumn id="1" name="מספר" dataDxfId="25" totalsRowDxfId="24" dataCellStyle="Normal_שכירויות 2004"/>
    <tableColumn id="2" name="סעיף תקציבי" dataDxfId="23" totalsRowDxfId="22" dataCellStyle="Normal_שכירויות 2004"/>
    <tableColumn id="3" name="אגף/מחלקה" dataDxfId="21" totalsRowDxfId="20" dataCellStyle="Normal_שכירויות 2004"/>
    <tableColumn id="4" name="בעל הנכס" dataDxfId="19" dataCellStyle="Normal_שכירויות 2004"/>
    <tableColumn id="5" name="מהות שימוש" dataDxfId="18" dataCellStyle="Normal_שכירויות 2004"/>
    <tableColumn id="6" name="כתובת" dataDxfId="17" dataCellStyle="Normal_שכירויות 2004"/>
    <tableColumn id="7" name="שטח ברוטו" dataDxfId="16" totalsRowDxfId="15" dataCellStyle="Normal_שכירויות 2004"/>
    <tableColumn id="11" name="תאריך סיום חוזה" dataDxfId="14" dataCellStyle="Normal_שכירויות 2004"/>
    <tableColumn id="8" name="תשלום חודשי בשקלים לא כולל מע&quot;מ והצמדה" dataDxfId="13" totalsRowDxfId="12" dataCellStyle="Comma 8"/>
    <tableColumn id="17" name="תשלום חודשי בשקלים כולל מע&quot;מ והצמדה" dataDxfId="11" totalsRowDxfId="10" dataCellStyle="Comma 8"/>
    <tableColumn id="9" name="תשלום ל -1 מ&quot;ר כולל מע&quot;מ והצמדה" dataDxfId="9" totalsRowDxfId="8" dataCellStyle="Comma 8"/>
    <tableColumn id="10" name="סה&quot;כ לשנה כולל מע&quot;מ והצמדה" dataDxfId="7" totalsRowDxfId="6" dataCellStyle="Comma 8"/>
    <tableColumn id="12" name="דמי ניהול/ אחזקה כולל מע&quot;מ /ועד בית לשנה" dataDxfId="5" dataCellStyle="Normal_שכירויות 2004"/>
    <tableColumn id="13" name="סה&quot;כ (מעוגל לאלפים)" dataDxfId="4" dataCellStyle="Comma"/>
    <tableColumn id="14" name="הערות מח נכסים 10.2021" dataDxfId="3" dataCellStyle="Normal_שכירויות 2004"/>
    <tableColumn id="15" name="הערות מח נכסים 10.2022" dataDxfId="2" dataCellStyle="Normal_שכירויות 2004"/>
    <tableColumn id="16" name="הערות מח נכסים 10.2023" dataDxfId="1" dataCellStyle="Normal_שכירויות 2004"/>
    <tableColumn id="18" name="הערות מח נכסים 10.2024" dataDxfId="0" dataCellStyle="Normal_שכירויות 2004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2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F15"/>
  <sheetViews>
    <sheetView rightToLeft="1" topLeftCell="A29" zoomScale="130" zoomScaleNormal="130" workbookViewId="0">
      <selection activeCell="B8" sqref="B8"/>
    </sheetView>
  </sheetViews>
  <sheetFormatPr defaultRowHeight="14.25"/>
  <cols>
    <col min="1" max="1" width="28.75" bestFit="1" customWidth="1"/>
    <col min="2" max="2" width="14.5" bestFit="1" customWidth="1"/>
    <col min="3" max="3" width="15.75" customWidth="1"/>
    <col min="4" max="4" width="17.125" bestFit="1" customWidth="1"/>
    <col min="5" max="5" width="11.875" bestFit="1" customWidth="1"/>
    <col min="6" max="6" width="11.875" hidden="1" customWidth="1"/>
    <col min="7" max="7" width="10.375" bestFit="1" customWidth="1"/>
  </cols>
  <sheetData>
    <row r="1" spans="1:6" ht="30.75">
      <c r="A1" s="1097" t="s">
        <v>3710</v>
      </c>
      <c r="B1" s="1097"/>
      <c r="C1" s="1097"/>
      <c r="D1" s="1097"/>
      <c r="E1" s="1097"/>
      <c r="F1" s="1097"/>
    </row>
    <row r="2" spans="1:6" ht="15" thickBot="1">
      <c r="A2" s="39"/>
      <c r="B2" s="39"/>
      <c r="C2" s="39"/>
      <c r="D2" s="39"/>
      <c r="E2" s="39"/>
      <c r="F2" s="39"/>
    </row>
    <row r="3" spans="1:6" ht="33" thickBot="1">
      <c r="A3" s="122" t="s">
        <v>2</v>
      </c>
      <c r="B3" s="123" t="s">
        <v>2185</v>
      </c>
      <c r="C3" s="124" t="s">
        <v>3562</v>
      </c>
      <c r="D3" s="123" t="s">
        <v>2999</v>
      </c>
      <c r="E3" s="189" t="s">
        <v>3711</v>
      </c>
      <c r="F3" s="125" t="s">
        <v>2358</v>
      </c>
    </row>
    <row r="4" spans="1:6" ht="20.25">
      <c r="A4" s="163" t="s">
        <v>1501</v>
      </c>
      <c r="B4" s="165">
        <f>'נספח 1 - התקציב הרגיל (2)'!B28+'נספח 1 - התקציב הרגיל (2)'!B32+'נספח 1 - התקציב הרגיל (2)'!B35</f>
        <v>304489567</v>
      </c>
      <c r="C4" s="167">
        <f>'נספח 1 - התקציב הרגיל (2)'!C28+'נספח 1 - התקציב הרגיל (2)'!C32+'נספח 1 - התקציב הרגיל (2)'!C35</f>
        <v>300071700</v>
      </c>
      <c r="D4" s="165">
        <f>'נספח 1 - התקציב הרגיל (2)'!D28+'נספח 1 - התקציב הרגיל (2)'!D32+'נספח 1 - התקציב הרגיל (2)'!D35</f>
        <v>325778000.39999998</v>
      </c>
      <c r="E4" s="190">
        <f>+(D4-B4)/B4</f>
        <v>6.991514884974688E-2</v>
      </c>
      <c r="F4" s="169">
        <f>+(D4-C4)/C4</f>
        <v>8.5667193540743689E-2</v>
      </c>
    </row>
    <row r="5" spans="1:6" ht="20.25">
      <c r="A5" s="163" t="s">
        <v>1502</v>
      </c>
      <c r="B5" s="165">
        <f>'נספח 1 - התקציב הרגיל (2)'!B48-'סיכום (1)'!B4</f>
        <v>488642433.16000009</v>
      </c>
      <c r="C5" s="167">
        <f>'נספח 1 - התקציב הרגיל (2)'!C48-'סיכום (1)'!C4</f>
        <v>489832000</v>
      </c>
      <c r="D5" s="165">
        <f>'נספח 1 - התקציב הרגיל (2)'!D48-'סיכום (1)'!D4+1</f>
        <v>512282000.61000001</v>
      </c>
      <c r="E5" s="190">
        <f>+(D5-B5)/B5</f>
        <v>4.8378048744406599E-2</v>
      </c>
      <c r="F5" s="169">
        <f>+(D5-C5)/C5</f>
        <v>4.5832041618350812E-2</v>
      </c>
    </row>
    <row r="6" spans="1:6" ht="20.25">
      <c r="A6" s="164" t="s">
        <v>860</v>
      </c>
      <c r="B6" s="166">
        <f>'נספח 1 - התקציב הרגיל (2)'!B48</f>
        <v>793132000.16000009</v>
      </c>
      <c r="C6" s="168">
        <f>'נספח 1 - התקציב הרגיל (2)'!C48</f>
        <v>789903700</v>
      </c>
      <c r="D6" s="166">
        <f>'נספח 1 - התקציב הרגיל (2)'!D48</f>
        <v>838060000.00999999</v>
      </c>
      <c r="E6" s="191">
        <f>+(D6-B6)/B6</f>
        <v>5.6646308358427717E-2</v>
      </c>
      <c r="F6" s="170">
        <f>+(D6-C6)/C6</f>
        <v>6.0964773313506429E-2</v>
      </c>
    </row>
    <row r="7" spans="1:6" ht="21" thickBot="1">
      <c r="A7" s="164" t="s">
        <v>259</v>
      </c>
      <c r="B7" s="166">
        <f>'נספח 1 - התקציב הרגיל (2)'!B25</f>
        <v>793131999.77499998</v>
      </c>
      <c r="C7" s="168">
        <f>'נספח 1 - התקציב הרגיל (2)'!C25</f>
        <v>788707000</v>
      </c>
      <c r="D7" s="166">
        <f>'נספח 1 - התקציב הרגיל (2)'!D25</f>
        <v>838060000.17845297</v>
      </c>
      <c r="E7" s="191">
        <f>+(D7-B7)/B7</f>
        <v>5.6646309083731854E-2</v>
      </c>
      <c r="F7" s="170">
        <f>+(D7-C7)/C7</f>
        <v>6.257456847530575E-2</v>
      </c>
    </row>
    <row r="8" spans="1:6" ht="24" thickBot="1">
      <c r="A8" s="126" t="s">
        <v>1503</v>
      </c>
      <c r="B8" s="127">
        <f>+B7-B6</f>
        <v>-0.38500010967254639</v>
      </c>
      <c r="C8" s="128">
        <f>+C7-C6</f>
        <v>-1196700</v>
      </c>
      <c r="D8" s="128">
        <f>+D7-D6</f>
        <v>0.16845297813415527</v>
      </c>
      <c r="E8" s="192"/>
      <c r="F8" s="129"/>
    </row>
    <row r="10" spans="1:6">
      <c r="D10" t="s">
        <v>4</v>
      </c>
    </row>
    <row r="11" spans="1:6">
      <c r="C11" s="478"/>
      <c r="D11" s="26"/>
      <c r="E11" s="40"/>
    </row>
    <row r="12" spans="1:6">
      <c r="B12" s="26"/>
      <c r="D12" s="30"/>
    </row>
    <row r="15" spans="1:6">
      <c r="D15" s="30"/>
      <c r="E15" s="26"/>
      <c r="F15" s="26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1" orientation="portrait" useFirstPageNumber="1" r:id="rId1"/>
  <headerFooter>
    <oddFooter>&amp;L&amp;P&amp;Cלאישור מועצת העיר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K51"/>
  <sheetViews>
    <sheetView rightToLeft="1" topLeftCell="A37" zoomScale="110" zoomScaleNormal="110" workbookViewId="0">
      <selection activeCell="C8" sqref="C8"/>
    </sheetView>
  </sheetViews>
  <sheetFormatPr defaultColWidth="9" defaultRowHeight="15"/>
  <cols>
    <col min="1" max="1" width="49.75" style="31" customWidth="1"/>
    <col min="2" max="2" width="18.25" style="31" customWidth="1"/>
    <col min="3" max="3" width="16" style="31" customWidth="1"/>
    <col min="4" max="4" width="15.5" style="31" customWidth="1"/>
    <col min="5" max="5" width="13.625" style="31" bestFit="1" customWidth="1"/>
    <col min="6" max="6" width="17.125" style="32" bestFit="1" customWidth="1"/>
    <col min="7" max="8" width="16.125" style="31" bestFit="1" customWidth="1"/>
    <col min="9" max="9" width="15" style="31" bestFit="1" customWidth="1"/>
    <col min="10" max="11" width="13.625" style="31" bestFit="1" customWidth="1"/>
    <col min="12" max="16384" width="9" style="31"/>
  </cols>
  <sheetData>
    <row r="1" spans="1:11" ht="38.25" customHeight="1">
      <c r="A1" s="1098" t="s">
        <v>3561</v>
      </c>
      <c r="B1" s="1098"/>
      <c r="C1" s="1098"/>
      <c r="D1" s="1098"/>
    </row>
    <row r="2" spans="1:11" ht="27.75">
      <c r="A2" s="1098" t="s">
        <v>1459</v>
      </c>
      <c r="B2" s="1098"/>
      <c r="C2" s="1098"/>
      <c r="D2" s="1098"/>
    </row>
    <row r="3" spans="1:11" ht="27.75" thickBot="1">
      <c r="A3" s="33"/>
      <c r="B3" s="33"/>
      <c r="C3" s="33"/>
      <c r="D3" s="33"/>
    </row>
    <row r="4" spans="1:11" ht="20.25">
      <c r="A4" s="130" t="s">
        <v>1460</v>
      </c>
      <c r="B4" s="132" t="s">
        <v>2187</v>
      </c>
      <c r="C4" s="131" t="s">
        <v>3562</v>
      </c>
      <c r="D4" s="132" t="s">
        <v>3563</v>
      </c>
    </row>
    <row r="5" spans="1:11" s="34" customFormat="1" ht="15.75">
      <c r="A5" s="141"/>
      <c r="B5" s="142" t="s">
        <v>4</v>
      </c>
      <c r="C5" s="143"/>
      <c r="D5" s="144"/>
      <c r="F5" s="32"/>
    </row>
    <row r="6" spans="1:11" ht="20.25">
      <c r="A6" s="47" t="s">
        <v>1461</v>
      </c>
      <c r="B6" s="48">
        <f>'תקציב 2022'!J7-3085000</f>
        <v>402739000</v>
      </c>
      <c r="C6" s="48">
        <f>'ריכוז תקבולים ותשלומים 2022 3'!J7</f>
        <v>417945000</v>
      </c>
      <c r="D6" s="49">
        <f>'ריכוז תקבולים ותשלומים 2023 4'!I7-8000000</f>
        <v>420700000</v>
      </c>
      <c r="E6" s="35" t="s">
        <v>4</v>
      </c>
      <c r="G6" s="32"/>
    </row>
    <row r="7" spans="1:11" ht="20.25">
      <c r="A7" s="47" t="s">
        <v>1462</v>
      </c>
      <c r="B7" s="48">
        <f>'תקציב 2022'!J39</f>
        <v>10000</v>
      </c>
      <c r="C7" s="48">
        <f>'ריכוז תקבולים ותשלומים 2022 3'!J39</f>
        <v>11000</v>
      </c>
      <c r="D7" s="49">
        <f>'ריכוז תקבולים ותשלומים 2023 4'!I39</f>
        <v>10000</v>
      </c>
      <c r="G7" s="32"/>
    </row>
    <row r="8" spans="1:11" ht="20.25">
      <c r="A8" s="47" t="s">
        <v>1463</v>
      </c>
      <c r="B8" s="48">
        <f>'תקציב 2022'!I29</f>
        <v>9723000</v>
      </c>
      <c r="C8" s="48">
        <f>'ריכוז תקבולים ותשלומים 2022 3'!I29</f>
        <v>9251000</v>
      </c>
      <c r="D8" s="49">
        <f>'ריכוז תקבולים ותשלומים 2023 4'!I29</f>
        <v>10088000</v>
      </c>
      <c r="G8" s="32"/>
    </row>
    <row r="9" spans="1:11" ht="20.25">
      <c r="A9" s="47" t="s">
        <v>1464</v>
      </c>
      <c r="B9" s="48">
        <f>'תקציב 2022'!I32</f>
        <v>2139000</v>
      </c>
      <c r="C9" s="48">
        <f>'ריכוז תקבולים ותשלומים 2022 3'!I32</f>
        <v>2225000</v>
      </c>
      <c r="D9" s="49">
        <f>'ריכוז תקבולים ותשלומים 2023 4'!I32</f>
        <v>2284000</v>
      </c>
      <c r="G9" s="32"/>
      <c r="I9" s="35"/>
      <c r="J9" s="35"/>
      <c r="K9" s="35"/>
    </row>
    <row r="10" spans="1:11" ht="20.25">
      <c r="A10" s="47" t="s">
        <v>1465</v>
      </c>
      <c r="B10" s="48">
        <f>'תקציב 2022'!I9+'תקציב 2022'!I11+'תקציב 2022'!I16+'תקציב 2022'!I17+'תקציב 2022'!I18+'תקציב 2022'!I23+'תקציב 2022'!I24+'תקציב 2022'!I28+'תקציב 2022'!I30+'תקציב 2022'!I34+'תקציב 2022'!I35+'תקציב 2022'!I41+'תקציב 2022'!I42+'תקציב 2022'!I44+'תקציב 2022'!I50</f>
        <v>82491732</v>
      </c>
      <c r="C10" s="48">
        <f>'ריכוז תקבולים ותשלומים 2022 3'!I9+'ריכוז תקבולים ותשלומים 2022 3'!I11+'ריכוז תקבולים ותשלומים 2022 3'!I25+'ריכוז תקבולים ותשלומים 2022 3'!I28+'ריכוז תקבולים ותשלומים 2022 3'!I30+'ריכוז תקבולים ותשלומים 2022 3'!I34+'ריכוז תקבולים ותשלומים 2022 3'!I35+'ריכוז תקבולים ותשלומים 2022 3'!I41+'ריכוז תקבולים ותשלומים 2022 3'!I42+'ריכוז תקבולים ותשלומים 2022 3'!I43+'ריכוז תקבולים ותשלומים 2022 3'!I48+'ריכוז תקבולים ותשלומים 2022 3'!I49</f>
        <v>74825000</v>
      </c>
      <c r="D10" s="49">
        <f>+'ריכוז תקבולים ותשלומים 2023 4'!I9+'ריכוז תקבולים ותשלומים 2023 4'!I11+'ריכוז תקבולים ותשלומים 2023 4'!I16+'ריכוז תקבולים ותשלומים 2023 4'!I17+'ריכוז תקבולים ותשלומים 2023 4'!I18+'ריכוז תקבולים ותשלומים 2023 4'!I19+'ריכוז תקבולים ותשלומים 2023 4'!I21+'ריכוז תקבולים ותשלומים 2023 4'!I23+'ריכוז תקבולים ותשלומים 2023 4'!I24+'ריכוז תקבולים ותשלומים 2023 4'!I28+'ריכוז תקבולים ותשלומים 2023 4'!I30+'ריכוז תקבולים ותשלומים 2023 4'!I34+'ריכוז תקבולים ותשלומים 2023 4'!I35+'ריכוז תקבולים ותשלומים 2023 4'!I41+'ריכוז תקבולים ותשלומים 2023 4'!I42+'ריכוז תקבולים ותשלומים 2023 4'!I44+'ריכוז תקבולים ותשלומים 2023 4'!I49+'ריכוז תקבולים ותשלומים 2023 4'!I50</f>
        <v>87930160.400000006</v>
      </c>
      <c r="G10" s="32"/>
      <c r="I10" s="35"/>
      <c r="J10" s="35"/>
      <c r="K10" s="35"/>
    </row>
    <row r="11" spans="1:11" ht="20.25">
      <c r="A11" s="133" t="s">
        <v>1466</v>
      </c>
      <c r="B11" s="134">
        <f>SUBTOTAL(109,B5:B10)</f>
        <v>497102732</v>
      </c>
      <c r="C11" s="135">
        <f>SUM(C6:C10)</f>
        <v>504257000</v>
      </c>
      <c r="D11" s="136">
        <f>SUM(D6:D10)</f>
        <v>521012160.39999998</v>
      </c>
      <c r="G11" s="32"/>
      <c r="I11" s="44"/>
      <c r="J11" s="44"/>
      <c r="K11" s="44"/>
    </row>
    <row r="12" spans="1:11" ht="20.25">
      <c r="A12" s="47" t="s">
        <v>1467</v>
      </c>
      <c r="B12" s="48">
        <f>'תקציב 2022'!H29</f>
        <v>118385000</v>
      </c>
      <c r="C12" s="48">
        <f>'ריכוז תקבולים ותשלומים 2022 3'!H29</f>
        <v>119178000</v>
      </c>
      <c r="D12" s="49">
        <f>'ריכוז תקבולים ותשלומים 2023 4'!H29</f>
        <v>132803840</v>
      </c>
      <c r="E12" s="38"/>
      <c r="G12" s="32"/>
      <c r="I12" s="35"/>
      <c r="J12" s="35"/>
      <c r="K12" s="35"/>
    </row>
    <row r="13" spans="1:11" ht="20.25">
      <c r="A13" s="47" t="s">
        <v>1468</v>
      </c>
      <c r="B13" s="48">
        <f>'תקציב 2022'!H32</f>
        <v>96758784.775000006</v>
      </c>
      <c r="C13" s="48">
        <f>'ריכוז תקבולים ותשלומים 2022 3'!H32</f>
        <v>93675000</v>
      </c>
      <c r="D13" s="49">
        <f>'ריכוז תקבולים ותשלומים 2023 4'!H32</f>
        <v>101523999.97845308</v>
      </c>
      <c r="E13" s="35" t="s">
        <v>4</v>
      </c>
      <c r="G13" s="32"/>
      <c r="K13" s="35"/>
    </row>
    <row r="14" spans="1:11" ht="20.25">
      <c r="A14" s="47" t="s">
        <v>1469</v>
      </c>
      <c r="B14" s="48">
        <f>'תקציב 2022'!H16+'תקציב 2022'!H17+'תקציב 2022'!H19+'תקציב 2022'!H30+'תקציב 2022'!H34</f>
        <v>10800483</v>
      </c>
      <c r="C14" s="48">
        <f>'ריכוז תקבולים ותשלומים 2022 3'!H16+'ריכוז תקבולים ותשלומים 2022 3'!H17+'ריכוז תקבולים ותשלומים 2022 3'!H19+'ריכוז תקבולים ותשלומים 2022 3'!H30+'ריכוז תקבולים ותשלומים 2022 3'!H34+3000</f>
        <v>9998000</v>
      </c>
      <c r="D14" s="49">
        <f>'ריכוז תקבולים ותשלומים 2023 4'!H13+'ריכוז תקבולים ותשלומים 2023 4'!H25+'ריכוז תקבולים ותשלומים 2023 4'!H30+'ריכוז תקבולים ותשלומים 2023 4'!H34+'ריכוז תקבולים ותשלומים 2023 4'!H45</f>
        <v>10070000</v>
      </c>
      <c r="G14" s="32"/>
    </row>
    <row r="15" spans="1:11" ht="20.25">
      <c r="A15" s="47" t="s">
        <v>1470</v>
      </c>
      <c r="B15" s="48">
        <v>0</v>
      </c>
      <c r="C15" s="48">
        <v>0</v>
      </c>
      <c r="D15" s="49">
        <v>0</v>
      </c>
      <c r="G15" s="32"/>
    </row>
    <row r="16" spans="1:11" ht="20.25">
      <c r="A16" s="47" t="s">
        <v>1471</v>
      </c>
      <c r="B16" s="48">
        <f>'תקציב 2022'!H50</f>
        <v>6000000</v>
      </c>
      <c r="C16" s="48">
        <f>'ריכוז תקבולים ותשלומים 2022 3'!H49</f>
        <v>599000</v>
      </c>
      <c r="D16" s="49">
        <f>'ריכוז תקבולים ותשלומים 2023 4'!H50</f>
        <v>650000</v>
      </c>
      <c r="G16" s="32"/>
    </row>
    <row r="17" spans="1:9" ht="20.25">
      <c r="A17" s="133" t="s">
        <v>1472</v>
      </c>
      <c r="B17" s="134">
        <f>SUM(B12:B16)</f>
        <v>231944267.77500001</v>
      </c>
      <c r="C17" s="135">
        <f>SUM(C12:C16)</f>
        <v>223450000</v>
      </c>
      <c r="D17" s="136">
        <f>SUM(D12:D16)</f>
        <v>245047839.9784531</v>
      </c>
      <c r="G17" s="32"/>
    </row>
    <row r="18" spans="1:9" ht="20.25">
      <c r="A18" s="47" t="s">
        <v>1473</v>
      </c>
      <c r="B18" s="48">
        <v>0</v>
      </c>
      <c r="C18" s="48">
        <v>0</v>
      </c>
      <c r="D18" s="49">
        <v>0</v>
      </c>
      <c r="G18" s="32"/>
    </row>
    <row r="19" spans="1:9" ht="20.25">
      <c r="A19" s="47" t="s">
        <v>1474</v>
      </c>
      <c r="B19" s="48"/>
      <c r="C19" s="48"/>
      <c r="D19" s="49"/>
      <c r="G19" s="32"/>
    </row>
    <row r="20" spans="1:9" ht="20.25">
      <c r="A20" s="133" t="s">
        <v>1475</v>
      </c>
      <c r="B20" s="134">
        <f>B17+B11</f>
        <v>729046999.77499998</v>
      </c>
      <c r="C20" s="135">
        <f>+C11+C17+C18</f>
        <v>727707000</v>
      </c>
      <c r="D20" s="136">
        <f>+D11+D17+D18</f>
        <v>766060000.37845302</v>
      </c>
      <c r="G20" s="32"/>
    </row>
    <row r="21" spans="1:9" ht="20.25">
      <c r="A21" s="47" t="s">
        <v>1476</v>
      </c>
      <c r="B21" s="48">
        <f>'תקציב 2022'!J8</f>
        <v>61000000</v>
      </c>
      <c r="C21" s="48">
        <f>'ריכוז תקבולים ותשלומים 2022 3'!I8</f>
        <v>61000000</v>
      </c>
      <c r="D21" s="49">
        <f>'ריכוז תקבולים ותשלומים 2023 4'!I8</f>
        <v>64000000</v>
      </c>
      <c r="G21" s="32"/>
    </row>
    <row r="22" spans="1:9" ht="20.25">
      <c r="A22" s="47" t="s">
        <v>1477</v>
      </c>
      <c r="B22" s="48"/>
      <c r="C22" s="48"/>
      <c r="D22" s="49"/>
      <c r="G22" s="32"/>
    </row>
    <row r="23" spans="1:9" ht="20.25">
      <c r="A23" s="47" t="s">
        <v>1478</v>
      </c>
      <c r="B23" s="48">
        <f>B20+B21</f>
        <v>790046999.77499998</v>
      </c>
      <c r="C23" s="48">
        <f>+C20+C21</f>
        <v>788707000</v>
      </c>
      <c r="D23" s="49">
        <f>+D20+D21-0.2</f>
        <v>830060000.17845297</v>
      </c>
      <c r="G23" s="32"/>
    </row>
    <row r="24" spans="1:9" ht="20.25">
      <c r="A24" s="47" t="s">
        <v>1479</v>
      </c>
      <c r="B24" s="48">
        <v>3085000</v>
      </c>
      <c r="C24" s="48">
        <v>0</v>
      </c>
      <c r="D24" s="49">
        <v>8000000</v>
      </c>
      <c r="G24" s="32"/>
    </row>
    <row r="25" spans="1:9" ht="20.25">
      <c r="A25" s="137" t="s">
        <v>1480</v>
      </c>
      <c r="B25" s="138">
        <f>B23+B24</f>
        <v>793131999.77499998</v>
      </c>
      <c r="C25" s="139">
        <f>+C23+C24</f>
        <v>788707000</v>
      </c>
      <c r="D25" s="140">
        <f>+D23+D24</f>
        <v>838060000.17845297</v>
      </c>
      <c r="G25" s="32"/>
    </row>
    <row r="26" spans="1:9" ht="20.25">
      <c r="A26" s="47"/>
      <c r="B26" s="48" t="s">
        <v>4</v>
      </c>
      <c r="C26" s="48" t="s">
        <v>4</v>
      </c>
      <c r="D26" s="49" t="s">
        <v>4</v>
      </c>
      <c r="G26" s="32"/>
      <c r="H26" s="35"/>
    </row>
    <row r="27" spans="1:9" s="34" customFormat="1" ht="15.75">
      <c r="A27" s="141" t="s">
        <v>1481</v>
      </c>
      <c r="B27" s="142"/>
      <c r="C27" s="143"/>
      <c r="D27" s="144"/>
      <c r="F27" s="32"/>
      <c r="G27" s="32"/>
    </row>
    <row r="28" spans="1:9" ht="20.25">
      <c r="A28" s="47" t="s">
        <v>1482</v>
      </c>
      <c r="B28" s="48">
        <f>'תקציב 2022'!C13+'תקציב 2022'!C25+'תקציב 2022'!C28+'תקציב 2022'!C30+'תקציב 2022'!C34+'תקציב 2022'!C35+'תקציב 2022'!C45+'תקציב 2022'!C51</f>
        <v>157260000</v>
      </c>
      <c r="C28" s="48">
        <f>'ריכוז תקבולים ותשלומים 2022 3'!C13+'ריכוז תקבולים ותשלומים 2022 3'!C25+'ריכוז תקבולים ותשלומים 2022 3'!C28+'ריכוז תקבולים ותשלומים 2022 3'!C30+'ריכוז תקבולים ותשלומים 2022 3'!C34+'ריכוז תקבולים ותשלומים 2022 3'!C35+'ריכוז תקבולים ותשלומים 2022 3'!C42+'ריכוז תקבולים ותשלומים 2022 3'!C47</f>
        <v>153734700</v>
      </c>
      <c r="D28" s="49">
        <f>'ריכוז תקבולים ותשלומים 2023 4'!C13+'ריכוז תקבולים ותשלומים 2023 4'!C25+'ריכוז תקבולים ותשלומים 2023 4'!C28+'ריכוז תקבולים ותשלומים 2023 4'!C30+'ריכוז תקבולים ותשלומים 2023 4'!C34+'ריכוז תקבולים ותשלומים 2023 4'!C35+'ריכוז תקבולים ותשלומים 2023 4'!C42+'ריכוז תקבולים ותשלומים 2023 4'!C48</f>
        <v>161949000.40000001</v>
      </c>
      <c r="E28" s="35" t="s">
        <v>4</v>
      </c>
      <c r="G28" s="32"/>
      <c r="H28" s="32"/>
    </row>
    <row r="29" spans="1:9" ht="20.25">
      <c r="A29" s="47" t="s">
        <v>1483</v>
      </c>
      <c r="B29" s="48">
        <f>'תקציב 2022'!D7+'תקציב 2022'!D9+'תקציב 2022'!D25+'תקציב 2022'!D28+'תקציב 2022'!D30+'תקציב 2022'!D31+'תקציב 2022'!D33+'תקציב 2022'!D34+'תקציב 2022'!D35+'תקציב 2022'!D41+'תקציב 2022'!D42</f>
        <v>186087598.48000002</v>
      </c>
      <c r="C29" s="48">
        <f>'ריכוז תקבולים ותשלומים 2022 3'!D7+'ריכוז תקבולים ותשלומים 2022 3'!D9+'ריכוז תקבולים ותשלומים 2022 3'!D25+'ריכוז תקבולים ותשלומים 2022 3'!D30+'ריכוז תקבולים ותשלומים 2022 3'!D31+'ריכוז תקבולים ותשלומים 2022 3'!D33+'ריכוז תקבולים ותשלומים 2022 3'!D34+'ריכוז תקבולים ותשלומים 2022 3'!D35+'ריכוז תקבולים ותשלומים 2022 3'!D44+'ריכוז תקבולים ותשלומים 2022 3'!D28</f>
        <v>187929000</v>
      </c>
      <c r="D29" s="49">
        <f>'ריכוז תקבולים ותשלומים 2023 4'!D7+'ריכוז תקבולים ותשלומים 2023 4'!D9+'ריכוז תקבולים ותשלומים 2023 4'!D25+'ריכוז תקבולים ותשלומים 2023 4'!D28+'ריכוז תקבולים ותשלומים 2023 4'!D30+'ריכוז תקבולים ותשלומים 2023 4'!D31+'ריכוז תקבולים ותשלומים 2023 4'!D33+'ריכוז תקבולים ותשלומים 2023 4'!D34+'ריכוז תקבולים ותשלומים 2023 4'!D35+'ריכוז תקבולים ותשלומים 2023 4'!D45-2085000</f>
        <v>193975000.20000002</v>
      </c>
      <c r="G29" s="32"/>
    </row>
    <row r="30" spans="1:9" ht="20.25">
      <c r="A30" s="47" t="s">
        <v>1462</v>
      </c>
      <c r="B30" s="48">
        <v>0</v>
      </c>
      <c r="C30" s="48">
        <v>0</v>
      </c>
      <c r="D30" s="49">
        <v>0</v>
      </c>
      <c r="G30" s="32"/>
      <c r="H30" s="36"/>
    </row>
    <row r="31" spans="1:9" ht="20.25">
      <c r="A31" s="133" t="s">
        <v>1484</v>
      </c>
      <c r="B31" s="134">
        <f>B28+B29+B30</f>
        <v>343347598.48000002</v>
      </c>
      <c r="C31" s="135">
        <f>SUM(C28:C30)</f>
        <v>341663700</v>
      </c>
      <c r="D31" s="136">
        <f>SUM(D28:D30)</f>
        <v>355924000.60000002</v>
      </c>
      <c r="G31" s="32"/>
      <c r="H31" s="37"/>
    </row>
    <row r="32" spans="1:9" ht="20.25">
      <c r="A32" s="47" t="s">
        <v>1485</v>
      </c>
      <c r="B32" s="48">
        <f>'תקציב 2022'!C29</f>
        <v>113796000</v>
      </c>
      <c r="C32" s="48">
        <f>'ריכוז תקבולים ותשלומים 2022 3'!C29</f>
        <v>114282000</v>
      </c>
      <c r="D32" s="49">
        <f>'ריכוז תקבולים ותשלומים 2023 4'!C29</f>
        <v>126798000</v>
      </c>
      <c r="E32" s="35"/>
      <c r="G32" s="32"/>
      <c r="H32" s="35"/>
      <c r="I32" s="37"/>
    </row>
    <row r="33" spans="1:9" ht="20.25">
      <c r="A33" s="47" t="s">
        <v>1486</v>
      </c>
      <c r="B33" s="48">
        <f>'תקציב 2022'!D29</f>
        <v>107542000.08000001</v>
      </c>
      <c r="C33" s="48">
        <f>'ריכוז תקבולים ותשלומים 2022 3'!D29</f>
        <v>107826000</v>
      </c>
      <c r="D33" s="49">
        <f>'ריכוז תקבולים ותשלומים 2023 4'!D29-1000000</f>
        <v>112528000</v>
      </c>
      <c r="E33" s="35"/>
      <c r="F33" s="1046"/>
      <c r="G33" s="32"/>
      <c r="H33" s="35"/>
      <c r="I33" s="37"/>
    </row>
    <row r="34" spans="1:9" ht="20.25">
      <c r="A34" s="133" t="s">
        <v>1487</v>
      </c>
      <c r="B34" s="135">
        <f>SUM(B32:B33)</f>
        <v>221338000.08000001</v>
      </c>
      <c r="C34" s="135">
        <f>SUM(C32:C33)</f>
        <v>222108000</v>
      </c>
      <c r="D34" s="136">
        <f>SUM(D32:D33)</f>
        <v>239326000</v>
      </c>
      <c r="E34" s="38"/>
      <c r="G34" s="32"/>
      <c r="I34" s="37"/>
    </row>
    <row r="35" spans="1:9" ht="20.25">
      <c r="A35" s="47" t="s">
        <v>1488</v>
      </c>
      <c r="B35" s="48">
        <f>'תקציב 2022'!C32</f>
        <v>33433567</v>
      </c>
      <c r="C35" s="48">
        <f>'ריכוז תקבולים ותשלומים 2022 3'!C32</f>
        <v>32055000</v>
      </c>
      <c r="D35" s="49">
        <f>'ריכוז תקבולים ותשלומים 2023 4'!C32</f>
        <v>37031000</v>
      </c>
      <c r="G35" s="32"/>
      <c r="H35" s="35"/>
    </row>
    <row r="36" spans="1:9" ht="20.25">
      <c r="A36" s="47" t="s">
        <v>1489</v>
      </c>
      <c r="B36" s="48">
        <f>'תקציב 2022'!D32+2</f>
        <v>102489834.59999999</v>
      </c>
      <c r="C36" s="48">
        <f>'ריכוז תקבולים ותשלומים 2022 3'!D32</f>
        <v>99839000</v>
      </c>
      <c r="D36" s="49">
        <f>'ריכוז תקבולים ותשלומים 2023 4'!D32</f>
        <v>105467000</v>
      </c>
      <c r="G36" s="32"/>
      <c r="H36" s="38"/>
    </row>
    <row r="37" spans="1:9" ht="20.25">
      <c r="A37" s="133" t="s">
        <v>1490</v>
      </c>
      <c r="B37" s="135">
        <f>SUM(B35:B36)</f>
        <v>135923401.59999999</v>
      </c>
      <c r="C37" s="135">
        <f>SUM(C35:C36)</f>
        <v>131894000</v>
      </c>
      <c r="D37" s="136">
        <f>SUM(D35:D36)</f>
        <v>142498000</v>
      </c>
      <c r="E37" s="35"/>
      <c r="G37" s="32"/>
    </row>
    <row r="38" spans="1:9" ht="20.25">
      <c r="A38" s="47" t="s">
        <v>1491</v>
      </c>
      <c r="B38" s="48">
        <v>0</v>
      </c>
      <c r="C38" s="48">
        <v>0</v>
      </c>
      <c r="D38" s="49">
        <v>0</v>
      </c>
      <c r="G38" s="32"/>
    </row>
    <row r="39" spans="1:9" ht="20.25">
      <c r="A39" s="47" t="s">
        <v>1492</v>
      </c>
      <c r="B39" s="48">
        <f>'תקציב 2022'!E11</f>
        <v>29623000</v>
      </c>
      <c r="C39" s="48">
        <f>'ריכוז תקבולים ותשלומים 2022 3'!D11</f>
        <v>31077000</v>
      </c>
      <c r="D39" s="49">
        <f>'ריכוז תקבולים ותשלומים 2023 4'!D11+0.8</f>
        <v>31176999.510000002</v>
      </c>
      <c r="G39" s="32"/>
    </row>
    <row r="40" spans="1:9" ht="20.25">
      <c r="A40" s="133" t="s">
        <v>1493</v>
      </c>
      <c r="B40" s="135">
        <f>SUM(B38:B39)</f>
        <v>29623000</v>
      </c>
      <c r="C40" s="135">
        <f>SUM(C38:C39)</f>
        <v>31077000</v>
      </c>
      <c r="D40" s="136">
        <f>SUM(D38:D39)</f>
        <v>31176999.510000002</v>
      </c>
      <c r="G40" s="32"/>
      <c r="H40" s="35"/>
    </row>
    <row r="41" spans="1:9" ht="20.25">
      <c r="A41" s="47" t="s">
        <v>1347</v>
      </c>
      <c r="B41" s="48">
        <f>'תקציב 2022'!E10</f>
        <v>1650000</v>
      </c>
      <c r="C41" s="48">
        <f>'ריכוז תקבולים ותשלומים 2022 3'!D10</f>
        <v>1911000</v>
      </c>
      <c r="D41" s="49">
        <f>'ריכוז תקבולים ותשלומים 2023 4'!D10</f>
        <v>1800000</v>
      </c>
      <c r="G41" s="32"/>
    </row>
    <row r="42" spans="1:9" ht="20.25">
      <c r="A42" s="47" t="s">
        <v>1494</v>
      </c>
      <c r="B42" s="48">
        <f>'תקציב 2022'!E50</f>
        <v>250000</v>
      </c>
      <c r="C42" s="48">
        <f>'ריכוז תקבולים ותשלומים 2022 3'!D49</f>
        <v>250000</v>
      </c>
      <c r="D42" s="49">
        <f>'ריכוז תקבולים ותשלומים 2023 4'!D50</f>
        <v>250000.4</v>
      </c>
      <c r="G42" s="32"/>
    </row>
    <row r="43" spans="1:9" ht="20.25">
      <c r="A43" s="133" t="s">
        <v>1495</v>
      </c>
      <c r="B43" s="135">
        <f>+B41+B42+B31+B34+B37+B40</f>
        <v>732132000.16000009</v>
      </c>
      <c r="C43" s="135">
        <f>+C41+C42+C31+C34+C37+C40</f>
        <v>728903700</v>
      </c>
      <c r="D43" s="136">
        <f>+D41+D42+D31+D34+D37+D40</f>
        <v>770975000.50999999</v>
      </c>
      <c r="G43" s="32"/>
    </row>
    <row r="44" spans="1:9" ht="20.25">
      <c r="A44" s="47" t="s">
        <v>1476</v>
      </c>
      <c r="B44" s="48">
        <f>'תקציב 2022'!E49</f>
        <v>61000000</v>
      </c>
      <c r="C44" s="48">
        <f>'ריכוז תקבולים ותשלומים 2022 3'!D48</f>
        <v>61000000</v>
      </c>
      <c r="D44" s="49">
        <f>'ריכוז תקבולים ותשלומים 2023 4'!D49</f>
        <v>63999999.5</v>
      </c>
      <c r="G44" s="32"/>
    </row>
    <row r="45" spans="1:9" ht="20.25">
      <c r="A45" s="47" t="s">
        <v>1496</v>
      </c>
      <c r="B45" s="48">
        <v>0</v>
      </c>
      <c r="C45" s="48">
        <v>0</v>
      </c>
      <c r="D45" s="49">
        <v>0</v>
      </c>
      <c r="G45" s="32"/>
    </row>
    <row r="46" spans="1:9" ht="20.25">
      <c r="A46" s="133" t="s">
        <v>1497</v>
      </c>
      <c r="B46" s="135">
        <f>+B44+B43</f>
        <v>793132000.16000009</v>
      </c>
      <c r="C46" s="135">
        <f>+C44+C43</f>
        <v>789903700</v>
      </c>
      <c r="D46" s="136">
        <f>+D44+D43</f>
        <v>834975000.00999999</v>
      </c>
      <c r="G46" s="32"/>
    </row>
    <row r="47" spans="1:9" ht="20.25">
      <c r="A47" s="47" t="s">
        <v>1498</v>
      </c>
      <c r="B47" s="48">
        <v>0</v>
      </c>
      <c r="C47" s="48">
        <v>0</v>
      </c>
      <c r="D47" s="49">
        <v>3085000</v>
      </c>
      <c r="G47" s="32"/>
    </row>
    <row r="48" spans="1:9" ht="21" thickBot="1">
      <c r="A48" s="137" t="s">
        <v>1499</v>
      </c>
      <c r="B48" s="139">
        <f>+B46+B47</f>
        <v>793132000.16000009</v>
      </c>
      <c r="C48" s="139">
        <f>+C46+C47</f>
        <v>789903700</v>
      </c>
      <c r="D48" s="140">
        <f>+D46+D47</f>
        <v>838060000.00999999</v>
      </c>
      <c r="G48" s="32"/>
    </row>
    <row r="49" spans="1:7" ht="20.25">
      <c r="A49" s="145" t="s">
        <v>1500</v>
      </c>
      <c r="B49" s="131">
        <v>0</v>
      </c>
      <c r="C49" s="131">
        <f>+C25-C48</f>
        <v>-1196700</v>
      </c>
      <c r="D49" s="132">
        <f>+D25-D48</f>
        <v>0.16845297813415527</v>
      </c>
      <c r="G49" s="32"/>
    </row>
    <row r="51" spans="1:7">
      <c r="B51" s="35"/>
      <c r="C51" s="35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74" firstPageNumber="2" orientation="portrait" useFirstPageNumber="1" r:id="rId1"/>
  <headerFooter>
    <oddFooter>&amp;L&amp;P&amp;Cלאישור מועצת העיר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N60"/>
  <sheetViews>
    <sheetView rightToLeft="1" view="pageBreakPreview" zoomScale="55" zoomScaleNormal="55" zoomScaleSheetLayoutView="55" zoomScalePageLayoutView="85" workbookViewId="0">
      <selection activeCell="B7" sqref="B7"/>
    </sheetView>
  </sheetViews>
  <sheetFormatPr defaultColWidth="30.125" defaultRowHeight="30"/>
  <cols>
    <col min="1" max="16384" width="30.125" style="72"/>
  </cols>
  <sheetData>
    <row r="1" spans="1:14">
      <c r="A1" s="1102" t="s">
        <v>3995</v>
      </c>
      <c r="B1" s="1102"/>
      <c r="C1" s="1102"/>
      <c r="D1" s="1102"/>
      <c r="E1" s="1102"/>
      <c r="F1" s="1102"/>
      <c r="G1" s="1102"/>
      <c r="H1" s="1102"/>
      <c r="I1" s="1102"/>
      <c r="J1" s="1102"/>
    </row>
    <row r="2" spans="1:14" ht="30.75" thickBot="1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4" ht="30.75" thickBot="1">
      <c r="A3" s="1103" t="s">
        <v>1334</v>
      </c>
      <c r="B3" s="1104"/>
      <c r="C3" s="1104"/>
      <c r="D3" s="1104"/>
      <c r="E3" s="1105"/>
      <c r="F3" s="1103" t="s">
        <v>1335</v>
      </c>
      <c r="G3" s="1104"/>
      <c r="H3" s="1104"/>
      <c r="I3" s="1104"/>
      <c r="J3" s="1105"/>
      <c r="L3" s="566"/>
      <c r="M3" s="41"/>
      <c r="N3" s="566"/>
    </row>
    <row r="4" spans="1:14">
      <c r="A4" s="146" t="s">
        <v>1336</v>
      </c>
      <c r="B4" s="146" t="s">
        <v>1337</v>
      </c>
      <c r="C4" s="146" t="s">
        <v>1338</v>
      </c>
      <c r="D4" s="147" t="s">
        <v>1339</v>
      </c>
      <c r="E4" s="147" t="s">
        <v>888</v>
      </c>
      <c r="F4" s="146" t="s">
        <v>1340</v>
      </c>
      <c r="G4" s="146" t="s">
        <v>1337</v>
      </c>
      <c r="H4" s="146" t="s">
        <v>1341</v>
      </c>
      <c r="I4" s="147" t="s">
        <v>1342</v>
      </c>
      <c r="J4" s="147" t="s">
        <v>888</v>
      </c>
      <c r="L4" s="566"/>
      <c r="M4" s="41"/>
      <c r="N4" s="566"/>
    </row>
    <row r="5" spans="1:14">
      <c r="A5" s="1099" t="s">
        <v>1343</v>
      </c>
      <c r="B5" s="1100"/>
      <c r="C5" s="1100"/>
      <c r="D5" s="1100"/>
      <c r="E5" s="1101"/>
      <c r="F5" s="1099" t="s">
        <v>1344</v>
      </c>
      <c r="G5" s="1100"/>
      <c r="H5" s="1100"/>
      <c r="I5" s="1100"/>
      <c r="J5" s="1101"/>
      <c r="L5" s="827" t="s">
        <v>3565</v>
      </c>
      <c r="M5" s="41" t="s">
        <v>3734</v>
      </c>
      <c r="N5" s="566"/>
    </row>
    <row r="6" spans="1:14">
      <c r="A6" s="75"/>
      <c r="B6" s="76"/>
      <c r="C6" s="77"/>
      <c r="D6" s="77"/>
      <c r="E6" s="78"/>
      <c r="F6" s="75"/>
      <c r="G6" s="77"/>
      <c r="H6" s="77"/>
      <c r="I6" s="77"/>
      <c r="J6" s="78"/>
      <c r="L6" s="29" t="s">
        <v>1194</v>
      </c>
      <c r="M6" s="41">
        <v>18265000</v>
      </c>
      <c r="N6" s="566"/>
    </row>
    <row r="7" spans="1:14">
      <c r="A7" s="79">
        <v>61</v>
      </c>
      <c r="B7" s="80" t="s">
        <v>1345</v>
      </c>
      <c r="C7" s="81">
        <f>'הוצאות '!H3+'הוצאות '!H9+'הוצאות '!H28+'הוצאות '!H34+'הוצאות '!H45+'הוצאות '!H52+'הוצאות '!H61+'הוצאות '!H63+'הוצאות '!H67+'הוצאות '!H76+'הוצאות '!G64</f>
        <v>18519000</v>
      </c>
      <c r="D7" s="81">
        <f>+E7-C7</f>
        <v>15895000</v>
      </c>
      <c r="E7" s="82">
        <f>'הוצאות '!H8+'הוצאות '!H27+'הוצאות '!H33+'הוצאות '!H44+'הוצאות '!H51+'הוצאות '!H62+'הוצאות '!H66+'הוצאות '!H75+'הוצאות '!H82</f>
        <v>34414000</v>
      </c>
      <c r="F7" s="79">
        <v>11</v>
      </c>
      <c r="G7" s="80" t="s">
        <v>6</v>
      </c>
      <c r="H7" s="81">
        <v>0</v>
      </c>
      <c r="I7" s="81">
        <f t="shared" ref="I7:I12" si="0">J7-H7</f>
        <v>417945000</v>
      </c>
      <c r="J7" s="82">
        <f>'הכנסות '!H7-'הכנסות '!H5</f>
        <v>417945000</v>
      </c>
      <c r="L7" s="29" t="s">
        <v>1196</v>
      </c>
      <c r="M7" s="41">
        <v>9348000</v>
      </c>
      <c r="N7" s="566"/>
    </row>
    <row r="8" spans="1:14">
      <c r="A8" s="83"/>
      <c r="B8" s="84"/>
      <c r="C8" s="85"/>
      <c r="D8" s="85">
        <f>+E8-C8</f>
        <v>0</v>
      </c>
      <c r="E8" s="86"/>
      <c r="F8" s="83">
        <v>11</v>
      </c>
      <c r="G8" s="84" t="s">
        <v>9</v>
      </c>
      <c r="H8" s="85">
        <v>0</v>
      </c>
      <c r="I8" s="85">
        <f t="shared" si="0"/>
        <v>61000000</v>
      </c>
      <c r="J8" s="86">
        <f>'הכנסות '!H5</f>
        <v>61000000</v>
      </c>
      <c r="L8" s="29" t="s">
        <v>1216</v>
      </c>
      <c r="M8" s="41">
        <v>9936000</v>
      </c>
      <c r="N8" s="566"/>
    </row>
    <row r="9" spans="1:14">
      <c r="A9" s="79">
        <v>62</v>
      </c>
      <c r="B9" s="80" t="s">
        <v>1346</v>
      </c>
      <c r="C9" s="81">
        <f>'הוצאות '!H86+'הוצאות '!H92+'הוצאות '!H98</f>
        <v>9344000</v>
      </c>
      <c r="D9" s="81">
        <f>+E9-C9</f>
        <v>5181000</v>
      </c>
      <c r="E9" s="82">
        <f>'הוצאות '!H91+'הוצאות '!H97+'הוצאות '!H104</f>
        <v>14525000</v>
      </c>
      <c r="F9" s="79">
        <v>12</v>
      </c>
      <c r="G9" s="80" t="s">
        <v>11</v>
      </c>
      <c r="H9" s="81">
        <v>0</v>
      </c>
      <c r="I9" s="81">
        <f t="shared" si="0"/>
        <v>8238000</v>
      </c>
      <c r="J9" s="82">
        <f>+'הכנסות '!H10</f>
        <v>8238000</v>
      </c>
      <c r="L9" s="29" t="s">
        <v>1218</v>
      </c>
      <c r="M9" s="41">
        <v>5092000</v>
      </c>
      <c r="N9" s="566"/>
    </row>
    <row r="10" spans="1:14">
      <c r="A10" s="83">
        <v>63</v>
      </c>
      <c r="B10" s="84" t="s">
        <v>1347</v>
      </c>
      <c r="C10" s="85"/>
      <c r="D10" s="85">
        <f>+E10-C10</f>
        <v>1911000</v>
      </c>
      <c r="E10" s="86">
        <f>'הוצאות '!H108</f>
        <v>1911000</v>
      </c>
      <c r="F10" s="83">
        <v>13</v>
      </c>
      <c r="G10" s="84" t="s">
        <v>1348</v>
      </c>
      <c r="H10" s="85">
        <v>0</v>
      </c>
      <c r="I10" s="85">
        <f t="shared" si="0"/>
        <v>0</v>
      </c>
      <c r="J10" s="86">
        <v>0</v>
      </c>
      <c r="L10" s="29" t="s">
        <v>1222</v>
      </c>
      <c r="M10" s="41">
        <v>14623000</v>
      </c>
      <c r="N10" s="566"/>
    </row>
    <row r="11" spans="1:14">
      <c r="A11" s="79">
        <v>64</v>
      </c>
      <c r="B11" s="80" t="s">
        <v>1349</v>
      </c>
      <c r="C11" s="81"/>
      <c r="D11" s="81">
        <f>+E11-C11</f>
        <v>31077000</v>
      </c>
      <c r="E11" s="82">
        <f>'הוצאות '!H113</f>
        <v>31077000</v>
      </c>
      <c r="F11" s="79">
        <v>18</v>
      </c>
      <c r="G11" s="80" t="s">
        <v>1350</v>
      </c>
      <c r="H11" s="81">
        <v>0</v>
      </c>
      <c r="I11" s="81">
        <f t="shared" si="0"/>
        <v>115000</v>
      </c>
      <c r="J11" s="82">
        <f>+'הכנסות '!H12</f>
        <v>115000</v>
      </c>
      <c r="L11" s="29" t="s">
        <v>1227</v>
      </c>
      <c r="M11" s="41">
        <v>18661000</v>
      </c>
      <c r="N11" s="566"/>
    </row>
    <row r="12" spans="1:14">
      <c r="A12" s="83"/>
      <c r="B12" s="84"/>
      <c r="C12" s="85"/>
      <c r="D12" s="85"/>
      <c r="E12" s="86"/>
      <c r="F12" s="83">
        <v>19</v>
      </c>
      <c r="G12" s="84" t="s">
        <v>1351</v>
      </c>
      <c r="H12" s="85">
        <v>0</v>
      </c>
      <c r="I12" s="85">
        <f t="shared" si="0"/>
        <v>0</v>
      </c>
      <c r="J12" s="86">
        <v>0</v>
      </c>
      <c r="L12" s="29" t="s">
        <v>1230</v>
      </c>
      <c r="M12" s="41">
        <v>8001000</v>
      </c>
      <c r="N12" s="566"/>
    </row>
    <row r="13" spans="1:14">
      <c r="A13" s="79" t="s">
        <v>1352</v>
      </c>
      <c r="B13" s="80"/>
      <c r="C13" s="81">
        <f>SUM(C7:C11)</f>
        <v>27863000</v>
      </c>
      <c r="D13" s="81">
        <f>SUM(D7:D11)</f>
        <v>54064000</v>
      </c>
      <c r="E13" s="82">
        <f>SUM(E7:E11)</f>
        <v>81927000</v>
      </c>
      <c r="F13" s="79" t="s">
        <v>1353</v>
      </c>
      <c r="G13" s="80"/>
      <c r="H13" s="81">
        <f>SUM(H7:H12)</f>
        <v>0</v>
      </c>
      <c r="I13" s="81">
        <f>SUM(I7:I12)</f>
        <v>487298000</v>
      </c>
      <c r="J13" s="82">
        <f>SUM(J7:J12)</f>
        <v>487298000</v>
      </c>
      <c r="L13" s="29" t="s">
        <v>1234</v>
      </c>
      <c r="M13" s="41">
        <v>2797000</v>
      </c>
      <c r="N13" s="566"/>
    </row>
    <row r="14" spans="1:14">
      <c r="A14" s="1099" t="s">
        <v>1354</v>
      </c>
      <c r="B14" s="1100"/>
      <c r="C14" s="1100"/>
      <c r="D14" s="1100"/>
      <c r="E14" s="1101"/>
      <c r="F14" s="1099" t="s">
        <v>1355</v>
      </c>
      <c r="G14" s="1100"/>
      <c r="H14" s="1100"/>
      <c r="I14" s="1100"/>
      <c r="J14" s="1101"/>
      <c r="L14" s="29" t="s">
        <v>1237</v>
      </c>
      <c r="M14" s="41">
        <v>1368000</v>
      </c>
      <c r="N14" s="566"/>
    </row>
    <row r="15" spans="1:14">
      <c r="A15" s="79"/>
      <c r="B15" s="87"/>
      <c r="C15" s="81"/>
      <c r="D15" s="81"/>
      <c r="E15" s="82"/>
      <c r="F15" s="79"/>
      <c r="G15" s="87"/>
      <c r="H15" s="81"/>
      <c r="I15" s="81"/>
      <c r="J15" s="82"/>
      <c r="L15" s="29" t="s">
        <v>1240</v>
      </c>
      <c r="M15" s="41">
        <v>7519000</v>
      </c>
      <c r="N15" s="566"/>
    </row>
    <row r="16" spans="1:14">
      <c r="A16" s="83">
        <v>71</v>
      </c>
      <c r="B16" s="84" t="s">
        <v>17</v>
      </c>
      <c r="C16" s="81">
        <f>'הוצאות '!H114+'הוצאות '!H122+'הוצאות '!H131+'הוצאות '!H136</f>
        <v>9521000</v>
      </c>
      <c r="D16" s="81">
        <f>+E16-C16</f>
        <v>75168000</v>
      </c>
      <c r="E16" s="82">
        <f>'הוצאות '!H121+'הוצאות '!H125+'הוצאות '!H127+'הוצאות '!H130+'הוצאות '!H135+'הוצאות '!H143+'הוצאות '!H145</f>
        <v>84689000</v>
      </c>
      <c r="F16" s="83">
        <v>21</v>
      </c>
      <c r="G16" s="84" t="s">
        <v>17</v>
      </c>
      <c r="H16" s="81">
        <f>'הכנסות '!H16</f>
        <v>485000</v>
      </c>
      <c r="I16" s="81">
        <f>J16-H16</f>
        <v>1191000</v>
      </c>
      <c r="J16" s="82">
        <f>'הכנסות '!H17</f>
        <v>1676000</v>
      </c>
      <c r="L16" s="29" t="s">
        <v>1246</v>
      </c>
      <c r="M16" s="41">
        <v>340000</v>
      </c>
      <c r="N16" s="566"/>
    </row>
    <row r="17" spans="1:14">
      <c r="A17" s="79">
        <v>72</v>
      </c>
      <c r="B17" s="80" t="s">
        <v>22</v>
      </c>
      <c r="C17" s="85">
        <f>'הוצאות '!H146+'הוצאות '!H155+'הוצאות '!H160+'הוצאות '!H162</f>
        <v>4843000</v>
      </c>
      <c r="D17" s="85">
        <f t="shared" ref="D17:D24" si="1">+E17-C17</f>
        <v>1251000</v>
      </c>
      <c r="E17" s="86">
        <f>'הוצאות '!H150+'הוצאות '!H154+'הוצאות '!H159+'הוצאות '!H161+'הוצאות '!H166</f>
        <v>6094000</v>
      </c>
      <c r="F17" s="79">
        <v>22</v>
      </c>
      <c r="G17" s="80" t="s">
        <v>22</v>
      </c>
      <c r="H17" s="85">
        <f>'הכנסות '!H19+'הכנסות '!H20</f>
        <v>4289000</v>
      </c>
      <c r="I17" s="85">
        <f t="shared" ref="I17:I24" si="2">J17-H17</f>
        <v>6861000</v>
      </c>
      <c r="J17" s="86">
        <f>'הכנסות '!H22</f>
        <v>11150000</v>
      </c>
      <c r="L17" s="29" t="s">
        <v>1249</v>
      </c>
      <c r="M17" s="41">
        <v>3621000</v>
      </c>
      <c r="N17" s="566"/>
    </row>
    <row r="18" spans="1:14">
      <c r="A18" s="83">
        <v>73</v>
      </c>
      <c r="B18" s="84" t="s">
        <v>1356</v>
      </c>
      <c r="C18" s="81">
        <f>'הוצאות '!H167+'הוצאות '!H176+'הוצאות '!H180+'הוצאות '!H183+'הוצאות '!H188</f>
        <v>13272000</v>
      </c>
      <c r="D18" s="81">
        <f t="shared" si="1"/>
        <v>3138000</v>
      </c>
      <c r="E18" s="82">
        <f>'הוצאות '!H175+'הוצאות '!H179+'הוצאות '!H182+'הוצאות '!H187+'הוצאות '!H190</f>
        <v>16410000</v>
      </c>
      <c r="F18" s="83">
        <v>23</v>
      </c>
      <c r="G18" s="84" t="s">
        <v>1356</v>
      </c>
      <c r="H18" s="81">
        <v>0</v>
      </c>
      <c r="I18" s="81">
        <f t="shared" si="2"/>
        <v>5607000</v>
      </c>
      <c r="J18" s="82">
        <f>'הכנסות '!H25</f>
        <v>5607000</v>
      </c>
      <c r="L18" s="29" t="s">
        <v>1251</v>
      </c>
      <c r="M18" s="41">
        <v>113796000</v>
      </c>
      <c r="N18" s="566"/>
    </row>
    <row r="19" spans="1:14">
      <c r="A19" s="79">
        <v>74</v>
      </c>
      <c r="B19" s="80" t="s">
        <v>31</v>
      </c>
      <c r="C19" s="85">
        <f>'הוצאות '!H191+'הוצאות '!H196+'הוצאות '!H204+'הוצאות '!H207+'הוצאות '!H218+'הוצאות '!H227</f>
        <v>18743000</v>
      </c>
      <c r="D19" s="85">
        <f t="shared" si="1"/>
        <v>27263000</v>
      </c>
      <c r="E19" s="86">
        <f>'הוצאות '!H195+'הוצאות '!H203+'הוצאות '!H206+'הוצאות '!H217+'הוצאות '!H226+'הוצאות '!H238</f>
        <v>46006000</v>
      </c>
      <c r="F19" s="79">
        <v>24</v>
      </c>
      <c r="G19" s="80" t="s">
        <v>31</v>
      </c>
      <c r="H19" s="85">
        <f>'הכנסות '!H27+'הכנסות '!H28</f>
        <v>560000</v>
      </c>
      <c r="I19" s="85">
        <f t="shared" si="2"/>
        <v>157000</v>
      </c>
      <c r="J19" s="86">
        <f>'הכנסות '!H29</f>
        <v>717000</v>
      </c>
      <c r="L19" s="29" t="s">
        <v>1255</v>
      </c>
      <c r="M19" s="41">
        <v>10951000</v>
      </c>
      <c r="N19" s="566"/>
    </row>
    <row r="20" spans="1:14">
      <c r="A20" s="83">
        <v>75</v>
      </c>
      <c r="B20" s="84" t="s">
        <v>1357</v>
      </c>
      <c r="C20" s="81">
        <f>'הוצאות '!H239</f>
        <v>7934000</v>
      </c>
      <c r="D20" s="81">
        <f t="shared" si="1"/>
        <v>2544000</v>
      </c>
      <c r="E20" s="82">
        <f>'הוצאות '!H246</f>
        <v>10478000</v>
      </c>
      <c r="F20" s="83">
        <v>25</v>
      </c>
      <c r="G20" s="84" t="s">
        <v>1358</v>
      </c>
      <c r="H20" s="81">
        <v>0</v>
      </c>
      <c r="I20" s="81">
        <f t="shared" si="2"/>
        <v>0</v>
      </c>
      <c r="J20" s="82">
        <v>0</v>
      </c>
      <c r="L20" s="29" t="s">
        <v>1263</v>
      </c>
      <c r="M20" s="41">
        <v>33433567</v>
      </c>
      <c r="N20" s="566"/>
    </row>
    <row r="21" spans="1:14">
      <c r="A21" s="79">
        <v>76</v>
      </c>
      <c r="B21" s="80" t="s">
        <v>1359</v>
      </c>
      <c r="C21" s="85">
        <f>'הוצאות '!H247+'הוצאות '!H252+'הוצאות '!H262</f>
        <v>2728000</v>
      </c>
      <c r="D21" s="85">
        <f t="shared" si="1"/>
        <v>7665000</v>
      </c>
      <c r="E21" s="86">
        <f>'הוצאות '!H251+'הוצאות '!H255+'הוצאות '!H261+'הוצאות '!H264</f>
        <v>10393000</v>
      </c>
      <c r="F21" s="79">
        <v>26</v>
      </c>
      <c r="G21" s="80" t="s">
        <v>1359</v>
      </c>
      <c r="H21" s="85">
        <v>0</v>
      </c>
      <c r="I21" s="85">
        <f t="shared" si="2"/>
        <v>0</v>
      </c>
      <c r="J21" s="86">
        <v>0</v>
      </c>
      <c r="L21" s="29" t="s">
        <v>1267</v>
      </c>
      <c r="M21" s="41">
        <v>730000</v>
      </c>
      <c r="N21" s="566"/>
    </row>
    <row r="22" spans="1:14">
      <c r="A22" s="83">
        <v>77</v>
      </c>
      <c r="B22" s="84" t="s">
        <v>1360</v>
      </c>
      <c r="C22" s="81">
        <f>'הוצאות '!H270</f>
        <v>1219000</v>
      </c>
      <c r="D22" s="81">
        <f t="shared" si="1"/>
        <v>3998000</v>
      </c>
      <c r="E22" s="82">
        <f>'הוצאות '!H269+'הוצאות '!H273</f>
        <v>5217000</v>
      </c>
      <c r="F22" s="83">
        <v>27</v>
      </c>
      <c r="G22" s="84" t="s">
        <v>1361</v>
      </c>
      <c r="H22" s="81">
        <v>0</v>
      </c>
      <c r="I22" s="81">
        <f t="shared" si="2"/>
        <v>0</v>
      </c>
      <c r="J22" s="82">
        <v>0</v>
      </c>
      <c r="L22" s="29" t="s">
        <v>1270</v>
      </c>
      <c r="M22" s="41">
        <v>590000</v>
      </c>
      <c r="N22" s="566"/>
    </row>
    <row r="23" spans="1:14">
      <c r="A23" s="79">
        <v>78</v>
      </c>
      <c r="B23" s="80" t="s">
        <v>36</v>
      </c>
      <c r="C23" s="85">
        <f>'הוצאות '!H274+'הוצאות '!H281+'הוצאות '!H288+'הוצאות '!H294</f>
        <v>7219000</v>
      </c>
      <c r="D23" s="85">
        <f t="shared" si="1"/>
        <v>4159000</v>
      </c>
      <c r="E23" s="86">
        <f>'הוצאות '!H280+'הוצאות '!H287+'הוצאות '!H293+'הוצאות '!H296</f>
        <v>11378000</v>
      </c>
      <c r="F23" s="79">
        <v>28</v>
      </c>
      <c r="G23" s="80" t="s">
        <v>36</v>
      </c>
      <c r="H23" s="85">
        <v>0</v>
      </c>
      <c r="I23" s="85">
        <f t="shared" si="2"/>
        <v>10807000</v>
      </c>
      <c r="J23" s="86">
        <f>'הכנסות '!H36</f>
        <v>10807000</v>
      </c>
      <c r="L23" s="29" t="s">
        <v>1290</v>
      </c>
      <c r="M23" s="41">
        <v>618000</v>
      </c>
      <c r="N23" s="566"/>
    </row>
    <row r="24" spans="1:14">
      <c r="A24" s="83">
        <v>79</v>
      </c>
      <c r="B24" s="84" t="s">
        <v>1362</v>
      </c>
      <c r="C24" s="81">
        <f>'הוצאות '!H313</f>
        <v>392000</v>
      </c>
      <c r="D24" s="81">
        <f t="shared" si="1"/>
        <v>106000</v>
      </c>
      <c r="E24" s="82">
        <f>'הוצאות '!H317</f>
        <v>498000</v>
      </c>
      <c r="F24" s="83">
        <v>29</v>
      </c>
      <c r="G24" s="84" t="s">
        <v>44</v>
      </c>
      <c r="H24" s="81">
        <v>0</v>
      </c>
      <c r="I24" s="81">
        <f t="shared" si="2"/>
        <v>70000</v>
      </c>
      <c r="J24" s="82">
        <f>'הכנסות '!H38</f>
        <v>70000</v>
      </c>
      <c r="L24" s="29" t="s">
        <v>1298</v>
      </c>
      <c r="M24" s="41">
        <v>44500000</v>
      </c>
      <c r="N24" s="566"/>
    </row>
    <row r="25" spans="1:14">
      <c r="A25" s="79" t="s">
        <v>1363</v>
      </c>
      <c r="B25" s="80"/>
      <c r="C25" s="81">
        <f>SUM(C16:C24)</f>
        <v>65871000</v>
      </c>
      <c r="D25" s="81">
        <f>SUM(D16:D24)</f>
        <v>125292000</v>
      </c>
      <c r="E25" s="82">
        <f>SUM(E16:E24)</f>
        <v>191163000</v>
      </c>
      <c r="F25" s="79" t="s">
        <v>1364</v>
      </c>
      <c r="G25" s="80"/>
      <c r="H25" s="81">
        <f>SUM(H16:H24)</f>
        <v>5334000</v>
      </c>
      <c r="I25" s="81">
        <f>SUM(I16:I24)</f>
        <v>24693000</v>
      </c>
      <c r="J25" s="82">
        <f>SUM(J16:J24)</f>
        <v>30027000</v>
      </c>
      <c r="L25" s="29" t="s">
        <v>3735</v>
      </c>
      <c r="M25" s="41"/>
      <c r="N25" s="566"/>
    </row>
    <row r="26" spans="1:14">
      <c r="A26" s="1099" t="s">
        <v>1365</v>
      </c>
      <c r="B26" s="1100"/>
      <c r="C26" s="1100"/>
      <c r="D26" s="1100"/>
      <c r="E26" s="1101"/>
      <c r="F26" s="1099" t="s">
        <v>1366</v>
      </c>
      <c r="G26" s="1100"/>
      <c r="H26" s="1100"/>
      <c r="I26" s="1100"/>
      <c r="J26" s="1101"/>
      <c r="L26" s="29" t="s">
        <v>3566</v>
      </c>
      <c r="M26" s="41">
        <v>304189567</v>
      </c>
      <c r="N26" s="566"/>
    </row>
    <row r="27" spans="1:14">
      <c r="A27" s="79"/>
      <c r="B27" s="87"/>
      <c r="C27" s="81"/>
      <c r="D27" s="81"/>
      <c r="E27" s="82"/>
      <c r="F27" s="79"/>
      <c r="G27" s="87"/>
      <c r="H27" s="81"/>
      <c r="I27" s="81"/>
      <c r="J27" s="82"/>
      <c r="L27" s="566"/>
      <c r="M27" s="41"/>
      <c r="N27" s="566"/>
    </row>
    <row r="28" spans="1:14">
      <c r="A28" s="83">
        <v>80</v>
      </c>
      <c r="B28" s="84" t="s">
        <v>1391</v>
      </c>
      <c r="C28" s="81">
        <f>'הוצאות '!H302</f>
        <v>2780000</v>
      </c>
      <c r="D28" s="81">
        <f>E28-C28</f>
        <v>2762000</v>
      </c>
      <c r="E28" s="82">
        <f>'הוצאות '!H312</f>
        <v>5542000</v>
      </c>
      <c r="F28" s="83">
        <v>30</v>
      </c>
      <c r="G28" s="84" t="s">
        <v>1391</v>
      </c>
      <c r="H28" s="81">
        <v>0</v>
      </c>
      <c r="I28" s="81">
        <f>J28-H28</f>
        <v>1000000</v>
      </c>
      <c r="J28" s="82">
        <f>'הכנסות '!H40</f>
        <v>1000000</v>
      </c>
    </row>
    <row r="29" spans="1:14">
      <c r="A29" s="79">
        <v>81</v>
      </c>
      <c r="B29" s="80" t="s">
        <v>914</v>
      </c>
      <c r="C29" s="85">
        <f>'הוצאות '!H318+'הוצאות '!H332+'הוצאות '!H333+'הוצאות '!H335+'הוצאות '!H345+'הוצאות '!H352+'הוצאות '!H354+'הוצאות '!H355+'הוצאות '!H366+'הוצאות '!H371+'הוצאות '!H378+'הוצאות '!H381+'הוצאות '!H389+'הוצאות '!H397+'הוצאות '!H403+'הוצאות '!H408</f>
        <v>114282000</v>
      </c>
      <c r="D29" s="85">
        <f>+E29-C29</f>
        <v>107826000</v>
      </c>
      <c r="E29" s="86">
        <f>'הוצאות '!H331+'הוצאות '!H344+'הוצאות '!H353+'הוצאות '!H365+'הוצאות '!H370+'הוצאות '!H375+'הוצאות '!H377+'הוצאות '!H380+'הוצאות '!H384+'הוצאות '!H388+'הוצאות '!H393+'הוצאות '!H396+'הוצאות '!H402+'הוצאות '!H409+'הוצאות '!H412+'הוצאות '!H414+'הוצאות '!H417</f>
        <v>222108000</v>
      </c>
      <c r="F29" s="79">
        <v>31</v>
      </c>
      <c r="G29" s="80" t="s">
        <v>914</v>
      </c>
      <c r="H29" s="85">
        <f>'הכנסות '!H44+'הכנסות '!H45+'הכנסות '!H47+'הכנסות '!H48+'הכנסות '!H49+'הכנסות '!H50+'הכנסות '!H55+'הכנסות '!H56+'הכנסות '!H58+'הכנסות '!H59+'הכנסות '!H60+'הכנסות '!H61+'הכנסות '!H62+'הכנסות '!H63+'הכנסות '!H64+'הכנסות '!H66+'הכנסות '!H67+'הכנסות '!H68+'הכנסות '!H69+'הכנסות '!H70+'הכנסות '!H72+'הכנסות '!H73+'הכנסות '!H75+'הכנסות '!H77+'הכנסות '!H78+'הכנסות '!H79+'הכנסות '!H80+'הכנסות '!H81+'הכנסות '!H82+'הכנסות '!H83+'הכנסות '!H84+'הכנסות '!H86+'הכנסות '!H87+'הכנסות '!H88+'הכנסות '!H90+'הכנסות '!H92</f>
        <v>119178000</v>
      </c>
      <c r="I29" s="81">
        <f>J29-H29</f>
        <v>9251000</v>
      </c>
      <c r="J29" s="86">
        <f>+'הכנסות '!H51+'הכנסות '!H74+'הכנסות '!H76+'הכנסות '!H93</f>
        <v>128429000</v>
      </c>
    </row>
    <row r="30" spans="1:14">
      <c r="A30" s="83">
        <v>82</v>
      </c>
      <c r="B30" s="84" t="s">
        <v>1367</v>
      </c>
      <c r="C30" s="81">
        <f>'הוצאות '!H420+'הוצאות '!H428+'הוצאות '!H438+'הוצאות '!H460+'הוצאות '!H468+'הוצאות '!H473+'הוצאות '!H479+'הוצאות '!H481+'הוצאות '!H485+'הוצאות '!H489</f>
        <v>10731700</v>
      </c>
      <c r="D30" s="81">
        <f t="shared" ref="D30:D35" si="3">+E30-C30</f>
        <v>32307000</v>
      </c>
      <c r="E30" s="82">
        <f>'הוצאות '!H419+'הוצאות '!H427+'הוצאות '!H433+'הוצאות '!H437+'הוצאות '!H442+'הוצאות '!H449+'הוצאות '!H455+'הוצאות '!H457+'הוצאות '!H459+'הוצאות '!H467+'הוצאות '!H472+'הוצאות '!H478+'הוצאות '!H480+'הוצאות '!H484+'הוצאות '!H488+'הוצאות '!H498</f>
        <v>43038700</v>
      </c>
      <c r="F30" s="83">
        <v>32</v>
      </c>
      <c r="G30" s="84" t="s">
        <v>1367</v>
      </c>
      <c r="H30" s="81">
        <f>'הכנסות '!H94+'הכנסות '!H96+'הכנסות '!H97+'הכנסות '!H101+'הכנסות '!H106+'הכנסות '!H107+'הכנסות '!H108+'הכנסות '!H111</f>
        <v>3999000</v>
      </c>
      <c r="I30" s="81">
        <f>J30-H30</f>
        <v>2803000</v>
      </c>
      <c r="J30" s="82">
        <f>+'הכנסות '!H112</f>
        <v>6802000</v>
      </c>
    </row>
    <row r="31" spans="1:14">
      <c r="A31" s="79">
        <v>83</v>
      </c>
      <c r="B31" s="80" t="s">
        <v>1368</v>
      </c>
      <c r="C31" s="85"/>
      <c r="D31" s="85">
        <f t="shared" si="3"/>
        <v>300000</v>
      </c>
      <c r="E31" s="86">
        <f>'הוצאות '!H500+'הוצאות '!H502</f>
        <v>300000</v>
      </c>
      <c r="F31" s="79">
        <v>33</v>
      </c>
      <c r="G31" s="80" t="s">
        <v>1368</v>
      </c>
      <c r="H31" s="85">
        <v>0</v>
      </c>
      <c r="I31" s="85">
        <f>J31-H31</f>
        <v>0</v>
      </c>
      <c r="J31" s="86">
        <v>0</v>
      </c>
    </row>
    <row r="32" spans="1:14">
      <c r="A32" s="83">
        <v>84</v>
      </c>
      <c r="B32" s="84" t="s">
        <v>918</v>
      </c>
      <c r="C32" s="81">
        <f>'הוצאות '!H503+'הוצאות '!H513+'הוצאות '!H514+'הוצאות '!H520+'הוצאות '!H521+'הוצאות '!H525+'הוצאות '!H526+'הוצאות '!H530+'הוצאות '!H531+'הוצאות '!H536+'הוצאות '!H539+'הוצאות '!H543+'הוצאות '!H576+'הוצאות '!H586+'הוצאות '!H595+'הוצאות '!H602+'הוצאות '!H609+'הוצאות '!H612+'הוצאות '!H620+'הוצאות '!H621+'הוצאות '!H626+'הוצאות '!H630+'הוצאות '!H631+'הוצאות '!H632+'הוצאות '!H633+'הוצאות '!H635+'הוצאות '!H637+'הוצאות '!H639+'הוצאות '!H642</f>
        <v>32055000</v>
      </c>
      <c r="D32" s="81">
        <f t="shared" si="3"/>
        <v>99839000</v>
      </c>
      <c r="E32" s="82">
        <f>'הוצאות '!H512+'הוצאות '!H529+'הוצאות '!H547+'הוצאות '!H562+'הוצאות '!H585+'הוצאות '!H611+'הוצאות '!H646+'הוצאות '!H650+'הוצאות '!H653+'הוצאות '!H657</f>
        <v>131894000</v>
      </c>
      <c r="F32" s="83">
        <v>34</v>
      </c>
      <c r="G32" s="84" t="s">
        <v>918</v>
      </c>
      <c r="H32" s="81">
        <f>+J32-I32</f>
        <v>93675000</v>
      </c>
      <c r="I32" s="81">
        <f>+'הכנסות '!H113+'הכנסות '!H118+'הכנסות '!H133+'הכנסות '!H142+'הכנסות '!H173</f>
        <v>2225000</v>
      </c>
      <c r="J32" s="82">
        <f>+'הכנסות '!H117+'הכנסות '!H128+'הכנסות '!H141+'הכנסות '!H157+'הכנסות '!H177+'הכנסות '!H200+'הכנסות '!H225+'הכנסות '!H229+'הכנסות '!H232+'הכנסות '!H236</f>
        <v>95900000</v>
      </c>
    </row>
    <row r="33" spans="1:10">
      <c r="A33" s="79">
        <v>85</v>
      </c>
      <c r="B33" s="80" t="s">
        <v>1369</v>
      </c>
      <c r="C33" s="85"/>
      <c r="D33" s="85">
        <f t="shared" si="3"/>
        <v>5110000</v>
      </c>
      <c r="E33" s="86">
        <f>'הוצאות '!H659</f>
        <v>5110000</v>
      </c>
      <c r="F33" s="79">
        <v>35</v>
      </c>
      <c r="G33" s="80" t="s">
        <v>1369</v>
      </c>
      <c r="H33" s="85">
        <v>0</v>
      </c>
      <c r="I33" s="85">
        <f>J33-H33</f>
        <v>0</v>
      </c>
      <c r="J33" s="86">
        <v>0</v>
      </c>
    </row>
    <row r="34" spans="1:10">
      <c r="A34" s="83">
        <v>86</v>
      </c>
      <c r="B34" s="84" t="s">
        <v>1370</v>
      </c>
      <c r="C34" s="81">
        <f>'הוצאות '!H660</f>
        <v>951000</v>
      </c>
      <c r="D34" s="81">
        <f t="shared" si="3"/>
        <v>712000</v>
      </c>
      <c r="E34" s="82">
        <f>'הוצאות '!H669</f>
        <v>1663000</v>
      </c>
      <c r="F34" s="83">
        <v>36</v>
      </c>
      <c r="G34" s="84" t="s">
        <v>1370</v>
      </c>
      <c r="H34" s="81">
        <f>'הכנסות '!H238</f>
        <v>662000</v>
      </c>
      <c r="I34" s="81">
        <f>J34-H34</f>
        <v>40000</v>
      </c>
      <c r="J34" s="82">
        <f>+'הכנסות '!H239</f>
        <v>702000</v>
      </c>
    </row>
    <row r="35" spans="1:10">
      <c r="A35" s="79">
        <v>87</v>
      </c>
      <c r="B35" s="80" t="s">
        <v>229</v>
      </c>
      <c r="C35" s="81">
        <f>'הוצאות '!H670</f>
        <v>364000</v>
      </c>
      <c r="D35" s="81">
        <f t="shared" si="3"/>
        <v>122000</v>
      </c>
      <c r="E35" s="82">
        <f>'הוצאות '!H674</f>
        <v>486000</v>
      </c>
      <c r="F35" s="79">
        <v>37</v>
      </c>
      <c r="G35" s="80" t="s">
        <v>229</v>
      </c>
      <c r="H35" s="81">
        <v>0</v>
      </c>
      <c r="I35" s="81">
        <f>J35-H35</f>
        <v>201000</v>
      </c>
      <c r="J35" s="82">
        <f>'הכנסות '!H241</f>
        <v>201000</v>
      </c>
    </row>
    <row r="36" spans="1:10">
      <c r="A36" s="79" t="s">
        <v>1371</v>
      </c>
      <c r="B36" s="80"/>
      <c r="C36" s="81">
        <f>SUM(C28:C35)</f>
        <v>161163700</v>
      </c>
      <c r="D36" s="81">
        <f>SUM(D28:D35)</f>
        <v>248978000</v>
      </c>
      <c r="E36" s="82">
        <f>SUM(E28:E35)</f>
        <v>410141700</v>
      </c>
      <c r="F36" s="79" t="s">
        <v>1372</v>
      </c>
      <c r="G36" s="80"/>
      <c r="H36" s="81">
        <f>SUM(H28:H35)</f>
        <v>217514000</v>
      </c>
      <c r="I36" s="81">
        <f>SUM(I28:I35)</f>
        <v>15520000</v>
      </c>
      <c r="J36" s="82">
        <f>SUM(J28:J35)</f>
        <v>233034000</v>
      </c>
    </row>
    <row r="37" spans="1:10">
      <c r="A37" s="1099" t="s">
        <v>1373</v>
      </c>
      <c r="B37" s="1100"/>
      <c r="C37" s="1100"/>
      <c r="D37" s="1100"/>
      <c r="E37" s="1101"/>
      <c r="F37" s="1099" t="s">
        <v>1374</v>
      </c>
      <c r="G37" s="1100"/>
      <c r="H37" s="1100"/>
      <c r="I37" s="1100"/>
      <c r="J37" s="1101"/>
    </row>
    <row r="38" spans="1:10">
      <c r="A38" s="79"/>
      <c r="B38" s="87"/>
      <c r="C38" s="81"/>
      <c r="D38" s="81"/>
      <c r="E38" s="82"/>
      <c r="F38" s="79"/>
      <c r="G38" s="87"/>
      <c r="H38" s="81"/>
      <c r="I38" s="81"/>
      <c r="J38" s="82"/>
    </row>
    <row r="39" spans="1:10">
      <c r="A39" s="79">
        <v>91</v>
      </c>
      <c r="B39" s="80" t="s">
        <v>462</v>
      </c>
      <c r="C39" s="85"/>
      <c r="D39" s="85">
        <v>0</v>
      </c>
      <c r="E39" s="86"/>
      <c r="F39" s="79">
        <v>41</v>
      </c>
      <c r="G39" s="80" t="s">
        <v>462</v>
      </c>
      <c r="H39" s="85">
        <v>0</v>
      </c>
      <c r="I39" s="85">
        <f>+'הכנסות '!H242</f>
        <v>11000</v>
      </c>
      <c r="J39" s="86">
        <f>+'הכנסות '!H243</f>
        <v>11000</v>
      </c>
    </row>
    <row r="40" spans="1:10">
      <c r="A40" s="83">
        <v>92</v>
      </c>
      <c r="B40" s="84" t="s">
        <v>1375</v>
      </c>
      <c r="C40" s="81"/>
      <c r="D40" s="81">
        <v>0</v>
      </c>
      <c r="E40" s="82"/>
      <c r="F40" s="83">
        <v>42</v>
      </c>
      <c r="G40" s="84" t="s">
        <v>1375</v>
      </c>
      <c r="H40" s="81">
        <v>0</v>
      </c>
      <c r="I40" s="81">
        <v>0</v>
      </c>
      <c r="J40" s="82">
        <f>+H40+I40</f>
        <v>0</v>
      </c>
    </row>
    <row r="41" spans="1:10">
      <c r="A41" s="79">
        <v>93</v>
      </c>
      <c r="B41" s="80" t="s">
        <v>1376</v>
      </c>
      <c r="C41" s="85"/>
      <c r="D41" s="85">
        <f>+E41-C41</f>
        <v>21000</v>
      </c>
      <c r="E41" s="86">
        <f>'הוצאות '!H677</f>
        <v>21000</v>
      </c>
      <c r="F41" s="79">
        <v>43</v>
      </c>
      <c r="G41" s="80" t="s">
        <v>1376</v>
      </c>
      <c r="H41" s="85">
        <v>0</v>
      </c>
      <c r="I41" s="85">
        <f>+'הכנסות '!H244+'הכנסות '!H246</f>
        <v>1123000</v>
      </c>
      <c r="J41" s="86">
        <f>'הכנסות '!H245+'הכנסות '!H247</f>
        <v>1123000</v>
      </c>
    </row>
    <row r="42" spans="1:10">
      <c r="A42" s="83">
        <v>94</v>
      </c>
      <c r="B42" s="84" t="s">
        <v>241</v>
      </c>
      <c r="C42" s="81">
        <f>'הוצאות '!H678</f>
        <v>656000</v>
      </c>
      <c r="D42" s="81">
        <f>+E42-C42</f>
        <v>227000</v>
      </c>
      <c r="E42" s="82">
        <f>'הוצאות '!H681</f>
        <v>883000</v>
      </c>
      <c r="F42" s="83">
        <v>44</v>
      </c>
      <c r="G42" s="84" t="s">
        <v>241</v>
      </c>
      <c r="H42" s="81">
        <v>0</v>
      </c>
      <c r="I42" s="81">
        <f>+'הכנסות '!H248</f>
        <v>7400000</v>
      </c>
      <c r="J42" s="82">
        <f>'הכנסות '!H249</f>
        <v>7400000</v>
      </c>
    </row>
    <row r="43" spans="1:10">
      <c r="A43" s="79">
        <v>97</v>
      </c>
      <c r="B43" s="80" t="s">
        <v>244</v>
      </c>
      <c r="C43" s="81"/>
      <c r="D43" s="81" t="s">
        <v>4</v>
      </c>
      <c r="E43" s="82"/>
      <c r="F43" s="79">
        <v>47</v>
      </c>
      <c r="G43" s="80" t="s">
        <v>1377</v>
      </c>
      <c r="H43" s="81">
        <v>0</v>
      </c>
      <c r="I43" s="81">
        <f>+'הכנסות '!H250</f>
        <v>28000</v>
      </c>
      <c r="J43" s="82">
        <f>'הכנסות '!H251</f>
        <v>28000</v>
      </c>
    </row>
    <row r="44" spans="1:10">
      <c r="A44" s="79" t="s">
        <v>1378</v>
      </c>
      <c r="B44" s="80"/>
      <c r="C44" s="81">
        <f>SUM(C39:C43)</f>
        <v>656000</v>
      </c>
      <c r="D44" s="81">
        <f>SUM(D39:D43)</f>
        <v>248000</v>
      </c>
      <c r="E44" s="82">
        <f>SUM(E39:E43)</f>
        <v>904000</v>
      </c>
      <c r="F44" s="79" t="s">
        <v>1379</v>
      </c>
      <c r="G44" s="80"/>
      <c r="H44" s="81">
        <f>SUM(H39:H43)</f>
        <v>0</v>
      </c>
      <c r="I44" s="81">
        <f>SUM(I39:I43)</f>
        <v>8562000</v>
      </c>
      <c r="J44" s="82">
        <f>SUM(J39:J43)</f>
        <v>8562000</v>
      </c>
    </row>
    <row r="45" spans="1:10">
      <c r="A45" s="1099" t="s">
        <v>1380</v>
      </c>
      <c r="B45" s="1100"/>
      <c r="C45" s="1100"/>
      <c r="D45" s="1100"/>
      <c r="E45" s="1101"/>
      <c r="F45" s="1099" t="s">
        <v>1381</v>
      </c>
      <c r="G45" s="1100"/>
      <c r="H45" s="1100"/>
      <c r="I45" s="1100"/>
      <c r="J45" s="1101"/>
    </row>
    <row r="46" spans="1:10">
      <c r="A46" s="79"/>
      <c r="B46" s="87"/>
      <c r="C46" s="81"/>
      <c r="D46" s="81"/>
      <c r="E46" s="82"/>
      <c r="F46" s="79"/>
      <c r="G46" s="87"/>
      <c r="H46" s="81"/>
      <c r="I46" s="81"/>
      <c r="J46" s="82"/>
    </row>
    <row r="47" spans="1:10">
      <c r="A47" s="79">
        <v>98</v>
      </c>
      <c r="B47" s="80" t="s">
        <v>1382</v>
      </c>
      <c r="C47" s="85">
        <f>'הוצאות '!H684</f>
        <v>44518000</v>
      </c>
      <c r="D47" s="85">
        <f>+E47-C47</f>
        <v>0</v>
      </c>
      <c r="E47" s="86">
        <f>'הוצאות '!H685</f>
        <v>44518000</v>
      </c>
      <c r="F47" s="79"/>
      <c r="G47" s="80" t="s">
        <v>1383</v>
      </c>
      <c r="H47" s="85">
        <v>0</v>
      </c>
      <c r="I47" s="85">
        <v>0</v>
      </c>
      <c r="J47" s="86">
        <f>+I47+H47</f>
        <v>0</v>
      </c>
    </row>
    <row r="48" spans="1:10">
      <c r="A48" s="83"/>
      <c r="B48" s="84" t="s">
        <v>9</v>
      </c>
      <c r="C48" s="81"/>
      <c r="D48" s="81">
        <f>+E48-C48</f>
        <v>61000000</v>
      </c>
      <c r="E48" s="82">
        <f>'הוצאות '!H687</f>
        <v>61000000</v>
      </c>
      <c r="F48" s="83"/>
      <c r="G48" s="84" t="s">
        <v>1384</v>
      </c>
      <c r="H48" s="81">
        <v>0</v>
      </c>
      <c r="I48" s="81">
        <v>0</v>
      </c>
      <c r="J48" s="82">
        <f>+I48+H48</f>
        <v>0</v>
      </c>
    </row>
    <row r="49" spans="1:11">
      <c r="A49" s="79">
        <v>99</v>
      </c>
      <c r="B49" s="80" t="s">
        <v>1385</v>
      </c>
      <c r="C49" s="81"/>
      <c r="D49" s="81">
        <f>+E49-C49</f>
        <v>250000</v>
      </c>
      <c r="E49" s="82">
        <f>'הוצאות '!H689</f>
        <v>250000</v>
      </c>
      <c r="F49" s="79"/>
      <c r="G49" s="80" t="s">
        <v>1386</v>
      </c>
      <c r="H49" s="81">
        <f>'הכנסות '!H262</f>
        <v>599000</v>
      </c>
      <c r="I49" s="81">
        <f>+'הכנסות '!H252+'הכנסות '!H255+'הכנסות '!H257+'הכנסות '!H258+'הכנסות '!H260</f>
        <v>29184000</v>
      </c>
      <c r="J49" s="82">
        <f>+'הכנסות '!H254+'הכנסות '!H263</f>
        <v>29786000</v>
      </c>
    </row>
    <row r="50" spans="1:11" ht="30.75" thickBot="1">
      <c r="A50" s="79" t="s">
        <v>1387</v>
      </c>
      <c r="B50" s="80"/>
      <c r="C50" s="81">
        <f>SUM(C47:C49)</f>
        <v>44518000</v>
      </c>
      <c r="D50" s="81">
        <f>SUM(D47:D49)</f>
        <v>61250000</v>
      </c>
      <c r="E50" s="82">
        <f>SUM(E47:E49)</f>
        <v>105768000</v>
      </c>
      <c r="F50" s="79" t="s">
        <v>1388</v>
      </c>
      <c r="G50" s="80"/>
      <c r="H50" s="81">
        <f>SUM(H47:H49)</f>
        <v>599000</v>
      </c>
      <c r="I50" s="81">
        <f>SUM(I47:I49)</f>
        <v>29184000</v>
      </c>
      <c r="J50" s="82">
        <f>SUM(J47:J49)</f>
        <v>29786000</v>
      </c>
    </row>
    <row r="51" spans="1:11">
      <c r="A51" s="146" t="s">
        <v>1389</v>
      </c>
      <c r="B51" s="146"/>
      <c r="C51" s="146">
        <f>+C13+C25+C36+C44+C50</f>
        <v>300071700</v>
      </c>
      <c r="D51" s="147">
        <f>+D13+D25+D36+D44+D50</f>
        <v>489832000</v>
      </c>
      <c r="E51" s="147">
        <f>+E13+E25+E36+E44+E50</f>
        <v>789903700</v>
      </c>
      <c r="F51" s="146" t="s">
        <v>1390</v>
      </c>
      <c r="G51" s="146"/>
      <c r="H51" s="146">
        <f>+H13+H25+H36+H44+H50</f>
        <v>223447000</v>
      </c>
      <c r="I51" s="147">
        <f>+I13+I25+I36+I44+I50</f>
        <v>565257000</v>
      </c>
      <c r="J51" s="147">
        <f>+J50+J44+J36+J25+J13</f>
        <v>788707000</v>
      </c>
      <c r="K51" s="73"/>
    </row>
    <row r="52" spans="1:11">
      <c r="H52" s="73"/>
      <c r="I52" s="73"/>
      <c r="J52" s="73"/>
      <c r="K52" s="73"/>
    </row>
    <row r="53" spans="1:11">
      <c r="C53" s="73"/>
      <c r="E53" s="73"/>
      <c r="I53" s="73"/>
      <c r="J53" s="73"/>
    </row>
    <row r="55" spans="1:11">
      <c r="F55" s="73"/>
    </row>
    <row r="60" spans="1:11">
      <c r="F60" s="73">
        <f>E51-J51</f>
        <v>1196700</v>
      </c>
    </row>
  </sheetData>
  <mergeCells count="13">
    <mergeCell ref="A1:J1"/>
    <mergeCell ref="A3:E3"/>
    <mergeCell ref="F3:J3"/>
    <mergeCell ref="A37:E37"/>
    <mergeCell ref="F37:J37"/>
    <mergeCell ref="A45:E45"/>
    <mergeCell ref="F45:J45"/>
    <mergeCell ref="A5:E5"/>
    <mergeCell ref="A14:E14"/>
    <mergeCell ref="A26:E26"/>
    <mergeCell ref="F5:J5"/>
    <mergeCell ref="F14:J14"/>
    <mergeCell ref="F26:J26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36" firstPageNumber="3" orientation="landscape" useFirstPageNumber="1" r:id="rId2"/>
  <headerFooter>
    <oddFooter>&amp;L&amp;14&amp;P&amp;C&amp;14לאישור הנהלת העיר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J57"/>
  <sheetViews>
    <sheetView rightToLeft="1" tabSelected="1" view="pageBreakPreview" zoomScale="70" zoomScaleNormal="70" zoomScaleSheetLayoutView="70" workbookViewId="0">
      <selection activeCell="E53" sqref="E53"/>
    </sheetView>
  </sheetViews>
  <sheetFormatPr defaultColWidth="30.125" defaultRowHeight="30"/>
  <cols>
    <col min="1" max="6" width="30.125" style="72"/>
    <col min="7" max="7" width="35.375" style="72" customWidth="1"/>
    <col min="8" max="16384" width="30.125" style="72"/>
  </cols>
  <sheetData>
    <row r="1" spans="1:10">
      <c r="A1" s="1102" t="s">
        <v>3178</v>
      </c>
      <c r="B1" s="1102"/>
      <c r="C1" s="1102"/>
      <c r="D1" s="1102"/>
      <c r="E1" s="1102"/>
      <c r="F1" s="1102"/>
      <c r="G1" s="1102"/>
      <c r="H1" s="1102"/>
      <c r="I1" s="1102"/>
      <c r="J1" s="1102"/>
    </row>
    <row r="2" spans="1:10" ht="30.75" thickBot="1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30.75" thickBot="1">
      <c r="A3" s="1103" t="s">
        <v>1334</v>
      </c>
      <c r="B3" s="1104"/>
      <c r="C3" s="1104"/>
      <c r="D3" s="1104"/>
      <c r="E3" s="1105"/>
      <c r="F3" s="1103" t="s">
        <v>1335</v>
      </c>
      <c r="G3" s="1104"/>
      <c r="H3" s="1104"/>
      <c r="I3" s="1104"/>
      <c r="J3" s="1105"/>
    </row>
    <row r="4" spans="1:10">
      <c r="A4" s="146" t="s">
        <v>1336</v>
      </c>
      <c r="B4" s="146" t="s">
        <v>1337</v>
      </c>
      <c r="C4" s="146" t="s">
        <v>1338</v>
      </c>
      <c r="D4" s="147" t="s">
        <v>1339</v>
      </c>
      <c r="E4" s="147" t="s">
        <v>888</v>
      </c>
      <c r="F4" s="146" t="s">
        <v>1340</v>
      </c>
      <c r="G4" s="146" t="s">
        <v>1337</v>
      </c>
      <c r="H4" s="146" t="s">
        <v>1341</v>
      </c>
      <c r="I4" s="147" t="s">
        <v>1342</v>
      </c>
      <c r="J4" s="147" t="s">
        <v>888</v>
      </c>
    </row>
    <row r="5" spans="1:10">
      <c r="A5" s="1099" t="s">
        <v>1343</v>
      </c>
      <c r="B5" s="1100"/>
      <c r="C5" s="1100"/>
      <c r="D5" s="1100"/>
      <c r="E5" s="1101"/>
      <c r="F5" s="1099" t="s">
        <v>1344</v>
      </c>
      <c r="G5" s="1100"/>
      <c r="H5" s="1100"/>
      <c r="I5" s="1100"/>
      <c r="J5" s="1101"/>
    </row>
    <row r="6" spans="1:10">
      <c r="A6" s="75"/>
      <c r="B6" s="76"/>
      <c r="C6" s="77"/>
      <c r="D6" s="77"/>
      <c r="E6" s="78"/>
      <c r="F6" s="75"/>
      <c r="G6" s="77"/>
      <c r="H6" s="77"/>
      <c r="I6" s="77"/>
      <c r="J6" s="78"/>
    </row>
    <row r="7" spans="1:10">
      <c r="A7" s="79">
        <v>61</v>
      </c>
      <c r="B7" s="80" t="s">
        <v>1345</v>
      </c>
      <c r="C7" s="81">
        <f>+'הוצאות '!I3+'הוצאות '!I9+'הוצאות '!I28+'הוצאות '!I34+'הוצאות '!I45+'הוצאות '!I52+'הוצאות '!I61+'הוצאות '!I63+'הוצאות '!I67+'הוצאות '!I76+'הוצאות '!I64+'הוצאות '!I83</f>
        <v>20551000</v>
      </c>
      <c r="D7" s="81">
        <f>+E7-C7</f>
        <v>18563999.600000001</v>
      </c>
      <c r="E7" s="82">
        <f>+'הוצאות '!I8+'הוצאות '!I27+'הוצאות '!I33+'הוצאות '!I44+'הוצאות '!I51+'הוצאות '!I62+'הוצאות '!I66+'הוצאות '!I75+'הוצאות '!I82+'הוצאות '!I85</f>
        <v>39114999.600000001</v>
      </c>
      <c r="F7" s="79">
        <v>11</v>
      </c>
      <c r="G7" s="80" t="s">
        <v>6</v>
      </c>
      <c r="H7" s="81">
        <v>0</v>
      </c>
      <c r="I7" s="81">
        <f t="shared" ref="I7:I12" si="0">J7-H7</f>
        <v>428700000</v>
      </c>
      <c r="J7" s="82">
        <f>'הכנסות '!I7-'הכנסות '!I5</f>
        <v>428700000</v>
      </c>
    </row>
    <row r="8" spans="1:10">
      <c r="A8" s="83"/>
      <c r="B8" s="84"/>
      <c r="C8" s="85"/>
      <c r="D8" s="85">
        <f>+E8-C8</f>
        <v>0</v>
      </c>
      <c r="E8" s="86"/>
      <c r="F8" s="83">
        <v>11</v>
      </c>
      <c r="G8" s="84" t="s">
        <v>9</v>
      </c>
      <c r="H8" s="85">
        <v>0</v>
      </c>
      <c r="I8" s="85">
        <f t="shared" si="0"/>
        <v>64000000</v>
      </c>
      <c r="J8" s="86">
        <f>'הכנסות '!I5</f>
        <v>64000000</v>
      </c>
    </row>
    <row r="9" spans="1:10">
      <c r="A9" s="79">
        <v>62</v>
      </c>
      <c r="B9" s="80" t="s">
        <v>1346</v>
      </c>
      <c r="C9" s="81">
        <f>+'הוצאות '!I86+'הוצאות '!I92+'הוצאות '!I98</f>
        <v>9894000</v>
      </c>
      <c r="D9" s="81">
        <f>+E9-C9</f>
        <v>4411000</v>
      </c>
      <c r="E9" s="82">
        <f>+'הוצאות '!I91+'הוצאות '!I97+'הוצאות '!I104</f>
        <v>14305000</v>
      </c>
      <c r="F9" s="79">
        <v>12</v>
      </c>
      <c r="G9" s="80" t="s">
        <v>11</v>
      </c>
      <c r="H9" s="81">
        <v>0</v>
      </c>
      <c r="I9" s="81">
        <f t="shared" si="0"/>
        <v>8030000</v>
      </c>
      <c r="J9" s="82">
        <f>+'הכנסות '!I10</f>
        <v>8030000</v>
      </c>
    </row>
    <row r="10" spans="1:10">
      <c r="A10" s="83">
        <v>63</v>
      </c>
      <c r="B10" s="84" t="s">
        <v>1347</v>
      </c>
      <c r="C10" s="85"/>
      <c r="D10" s="85">
        <f>+E10-C10</f>
        <v>1800000</v>
      </c>
      <c r="E10" s="86">
        <f>+'הוצאות '!I108</f>
        <v>1800000</v>
      </c>
      <c r="F10" s="83">
        <v>13</v>
      </c>
      <c r="G10" s="84" t="s">
        <v>1348</v>
      </c>
      <c r="H10" s="85">
        <v>0</v>
      </c>
      <c r="I10" s="85">
        <f t="shared" si="0"/>
        <v>0</v>
      </c>
      <c r="J10" s="86">
        <v>0</v>
      </c>
    </row>
    <row r="11" spans="1:10">
      <c r="A11" s="79">
        <v>64</v>
      </c>
      <c r="B11" s="80" t="s">
        <v>1349</v>
      </c>
      <c r="C11" s="81"/>
      <c r="D11" s="81">
        <f>+E11-C11</f>
        <v>31176998.710000001</v>
      </c>
      <c r="E11" s="82">
        <f>+'הוצאות '!I113-1</f>
        <v>31176998.710000001</v>
      </c>
      <c r="F11" s="79">
        <v>18</v>
      </c>
      <c r="G11" s="80" t="s">
        <v>1350</v>
      </c>
      <c r="H11" s="81">
        <v>0</v>
      </c>
      <c r="I11" s="81">
        <f t="shared" si="0"/>
        <v>115000</v>
      </c>
      <c r="J11" s="82">
        <f>+'הכנסות '!I12</f>
        <v>115000</v>
      </c>
    </row>
    <row r="12" spans="1:10">
      <c r="A12" s="83"/>
      <c r="B12" s="84"/>
      <c r="C12" s="85"/>
      <c r="D12" s="85"/>
      <c r="E12" s="86"/>
      <c r="F12" s="83">
        <v>19</v>
      </c>
      <c r="G12" s="84" t="s">
        <v>1351</v>
      </c>
      <c r="H12" s="85">
        <v>0</v>
      </c>
      <c r="I12" s="85">
        <f t="shared" si="0"/>
        <v>0</v>
      </c>
      <c r="J12" s="86">
        <v>0</v>
      </c>
    </row>
    <row r="13" spans="1:10">
      <c r="A13" s="79" t="s">
        <v>1352</v>
      </c>
      <c r="B13" s="80"/>
      <c r="C13" s="81">
        <f>SUM(C7:C11)</f>
        <v>30445000</v>
      </c>
      <c r="D13" s="81">
        <f>SUM(D7:D11)</f>
        <v>55951998.310000002</v>
      </c>
      <c r="E13" s="82">
        <f>SUM(E7:E11)</f>
        <v>86396998.310000002</v>
      </c>
      <c r="F13" s="79" t="s">
        <v>1353</v>
      </c>
      <c r="G13" s="80"/>
      <c r="H13" s="81">
        <f>SUM(H7:H12)</f>
        <v>0</v>
      </c>
      <c r="I13" s="81">
        <f>SUM(I7:I12)</f>
        <v>500845000</v>
      </c>
      <c r="J13" s="82">
        <f>SUM(J7:J12)</f>
        <v>500845000</v>
      </c>
    </row>
    <row r="14" spans="1:10">
      <c r="A14" s="1099" t="s">
        <v>1354</v>
      </c>
      <c r="B14" s="1100"/>
      <c r="C14" s="1100"/>
      <c r="D14" s="1100"/>
      <c r="E14" s="1101"/>
      <c r="F14" s="1099" t="s">
        <v>1355</v>
      </c>
      <c r="G14" s="1100"/>
      <c r="H14" s="1100"/>
      <c r="I14" s="1100"/>
      <c r="J14" s="1101"/>
    </row>
    <row r="15" spans="1:10">
      <c r="A15" s="79"/>
      <c r="B15" s="87"/>
      <c r="C15" s="81"/>
      <c r="D15" s="81"/>
      <c r="E15" s="82"/>
      <c r="F15" s="79"/>
      <c r="G15" s="87"/>
      <c r="H15" s="81"/>
      <c r="I15" s="81"/>
      <c r="J15" s="82"/>
    </row>
    <row r="16" spans="1:10">
      <c r="A16" s="83">
        <v>71</v>
      </c>
      <c r="B16" s="84" t="s">
        <v>17</v>
      </c>
      <c r="C16" s="81">
        <f>+'הוצאות '!I114+'הוצאות '!I122+'הוצאות '!I131+'הוצאות '!I136</f>
        <v>10470000</v>
      </c>
      <c r="D16" s="81">
        <f>+E16-C16</f>
        <v>74220000</v>
      </c>
      <c r="E16" s="82">
        <f>+'הוצאות '!I121+'הוצאות '!I125+'הוצאות '!I127+'הוצאות '!I130+'הוצאות '!I135+'הוצאות '!I143+'הוצאות '!I145</f>
        <v>84690000</v>
      </c>
      <c r="F16" s="83">
        <v>21</v>
      </c>
      <c r="G16" s="84" t="s">
        <v>17</v>
      </c>
      <c r="H16" s="81">
        <f>'הכנסות '!I16</f>
        <v>500000</v>
      </c>
      <c r="I16" s="81">
        <f>J16-H16</f>
        <v>1200000</v>
      </c>
      <c r="J16" s="82">
        <f>+'הכנסות '!I17</f>
        <v>1700000</v>
      </c>
    </row>
    <row r="17" spans="1:10">
      <c r="A17" s="79">
        <v>72</v>
      </c>
      <c r="B17" s="80" t="s">
        <v>22</v>
      </c>
      <c r="C17" s="85">
        <f>+'הוצאות '!I146+'הוצאות '!I155+'הוצאות '!I160+'הוצאות '!I162</f>
        <v>5691000</v>
      </c>
      <c r="D17" s="85">
        <f t="shared" ref="D17:D24" si="1">+E17-C17</f>
        <v>1531000</v>
      </c>
      <c r="E17" s="86">
        <f>+'הוצאות '!I150+'הוצאות '!I154+'הוצאות '!I159+'הוצאות '!I161+'הוצאות '!I166</f>
        <v>7222000</v>
      </c>
      <c r="F17" s="79">
        <v>22</v>
      </c>
      <c r="G17" s="80" t="s">
        <v>22</v>
      </c>
      <c r="H17" s="85">
        <f>'הכנסות '!I19+'הכנסות '!I20</f>
        <v>4992000</v>
      </c>
      <c r="I17" s="85">
        <f t="shared" ref="I17:I24" si="2">J17-H17</f>
        <v>7090000</v>
      </c>
      <c r="J17" s="86">
        <f>+'הכנסות '!I22</f>
        <v>12082000</v>
      </c>
    </row>
    <row r="18" spans="1:10">
      <c r="A18" s="83">
        <v>73</v>
      </c>
      <c r="B18" s="84" t="s">
        <v>1356</v>
      </c>
      <c r="C18" s="81">
        <f>+'הוצאות '!I167+'הוצאות '!I176+'הוצאות '!I180+'הוצאות '!I183+'הוצאות '!I188</f>
        <v>15614000</v>
      </c>
      <c r="D18" s="81">
        <f t="shared" si="1"/>
        <v>4919813.1999999993</v>
      </c>
      <c r="E18" s="82">
        <f>+'הוצאות '!I175+'הוצאות '!I179+'הוצאות '!I182+'הוצאות '!I187+'הוצאות '!I190</f>
        <v>20533813.199999999</v>
      </c>
      <c r="F18" s="83">
        <v>23</v>
      </c>
      <c r="G18" s="84" t="s">
        <v>1356</v>
      </c>
      <c r="H18" s="81">
        <v>0</v>
      </c>
      <c r="I18" s="81">
        <f t="shared" si="2"/>
        <v>6700000</v>
      </c>
      <c r="J18" s="82">
        <f>+'הכנסות '!I25</f>
        <v>6700000</v>
      </c>
    </row>
    <row r="19" spans="1:10">
      <c r="A19" s="79">
        <v>74</v>
      </c>
      <c r="B19" s="80" t="s">
        <v>31</v>
      </c>
      <c r="C19" s="85">
        <f>+'הוצאות '!I191+'הוצאות '!I196+'הוצאות '!I204+'הוצאות '!I207+'הוצאות '!I218+'הוצאות '!I227</f>
        <v>19673000</v>
      </c>
      <c r="D19" s="85">
        <f>+E19-C19</f>
        <v>27422000</v>
      </c>
      <c r="E19" s="86">
        <f>+'הוצאות '!I195+'הוצאות '!I203+'הוצאות '!I206+'הוצאות '!I217+'הוצאות '!I226+'הוצאות '!I238</f>
        <v>47095000</v>
      </c>
      <c r="F19" s="79">
        <v>24</v>
      </c>
      <c r="G19" s="80" t="s">
        <v>31</v>
      </c>
      <c r="H19" s="85">
        <f>+'הכנסות '!I27+'הכנסות '!I28</f>
        <v>560000</v>
      </c>
      <c r="I19" s="85">
        <f t="shared" si="2"/>
        <v>50000</v>
      </c>
      <c r="J19" s="86">
        <f>+'הכנסות '!I29</f>
        <v>610000</v>
      </c>
    </row>
    <row r="20" spans="1:10">
      <c r="A20" s="83">
        <v>75</v>
      </c>
      <c r="B20" s="84" t="s">
        <v>1357</v>
      </c>
      <c r="C20" s="81">
        <f>+'הוצאות '!I239+'הוצאות '!I240</f>
        <v>8649000</v>
      </c>
      <c r="D20" s="81">
        <f t="shared" si="1"/>
        <v>2602000</v>
      </c>
      <c r="E20" s="82">
        <f>+'הוצאות '!I246</f>
        <v>11251000</v>
      </c>
      <c r="F20" s="83">
        <v>25</v>
      </c>
      <c r="G20" s="84" t="s">
        <v>1358</v>
      </c>
      <c r="H20" s="81">
        <v>0</v>
      </c>
      <c r="I20" s="81">
        <f t="shared" si="2"/>
        <v>0</v>
      </c>
      <c r="J20" s="82">
        <v>0</v>
      </c>
    </row>
    <row r="21" spans="1:10">
      <c r="A21" s="79">
        <v>76</v>
      </c>
      <c r="B21" s="80" t="s">
        <v>1359</v>
      </c>
      <c r="C21" s="85">
        <f>+'הוצאות '!I247+'הוצאות '!I252+'הוצאות '!I262</f>
        <v>2770000</v>
      </c>
      <c r="D21" s="85">
        <f>+E21-C21+0.4</f>
        <v>9474000.4000000004</v>
      </c>
      <c r="E21" s="86">
        <f>+'הוצאות '!I251+'הוצאות '!I255+'הוצאות '!I261+'הוצאות '!I264</f>
        <v>12244000</v>
      </c>
      <c r="F21" s="79">
        <v>26</v>
      </c>
      <c r="G21" s="80" t="s">
        <v>1359</v>
      </c>
      <c r="H21" s="85">
        <v>0</v>
      </c>
      <c r="I21" s="85">
        <v>0</v>
      </c>
      <c r="J21" s="86">
        <v>0</v>
      </c>
    </row>
    <row r="22" spans="1:10">
      <c r="A22" s="83">
        <v>77</v>
      </c>
      <c r="B22" s="84" t="s">
        <v>1360</v>
      </c>
      <c r="C22" s="81">
        <f>+'הוצאות '!I270</f>
        <v>1402000</v>
      </c>
      <c r="D22" s="81">
        <f t="shared" si="1"/>
        <v>1865000</v>
      </c>
      <c r="E22" s="82">
        <f>+'הוצאות '!I269+'הוצאות '!I273</f>
        <v>3267000</v>
      </c>
      <c r="F22" s="83">
        <v>27</v>
      </c>
      <c r="G22" s="84" t="s">
        <v>1361</v>
      </c>
      <c r="H22" s="81">
        <v>0</v>
      </c>
      <c r="I22" s="81">
        <f t="shared" si="2"/>
        <v>0</v>
      </c>
      <c r="J22" s="82">
        <v>0</v>
      </c>
    </row>
    <row r="23" spans="1:10">
      <c r="A23" s="79">
        <v>78</v>
      </c>
      <c r="B23" s="80" t="s">
        <v>36</v>
      </c>
      <c r="C23" s="85">
        <f>+'הוצאות '!I274+'הוצאות '!I281+'הוצאות '!I288+'הוצאות '!I294+'הוצאות '!I297</f>
        <v>9947000</v>
      </c>
      <c r="D23" s="85">
        <f t="shared" si="1"/>
        <v>4731000</v>
      </c>
      <c r="E23" s="86">
        <f>+'הוצאות '!I280+'הוצאות '!I287+'הוצאות '!I293+'הוצאות '!I296+'הוצאות '!I301</f>
        <v>14678000</v>
      </c>
      <c r="F23" s="79">
        <v>28</v>
      </c>
      <c r="G23" s="80" t="s">
        <v>36</v>
      </c>
      <c r="H23" s="85">
        <v>0</v>
      </c>
      <c r="I23" s="85">
        <f t="shared" si="2"/>
        <v>11380000</v>
      </c>
      <c r="J23" s="86">
        <f>+'הכנסות '!I36</f>
        <v>11380000</v>
      </c>
    </row>
    <row r="24" spans="1:10">
      <c r="A24" s="83">
        <v>79</v>
      </c>
      <c r="B24" s="84" t="s">
        <v>1362</v>
      </c>
      <c r="C24" s="81">
        <f>+'הוצאות '!I313</f>
        <v>396000</v>
      </c>
      <c r="D24" s="81">
        <f t="shared" si="1"/>
        <v>87000</v>
      </c>
      <c r="E24" s="82">
        <f>+'הוצאות '!I317</f>
        <v>483000</v>
      </c>
      <c r="F24" s="83">
        <v>29</v>
      </c>
      <c r="G24" s="84" t="s">
        <v>44</v>
      </c>
      <c r="H24" s="81">
        <v>0</v>
      </c>
      <c r="I24" s="81">
        <f t="shared" si="2"/>
        <v>80000</v>
      </c>
      <c r="J24" s="82">
        <f>+'הכנסות '!I38</f>
        <v>80000</v>
      </c>
    </row>
    <row r="25" spans="1:10">
      <c r="A25" s="79" t="s">
        <v>1363</v>
      </c>
      <c r="B25" s="80"/>
      <c r="C25" s="81">
        <f>SUM(C16:C24)</f>
        <v>74612000</v>
      </c>
      <c r="D25" s="81">
        <f>SUM(D16:D24)</f>
        <v>126851813.60000001</v>
      </c>
      <c r="E25" s="82">
        <f>SUM(E16:E24)</f>
        <v>201463813.19999999</v>
      </c>
      <c r="F25" s="79" t="s">
        <v>1364</v>
      </c>
      <c r="G25" s="80"/>
      <c r="H25" s="81">
        <f>SUM(H16:H24)</f>
        <v>6052000</v>
      </c>
      <c r="I25" s="81">
        <f>SUM(I16:I24)</f>
        <v>26500000</v>
      </c>
      <c r="J25" s="82">
        <f>SUM(J16:J24)</f>
        <v>32552000</v>
      </c>
    </row>
    <row r="26" spans="1:10">
      <c r="A26" s="1099" t="s">
        <v>1365</v>
      </c>
      <c r="B26" s="1100"/>
      <c r="C26" s="1100"/>
      <c r="D26" s="1100"/>
      <c r="E26" s="1101"/>
      <c r="F26" s="1099" t="s">
        <v>1366</v>
      </c>
      <c r="G26" s="1100"/>
      <c r="H26" s="1100"/>
      <c r="I26" s="1100"/>
      <c r="J26" s="1101"/>
    </row>
    <row r="27" spans="1:10">
      <c r="A27" s="79"/>
      <c r="B27" s="87"/>
      <c r="C27" s="81"/>
      <c r="D27" s="81"/>
      <c r="E27" s="82"/>
      <c r="F27" s="79"/>
      <c r="G27" s="87"/>
      <c r="H27" s="81"/>
      <c r="I27" s="81"/>
      <c r="J27" s="82"/>
    </row>
    <row r="28" spans="1:10">
      <c r="A28" s="83">
        <v>80</v>
      </c>
      <c r="B28" s="84" t="s">
        <v>1391</v>
      </c>
      <c r="C28" s="81">
        <v>0</v>
      </c>
      <c r="D28" s="81">
        <v>0</v>
      </c>
      <c r="E28" s="82">
        <v>0</v>
      </c>
      <c r="F28" s="83">
        <v>30</v>
      </c>
      <c r="G28" s="84" t="s">
        <v>1391</v>
      </c>
      <c r="H28" s="81">
        <v>0</v>
      </c>
      <c r="I28" s="81">
        <f>J28-H28</f>
        <v>0</v>
      </c>
      <c r="J28" s="82">
        <f>+'הכנסות '!I40</f>
        <v>0</v>
      </c>
    </row>
    <row r="29" spans="1:10">
      <c r="A29" s="79">
        <v>81</v>
      </c>
      <c r="B29" s="80" t="s">
        <v>914</v>
      </c>
      <c r="C29" s="85">
        <f>+'הוצאות '!I318+'הוצאות '!I332+'הוצאות '!I333+'הוצאות '!I335+'הוצאות '!I345+'הוצאות '!I352+'הוצאות '!I354+'הוצאות '!I355+'הוצאות '!I366+'הוצאות '!I371+'הוצאות '!I378+'הוצאות '!I381+'הוצאות '!I389+'הוצאות '!I397+'הוצאות '!I403+'הוצאות '!I408</f>
        <v>126798000</v>
      </c>
      <c r="D29" s="85">
        <f>+E29-C29</f>
        <v>113528000</v>
      </c>
      <c r="E29" s="86">
        <f>+'הוצאות '!I331+'הוצאות '!I344+'הוצאות '!I353+'הוצאות '!I365+'הוצאות '!I370+'הוצאות '!I375+'הוצאות '!I377+'הוצאות '!I380+'הוצאות '!I384+'הוצאות '!I388+'הוצאות '!I393++'הוצאות '!I396+'הוצאות '!I402+'הוצאות '!I409+'הוצאות '!I412+'הוצאות '!I414+'הוצאות '!I417</f>
        <v>240326000</v>
      </c>
      <c r="F29" s="79">
        <v>31</v>
      </c>
      <c r="G29" s="80" t="s">
        <v>914</v>
      </c>
      <c r="H29" s="85">
        <f>'הכנסות '!I42+'הכנסות '!I44+'הכנסות '!I45+'הכנסות '!I47+'הכנסות '!I48+'הכנסות '!I49+'הכנסות '!I55+'הכנסות '!I56+'הכנסות '!I57+'הכנסות '!I58+'הכנסות '!I59+'הכנסות '!I60+'הכנסות '!I61+'הכנסות '!I62+'הכנסות '!I63+'הכנסות '!I64+'הכנסות '!I66+'הכנסות '!I67+'הכנסות '!I68+'הכנסות '!I69+'הכנסות '!I70+'הכנסות '!I72+'הכנסות '!I73+'הכנסות '!I75+'הכנסות '!I77+'הכנסות '!I78+'הכנסות '!I80+'הכנסות '!I81+'הכנסות '!I82+'הכנסות '!I83+'הכנסות '!I84+'הכנסות '!I86+'הכנסות '!I87+'הכנסות '!I88+'הכנסות '!I90+'הכנסות '!I91+'הכנסות '!I92</f>
        <v>132803840</v>
      </c>
      <c r="I29" s="85">
        <f>+J29-H29</f>
        <v>10088000</v>
      </c>
      <c r="J29" s="86">
        <f>+'הכנסות '!I51+'הכנסות '!I74+'הכנסות '!I76+'הכנסות '!I93</f>
        <v>142891840</v>
      </c>
    </row>
    <row r="30" spans="1:10">
      <c r="A30" s="83">
        <v>82</v>
      </c>
      <c r="B30" s="84" t="s">
        <v>1367</v>
      </c>
      <c r="C30" s="81">
        <f>'הוצאות '!I420+'הוצאות '!I428+'הוצאות '!I438+'הוצאות '!I460+'הוצאות '!I468+'הוצאות '!I473+'הוצאות '!I479+'הוצאות '!I481+'הוצאות '!I485+'הוצאות '!I489</f>
        <v>11065000</v>
      </c>
      <c r="D30" s="81">
        <f t="shared" ref="D30:D35" si="3">+E30-C30</f>
        <v>31157000</v>
      </c>
      <c r="E30" s="82">
        <f>+'הוצאות '!I419+'הוצאות '!I427+'הוצאות '!I433+'הוצאות '!I437+'הוצאות '!I442+'הוצאות '!I449+'הוצאות '!I455+'הוצאות '!I457+'הוצאות '!I459+'הוצאות '!I467+'הוצאות '!I472+'הוצאות '!I478+'הוצאות '!I480+'הוצאות '!I484+'הוצאות '!I488+'הוצאות '!I498</f>
        <v>42222000</v>
      </c>
      <c r="F30" s="83">
        <v>32</v>
      </c>
      <c r="G30" s="84" t="s">
        <v>1367</v>
      </c>
      <c r="H30" s="81">
        <f>+'הכנסות '!I94+'הכנסות '!I96+'הכנסות '!I97+'הכנסות '!I101+'הכנסות '!I106+'הכנסות '!I107+'הכנסות '!I108+'הכנסות '!I111</f>
        <v>3077000</v>
      </c>
      <c r="I30" s="81">
        <f>J30-H30</f>
        <v>3512000</v>
      </c>
      <c r="J30" s="82">
        <f>+'הכנסות '!I112</f>
        <v>6589000</v>
      </c>
    </row>
    <row r="31" spans="1:10">
      <c r="A31" s="79">
        <v>83</v>
      </c>
      <c r="B31" s="80" t="s">
        <v>1368</v>
      </c>
      <c r="C31" s="85"/>
      <c r="D31" s="85">
        <f t="shared" si="3"/>
        <v>222000</v>
      </c>
      <c r="E31" s="86">
        <f>+'הוצאות '!I500+'הוצאות '!I502</f>
        <v>222000</v>
      </c>
      <c r="F31" s="79">
        <v>33</v>
      </c>
      <c r="G31" s="80" t="s">
        <v>1368</v>
      </c>
      <c r="H31" s="85">
        <v>0</v>
      </c>
      <c r="I31" s="85">
        <f>J31-H31</f>
        <v>0</v>
      </c>
      <c r="J31" s="86">
        <v>0</v>
      </c>
    </row>
    <row r="32" spans="1:10">
      <c r="A32" s="83">
        <v>84</v>
      </c>
      <c r="B32" s="84" t="s">
        <v>918</v>
      </c>
      <c r="C32" s="81">
        <f>'הוצאות '!I503+'הוצאות '!I513+'הוצאות '!I514+'הוצאות '!I520+'הוצאות '!I521+'הוצאות '!I525+'הוצאות '!I526+'הוצאות '!I530+'הוצאות '!I531+'הוצאות '!I536+'הוצאות '!I537+'הוצאות '!I539+'הוצאות '!I543+'הוצאות '!I576+'הוצאות '!I586+'הוצאות '!I595+'הוצאות '!I602+'הוצאות '!I609+'הוצאות '!I612+'הוצאות '!I618+'הוצאות '!I620+'הוצאות '!I621+'הוצאות '!I626+'הוצאות '!I630+'הוצאות '!I631+'הוצאות '!I632+'הוצאות '!I633+'הוצאות '!I635+'הוצאות '!I637+'הוצאות '!I639+'הוצאות '!I642</f>
        <v>37031000</v>
      </c>
      <c r="D32" s="81">
        <f t="shared" si="3"/>
        <v>105467000</v>
      </c>
      <c r="E32" s="82">
        <f>'הוצאות '!I512+'הוצאות '!I529+'הוצאות '!I547+'הוצאות '!I562+'הוצאות '!I585+'הוצאות '!I611+'הוצאות '!I646+'הוצאות '!I650+'הוצאות '!I653+'הוצאות '!I657</f>
        <v>142498000</v>
      </c>
      <c r="F32" s="83">
        <v>34</v>
      </c>
      <c r="G32" s="84" t="s">
        <v>918</v>
      </c>
      <c r="H32" s="81">
        <f>+J32-I32</f>
        <v>101523999.97845308</v>
      </c>
      <c r="I32" s="81">
        <f>'הכנסות '!I113+'הכנסות '!I118+'הכנסות '!I133+'הכנסות '!I142+'הכנסות '!I173</f>
        <v>2284000</v>
      </c>
      <c r="J32" s="82">
        <f>+'הכנסות '!I117+'הכנסות '!I128+'הכנסות '!I141+'הכנסות '!I157+'הכנסות '!I177+'הכנסות '!I200+'הכנסות '!I225+'הכנסות '!I229+'הכנסות '!I232+'הכנסות '!I236</f>
        <v>103807999.97845308</v>
      </c>
    </row>
    <row r="33" spans="1:10">
      <c r="A33" s="79">
        <v>85</v>
      </c>
      <c r="B33" s="80" t="s">
        <v>1369</v>
      </c>
      <c r="C33" s="85"/>
      <c r="D33" s="85">
        <f t="shared" si="3"/>
        <v>5000000</v>
      </c>
      <c r="E33" s="86">
        <f>+'הוצאות '!I659</f>
        <v>5000000</v>
      </c>
      <c r="F33" s="79">
        <v>35</v>
      </c>
      <c r="G33" s="80" t="s">
        <v>1369</v>
      </c>
      <c r="H33" s="85">
        <v>0</v>
      </c>
      <c r="I33" s="85">
        <f>J33-H33</f>
        <v>0</v>
      </c>
      <c r="J33" s="86">
        <v>0</v>
      </c>
    </row>
    <row r="34" spans="1:10">
      <c r="A34" s="83">
        <v>86</v>
      </c>
      <c r="B34" s="84" t="s">
        <v>1370</v>
      </c>
      <c r="C34" s="81">
        <f>+'הוצאות '!I660</f>
        <v>1209000</v>
      </c>
      <c r="D34" s="81">
        <f t="shared" si="3"/>
        <v>881000</v>
      </c>
      <c r="E34" s="82">
        <f>+'הוצאות '!I669</f>
        <v>2090000</v>
      </c>
      <c r="F34" s="83">
        <v>36</v>
      </c>
      <c r="G34" s="84" t="s">
        <v>1370</v>
      </c>
      <c r="H34" s="81">
        <f>+'הכנסות '!I238</f>
        <v>941000</v>
      </c>
      <c r="I34" s="81">
        <f>J34-H34</f>
        <v>40000</v>
      </c>
      <c r="J34" s="82">
        <f>+'הכנסות '!I239</f>
        <v>981000</v>
      </c>
    </row>
    <row r="35" spans="1:10">
      <c r="A35" s="79">
        <v>87</v>
      </c>
      <c r="B35" s="80" t="s">
        <v>229</v>
      </c>
      <c r="C35" s="81">
        <f>+'הוצאות '!I670</f>
        <v>736000</v>
      </c>
      <c r="D35" s="81">
        <f t="shared" si="3"/>
        <v>240000</v>
      </c>
      <c r="E35" s="82">
        <f>+'הוצאות '!I674</f>
        <v>976000</v>
      </c>
      <c r="F35" s="79">
        <v>37</v>
      </c>
      <c r="G35" s="80" t="s">
        <v>229</v>
      </c>
      <c r="H35" s="81">
        <v>0</v>
      </c>
      <c r="I35" s="81">
        <f>J35-H35</f>
        <v>400000</v>
      </c>
      <c r="J35" s="82">
        <f>+'הכנסות '!I241</f>
        <v>400000</v>
      </c>
    </row>
    <row r="36" spans="1:10">
      <c r="A36" s="79" t="s">
        <v>1371</v>
      </c>
      <c r="B36" s="80"/>
      <c r="C36" s="81">
        <f>SUM(C28:C35)</f>
        <v>176839000</v>
      </c>
      <c r="D36" s="81">
        <f>SUM(D28:D35)</f>
        <v>256495000</v>
      </c>
      <c r="E36" s="82">
        <f>SUM(E28:E35)</f>
        <v>433334000</v>
      </c>
      <c r="F36" s="79" t="s">
        <v>1372</v>
      </c>
      <c r="G36" s="80"/>
      <c r="H36" s="81">
        <f>SUM(H28:H35)</f>
        <v>238345839.9784531</v>
      </c>
      <c r="I36" s="81">
        <f>SUM(I28:I35)</f>
        <v>16324000</v>
      </c>
      <c r="J36" s="82">
        <f>SUM(J28:J35)</f>
        <v>254669839.9784531</v>
      </c>
    </row>
    <row r="37" spans="1:10">
      <c r="A37" s="1099" t="s">
        <v>1373</v>
      </c>
      <c r="B37" s="1100"/>
      <c r="C37" s="1100"/>
      <c r="D37" s="1100"/>
      <c r="E37" s="1101"/>
      <c r="F37" s="1099" t="s">
        <v>1374</v>
      </c>
      <c r="G37" s="1100"/>
      <c r="H37" s="1100"/>
      <c r="I37" s="1100"/>
      <c r="J37" s="1101"/>
    </row>
    <row r="38" spans="1:10">
      <c r="A38" s="79"/>
      <c r="B38" s="87"/>
      <c r="C38" s="81"/>
      <c r="D38" s="81"/>
      <c r="E38" s="82"/>
      <c r="F38" s="79"/>
      <c r="G38" s="87"/>
      <c r="H38" s="81"/>
      <c r="I38" s="81"/>
      <c r="J38" s="82"/>
    </row>
    <row r="39" spans="1:10">
      <c r="A39" s="79">
        <v>91</v>
      </c>
      <c r="B39" s="80" t="s">
        <v>462</v>
      </c>
      <c r="C39" s="85"/>
      <c r="D39" s="85">
        <v>0</v>
      </c>
      <c r="E39" s="86"/>
      <c r="F39" s="79">
        <v>41</v>
      </c>
      <c r="G39" s="80" t="s">
        <v>462</v>
      </c>
      <c r="H39" s="85">
        <v>0</v>
      </c>
      <c r="I39" s="85">
        <f>+'הכנסות '!I242</f>
        <v>10000</v>
      </c>
      <c r="J39" s="86">
        <f>+'הכנסות '!I243</f>
        <v>10000</v>
      </c>
    </row>
    <row r="40" spans="1:10">
      <c r="A40" s="83">
        <v>92</v>
      </c>
      <c r="B40" s="84" t="s">
        <v>1375</v>
      </c>
      <c r="C40" s="81"/>
      <c r="D40" s="81">
        <v>0</v>
      </c>
      <c r="E40" s="82"/>
      <c r="F40" s="83">
        <v>42</v>
      </c>
      <c r="G40" s="84" t="s">
        <v>1375</v>
      </c>
      <c r="H40" s="81">
        <v>0</v>
      </c>
      <c r="I40" s="81">
        <v>0</v>
      </c>
      <c r="J40" s="82">
        <f>+H40+I40</f>
        <v>0</v>
      </c>
    </row>
    <row r="41" spans="1:10">
      <c r="A41" s="79">
        <v>93</v>
      </c>
      <c r="B41" s="80" t="s">
        <v>1376</v>
      </c>
      <c r="C41" s="85"/>
      <c r="D41" s="85">
        <f>+E41-C41</f>
        <v>46187</v>
      </c>
      <c r="E41" s="86">
        <f>+'הוצאות '!I677</f>
        <v>46187</v>
      </c>
      <c r="F41" s="79">
        <v>43</v>
      </c>
      <c r="G41" s="80" t="s">
        <v>1376</v>
      </c>
      <c r="H41" s="85">
        <v>0</v>
      </c>
      <c r="I41" s="85">
        <f>+'הכנסות '!I244+'הכנסות '!I246</f>
        <v>1050000</v>
      </c>
      <c r="J41" s="86">
        <f>+'הכנסות '!I245+'הכנסות '!I247</f>
        <v>1050000</v>
      </c>
    </row>
    <row r="42" spans="1:10">
      <c r="A42" s="83">
        <v>94</v>
      </c>
      <c r="B42" s="84" t="s">
        <v>241</v>
      </c>
      <c r="C42" s="81">
        <f>+'הוצאות '!I678</f>
        <v>682000</v>
      </c>
      <c r="D42" s="81">
        <f>+E42-C42</f>
        <v>317000</v>
      </c>
      <c r="E42" s="82">
        <f>+'הוצאות '!I681</f>
        <v>999000</v>
      </c>
      <c r="F42" s="83">
        <v>44</v>
      </c>
      <c r="G42" s="84" t="s">
        <v>241</v>
      </c>
      <c r="H42" s="81">
        <v>0</v>
      </c>
      <c r="I42" s="81">
        <f>+'הכנסות '!I248</f>
        <v>7800000</v>
      </c>
      <c r="J42" s="82">
        <f>+'הכנסות '!I249</f>
        <v>7800000</v>
      </c>
    </row>
    <row r="43" spans="1:10">
      <c r="A43" s="75">
        <v>96</v>
      </c>
      <c r="B43" s="76" t="s">
        <v>3156</v>
      </c>
      <c r="C43" s="81"/>
      <c r="D43" s="81">
        <f>+E43-C43</f>
        <v>8370000</v>
      </c>
      <c r="E43" s="82">
        <f>+'הוצאות '!I682</f>
        <v>8370000</v>
      </c>
      <c r="F43" s="75"/>
      <c r="G43" s="76"/>
      <c r="H43" s="81"/>
      <c r="I43" s="81"/>
      <c r="J43" s="82"/>
    </row>
    <row r="44" spans="1:10">
      <c r="A44" s="79">
        <v>97</v>
      </c>
      <c r="B44" s="80" t="s">
        <v>244</v>
      </c>
      <c r="C44" s="81"/>
      <c r="D44" s="81" t="s">
        <v>4</v>
      </c>
      <c r="E44" s="82"/>
      <c r="F44" s="79">
        <v>47</v>
      </c>
      <c r="G44" s="80" t="s">
        <v>1377</v>
      </c>
      <c r="H44" s="81">
        <v>0</v>
      </c>
      <c r="I44" s="81">
        <f>+'הכנסות '!I250</f>
        <v>20000</v>
      </c>
      <c r="J44" s="82">
        <f>+'הכנסות '!I251</f>
        <v>20000</v>
      </c>
    </row>
    <row r="45" spans="1:10">
      <c r="A45" s="79" t="s">
        <v>1378</v>
      </c>
      <c r="B45" s="80"/>
      <c r="C45" s="81">
        <f>SUM(C39:C44)</f>
        <v>682000</v>
      </c>
      <c r="D45" s="81">
        <f>SUM(D39:D44)</f>
        <v>8733187</v>
      </c>
      <c r="E45" s="82">
        <f>SUM(E39:E44)</f>
        <v>9415187</v>
      </c>
      <c r="F45" s="79" t="s">
        <v>1379</v>
      </c>
      <c r="G45" s="80"/>
      <c r="H45" s="81">
        <f>SUM(H39:H44)</f>
        <v>0</v>
      </c>
      <c r="I45" s="81">
        <f>SUM(I39:I44)</f>
        <v>8880000</v>
      </c>
      <c r="J45" s="82">
        <f>SUM(J39:J44)</f>
        <v>8880000</v>
      </c>
    </row>
    <row r="46" spans="1:10">
      <c r="A46" s="1099" t="s">
        <v>1380</v>
      </c>
      <c r="B46" s="1100"/>
      <c r="C46" s="1100"/>
      <c r="D46" s="1100"/>
      <c r="E46" s="1101"/>
      <c r="F46" s="1099" t="s">
        <v>1381</v>
      </c>
      <c r="G46" s="1100"/>
      <c r="H46" s="1100"/>
      <c r="I46" s="1100"/>
      <c r="J46" s="1101"/>
    </row>
    <row r="47" spans="1:10">
      <c r="A47" s="79"/>
      <c r="B47" s="87"/>
      <c r="C47" s="81"/>
      <c r="D47" s="81"/>
      <c r="E47" s="82"/>
      <c r="F47" s="79"/>
      <c r="G47" s="87"/>
      <c r="H47" s="81"/>
      <c r="I47" s="81"/>
      <c r="J47" s="82"/>
    </row>
    <row r="48" spans="1:10">
      <c r="A48" s="79">
        <v>98</v>
      </c>
      <c r="B48" s="80" t="s">
        <v>1382</v>
      </c>
      <c r="C48" s="85">
        <f>+'הוצאות '!I684</f>
        <v>43200000.399999999</v>
      </c>
      <c r="D48" s="85">
        <f>+E48-C48</f>
        <v>-0.39999999850988388</v>
      </c>
      <c r="E48" s="86">
        <f>+'הוצאות '!I685-0.4</f>
        <v>43200000</v>
      </c>
      <c r="F48" s="79"/>
      <c r="G48" s="80" t="s">
        <v>1383</v>
      </c>
      <c r="H48" s="85">
        <v>0</v>
      </c>
      <c r="I48" s="85">
        <v>0</v>
      </c>
      <c r="J48" s="86">
        <f>+I48+H48</f>
        <v>0</v>
      </c>
    </row>
    <row r="49" spans="1:10">
      <c r="A49" s="83"/>
      <c r="B49" s="84" t="s">
        <v>9</v>
      </c>
      <c r="C49" s="81"/>
      <c r="D49" s="81">
        <f>+E49-C49</f>
        <v>63999999.5</v>
      </c>
      <c r="E49" s="82">
        <f>+'הוצאות '!I687</f>
        <v>63999999.5</v>
      </c>
      <c r="F49" s="83"/>
      <c r="G49" s="84" t="s">
        <v>1384</v>
      </c>
      <c r="H49" s="81">
        <v>0</v>
      </c>
      <c r="I49" s="81">
        <v>0</v>
      </c>
      <c r="J49" s="82">
        <f>+I49+H49</f>
        <v>0</v>
      </c>
    </row>
    <row r="50" spans="1:10">
      <c r="A50" s="79">
        <v>99</v>
      </c>
      <c r="B50" s="80" t="s">
        <v>1385</v>
      </c>
      <c r="C50" s="81"/>
      <c r="D50" s="81">
        <f>+E50-C50</f>
        <v>250000.4</v>
      </c>
      <c r="E50" s="82">
        <f>+'הוצאות '!I689</f>
        <v>250000.4</v>
      </c>
      <c r="F50" s="79"/>
      <c r="G50" s="80" t="s">
        <v>1386</v>
      </c>
      <c r="H50" s="81">
        <f>+'הכנסות '!I262</f>
        <v>650000</v>
      </c>
      <c r="I50" s="81">
        <f>+'הכנסות '!I252+'הכנסות '!I253+'הכנסות '!I255+'הכנסות '!I256+'הכנסות '!I257+'הכנסות '!I258+'הכנסות '!I260+'הכנסות '!I259+'הכנסות '!I261</f>
        <v>40463160.399999999</v>
      </c>
      <c r="J50" s="82">
        <f>+'הכנסות '!I254+'הכנסות '!I263</f>
        <v>41113160.399999999</v>
      </c>
    </row>
    <row r="51" spans="1:10" ht="30.75" thickBot="1">
      <c r="A51" s="79" t="s">
        <v>1387</v>
      </c>
      <c r="B51" s="80"/>
      <c r="C51" s="81">
        <f>SUM(C48:C50)</f>
        <v>43200000.399999999</v>
      </c>
      <c r="D51" s="81">
        <f>SUM(D48:D50)</f>
        <v>64249999.5</v>
      </c>
      <c r="E51" s="82">
        <f>SUM(E48:E50)</f>
        <v>107449999.90000001</v>
      </c>
      <c r="F51" s="79" t="s">
        <v>1388</v>
      </c>
      <c r="G51" s="80"/>
      <c r="H51" s="81">
        <f>SUM(H48:H50)</f>
        <v>650000</v>
      </c>
      <c r="I51" s="81">
        <f>SUM(I48:I50)</f>
        <v>40463160.399999999</v>
      </c>
      <c r="J51" s="82">
        <f>SUM(J48:J50)</f>
        <v>41113160.399999999</v>
      </c>
    </row>
    <row r="52" spans="1:10">
      <c r="A52" s="146" t="s">
        <v>1389</v>
      </c>
      <c r="B52" s="146"/>
      <c r="C52" s="146">
        <f>+C13+C25+C36+C45+C51</f>
        <v>325778000.39999998</v>
      </c>
      <c r="D52" s="147">
        <f>+D13+D25+D36+D45+D51</f>
        <v>512281998.41000003</v>
      </c>
      <c r="E52" s="147">
        <f>+E13+E25+E36+E45+E51+2</f>
        <v>838060000.40999997</v>
      </c>
      <c r="F52" s="146" t="s">
        <v>1390</v>
      </c>
      <c r="G52" s="146"/>
      <c r="H52" s="146">
        <f>+H13+H25+H36+H45+H51</f>
        <v>245047839.9784531</v>
      </c>
      <c r="I52" s="147">
        <f>+I13+I25+I36+I45+I51</f>
        <v>593012160.39999998</v>
      </c>
      <c r="J52" s="147">
        <f>+J51+J45+J36+J25+J13</f>
        <v>838060000.37845302</v>
      </c>
    </row>
    <row r="53" spans="1:10">
      <c r="E53" s="121" t="s">
        <v>4</v>
      </c>
      <c r="H53" s="72" t="s">
        <v>4</v>
      </c>
      <c r="J53" s="73"/>
    </row>
    <row r="54" spans="1:10">
      <c r="C54" s="73"/>
      <c r="E54" s="73"/>
      <c r="F54" s="73"/>
      <c r="J54" s="73">
        <f>J52-'הכנסות '!I265</f>
        <v>0.49999988079071045</v>
      </c>
    </row>
    <row r="55" spans="1:10">
      <c r="E55" s="73"/>
      <c r="J55" s="73"/>
    </row>
    <row r="56" spans="1:10">
      <c r="E56" s="73"/>
    </row>
    <row r="57" spans="1:10">
      <c r="E57" s="73"/>
    </row>
  </sheetData>
  <mergeCells count="13">
    <mergeCell ref="A1:J1"/>
    <mergeCell ref="A3:E3"/>
    <mergeCell ref="F3:J3"/>
    <mergeCell ref="A5:E5"/>
    <mergeCell ref="F5:J5"/>
    <mergeCell ref="A46:E46"/>
    <mergeCell ref="F46:J46"/>
    <mergeCell ref="A14:E14"/>
    <mergeCell ref="F14:J14"/>
    <mergeCell ref="A26:E26"/>
    <mergeCell ref="F26:J26"/>
    <mergeCell ref="A37:E37"/>
    <mergeCell ref="F37:J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1" firstPageNumber="4" orientation="landscape" useFirstPageNumber="1" r:id="rId1"/>
  <headerFooter>
    <oddFooter>&amp;L&amp;18&amp;P&amp;C&amp;18לאישור מועצת העיר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G216"/>
  <sheetViews>
    <sheetView rightToLeft="1" view="pageBreakPreview" zoomScale="115" zoomScaleNormal="110" zoomScaleSheetLayoutView="115" workbookViewId="0">
      <selection activeCell="E10" sqref="E10"/>
    </sheetView>
  </sheetViews>
  <sheetFormatPr defaultColWidth="9" defaultRowHeight="14.25"/>
  <cols>
    <col min="1" max="1" width="20.25" style="28" bestFit="1" customWidth="1"/>
    <col min="2" max="2" width="7.75" style="39" bestFit="1" customWidth="1"/>
    <col min="3" max="3" width="19" style="28" customWidth="1"/>
    <col min="4" max="4" width="18.625" style="28" customWidth="1"/>
    <col min="5" max="5" width="17.875" style="28" bestFit="1" customWidth="1"/>
    <col min="6" max="6" width="10.375" style="958" bestFit="1" customWidth="1"/>
    <col min="7" max="7" width="12.5" style="28" bestFit="1" customWidth="1"/>
    <col min="8" max="16384" width="9" style="28"/>
  </cols>
  <sheetData>
    <row r="1" spans="1:7" ht="27.75" customHeight="1">
      <c r="A1" s="1098" t="s">
        <v>1393</v>
      </c>
      <c r="B1" s="1098"/>
      <c r="C1" s="1098"/>
      <c r="D1" s="1098"/>
      <c r="E1" s="1098"/>
    </row>
    <row r="4" spans="1:7" ht="108.75">
      <c r="A4" s="148" t="s">
        <v>1394</v>
      </c>
      <c r="B4" s="149" t="s">
        <v>2</v>
      </c>
      <c r="C4" s="150" t="s">
        <v>2185</v>
      </c>
      <c r="D4" s="150" t="s">
        <v>3562</v>
      </c>
      <c r="E4" s="151" t="s">
        <v>3563</v>
      </c>
      <c r="F4" s="1092" t="s">
        <v>3996</v>
      </c>
      <c r="G4" s="1096" t="s">
        <v>3997</v>
      </c>
    </row>
    <row r="5" spans="1:7" ht="20.25">
      <c r="A5" s="51" t="s">
        <v>1395</v>
      </c>
      <c r="B5" s="50" t="s">
        <v>1338</v>
      </c>
      <c r="C5" s="52">
        <f>+'הוצאות '!G3+'הוצאות '!G9+'הוצאות '!G28+'הוצאות '!G45+'הוצאות '!G67+'הוצאות '!G76+'הוצאות '!G83+'הוצאות '!G34</f>
        <v>14365000</v>
      </c>
      <c r="D5" s="52">
        <f>+'הוצאות '!H3+'הוצאות '!H9+'הוצאות '!H28+'הוצאות '!H45+'הוצאות '!H67+'הוצאות '!H76+'הוצאות '!H83+'הוצאות '!H34</f>
        <v>15053000</v>
      </c>
      <c r="E5" s="52">
        <f>+'הוצאות '!I3+'הוצאות '!I9+'הוצאות '!I28+'הוצאות '!I45+'הוצאות '!I67+'הוצאות '!I76+'הוצאות '!I83+'הוצאות '!I34</f>
        <v>15580000</v>
      </c>
      <c r="F5" s="1091"/>
      <c r="G5" s="1091"/>
    </row>
    <row r="6" spans="1:7" ht="20.25">
      <c r="A6" s="51"/>
      <c r="B6" s="50" t="s">
        <v>1396</v>
      </c>
      <c r="C6" s="52">
        <f>+C7-C5</f>
        <v>12705000</v>
      </c>
      <c r="D6" s="52">
        <f>+D7-D5</f>
        <v>12017000</v>
      </c>
      <c r="E6" s="52">
        <f>+E7-E5</f>
        <v>16803999.600000001</v>
      </c>
      <c r="F6" s="1091"/>
      <c r="G6" s="1091"/>
    </row>
    <row r="7" spans="1:7" ht="20.25">
      <c r="A7" s="158"/>
      <c r="B7" s="159" t="s">
        <v>888</v>
      </c>
      <c r="C7" s="160">
        <f>+'הוצאות '!G8+'הוצאות '!G27+'הוצאות '!G33+'הוצאות '!G44+'הוצאות '!G51+'הוצאות '!G75+'הוצאות '!G82+'הוצאות '!G85</f>
        <v>27070000</v>
      </c>
      <c r="D7" s="160">
        <f>+'הוצאות '!H8+'הוצאות '!H27+'הוצאות '!H33+'הוצאות '!H44+'הוצאות '!H51+'הוצאות '!H75+'הוצאות '!H82+'הוצאות '!H85</f>
        <v>27070000</v>
      </c>
      <c r="E7" s="160">
        <f>+'הוצאות '!I8+'הוצאות '!I27+'הוצאות '!I33+'הוצאות '!I44+'הוצאות '!I51+'הוצאות '!I75+'הוצאות '!I82+'הוצאות '!I85</f>
        <v>32383999.600000001</v>
      </c>
      <c r="F7" s="1091"/>
      <c r="G7" s="1091"/>
    </row>
    <row r="8" spans="1:7" ht="20.25">
      <c r="A8" s="51" t="s">
        <v>1397</v>
      </c>
      <c r="B8" s="50" t="s">
        <v>1338</v>
      </c>
      <c r="C8" s="52">
        <f>+'הוצאות '!G52+'הוצאות '!G61</f>
        <v>3382000</v>
      </c>
      <c r="D8" s="52">
        <f>+'הוצאות '!H52+'הוצאות '!H61</f>
        <v>3399000</v>
      </c>
      <c r="E8" s="52">
        <f>+'הוצאות '!I52+'הוצאות '!I61</f>
        <v>3593000</v>
      </c>
      <c r="F8" s="1091"/>
      <c r="G8" s="1091"/>
    </row>
    <row r="9" spans="1:7" ht="20.25">
      <c r="A9" s="51"/>
      <c r="B9" s="50" t="s">
        <v>1396</v>
      </c>
      <c r="C9" s="52">
        <f>+C10-C8</f>
        <v>3989000</v>
      </c>
      <c r="D9" s="52">
        <f>+D10-D8</f>
        <v>3945000</v>
      </c>
      <c r="E9" s="52">
        <f>+E10-E8</f>
        <v>1560000</v>
      </c>
      <c r="F9" s="1091"/>
      <c r="G9" s="1091"/>
    </row>
    <row r="10" spans="1:7" ht="20.25">
      <c r="A10" s="158"/>
      <c r="B10" s="159" t="s">
        <v>888</v>
      </c>
      <c r="C10" s="160">
        <f>+'הוצאות '!G62</f>
        <v>7371000</v>
      </c>
      <c r="D10" s="160">
        <f>+'הוצאות '!H62+'הוצאות '!H66</f>
        <v>7344000</v>
      </c>
      <c r="E10" s="160">
        <f>+'הוצאות '!I62</f>
        <v>5153000</v>
      </c>
      <c r="F10" s="1091"/>
      <c r="G10" s="1091"/>
    </row>
    <row r="11" spans="1:7" ht="20.25">
      <c r="A11" s="51" t="s">
        <v>3714</v>
      </c>
      <c r="B11" s="50" t="s">
        <v>1338</v>
      </c>
      <c r="C11" s="52">
        <f>+'הוצאות '!G63+'הוצאות '!G64</f>
        <v>518000</v>
      </c>
      <c r="D11" s="52">
        <f>+'הוצאות '!H63+'הוצאות '!H64</f>
        <v>67000</v>
      </c>
      <c r="E11" s="52">
        <f>+'הוצאות '!I63+'הוצאות '!I64+'הוצאות '!I247</f>
        <v>3618000</v>
      </c>
      <c r="F11" s="1091"/>
      <c r="G11" s="1091"/>
    </row>
    <row r="12" spans="1:7" ht="20.25">
      <c r="A12" s="51"/>
      <c r="B12" s="50" t="s">
        <v>1396</v>
      </c>
      <c r="C12" s="52">
        <f>C13-C11</f>
        <v>200000</v>
      </c>
      <c r="D12" s="52">
        <f>D13-D11</f>
        <v>0</v>
      </c>
      <c r="E12" s="52">
        <f>E13-E11</f>
        <v>497000</v>
      </c>
      <c r="F12" s="1091"/>
      <c r="G12" s="1091"/>
    </row>
    <row r="13" spans="1:7" ht="20.25">
      <c r="A13" s="158"/>
      <c r="B13" s="159" t="s">
        <v>888</v>
      </c>
      <c r="C13" s="160">
        <f>+'הוצאות '!G66</f>
        <v>718000</v>
      </c>
      <c r="D13" s="160">
        <f>+'הוצאות '!H66</f>
        <v>67000</v>
      </c>
      <c r="E13" s="160">
        <f>+'הוצאות '!I251+'הוצאות '!I66</f>
        <v>4115000</v>
      </c>
      <c r="F13" s="1091"/>
      <c r="G13" s="1091"/>
    </row>
    <row r="14" spans="1:7" ht="20.25">
      <c r="A14" s="51" t="s">
        <v>1049</v>
      </c>
      <c r="B14" s="50" t="s">
        <v>1338</v>
      </c>
      <c r="C14" s="52">
        <f>+'הוצאות '!G86+'הוצאות '!G92+'הוצאות '!G98+'הוצאות '!G227+'הוצאות '!G188</f>
        <v>12669000</v>
      </c>
      <c r="D14" s="52">
        <f>+'הוצאות '!H86+'הוצאות '!H92+'הוצאות '!H98+'הוצאות '!H227+'הוצאות '!H188</f>
        <v>12377000</v>
      </c>
      <c r="E14" s="52">
        <f>+'הוצאות '!I86+'הוצאות '!I92+'הוצאות '!I98+'הוצאות '!I227+'הוצאות '!I188</f>
        <v>13512000</v>
      </c>
      <c r="F14" s="1091"/>
      <c r="G14" s="1091"/>
    </row>
    <row r="15" spans="1:7" ht="20.25">
      <c r="A15" s="51"/>
      <c r="B15" s="50" t="s">
        <v>1396</v>
      </c>
      <c r="C15" s="52">
        <f>+C16-C14</f>
        <v>11653000.079999998</v>
      </c>
      <c r="D15" s="52">
        <f>+D16-D14</f>
        <v>11527000</v>
      </c>
      <c r="E15" s="52">
        <f>+E16-E14</f>
        <v>12759000</v>
      </c>
      <c r="F15" s="1091"/>
      <c r="G15" s="1091"/>
    </row>
    <row r="16" spans="1:7" ht="20.25">
      <c r="A16" s="158"/>
      <c r="B16" s="159" t="s">
        <v>888</v>
      </c>
      <c r="C16" s="160">
        <f>+'הוצאות '!G91+'הוצאות '!G97+'הוצאות '!G104+'הוצאות '!G190+'הוצאות '!G238</f>
        <v>24322000.079999998</v>
      </c>
      <c r="D16" s="160">
        <f>+'הוצאות '!H91+'הוצאות '!H97+'הוצאות '!H104+'הוצאות '!H190+'הוצאות '!H238</f>
        <v>23904000</v>
      </c>
      <c r="E16" s="160">
        <f>+'הוצאות '!I91+'הוצאות '!I97+'הוצאות '!I104+'הוצאות '!I190+'הוצאות '!I238</f>
        <v>26271000</v>
      </c>
      <c r="F16" s="1091"/>
      <c r="G16" s="1091"/>
    </row>
    <row r="17" spans="1:7" ht="20.25">
      <c r="A17" s="51" t="s">
        <v>899</v>
      </c>
      <c r="B17" s="50" t="s">
        <v>1338</v>
      </c>
      <c r="C17" s="52">
        <f>+'הוצאות '!G114+'הוצאות '!G122+'הוצאות '!G131+'הוצאות '!G136+'הוצאות '!G191+'הוצאות '!G196+'הוצאות '!G207+'הוצאות '!G270+'הוצאות '!G678</f>
        <v>18632000</v>
      </c>
      <c r="D17" s="52">
        <f>+'הוצאות '!H114+'הוצאות '!H122+'הוצאות '!H131+'הוצאות '!H136+'הוצאות '!H191+'הוצאות '!H196+'הוצאות '!H207+'הוצאות '!H270+'הוצאות '!H678</f>
        <v>17991000</v>
      </c>
      <c r="E17" s="52">
        <f>+'הוצאות '!I114+'הוצאות '!I122+'הוצאות '!I131+'הוצאות '!I136+'הוצאות '!I191+'הוצאות '!I196+'הוצאות '!I207+'הוצאות '!I270+'הוצאות '!I678</f>
        <v>19892000</v>
      </c>
      <c r="F17" s="1091"/>
      <c r="G17" s="1091"/>
    </row>
    <row r="18" spans="1:7" ht="20.25">
      <c r="A18" s="51"/>
      <c r="B18" s="50" t="s">
        <v>1396</v>
      </c>
      <c r="C18" s="52">
        <f>+C19-C17</f>
        <v>88111840</v>
      </c>
      <c r="D18" s="52">
        <f>+D19-D17</f>
        <v>94202000</v>
      </c>
      <c r="E18" s="52">
        <f>+E19-E17</f>
        <v>91223187</v>
      </c>
      <c r="F18" s="1091"/>
      <c r="G18" s="1091"/>
    </row>
    <row r="19" spans="1:7" ht="20.25">
      <c r="A19" s="158"/>
      <c r="B19" s="159" t="s">
        <v>888</v>
      </c>
      <c r="C19" s="160">
        <f>+'הוצאות '!G121+'הוצאות '!G125+'הוצאות '!G127+'הוצאות '!G130+'הוצאות '!G135+'הוצאות '!G143+'הוצאות '!G145+'הוצאות '!G195+'הוצאות '!G203+'הוצאות '!G217+'הוצאות '!G273+'הוצאות '!G681+'הוצאות '!G677</f>
        <v>106743840</v>
      </c>
      <c r="D19" s="160">
        <f>+'הוצאות '!H121+'הוצאות '!H125+'הוצאות '!H127+'הוצאות '!H130+'הוצאות '!H135+'הוצאות '!H143+'הוצאות '!H145+'הוצאות '!H195+'הוצאות '!H203+'הוצאות '!H217+'הוצאות '!H273+'הוצאות '!H681+'הוצאות '!H677</f>
        <v>112193000</v>
      </c>
      <c r="E19" s="160">
        <f>+'הוצאות '!I121+'הוצאות '!I125+'הוצאות '!I127+'הוצאות '!I130+'הוצאות '!I135+'הוצאות '!I143+'הוצאות '!I145+'הוצאות '!I195+'הוצאות '!I203+'הוצאות '!I217+'הוצאות '!I273+'הוצאות '!I681+'הוצאות '!I677</f>
        <v>111115187</v>
      </c>
      <c r="F19" s="1091"/>
      <c r="G19" s="1091"/>
    </row>
    <row r="20" spans="1:7" ht="20.25">
      <c r="A20" s="51" t="s">
        <v>1398</v>
      </c>
      <c r="B20" s="50" t="s">
        <v>1338</v>
      </c>
      <c r="C20" s="52">
        <f>+'הוצאות '!G146+'הוצאות '!G155+'הוצאות '!G160+'הוצאות '!G162+'הוצאות '!G274+'הוצאות '!G281+'הוצאות '!G294+'הוצאות '!G670+'הוצאות '!G297+'הוצאות '!G247</f>
        <v>14587000</v>
      </c>
      <c r="D20" s="52">
        <f>+'הוצאות '!H146+'הוצאות '!H155+'הוצאות '!H160+'הוצאות '!H162+'הוצאות '!H274+'הוצאות '!H281+'הוצאות '!H294+'הוצאות '!H670+'הוצאות '!H297+'הוצאות '!H247</f>
        <v>13808000</v>
      </c>
      <c r="E20" s="52">
        <f>+'הוצאות '!I146+'הוצאות '!I155+'הוצאות '!I160+'הוצאות '!I162+'הוצאות '!I274+'הוצאות '!I281+'הוצאות '!I294+'הוצאות '!I670+'הוצאות '!I297</f>
        <v>15719000</v>
      </c>
      <c r="F20" s="1091"/>
      <c r="G20" s="1091"/>
    </row>
    <row r="21" spans="1:7" ht="20.25">
      <c r="A21" s="51"/>
      <c r="B21" s="50" t="s">
        <v>1396</v>
      </c>
      <c r="C21" s="52">
        <f>+C22-C20</f>
        <v>6651000</v>
      </c>
      <c r="D21" s="52">
        <f>+D22-D20</f>
        <v>5541000</v>
      </c>
      <c r="E21" s="52">
        <f>+E22-E20</f>
        <v>6081000</v>
      </c>
      <c r="F21" s="1091"/>
      <c r="G21" s="1091"/>
    </row>
    <row r="22" spans="1:7" ht="20.25">
      <c r="A22" s="158"/>
      <c r="B22" s="159" t="s">
        <v>888</v>
      </c>
      <c r="C22" s="160">
        <f>+'הוצאות '!G674+'הוצאות '!G296+'הוצאות '!G287+'הוצאות '!G280+'הוצאות '!G251+'הוצאות '!G166+'הוצאות '!G161+'הוצאות '!G159+'הוצאות '!G154+'הוצאות '!G150</f>
        <v>21238000</v>
      </c>
      <c r="D22" s="160">
        <f>+'הוצאות '!H674+'הוצאות '!H296+'הוצאות '!H287+'הוצאות '!H280+'הוצאות '!H251+'הוצאות '!H166+'הוצאות '!H161+'הוצאות '!H159+'הוצאות '!H154+'הוצאות '!H150</f>
        <v>19349000</v>
      </c>
      <c r="E22" s="160">
        <f>+'הוצאות '!I674+'הוצאות '!I296+'הוצאות '!I287+'הוצאות '!I280+'הוצאות '!I166+'הוצאות '!I161+'הוצאות '!I159+'הוצאות '!I154+'הוצאות '!I150+'הוצאות '!I301</f>
        <v>21800000</v>
      </c>
      <c r="F22" s="1091"/>
      <c r="G22" s="1091"/>
    </row>
    <row r="23" spans="1:7" ht="20.25">
      <c r="A23" s="51" t="s">
        <v>1066</v>
      </c>
      <c r="B23" s="50" t="s">
        <v>1338</v>
      </c>
      <c r="C23" s="52">
        <f>+'הוצאות '!G167+'הוצאות '!G176+'הוצאות '!G180+'הוצאות '!G252+'הוצאות '!G183</f>
        <v>13818000</v>
      </c>
      <c r="D23" s="52">
        <f>+'הוצאות '!H167+'הוצאות '!H176+'הוצאות '!H180+'הוצאות '!H252+'הוצאות '!H183</f>
        <v>12726000</v>
      </c>
      <c r="E23" s="52">
        <f>+'הוצאות '!I167+'הוצאות '!I176+'הוצאות '!I180+'הוצאות '!I252+'הוצאות '!I183</f>
        <v>14538000</v>
      </c>
      <c r="F23" s="1091"/>
      <c r="G23" s="1091"/>
    </row>
    <row r="24" spans="1:7" ht="20.25">
      <c r="A24" s="51"/>
      <c r="B24" s="50" t="s">
        <v>1396</v>
      </c>
      <c r="C24" s="52">
        <f>+C25-C23</f>
        <v>4469000</v>
      </c>
      <c r="D24" s="52">
        <f>+D25-D23</f>
        <v>3137000</v>
      </c>
      <c r="E24" s="52">
        <f>+E25-E23</f>
        <v>4924813.1999999993</v>
      </c>
      <c r="F24" s="1091"/>
      <c r="G24" s="1091"/>
    </row>
    <row r="25" spans="1:7" ht="20.25">
      <c r="A25" s="158"/>
      <c r="B25" s="159" t="s">
        <v>888</v>
      </c>
      <c r="C25" s="160">
        <f>+'הוצאות '!G175+'הוצאות '!G179+'הוצאות '!G182+'הוצאות '!G187+'הוצאות '!G255</f>
        <v>18287000</v>
      </c>
      <c r="D25" s="160">
        <f>+'הוצאות '!H175+'הוצאות '!H179+'הוצאות '!H182+'הוצאות '!H187+'הוצאות '!H255</f>
        <v>15863000</v>
      </c>
      <c r="E25" s="160">
        <f>+'הוצאות '!I175+'הוצאות '!I179+'הוצאות '!I182+'הוצאות '!I187+'הוצאות '!I255</f>
        <v>19462813.199999999</v>
      </c>
      <c r="F25" s="1091"/>
      <c r="G25" s="1091"/>
    </row>
    <row r="26" spans="1:7" ht="20.25">
      <c r="A26" s="51" t="s">
        <v>471</v>
      </c>
      <c r="B26" s="50" t="s">
        <v>1338</v>
      </c>
      <c r="C26" s="52">
        <f>+'הוצאות '!G218</f>
        <v>9400000</v>
      </c>
      <c r="D26" s="52">
        <f>+'הוצאות '!H218</f>
        <v>9635000</v>
      </c>
      <c r="E26" s="52">
        <f>+'הוצאות '!I218</f>
        <v>9778000</v>
      </c>
      <c r="F26" s="1091"/>
      <c r="G26" s="1091"/>
    </row>
    <row r="27" spans="1:7" ht="20.25">
      <c r="A27" s="51"/>
      <c r="B27" s="50" t="s">
        <v>1396</v>
      </c>
      <c r="C27" s="52">
        <f>+C28-C26</f>
        <v>2637000</v>
      </c>
      <c r="D27" s="52">
        <f>+D28-D26</f>
        <v>2360000</v>
      </c>
      <c r="E27" s="52">
        <f>+E28-E26</f>
        <v>2587000</v>
      </c>
      <c r="F27" s="1091"/>
      <c r="G27" s="1091"/>
    </row>
    <row r="28" spans="1:7" ht="20.25">
      <c r="A28" s="158"/>
      <c r="B28" s="159" t="s">
        <v>888</v>
      </c>
      <c r="C28" s="160">
        <f>+'הוצאות '!G226</f>
        <v>12037000</v>
      </c>
      <c r="D28" s="160">
        <f>+'הוצאות '!H226</f>
        <v>11995000</v>
      </c>
      <c r="E28" s="160">
        <f>+'הוצאות '!I226</f>
        <v>12365000</v>
      </c>
      <c r="F28" s="1091"/>
      <c r="G28" s="1091"/>
    </row>
    <row r="29" spans="1:7" ht="20.25">
      <c r="A29" s="51" t="s">
        <v>491</v>
      </c>
      <c r="B29" s="50" t="s">
        <v>1338</v>
      </c>
      <c r="C29" s="52">
        <f>+'הוצאות '!G239+'הוצאות '!G240</f>
        <v>8001000</v>
      </c>
      <c r="D29" s="52">
        <f>+'הוצאות '!H239+'הוצאות '!H240</f>
        <v>7934000</v>
      </c>
      <c r="E29" s="52">
        <f>+'הוצאות '!I239+'הוצאות '!I240</f>
        <v>8649000</v>
      </c>
      <c r="F29" s="1091"/>
      <c r="G29" s="1091"/>
    </row>
    <row r="30" spans="1:7" ht="20.25">
      <c r="A30" s="51"/>
      <c r="B30" s="50" t="s">
        <v>1396</v>
      </c>
      <c r="C30" s="52">
        <f>+C31-C29</f>
        <v>2052000</v>
      </c>
      <c r="D30" s="52">
        <f>+D31-D29</f>
        <v>2544000</v>
      </c>
      <c r="E30" s="52">
        <f>+E31-E29</f>
        <v>2602000</v>
      </c>
      <c r="F30" s="1091"/>
      <c r="G30" s="1091"/>
    </row>
    <row r="31" spans="1:7" ht="20.25">
      <c r="A31" s="158"/>
      <c r="B31" s="159" t="s">
        <v>888</v>
      </c>
      <c r="C31" s="160">
        <f>+'הוצאות '!G246</f>
        <v>10053000</v>
      </c>
      <c r="D31" s="160">
        <f>+'הוצאות '!H246</f>
        <v>10478000</v>
      </c>
      <c r="E31" s="160">
        <f>+'הוצאות '!I246</f>
        <v>11251000</v>
      </c>
      <c r="F31" s="1091"/>
      <c r="G31" s="1091"/>
    </row>
    <row r="32" spans="1:7" ht="20.25">
      <c r="A32" s="51" t="s">
        <v>538</v>
      </c>
      <c r="B32" s="50" t="s">
        <v>1338</v>
      </c>
      <c r="C32" s="52">
        <f>+'הוצאות '!G302</f>
        <v>3621000</v>
      </c>
      <c r="D32" s="52">
        <f>+'הוצאות '!H302</f>
        <v>2780000</v>
      </c>
      <c r="E32" s="52">
        <v>0</v>
      </c>
      <c r="F32" s="1091"/>
      <c r="G32" s="1091"/>
    </row>
    <row r="33" spans="1:7" ht="20.25">
      <c r="A33" s="51"/>
      <c r="B33" s="50" t="s">
        <v>1396</v>
      </c>
      <c r="C33" s="52">
        <f>+C34-C32</f>
        <v>4041215</v>
      </c>
      <c r="D33" s="52">
        <f>+D34-D32</f>
        <v>2762000</v>
      </c>
      <c r="E33" s="52">
        <f>+E34-E32</f>
        <v>0</v>
      </c>
      <c r="F33" s="1091"/>
      <c r="G33" s="1091"/>
    </row>
    <row r="34" spans="1:7" ht="20.25">
      <c r="A34" s="158"/>
      <c r="B34" s="159" t="s">
        <v>888</v>
      </c>
      <c r="C34" s="160">
        <f>++'הוצאות '!G312</f>
        <v>7662215</v>
      </c>
      <c r="D34" s="160">
        <f>++'הוצאות '!H312</f>
        <v>5542000</v>
      </c>
      <c r="E34" s="160">
        <v>0</v>
      </c>
      <c r="F34" s="1091"/>
      <c r="G34" s="1091"/>
    </row>
    <row r="35" spans="1:7" ht="20.25">
      <c r="A35" s="51" t="s">
        <v>1399</v>
      </c>
      <c r="B35" s="50" t="s">
        <v>1338</v>
      </c>
      <c r="C35" s="52">
        <f>'הוצאות '!G204+'הוצאות '!G318+'הוצאות '!G332+'הוצאות '!G333+'הוצאות '!G335+'הוצאות '!G345+'הוצאות '!G352+'הוצאות '!G354+'הוצאות '!G355+'הוצאות '!G366+'הוצאות '!G371+'הוצאות '!G378+'הוצאות '!G381+'הוצאות '!G389+'הוצאות '!G397+'הוצאות '!G403+'הוצאות '!G408</f>
        <v>114148000</v>
      </c>
      <c r="D35" s="52">
        <f>'הוצאות '!H204+'הוצאות '!H318+'הוצאות '!H332+'הוצאות '!H333+'הוצאות '!H335+'הוצאות '!H345+'הוצאות '!H352+'הוצאות '!H354+'הוצאות '!H355+'הוצאות '!H366+'הוצאות '!H371+'הוצאות '!H378+'הוצאות '!H381+'הוצאות '!H389+'הוצאות '!H397+'הוצאות '!H403+'הוצאות '!H408</f>
        <v>114655000</v>
      </c>
      <c r="E35" s="52">
        <f>'הוצאות '!I204+'הוצאות '!I318+'הוצאות '!I332+'הוצאות '!I333+'הוצאות '!I335+'הוצאות '!I345+'הוצאות '!I352+'הוצאות '!I354+'הוצאות '!I355+'הוצאות '!I366+'הוצאות '!I371+'הוצאות '!I378+'הוצאות '!I381+'הוצאות '!I389+'הוצאות '!I397+'הוצאות '!I403+'הוצאות '!I408</f>
        <v>127168000</v>
      </c>
      <c r="F35" s="1091"/>
      <c r="G35" s="1091"/>
    </row>
    <row r="36" spans="1:7" ht="20.25">
      <c r="A36" s="51"/>
      <c r="B36" s="50" t="s">
        <v>1396</v>
      </c>
      <c r="C36" s="52">
        <f>+C37-C35</f>
        <v>107745000.08000001</v>
      </c>
      <c r="D36" s="52">
        <f>+D37-D35</f>
        <v>108596000</v>
      </c>
      <c r="E36" s="52">
        <f>+E37-E35</f>
        <v>113820000</v>
      </c>
      <c r="F36" s="1091"/>
      <c r="G36" s="1091"/>
    </row>
    <row r="37" spans="1:7" ht="20.25">
      <c r="A37" s="158"/>
      <c r="B37" s="159" t="s">
        <v>888</v>
      </c>
      <c r="C37" s="160">
        <f>+'הוצאות '!G206+'הוצאות '!G331+'הוצאות '!G344+'הוצאות '!G353+'הוצאות '!G365+'הוצאות '!G370+'הוצאות '!G375+'הוצאות '!G377+'הוצאות '!G380+'הוצאות '!G384+'הוצאות '!G388+'הוצאות '!G393+'הוצאות '!G396+'הוצאות '!G402+'הוצאות '!G409+'הוצאות '!G412+'הוצאות '!G414+'הוצאות '!G417</f>
        <v>221893000.08000001</v>
      </c>
      <c r="D37" s="160">
        <f>+'הוצאות '!H206+'הוצאות '!H331+'הוצאות '!H344+'הוצאות '!H353+'הוצאות '!H365+'הוצאות '!H370+'הוצאות '!H375+'הוצאות '!H377+'הוצאות '!H380+'הוצאות '!H384+'הוצאות '!H388+'הוצאות '!H393+'הוצאות '!H396+'הוצאות '!H402+'הוצאות '!H409+'הוצאות '!H412+'הוצאות '!H414+'הוצאות '!H417+'הוצאות '!H419</f>
        <v>223251000</v>
      </c>
      <c r="E37" s="160">
        <f>+'הוצאות '!I206+'הוצאות '!I331+'הוצאות '!I344+'הוצאות '!I353+'הוצאות '!I365+'הוצאות '!I370+'הוצאות '!I375+'הוצאות '!I377+'הוצאות '!I380+'הוצאות '!I384+'הוצאות '!I388+'הוצאות '!I393+'הוצאות '!I396+'הוצאות '!I402+'הוצאות '!I409+'הוצאות '!I412+'הוצאות '!I414+'הוצאות '!I417</f>
        <v>240988000</v>
      </c>
      <c r="F37" s="1091"/>
      <c r="G37" s="1091"/>
    </row>
    <row r="38" spans="1:7" ht="20.25">
      <c r="A38" s="51" t="s">
        <v>1400</v>
      </c>
      <c r="B38" s="50" t="s">
        <v>1338</v>
      </c>
      <c r="C38" s="52">
        <f>+'הוצאות '!G428+'הוצאות '!G438+'הוצאות '!G489+'הוצאות '!G660+'הוצאות '!G460</f>
        <v>6752000</v>
      </c>
      <c r="D38" s="52">
        <f>+'הוצאות '!H428+'הוצאות '!H438+'הוצאות '!H489+'הוצאות '!H660+'הוצאות '!H460</f>
        <v>6764000</v>
      </c>
      <c r="E38" s="52">
        <f>+'הוצאות '!I428+'הוצאות '!I438+'הוצאות '!I489+'הוצאות '!I660+'הוצאות '!I485+'הוצאות '!I460</f>
        <v>8661000</v>
      </c>
      <c r="F38" s="1091"/>
      <c r="G38" s="1091"/>
    </row>
    <row r="39" spans="1:7" ht="20.25">
      <c r="A39" s="51"/>
      <c r="B39" s="50" t="s">
        <v>1396</v>
      </c>
      <c r="C39" s="52">
        <f>+C40-C38</f>
        <v>15065045</v>
      </c>
      <c r="D39" s="52">
        <f>+D40-D38</f>
        <v>16180000</v>
      </c>
      <c r="E39" s="52">
        <f>+E40-E38</f>
        <v>17257000</v>
      </c>
      <c r="F39" s="1091"/>
      <c r="G39" s="1091"/>
    </row>
    <row r="40" spans="1:7" ht="20.25">
      <c r="A40" s="158"/>
      <c r="B40" s="159" t="s">
        <v>888</v>
      </c>
      <c r="C40" s="160">
        <f>+'הוצאות '!G433+'הוצאות '!G442+'הוצאות '!G449+'הוצאות '!G455+'הוצאות '!G467+'הוצאות '!G498+'הוצאות '!G669</f>
        <v>21817045</v>
      </c>
      <c r="D40" s="160">
        <f>+'הוצאות '!H433+'הוצאות '!H442+'הוצאות '!H449+'הוצאות '!H455+'הוצאות '!H467+'הוצאות '!H498+'הוצאות '!H669</f>
        <v>22944000</v>
      </c>
      <c r="E40" s="160">
        <f>+'הוצאות '!I433+'הוצאות '!I442+'הוצאות '!I449+'הוצאות '!I455+'הוצאות '!I467+'הוצאות '!I498+'הוצאות '!I669+'הוצאות '!I488</f>
        <v>25918000</v>
      </c>
      <c r="F40" s="1091"/>
      <c r="G40" s="1091"/>
    </row>
    <row r="41" spans="1:7" ht="20.25">
      <c r="A41" s="51" t="s">
        <v>1401</v>
      </c>
      <c r="B41" s="50" t="s">
        <v>1338</v>
      </c>
      <c r="C41" s="52">
        <f>+'הוצאות '!G468+'הוצאות '!G473+'הוצאות '!G481+'הוצאות '!G485</f>
        <v>2167000</v>
      </c>
      <c r="D41" s="52">
        <f>+'הוצאות '!H468+'הוצאות '!H473+'הוצאות '!H481+'הוצאות '!H485</f>
        <v>2130700</v>
      </c>
      <c r="E41" s="52">
        <v>0</v>
      </c>
      <c r="F41" s="1091"/>
      <c r="G41" s="1091"/>
    </row>
    <row r="42" spans="1:7" ht="20.25">
      <c r="A42" s="51"/>
      <c r="B42" s="50" t="s">
        <v>1396</v>
      </c>
      <c r="C42" s="52">
        <f>C43-C41</f>
        <v>2642000</v>
      </c>
      <c r="D42" s="52">
        <f>D43-D41</f>
        <v>2812000</v>
      </c>
      <c r="E42" s="52">
        <f>E43-E41</f>
        <v>0</v>
      </c>
      <c r="F42" s="1091"/>
      <c r="G42" s="1091"/>
    </row>
    <row r="43" spans="1:7" ht="20.25">
      <c r="A43" s="158"/>
      <c r="B43" s="159" t="s">
        <v>888</v>
      </c>
      <c r="C43" s="160">
        <f>+'הוצאות '!G472+'הוצאות '!G478+'הוצאות '!G484+'הוצאות '!G488</f>
        <v>4809000</v>
      </c>
      <c r="D43" s="160">
        <f>+'הוצאות '!H472+'הוצאות '!H478+'הוצאות '!H484+'הוצאות '!H488</f>
        <v>4942700</v>
      </c>
      <c r="E43" s="160">
        <v>0</v>
      </c>
      <c r="F43" s="1091"/>
      <c r="G43" s="1091"/>
    </row>
    <row r="44" spans="1:7" ht="20.25">
      <c r="A44" s="51" t="s">
        <v>1402</v>
      </c>
      <c r="B44" s="50" t="s">
        <v>1338</v>
      </c>
      <c r="C44" s="52">
        <f>+'הוצאות '!G420+'הוצאות '!G479</f>
        <v>2762000</v>
      </c>
      <c r="D44" s="52">
        <f>+'הוצאות '!H420+'הוצאות '!H479</f>
        <v>2788000</v>
      </c>
      <c r="E44" s="52">
        <f>+'הוצאות '!I420+'הוצאות '!I479+'הוצאות '!I473+'הוצאות '!I481</f>
        <v>3613000</v>
      </c>
      <c r="F44" s="1091"/>
      <c r="G44" s="1091"/>
    </row>
    <row r="45" spans="1:7" ht="20.25">
      <c r="A45" s="51"/>
      <c r="B45" s="50" t="s">
        <v>1396</v>
      </c>
      <c r="C45" s="52">
        <f>+C46-C44</f>
        <v>9496000</v>
      </c>
      <c r="D45" s="52">
        <f>+D46-D44</f>
        <v>9589000</v>
      </c>
      <c r="E45" s="52">
        <f>+E46-E44</f>
        <v>10201000</v>
      </c>
      <c r="F45" s="1091"/>
      <c r="G45" s="1091"/>
    </row>
    <row r="46" spans="1:7" ht="20.25">
      <c r="A46" s="158"/>
      <c r="B46" s="159" t="s">
        <v>888</v>
      </c>
      <c r="C46" s="160">
        <f>+'הוצאות '!G480+'הוצאות '!G427</f>
        <v>12258000</v>
      </c>
      <c r="D46" s="160">
        <f>+'הוצאות '!H480+'הוצאות '!H427</f>
        <v>12377000</v>
      </c>
      <c r="E46" s="160">
        <f>+'הוצאות '!I480+'הוצאות '!I427+'הוצאות '!I478+'הוצאות '!I484</f>
        <v>13814000</v>
      </c>
      <c r="F46" s="1091"/>
      <c r="G46" s="1091"/>
    </row>
    <row r="47" spans="1:7" ht="20.25">
      <c r="A47" s="51" t="s">
        <v>918</v>
      </c>
      <c r="B47" s="50" t="s">
        <v>1338</v>
      </c>
      <c r="C47" s="52">
        <f>+'הוצאות '!G503+'הוצאות '!G513+'הוצאות '!G514+'הוצאות '!G520+'הוצאות '!G521+'הוצאות '!G525+'הוצאות '!G526+'הוצאות '!G530+'הוצאות '!G531+'הוצאות '!G536+'הוצאות '!G537+'הוצאות '!G539+'הוצאות '!G543+'הוצאות '!G576+'הוצאות '!G586+'הוצאות '!G595+'הוצאות '!G602+'הוצאות '!G609+'הוצאות '!G612+'הוצאות '!G618+'הוצאות '!G620+'הוצאות '!G621+'הוצאות '!G626+'הוצאות '!G630+'הוצאות '!G631+'הוצאות '!G632+'הוצאות '!G633+'הוצאות '!G635+'הוצאות '!G637+'הוצאות '!G639+'הוצאות '!G642</f>
        <v>33433567</v>
      </c>
      <c r="D47" s="52">
        <f>+'הוצאות '!H503+'הוצאות '!H513+'הוצאות '!H514+'הוצאות '!H520+'הוצאות '!H521+'הוצאות '!H525+'הוצאות '!H526+'הוצאות '!H530+'הוצאות '!H531+'הוצאות '!H536+'הוצאות '!H537+'הוצאות '!H539+'הוצאות '!H543+'הוצאות '!H576+'הוצאות '!H586+'הוצאות '!H595+'הוצאות '!H602+'הוצאות '!H609+'הוצאות '!H612+'הוצאות '!H618+'הוצאות '!H620+'הוצאות '!H621+'הוצאות '!H626+'הוצאות '!H630+'הוצאות '!H631+'הוצאות '!H632+'הוצאות '!H633+'הוצאות '!H635+'הוצאות '!H637+'הוצאות '!H639+'הוצאות '!H642</f>
        <v>32105000</v>
      </c>
      <c r="E47" s="52">
        <f>+'הוצאות '!I503+'הוצאות '!I513+'הוצאות '!I514+'הוצאות '!I520+'הוצאות '!I521+'הוצאות '!I525+'הוצאות '!I526+'הוצאות '!I530+'הוצאות '!I531+'הוצאות '!I536+'הוצאות '!I537+'הוצאות '!I539+'הוצאות '!I543+'הוצאות '!I576+'הוצאות '!I586+'הוצאות '!I595+'הוצאות '!I602+'הוצאות '!I609+'הוצאות '!I612+'הוצאות '!I618+'הוצאות '!I620+'הוצאות '!I621+'הוצאות '!I626+'הוצאות '!I630+'הוצאות '!I631+'הוצאות '!I632+'הוצאות '!I633+'הוצאות '!I635+'הוצאות '!I637+'הוצאות '!I639+'הוצאות '!I642</f>
        <v>37031000</v>
      </c>
      <c r="F47" s="1091"/>
      <c r="G47" s="1091"/>
    </row>
    <row r="48" spans="1:7" ht="20.25">
      <c r="A48" s="51"/>
      <c r="B48" s="50" t="s">
        <v>1396</v>
      </c>
      <c r="C48" s="52">
        <f>+C49-C47</f>
        <v>102489832.59999999</v>
      </c>
      <c r="D48" s="52">
        <f>+D49-D47</f>
        <v>99789000</v>
      </c>
      <c r="E48" s="52">
        <f>+E49-E47</f>
        <v>106022000</v>
      </c>
      <c r="F48" s="1091"/>
      <c r="G48" s="1091"/>
    </row>
    <row r="49" spans="1:7" ht="20.25">
      <c r="A49" s="158"/>
      <c r="B49" s="159" t="s">
        <v>888</v>
      </c>
      <c r="C49" s="160">
        <f>+'הוצאות '!G512+'הוצאות '!G529+'הוצאות '!G547+'הוצאות '!G562+'הוצאות '!G585+'הוצאות '!G611+'הוצאות '!G646+'הוצאות '!G650+'הוצאות '!G653+'הוצאות '!G657</f>
        <v>135923399.59999999</v>
      </c>
      <c r="D49" s="160">
        <f>+'הוצאות '!H512+'הוצאות '!H529+'הוצאות '!H547+'הוצאות '!H562+'הוצאות '!H585+'הוצאות '!H611+'הוצאות '!H646+'הוצאות '!H650+'הוצאות '!H653+'הוצאות '!H657</f>
        <v>131894000</v>
      </c>
      <c r="E49" s="160">
        <f>+'הוצאות '!I419+'הוצאות '!I512+'הוצאות '!I529+'הוצאות '!I547+'הוצאות '!I562+'הוצאות '!I585+'הוצאות '!I611+'הוצאות '!I646+'הוצאות '!I650+'הוצאות '!I653+'הוצאות '!I657</f>
        <v>143053000</v>
      </c>
      <c r="F49" s="1091"/>
      <c r="G49" s="1091"/>
    </row>
    <row r="50" spans="1:7" ht="20.25">
      <c r="A50" s="51" t="s">
        <v>1403</v>
      </c>
      <c r="B50" s="50" t="s">
        <v>1338</v>
      </c>
      <c r="C50" s="52">
        <v>0</v>
      </c>
      <c r="D50" s="52">
        <v>0</v>
      </c>
      <c r="E50" s="52">
        <v>0</v>
      </c>
      <c r="F50" s="1091"/>
      <c r="G50" s="1091"/>
    </row>
    <row r="51" spans="1:7" ht="20.25">
      <c r="A51" s="51"/>
      <c r="B51" s="50" t="s">
        <v>1396</v>
      </c>
      <c r="C51" s="52">
        <f>C52-C50</f>
        <v>21955500</v>
      </c>
      <c r="D51" s="52">
        <f>D52-D50</f>
        <v>20238000</v>
      </c>
      <c r="E51" s="52">
        <f>E52-E50</f>
        <v>17839000</v>
      </c>
      <c r="F51" s="1091"/>
      <c r="G51" s="1091"/>
    </row>
    <row r="52" spans="1:7" ht="20.25">
      <c r="A52" s="158"/>
      <c r="B52" s="159" t="s">
        <v>888</v>
      </c>
      <c r="C52" s="160">
        <f>+'הוצאות '!G269+'הוצאות '!G261+'הוצאות '!G459+'הוצאות '!G457+'הוצאות '!G500+'הוצאות '!G502+'הוצאות '!G659+'הוצאות '!G437</f>
        <v>21955500</v>
      </c>
      <c r="D52" s="160">
        <f>+'הוצאות '!H269+'הוצאות '!H261+'הוצאות '!H459+'הוצאות '!H457+'הוצאות '!H500+'הוצאות '!H502+'הוצאות '!H659+'הוצאות '!H437</f>
        <v>20238000</v>
      </c>
      <c r="E52" s="160">
        <f>+'הוצאות '!I269+'הוצאות '!I261+'הוצאות '!I459+'הוצאות '!I457+'הוצאות '!I500+'הוצאות '!I502+'הוצאות '!I659+'הוצאות '!I437</f>
        <v>17839000</v>
      </c>
      <c r="F52" s="1091"/>
      <c r="G52" s="1091"/>
    </row>
    <row r="53" spans="1:7" ht="20.25">
      <c r="A53" s="51" t="s">
        <v>1404</v>
      </c>
      <c r="B53" s="50" t="s">
        <v>1338</v>
      </c>
      <c r="C53" s="52">
        <v>0</v>
      </c>
      <c r="D53" s="52">
        <v>0</v>
      </c>
      <c r="E53" s="52">
        <v>0</v>
      </c>
      <c r="F53" s="1091"/>
      <c r="G53" s="1091"/>
    </row>
    <row r="54" spans="1:7" ht="20.25">
      <c r="A54" s="51"/>
      <c r="B54" s="50" t="s">
        <v>1396</v>
      </c>
      <c r="C54" s="52">
        <f>+C55-C53</f>
        <v>31273000</v>
      </c>
      <c r="D54" s="52">
        <f>+D55-D53</f>
        <v>32988000</v>
      </c>
      <c r="E54" s="52">
        <f>+E55-E53</f>
        <v>32976999.710000001</v>
      </c>
      <c r="F54" s="1091"/>
      <c r="G54" s="1091"/>
    </row>
    <row r="55" spans="1:7" ht="20.25">
      <c r="A55" s="158"/>
      <c r="B55" s="159" t="s">
        <v>888</v>
      </c>
      <c r="C55" s="160">
        <f>+'הוצאות '!G108+'הוצאות '!G113</f>
        <v>31273000</v>
      </c>
      <c r="D55" s="160">
        <f>+'הוצאות '!H108+'הוצאות '!H113</f>
        <v>32988000</v>
      </c>
      <c r="E55" s="160">
        <f>+'הוצאות '!I108+'הוצאות '!I113</f>
        <v>32976999.710000001</v>
      </c>
      <c r="F55" s="1091"/>
      <c r="G55" s="1091"/>
    </row>
    <row r="56" spans="1:7" ht="20.25">
      <c r="A56" s="51" t="s">
        <v>1386</v>
      </c>
      <c r="B56" s="50" t="s">
        <v>1338</v>
      </c>
      <c r="C56" s="52">
        <f>+'הוצאות '!G684+'הוצאות '!G313+'הוצאות '!G288+'הוצאות '!G262</f>
        <v>45934000</v>
      </c>
      <c r="D56" s="52">
        <f>+'הוצאות '!H684+'הוצאות '!H313+'הוצאות '!H288+'הוצאות '!H262</f>
        <v>45909000</v>
      </c>
      <c r="E56" s="52">
        <f>+'הוצאות '!I684+'הוצאות '!I313+'הוצאות '!I288+'הוצאות '!I262</f>
        <v>44426000.399999999</v>
      </c>
      <c r="F56" s="1091"/>
      <c r="G56" s="1091"/>
    </row>
    <row r="57" spans="1:7" ht="20.25">
      <c r="A57" s="51"/>
      <c r="B57" s="50" t="s">
        <v>1396</v>
      </c>
      <c r="C57" s="52">
        <f>+C58-C56</f>
        <v>61767000</v>
      </c>
      <c r="D57" s="52">
        <f>+D58-D56</f>
        <v>61622000</v>
      </c>
      <c r="E57" s="52">
        <f>+E58-E56</f>
        <v>75127999.900000006</v>
      </c>
      <c r="F57" s="1091"/>
      <c r="G57" s="1091"/>
    </row>
    <row r="58" spans="1:7" ht="20.25">
      <c r="A58" s="158"/>
      <c r="B58" s="159" t="s">
        <v>888</v>
      </c>
      <c r="C58" s="160">
        <f>+'הוצאות '!G689+'הוצאות '!G687+'הוצאות '!G685+'הוצאות '!G317+'הוצאות '!G293+'הוצאות '!G264</f>
        <v>107701000</v>
      </c>
      <c r="D58" s="160">
        <f>+'הוצאות '!H689+'הוצאות '!H687+'הוצאות '!H685+'הוצאות '!H317+'הוצאות '!H293+'הוצאות '!H264</f>
        <v>107531000</v>
      </c>
      <c r="E58" s="160">
        <f>+'הוצאות '!I689+'הוצאות '!I687+'הוצאות '!I685+'הוצאות '!I317+'הוצאות '!I293+'הוצאות '!I264+'הוצאות '!I683</f>
        <v>119554000.3</v>
      </c>
      <c r="F58" s="1091"/>
      <c r="G58" s="1091"/>
    </row>
    <row r="59" spans="1:7" ht="20.25">
      <c r="A59" s="152" t="s">
        <v>888</v>
      </c>
      <c r="B59" s="153" t="s">
        <v>1338</v>
      </c>
      <c r="C59" s="154">
        <f t="shared" ref="C59:E60" si="0">+C5+C8+C14+C17+C20+C23+C26+C29+C32+C35+C38+C41+C44+C47+C50+C53+C56+C11</f>
        <v>304189567</v>
      </c>
      <c r="D59" s="154">
        <f t="shared" si="0"/>
        <v>300121700</v>
      </c>
      <c r="E59" s="154">
        <f t="shared" si="0"/>
        <v>325778000.39999998</v>
      </c>
      <c r="F59" s="1091"/>
      <c r="G59" s="1091"/>
    </row>
    <row r="60" spans="1:7" ht="20.25">
      <c r="A60" s="152"/>
      <c r="B60" s="153" t="s">
        <v>1396</v>
      </c>
      <c r="C60" s="154">
        <f t="shared" si="0"/>
        <v>488942432.75999999</v>
      </c>
      <c r="D60" s="154">
        <f t="shared" si="0"/>
        <v>489849000</v>
      </c>
      <c r="E60" s="154">
        <f t="shared" si="0"/>
        <v>512281999.40999997</v>
      </c>
      <c r="F60" s="1091"/>
      <c r="G60" s="1091"/>
    </row>
    <row r="61" spans="1:7" ht="20.25">
      <c r="A61" s="155"/>
      <c r="B61" s="156" t="s">
        <v>888</v>
      </c>
      <c r="C61" s="157">
        <f>+C7+C10+C16+C19+C22+C25+C28+C31+C34+C37+C40+C43+C46+C49+C52+C55+C58+C13</f>
        <v>793131999.75999999</v>
      </c>
      <c r="D61" s="157">
        <f>+D7+D10+D16+D19+D22+D25+D28+D31+D34+D37+D40+D43+D46+D49+D52+D55+D58</f>
        <v>789903700</v>
      </c>
      <c r="E61" s="157">
        <f>+E7+E10+E16+E19+E22+E25+E28+E31+E34+E37+E40+E43+E46+E49+E52+E55+E58+E13</f>
        <v>838059999.80999994</v>
      </c>
      <c r="F61" s="1091"/>
      <c r="G61" s="1091"/>
    </row>
    <row r="62" spans="1:7" ht="20.25">
      <c r="A62" s="101"/>
      <c r="B62" s="102"/>
      <c r="C62" s="103">
        <f>+C61-'הוצאות '!G691</f>
        <v>0</v>
      </c>
      <c r="D62" s="103">
        <f>+D61-'הוצאות '!H691</f>
        <v>0</v>
      </c>
      <c r="E62" s="103">
        <f>+(E61-'הוצאות '!I691)/1000</f>
        <v>-2.384185791015625E-10</v>
      </c>
      <c r="F62" s="1091"/>
      <c r="G62" s="1089"/>
    </row>
    <row r="63" spans="1:7" ht="20.25">
      <c r="A63" s="1093"/>
      <c r="B63" s="1094"/>
      <c r="C63" s="1095"/>
      <c r="D63" s="924"/>
      <c r="E63" s="924"/>
      <c r="F63" s="1090"/>
      <c r="G63" s="1090"/>
    </row>
    <row r="64" spans="1:7">
      <c r="G64" s="958"/>
    </row>
    <row r="65" spans="7:7">
      <c r="G65" s="958"/>
    </row>
    <row r="66" spans="7:7">
      <c r="G66" s="958"/>
    </row>
    <row r="67" spans="7:7">
      <c r="G67" s="958"/>
    </row>
    <row r="68" spans="7:7">
      <c r="G68" s="958"/>
    </row>
    <row r="69" spans="7:7">
      <c r="G69" s="958"/>
    </row>
    <row r="70" spans="7:7">
      <c r="G70" s="958"/>
    </row>
    <row r="71" spans="7:7">
      <c r="G71" s="958"/>
    </row>
    <row r="72" spans="7:7">
      <c r="G72" s="958"/>
    </row>
    <row r="73" spans="7:7">
      <c r="G73" s="958"/>
    </row>
    <row r="74" spans="7:7">
      <c r="G74" s="958"/>
    </row>
    <row r="75" spans="7:7">
      <c r="G75" s="958"/>
    </row>
    <row r="76" spans="7:7">
      <c r="G76" s="958"/>
    </row>
    <row r="194" spans="2:2">
      <c r="B194" s="910"/>
    </row>
    <row r="202" spans="2:2">
      <c r="B202" s="910"/>
    </row>
    <row r="216" spans="2:2">
      <c r="B216" s="910"/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rstPageNumber="5" orientation="portrait" useFirstPageNumber="1" r:id="rId1"/>
  <headerFooter>
    <oddFooter>&amp;L&amp;P&amp;Cלאישור מועצת העיר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FF"/>
    <pageSetUpPr fitToPage="1"/>
  </sheetPr>
  <dimension ref="A1:J29"/>
  <sheetViews>
    <sheetView rightToLeft="1" topLeftCell="A14" zoomScaleNormal="100" zoomScaleSheetLayoutView="100" workbookViewId="0">
      <selection activeCell="B14" sqref="B14"/>
    </sheetView>
  </sheetViews>
  <sheetFormatPr defaultRowHeight="14.25"/>
  <cols>
    <col min="2" max="2" width="41.375" bestFit="1" customWidth="1"/>
    <col min="3" max="4" width="16.125" customWidth="1"/>
    <col min="5" max="5" width="16.125" bestFit="1" customWidth="1"/>
    <col min="10" max="10" width="9.875" bestFit="1" customWidth="1"/>
  </cols>
  <sheetData>
    <row r="1" spans="1:7" ht="27.75" customHeight="1">
      <c r="A1" s="1098" t="s">
        <v>1405</v>
      </c>
      <c r="B1" s="1098"/>
      <c r="C1" s="1098"/>
      <c r="D1" s="1098"/>
      <c r="E1" s="1098"/>
    </row>
    <row r="2" spans="1:7" ht="15" thickBot="1"/>
    <row r="3" spans="1:7" s="28" customFormat="1" ht="20.25">
      <c r="A3" s="130" t="s">
        <v>2</v>
      </c>
      <c r="B3" s="161" t="s">
        <v>1406</v>
      </c>
      <c r="C3" s="131" t="s">
        <v>2185</v>
      </c>
      <c r="D3" s="131" t="s">
        <v>3562</v>
      </c>
      <c r="E3" s="132" t="s">
        <v>2999</v>
      </c>
      <c r="G3" s="27"/>
    </row>
    <row r="4" spans="1:7" ht="18.75">
      <c r="A4" s="54" t="s">
        <v>1407</v>
      </c>
      <c r="B4" s="55" t="s">
        <v>6</v>
      </c>
      <c r="C4" s="56">
        <f ca="1">SUMIF('הכנסות '!C3:C263,100,'הכנסות '!G3:G262)+SUMIF('הכנסות '!C3:C263,101,'הכנסות '!G3:G262)+SUMIF('הכנסות '!C3:C263,102,'הכנסות '!G3:G262)</f>
        <v>405824000</v>
      </c>
      <c r="D4" s="56">
        <f ca="1">SUMIF('הכנסות '!C3:C263,100,'הכנסות '!H3:H262)+SUMIF('הכנסות '!C3:C263,101,'הכנסות '!H3:H262)+SUMIF('הכנסות '!C3:C263,102,'הכנסות '!H3:H262)</f>
        <v>416511000</v>
      </c>
      <c r="E4" s="57">
        <f ca="1">SUMIF('הכנסות '!C3:C263,100,'הכנסות '!I3:I262)+SUMIF('הכנסות '!C3:C263,101,'הכנסות '!I3:I262)+SUMIF('הכנסות '!C3:C263,102,'הכנסות '!I3:I262)</f>
        <v>428700000</v>
      </c>
    </row>
    <row r="5" spans="1:7" ht="18.75">
      <c r="A5" s="54">
        <v>108</v>
      </c>
      <c r="B5" s="55" t="s">
        <v>6</v>
      </c>
      <c r="C5" s="56">
        <f ca="1">SUMIF('הכנסות '!$C$3:$C$263,טבלה14[[#This Row],[סעיף]],'הכנסות '!$G$3:$G$262)</f>
        <v>61000000</v>
      </c>
      <c r="D5" s="56">
        <f ca="1">SUMIF('הכנסות '!$C$3:$C$263,טבלה14[[#This Row],[סעיף]],'הכנסות '!$H$3:$H$262)</f>
        <v>61000000</v>
      </c>
      <c r="E5" s="57">
        <f ca="1">SUMIF('הכנסות '!$C$3:$C$263,טבלה14[[#This Row],[סעיף]],'הכנסות '!$I$3:$I$262)</f>
        <v>64000000</v>
      </c>
    </row>
    <row r="6" spans="1:7" ht="18.75">
      <c r="A6" s="54">
        <v>210</v>
      </c>
      <c r="B6" s="55" t="s">
        <v>1408</v>
      </c>
      <c r="C6" s="56">
        <f ca="1">SUMIF('הכנסות '!$C$3:$C$263,טבלה14[[#This Row],[סעיף]],'הכנסות '!$G$3:$G$262)</f>
        <v>20000</v>
      </c>
      <c r="D6" s="56">
        <f ca="1">SUMIF('הכנסות '!$C$3:$C$263,טבלה14[[#This Row],[סעיף]],'הכנסות '!$H$3:$H$262)</f>
        <v>39000</v>
      </c>
      <c r="E6" s="57">
        <f ca="1">SUMIF('הכנסות '!$C$3:$C$263,טבלה14[[#This Row],[סעיף]],'הכנסות '!$I$3:$I$262)</f>
        <v>30000</v>
      </c>
    </row>
    <row r="7" spans="1:7" ht="18.75">
      <c r="A7" s="54">
        <v>220</v>
      </c>
      <c r="B7" s="55" t="s">
        <v>1409</v>
      </c>
      <c r="C7" s="56">
        <f ca="1">SUMIF('הכנסות '!$C$3:$C$263,טבלה14[[#This Row],[סעיף]],'הכנסות '!$G$3:$G$262)</f>
        <v>24324000</v>
      </c>
      <c r="D7" s="56">
        <f ca="1">SUMIF('הכנסות '!$C$3:$C$263,טבלה14[[#This Row],[סעיף]],'הכנסות '!$H$3:$H$262)</f>
        <v>25278000</v>
      </c>
      <c r="E7" s="57">
        <f ca="1">SUMIF('הכנסות '!$C$3:$C$263,טבלה14[[#This Row],[סעיף]],'הכנסות '!$I$3:$I$262)</f>
        <v>27019000</v>
      </c>
    </row>
    <row r="8" spans="1:7" ht="18.75">
      <c r="A8" s="54">
        <v>410</v>
      </c>
      <c r="B8" s="55" t="s">
        <v>1410</v>
      </c>
      <c r="C8" s="56">
        <f ca="1">SUMIF('הכנסות '!$C$3:$C$263,טבלה14[[#This Row],[סעיף]],'הכנסות '!$G$3:$G$262)</f>
        <v>1973000</v>
      </c>
      <c r="D8" s="56">
        <f ca="1">SUMIF('הכנסות '!$C$3:$C$263,טבלה14[[#This Row],[סעיף]],'הכנסות '!$H$3:$H$262)</f>
        <v>1432000</v>
      </c>
      <c r="E8" s="57">
        <f ca="1">SUMIF('הכנסות '!$C$3:$C$263,טבלה14[[#This Row],[סעיף]],'הכנסות '!$I$3:$I$262)</f>
        <v>2073000</v>
      </c>
    </row>
    <row r="9" spans="1:7" ht="18.75">
      <c r="A9" s="54" t="s">
        <v>3718</v>
      </c>
      <c r="B9" s="55" t="s">
        <v>1411</v>
      </c>
      <c r="C9" s="56">
        <f ca="1">SUMIF('הכנסות '!$C$3:$C$263,420,'הכנסות '!$G$3:$G$262)+SUMIF('הכנסות '!$C$3:$C$263,421,'הכנסות '!$G$3:$G$262)</f>
        <v>3490000</v>
      </c>
      <c r="D9" s="56">
        <f ca="1">SUMIF('הכנסות '!$C$3:$C$263,420,'הכנסות '!$H$3:$H$262)+SUMIF('הכנסות '!$C$3:$C$263,421,'הכנסות '!$H$3:$H$262)</f>
        <v>3564000</v>
      </c>
      <c r="E9" s="57">
        <f ca="1">SUMIF('הכנסות '!$C$3:$C$263,420,'הכנסות '!$I$3:$I$262)+SUMIF('הכנסות '!$C$3:$C$263,421,'הכנסות '!$I$3:$I$262)</f>
        <v>3925000</v>
      </c>
    </row>
    <row r="10" spans="1:7" ht="18.75">
      <c r="A10" s="54" t="s">
        <v>1412</v>
      </c>
      <c r="B10" s="55" t="s">
        <v>1413</v>
      </c>
      <c r="C10" s="56">
        <f ca="1">SUMIF('הכנסות '!$C$3:$C$263,430,'הכנסות '!$G$3:$G$262)+SUMIF('הכנסות '!$C$3:$C$263,431,'הכנסות '!$G$3:$G$262)</f>
        <v>2474000</v>
      </c>
      <c r="D10" s="56">
        <f ca="1">SUMIF('הכנסות '!$C$3:$C$263,430,'הכנסות '!$H$3:$H$262)+SUMIF('הכנסות '!$C$3:$C$263,431,'הכנסות '!$H$3:$H$262)</f>
        <v>2335000</v>
      </c>
      <c r="E10" s="57">
        <f ca="1">SUMIF('הכנסות '!$C$3:$C$263,430,'הכנסות '!$I$3:$I$262)+SUMIF('הכנסות '!$C$3:$C$263,431,'הכנסות '!$I$3:$I$262)</f>
        <v>2474000</v>
      </c>
    </row>
    <row r="11" spans="1:7" ht="18.75">
      <c r="A11" s="54">
        <v>440</v>
      </c>
      <c r="B11" s="55" t="s">
        <v>1414</v>
      </c>
      <c r="C11" s="56">
        <f ca="1">SUMIF('הכנסות '!$C$3:$C$263,טבלה14[[#This Row],[סעיף]],'הכנסות '!$G$3:$G$262)</f>
        <v>870000</v>
      </c>
      <c r="D11" s="56">
        <f ca="1">SUMIF('הכנסות '!$C$3:$C$263,טבלה14[[#This Row],[סעיף]],'הכנסות '!$H$3:$H$262)</f>
        <v>834000</v>
      </c>
      <c r="E11" s="57">
        <f ca="1">SUMIF('הכנסות '!$C$3:$C$263,טבלה14[[#This Row],[סעיף]],'הכנסות '!$I$3:$I$262)</f>
        <v>870000</v>
      </c>
    </row>
    <row r="12" spans="1:7" ht="18.75">
      <c r="A12" s="54">
        <v>490</v>
      </c>
      <c r="B12" s="55" t="s">
        <v>1415</v>
      </c>
      <c r="C12" s="56">
        <f ca="1">SUMIF('הכנסות '!$C$3:$C$263,טבלה14[[#This Row],[סעיף]],'הכנסות '!$G$3:$G$262)</f>
        <v>284000</v>
      </c>
      <c r="D12" s="56">
        <f ca="1">SUMIF('הכנסות '!$C$3:$C$263,טבלה14[[#This Row],[סעיף]],'הכנסות '!$H$3:$H$262)</f>
        <v>285000</v>
      </c>
      <c r="E12" s="57">
        <f ca="1">SUMIF('הכנסות '!$C$3:$C$263,טבלה14[[#This Row],[סעיף]],'הכנסות '!$I$3:$I$262)</f>
        <v>433000</v>
      </c>
    </row>
    <row r="13" spans="1:7" ht="18.75">
      <c r="A13" s="54">
        <v>540</v>
      </c>
      <c r="B13" s="55" t="s">
        <v>1416</v>
      </c>
      <c r="C13" s="56">
        <f ca="1">SUMIF('הכנסות '!$C$3:$C$263,טבלה14[[#This Row],[סעיף]],'הכנסות '!$G$3:$G$262)</f>
        <v>450000</v>
      </c>
      <c r="D13" s="56">
        <f ca="1">SUMIF('הכנסות '!$C$3:$C$263,טבלה14[[#This Row],[סעיף]],'הכנסות '!$H$3:$H$262)</f>
        <v>437000</v>
      </c>
      <c r="E13" s="57">
        <f ca="1">SUMIF('הכנסות '!$C$3:$C$263,טבלה14[[#This Row],[סעיף]],'הכנסות '!$I$3:$I$262)</f>
        <v>550160</v>
      </c>
    </row>
    <row r="14" spans="1:7" ht="18.75">
      <c r="A14" s="54">
        <v>590</v>
      </c>
      <c r="B14" s="55" t="s">
        <v>1417</v>
      </c>
      <c r="C14" s="56">
        <f ca="1">SUMIF('הכנסות '!$C$3:$C$263,טבלה14[[#This Row],[סעיף]],'הכנסות '!$G$3:$G$262)</f>
        <v>34891000</v>
      </c>
      <c r="D14" s="56">
        <f ca="1">SUMIF('הכנסות '!$C$3:$C$263,טבלה14[[#This Row],[סעיף]],'הכנסות '!$H$3:$H$262)</f>
        <v>28029000</v>
      </c>
      <c r="E14" s="57">
        <f ca="1">SUMIF('הכנסות '!$C$3:$C$263,טבלה14[[#This Row],[סעיף]],'הכנסות '!$I$3:$I$262)</f>
        <v>37003000</v>
      </c>
    </row>
    <row r="15" spans="1:7" ht="18.75">
      <c r="A15" s="54" t="s">
        <v>1418</v>
      </c>
      <c r="B15" s="55" t="s">
        <v>1419</v>
      </c>
      <c r="C15" s="56">
        <f ca="1">SUMIF('הכנסות '!$C$3:$C$263,610,'הכנסות '!$G$3:$G$262)+SUMIF('הכנסות '!$C$3:$C$263,611,'הכנסות '!$G$3:$G$262)</f>
        <v>8738000</v>
      </c>
      <c r="D15" s="56">
        <f ca="1">SUMIF('הכנסות '!$C$3:$C$263,610,'הכנסות '!$H$3:$H$262)+SUMIF('הכנסות '!$C$3:$C$263,611,'הכנסות '!$H$3:$H$262)</f>
        <v>8566000</v>
      </c>
      <c r="E15" s="57">
        <f ca="1">SUMIF('הכנסות '!$C$3:$C$263,610,'הכנסות '!$I$3:$I$262)+SUMIF('הכנסות '!$C$3:$C$263,611,'הכנסות '!$I$3:$I$262)</f>
        <v>9081000</v>
      </c>
    </row>
    <row r="16" spans="1:7" ht="18.75">
      <c r="A16" s="54">
        <v>640</v>
      </c>
      <c r="B16" s="55" t="s">
        <v>1420</v>
      </c>
      <c r="C16" s="56">
        <f ca="1">SUMIF('הכנסות '!$C$3:$C$263,טבלה14[[#This Row],[סעיף]],'הכנסות '!$G$3:$G$262)</f>
        <v>900000</v>
      </c>
      <c r="D16" s="56">
        <f ca="1">SUMIF('הכנסות '!$C$3:$C$263,טבלה14[[#This Row],[סעיף]],'הכנסות '!$H$3:$H$262)</f>
        <v>1101000</v>
      </c>
      <c r="E16" s="57">
        <f ca="1">SUMIF('הכנסות '!$C$3:$C$263,טבלה14[[#This Row],[סעיף]],'הכנסות '!$I$3:$I$262)</f>
        <v>1000000</v>
      </c>
    </row>
    <row r="17" spans="1:10" ht="18.75">
      <c r="A17" s="54">
        <v>650</v>
      </c>
      <c r="B17" s="55" t="s">
        <v>1421</v>
      </c>
      <c r="C17" s="56">
        <f ca="1">SUMIF('הכנסות '!$C$3:$C$263,טבלה14[[#This Row],[סעיף]],'הכנסות '!$G$3:$G$262)</f>
        <v>0</v>
      </c>
      <c r="D17" s="56">
        <f ca="1">SUMIF('הכנסות '!$C$3:$C$263,טבלה14[[#This Row],[סעיף]],'הכנסות '!$H$3:$H$262)</f>
        <v>0</v>
      </c>
      <c r="E17" s="57">
        <f ca="1">SUMIF('הכנסות '!$C$3:$C$263,טבלה14[[#This Row],[סעיף]],'הכנסות '!$I$3:$I$262)</f>
        <v>0</v>
      </c>
    </row>
    <row r="18" spans="1:10" ht="18.75">
      <c r="A18" s="54">
        <v>660</v>
      </c>
      <c r="B18" s="55" t="s">
        <v>1422</v>
      </c>
      <c r="C18" s="56">
        <f ca="1">SUMIF('הכנסות '!$C$3:$C$263,טבלה14[[#This Row],[סעיף]],'הכנסות '!$G$3:$G$262)</f>
        <v>420000</v>
      </c>
      <c r="D18" s="56">
        <f ca="1">SUMIF('הכנסות '!$C$3:$C$263,טבלה14[[#This Row],[סעיף]],'הכנסות '!$H$3:$H$262)</f>
        <v>388000</v>
      </c>
      <c r="E18" s="57">
        <f ca="1">SUMIF('הכנסות '!$C$3:$C$263,טבלה14[[#This Row],[סעיף]],'הכנסות '!$I$3:$I$262)</f>
        <v>420000</v>
      </c>
    </row>
    <row r="19" spans="1:10" ht="18.75">
      <c r="A19" s="54" t="s">
        <v>1423</v>
      </c>
      <c r="B19" s="55" t="s">
        <v>1424</v>
      </c>
      <c r="C19" s="56">
        <f ca="1">SUMIF('הכנסות '!$C$3:$C$263,690,'הכנסות '!$G$3:$G$262)+SUMIF('הכנסות '!$C$3:$C$263,691,'הכנסות '!$G$3:$G$262)+SUMIF('הכנסות '!$C$3:$C$263,692,'הכנסות '!$G$3:$G$262)+SUMIF('הכנסות '!$C$3:$C$263,693,'הכנסות '!$G$3:$G$262)+SUMIF('הכנסות '!$C$3:$C$263,694,'הכנסות '!$G$3:$G$262)</f>
        <v>13464000</v>
      </c>
      <c r="D19" s="56">
        <f ca="1">SUMIF('הכנסות '!$C$3:$C$263,690,'הכנסות '!$H$3:$H$262)+SUMIF('הכנסות '!$C$3:$C$263,691,'הכנסות '!$H$3:$H$262)+SUMIF('הכנסות '!$C$3:$C$263,692,'הכנסות '!$H$3:$H$262)+SUMIF('הכנסות '!$C$3:$C$263,693,'הכנסות '!$H$3:$H$262)+SUMIF('הכנסות '!$C$3:$C$263,694,'הכנסות '!$H$3:$H$262)</f>
        <v>11548000</v>
      </c>
      <c r="E19" s="57">
        <f ca="1">SUMIF('הכנסות '!$C$3:$C$263,690,'הכנסות '!$I$3:$I$262)+SUMIF('הכנסות '!$C$3:$C$263,691,'הכנסות '!$I$3:$I$262)+SUMIF('הכנסות '!$C$3:$C$263,692,'הכנסות '!$I$3:$I$262)+SUMIF('הכנסות '!$C$3:$C$263,693,'הכנסות '!$I$3:$I$262)+SUMIF('הכנסות '!$C$3:$C$263,694,'הכנסות '!$I$3:$I$262)</f>
        <v>12734000.4</v>
      </c>
    </row>
    <row r="20" spans="1:10" ht="18.75">
      <c r="A20" s="54">
        <v>740</v>
      </c>
      <c r="B20" s="55" t="s">
        <v>47</v>
      </c>
      <c r="C20" s="56">
        <f ca="1">SUMIF('הכנסות '!$C$3:$C$263,טבלה14[[#This Row],[סעיף]],'הכנסות '!$G$3:$G$262)</f>
        <v>1000000</v>
      </c>
      <c r="D20" s="56">
        <f ca="1">SUMIF('הכנסות '!$C$3:$C$263,טבלה14[[#This Row],[סעיף]],'הכנסות '!$H$3:$H$262)</f>
        <v>1000000</v>
      </c>
      <c r="E20" s="57">
        <f ca="1">SUMIF('הכנסות '!$C$3:$C$263,טבלה14[[#This Row],[סעיף]],'הכנסות '!$I$3:$I$262)</f>
        <v>1600000</v>
      </c>
    </row>
    <row r="21" spans="1:10" ht="18.75">
      <c r="A21" s="54">
        <v>910</v>
      </c>
      <c r="B21" s="55" t="s">
        <v>1425</v>
      </c>
      <c r="C21" s="56">
        <f ca="1">SUMIF('הכנסות '!$C$3:$C$263,טבלה14[[#This Row],[סעיף]],'הכנסות '!$G$3:$G$262)</f>
        <v>6450000</v>
      </c>
      <c r="D21" s="56">
        <f ca="1">SUMIF('הכנסות '!$C$3:$C$263,טבלה14[[#This Row],[סעיף]],'הכנסות '!$H$3:$H$262)</f>
        <v>2593000</v>
      </c>
      <c r="E21" s="57">
        <f ca="1">SUMIF('הכנסות '!$C$3:$C$263,טבלה14[[#This Row],[סעיף]],'הכנסות '!$I$3:$I$262)</f>
        <v>1610000</v>
      </c>
    </row>
    <row r="22" spans="1:10" ht="18.75">
      <c r="A22" s="54" t="s">
        <v>1426</v>
      </c>
      <c r="B22" s="55" t="s">
        <v>1427</v>
      </c>
      <c r="C22" s="56">
        <f ca="1">SUMIF('הכנסות '!$C$3:$C$263,920,'הכנסות '!$G$3:$G$262)+SUMIF('הכנסות '!$C$3:$C$263,921,'הכנסות '!$G$3:$G$262)+SUMIF('הכנסות '!$C$3:$C$263,922,'הכנסות '!$G$3:$G$262)+SUMIF('הכנסות '!$C$3:$C$263,923,'הכנסות '!$G$3:$G$262)</f>
        <v>122355215</v>
      </c>
      <c r="D22" s="56">
        <f ca="1">SUMIF('הכנסות '!$C$3:$C$263,920,'הכנסות '!$H$3:$H$262)+SUMIF('הכנסות '!$C$3:$C$263,921,'הכנסות '!$H$3:$H$262)+SUMIF('הכנסות '!$C$3:$C$263,922,'הכנסות '!$H$3:$H$262)+SUMIF('הכנסות '!$C$3:$C$263,923,'הכנסות '!$H$3:$H$262)</f>
        <v>123669000</v>
      </c>
      <c r="E22" s="57">
        <f ca="1">SUMIF('הכנסות '!$C$3:$C$263,920,'הכנסות '!$I$3:$I$262)+SUMIF('הכנסות '!$C$3:$C$263,921,'הכנסות '!$I$3:$I$262)+SUMIF('הכנסות '!$C$3:$C$263,922,'הכנסות '!$I$3:$I$262)+SUMIF('הכנסות '!$C$3:$C$263,923,'הכנסות '!$I$3:$I$262)</f>
        <v>135558840</v>
      </c>
      <c r="J22" s="26" t="s">
        <v>4</v>
      </c>
    </row>
    <row r="23" spans="1:10" ht="18.75">
      <c r="A23" s="54" t="s">
        <v>1428</v>
      </c>
      <c r="B23" s="55" t="s">
        <v>1429</v>
      </c>
      <c r="C23" s="56">
        <f ca="1">SUMIF('הכנסות '!$C$3:$C$263,930,'הכנסות '!$G$3:$G$262)+SUMIF('הכנסות '!$C$3:$C$263,931,'הכנסות '!$G$3:$G$262)+SUMIF('הכנסות '!$C$3:$C$263,932,'הכנסות '!$G$3:$G$262)+SUMIF('הכנסות '!$C$3:$C$263,933,'הכנסות '!$G$3:$G$262)+SUMIF('הכנסות '!$C$3:$C$263,934,'הכנסות '!$G$3:$G$262)+SUMIF('הכנסות '!$C$3:$C$263,935,'הכנסות '!$G$3:$G$262)+SUMIF('הכנסות '!$C$3:$C$263,936,'הכנסות '!$G$3:$G$262)+SUMIF('הכנסות '!$C$3:$C$263,937,'הכנסות '!$G$3:$G$262)+SUMIF('הכנסות '!$C$3:$C$263,938,'הכנסות '!$G$3:$G$262)+SUMIF('הכנסות '!$C$3:$C$263,939,'הכנסות '!$G$3:$G$262)</f>
        <v>96965784.775000006</v>
      </c>
      <c r="D23" s="56">
        <f ca="1">SUMIF('הכנסות '!$C$3:$C$263,930,'הכנסות '!$H$3:$H$262)+SUMIF('הכנסות '!$C$3:$C$263,931,'הכנסות '!$H$3:$H$262)+SUMIF('הכנסות '!$C$3:$C$263,932,'הכנסות '!$H$3:$H$262)+SUMIF('הכנסות '!$C$3:$C$263,933,'הכנסות '!$H$3:$H$262)+SUMIF('הכנסות '!$C$3:$C$263,934,'הכנסות '!$H$3:$H$262)+SUMIF('הכנסות '!$C$3:$C$263,935,'הכנסות '!$H$3:$H$262)+SUMIF('הכנסות '!$C$3:$C$263,936,'הכנסות '!$H$3:$H$262)+SUMIF('הכנסות '!$C$3:$C$263,937,'הכנסות '!$H$3:$H$262)+SUMIF('הכנסות '!$C$3:$C$263,938,'הכנסות '!$H$3:$H$262)+SUMIF('הכנסות '!$C$3:$C$263,939,'הכנסות '!$H$3:$H$262)</f>
        <v>93578000</v>
      </c>
      <c r="E23" s="57">
        <f ca="1">SUMIF('הכנסות '!$C$3:$C$263,930,'הכנסות '!$I$3:$I$262)+SUMIF('הכנסות '!$C$3:$C$263,931,'הכנסות '!$I$3:$I$262)+SUMIF('הכנסות '!$C$3:$C$263,932,'הכנסות '!$I$3:$I$262)+SUMIF('הכנסות '!$C$3:$C$263,933,'הכנסות '!$I$3:$I$262)+SUMIF('הכנסות '!$C$3:$C$263,934,'הכנסות '!$I$3:$I$262)+SUMIF('הכנסות '!$C$3:$C$263,935,'הכנסות '!$I$3:$I$262)+SUMIF('הכנסות '!$C$3:$C$263,936,'הכנסות '!$I$3:$I$262)+SUMIF('הכנסות '!$C$3:$C$263,937,'הכנסות '!$I$3:$I$262)+SUMIF('הכנסות '!$C$3:$C$263,938,'הכנסות '!$I$3:$I$262)+SUMIF('הכנסות '!$C$3:$C$263,939,'הכנסות '!$I$3:$I$262)+1</f>
        <v>101433999.9784531</v>
      </c>
      <c r="J23" s="26" t="s">
        <v>4</v>
      </c>
    </row>
    <row r="24" spans="1:10" ht="18.75">
      <c r="A24" s="54">
        <v>950</v>
      </c>
      <c r="B24" s="55" t="s">
        <v>227</v>
      </c>
      <c r="C24" s="56">
        <f ca="1">SUMIF('הכנסות '!$C$3:$C$263,טבלה14[[#This Row],[סעיף]],'הכנסות '!$G$3:$G$262)</f>
        <v>661000</v>
      </c>
      <c r="D24" s="56">
        <f ca="1">SUMIF('הכנסות '!$C$3:$C$263,טבלה14[[#This Row],[סעיף]],'הכנסות '!$H$3:$H$262)</f>
        <v>662000</v>
      </c>
      <c r="E24" s="57">
        <f ca="1">SUMIF('הכנסות '!$C$3:$C$263,טבלה14[[#This Row],[סעיף]],'הכנסות '!$I$3:$I$262)</f>
        <v>941000</v>
      </c>
    </row>
    <row r="25" spans="1:10" ht="18.75">
      <c r="A25" s="54">
        <v>960</v>
      </c>
      <c r="B25" s="55" t="s">
        <v>3719</v>
      </c>
      <c r="C25" s="56">
        <f ca="1">SUMIF('הכנסות '!$C$3:$C$263,טבלה14[[#This Row],[סעיף]],'הכנסות '!$G$3:$G$262)</f>
        <v>35000</v>
      </c>
      <c r="D25" s="56">
        <f ca="1">SUMIF('הכנסות '!$C$3:$C$263,טבלה14[[#This Row],[סעיף]],'הכנסות '!$H$3:$H$262)</f>
        <v>54000</v>
      </c>
      <c r="E25" s="57">
        <f ca="1">SUMIF('הכנסות '!$C$3:$C$263,טבלה14[[#This Row],[סעיף]],'הכנסות '!$I$3:$I$262)</f>
        <v>83000</v>
      </c>
    </row>
    <row r="26" spans="1:10" ht="19.5" thickBot="1">
      <c r="A26" s="54">
        <v>990</v>
      </c>
      <c r="B26" s="55" t="s">
        <v>1430</v>
      </c>
      <c r="C26" s="56">
        <f ca="1">SUMIF('הכנסות '!$C$3:$C$263,טבלה14[[#This Row],[סעיף]],'הכנסות '!$G$3:$G$262)</f>
        <v>6543000</v>
      </c>
      <c r="D26" s="56">
        <f ca="1">SUMIF('הכנסות '!$C$3:$C$263,טבלה14[[#This Row],[סעיף]],'הכנסות '!$H$3:$H$262)</f>
        <v>5804000</v>
      </c>
      <c r="E26" s="57">
        <f ca="1">SUMIF('הכנסות '!$C$3:$C$263,טבלה14[[#This Row],[סעיף]],'הכנסות '!$I$3:$I$262)</f>
        <v>6521000</v>
      </c>
    </row>
    <row r="27" spans="1:10" s="28" customFormat="1" ht="20.25">
      <c r="A27" s="145" t="s">
        <v>888</v>
      </c>
      <c r="B27" s="161"/>
      <c r="C27" s="131">
        <f ca="1">SUM(C4:C26)</f>
        <v>793131999.77499998</v>
      </c>
      <c r="D27" s="131">
        <f ca="1">SUM(D4:D26)</f>
        <v>788707000</v>
      </c>
      <c r="E27" s="132">
        <f ca="1">SUM(E4:E26)</f>
        <v>838060000.37845302</v>
      </c>
      <c r="G27" s="27"/>
    </row>
    <row r="28" spans="1:10" ht="17.25">
      <c r="A28" s="911"/>
      <c r="B28" s="912"/>
      <c r="C28" s="913">
        <f ca="1">C27-'הכנסות '!G265</f>
        <v>0</v>
      </c>
      <c r="D28" s="913">
        <f ca="1">D27-'הכנסות '!H265</f>
        <v>0</v>
      </c>
      <c r="E28" s="913">
        <f ca="1">E27-'הכנסות '!I265</f>
        <v>0.49999988079071045</v>
      </c>
    </row>
    <row r="29" spans="1:10">
      <c r="C29" s="26"/>
      <c r="D29" s="26"/>
      <c r="E29" s="26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1" firstPageNumber="6" orientation="portrait" useFirstPageNumber="1" r:id="rId1"/>
  <headerFooter>
    <oddFooter>&amp;L&amp;P&amp;Cלאישור מועצת העיר</oddFooter>
  </headerFooter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G45"/>
  <sheetViews>
    <sheetView rightToLeft="1" view="pageBreakPreview" topLeftCell="C13" zoomScale="85" zoomScaleNormal="100" zoomScaleSheetLayoutView="85" workbookViewId="0">
      <selection activeCell="E33" sqref="E33"/>
    </sheetView>
  </sheetViews>
  <sheetFormatPr defaultRowHeight="14.25"/>
  <cols>
    <col min="1" max="1" width="10.875" style="29" bestFit="1" customWidth="1"/>
    <col min="2" max="2" width="27.25" bestFit="1" customWidth="1"/>
    <col min="3" max="3" width="16.875" customWidth="1"/>
    <col min="4" max="4" width="16.125" customWidth="1"/>
    <col min="5" max="5" width="17.5" bestFit="1" customWidth="1"/>
  </cols>
  <sheetData>
    <row r="1" spans="1:5" ht="27.75" customHeight="1">
      <c r="A1" s="1098" t="s">
        <v>1431</v>
      </c>
      <c r="B1" s="1098"/>
      <c r="C1" s="1098"/>
      <c r="D1" s="1098"/>
      <c r="E1" s="1098"/>
    </row>
    <row r="2" spans="1:5" ht="15" thickBot="1"/>
    <row r="3" spans="1:5" ht="20.25">
      <c r="A3" s="145" t="s">
        <v>2</v>
      </c>
      <c r="B3" s="161" t="s">
        <v>1406</v>
      </c>
      <c r="C3" s="131" t="s">
        <v>2185</v>
      </c>
      <c r="D3" s="131" t="s">
        <v>3562</v>
      </c>
      <c r="E3" s="132" t="s">
        <v>3563</v>
      </c>
    </row>
    <row r="4" spans="1:5" ht="18.75">
      <c r="A4" s="54">
        <v>110</v>
      </c>
      <c r="B4" s="55" t="s">
        <v>1432</v>
      </c>
      <c r="C4" s="56">
        <f>SUMIF('הוצאות '!$C$3:$C$689,טבלה7[[#This Row],[סעיף]],'הוצאות '!$G$3:$G$689)</f>
        <v>304189567</v>
      </c>
      <c r="D4" s="56">
        <f>SUMIF('הוצאות '!$C$3:$C$689,טבלה7[[#This Row],[סעיף]],'הוצאות '!$H$3:$H$690)</f>
        <v>300121700</v>
      </c>
      <c r="E4" s="57">
        <f>SUMIF('הוצאות '!$C$3:$C$689,טבלה7[[#This Row],[סעיף]],'הוצאות '!$I$3:$I$689)</f>
        <v>325778000.39999998</v>
      </c>
    </row>
    <row r="5" spans="1:5" ht="18.75">
      <c r="A5" s="54">
        <v>410</v>
      </c>
      <c r="B5" s="55" t="s">
        <v>304</v>
      </c>
      <c r="C5" s="56">
        <f>SUMIF('הוצאות '!$C$3:$C$689,טבלה7[[#This Row],[סעיף]],'הוצאות '!$G$3:$G$689)</f>
        <v>6510999.7599999998</v>
      </c>
      <c r="D5" s="56">
        <f>SUMIF('הוצאות '!$C$3:$C$689,טבלה7[[#This Row],[סעיף]],'הוצאות '!$H$3:$H$690)</f>
        <v>5594000</v>
      </c>
      <c r="E5" s="57">
        <f>SUMIF('הוצאות '!$C$3:$C$689,טבלה7[[#This Row],[סעיף]],'הוצאות '!$I$3:$I$689)</f>
        <v>8350813.2000000002</v>
      </c>
    </row>
    <row r="6" spans="1:5" ht="18.75">
      <c r="A6" s="54">
        <v>420</v>
      </c>
      <c r="B6" s="55" t="s">
        <v>1433</v>
      </c>
      <c r="C6" s="56">
        <f>SUMIF('הוצאות '!$C$3:$C$689,טבלה7[[#This Row],[סעיף]],'הוצאות '!$G$3:$G$689)</f>
        <v>115000</v>
      </c>
      <c r="D6" s="56">
        <f>SUMIF('הוצאות '!$C$3:$C$689,טבלה7[[#This Row],[סעיף]],'הוצאות '!$H$3:$H$690)</f>
        <v>90000</v>
      </c>
      <c r="E6" s="57">
        <f>SUMIF('הוצאות '!$C$3:$C$689,טבלה7[[#This Row],[סעיף]],'הוצאות '!$I$3:$I$689)</f>
        <v>115000</v>
      </c>
    </row>
    <row r="7" spans="1:5" ht="18.75">
      <c r="A7" s="54">
        <v>430</v>
      </c>
      <c r="B7" s="55" t="s">
        <v>311</v>
      </c>
      <c r="C7" s="56">
        <f>SUMIF('הוצאות '!$C$3:$C$689,טבלה7[[#This Row],[סעיף]],'הוצאות '!$G$3:$G$689)</f>
        <v>5111000</v>
      </c>
      <c r="D7" s="56">
        <f>SUMIF('הוצאות '!$C$3:$C$689,טבלה7[[#This Row],[סעיף]],'הוצאות '!$H$3:$H$690)</f>
        <v>5294000</v>
      </c>
      <c r="E7" s="57">
        <f>SUMIF('הוצאות '!$C$3:$C$689,טבלה7[[#This Row],[סעיף]],'הוצאות '!$I$3:$I$689)</f>
        <v>4763000</v>
      </c>
    </row>
    <row r="8" spans="1:5" ht="18.75">
      <c r="A8" s="54">
        <v>432</v>
      </c>
      <c r="B8" s="55" t="s">
        <v>462</v>
      </c>
      <c r="C8" s="56">
        <f>SUMIF('הוצאות '!$C$3:$C$689,טבלה7[[#This Row],[סעיף]],'הוצאות '!$G$3:$G$689)</f>
        <v>6680000</v>
      </c>
      <c r="D8" s="56">
        <f>SUMIF('הוצאות '!$C$3:$C$689,טבלה7[[#This Row],[סעיף]],'הוצאות '!$H$3:$H$690)</f>
        <v>6680000</v>
      </c>
      <c r="E8" s="57">
        <f>SUMIF('הוצאות '!$C$3:$C$689,טבלה7[[#This Row],[סעיף]],'הוצאות '!$I$3:$I$689)</f>
        <v>6589000</v>
      </c>
    </row>
    <row r="9" spans="1:5" ht="18.75">
      <c r="A9" s="54">
        <v>440</v>
      </c>
      <c r="B9" s="55" t="s">
        <v>481</v>
      </c>
      <c r="C9" s="56">
        <f>SUMIF('הוצאות '!$C$3:$C$689,טבלה7[[#This Row],[סעיף]],'הוצאות '!$G$3:$G$689)</f>
        <v>5770000</v>
      </c>
      <c r="D9" s="56">
        <f>SUMIF('הוצאות '!$C$3:$C$689,טבלה7[[#This Row],[סעיף]],'הוצאות '!$H$3:$H$690)</f>
        <v>4210000</v>
      </c>
      <c r="E9" s="57">
        <f>SUMIF('הוצאות '!$C$3:$C$689,טבלה7[[#This Row],[סעיף]],'הוצאות '!$I$3:$I$689)</f>
        <v>5850000</v>
      </c>
    </row>
    <row r="10" spans="1:5" ht="18.75">
      <c r="A10" s="54">
        <v>450</v>
      </c>
      <c r="B10" s="55" t="s">
        <v>483</v>
      </c>
      <c r="C10" s="56">
        <f>SUMIF('הוצאות '!$C$3:$C$689,טבלה7[[#This Row],[סעיף]],'הוצאות '!$G$3:$G$689)</f>
        <v>10000</v>
      </c>
      <c r="D10" s="56">
        <f>SUMIF('הוצאות '!$C$3:$C$689,טבלה7[[#This Row],[סעיף]],'הוצאות '!$H$3:$H$690)</f>
        <v>7000</v>
      </c>
      <c r="E10" s="57">
        <f>SUMIF('הוצאות '!$C$3:$C$689,טבלה7[[#This Row],[סעיף]],'הוצאות '!$I$3:$I$689)</f>
        <v>10000</v>
      </c>
    </row>
    <row r="11" spans="1:5" ht="18.75">
      <c r="A11" s="54">
        <v>511</v>
      </c>
      <c r="B11" s="55" t="s">
        <v>1434</v>
      </c>
      <c r="C11" s="56">
        <f>SUMIF('הוצאות '!$C$3:$C$689,טבלה7[[#This Row],[סעיף]],'הוצאות '!$G$3:$G$689)</f>
        <v>74000</v>
      </c>
      <c r="D11" s="56">
        <f>SUMIF('הוצאות '!$C$3:$C$689,טבלה7[[#This Row],[סעיף]],'הוצאות '!$H$3:$H$690)</f>
        <v>58000</v>
      </c>
      <c r="E11" s="57">
        <f>SUMIF('הוצאות '!$C$3:$C$689,טבלה7[[#This Row],[סעיף]],'הוצאות '!$I$3:$I$689)</f>
        <v>74000</v>
      </c>
    </row>
    <row r="12" spans="1:5" ht="18.75">
      <c r="A12" s="54">
        <v>521</v>
      </c>
      <c r="B12" s="55" t="s">
        <v>326</v>
      </c>
      <c r="C12" s="56">
        <f>SUMIF('הוצאות '!$C$3:$C$689,טבלה7[[#This Row],[סעיף]],'הוצאות '!$G$3:$G$689)</f>
        <v>250000</v>
      </c>
      <c r="D12" s="56">
        <f>SUMIF('הוצאות '!$C$3:$C$689,טבלה7[[#This Row],[סעיף]],'הוצאות '!$H$3:$H$690)</f>
        <v>249000</v>
      </c>
      <c r="E12" s="57">
        <f>SUMIF('הוצאות '!$C$3:$C$689,טבלה7[[#This Row],[סעיף]],'הוצאות '!$I$3:$I$689)</f>
        <v>300000</v>
      </c>
    </row>
    <row r="13" spans="1:5" ht="18.75">
      <c r="A13" s="54">
        <v>522</v>
      </c>
      <c r="B13" s="55" t="s">
        <v>1435</v>
      </c>
      <c r="C13" s="56">
        <f>SUMIF('הוצאות '!$C$3:$C$689,טבלה7[[#This Row],[סעיף]],'הוצאות '!$G$3:$G$689)</f>
        <v>46000</v>
      </c>
      <c r="D13" s="56">
        <f>SUMIF('הוצאות '!$C$3:$C$689,טבלה7[[#This Row],[סעיף]],'הוצאות '!$H$3:$H$690)</f>
        <v>28000</v>
      </c>
      <c r="E13" s="57">
        <f>SUMIF('הוצאות '!$C$3:$C$689,טבלה7[[#This Row],[סעיף]],'הוצאות '!$I$3:$I$689)</f>
        <v>31000</v>
      </c>
    </row>
    <row r="14" spans="1:5" ht="18.75">
      <c r="A14" s="54">
        <v>530</v>
      </c>
      <c r="B14" s="55" t="s">
        <v>1436</v>
      </c>
      <c r="C14" s="56">
        <f>SUMIF('הוצאות '!$C$3:$C$689,טבלה7[[#This Row],[סעיף]],'הוצאות '!$G$3:$G$689)</f>
        <v>5294000</v>
      </c>
      <c r="D14" s="56">
        <f>SUMIF('הוצאות '!$C$3:$C$689,טבלה7[[#This Row],[סעיף]],'הוצאות '!$H$3:$H$690)</f>
        <v>5022000</v>
      </c>
      <c r="E14" s="57">
        <f>SUMIF('הוצאות '!$C$3:$C$689,טבלה7[[#This Row],[סעיף]],'הוצאות '!$I$3:$I$689)</f>
        <v>5443999.5999999996</v>
      </c>
    </row>
    <row r="15" spans="1:5" ht="18.75">
      <c r="A15" s="54">
        <v>540</v>
      </c>
      <c r="B15" s="55" t="s">
        <v>1437</v>
      </c>
      <c r="C15" s="56">
        <f>SUMIF('הוצאות '!$C$3:$C$689,טבלה7[[#This Row],[סעיף]],'הוצאות '!$G$3:$G$689)</f>
        <v>1330000</v>
      </c>
      <c r="D15" s="56">
        <f>SUMIF('הוצאות '!$C$3:$C$689,טבלה7[[#This Row],[סעיף]],'הוצאות '!$H$3:$H$690)</f>
        <v>1515000</v>
      </c>
      <c r="E15" s="57">
        <f>SUMIF('הוצאות '!$C$3:$C$689,טבלה7[[#This Row],[סעיף]],'הוצאות '!$I$3:$I$689)</f>
        <v>1446000</v>
      </c>
    </row>
    <row r="16" spans="1:5" ht="18.75">
      <c r="A16" s="54">
        <v>550</v>
      </c>
      <c r="B16" s="55" t="s">
        <v>318</v>
      </c>
      <c r="C16" s="56">
        <f>SUMIF('הוצאות '!$C$3:$C$689,טבלה7[[#This Row],[סעיף]],'הוצאות '!$G$3:$G$689)</f>
        <v>1450000</v>
      </c>
      <c r="D16" s="56">
        <f>SUMIF('הוצאות '!$C$3:$C$689,טבלה7[[#This Row],[סעיף]],'הוצאות '!$H$3:$H$690)</f>
        <v>1412000</v>
      </c>
      <c r="E16" s="57">
        <f>SUMIF('הוצאות '!$C$3:$C$689,טבלה7[[#This Row],[סעיף]],'הוצאות '!$I$3:$I$689)</f>
        <v>1150000</v>
      </c>
    </row>
    <row r="17" spans="1:5" ht="18.75">
      <c r="A17" s="54">
        <v>560</v>
      </c>
      <c r="B17" s="55" t="s">
        <v>1438</v>
      </c>
      <c r="C17" s="56">
        <f>SUMIF('הוצאות '!$C$3:$C$689,טבלה7[[#This Row],[סעיף]],'הוצאות '!$G$3:$G$689)</f>
        <v>90000</v>
      </c>
      <c r="D17" s="56">
        <f>SUMIF('הוצאות '!$C$3:$C$689,טבלה7[[#This Row],[סעיף]],'הוצאות '!$H$3:$H$690)</f>
        <v>89000</v>
      </c>
      <c r="E17" s="57">
        <f>SUMIF('הוצאות '!$C$3:$C$689,טבלה7[[#This Row],[סעיף]],'הוצאות '!$I$3:$I$689)</f>
        <v>90000</v>
      </c>
    </row>
    <row r="18" spans="1:5" ht="18.75">
      <c r="A18" s="54">
        <v>570</v>
      </c>
      <c r="B18" s="55" t="s">
        <v>341</v>
      </c>
      <c r="C18" s="56">
        <f>SUMIF('הוצאות '!$C$3:$C$689,טבלה7[[#This Row],[סעיף]],'הוצאות '!$G$3:$G$689)</f>
        <v>4000000</v>
      </c>
      <c r="D18" s="56">
        <f>SUMIF('הוצאות '!$C$3:$C$689,טבלה7[[#This Row],[סעיף]],'הוצאות '!$H$3:$H$690)</f>
        <v>4244000</v>
      </c>
      <c r="E18" s="57">
        <f>SUMIF('הוצאות '!$C$3:$C$689,טבלה7[[#This Row],[סעיף]],'הוצאות '!$I$3:$I$689)</f>
        <v>4200000</v>
      </c>
    </row>
    <row r="19" spans="1:5" ht="18.75">
      <c r="A19" s="54">
        <v>581</v>
      </c>
      <c r="B19" s="55" t="s">
        <v>335</v>
      </c>
      <c r="C19" s="56">
        <f>SUMIF('הוצאות '!$C$3:$C$689,טבלה7[[#This Row],[סעיף]],'הוצאות '!$G$3:$G$689)</f>
        <v>450000</v>
      </c>
      <c r="D19" s="56">
        <f>SUMIF('הוצאות '!$C$3:$C$689,טבלה7[[#This Row],[סעיף]],'הוצאות '!$H$3:$H$690)</f>
        <v>103000</v>
      </c>
      <c r="E19" s="57">
        <f>SUMIF('הוצאות '!$C$3:$C$689,טבלה7[[#This Row],[סעיף]],'הוצאות '!$I$3:$I$689)</f>
        <v>150000</v>
      </c>
    </row>
    <row r="20" spans="1:5" ht="18.75">
      <c r="A20" s="54">
        <v>610</v>
      </c>
      <c r="B20" s="55" t="s">
        <v>1439</v>
      </c>
      <c r="C20" s="56">
        <f>SUMIF('הוצאות '!$C$3:$C$689,טבלה7[[#This Row],[סעיף]],'הוצאות '!$G$3:$G$689)</f>
        <v>550000</v>
      </c>
      <c r="D20" s="56">
        <f>SUMIF('הוצאות '!$C$3:$C$689,טבלה7[[#This Row],[סעיף]],'הוצאות '!$H$3:$H$690)</f>
        <v>659000</v>
      </c>
      <c r="E20" s="57">
        <f>SUMIF('הוצאות '!$C$3:$C$689,טבלה7[[#This Row],[סעיף]],'הוצאות '!$I$3:$I$689)</f>
        <v>600000</v>
      </c>
    </row>
    <row r="21" spans="1:5" ht="18.75">
      <c r="A21" s="54">
        <v>620</v>
      </c>
      <c r="B21" s="55" t="s">
        <v>1440</v>
      </c>
      <c r="C21" s="56">
        <f>SUMIF('הוצאות '!$C$3:$C$689,טבלה7[[#This Row],[סעיף]],'הוצאות '!$G$3:$G$689)</f>
        <v>1100000</v>
      </c>
      <c r="D21" s="56">
        <f>SUMIF('הוצאות '!$C$3:$C$689,טבלה7[[#This Row],[סעיף]],'הוצאות '!$H$3:$H$690)</f>
        <v>1252000</v>
      </c>
      <c r="E21" s="57">
        <f>SUMIF('הוצאות '!$C$3:$C$689,טבלה7[[#This Row],[סעיף]],'הוצאות '!$I$3:$I$689)</f>
        <v>1200000</v>
      </c>
    </row>
    <row r="22" spans="1:5" ht="18.75">
      <c r="A22" s="54">
        <v>691</v>
      </c>
      <c r="B22" s="55" t="s">
        <v>1441</v>
      </c>
      <c r="C22" s="56">
        <f>SUMIF('הוצאות '!$C$3:$C$689,טבלה7[[#This Row],[סעיף]],'הוצאות '!$G$3:$G$689)</f>
        <v>24687000</v>
      </c>
      <c r="D22" s="56">
        <f>SUMIF('הוצאות '!$C$3:$C$689,טבלה7[[#This Row],[סעיף]],'הוצאות '!$H$3:$H$690)</f>
        <v>25170000</v>
      </c>
      <c r="E22" s="57">
        <f>SUMIF('הוצאות '!$C$3:$C$689,טבלה7[[#This Row],[סעיף]],'הוצאות '!$I$3:$I$689)</f>
        <v>25097000.390000001</v>
      </c>
    </row>
    <row r="23" spans="1:5" ht="18.75">
      <c r="A23" s="54">
        <v>692</v>
      </c>
      <c r="B23" s="55" t="s">
        <v>1442</v>
      </c>
      <c r="C23" s="56">
        <f>SUMIF('הוצאות '!$C$3:$C$689,טבלה7[[#This Row],[סעיף]],'הוצאות '!$G$3:$G$689)</f>
        <v>3959000</v>
      </c>
      <c r="D23" s="56">
        <f>SUMIF('הוצאות '!$C$3:$C$689,טבלה7[[#This Row],[סעיף]],'הוצאות '!$H$3:$H$690)</f>
        <v>4960000</v>
      </c>
      <c r="E23" s="57">
        <f>SUMIF('הוצאות '!$C$3:$C$689,טבלה7[[#This Row],[סעיף]],'הוצאות '!$I$3:$I$689)</f>
        <v>5000000.3</v>
      </c>
    </row>
    <row r="24" spans="1:5" ht="18.75">
      <c r="A24" s="54">
        <v>693</v>
      </c>
      <c r="B24" s="55" t="s">
        <v>1443</v>
      </c>
      <c r="C24" s="56">
        <f>SUMIF('הוצאות '!$C$3:$C$689,טבלה7[[#This Row],[סעיף]],'הוצאות '!$G$3:$G$689)</f>
        <v>191000</v>
      </c>
      <c r="D24" s="56">
        <f>SUMIF('הוצאות '!$C$3:$C$689,טבלה7[[#This Row],[סעיף]],'הוצאות '!$H$3:$H$690)</f>
        <v>160000</v>
      </c>
      <c r="E24" s="57">
        <f>SUMIF('הוצאות '!$C$3:$C$689,טבלה7[[#This Row],[סעיף]],'הוצאות '!$I$3:$I$689)</f>
        <v>189999.50000000003</v>
      </c>
    </row>
    <row r="25" spans="1:5" ht="18.75">
      <c r="A25" s="54">
        <v>694</v>
      </c>
      <c r="B25" s="55" t="s">
        <v>1443</v>
      </c>
      <c r="C25" s="56">
        <f>SUMIF('הוצאות '!$C$3:$C$689,טבלה7[[#This Row],[סעיף]],'הוצאות '!$G$3:$G$689)</f>
        <v>786000</v>
      </c>
      <c r="D25" s="56">
        <f>SUMIF('הוצאות '!$C$3:$C$689,טבלה7[[#This Row],[סעיף]],'הוצאות '!$H$3:$H$690)</f>
        <v>787000</v>
      </c>
      <c r="E25" s="57">
        <f>SUMIF('הוצאות '!$C$3:$C$689,טבלה7[[#This Row],[סעיף]],'הוצאות '!$I$3:$I$689)</f>
        <v>889999.52</v>
      </c>
    </row>
    <row r="26" spans="1:5" ht="18.75">
      <c r="A26" s="54">
        <v>710</v>
      </c>
      <c r="B26" s="55" t="s">
        <v>627</v>
      </c>
      <c r="C26" s="56">
        <f>SUMIF('הוצאות '!$C$3:$C$689,טבלה7[[#This Row],[סעיף]],'הוצאות '!$G$3:$G$689)</f>
        <v>10520000</v>
      </c>
      <c r="D26" s="56">
        <f>SUMIF('הוצאות '!$C$3:$C$689,טבלה7[[#This Row],[סעיף]],'הוצאות '!$H$3:$H$690)</f>
        <v>11505000</v>
      </c>
      <c r="E26" s="57">
        <f>SUMIF('הוצאות '!$C$3:$C$689,טבלה7[[#This Row],[סעיף]],'הוצאות '!$I$3:$I$689)</f>
        <v>14560000</v>
      </c>
    </row>
    <row r="27" spans="1:5" ht="18.75">
      <c r="A27" s="54">
        <v>711</v>
      </c>
      <c r="B27" s="55" t="s">
        <v>1444</v>
      </c>
      <c r="C27" s="56">
        <f>SUMIF('הוצאות '!$C$3:$C$689,טבלה7[[#This Row],[סעיף]],'הוצאות '!$G$3:$G$689)</f>
        <v>0</v>
      </c>
      <c r="D27" s="56">
        <f>SUMIF('הוצאות '!$C$3:$C$689,טבלה7[[#This Row],[סעיף]],'הוצאות '!$H$3:$H$690)</f>
        <v>0</v>
      </c>
      <c r="E27" s="57">
        <f>SUMIF('הוצאות '!$C$3:$C$689,טבלה7[[#This Row],[סעיף]],'הוצאות '!$I$3:$I$689)</f>
        <v>0</v>
      </c>
    </row>
    <row r="28" spans="1:5" ht="18.75">
      <c r="A28" s="54">
        <v>720</v>
      </c>
      <c r="B28" s="55" t="s">
        <v>1445</v>
      </c>
      <c r="C28" s="56">
        <f>SUMIF('הוצאות '!$C$3:$C$689,טבלה7[[#This Row],[סעיף]],'הוצאות '!$G$3:$G$689)</f>
        <v>428000</v>
      </c>
      <c r="D28" s="56">
        <f>SUMIF('הוצאות '!$C$3:$C$689,טבלה7[[#This Row],[סעיף]],'הוצאות '!$H$3:$H$690)</f>
        <v>429000</v>
      </c>
      <c r="E28" s="57">
        <f>SUMIF('הוצאות '!$C$3:$C$689,טבלה7[[#This Row],[סעיף]],'הוצאות '!$I$3:$I$689)</f>
        <v>455000</v>
      </c>
    </row>
    <row r="29" spans="1:5" ht="18.75">
      <c r="A29" s="54">
        <v>740</v>
      </c>
      <c r="B29" s="55" t="s">
        <v>451</v>
      </c>
      <c r="C29" s="56">
        <f>SUMIF('הוצאות '!$C$3:$C$689,טבלה7[[#This Row],[סעיף]],'הוצאות '!$G$3:$G$689)</f>
        <v>55000</v>
      </c>
      <c r="D29" s="56">
        <f>SUMIF('הוצאות '!$C$3:$C$689,טבלה7[[#This Row],[סעיף]],'הוצאות '!$H$3:$H$690)</f>
        <v>55000</v>
      </c>
      <c r="E29" s="57">
        <f>SUMIF('הוצאות '!$C$3:$C$689,טבלה7[[#This Row],[סעיף]],'הוצאות '!$I$3:$I$689)</f>
        <v>20000</v>
      </c>
    </row>
    <row r="30" spans="1:5" ht="18.75">
      <c r="A30" s="54">
        <v>743</v>
      </c>
      <c r="B30" s="55" t="s">
        <v>1446</v>
      </c>
      <c r="C30" s="56">
        <f>SUMIF('הוצאות '!$C$3:$C$689,טבלה7[[#This Row],[סעיף]],'הוצאות '!$G$3:$G$689)</f>
        <v>350000</v>
      </c>
      <c r="D30" s="56">
        <f>SUMIF('הוצאות '!$C$3:$C$689,טבלה7[[#This Row],[סעיף]],'הוצאות '!$H$3:$H$690)</f>
        <v>118000</v>
      </c>
      <c r="E30" s="57">
        <f>SUMIF('הוצאות '!$C$3:$C$689,טבלה7[[#This Row],[סעיף]],'הוצאות '!$I$3:$I$689)</f>
        <v>453000</v>
      </c>
    </row>
    <row r="31" spans="1:5" ht="18.75">
      <c r="A31" s="54" t="s">
        <v>1447</v>
      </c>
      <c r="B31" s="55" t="s">
        <v>288</v>
      </c>
      <c r="C31" s="56">
        <f>SUMIF('הוצאות '!$C$3:$C$689,750,'הוצאות '!$G$3:$G$689)+SUMIF('הוצאות '!$C$3:$C$689,751,'הוצאות '!$G$3:$G$689)+SUMIF('הוצאות '!$C$3:$C$689,752,'הוצאות '!$G$3:$G$689)+SUMIF('הוצאות '!$C$3:$C$689,753,'הוצאות '!$G$3:$G$689)+SUMIF('הוצאות '!$C$3:$C$689,754,'הוצאות '!$G$3:$G$689)+SUMIF('הוצאות '!$C$3:$C$689,755,'הוצאות '!$G$3:$G$689)+SUMIF('הוצאות '!$C$3:$C$689,756,'הוצאות '!$G$3:$G$689)+SUMIF('הוצאות '!$C$3:$C$689,757,'הוצאות '!$G$3:$G$689)</f>
        <v>117722055</v>
      </c>
      <c r="D31" s="56">
        <f>SUMIF('הוצאות '!$C$3:$C$689,750,'הוצאות '!$H$3:$H$690)+SUMIF('הוצאות '!$C$3:$C$689,751,'הוצאות '!$H$3:$H$690)+SUMIF('הוצאות '!$C$3:$C$689,752,'הוצאות '!$H$3:$H$690)+SUMIF('הוצאות '!$C$3:$C$689,753,'הוצאות '!$H$3:$H$690)+SUMIF('הוצאות '!$C$3:$C$689,754,'הוצאות '!$H$3:$H$690)+SUMIF('הוצאות '!$C$3:$C$689,755,'הוצאות '!$H$3:$H$690)+SUMIF('הוצאות '!$C$3:$C$689,756,'הוצאות '!$H$3:$H$690)+SUMIF('הוצאות '!$C$3:$C$689,757,'הוצאות '!$H$3:$H$690)</f>
        <v>122700000</v>
      </c>
      <c r="E31" s="57">
        <f>SUMIF('הוצאות '!$C$3:$C$689,750,'הוצאות '!$I$3:$I$689)+SUMIF('הוצאות '!$C$3:$C$689,751,'הוצאות '!$I$3:$I$689)+SUMIF('הוצאות '!$C$3:$C$689,752,'הוצאות '!$I$3:$I$689)+SUMIF('הוצאות '!$C$3:$C$689,753,'הוצאות '!$I$3:$I$689)+SUMIF('הוצאות '!$C$3:$C$689,754,'הוצאות '!$I$3:$I$689)+SUMIF('הוצאות '!$C$3:$C$689,755,'הוצאות '!$I$3:$I$689)+SUMIF('הוצאות '!$C$3:$C$689,756,'הוצאות '!$I$3:$I$689)+SUMIF('הוצאות '!$C$3:$C$689,757,'הוצאות '!$I$3:$I$689)+SUMIF('הוצאות '!$C$3:$C$689,758,'הוצאות '!$I$3:$I$689)</f>
        <v>121577187</v>
      </c>
    </row>
    <row r="32" spans="1:5" ht="18.75">
      <c r="A32" s="54">
        <v>760</v>
      </c>
      <c r="B32" s="55" t="s">
        <v>1448</v>
      </c>
      <c r="C32" s="56">
        <f>SUMIF('הוצאות '!$C$3:$C$689,טבלה7[[#This Row],[סעיף]],'הוצאות '!$G$3:$G$689)</f>
        <v>7600000</v>
      </c>
      <c r="D32" s="56">
        <f>SUMIF('הוצאות '!$C$3:$C$689,טבלה7[[#This Row],[סעיף]],'הוצאות '!$H$3:$H$690)</f>
        <v>7599000</v>
      </c>
      <c r="E32" s="57">
        <f>SUMIF('הוצאות '!$C$3:$C$689,טבלה7[[#This Row],[סעיף]],'הוצאות '!$I$3:$I$689)</f>
        <v>7600000</v>
      </c>
    </row>
    <row r="33" spans="1:7" ht="18.75">
      <c r="A33" s="54" t="s">
        <v>1449</v>
      </c>
      <c r="B33" s="55" t="s">
        <v>379</v>
      </c>
      <c r="C33" s="56">
        <f>SUMIF('הוצאות '!$C$3:$C$689,780,'הוצאות '!$G$3:$G$689)+SUMIF('הוצאות '!$C$3:$C$689,781,'הוצאות '!$G$3:$G$689)+SUMIF('הוצאות '!$C$3:$C$689,782,'הוצאות '!$G$3:$G$689)+SUMIF('הוצאות '!$C$3:$C$689,783,'הוצאות '!$G$3:$G$689)+SUMIF('הוצאות '!$C$3:$C$689,784,'הוצאות '!$G$3:$G$689)+SUMIF('הוצאות '!$C$3:$C$689,785,'הוצאות '!$G$3:$G$689)</f>
        <v>45031500</v>
      </c>
      <c r="D33" s="56">
        <f>SUMIF('הוצאות '!$C$3:$C$689,780,'הוצאות '!$H$3:$H$690)+SUMIF('הוצאות '!$C$3:$C$689,781,'הוצאות '!$H$3:$H$690)+SUMIF('הוצאות '!$C$3:$C$689,782,'הוצאות '!$H$3:$H$690)+SUMIF('הוצאות '!$C$3:$C$689,783,'הוצאות '!$H$3:$H$690)+SUMIF('הוצאות '!$C$3:$C$689,784,'הוצאות '!$H$3:$H$690)+SUMIF('הוצאות '!$C$3:$C$689,785,'הוצאות '!$H$3:$H$690)</f>
        <v>45177000</v>
      </c>
      <c r="E33" s="57">
        <f>SUMIF('הוצאות '!$C$3:$C$689,780,'הוצאות '!$I$3:$I$689)+SUMIF('הוצאות '!$C$3:$C$689,781,'הוצאות '!$I$3:$I$689)+SUMIF('הוצאות '!$C$3:$C$689,782,'הוצאות '!$I$3:$I$689)+SUMIF('הוצאות '!$C$3:$C$689,783,'הוצאות '!$I$3:$I$689)+SUMIF('הוצאות '!$C$3:$C$689,784,'הוצאות '!$I$3:$I$689)+SUMIF('הוצאות '!$C$3:$C$689,785,'הוצאות '!$I$3:$I$689)</f>
        <v>55893000</v>
      </c>
    </row>
    <row r="34" spans="1:7" ht="18.75">
      <c r="A34" s="54" t="s">
        <v>1450</v>
      </c>
      <c r="B34" s="55" t="s">
        <v>1451</v>
      </c>
      <c r="C34" s="56">
        <f>SUMIF('הוצאות '!$C$3:$C$689,810,'הוצאות '!$G$3:$G$689)+SUMIF('הוצאות '!$C$3:$C$689,811,'הוצאות '!$G$3:$G$689)+SUMIF('הוצאות '!$C$3:$C$689,812,'הוצאות '!$G$3:$G$689)+SUMIF('הוצאות '!$C$3:$C$689,813,'הוצאות '!$G$3:$G$689)+SUMIF('הוצאות '!$C$3:$C$689,814,'הוצאות '!$G$3:$G$689)+SUMIF('הוצאות '!$C$3:$C$689,815,'הוצאות '!$G$3:$G$689)+SUMIF('הוצאות '!$C$3:$C$689,816,'הוצאות '!$G$3:$G$689)</f>
        <v>39813378</v>
      </c>
      <c r="D34" s="56">
        <f>SUMIF('הוצאות '!$C$3:$C$689,810,'הוצאות '!$H$3:$H$690)+SUMIF('הוצאות '!$C$3:$C$689,811,'הוצאות '!$H$3:$H$690)+SUMIF('הוצאות '!$C$3:$C$689,812,'הוצאות '!$H$3:$H$690)+SUMIF('הוצאות '!$C$3:$C$689,813,'הוצאות '!$H$3:$H$690)+SUMIF('הוצאות '!$C$3:$C$689,814,'הוצאות '!$H$3:$H$690)+SUMIF('הוצאות '!$C$3:$C$689,815,'הוצאות '!$H$3:$H$690)+SUMIF('הוצאות '!$C$3:$C$689,816,'הוצאות '!$H$3:$H$690)</f>
        <v>38092000</v>
      </c>
      <c r="E34" s="57">
        <f>SUMIF('הוצאות '!$C$3:$C$689,810,'הוצאות '!$I$3:$I$689)+SUMIF('הוצאות '!$C$3:$C$689,811,'הוצאות '!$I$3:$I$689)+SUMIF('הוצאות '!$C$3:$C$689,812,'הוצאות '!$I$3:$I$689)+SUMIF('הוצאות '!$C$3:$C$689,813,'הוצאות '!$I$3:$I$689)+SUMIF('הוצאות '!$C$3:$C$689,814,'הוצאות '!$I$3:$I$689)+SUMIF('הוצאות '!$C$3:$C$689,815,'הוצאות '!$I$3:$I$689)+SUMIF('הוצאות '!$C$3:$C$689,816,'הוצאות '!$I$3:$I$689)</f>
        <v>36203000</v>
      </c>
    </row>
    <row r="35" spans="1:7" ht="18.75">
      <c r="A35" s="54" t="s">
        <v>1452</v>
      </c>
      <c r="B35" s="55" t="s">
        <v>1453</v>
      </c>
      <c r="C35" s="56">
        <f>SUMIF('הוצאות '!$C$3:$C$689,820,'הוצאות '!$G$3:$G$689)+SUMIF('הוצאות '!$C$3:$C$689,821,'הוצאות '!$G$3:$G$689)+SUMIF('הוצאות '!$C$3:$C$689,822,'הוצאות '!$G$3:$G$689)+SUMIF('הוצאות '!$C$3:$C$689,823,'הוצאות '!$G$3:$G$689)+SUMIF('הוצאות '!$C$3:$C$689,824,'הוצאות '!$G$3:$G$689)+SUMIF('הוצאות '!$C$3:$C$689,825,'הוצאות '!$G$3:$G$689)+SUMIF('הוצאות '!$C$3:$C$689,826,'הוצאות '!$G$3:$G$689)+SUMIF('הוצאות '!$C$3:$C$689,827,'הוצאות '!$G$3:$G$689)+SUMIF('הוצאות '!$C$3:$C$689,828,'הוצאות '!$G$3:$G$689)+SUMIF('הוצאות '!$C$3:$C$689,829,'הוצאות '!$G$3:$G$689)</f>
        <v>129822500</v>
      </c>
      <c r="D35" s="56">
        <f>SUMIF('הוצאות '!$C$3:$C$689,820,'הוצאות '!$H$3:$H$690)+SUMIF('הוצאות '!$C$3:$C$689,821,'הוצאות '!$H$3:$H$690)+SUMIF('הוצאות '!$C$3:$C$689,822,'הוצאות '!$H$3:$H$690)+SUMIF('הוצאות '!$C$3:$C$689,823,'הוצאות '!$H$3:$H$690)+SUMIF('הוצאות '!$C$3:$C$689,824,'הוצאות '!$H$3:$H$690)+SUMIF('הוצאות '!$C$3:$C$689,825,'הוצאות '!$H$3:$H$690)+SUMIF('הוצאות '!$C$3:$C$689,826,'הוצאות '!$H$3:$H$690)+SUMIF('הוצאות '!$C$3:$C$689,827,'הוצאות '!$H$3:$H$690)+SUMIF('הוצאות '!$C$3:$C$689,828,'הוצאות '!$H$3:$H$690)+SUMIF('הוצאות '!$C$3:$C$689,829,'הוצאות '!$H$3:$H$690)</f>
        <v>127750000</v>
      </c>
      <c r="E35" s="57">
        <f>SUMIF('הוצאות '!$C$3:$C$689,820,'הוצאות '!$I$3:$I$689)+SUMIF('הוצאות '!$C$3:$C$689,821,'הוצאות '!$I$3:$I$689)+SUMIF('הוצאות '!$C$3:$C$689,822,'הוצאות '!$I$3:$I$689)+SUMIF('הוצאות '!$C$3:$C$689,823,'הוצאות '!$I$3:$I$689)+SUMIF('הוצאות '!$C$3:$C$689,824,'הוצאות '!$I$3:$I$689)+SUMIF('הוצאות '!$C$3:$C$689,825,'הוצאות '!$I$3:$I$689)+SUMIF('הוצאות '!$C$3:$C$689,826,'הוצאות '!$I$3:$I$689)+SUMIF('הוצאות '!$C$3:$C$689,827,'הוצאות '!$I$3:$I$689)+SUMIF('הוצאות '!$C$3:$C$689,828,'הוצאות '!$I$3:$I$689)+SUMIF('הוצאות '!$C$3:$C$689,829,'הוצאות '!$I$3:$I$689)</f>
        <v>132069000</v>
      </c>
    </row>
    <row r="36" spans="1:7" ht="18.75">
      <c r="A36" s="54" t="s">
        <v>1454</v>
      </c>
      <c r="B36" s="55" t="s">
        <v>1455</v>
      </c>
      <c r="C36" s="56">
        <f>SUMIF('הוצאות '!$C$3:$C$689,830,'הוצאות '!$G$3:$G$689)+SUMIF('הוצאות '!$C$3:$C$689,831,'הוצאות '!$G$3:$G$689)+SUMIF('הוצאות '!$C$3:$C$689,832,'הוצאות '!$G$3:$G$689)+SUMIF('הוצאות '!$C$3:$C$689,833,'הוצאות '!$G$3:$G$689)+SUMIF('הוצאות '!$C$3:$C$689,834,'הוצאות '!$G$3:$G$689)</f>
        <v>1081000</v>
      </c>
      <c r="D36" s="56">
        <f>SUMIF('הוצאות '!$C$3:$C$689,830,'הוצאות '!$H$3:$H$690)+SUMIF('הוצאות '!$C$3:$C$689,831,'הוצאות '!$H$3:$H$690)+SUMIF('הוצאות '!$C$3:$C$689,832,'הוצאות '!$H$3:$H$690)+SUMIF('הוצאות '!$C$3:$C$689,833,'הוצאות '!$H$3:$H$690)+SUMIF('הוצאות '!$C$3:$C$689,834,'הוצאות '!$H$3:$H$690)</f>
        <v>1059000</v>
      </c>
      <c r="E36" s="57">
        <f>SUMIF('הוצאות '!$C$3:$C$689,830,'הוצאות '!$I$3:$I$689)+SUMIF('הוצאות '!$C$3:$C$689,831,'הוצאות '!$I$3:$I$689)+SUMIF('הוצאות '!$C$3:$C$689,832,'הוצאות '!$I$3:$I$689)+SUMIF('הוצאות '!$C$3:$C$689,833,'הוצאות '!$I$3:$I$689)+SUMIF('הוצאות '!$C$3:$C$689,834,'הוצאות '!$I$3:$I$689)</f>
        <v>1075000</v>
      </c>
    </row>
    <row r="37" spans="1:7" ht="18.75">
      <c r="A37" s="54">
        <v>850</v>
      </c>
      <c r="B37" s="55" t="s">
        <v>1456</v>
      </c>
      <c r="C37" s="56">
        <f>SUMIF('הוצאות '!$C$3:$C$689,טבלה7[[#This Row],[סעיף]],'הוצאות '!$G$3:$G$689)</f>
        <v>275000</v>
      </c>
      <c r="D37" s="56">
        <f>SUMIF('הוצאות '!$C$3:$C$689,טבלה7[[#This Row],[סעיף]],'הוצאות '!$H$3:$H$690)</f>
        <v>275000</v>
      </c>
      <c r="E37" s="57">
        <f>SUMIF('הוצאות '!$C$3:$C$689,טבלה7[[#This Row],[סעיף]],'הוצאות '!$I$3:$I$689)</f>
        <v>275000</v>
      </c>
    </row>
    <row r="38" spans="1:7" ht="18.75">
      <c r="A38" s="54">
        <v>860</v>
      </c>
      <c r="B38" s="55" t="s">
        <v>1457</v>
      </c>
      <c r="C38" s="56">
        <f>SUMIF('הוצאות '!$C$3:$C$689,טבלה7[[#This Row],[סעיף]],'הוצאות '!$G$3:$G$689)</f>
        <v>61000000</v>
      </c>
      <c r="D38" s="56">
        <f>SUMIF('הוצאות '!$C$3:$C$689,טבלה7[[#This Row],[סעיף]],'הוצאות '!$H$3:$H$690)</f>
        <v>61000000</v>
      </c>
      <c r="E38" s="57">
        <f>SUMIF('הוצאות '!$C$3:$C$689,טבלה7[[#This Row],[סעיף]],'הוצאות '!$I$3:$I$689)</f>
        <v>63999999.5</v>
      </c>
    </row>
    <row r="39" spans="1:7" ht="19.5" thickBot="1">
      <c r="A39" s="54" t="s">
        <v>1458</v>
      </c>
      <c r="B39" s="55" t="s">
        <v>280</v>
      </c>
      <c r="C39" s="56">
        <f>SUMIF('הוצאות '!$C$3:$C$689,980,'הוצאות '!$G$3:$G$689)+SUMIF('הוצאות '!$C$3:$C$689,997,'הוצאות '!$G$3:$G$689)</f>
        <v>6790000</v>
      </c>
      <c r="D39" s="56">
        <f>SUMIF('הוצאות '!$C$3:$C$689,980,'הוצאות '!$H$3:$H$690)+SUMIF('הוצאות '!$C$3:$C$689,997,'הוצאות '!$H$3:$H$690)+SUMIF('הוצאות '!$C$3:$C$689,932,'הוצאות '!$H$3:$H$690)</f>
        <v>6440000</v>
      </c>
      <c r="E39" s="57">
        <f>SUMIF('הוצאות '!$C$3:$C$689,980,'הוצאות '!$I$3:$I$689)+SUMIF('הוצאות '!$C$3:$C$689,997,'הוצאות '!$I$3:$I$689)+SUMIF('הוצאות '!$C$3:$C$689,981,'הוצאות '!$I$3:$I$689)+SUMIF('הוצאות '!$C$3:$C$689,982,'הוצאות '!$I$3:$I$689)</f>
        <v>6562000.4000000004</v>
      </c>
    </row>
    <row r="40" spans="1:7" s="28" customFormat="1" ht="20.25">
      <c r="A40" s="145" t="s">
        <v>860</v>
      </c>
      <c r="B40" s="161"/>
      <c r="C40" s="131">
        <f>SUBTOTAL(109,C4:C39)</f>
        <v>793131999.75999999</v>
      </c>
      <c r="D40" s="131">
        <f>SUBTOTAL(109,D4:D39)</f>
        <v>789903700</v>
      </c>
      <c r="E40" s="132">
        <f>SUBTOTAL(109,E4:E39)</f>
        <v>838059999.80999994</v>
      </c>
      <c r="G40" s="27"/>
    </row>
    <row r="41" spans="1:7">
      <c r="A41" s="257"/>
      <c r="B41" s="258"/>
      <c r="C41" s="944">
        <f>C40-'הוצאות '!G691</f>
        <v>0</v>
      </c>
      <c r="D41" s="944">
        <f>D40-'הוצאות '!H691</f>
        <v>0</v>
      </c>
      <c r="E41" s="944">
        <f>E40-'הוצאות '!I691</f>
        <v>0</v>
      </c>
    </row>
    <row r="42" spans="1:7">
      <c r="E42" s="478"/>
    </row>
    <row r="45" spans="1:7">
      <c r="E45" s="478"/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rstPageNumber="7" orientation="portrait" useFirstPageNumber="1" r:id="rId1"/>
  <headerFooter>
    <oddFooter>&amp;L&amp;P&amp;Cלאישור מועצת העיר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XFD281"/>
  <sheetViews>
    <sheetView rightToLeft="1" view="pageBreakPreview" topLeftCell="A139" zoomScale="85" zoomScaleNormal="85" zoomScaleSheetLayoutView="85" workbookViewId="0">
      <selection activeCell="F152" sqref="F152"/>
    </sheetView>
  </sheetViews>
  <sheetFormatPr defaultRowHeight="14.25"/>
  <cols>
    <col min="1" max="1" width="21.625" bestFit="1" customWidth="1"/>
    <col min="2" max="2" width="12.875" style="233" customWidth="1"/>
    <col min="3" max="3" width="5.5" hidden="1" customWidth="1"/>
    <col min="4" max="4" width="7.875" hidden="1" customWidth="1"/>
    <col min="5" max="5" width="7.875" style="233" hidden="1" customWidth="1"/>
    <col min="6" max="6" width="33.75" bestFit="1" customWidth="1"/>
    <col min="7" max="7" width="16.875" bestFit="1" customWidth="1"/>
    <col min="8" max="8" width="16.625" customWidth="1"/>
    <col min="9" max="9" width="16.625" bestFit="1" customWidth="1"/>
    <col min="10" max="10" width="21" style="97" customWidth="1"/>
    <col min="11" max="11" width="11" bestFit="1" customWidth="1"/>
  </cols>
  <sheetData>
    <row r="1" spans="1:16384" s="267" customFormat="1" ht="23.25">
      <c r="A1" s="1106" t="s">
        <v>0</v>
      </c>
      <c r="B1" s="1107"/>
      <c r="C1" s="1107"/>
      <c r="D1" s="1107"/>
      <c r="E1" s="1107"/>
      <c r="F1" s="1107"/>
      <c r="G1" s="1107"/>
      <c r="H1" s="1107"/>
      <c r="I1" s="1107"/>
      <c r="J1" s="1108"/>
    </row>
    <row r="2" spans="1:16384" s="267" customFormat="1" ht="23.25">
      <c r="A2" s="269" t="s">
        <v>1</v>
      </c>
      <c r="B2" s="269"/>
      <c r="C2" s="269" t="s">
        <v>2</v>
      </c>
      <c r="D2" s="269" t="s">
        <v>3</v>
      </c>
      <c r="E2" s="269"/>
      <c r="F2" s="270" t="s">
        <v>4</v>
      </c>
      <c r="G2" s="271" t="s">
        <v>2185</v>
      </c>
      <c r="H2" s="271" t="s">
        <v>3562</v>
      </c>
      <c r="I2" s="272" t="s">
        <v>3715</v>
      </c>
      <c r="J2" s="274" t="s">
        <v>5</v>
      </c>
    </row>
    <row r="3" spans="1:16384" ht="28.5">
      <c r="A3" s="480" t="s">
        <v>6</v>
      </c>
      <c r="B3" s="516">
        <v>1111100100</v>
      </c>
      <c r="C3" s="480">
        <v>100</v>
      </c>
      <c r="D3" s="480">
        <v>111100</v>
      </c>
      <c r="E3" s="480">
        <v>1</v>
      </c>
      <c r="F3" s="480" t="s">
        <v>7</v>
      </c>
      <c r="G3" s="58">
        <v>404224000</v>
      </c>
      <c r="H3" s="59">
        <f>VLOOKUP(B3,'אומדן 28.11.2022'!C:Q,15,0)</f>
        <v>415001000</v>
      </c>
      <c r="I3" s="58">
        <f>419000000+4470000+130000+3500000</f>
        <v>427100000</v>
      </c>
      <c r="J3" s="1047" t="s">
        <v>3978</v>
      </c>
      <c r="K3" s="969"/>
    </row>
    <row r="4" spans="1:16384">
      <c r="A4" s="480"/>
      <c r="B4" s="516">
        <v>1111100102</v>
      </c>
      <c r="C4" s="480">
        <v>102</v>
      </c>
      <c r="D4" s="480">
        <v>111100</v>
      </c>
      <c r="E4" s="480">
        <v>1</v>
      </c>
      <c r="F4" s="480" t="s">
        <v>8</v>
      </c>
      <c r="G4" s="58">
        <v>1600000</v>
      </c>
      <c r="H4" s="59">
        <f>VLOOKUP(B4,'אומדן 28.11.2022'!C:Q,15,0)</f>
        <v>1510000</v>
      </c>
      <c r="I4" s="58">
        <f>G4</f>
        <v>1600000</v>
      </c>
      <c r="J4" s="91"/>
      <c r="K4" s="969"/>
    </row>
    <row r="5" spans="1:16384">
      <c r="A5" s="480"/>
      <c r="B5" s="516">
        <v>1111100108</v>
      </c>
      <c r="C5" s="480">
        <v>108</v>
      </c>
      <c r="D5" s="480">
        <v>111100</v>
      </c>
      <c r="E5" s="480">
        <v>1</v>
      </c>
      <c r="F5" s="480" t="s">
        <v>9</v>
      </c>
      <c r="G5" s="58">
        <v>61000000</v>
      </c>
      <c r="H5" s="59">
        <f>VLOOKUP(B5,'אומדן 28.11.2022'!C:Q,15,0)</f>
        <v>61000000</v>
      </c>
      <c r="I5" s="58">
        <v>64000000</v>
      </c>
      <c r="J5" s="91"/>
      <c r="K5" s="969"/>
    </row>
    <row r="6" spans="1:16384" s="968" customFormat="1">
      <c r="A6" s="977"/>
      <c r="B6" s="516">
        <v>1111100910</v>
      </c>
      <c r="C6" s="977">
        <v>910</v>
      </c>
      <c r="D6" s="480">
        <v>111100</v>
      </c>
      <c r="E6" s="977"/>
      <c r="F6" s="977" t="s">
        <v>3979</v>
      </c>
      <c r="G6" s="977" t="s">
        <v>3980</v>
      </c>
      <c r="H6" s="59">
        <f>VLOOKUP(B6,'אומדן 28.11.2022'!C:Q,15,0)</f>
        <v>1434000</v>
      </c>
      <c r="I6" s="58">
        <v>0</v>
      </c>
      <c r="J6" s="977"/>
      <c r="K6" s="969"/>
      <c r="L6" s="977"/>
      <c r="M6" s="977"/>
      <c r="N6" s="977"/>
      <c r="O6" s="977"/>
      <c r="P6" s="977"/>
      <c r="Q6" s="977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  <c r="AH6" s="977"/>
      <c r="AI6" s="977"/>
      <c r="AJ6" s="977"/>
      <c r="AK6" s="977"/>
      <c r="AL6" s="977"/>
      <c r="AM6" s="977"/>
      <c r="AN6" s="977"/>
      <c r="AO6" s="977"/>
      <c r="AP6" s="977"/>
      <c r="AQ6" s="977"/>
      <c r="AR6" s="977"/>
      <c r="AS6" s="977"/>
      <c r="AT6" s="977"/>
      <c r="AU6" s="977"/>
      <c r="AV6" s="977"/>
      <c r="AW6" s="977"/>
      <c r="AX6" s="977"/>
      <c r="AY6" s="977"/>
      <c r="AZ6" s="977"/>
      <c r="BA6" s="977"/>
      <c r="BB6" s="977"/>
      <c r="BC6" s="977"/>
      <c r="BD6" s="977"/>
      <c r="BE6" s="977"/>
      <c r="BF6" s="977"/>
      <c r="BG6" s="977"/>
      <c r="BH6" s="977"/>
      <c r="BI6" s="977"/>
      <c r="BJ6" s="977"/>
      <c r="BK6" s="977"/>
      <c r="BL6" s="977"/>
      <c r="BM6" s="977"/>
      <c r="BN6" s="977"/>
      <c r="BO6" s="977"/>
      <c r="BP6" s="977"/>
      <c r="BQ6" s="977"/>
      <c r="BR6" s="977"/>
      <c r="BS6" s="977"/>
      <c r="BT6" s="977"/>
      <c r="BU6" s="977"/>
      <c r="BV6" s="977"/>
      <c r="BW6" s="977"/>
      <c r="BX6" s="977"/>
      <c r="BY6" s="977"/>
      <c r="BZ6" s="977"/>
      <c r="CA6" s="977"/>
      <c r="CB6" s="977"/>
      <c r="CC6" s="977"/>
      <c r="CD6" s="977"/>
      <c r="CE6" s="977"/>
      <c r="CF6" s="977"/>
      <c r="CG6" s="977"/>
      <c r="CH6" s="977"/>
      <c r="CI6" s="977"/>
      <c r="CJ6" s="977"/>
      <c r="CK6" s="977"/>
      <c r="CL6" s="977"/>
      <c r="CM6" s="977"/>
      <c r="CN6" s="977"/>
      <c r="CO6" s="977"/>
      <c r="CP6" s="977"/>
      <c r="CQ6" s="977"/>
      <c r="CR6" s="977"/>
      <c r="CS6" s="977"/>
      <c r="CT6" s="977"/>
      <c r="CU6" s="977"/>
      <c r="CV6" s="977"/>
      <c r="CW6" s="977"/>
      <c r="CX6" s="977"/>
      <c r="CY6" s="977"/>
      <c r="CZ6" s="977"/>
      <c r="DA6" s="977"/>
      <c r="DB6" s="977"/>
      <c r="DC6" s="977"/>
      <c r="DD6" s="977"/>
      <c r="DE6" s="977"/>
      <c r="DF6" s="977"/>
      <c r="DG6" s="977"/>
      <c r="DH6" s="977"/>
      <c r="DI6" s="977"/>
      <c r="DJ6" s="977"/>
      <c r="DK6" s="977"/>
      <c r="DL6" s="977"/>
      <c r="DM6" s="977"/>
      <c r="DN6" s="977"/>
      <c r="DO6" s="977"/>
      <c r="DP6" s="977"/>
      <c r="DQ6" s="977"/>
      <c r="DR6" s="977"/>
      <c r="DS6" s="977"/>
      <c r="DT6" s="977"/>
      <c r="DU6" s="977"/>
      <c r="DV6" s="977"/>
      <c r="DW6" s="977"/>
      <c r="DX6" s="977"/>
      <c r="DY6" s="977"/>
      <c r="DZ6" s="977"/>
      <c r="EA6" s="977"/>
      <c r="EB6" s="977"/>
      <c r="EC6" s="977"/>
      <c r="ED6" s="977"/>
      <c r="EE6" s="977"/>
      <c r="EF6" s="977"/>
      <c r="EG6" s="977"/>
      <c r="EH6" s="977"/>
      <c r="EI6" s="977"/>
      <c r="EJ6" s="977"/>
      <c r="EK6" s="977"/>
      <c r="EL6" s="977"/>
      <c r="EM6" s="977"/>
      <c r="EN6" s="977"/>
      <c r="EO6" s="977"/>
      <c r="EP6" s="977"/>
      <c r="EQ6" s="977"/>
      <c r="ER6" s="977"/>
      <c r="ES6" s="977"/>
      <c r="ET6" s="977"/>
      <c r="EU6" s="977"/>
      <c r="EV6" s="977"/>
      <c r="EW6" s="977"/>
      <c r="EX6" s="977"/>
      <c r="EY6" s="977"/>
      <c r="EZ6" s="977"/>
      <c r="FA6" s="977"/>
      <c r="FB6" s="977"/>
      <c r="FC6" s="977"/>
      <c r="FD6" s="977"/>
      <c r="FE6" s="977"/>
      <c r="FF6" s="977"/>
      <c r="FG6" s="977"/>
      <c r="FH6" s="977"/>
      <c r="FI6" s="977"/>
      <c r="FJ6" s="977"/>
      <c r="FK6" s="977"/>
      <c r="FL6" s="977"/>
      <c r="FM6" s="977"/>
      <c r="FN6" s="977"/>
      <c r="FO6" s="977"/>
      <c r="FP6" s="977"/>
      <c r="FQ6" s="977"/>
      <c r="FR6" s="977"/>
      <c r="FS6" s="977"/>
      <c r="FT6" s="977"/>
      <c r="FU6" s="977"/>
      <c r="FV6" s="977"/>
      <c r="FW6" s="977"/>
      <c r="FX6" s="977"/>
      <c r="FY6" s="977"/>
      <c r="FZ6" s="977"/>
      <c r="GA6" s="977"/>
      <c r="GB6" s="977"/>
      <c r="GC6" s="977"/>
      <c r="GD6" s="977"/>
      <c r="GE6" s="977"/>
      <c r="GF6" s="977"/>
      <c r="GG6" s="977"/>
      <c r="GH6" s="977"/>
      <c r="GI6" s="977"/>
      <c r="GJ6" s="977"/>
      <c r="GK6" s="977"/>
      <c r="GL6" s="977"/>
      <c r="GM6" s="977"/>
      <c r="GN6" s="977"/>
      <c r="GO6" s="977"/>
      <c r="GP6" s="977"/>
      <c r="GQ6" s="977"/>
      <c r="GR6" s="977"/>
      <c r="GS6" s="977"/>
      <c r="GT6" s="977"/>
      <c r="GU6" s="977"/>
      <c r="GV6" s="977"/>
      <c r="GW6" s="977"/>
      <c r="GX6" s="977"/>
      <c r="GY6" s="977"/>
      <c r="GZ6" s="977"/>
      <c r="HA6" s="977"/>
      <c r="HB6" s="977"/>
      <c r="HC6" s="977"/>
      <c r="HD6" s="977"/>
      <c r="HE6" s="977"/>
      <c r="HF6" s="977"/>
      <c r="HG6" s="977"/>
      <c r="HH6" s="977"/>
      <c r="HI6" s="977"/>
      <c r="HJ6" s="977"/>
      <c r="HK6" s="977"/>
      <c r="HL6" s="977"/>
      <c r="HM6" s="977"/>
      <c r="HN6" s="977"/>
      <c r="HO6" s="977"/>
      <c r="HP6" s="977"/>
      <c r="HQ6" s="977"/>
      <c r="HR6" s="977"/>
      <c r="HS6" s="977"/>
      <c r="HT6" s="977"/>
      <c r="HU6" s="977"/>
      <c r="HV6" s="977"/>
      <c r="HW6" s="977"/>
      <c r="HX6" s="977"/>
      <c r="HY6" s="977"/>
      <c r="HZ6" s="977"/>
      <c r="IA6" s="977"/>
      <c r="IB6" s="977"/>
      <c r="IC6" s="977"/>
      <c r="ID6" s="977"/>
      <c r="IE6" s="977"/>
      <c r="IF6" s="977"/>
      <c r="IG6" s="977"/>
      <c r="IH6" s="977"/>
      <c r="II6" s="977"/>
      <c r="IJ6" s="977"/>
      <c r="IK6" s="977"/>
      <c r="IL6" s="977"/>
      <c r="IM6" s="977"/>
      <c r="IN6" s="977"/>
      <c r="IO6" s="977"/>
      <c r="IP6" s="977"/>
      <c r="IQ6" s="977"/>
      <c r="IR6" s="977"/>
      <c r="IS6" s="977"/>
      <c r="IT6" s="977"/>
      <c r="IU6" s="977"/>
      <c r="IV6" s="977"/>
      <c r="IW6" s="977"/>
      <c r="IX6" s="977"/>
      <c r="IY6" s="977"/>
      <c r="IZ6" s="977"/>
      <c r="JA6" s="977"/>
      <c r="JB6" s="977"/>
      <c r="JC6" s="977"/>
      <c r="JD6" s="977"/>
      <c r="JE6" s="977"/>
      <c r="JF6" s="977"/>
      <c r="JG6" s="977"/>
      <c r="JH6" s="977"/>
      <c r="JI6" s="977"/>
      <c r="JJ6" s="977"/>
      <c r="JK6" s="977"/>
      <c r="JL6" s="977"/>
      <c r="JM6" s="977"/>
      <c r="JN6" s="977"/>
      <c r="JO6" s="977"/>
      <c r="JP6" s="977"/>
      <c r="JQ6" s="977"/>
      <c r="JR6" s="977"/>
      <c r="JS6" s="977"/>
      <c r="JT6" s="977"/>
      <c r="JU6" s="977"/>
      <c r="JV6" s="977"/>
      <c r="JW6" s="977"/>
      <c r="JX6" s="977"/>
      <c r="JY6" s="977"/>
      <c r="JZ6" s="977"/>
      <c r="KA6" s="977"/>
      <c r="KB6" s="977"/>
      <c r="KC6" s="977"/>
      <c r="KD6" s="977"/>
      <c r="KE6" s="977"/>
      <c r="KF6" s="977"/>
      <c r="KG6" s="977"/>
      <c r="KH6" s="977"/>
      <c r="KI6" s="977"/>
      <c r="KJ6" s="977"/>
      <c r="KK6" s="977"/>
      <c r="KL6" s="977"/>
      <c r="KM6" s="977"/>
      <c r="KN6" s="977"/>
      <c r="KO6" s="977"/>
      <c r="KP6" s="977"/>
      <c r="KQ6" s="977"/>
      <c r="KR6" s="977"/>
      <c r="KS6" s="977"/>
      <c r="KT6" s="977"/>
      <c r="KU6" s="977"/>
      <c r="KV6" s="977"/>
      <c r="KW6" s="977"/>
      <c r="KX6" s="977"/>
      <c r="KY6" s="977"/>
      <c r="KZ6" s="977"/>
      <c r="LA6" s="977"/>
      <c r="LB6" s="977"/>
      <c r="LC6" s="977"/>
      <c r="LD6" s="977"/>
      <c r="LE6" s="977"/>
      <c r="LF6" s="977"/>
      <c r="LG6" s="977"/>
      <c r="LH6" s="977"/>
      <c r="LI6" s="977"/>
      <c r="LJ6" s="977"/>
      <c r="LK6" s="977"/>
      <c r="LL6" s="977"/>
      <c r="LM6" s="977"/>
      <c r="LN6" s="977"/>
      <c r="LO6" s="977"/>
      <c r="LP6" s="977"/>
      <c r="LQ6" s="977"/>
      <c r="LR6" s="977"/>
      <c r="LS6" s="977"/>
      <c r="LT6" s="977"/>
      <c r="LU6" s="977"/>
      <c r="LV6" s="977"/>
      <c r="LW6" s="977"/>
      <c r="LX6" s="977"/>
      <c r="LY6" s="977"/>
      <c r="LZ6" s="977"/>
      <c r="MA6" s="977"/>
      <c r="MB6" s="977"/>
      <c r="MC6" s="977"/>
      <c r="MD6" s="977"/>
      <c r="ME6" s="977"/>
      <c r="MF6" s="977"/>
      <c r="MG6" s="977"/>
      <c r="MH6" s="977"/>
      <c r="MI6" s="977"/>
      <c r="MJ6" s="977"/>
      <c r="MK6" s="977"/>
      <c r="ML6" s="977"/>
      <c r="MM6" s="977"/>
      <c r="MN6" s="977"/>
      <c r="MO6" s="977"/>
      <c r="MP6" s="977"/>
      <c r="MQ6" s="977"/>
      <c r="MR6" s="977"/>
      <c r="MS6" s="977"/>
      <c r="MT6" s="977"/>
      <c r="MU6" s="977"/>
      <c r="MV6" s="977"/>
      <c r="MW6" s="977"/>
      <c r="MX6" s="977"/>
      <c r="MY6" s="977"/>
      <c r="MZ6" s="977"/>
      <c r="NA6" s="977"/>
      <c r="NB6" s="977"/>
      <c r="NC6" s="977"/>
      <c r="ND6" s="977"/>
      <c r="NE6" s="977"/>
      <c r="NF6" s="977"/>
      <c r="NG6" s="977"/>
      <c r="NH6" s="977"/>
      <c r="NI6" s="977"/>
      <c r="NJ6" s="977"/>
      <c r="NK6" s="977"/>
      <c r="NL6" s="977"/>
      <c r="NM6" s="977"/>
      <c r="NN6" s="977"/>
      <c r="NO6" s="977"/>
      <c r="NP6" s="977"/>
      <c r="NQ6" s="977"/>
      <c r="NR6" s="977"/>
      <c r="NS6" s="977"/>
      <c r="NT6" s="977"/>
      <c r="NU6" s="977"/>
      <c r="NV6" s="977"/>
      <c r="NW6" s="977"/>
      <c r="NX6" s="977"/>
      <c r="NY6" s="977"/>
      <c r="NZ6" s="977"/>
      <c r="OA6" s="977"/>
      <c r="OB6" s="977"/>
      <c r="OC6" s="977"/>
      <c r="OD6" s="977"/>
      <c r="OE6" s="977"/>
      <c r="OF6" s="977"/>
      <c r="OG6" s="977"/>
      <c r="OH6" s="977"/>
      <c r="OI6" s="977"/>
      <c r="OJ6" s="977"/>
      <c r="OK6" s="977"/>
      <c r="OL6" s="977"/>
      <c r="OM6" s="977"/>
      <c r="ON6" s="977"/>
      <c r="OO6" s="977"/>
      <c r="OP6" s="977"/>
      <c r="OQ6" s="977"/>
      <c r="OR6" s="977"/>
      <c r="OS6" s="977"/>
      <c r="OT6" s="977"/>
      <c r="OU6" s="977"/>
      <c r="OV6" s="977"/>
      <c r="OW6" s="977"/>
      <c r="OX6" s="977"/>
      <c r="OY6" s="977"/>
      <c r="OZ6" s="977"/>
      <c r="PA6" s="977"/>
      <c r="PB6" s="977"/>
      <c r="PC6" s="977"/>
      <c r="PD6" s="977"/>
      <c r="PE6" s="977"/>
      <c r="PF6" s="977"/>
      <c r="PG6" s="977"/>
      <c r="PH6" s="977"/>
      <c r="PI6" s="977"/>
      <c r="PJ6" s="977"/>
      <c r="PK6" s="977"/>
      <c r="PL6" s="977"/>
      <c r="PM6" s="977"/>
      <c r="PN6" s="977"/>
      <c r="PO6" s="977"/>
      <c r="PP6" s="977"/>
      <c r="PQ6" s="977"/>
      <c r="PR6" s="977"/>
      <c r="PS6" s="977"/>
      <c r="PT6" s="977"/>
      <c r="PU6" s="977"/>
      <c r="PV6" s="977"/>
      <c r="PW6" s="977"/>
      <c r="PX6" s="977"/>
      <c r="PY6" s="977"/>
      <c r="PZ6" s="977"/>
      <c r="QA6" s="977"/>
      <c r="QB6" s="977"/>
      <c r="QC6" s="977"/>
      <c r="QD6" s="977"/>
      <c r="QE6" s="977"/>
      <c r="QF6" s="977"/>
      <c r="QG6" s="977"/>
      <c r="QH6" s="977"/>
      <c r="QI6" s="977"/>
      <c r="QJ6" s="977"/>
      <c r="QK6" s="977"/>
      <c r="QL6" s="977"/>
      <c r="QM6" s="977"/>
      <c r="QN6" s="977"/>
      <c r="QO6" s="977"/>
      <c r="QP6" s="977"/>
      <c r="QQ6" s="977"/>
      <c r="QR6" s="977"/>
      <c r="QS6" s="977"/>
      <c r="QT6" s="977"/>
      <c r="QU6" s="977"/>
      <c r="QV6" s="977"/>
      <c r="QW6" s="977"/>
      <c r="QX6" s="977"/>
      <c r="QY6" s="977"/>
      <c r="QZ6" s="977"/>
      <c r="RA6" s="977"/>
      <c r="RB6" s="977"/>
      <c r="RC6" s="977"/>
      <c r="RD6" s="977"/>
      <c r="RE6" s="977"/>
      <c r="RF6" s="977"/>
      <c r="RG6" s="977"/>
      <c r="RH6" s="977"/>
      <c r="RI6" s="977"/>
      <c r="RJ6" s="977"/>
      <c r="RK6" s="977"/>
      <c r="RL6" s="977"/>
      <c r="RM6" s="977"/>
      <c r="RN6" s="977"/>
      <c r="RO6" s="977"/>
      <c r="RP6" s="977"/>
      <c r="RQ6" s="977"/>
      <c r="RR6" s="977"/>
      <c r="RS6" s="977"/>
      <c r="RT6" s="977"/>
      <c r="RU6" s="977"/>
      <c r="RV6" s="977"/>
      <c r="RW6" s="977"/>
      <c r="RX6" s="977"/>
      <c r="RY6" s="977"/>
      <c r="RZ6" s="977"/>
      <c r="SA6" s="977"/>
      <c r="SB6" s="977"/>
      <c r="SC6" s="977"/>
      <c r="SD6" s="977"/>
      <c r="SE6" s="977"/>
      <c r="SF6" s="977"/>
      <c r="SG6" s="977"/>
      <c r="SH6" s="977"/>
      <c r="SI6" s="977"/>
      <c r="SJ6" s="977"/>
      <c r="SK6" s="977"/>
      <c r="SL6" s="977"/>
      <c r="SM6" s="977"/>
      <c r="SN6" s="977"/>
      <c r="SO6" s="977"/>
      <c r="SP6" s="977"/>
      <c r="SQ6" s="977"/>
      <c r="SR6" s="977"/>
      <c r="SS6" s="977"/>
      <c r="ST6" s="977"/>
      <c r="SU6" s="977"/>
      <c r="SV6" s="977"/>
      <c r="SW6" s="977"/>
      <c r="SX6" s="977"/>
      <c r="SY6" s="977"/>
      <c r="SZ6" s="977"/>
      <c r="TA6" s="977"/>
      <c r="TB6" s="977"/>
      <c r="TC6" s="977"/>
      <c r="TD6" s="977"/>
      <c r="TE6" s="977"/>
      <c r="TF6" s="977"/>
      <c r="TG6" s="977"/>
      <c r="TH6" s="977"/>
      <c r="TI6" s="977"/>
      <c r="TJ6" s="977"/>
      <c r="TK6" s="977"/>
      <c r="TL6" s="977"/>
      <c r="TM6" s="977"/>
      <c r="TN6" s="977"/>
      <c r="TO6" s="977"/>
      <c r="TP6" s="977"/>
      <c r="TQ6" s="977"/>
      <c r="TR6" s="977"/>
      <c r="TS6" s="977"/>
      <c r="TT6" s="977"/>
      <c r="TU6" s="977"/>
      <c r="TV6" s="977"/>
      <c r="TW6" s="977"/>
      <c r="TX6" s="977"/>
      <c r="TY6" s="977"/>
      <c r="TZ6" s="977"/>
      <c r="UA6" s="977"/>
      <c r="UB6" s="977"/>
      <c r="UC6" s="977"/>
      <c r="UD6" s="977"/>
      <c r="UE6" s="977"/>
      <c r="UF6" s="977"/>
      <c r="UG6" s="977"/>
      <c r="UH6" s="977"/>
      <c r="UI6" s="977"/>
      <c r="UJ6" s="977"/>
      <c r="UK6" s="977"/>
      <c r="UL6" s="977"/>
      <c r="UM6" s="977"/>
      <c r="UN6" s="977"/>
      <c r="UO6" s="977"/>
      <c r="UP6" s="977"/>
      <c r="UQ6" s="977"/>
      <c r="UR6" s="977"/>
      <c r="US6" s="977"/>
      <c r="UT6" s="977"/>
      <c r="UU6" s="977"/>
      <c r="UV6" s="977"/>
      <c r="UW6" s="977"/>
      <c r="UX6" s="977"/>
      <c r="UY6" s="977"/>
      <c r="UZ6" s="977"/>
      <c r="VA6" s="977"/>
      <c r="VB6" s="977"/>
      <c r="VC6" s="977"/>
      <c r="VD6" s="977"/>
      <c r="VE6" s="977"/>
      <c r="VF6" s="977"/>
      <c r="VG6" s="977"/>
      <c r="VH6" s="977"/>
      <c r="VI6" s="977"/>
      <c r="VJ6" s="977"/>
      <c r="VK6" s="977"/>
      <c r="VL6" s="977"/>
      <c r="VM6" s="977"/>
      <c r="VN6" s="977"/>
      <c r="VO6" s="977"/>
      <c r="VP6" s="977"/>
      <c r="VQ6" s="977"/>
      <c r="VR6" s="977"/>
      <c r="VS6" s="977"/>
      <c r="VT6" s="977"/>
      <c r="VU6" s="977"/>
      <c r="VV6" s="977"/>
      <c r="VW6" s="977"/>
      <c r="VX6" s="977"/>
      <c r="VY6" s="977"/>
      <c r="VZ6" s="977"/>
      <c r="WA6" s="977"/>
      <c r="WB6" s="977"/>
      <c r="WC6" s="977"/>
      <c r="WD6" s="977"/>
      <c r="WE6" s="977"/>
      <c r="WF6" s="977"/>
      <c r="WG6" s="977"/>
      <c r="WH6" s="977"/>
      <c r="WI6" s="977"/>
      <c r="WJ6" s="977"/>
      <c r="WK6" s="977"/>
      <c r="WL6" s="977"/>
      <c r="WM6" s="977"/>
      <c r="WN6" s="977"/>
      <c r="WO6" s="977"/>
      <c r="WP6" s="977"/>
      <c r="WQ6" s="977"/>
      <c r="WR6" s="977"/>
      <c r="WS6" s="977"/>
      <c r="WT6" s="977"/>
      <c r="WU6" s="977"/>
      <c r="WV6" s="977"/>
      <c r="WW6" s="977"/>
      <c r="WX6" s="977"/>
      <c r="WY6" s="977"/>
      <c r="WZ6" s="977"/>
      <c r="XA6" s="977"/>
      <c r="XB6" s="977"/>
      <c r="XC6" s="977"/>
      <c r="XD6" s="977"/>
      <c r="XE6" s="977"/>
      <c r="XF6" s="977"/>
      <c r="XG6" s="977"/>
      <c r="XH6" s="977"/>
      <c r="XI6" s="977"/>
      <c r="XJ6" s="977"/>
      <c r="XK6" s="977"/>
      <c r="XL6" s="977"/>
      <c r="XM6" s="977"/>
      <c r="XN6" s="977"/>
      <c r="XO6" s="977"/>
      <c r="XP6" s="977"/>
      <c r="XQ6" s="977"/>
      <c r="XR6" s="977"/>
      <c r="XS6" s="977"/>
      <c r="XT6" s="977"/>
      <c r="XU6" s="977"/>
      <c r="XV6" s="977"/>
      <c r="XW6" s="977"/>
      <c r="XX6" s="977"/>
      <c r="XY6" s="977"/>
      <c r="XZ6" s="977"/>
      <c r="YA6" s="977"/>
      <c r="YB6" s="977"/>
      <c r="YC6" s="977"/>
      <c r="YD6" s="977"/>
      <c r="YE6" s="977"/>
      <c r="YF6" s="977"/>
      <c r="YG6" s="977"/>
      <c r="YH6" s="977"/>
      <c r="YI6" s="977"/>
      <c r="YJ6" s="977"/>
      <c r="YK6" s="977"/>
      <c r="YL6" s="977"/>
      <c r="YM6" s="977"/>
      <c r="YN6" s="977"/>
      <c r="YO6" s="977"/>
      <c r="YP6" s="977"/>
      <c r="YQ6" s="977"/>
      <c r="YR6" s="977"/>
      <c r="YS6" s="977"/>
      <c r="YT6" s="977"/>
      <c r="YU6" s="977"/>
      <c r="YV6" s="977"/>
      <c r="YW6" s="977"/>
      <c r="YX6" s="977"/>
      <c r="YY6" s="977"/>
      <c r="YZ6" s="977"/>
      <c r="ZA6" s="977"/>
      <c r="ZB6" s="977"/>
      <c r="ZC6" s="977"/>
      <c r="ZD6" s="977"/>
      <c r="ZE6" s="977"/>
      <c r="ZF6" s="977"/>
      <c r="ZG6" s="977"/>
      <c r="ZH6" s="977"/>
      <c r="ZI6" s="977"/>
      <c r="ZJ6" s="977"/>
      <c r="ZK6" s="977"/>
      <c r="ZL6" s="977"/>
      <c r="ZM6" s="977"/>
      <c r="ZN6" s="977"/>
      <c r="ZO6" s="977"/>
      <c r="ZP6" s="977"/>
      <c r="ZQ6" s="977"/>
      <c r="ZR6" s="977"/>
      <c r="ZS6" s="977"/>
      <c r="ZT6" s="977"/>
      <c r="ZU6" s="977"/>
      <c r="ZV6" s="977"/>
      <c r="ZW6" s="977"/>
      <c r="ZX6" s="977"/>
      <c r="ZY6" s="977"/>
      <c r="ZZ6" s="977"/>
      <c r="AAA6" s="977"/>
      <c r="AAB6" s="977"/>
      <c r="AAC6" s="977"/>
      <c r="AAD6" s="977"/>
      <c r="AAE6" s="977"/>
      <c r="AAF6" s="977"/>
      <c r="AAG6" s="977"/>
      <c r="AAH6" s="977"/>
      <c r="AAI6" s="977"/>
      <c r="AAJ6" s="977"/>
      <c r="AAK6" s="977"/>
      <c r="AAL6" s="977"/>
      <c r="AAM6" s="977"/>
      <c r="AAN6" s="977"/>
      <c r="AAO6" s="977"/>
      <c r="AAP6" s="977"/>
      <c r="AAQ6" s="977"/>
      <c r="AAR6" s="977"/>
      <c r="AAS6" s="977"/>
      <c r="AAT6" s="977"/>
      <c r="AAU6" s="977"/>
      <c r="AAV6" s="977"/>
      <c r="AAW6" s="977"/>
      <c r="AAX6" s="977"/>
      <c r="AAY6" s="977"/>
      <c r="AAZ6" s="977"/>
      <c r="ABA6" s="977"/>
      <c r="ABB6" s="977"/>
      <c r="ABC6" s="977"/>
      <c r="ABD6" s="977"/>
      <c r="ABE6" s="977"/>
      <c r="ABF6" s="977"/>
      <c r="ABG6" s="977"/>
      <c r="ABH6" s="977"/>
      <c r="ABI6" s="977"/>
      <c r="ABJ6" s="977"/>
      <c r="ABK6" s="977"/>
      <c r="ABL6" s="977"/>
      <c r="ABM6" s="977"/>
      <c r="ABN6" s="977"/>
      <c r="ABO6" s="977"/>
      <c r="ABP6" s="977"/>
      <c r="ABQ6" s="977"/>
      <c r="ABR6" s="977"/>
      <c r="ABS6" s="977"/>
      <c r="ABT6" s="977"/>
      <c r="ABU6" s="977"/>
      <c r="ABV6" s="977"/>
      <c r="ABW6" s="977"/>
      <c r="ABX6" s="977"/>
      <c r="ABY6" s="977"/>
      <c r="ABZ6" s="977"/>
      <c r="ACA6" s="977"/>
      <c r="ACB6" s="977"/>
      <c r="ACC6" s="977"/>
      <c r="ACD6" s="977"/>
      <c r="ACE6" s="977"/>
      <c r="ACF6" s="977"/>
      <c r="ACG6" s="977"/>
      <c r="ACH6" s="977"/>
      <c r="ACI6" s="977"/>
      <c r="ACJ6" s="977"/>
      <c r="ACK6" s="977"/>
      <c r="ACL6" s="977"/>
      <c r="ACM6" s="977"/>
      <c r="ACN6" s="977"/>
      <c r="ACO6" s="977"/>
      <c r="ACP6" s="977"/>
      <c r="ACQ6" s="977"/>
      <c r="ACR6" s="977"/>
      <c r="ACS6" s="977"/>
      <c r="ACT6" s="977"/>
      <c r="ACU6" s="977"/>
      <c r="ACV6" s="977"/>
      <c r="ACW6" s="977"/>
      <c r="ACX6" s="977"/>
      <c r="ACY6" s="977"/>
      <c r="ACZ6" s="977"/>
      <c r="ADA6" s="977"/>
      <c r="ADB6" s="977"/>
      <c r="ADC6" s="977"/>
      <c r="ADD6" s="977"/>
      <c r="ADE6" s="977"/>
      <c r="ADF6" s="977"/>
      <c r="ADG6" s="977"/>
      <c r="ADH6" s="977"/>
      <c r="ADI6" s="977"/>
      <c r="ADJ6" s="977"/>
      <c r="ADK6" s="977"/>
      <c r="ADL6" s="977"/>
      <c r="ADM6" s="977"/>
      <c r="ADN6" s="977"/>
      <c r="ADO6" s="977"/>
      <c r="ADP6" s="977"/>
      <c r="ADQ6" s="977"/>
      <c r="ADR6" s="977"/>
      <c r="ADS6" s="977"/>
      <c r="ADT6" s="977"/>
      <c r="ADU6" s="977"/>
      <c r="ADV6" s="977"/>
      <c r="ADW6" s="977"/>
      <c r="ADX6" s="977"/>
      <c r="ADY6" s="977"/>
      <c r="ADZ6" s="977"/>
      <c r="AEA6" s="977"/>
      <c r="AEB6" s="977"/>
      <c r="AEC6" s="977"/>
      <c r="AED6" s="977"/>
      <c r="AEE6" s="977"/>
      <c r="AEF6" s="977"/>
      <c r="AEG6" s="977"/>
      <c r="AEH6" s="977"/>
      <c r="AEI6" s="977"/>
      <c r="AEJ6" s="977"/>
      <c r="AEK6" s="977"/>
      <c r="AEL6" s="977"/>
      <c r="AEM6" s="977"/>
      <c r="AEN6" s="977"/>
      <c r="AEO6" s="977"/>
      <c r="AEP6" s="977"/>
      <c r="AEQ6" s="977"/>
      <c r="AER6" s="977"/>
      <c r="AES6" s="977"/>
      <c r="AET6" s="977"/>
      <c r="AEU6" s="977"/>
      <c r="AEV6" s="977"/>
      <c r="AEW6" s="977"/>
      <c r="AEX6" s="977"/>
      <c r="AEY6" s="977"/>
      <c r="AEZ6" s="977"/>
      <c r="AFA6" s="977"/>
      <c r="AFB6" s="977"/>
      <c r="AFC6" s="977"/>
      <c r="AFD6" s="977"/>
      <c r="AFE6" s="977"/>
      <c r="AFF6" s="977"/>
      <c r="AFG6" s="977"/>
      <c r="AFH6" s="977"/>
      <c r="AFI6" s="977"/>
      <c r="AFJ6" s="977"/>
      <c r="AFK6" s="977"/>
      <c r="AFL6" s="977"/>
      <c r="AFM6" s="977"/>
      <c r="AFN6" s="977"/>
      <c r="AFO6" s="977"/>
      <c r="AFP6" s="977"/>
      <c r="AFQ6" s="977"/>
      <c r="AFR6" s="977"/>
      <c r="AFS6" s="977"/>
      <c r="AFT6" s="977"/>
      <c r="AFU6" s="977"/>
      <c r="AFV6" s="977"/>
      <c r="AFW6" s="977"/>
      <c r="AFX6" s="977"/>
      <c r="AFY6" s="977"/>
      <c r="AFZ6" s="977"/>
      <c r="AGA6" s="977"/>
      <c r="AGB6" s="977"/>
      <c r="AGC6" s="977"/>
      <c r="AGD6" s="977"/>
      <c r="AGE6" s="977"/>
      <c r="AGF6" s="977"/>
      <c r="AGG6" s="977"/>
      <c r="AGH6" s="977"/>
      <c r="AGI6" s="977"/>
      <c r="AGJ6" s="977"/>
      <c r="AGK6" s="977"/>
      <c r="AGL6" s="977"/>
      <c r="AGM6" s="977"/>
      <c r="AGN6" s="977"/>
      <c r="AGO6" s="977"/>
      <c r="AGP6" s="977"/>
      <c r="AGQ6" s="977"/>
      <c r="AGR6" s="977"/>
      <c r="AGS6" s="977"/>
      <c r="AGT6" s="977"/>
      <c r="AGU6" s="977"/>
      <c r="AGV6" s="977"/>
      <c r="AGW6" s="977"/>
      <c r="AGX6" s="977"/>
      <c r="AGY6" s="977"/>
      <c r="AGZ6" s="977"/>
      <c r="AHA6" s="977"/>
      <c r="AHB6" s="977"/>
      <c r="AHC6" s="977"/>
      <c r="AHD6" s="977"/>
      <c r="AHE6" s="977"/>
      <c r="AHF6" s="977"/>
      <c r="AHG6" s="977"/>
      <c r="AHH6" s="977"/>
      <c r="AHI6" s="977"/>
      <c r="AHJ6" s="977"/>
      <c r="AHK6" s="977"/>
      <c r="AHL6" s="977"/>
      <c r="AHM6" s="977"/>
      <c r="AHN6" s="977"/>
      <c r="AHO6" s="977"/>
      <c r="AHP6" s="977"/>
      <c r="AHQ6" s="977"/>
      <c r="AHR6" s="977"/>
      <c r="AHS6" s="977"/>
      <c r="AHT6" s="977"/>
      <c r="AHU6" s="977"/>
      <c r="AHV6" s="977"/>
      <c r="AHW6" s="977"/>
      <c r="AHX6" s="977"/>
      <c r="AHY6" s="977"/>
      <c r="AHZ6" s="977"/>
      <c r="AIA6" s="977"/>
      <c r="AIB6" s="977"/>
      <c r="AIC6" s="977"/>
      <c r="AID6" s="977"/>
      <c r="AIE6" s="977"/>
      <c r="AIF6" s="977"/>
      <c r="AIG6" s="977"/>
      <c r="AIH6" s="977"/>
      <c r="AII6" s="977"/>
      <c r="AIJ6" s="977"/>
      <c r="AIK6" s="977"/>
      <c r="AIL6" s="977"/>
      <c r="AIM6" s="977"/>
      <c r="AIN6" s="977"/>
      <c r="AIO6" s="977"/>
      <c r="AIP6" s="977"/>
      <c r="AIQ6" s="977"/>
      <c r="AIR6" s="977"/>
      <c r="AIS6" s="977"/>
      <c r="AIT6" s="977"/>
      <c r="AIU6" s="977"/>
      <c r="AIV6" s="977"/>
      <c r="AIW6" s="977"/>
      <c r="AIX6" s="977"/>
      <c r="AIY6" s="977"/>
      <c r="AIZ6" s="977"/>
      <c r="AJA6" s="977"/>
      <c r="AJB6" s="977"/>
      <c r="AJC6" s="977"/>
      <c r="AJD6" s="977"/>
      <c r="AJE6" s="977"/>
      <c r="AJF6" s="977"/>
      <c r="AJG6" s="977"/>
      <c r="AJH6" s="977"/>
      <c r="AJI6" s="977"/>
      <c r="AJJ6" s="977"/>
      <c r="AJK6" s="977"/>
      <c r="AJL6" s="977"/>
      <c r="AJM6" s="977"/>
      <c r="AJN6" s="977"/>
      <c r="AJO6" s="977"/>
      <c r="AJP6" s="977"/>
      <c r="AJQ6" s="977"/>
      <c r="AJR6" s="977"/>
      <c r="AJS6" s="977"/>
      <c r="AJT6" s="977"/>
      <c r="AJU6" s="977"/>
      <c r="AJV6" s="977"/>
      <c r="AJW6" s="977"/>
      <c r="AJX6" s="977"/>
      <c r="AJY6" s="977"/>
      <c r="AJZ6" s="977"/>
      <c r="AKA6" s="977"/>
      <c r="AKB6" s="977"/>
      <c r="AKC6" s="977"/>
      <c r="AKD6" s="977"/>
      <c r="AKE6" s="977"/>
      <c r="AKF6" s="977"/>
      <c r="AKG6" s="977"/>
      <c r="AKH6" s="977"/>
      <c r="AKI6" s="977"/>
      <c r="AKJ6" s="977"/>
      <c r="AKK6" s="977"/>
      <c r="AKL6" s="977"/>
      <c r="AKM6" s="977"/>
      <c r="AKN6" s="977"/>
      <c r="AKO6" s="977"/>
      <c r="AKP6" s="977"/>
      <c r="AKQ6" s="977"/>
      <c r="AKR6" s="977"/>
      <c r="AKS6" s="977"/>
      <c r="AKT6" s="977"/>
      <c r="AKU6" s="977"/>
      <c r="AKV6" s="977"/>
      <c r="AKW6" s="977"/>
      <c r="AKX6" s="977"/>
      <c r="AKY6" s="977"/>
      <c r="AKZ6" s="977"/>
      <c r="ALA6" s="977"/>
      <c r="ALB6" s="977"/>
      <c r="ALC6" s="977"/>
      <c r="ALD6" s="977"/>
      <c r="ALE6" s="977"/>
      <c r="ALF6" s="977"/>
      <c r="ALG6" s="977"/>
      <c r="ALH6" s="977"/>
      <c r="ALI6" s="977"/>
      <c r="ALJ6" s="977"/>
      <c r="ALK6" s="977"/>
      <c r="ALL6" s="977"/>
      <c r="ALM6" s="977"/>
      <c r="ALN6" s="977"/>
      <c r="ALO6" s="977"/>
      <c r="ALP6" s="977"/>
      <c r="ALQ6" s="977"/>
      <c r="ALR6" s="977"/>
      <c r="ALS6" s="977"/>
      <c r="ALT6" s="977"/>
      <c r="ALU6" s="977"/>
      <c r="ALV6" s="977"/>
      <c r="ALW6" s="977"/>
      <c r="ALX6" s="977"/>
      <c r="ALY6" s="977"/>
      <c r="ALZ6" s="977"/>
      <c r="AMA6" s="977"/>
      <c r="AMB6" s="977"/>
      <c r="AMC6" s="977"/>
      <c r="AMD6" s="977"/>
      <c r="AME6" s="977"/>
      <c r="AMF6" s="977"/>
      <c r="AMG6" s="977"/>
      <c r="AMH6" s="977"/>
      <c r="AMI6" s="977"/>
      <c r="AMJ6" s="977"/>
      <c r="AMK6" s="977"/>
      <c r="AML6" s="977"/>
      <c r="AMM6" s="977"/>
      <c r="AMN6" s="977"/>
      <c r="AMO6" s="977"/>
      <c r="AMP6" s="977"/>
      <c r="AMQ6" s="977"/>
      <c r="AMR6" s="977"/>
      <c r="AMS6" s="977"/>
      <c r="AMT6" s="977"/>
      <c r="AMU6" s="977"/>
      <c r="AMV6" s="977"/>
      <c r="AMW6" s="977"/>
      <c r="AMX6" s="977"/>
      <c r="AMY6" s="977"/>
      <c r="AMZ6" s="977"/>
      <c r="ANA6" s="977"/>
      <c r="ANB6" s="977"/>
      <c r="ANC6" s="977"/>
      <c r="AND6" s="977"/>
      <c r="ANE6" s="977"/>
      <c r="ANF6" s="977"/>
      <c r="ANG6" s="977"/>
      <c r="ANH6" s="977"/>
      <c r="ANI6" s="977"/>
      <c r="ANJ6" s="977"/>
      <c r="ANK6" s="977"/>
      <c r="ANL6" s="977"/>
      <c r="ANM6" s="977"/>
      <c r="ANN6" s="977"/>
      <c r="ANO6" s="977"/>
      <c r="ANP6" s="977"/>
      <c r="ANQ6" s="977"/>
      <c r="ANR6" s="977"/>
      <c r="ANS6" s="977"/>
      <c r="ANT6" s="977"/>
      <c r="ANU6" s="977"/>
      <c r="ANV6" s="977"/>
      <c r="ANW6" s="977"/>
      <c r="ANX6" s="977"/>
      <c r="ANY6" s="977"/>
      <c r="ANZ6" s="977"/>
      <c r="AOA6" s="977"/>
      <c r="AOB6" s="977"/>
      <c r="AOC6" s="977"/>
      <c r="AOD6" s="977"/>
      <c r="AOE6" s="977"/>
      <c r="AOF6" s="977"/>
      <c r="AOG6" s="977"/>
      <c r="AOH6" s="977"/>
      <c r="AOI6" s="977"/>
      <c r="AOJ6" s="977"/>
      <c r="AOK6" s="977"/>
      <c r="AOL6" s="977"/>
      <c r="AOM6" s="977"/>
      <c r="AON6" s="977"/>
      <c r="AOO6" s="977"/>
      <c r="AOP6" s="977"/>
      <c r="AOQ6" s="977"/>
      <c r="AOR6" s="977"/>
      <c r="AOS6" s="977"/>
      <c r="AOT6" s="977"/>
      <c r="AOU6" s="977"/>
      <c r="AOV6" s="977"/>
      <c r="AOW6" s="977"/>
      <c r="AOX6" s="977"/>
      <c r="AOY6" s="977"/>
      <c r="AOZ6" s="977"/>
      <c r="APA6" s="977"/>
      <c r="APB6" s="977"/>
      <c r="APC6" s="977"/>
      <c r="APD6" s="977"/>
      <c r="APE6" s="977"/>
      <c r="APF6" s="977"/>
      <c r="APG6" s="977"/>
      <c r="APH6" s="977"/>
      <c r="API6" s="977"/>
      <c r="APJ6" s="977"/>
      <c r="APK6" s="977"/>
      <c r="APL6" s="977"/>
      <c r="APM6" s="977"/>
      <c r="APN6" s="977"/>
      <c r="APO6" s="977"/>
      <c r="APP6" s="977"/>
      <c r="APQ6" s="977"/>
      <c r="APR6" s="977"/>
      <c r="APS6" s="977"/>
      <c r="APT6" s="977"/>
      <c r="APU6" s="977"/>
      <c r="APV6" s="977"/>
      <c r="APW6" s="977"/>
      <c r="APX6" s="977"/>
      <c r="APY6" s="977"/>
      <c r="APZ6" s="977"/>
      <c r="AQA6" s="977"/>
      <c r="AQB6" s="977"/>
      <c r="AQC6" s="977"/>
      <c r="AQD6" s="977"/>
      <c r="AQE6" s="977"/>
      <c r="AQF6" s="977"/>
      <c r="AQG6" s="977"/>
      <c r="AQH6" s="977"/>
      <c r="AQI6" s="977"/>
      <c r="AQJ6" s="977"/>
      <c r="AQK6" s="977"/>
      <c r="AQL6" s="977"/>
      <c r="AQM6" s="977"/>
      <c r="AQN6" s="977"/>
      <c r="AQO6" s="977"/>
      <c r="AQP6" s="977"/>
      <c r="AQQ6" s="977"/>
      <c r="AQR6" s="977"/>
      <c r="AQS6" s="977"/>
      <c r="AQT6" s="977"/>
      <c r="AQU6" s="977"/>
      <c r="AQV6" s="977"/>
      <c r="AQW6" s="977"/>
      <c r="AQX6" s="977"/>
      <c r="AQY6" s="977"/>
      <c r="AQZ6" s="977"/>
      <c r="ARA6" s="977"/>
      <c r="ARB6" s="977"/>
      <c r="ARC6" s="977"/>
      <c r="ARD6" s="977"/>
      <c r="ARE6" s="977"/>
      <c r="ARF6" s="977"/>
      <c r="ARG6" s="977"/>
      <c r="ARH6" s="977"/>
      <c r="ARI6" s="977"/>
      <c r="ARJ6" s="977"/>
      <c r="ARK6" s="977"/>
      <c r="ARL6" s="977"/>
      <c r="ARM6" s="977"/>
      <c r="ARN6" s="977"/>
      <c r="ARO6" s="977"/>
      <c r="ARP6" s="977"/>
      <c r="ARQ6" s="977"/>
      <c r="ARR6" s="977"/>
      <c r="ARS6" s="977"/>
      <c r="ART6" s="977"/>
      <c r="ARU6" s="977"/>
      <c r="ARV6" s="977"/>
      <c r="ARW6" s="977"/>
      <c r="ARX6" s="977"/>
      <c r="ARY6" s="977"/>
      <c r="ARZ6" s="977"/>
      <c r="ASA6" s="977"/>
      <c r="ASB6" s="977"/>
      <c r="ASC6" s="977"/>
      <c r="ASD6" s="977"/>
      <c r="ASE6" s="977"/>
      <c r="ASF6" s="977"/>
      <c r="ASG6" s="977"/>
      <c r="ASH6" s="977"/>
      <c r="ASI6" s="977"/>
      <c r="ASJ6" s="977"/>
      <c r="ASK6" s="977"/>
      <c r="ASL6" s="977"/>
      <c r="ASM6" s="977"/>
      <c r="ASN6" s="977"/>
      <c r="ASO6" s="977"/>
      <c r="ASP6" s="977"/>
      <c r="ASQ6" s="977"/>
      <c r="ASR6" s="977"/>
      <c r="ASS6" s="977"/>
      <c r="AST6" s="977"/>
      <c r="ASU6" s="977"/>
      <c r="ASV6" s="977"/>
      <c r="ASW6" s="977"/>
      <c r="ASX6" s="977"/>
      <c r="ASY6" s="977"/>
      <c r="ASZ6" s="977"/>
      <c r="ATA6" s="977"/>
      <c r="ATB6" s="977"/>
      <c r="ATC6" s="977"/>
      <c r="ATD6" s="977"/>
      <c r="ATE6" s="977"/>
      <c r="ATF6" s="977"/>
      <c r="ATG6" s="977"/>
      <c r="ATH6" s="977"/>
      <c r="ATI6" s="977"/>
      <c r="ATJ6" s="977"/>
      <c r="ATK6" s="977"/>
      <c r="ATL6" s="977"/>
      <c r="ATM6" s="977"/>
      <c r="ATN6" s="977"/>
      <c r="ATO6" s="977"/>
      <c r="ATP6" s="977"/>
      <c r="ATQ6" s="977"/>
      <c r="ATR6" s="977"/>
      <c r="ATS6" s="977"/>
      <c r="ATT6" s="977"/>
      <c r="ATU6" s="977"/>
      <c r="ATV6" s="977"/>
      <c r="ATW6" s="977"/>
      <c r="ATX6" s="977"/>
      <c r="ATY6" s="977"/>
      <c r="ATZ6" s="977"/>
      <c r="AUA6" s="977"/>
      <c r="AUB6" s="977"/>
      <c r="AUC6" s="977"/>
      <c r="AUD6" s="977"/>
      <c r="AUE6" s="977"/>
      <c r="AUF6" s="977"/>
      <c r="AUG6" s="977"/>
      <c r="AUH6" s="977"/>
      <c r="AUI6" s="977"/>
      <c r="AUJ6" s="977"/>
      <c r="AUK6" s="977"/>
      <c r="AUL6" s="977"/>
      <c r="AUM6" s="977"/>
      <c r="AUN6" s="977"/>
      <c r="AUO6" s="977"/>
      <c r="AUP6" s="977"/>
      <c r="AUQ6" s="977"/>
      <c r="AUR6" s="977"/>
      <c r="AUS6" s="977"/>
      <c r="AUT6" s="977"/>
      <c r="AUU6" s="977"/>
      <c r="AUV6" s="977"/>
      <c r="AUW6" s="977"/>
      <c r="AUX6" s="977"/>
      <c r="AUY6" s="977"/>
      <c r="AUZ6" s="977"/>
      <c r="AVA6" s="977"/>
      <c r="AVB6" s="977"/>
      <c r="AVC6" s="977"/>
      <c r="AVD6" s="977"/>
      <c r="AVE6" s="977"/>
      <c r="AVF6" s="977"/>
      <c r="AVG6" s="977"/>
      <c r="AVH6" s="977"/>
      <c r="AVI6" s="977"/>
      <c r="AVJ6" s="977"/>
      <c r="AVK6" s="977"/>
      <c r="AVL6" s="977"/>
      <c r="AVM6" s="977"/>
      <c r="AVN6" s="977"/>
      <c r="AVO6" s="977"/>
      <c r="AVP6" s="977"/>
      <c r="AVQ6" s="977"/>
      <c r="AVR6" s="977"/>
      <c r="AVS6" s="977"/>
      <c r="AVT6" s="977"/>
      <c r="AVU6" s="977"/>
      <c r="AVV6" s="977"/>
      <c r="AVW6" s="977"/>
      <c r="AVX6" s="977"/>
      <c r="AVY6" s="977"/>
      <c r="AVZ6" s="977"/>
      <c r="AWA6" s="977"/>
      <c r="AWB6" s="977"/>
      <c r="AWC6" s="977"/>
      <c r="AWD6" s="977"/>
      <c r="AWE6" s="977"/>
      <c r="AWF6" s="977"/>
      <c r="AWG6" s="977"/>
      <c r="AWH6" s="977"/>
      <c r="AWI6" s="977"/>
      <c r="AWJ6" s="977"/>
      <c r="AWK6" s="977"/>
      <c r="AWL6" s="977"/>
      <c r="AWM6" s="977"/>
      <c r="AWN6" s="977"/>
      <c r="AWO6" s="977"/>
      <c r="AWP6" s="977"/>
      <c r="AWQ6" s="977"/>
      <c r="AWR6" s="977"/>
      <c r="AWS6" s="977"/>
      <c r="AWT6" s="977"/>
      <c r="AWU6" s="977"/>
      <c r="AWV6" s="977"/>
      <c r="AWW6" s="977"/>
      <c r="AWX6" s="977"/>
      <c r="AWY6" s="977"/>
      <c r="AWZ6" s="977"/>
      <c r="AXA6" s="977"/>
      <c r="AXB6" s="977"/>
      <c r="AXC6" s="977"/>
      <c r="AXD6" s="977"/>
      <c r="AXE6" s="977"/>
      <c r="AXF6" s="977"/>
      <c r="AXG6" s="977"/>
      <c r="AXH6" s="977"/>
      <c r="AXI6" s="977"/>
      <c r="AXJ6" s="977"/>
      <c r="AXK6" s="977"/>
      <c r="AXL6" s="977"/>
      <c r="AXM6" s="977"/>
      <c r="AXN6" s="977"/>
      <c r="AXO6" s="977"/>
      <c r="AXP6" s="977"/>
      <c r="AXQ6" s="977"/>
      <c r="AXR6" s="977"/>
      <c r="AXS6" s="977"/>
      <c r="AXT6" s="977"/>
      <c r="AXU6" s="977"/>
      <c r="AXV6" s="977"/>
      <c r="AXW6" s="977"/>
      <c r="AXX6" s="977"/>
      <c r="AXY6" s="977"/>
      <c r="AXZ6" s="977"/>
      <c r="AYA6" s="977"/>
      <c r="AYB6" s="977"/>
      <c r="AYC6" s="977"/>
      <c r="AYD6" s="977"/>
      <c r="AYE6" s="977"/>
      <c r="AYF6" s="977"/>
      <c r="AYG6" s="977"/>
      <c r="AYH6" s="977"/>
      <c r="AYI6" s="977"/>
      <c r="AYJ6" s="977"/>
      <c r="AYK6" s="977"/>
      <c r="AYL6" s="977"/>
      <c r="AYM6" s="977"/>
      <c r="AYN6" s="977"/>
      <c r="AYO6" s="977"/>
      <c r="AYP6" s="977"/>
      <c r="AYQ6" s="977"/>
      <c r="AYR6" s="977"/>
      <c r="AYS6" s="977"/>
      <c r="AYT6" s="977"/>
      <c r="AYU6" s="977"/>
      <c r="AYV6" s="977"/>
      <c r="AYW6" s="977"/>
      <c r="AYX6" s="977"/>
      <c r="AYY6" s="977"/>
      <c r="AYZ6" s="977"/>
      <c r="AZA6" s="977"/>
      <c r="AZB6" s="977"/>
      <c r="AZC6" s="977"/>
      <c r="AZD6" s="977"/>
      <c r="AZE6" s="977"/>
      <c r="AZF6" s="977"/>
      <c r="AZG6" s="977"/>
      <c r="AZH6" s="977"/>
      <c r="AZI6" s="977"/>
      <c r="AZJ6" s="977"/>
      <c r="AZK6" s="977"/>
      <c r="AZL6" s="977"/>
      <c r="AZM6" s="977"/>
      <c r="AZN6" s="977"/>
      <c r="AZO6" s="977"/>
      <c r="AZP6" s="977"/>
      <c r="AZQ6" s="977"/>
      <c r="AZR6" s="977"/>
      <c r="AZS6" s="977"/>
      <c r="AZT6" s="977"/>
      <c r="AZU6" s="977"/>
      <c r="AZV6" s="977"/>
      <c r="AZW6" s="977"/>
      <c r="AZX6" s="977"/>
      <c r="AZY6" s="977"/>
      <c r="AZZ6" s="977"/>
      <c r="BAA6" s="977"/>
      <c r="BAB6" s="977"/>
      <c r="BAC6" s="977"/>
      <c r="BAD6" s="977"/>
      <c r="BAE6" s="977"/>
      <c r="BAF6" s="977"/>
      <c r="BAG6" s="977"/>
      <c r="BAH6" s="977"/>
      <c r="BAI6" s="977"/>
      <c r="BAJ6" s="977"/>
      <c r="BAK6" s="977"/>
      <c r="BAL6" s="977"/>
      <c r="BAM6" s="977"/>
      <c r="BAN6" s="977"/>
      <c r="BAO6" s="977"/>
      <c r="BAP6" s="977"/>
      <c r="BAQ6" s="977"/>
      <c r="BAR6" s="977"/>
      <c r="BAS6" s="977"/>
      <c r="BAT6" s="977"/>
      <c r="BAU6" s="977"/>
      <c r="BAV6" s="977"/>
      <c r="BAW6" s="977"/>
      <c r="BAX6" s="977"/>
      <c r="BAY6" s="977"/>
      <c r="BAZ6" s="977"/>
      <c r="BBA6" s="977"/>
      <c r="BBB6" s="977"/>
      <c r="BBC6" s="977"/>
      <c r="BBD6" s="977"/>
      <c r="BBE6" s="977"/>
      <c r="BBF6" s="977"/>
      <c r="BBG6" s="977"/>
      <c r="BBH6" s="977"/>
      <c r="BBI6" s="977"/>
      <c r="BBJ6" s="977"/>
      <c r="BBK6" s="977"/>
      <c r="BBL6" s="977"/>
      <c r="BBM6" s="977"/>
      <c r="BBN6" s="977"/>
      <c r="BBO6" s="977"/>
      <c r="BBP6" s="977"/>
      <c r="BBQ6" s="977"/>
      <c r="BBR6" s="977"/>
      <c r="BBS6" s="977"/>
      <c r="BBT6" s="977"/>
      <c r="BBU6" s="977"/>
      <c r="BBV6" s="977"/>
      <c r="BBW6" s="977"/>
      <c r="BBX6" s="977"/>
      <c r="BBY6" s="977"/>
      <c r="BBZ6" s="977"/>
      <c r="BCA6" s="977"/>
      <c r="BCB6" s="977"/>
      <c r="BCC6" s="977"/>
      <c r="BCD6" s="977"/>
      <c r="BCE6" s="977"/>
      <c r="BCF6" s="977"/>
      <c r="BCG6" s="977"/>
      <c r="BCH6" s="977"/>
      <c r="BCI6" s="977"/>
      <c r="BCJ6" s="977"/>
      <c r="BCK6" s="977"/>
      <c r="BCL6" s="977"/>
      <c r="BCM6" s="977"/>
      <c r="BCN6" s="977"/>
      <c r="BCO6" s="977"/>
      <c r="BCP6" s="977"/>
      <c r="BCQ6" s="977"/>
      <c r="BCR6" s="977"/>
      <c r="BCS6" s="977"/>
      <c r="BCT6" s="977"/>
      <c r="BCU6" s="977"/>
      <c r="BCV6" s="977"/>
      <c r="BCW6" s="977"/>
      <c r="BCX6" s="977"/>
      <c r="BCY6" s="977"/>
      <c r="BCZ6" s="977"/>
      <c r="BDA6" s="977"/>
      <c r="BDB6" s="977"/>
      <c r="BDC6" s="977"/>
      <c r="BDD6" s="977"/>
      <c r="BDE6" s="977"/>
      <c r="BDF6" s="977"/>
      <c r="BDG6" s="977"/>
      <c r="BDH6" s="977"/>
      <c r="BDI6" s="977"/>
      <c r="BDJ6" s="977"/>
      <c r="BDK6" s="977"/>
      <c r="BDL6" s="977"/>
      <c r="BDM6" s="977"/>
      <c r="BDN6" s="977"/>
      <c r="BDO6" s="977"/>
      <c r="BDP6" s="977"/>
      <c r="BDQ6" s="977"/>
      <c r="BDR6" s="977"/>
      <c r="BDS6" s="977"/>
      <c r="BDT6" s="977"/>
      <c r="BDU6" s="977"/>
      <c r="BDV6" s="977"/>
      <c r="BDW6" s="977"/>
      <c r="BDX6" s="977"/>
      <c r="BDY6" s="977"/>
      <c r="BDZ6" s="977"/>
      <c r="BEA6" s="977"/>
      <c r="BEB6" s="977"/>
      <c r="BEC6" s="977"/>
      <c r="BED6" s="977"/>
      <c r="BEE6" s="977"/>
      <c r="BEF6" s="977"/>
      <c r="BEG6" s="977"/>
      <c r="BEH6" s="977"/>
      <c r="BEI6" s="977"/>
      <c r="BEJ6" s="977"/>
      <c r="BEK6" s="977"/>
      <c r="BEL6" s="977"/>
      <c r="BEM6" s="977"/>
      <c r="BEN6" s="977"/>
      <c r="BEO6" s="977"/>
      <c r="BEP6" s="977"/>
      <c r="BEQ6" s="977"/>
      <c r="BER6" s="977"/>
      <c r="BES6" s="977"/>
      <c r="BET6" s="977"/>
      <c r="BEU6" s="977"/>
      <c r="BEV6" s="977"/>
      <c r="BEW6" s="977"/>
      <c r="BEX6" s="977"/>
      <c r="BEY6" s="977"/>
      <c r="BEZ6" s="977"/>
      <c r="BFA6" s="977"/>
      <c r="BFB6" s="977"/>
      <c r="BFC6" s="977"/>
      <c r="BFD6" s="977"/>
      <c r="BFE6" s="977"/>
      <c r="BFF6" s="977"/>
      <c r="BFG6" s="977"/>
      <c r="BFH6" s="977"/>
      <c r="BFI6" s="977"/>
      <c r="BFJ6" s="977"/>
      <c r="BFK6" s="977"/>
      <c r="BFL6" s="977"/>
      <c r="BFM6" s="977"/>
      <c r="BFN6" s="977"/>
      <c r="BFO6" s="977"/>
      <c r="BFP6" s="977"/>
      <c r="BFQ6" s="977"/>
      <c r="BFR6" s="977"/>
      <c r="BFS6" s="977"/>
      <c r="BFT6" s="977"/>
      <c r="BFU6" s="977"/>
      <c r="BFV6" s="977"/>
      <c r="BFW6" s="977"/>
      <c r="BFX6" s="977"/>
      <c r="BFY6" s="977"/>
      <c r="BFZ6" s="977"/>
      <c r="BGA6" s="977"/>
      <c r="BGB6" s="977"/>
      <c r="BGC6" s="977"/>
      <c r="BGD6" s="977"/>
      <c r="BGE6" s="977"/>
      <c r="BGF6" s="977"/>
      <c r="BGG6" s="977"/>
      <c r="BGH6" s="977"/>
      <c r="BGI6" s="977"/>
      <c r="BGJ6" s="977"/>
      <c r="BGK6" s="977"/>
      <c r="BGL6" s="977"/>
      <c r="BGM6" s="977"/>
      <c r="BGN6" s="977"/>
      <c r="BGO6" s="977"/>
      <c r="BGP6" s="977"/>
      <c r="BGQ6" s="977"/>
      <c r="BGR6" s="977"/>
      <c r="BGS6" s="977"/>
      <c r="BGT6" s="977"/>
      <c r="BGU6" s="977"/>
      <c r="BGV6" s="977"/>
      <c r="BGW6" s="977"/>
      <c r="BGX6" s="977"/>
      <c r="BGY6" s="977"/>
      <c r="BGZ6" s="977"/>
      <c r="BHA6" s="977"/>
      <c r="BHB6" s="977"/>
      <c r="BHC6" s="977"/>
      <c r="BHD6" s="977"/>
      <c r="BHE6" s="977"/>
      <c r="BHF6" s="977"/>
      <c r="BHG6" s="977"/>
      <c r="BHH6" s="977"/>
      <c r="BHI6" s="977"/>
      <c r="BHJ6" s="977"/>
      <c r="BHK6" s="977"/>
      <c r="BHL6" s="977"/>
      <c r="BHM6" s="977"/>
      <c r="BHN6" s="977"/>
      <c r="BHO6" s="977"/>
      <c r="BHP6" s="977"/>
      <c r="BHQ6" s="977"/>
      <c r="BHR6" s="977"/>
      <c r="BHS6" s="977"/>
      <c r="BHT6" s="977"/>
      <c r="BHU6" s="977"/>
      <c r="BHV6" s="977"/>
      <c r="BHW6" s="977"/>
      <c r="BHX6" s="977"/>
      <c r="BHY6" s="977"/>
      <c r="BHZ6" s="977"/>
      <c r="BIA6" s="977"/>
      <c r="BIB6" s="977"/>
      <c r="BIC6" s="977"/>
      <c r="BID6" s="977"/>
      <c r="BIE6" s="977"/>
      <c r="BIF6" s="977"/>
      <c r="BIG6" s="977"/>
      <c r="BIH6" s="977"/>
      <c r="BII6" s="977"/>
      <c r="BIJ6" s="977"/>
      <c r="BIK6" s="977"/>
      <c r="BIL6" s="977"/>
      <c r="BIM6" s="977"/>
      <c r="BIN6" s="977"/>
      <c r="BIO6" s="977"/>
      <c r="BIP6" s="977"/>
      <c r="BIQ6" s="977"/>
      <c r="BIR6" s="977"/>
      <c r="BIS6" s="977"/>
      <c r="BIT6" s="977"/>
      <c r="BIU6" s="977"/>
      <c r="BIV6" s="977"/>
      <c r="BIW6" s="977"/>
      <c r="BIX6" s="977"/>
      <c r="BIY6" s="977"/>
      <c r="BIZ6" s="977"/>
      <c r="BJA6" s="977"/>
      <c r="BJB6" s="977"/>
      <c r="BJC6" s="977"/>
      <c r="BJD6" s="977"/>
      <c r="BJE6" s="977"/>
      <c r="BJF6" s="977"/>
      <c r="BJG6" s="977"/>
      <c r="BJH6" s="977"/>
      <c r="BJI6" s="977"/>
      <c r="BJJ6" s="977"/>
      <c r="BJK6" s="977"/>
      <c r="BJL6" s="977"/>
      <c r="BJM6" s="977"/>
      <c r="BJN6" s="977"/>
      <c r="BJO6" s="977"/>
      <c r="BJP6" s="977"/>
      <c r="BJQ6" s="977"/>
      <c r="BJR6" s="977"/>
      <c r="BJS6" s="977"/>
      <c r="BJT6" s="977"/>
      <c r="BJU6" s="977"/>
      <c r="BJV6" s="977"/>
      <c r="BJW6" s="977"/>
      <c r="BJX6" s="977"/>
      <c r="BJY6" s="977"/>
      <c r="BJZ6" s="977"/>
      <c r="BKA6" s="977"/>
      <c r="BKB6" s="977"/>
      <c r="BKC6" s="977"/>
      <c r="BKD6" s="977"/>
      <c r="BKE6" s="977"/>
      <c r="BKF6" s="977"/>
      <c r="BKG6" s="977"/>
      <c r="BKH6" s="977"/>
      <c r="BKI6" s="977"/>
      <c r="BKJ6" s="977"/>
      <c r="BKK6" s="977"/>
      <c r="BKL6" s="977"/>
      <c r="BKM6" s="977"/>
      <c r="BKN6" s="977"/>
      <c r="BKO6" s="977"/>
      <c r="BKP6" s="977"/>
      <c r="BKQ6" s="977"/>
      <c r="BKR6" s="977"/>
      <c r="BKS6" s="977"/>
      <c r="BKT6" s="977"/>
      <c r="BKU6" s="977"/>
      <c r="BKV6" s="977"/>
      <c r="BKW6" s="977"/>
      <c r="BKX6" s="977"/>
      <c r="BKY6" s="977"/>
      <c r="BKZ6" s="977"/>
      <c r="BLA6" s="977"/>
      <c r="BLB6" s="977"/>
      <c r="BLC6" s="977"/>
      <c r="BLD6" s="977"/>
      <c r="BLE6" s="977"/>
      <c r="BLF6" s="977"/>
      <c r="BLG6" s="977"/>
      <c r="BLH6" s="977"/>
      <c r="BLI6" s="977"/>
      <c r="BLJ6" s="977"/>
      <c r="BLK6" s="977"/>
      <c r="BLL6" s="977"/>
      <c r="BLM6" s="977"/>
      <c r="BLN6" s="977"/>
      <c r="BLO6" s="977"/>
      <c r="BLP6" s="977"/>
      <c r="BLQ6" s="977"/>
      <c r="BLR6" s="977"/>
      <c r="BLS6" s="977"/>
      <c r="BLT6" s="977"/>
      <c r="BLU6" s="977"/>
      <c r="BLV6" s="977"/>
      <c r="BLW6" s="977"/>
      <c r="BLX6" s="977"/>
      <c r="BLY6" s="977"/>
      <c r="BLZ6" s="977"/>
      <c r="BMA6" s="977"/>
      <c r="BMB6" s="977"/>
      <c r="BMC6" s="977"/>
      <c r="BMD6" s="977"/>
      <c r="BME6" s="977"/>
      <c r="BMF6" s="977"/>
      <c r="BMG6" s="977"/>
      <c r="BMH6" s="977"/>
      <c r="BMI6" s="977"/>
      <c r="BMJ6" s="977"/>
      <c r="BMK6" s="977"/>
      <c r="BML6" s="977"/>
      <c r="BMM6" s="977"/>
      <c r="BMN6" s="977"/>
      <c r="BMO6" s="977"/>
      <c r="BMP6" s="977"/>
      <c r="BMQ6" s="977"/>
      <c r="BMR6" s="977"/>
      <c r="BMS6" s="977"/>
      <c r="BMT6" s="977"/>
      <c r="BMU6" s="977"/>
      <c r="BMV6" s="977"/>
      <c r="BMW6" s="977"/>
      <c r="BMX6" s="977"/>
      <c r="BMY6" s="977"/>
      <c r="BMZ6" s="977"/>
      <c r="BNA6" s="977"/>
      <c r="BNB6" s="977"/>
      <c r="BNC6" s="977"/>
      <c r="BND6" s="977"/>
      <c r="BNE6" s="977"/>
      <c r="BNF6" s="977"/>
      <c r="BNG6" s="977"/>
      <c r="BNH6" s="977"/>
      <c r="BNI6" s="977"/>
      <c r="BNJ6" s="977"/>
      <c r="BNK6" s="977"/>
      <c r="BNL6" s="977"/>
      <c r="BNM6" s="977"/>
      <c r="BNN6" s="977"/>
      <c r="BNO6" s="977"/>
      <c r="BNP6" s="977"/>
      <c r="BNQ6" s="977"/>
      <c r="BNR6" s="977"/>
      <c r="BNS6" s="977"/>
      <c r="BNT6" s="977"/>
      <c r="BNU6" s="977"/>
      <c r="BNV6" s="977"/>
      <c r="BNW6" s="977"/>
      <c r="BNX6" s="977"/>
      <c r="BNY6" s="977"/>
      <c r="BNZ6" s="977"/>
      <c r="BOA6" s="977"/>
      <c r="BOB6" s="977"/>
      <c r="BOC6" s="977"/>
      <c r="BOD6" s="977"/>
      <c r="BOE6" s="977"/>
      <c r="BOF6" s="977"/>
      <c r="BOG6" s="977"/>
      <c r="BOH6" s="977"/>
      <c r="BOI6" s="977"/>
      <c r="BOJ6" s="977"/>
      <c r="BOK6" s="977"/>
      <c r="BOL6" s="977"/>
      <c r="BOM6" s="977"/>
      <c r="BON6" s="977"/>
      <c r="BOO6" s="977"/>
      <c r="BOP6" s="977"/>
      <c r="BOQ6" s="977"/>
      <c r="BOR6" s="977"/>
      <c r="BOS6" s="977"/>
      <c r="BOT6" s="977"/>
      <c r="BOU6" s="977"/>
      <c r="BOV6" s="977"/>
      <c r="BOW6" s="977"/>
      <c r="BOX6" s="977"/>
      <c r="BOY6" s="977"/>
      <c r="BOZ6" s="977"/>
      <c r="BPA6" s="977"/>
      <c r="BPB6" s="977"/>
      <c r="BPC6" s="977"/>
      <c r="BPD6" s="977"/>
      <c r="BPE6" s="977"/>
      <c r="BPF6" s="977"/>
      <c r="BPG6" s="977"/>
      <c r="BPH6" s="977"/>
      <c r="BPI6" s="977"/>
      <c r="BPJ6" s="977"/>
      <c r="BPK6" s="977"/>
      <c r="BPL6" s="977"/>
      <c r="BPM6" s="977"/>
      <c r="BPN6" s="977"/>
      <c r="BPO6" s="977"/>
      <c r="BPP6" s="977"/>
      <c r="BPQ6" s="977"/>
      <c r="BPR6" s="977"/>
      <c r="BPS6" s="977"/>
      <c r="BPT6" s="977"/>
      <c r="BPU6" s="977"/>
      <c r="BPV6" s="977"/>
      <c r="BPW6" s="977"/>
      <c r="BPX6" s="977"/>
      <c r="BPY6" s="977"/>
      <c r="BPZ6" s="977"/>
      <c r="BQA6" s="977"/>
      <c r="BQB6" s="977"/>
      <c r="BQC6" s="977"/>
      <c r="BQD6" s="977"/>
      <c r="BQE6" s="977"/>
      <c r="BQF6" s="977"/>
      <c r="BQG6" s="977"/>
      <c r="BQH6" s="977"/>
      <c r="BQI6" s="977"/>
      <c r="BQJ6" s="977"/>
      <c r="BQK6" s="977"/>
      <c r="BQL6" s="977"/>
      <c r="BQM6" s="977"/>
      <c r="BQN6" s="977"/>
      <c r="BQO6" s="977"/>
      <c r="BQP6" s="977"/>
      <c r="BQQ6" s="977"/>
      <c r="BQR6" s="977"/>
      <c r="BQS6" s="977"/>
      <c r="BQT6" s="977"/>
      <c r="BQU6" s="977"/>
      <c r="BQV6" s="977"/>
      <c r="BQW6" s="977"/>
      <c r="BQX6" s="977"/>
      <c r="BQY6" s="977"/>
      <c r="BQZ6" s="977"/>
      <c r="BRA6" s="977"/>
      <c r="BRB6" s="977"/>
      <c r="BRC6" s="977"/>
      <c r="BRD6" s="977"/>
      <c r="BRE6" s="977"/>
      <c r="BRF6" s="977"/>
      <c r="BRG6" s="977"/>
      <c r="BRH6" s="977"/>
      <c r="BRI6" s="977"/>
      <c r="BRJ6" s="977"/>
      <c r="BRK6" s="977"/>
      <c r="BRL6" s="977"/>
      <c r="BRM6" s="977"/>
      <c r="BRN6" s="977"/>
      <c r="BRO6" s="977"/>
      <c r="BRP6" s="977"/>
      <c r="BRQ6" s="977"/>
      <c r="BRR6" s="977"/>
      <c r="BRS6" s="977"/>
      <c r="BRT6" s="977"/>
      <c r="BRU6" s="977"/>
      <c r="BRV6" s="977"/>
      <c r="BRW6" s="977"/>
      <c r="BRX6" s="977"/>
      <c r="BRY6" s="977"/>
      <c r="BRZ6" s="977"/>
      <c r="BSA6" s="977"/>
      <c r="BSB6" s="977"/>
      <c r="BSC6" s="977"/>
      <c r="BSD6" s="977"/>
      <c r="BSE6" s="977"/>
      <c r="BSF6" s="977"/>
      <c r="BSG6" s="977"/>
      <c r="BSH6" s="977"/>
      <c r="BSI6" s="977"/>
      <c r="BSJ6" s="977"/>
      <c r="BSK6" s="977"/>
      <c r="BSL6" s="977"/>
      <c r="BSM6" s="977"/>
      <c r="BSN6" s="977"/>
      <c r="BSO6" s="977"/>
      <c r="BSP6" s="977"/>
      <c r="BSQ6" s="977"/>
      <c r="BSR6" s="977"/>
      <c r="BSS6" s="977"/>
      <c r="BST6" s="977"/>
      <c r="BSU6" s="977"/>
      <c r="BSV6" s="977"/>
      <c r="BSW6" s="977"/>
      <c r="BSX6" s="977"/>
      <c r="BSY6" s="977"/>
      <c r="BSZ6" s="977"/>
      <c r="BTA6" s="977"/>
      <c r="BTB6" s="977"/>
      <c r="BTC6" s="977"/>
      <c r="BTD6" s="977"/>
      <c r="BTE6" s="977"/>
      <c r="BTF6" s="977"/>
      <c r="BTG6" s="977"/>
      <c r="BTH6" s="977"/>
      <c r="BTI6" s="977"/>
      <c r="BTJ6" s="977"/>
      <c r="BTK6" s="977"/>
      <c r="BTL6" s="977"/>
      <c r="BTM6" s="977"/>
      <c r="BTN6" s="977"/>
      <c r="BTO6" s="977"/>
      <c r="BTP6" s="977"/>
      <c r="BTQ6" s="977"/>
      <c r="BTR6" s="977"/>
      <c r="BTS6" s="977"/>
      <c r="BTT6" s="977"/>
      <c r="BTU6" s="977"/>
      <c r="BTV6" s="977"/>
      <c r="BTW6" s="977"/>
      <c r="BTX6" s="977"/>
      <c r="BTY6" s="977"/>
      <c r="BTZ6" s="977"/>
      <c r="BUA6" s="977"/>
      <c r="BUB6" s="977"/>
      <c r="BUC6" s="977"/>
      <c r="BUD6" s="977"/>
      <c r="BUE6" s="977"/>
      <c r="BUF6" s="977"/>
      <c r="BUG6" s="977"/>
      <c r="BUH6" s="977"/>
      <c r="BUI6" s="977"/>
      <c r="BUJ6" s="977"/>
      <c r="BUK6" s="977"/>
      <c r="BUL6" s="977"/>
      <c r="BUM6" s="977"/>
      <c r="BUN6" s="977"/>
      <c r="BUO6" s="977"/>
      <c r="BUP6" s="977"/>
      <c r="BUQ6" s="977"/>
      <c r="BUR6" s="977"/>
      <c r="BUS6" s="977"/>
      <c r="BUT6" s="977"/>
      <c r="BUU6" s="977"/>
      <c r="BUV6" s="977"/>
      <c r="BUW6" s="977"/>
      <c r="BUX6" s="977"/>
      <c r="BUY6" s="977"/>
      <c r="BUZ6" s="977"/>
      <c r="BVA6" s="977"/>
      <c r="BVB6" s="977"/>
      <c r="BVC6" s="977"/>
      <c r="BVD6" s="977"/>
      <c r="BVE6" s="977"/>
      <c r="BVF6" s="977"/>
      <c r="BVG6" s="977"/>
      <c r="BVH6" s="977"/>
      <c r="BVI6" s="977"/>
      <c r="BVJ6" s="977"/>
      <c r="BVK6" s="977"/>
      <c r="BVL6" s="977"/>
      <c r="BVM6" s="977"/>
      <c r="BVN6" s="977"/>
      <c r="BVO6" s="977"/>
      <c r="BVP6" s="977"/>
      <c r="BVQ6" s="977"/>
      <c r="BVR6" s="977"/>
      <c r="BVS6" s="977"/>
      <c r="BVT6" s="977"/>
      <c r="BVU6" s="977"/>
      <c r="BVV6" s="977"/>
      <c r="BVW6" s="977"/>
      <c r="BVX6" s="977"/>
      <c r="BVY6" s="977"/>
      <c r="BVZ6" s="977"/>
      <c r="BWA6" s="977"/>
      <c r="BWB6" s="977"/>
      <c r="BWC6" s="977"/>
      <c r="BWD6" s="977"/>
      <c r="BWE6" s="977"/>
      <c r="BWF6" s="977"/>
      <c r="BWG6" s="977"/>
      <c r="BWH6" s="977"/>
      <c r="BWI6" s="977"/>
      <c r="BWJ6" s="977"/>
      <c r="BWK6" s="977"/>
      <c r="BWL6" s="977"/>
      <c r="BWM6" s="977"/>
      <c r="BWN6" s="977"/>
      <c r="BWO6" s="977"/>
      <c r="BWP6" s="977"/>
      <c r="BWQ6" s="977"/>
      <c r="BWR6" s="977"/>
      <c r="BWS6" s="977"/>
      <c r="BWT6" s="977"/>
      <c r="BWU6" s="977"/>
      <c r="BWV6" s="977"/>
      <c r="BWW6" s="977"/>
      <c r="BWX6" s="977"/>
      <c r="BWY6" s="977"/>
      <c r="BWZ6" s="977"/>
      <c r="BXA6" s="977"/>
      <c r="BXB6" s="977"/>
      <c r="BXC6" s="977"/>
      <c r="BXD6" s="977"/>
      <c r="BXE6" s="977"/>
      <c r="BXF6" s="977"/>
      <c r="BXG6" s="977"/>
      <c r="BXH6" s="977"/>
      <c r="BXI6" s="977"/>
      <c r="BXJ6" s="977"/>
      <c r="BXK6" s="977"/>
      <c r="BXL6" s="977"/>
      <c r="BXM6" s="977"/>
      <c r="BXN6" s="977"/>
      <c r="BXO6" s="977"/>
      <c r="BXP6" s="977"/>
      <c r="BXQ6" s="977"/>
      <c r="BXR6" s="977"/>
      <c r="BXS6" s="977"/>
      <c r="BXT6" s="977"/>
      <c r="BXU6" s="977"/>
      <c r="BXV6" s="977"/>
      <c r="BXW6" s="977"/>
      <c r="BXX6" s="977"/>
      <c r="BXY6" s="977"/>
      <c r="BXZ6" s="977"/>
      <c r="BYA6" s="977"/>
      <c r="BYB6" s="977"/>
      <c r="BYC6" s="977"/>
      <c r="BYD6" s="977"/>
      <c r="BYE6" s="977"/>
      <c r="BYF6" s="977"/>
      <c r="BYG6" s="977"/>
      <c r="BYH6" s="977"/>
      <c r="BYI6" s="977"/>
      <c r="BYJ6" s="977"/>
      <c r="BYK6" s="977"/>
      <c r="BYL6" s="977"/>
      <c r="BYM6" s="977"/>
      <c r="BYN6" s="977"/>
      <c r="BYO6" s="977"/>
      <c r="BYP6" s="977"/>
      <c r="BYQ6" s="977"/>
      <c r="BYR6" s="977"/>
      <c r="BYS6" s="977"/>
      <c r="BYT6" s="977"/>
      <c r="BYU6" s="977"/>
      <c r="BYV6" s="977"/>
      <c r="BYW6" s="977"/>
      <c r="BYX6" s="977"/>
      <c r="BYY6" s="977"/>
      <c r="BYZ6" s="977"/>
      <c r="BZA6" s="977"/>
      <c r="BZB6" s="977"/>
      <c r="BZC6" s="977"/>
      <c r="BZD6" s="977"/>
      <c r="BZE6" s="977"/>
      <c r="BZF6" s="977"/>
      <c r="BZG6" s="977"/>
      <c r="BZH6" s="977"/>
      <c r="BZI6" s="977"/>
      <c r="BZJ6" s="977"/>
      <c r="BZK6" s="977"/>
      <c r="BZL6" s="977"/>
      <c r="BZM6" s="977"/>
      <c r="BZN6" s="977"/>
      <c r="BZO6" s="977"/>
      <c r="BZP6" s="977"/>
      <c r="BZQ6" s="977"/>
      <c r="BZR6" s="977"/>
      <c r="BZS6" s="977"/>
      <c r="BZT6" s="977"/>
      <c r="BZU6" s="977"/>
      <c r="BZV6" s="977"/>
      <c r="BZW6" s="977"/>
      <c r="BZX6" s="977"/>
      <c r="BZY6" s="977"/>
      <c r="BZZ6" s="977"/>
      <c r="CAA6" s="977"/>
      <c r="CAB6" s="977"/>
      <c r="CAC6" s="977"/>
      <c r="CAD6" s="977"/>
      <c r="CAE6" s="977"/>
      <c r="CAF6" s="977"/>
      <c r="CAG6" s="977"/>
      <c r="CAH6" s="977"/>
      <c r="CAI6" s="977"/>
      <c r="CAJ6" s="977"/>
      <c r="CAK6" s="977"/>
      <c r="CAL6" s="977"/>
      <c r="CAM6" s="977"/>
      <c r="CAN6" s="977"/>
      <c r="CAO6" s="977"/>
      <c r="CAP6" s="977"/>
      <c r="CAQ6" s="977"/>
      <c r="CAR6" s="977"/>
      <c r="CAS6" s="977"/>
      <c r="CAT6" s="977"/>
      <c r="CAU6" s="977"/>
      <c r="CAV6" s="977"/>
      <c r="CAW6" s="977"/>
      <c r="CAX6" s="977"/>
      <c r="CAY6" s="977"/>
      <c r="CAZ6" s="977"/>
      <c r="CBA6" s="977"/>
      <c r="CBB6" s="977"/>
      <c r="CBC6" s="977"/>
      <c r="CBD6" s="977"/>
      <c r="CBE6" s="977"/>
      <c r="CBF6" s="977"/>
      <c r="CBG6" s="977"/>
      <c r="CBH6" s="977"/>
      <c r="CBI6" s="977"/>
      <c r="CBJ6" s="977"/>
      <c r="CBK6" s="977"/>
      <c r="CBL6" s="977"/>
      <c r="CBM6" s="977"/>
      <c r="CBN6" s="977"/>
      <c r="CBO6" s="977"/>
      <c r="CBP6" s="977"/>
      <c r="CBQ6" s="977"/>
      <c r="CBR6" s="977"/>
      <c r="CBS6" s="977"/>
      <c r="CBT6" s="977"/>
      <c r="CBU6" s="977"/>
      <c r="CBV6" s="977"/>
      <c r="CBW6" s="977"/>
      <c r="CBX6" s="977"/>
      <c r="CBY6" s="977"/>
      <c r="CBZ6" s="977"/>
      <c r="CCA6" s="977"/>
      <c r="CCB6" s="977"/>
      <c r="CCC6" s="977"/>
      <c r="CCD6" s="977"/>
      <c r="CCE6" s="977"/>
      <c r="CCF6" s="977"/>
      <c r="CCG6" s="977"/>
      <c r="CCH6" s="977"/>
      <c r="CCI6" s="977"/>
      <c r="CCJ6" s="977"/>
      <c r="CCK6" s="977"/>
      <c r="CCL6" s="977"/>
      <c r="CCM6" s="977"/>
      <c r="CCN6" s="977"/>
      <c r="CCO6" s="977"/>
      <c r="CCP6" s="977"/>
      <c r="CCQ6" s="977"/>
      <c r="CCR6" s="977"/>
      <c r="CCS6" s="977"/>
      <c r="CCT6" s="977"/>
      <c r="CCU6" s="977"/>
      <c r="CCV6" s="977"/>
      <c r="CCW6" s="977"/>
      <c r="CCX6" s="977"/>
      <c r="CCY6" s="977"/>
      <c r="CCZ6" s="977"/>
      <c r="CDA6" s="977"/>
      <c r="CDB6" s="977"/>
      <c r="CDC6" s="977"/>
      <c r="CDD6" s="977"/>
      <c r="CDE6" s="977"/>
      <c r="CDF6" s="977"/>
      <c r="CDG6" s="977"/>
      <c r="CDH6" s="977"/>
      <c r="CDI6" s="977"/>
      <c r="CDJ6" s="977"/>
      <c r="CDK6" s="977"/>
      <c r="CDL6" s="977"/>
      <c r="CDM6" s="977"/>
      <c r="CDN6" s="977"/>
      <c r="CDO6" s="977"/>
      <c r="CDP6" s="977"/>
      <c r="CDQ6" s="977"/>
      <c r="CDR6" s="977"/>
      <c r="CDS6" s="977"/>
      <c r="CDT6" s="977"/>
      <c r="CDU6" s="977"/>
      <c r="CDV6" s="977"/>
      <c r="CDW6" s="977"/>
      <c r="CDX6" s="977"/>
      <c r="CDY6" s="977"/>
      <c r="CDZ6" s="977"/>
      <c r="CEA6" s="977"/>
      <c r="CEB6" s="977"/>
      <c r="CEC6" s="977"/>
      <c r="CED6" s="977"/>
      <c r="CEE6" s="977"/>
      <c r="CEF6" s="977"/>
      <c r="CEG6" s="977"/>
      <c r="CEH6" s="977"/>
      <c r="CEI6" s="977"/>
      <c r="CEJ6" s="977"/>
      <c r="CEK6" s="977"/>
      <c r="CEL6" s="977"/>
      <c r="CEM6" s="977"/>
      <c r="CEN6" s="977"/>
      <c r="CEO6" s="977"/>
      <c r="CEP6" s="977"/>
      <c r="CEQ6" s="977"/>
      <c r="CER6" s="977"/>
      <c r="CES6" s="977"/>
      <c r="CET6" s="977"/>
      <c r="CEU6" s="977"/>
      <c r="CEV6" s="977"/>
      <c r="CEW6" s="977"/>
      <c r="CEX6" s="977"/>
      <c r="CEY6" s="977"/>
      <c r="CEZ6" s="977"/>
      <c r="CFA6" s="977"/>
      <c r="CFB6" s="977"/>
      <c r="CFC6" s="977"/>
      <c r="CFD6" s="977"/>
      <c r="CFE6" s="977"/>
      <c r="CFF6" s="977"/>
      <c r="CFG6" s="977"/>
      <c r="CFH6" s="977"/>
      <c r="CFI6" s="977"/>
      <c r="CFJ6" s="977"/>
      <c r="CFK6" s="977"/>
      <c r="CFL6" s="977"/>
      <c r="CFM6" s="977"/>
      <c r="CFN6" s="977"/>
      <c r="CFO6" s="977"/>
      <c r="CFP6" s="977"/>
      <c r="CFQ6" s="977"/>
      <c r="CFR6" s="977"/>
      <c r="CFS6" s="977"/>
      <c r="CFT6" s="977"/>
      <c r="CFU6" s="977"/>
      <c r="CFV6" s="977"/>
      <c r="CFW6" s="977"/>
      <c r="CFX6" s="977"/>
      <c r="CFY6" s="977"/>
      <c r="CFZ6" s="977"/>
      <c r="CGA6" s="977"/>
      <c r="CGB6" s="977"/>
      <c r="CGC6" s="977"/>
      <c r="CGD6" s="977"/>
      <c r="CGE6" s="977"/>
      <c r="CGF6" s="977"/>
      <c r="CGG6" s="977"/>
      <c r="CGH6" s="977"/>
      <c r="CGI6" s="977"/>
      <c r="CGJ6" s="977"/>
      <c r="CGK6" s="977"/>
      <c r="CGL6" s="977"/>
      <c r="CGM6" s="977"/>
      <c r="CGN6" s="977"/>
      <c r="CGO6" s="977"/>
      <c r="CGP6" s="977"/>
      <c r="CGQ6" s="977"/>
      <c r="CGR6" s="977"/>
      <c r="CGS6" s="977"/>
      <c r="CGT6" s="977"/>
      <c r="CGU6" s="977"/>
      <c r="CGV6" s="977"/>
      <c r="CGW6" s="977"/>
      <c r="CGX6" s="977"/>
      <c r="CGY6" s="977"/>
      <c r="CGZ6" s="977"/>
      <c r="CHA6" s="977"/>
      <c r="CHB6" s="977"/>
      <c r="CHC6" s="977"/>
      <c r="CHD6" s="977"/>
      <c r="CHE6" s="977"/>
      <c r="CHF6" s="977"/>
      <c r="CHG6" s="977"/>
      <c r="CHH6" s="977"/>
      <c r="CHI6" s="977"/>
      <c r="CHJ6" s="977"/>
      <c r="CHK6" s="977"/>
      <c r="CHL6" s="977"/>
      <c r="CHM6" s="977"/>
      <c r="CHN6" s="977"/>
      <c r="CHO6" s="977"/>
      <c r="CHP6" s="977"/>
      <c r="CHQ6" s="977"/>
      <c r="CHR6" s="977"/>
      <c r="CHS6" s="977"/>
      <c r="CHT6" s="977"/>
      <c r="CHU6" s="977"/>
      <c r="CHV6" s="977"/>
      <c r="CHW6" s="977"/>
      <c r="CHX6" s="977"/>
      <c r="CHY6" s="977"/>
      <c r="CHZ6" s="977"/>
      <c r="CIA6" s="977"/>
      <c r="CIB6" s="977"/>
      <c r="CIC6" s="977"/>
      <c r="CID6" s="977"/>
      <c r="CIE6" s="977"/>
      <c r="CIF6" s="977"/>
      <c r="CIG6" s="977"/>
      <c r="CIH6" s="977"/>
      <c r="CII6" s="977"/>
      <c r="CIJ6" s="977"/>
      <c r="CIK6" s="977"/>
      <c r="CIL6" s="977"/>
      <c r="CIM6" s="977"/>
      <c r="CIN6" s="977"/>
      <c r="CIO6" s="977"/>
      <c r="CIP6" s="977"/>
      <c r="CIQ6" s="977"/>
      <c r="CIR6" s="977"/>
      <c r="CIS6" s="977"/>
      <c r="CIT6" s="977"/>
      <c r="CIU6" s="977"/>
      <c r="CIV6" s="977"/>
      <c r="CIW6" s="977"/>
      <c r="CIX6" s="977"/>
      <c r="CIY6" s="977"/>
      <c r="CIZ6" s="977"/>
      <c r="CJA6" s="977"/>
      <c r="CJB6" s="977"/>
      <c r="CJC6" s="977"/>
      <c r="CJD6" s="977"/>
      <c r="CJE6" s="977"/>
      <c r="CJF6" s="977"/>
      <c r="CJG6" s="977"/>
      <c r="CJH6" s="977"/>
      <c r="CJI6" s="977"/>
      <c r="CJJ6" s="977"/>
      <c r="CJK6" s="977"/>
      <c r="CJL6" s="977"/>
      <c r="CJM6" s="977"/>
      <c r="CJN6" s="977"/>
      <c r="CJO6" s="977"/>
      <c r="CJP6" s="977"/>
      <c r="CJQ6" s="977"/>
      <c r="CJR6" s="977"/>
      <c r="CJS6" s="977"/>
      <c r="CJT6" s="977"/>
      <c r="CJU6" s="977"/>
      <c r="CJV6" s="977"/>
      <c r="CJW6" s="977"/>
      <c r="CJX6" s="977"/>
      <c r="CJY6" s="977"/>
      <c r="CJZ6" s="977"/>
      <c r="CKA6" s="977"/>
      <c r="CKB6" s="977"/>
      <c r="CKC6" s="977"/>
      <c r="CKD6" s="977"/>
      <c r="CKE6" s="977"/>
      <c r="CKF6" s="977"/>
      <c r="CKG6" s="977"/>
      <c r="CKH6" s="977"/>
      <c r="CKI6" s="977"/>
      <c r="CKJ6" s="977"/>
      <c r="CKK6" s="977"/>
      <c r="CKL6" s="977"/>
      <c r="CKM6" s="977"/>
      <c r="CKN6" s="977"/>
      <c r="CKO6" s="977"/>
      <c r="CKP6" s="977"/>
      <c r="CKQ6" s="977"/>
      <c r="CKR6" s="977"/>
      <c r="CKS6" s="977"/>
      <c r="CKT6" s="977"/>
      <c r="CKU6" s="977"/>
      <c r="CKV6" s="977"/>
      <c r="CKW6" s="977"/>
      <c r="CKX6" s="977"/>
      <c r="CKY6" s="977"/>
      <c r="CKZ6" s="977"/>
      <c r="CLA6" s="977"/>
      <c r="CLB6" s="977"/>
      <c r="CLC6" s="977"/>
      <c r="CLD6" s="977"/>
      <c r="CLE6" s="977"/>
      <c r="CLF6" s="977"/>
      <c r="CLG6" s="977"/>
      <c r="CLH6" s="977"/>
      <c r="CLI6" s="977"/>
      <c r="CLJ6" s="977"/>
      <c r="CLK6" s="977"/>
      <c r="CLL6" s="977"/>
      <c r="CLM6" s="977"/>
      <c r="CLN6" s="977"/>
      <c r="CLO6" s="977"/>
      <c r="CLP6" s="977"/>
      <c r="CLQ6" s="977"/>
      <c r="CLR6" s="977"/>
      <c r="CLS6" s="977"/>
      <c r="CLT6" s="977"/>
      <c r="CLU6" s="977"/>
      <c r="CLV6" s="977"/>
      <c r="CLW6" s="977"/>
      <c r="CLX6" s="977"/>
      <c r="CLY6" s="977"/>
      <c r="CLZ6" s="977"/>
      <c r="CMA6" s="977"/>
      <c r="CMB6" s="977"/>
      <c r="CMC6" s="977"/>
      <c r="CMD6" s="977"/>
      <c r="CME6" s="977"/>
      <c r="CMF6" s="977"/>
      <c r="CMG6" s="977"/>
      <c r="CMH6" s="977"/>
      <c r="CMI6" s="977"/>
      <c r="CMJ6" s="977"/>
      <c r="CMK6" s="977"/>
      <c r="CML6" s="977"/>
      <c r="CMM6" s="977"/>
      <c r="CMN6" s="977"/>
      <c r="CMO6" s="977"/>
      <c r="CMP6" s="977"/>
      <c r="CMQ6" s="977"/>
      <c r="CMR6" s="977"/>
      <c r="CMS6" s="977"/>
      <c r="CMT6" s="977"/>
      <c r="CMU6" s="977"/>
      <c r="CMV6" s="977"/>
      <c r="CMW6" s="977"/>
      <c r="CMX6" s="977"/>
      <c r="CMY6" s="977"/>
      <c r="CMZ6" s="977"/>
      <c r="CNA6" s="977"/>
      <c r="CNB6" s="977"/>
      <c r="CNC6" s="977"/>
      <c r="CND6" s="977"/>
      <c r="CNE6" s="977"/>
      <c r="CNF6" s="977"/>
      <c r="CNG6" s="977"/>
      <c r="CNH6" s="977"/>
      <c r="CNI6" s="977"/>
      <c r="CNJ6" s="977"/>
      <c r="CNK6" s="977"/>
      <c r="CNL6" s="977"/>
      <c r="CNM6" s="977"/>
      <c r="CNN6" s="977"/>
      <c r="CNO6" s="977"/>
      <c r="CNP6" s="977"/>
      <c r="CNQ6" s="977"/>
      <c r="CNR6" s="977"/>
      <c r="CNS6" s="977"/>
      <c r="CNT6" s="977"/>
      <c r="CNU6" s="977"/>
      <c r="CNV6" s="977"/>
      <c r="CNW6" s="977"/>
      <c r="CNX6" s="977"/>
      <c r="CNY6" s="977"/>
      <c r="CNZ6" s="977"/>
      <c r="COA6" s="977"/>
      <c r="COB6" s="977"/>
      <c r="COC6" s="977"/>
      <c r="COD6" s="977"/>
      <c r="COE6" s="977"/>
      <c r="COF6" s="977"/>
      <c r="COG6" s="977"/>
      <c r="COH6" s="977"/>
      <c r="COI6" s="977"/>
      <c r="COJ6" s="977"/>
      <c r="COK6" s="977"/>
      <c r="COL6" s="977"/>
      <c r="COM6" s="977"/>
      <c r="CON6" s="977"/>
      <c r="COO6" s="977"/>
      <c r="COP6" s="977"/>
      <c r="COQ6" s="977"/>
      <c r="COR6" s="977"/>
      <c r="COS6" s="977"/>
      <c r="COT6" s="977"/>
      <c r="COU6" s="977"/>
      <c r="COV6" s="977"/>
      <c r="COW6" s="977"/>
      <c r="COX6" s="977"/>
      <c r="COY6" s="977"/>
      <c r="COZ6" s="977"/>
      <c r="CPA6" s="977"/>
      <c r="CPB6" s="977"/>
      <c r="CPC6" s="977"/>
      <c r="CPD6" s="977"/>
      <c r="CPE6" s="977"/>
      <c r="CPF6" s="977"/>
      <c r="CPG6" s="977"/>
      <c r="CPH6" s="977"/>
      <c r="CPI6" s="977"/>
      <c r="CPJ6" s="977"/>
      <c r="CPK6" s="977"/>
      <c r="CPL6" s="977"/>
      <c r="CPM6" s="977"/>
      <c r="CPN6" s="977"/>
      <c r="CPO6" s="977"/>
      <c r="CPP6" s="977"/>
      <c r="CPQ6" s="977"/>
      <c r="CPR6" s="977"/>
      <c r="CPS6" s="977"/>
      <c r="CPT6" s="977"/>
      <c r="CPU6" s="977"/>
      <c r="CPV6" s="977"/>
      <c r="CPW6" s="977"/>
      <c r="CPX6" s="977"/>
      <c r="CPY6" s="977"/>
      <c r="CPZ6" s="977"/>
      <c r="CQA6" s="977"/>
      <c r="CQB6" s="977"/>
      <c r="CQC6" s="977"/>
      <c r="CQD6" s="977"/>
      <c r="CQE6" s="977"/>
      <c r="CQF6" s="977"/>
      <c r="CQG6" s="977"/>
      <c r="CQH6" s="977"/>
      <c r="CQI6" s="977"/>
      <c r="CQJ6" s="977"/>
      <c r="CQK6" s="977"/>
      <c r="CQL6" s="977"/>
      <c r="CQM6" s="977"/>
      <c r="CQN6" s="977"/>
      <c r="CQO6" s="977"/>
      <c r="CQP6" s="977"/>
      <c r="CQQ6" s="977"/>
      <c r="CQR6" s="977"/>
      <c r="CQS6" s="977"/>
      <c r="CQT6" s="977"/>
      <c r="CQU6" s="977"/>
      <c r="CQV6" s="977"/>
      <c r="CQW6" s="977"/>
      <c r="CQX6" s="977"/>
      <c r="CQY6" s="977"/>
      <c r="CQZ6" s="977"/>
      <c r="CRA6" s="977"/>
      <c r="CRB6" s="977"/>
      <c r="CRC6" s="977"/>
      <c r="CRD6" s="977"/>
      <c r="CRE6" s="977"/>
      <c r="CRF6" s="977"/>
      <c r="CRG6" s="977"/>
      <c r="CRH6" s="977"/>
      <c r="CRI6" s="977"/>
      <c r="CRJ6" s="977"/>
      <c r="CRK6" s="977"/>
      <c r="CRL6" s="977"/>
      <c r="CRM6" s="977"/>
      <c r="CRN6" s="977"/>
      <c r="CRO6" s="977"/>
      <c r="CRP6" s="977"/>
      <c r="CRQ6" s="977"/>
      <c r="CRR6" s="977"/>
      <c r="CRS6" s="977"/>
      <c r="CRT6" s="977"/>
      <c r="CRU6" s="977"/>
      <c r="CRV6" s="977"/>
      <c r="CRW6" s="977"/>
      <c r="CRX6" s="977"/>
      <c r="CRY6" s="977"/>
      <c r="CRZ6" s="977"/>
      <c r="CSA6" s="977"/>
      <c r="CSB6" s="977"/>
      <c r="CSC6" s="977"/>
      <c r="CSD6" s="977"/>
      <c r="CSE6" s="977"/>
      <c r="CSF6" s="977"/>
      <c r="CSG6" s="977"/>
      <c r="CSH6" s="977"/>
      <c r="CSI6" s="977"/>
      <c r="CSJ6" s="977"/>
      <c r="CSK6" s="977"/>
      <c r="CSL6" s="977"/>
      <c r="CSM6" s="977"/>
      <c r="CSN6" s="977"/>
      <c r="CSO6" s="977"/>
      <c r="CSP6" s="977"/>
      <c r="CSQ6" s="977"/>
      <c r="CSR6" s="977"/>
      <c r="CSS6" s="977"/>
      <c r="CST6" s="977"/>
      <c r="CSU6" s="977"/>
      <c r="CSV6" s="977"/>
      <c r="CSW6" s="977"/>
      <c r="CSX6" s="977"/>
      <c r="CSY6" s="977"/>
      <c r="CSZ6" s="977"/>
      <c r="CTA6" s="977"/>
      <c r="CTB6" s="977"/>
      <c r="CTC6" s="977"/>
      <c r="CTD6" s="977"/>
      <c r="CTE6" s="977"/>
      <c r="CTF6" s="977"/>
      <c r="CTG6" s="977"/>
      <c r="CTH6" s="977"/>
      <c r="CTI6" s="977"/>
      <c r="CTJ6" s="977"/>
      <c r="CTK6" s="977"/>
      <c r="CTL6" s="977"/>
      <c r="CTM6" s="977"/>
      <c r="CTN6" s="977"/>
      <c r="CTO6" s="977"/>
      <c r="CTP6" s="977"/>
      <c r="CTQ6" s="977"/>
      <c r="CTR6" s="977"/>
      <c r="CTS6" s="977"/>
      <c r="CTT6" s="977"/>
      <c r="CTU6" s="977"/>
      <c r="CTV6" s="977"/>
      <c r="CTW6" s="977"/>
      <c r="CTX6" s="977"/>
      <c r="CTY6" s="977"/>
      <c r="CTZ6" s="977"/>
      <c r="CUA6" s="977"/>
      <c r="CUB6" s="977"/>
      <c r="CUC6" s="977"/>
      <c r="CUD6" s="977"/>
      <c r="CUE6" s="977"/>
      <c r="CUF6" s="977"/>
      <c r="CUG6" s="977"/>
      <c r="CUH6" s="977"/>
      <c r="CUI6" s="977"/>
      <c r="CUJ6" s="977"/>
      <c r="CUK6" s="977"/>
      <c r="CUL6" s="977"/>
      <c r="CUM6" s="977"/>
      <c r="CUN6" s="977"/>
      <c r="CUO6" s="977"/>
      <c r="CUP6" s="977"/>
      <c r="CUQ6" s="977"/>
      <c r="CUR6" s="977"/>
      <c r="CUS6" s="977"/>
      <c r="CUT6" s="977"/>
      <c r="CUU6" s="977"/>
      <c r="CUV6" s="977"/>
      <c r="CUW6" s="977"/>
      <c r="CUX6" s="977"/>
      <c r="CUY6" s="977"/>
      <c r="CUZ6" s="977"/>
      <c r="CVA6" s="977"/>
      <c r="CVB6" s="977"/>
      <c r="CVC6" s="977"/>
      <c r="CVD6" s="977"/>
      <c r="CVE6" s="977"/>
      <c r="CVF6" s="977"/>
      <c r="CVG6" s="977"/>
      <c r="CVH6" s="977"/>
      <c r="CVI6" s="977"/>
      <c r="CVJ6" s="977"/>
      <c r="CVK6" s="977"/>
      <c r="CVL6" s="977"/>
      <c r="CVM6" s="977"/>
      <c r="CVN6" s="977"/>
      <c r="CVO6" s="977"/>
      <c r="CVP6" s="977"/>
      <c r="CVQ6" s="977"/>
      <c r="CVR6" s="977"/>
      <c r="CVS6" s="977"/>
      <c r="CVT6" s="977"/>
      <c r="CVU6" s="977"/>
      <c r="CVV6" s="977"/>
      <c r="CVW6" s="977"/>
      <c r="CVX6" s="977"/>
      <c r="CVY6" s="977"/>
      <c r="CVZ6" s="977"/>
      <c r="CWA6" s="977"/>
      <c r="CWB6" s="977"/>
      <c r="CWC6" s="977"/>
      <c r="CWD6" s="977"/>
      <c r="CWE6" s="977"/>
      <c r="CWF6" s="977"/>
      <c r="CWG6" s="977"/>
      <c r="CWH6" s="977"/>
      <c r="CWI6" s="977"/>
      <c r="CWJ6" s="977"/>
      <c r="CWK6" s="977"/>
      <c r="CWL6" s="977"/>
      <c r="CWM6" s="977"/>
      <c r="CWN6" s="977"/>
      <c r="CWO6" s="977"/>
      <c r="CWP6" s="977"/>
      <c r="CWQ6" s="977"/>
      <c r="CWR6" s="977"/>
      <c r="CWS6" s="977"/>
      <c r="CWT6" s="977"/>
      <c r="CWU6" s="977"/>
      <c r="CWV6" s="977"/>
      <c r="CWW6" s="977"/>
      <c r="CWX6" s="977"/>
      <c r="CWY6" s="977"/>
      <c r="CWZ6" s="977"/>
      <c r="CXA6" s="977"/>
      <c r="CXB6" s="977"/>
      <c r="CXC6" s="977"/>
      <c r="CXD6" s="977"/>
      <c r="CXE6" s="977"/>
      <c r="CXF6" s="977"/>
      <c r="CXG6" s="977"/>
      <c r="CXH6" s="977"/>
      <c r="CXI6" s="977"/>
      <c r="CXJ6" s="977"/>
      <c r="CXK6" s="977"/>
      <c r="CXL6" s="977"/>
      <c r="CXM6" s="977"/>
      <c r="CXN6" s="977"/>
      <c r="CXO6" s="977"/>
      <c r="CXP6" s="977"/>
      <c r="CXQ6" s="977"/>
      <c r="CXR6" s="977"/>
      <c r="CXS6" s="977"/>
      <c r="CXT6" s="977"/>
      <c r="CXU6" s="977"/>
      <c r="CXV6" s="977"/>
      <c r="CXW6" s="977"/>
      <c r="CXX6" s="977"/>
      <c r="CXY6" s="977"/>
      <c r="CXZ6" s="977"/>
      <c r="CYA6" s="977"/>
      <c r="CYB6" s="977"/>
      <c r="CYC6" s="977"/>
      <c r="CYD6" s="977"/>
      <c r="CYE6" s="977"/>
      <c r="CYF6" s="977"/>
      <c r="CYG6" s="977"/>
      <c r="CYH6" s="977"/>
      <c r="CYI6" s="977"/>
      <c r="CYJ6" s="977"/>
      <c r="CYK6" s="977"/>
      <c r="CYL6" s="977"/>
      <c r="CYM6" s="977"/>
      <c r="CYN6" s="977"/>
      <c r="CYO6" s="977"/>
      <c r="CYP6" s="977"/>
      <c r="CYQ6" s="977"/>
      <c r="CYR6" s="977"/>
      <c r="CYS6" s="977"/>
      <c r="CYT6" s="977"/>
      <c r="CYU6" s="977"/>
      <c r="CYV6" s="977"/>
      <c r="CYW6" s="977"/>
      <c r="CYX6" s="977"/>
      <c r="CYY6" s="977"/>
      <c r="CYZ6" s="977"/>
      <c r="CZA6" s="977"/>
      <c r="CZB6" s="977"/>
      <c r="CZC6" s="977"/>
      <c r="CZD6" s="977"/>
      <c r="CZE6" s="977"/>
      <c r="CZF6" s="977"/>
      <c r="CZG6" s="977"/>
      <c r="CZH6" s="977"/>
      <c r="CZI6" s="977"/>
      <c r="CZJ6" s="977"/>
      <c r="CZK6" s="977"/>
      <c r="CZL6" s="977"/>
      <c r="CZM6" s="977"/>
      <c r="CZN6" s="977"/>
      <c r="CZO6" s="977"/>
      <c r="CZP6" s="977"/>
      <c r="CZQ6" s="977"/>
      <c r="CZR6" s="977"/>
      <c r="CZS6" s="977"/>
      <c r="CZT6" s="977"/>
      <c r="CZU6" s="977"/>
      <c r="CZV6" s="977"/>
      <c r="CZW6" s="977"/>
      <c r="CZX6" s="977"/>
      <c r="CZY6" s="977"/>
      <c r="CZZ6" s="977"/>
      <c r="DAA6" s="977"/>
      <c r="DAB6" s="977"/>
      <c r="DAC6" s="977"/>
      <c r="DAD6" s="977"/>
      <c r="DAE6" s="977"/>
      <c r="DAF6" s="977"/>
      <c r="DAG6" s="977"/>
      <c r="DAH6" s="977"/>
      <c r="DAI6" s="977"/>
      <c r="DAJ6" s="977"/>
      <c r="DAK6" s="977"/>
      <c r="DAL6" s="977"/>
      <c r="DAM6" s="977"/>
      <c r="DAN6" s="977"/>
      <c r="DAO6" s="977"/>
      <c r="DAP6" s="977"/>
      <c r="DAQ6" s="977"/>
      <c r="DAR6" s="977"/>
      <c r="DAS6" s="977"/>
      <c r="DAT6" s="977"/>
      <c r="DAU6" s="977"/>
      <c r="DAV6" s="977"/>
      <c r="DAW6" s="977"/>
      <c r="DAX6" s="977"/>
      <c r="DAY6" s="977"/>
      <c r="DAZ6" s="977"/>
      <c r="DBA6" s="977"/>
      <c r="DBB6" s="977"/>
      <c r="DBC6" s="977"/>
      <c r="DBD6" s="977"/>
      <c r="DBE6" s="977"/>
      <c r="DBF6" s="977"/>
      <c r="DBG6" s="977"/>
      <c r="DBH6" s="977"/>
      <c r="DBI6" s="977"/>
      <c r="DBJ6" s="977"/>
      <c r="DBK6" s="977"/>
      <c r="DBL6" s="977"/>
      <c r="DBM6" s="977"/>
      <c r="DBN6" s="977"/>
      <c r="DBO6" s="977"/>
      <c r="DBP6" s="977"/>
      <c r="DBQ6" s="977"/>
      <c r="DBR6" s="977"/>
      <c r="DBS6" s="977"/>
      <c r="DBT6" s="977"/>
      <c r="DBU6" s="977"/>
      <c r="DBV6" s="977"/>
      <c r="DBW6" s="977"/>
      <c r="DBX6" s="977"/>
      <c r="DBY6" s="977"/>
      <c r="DBZ6" s="977"/>
      <c r="DCA6" s="977"/>
      <c r="DCB6" s="977"/>
      <c r="DCC6" s="977"/>
      <c r="DCD6" s="977"/>
      <c r="DCE6" s="977"/>
      <c r="DCF6" s="977"/>
      <c r="DCG6" s="977"/>
      <c r="DCH6" s="977"/>
      <c r="DCI6" s="977"/>
      <c r="DCJ6" s="977"/>
      <c r="DCK6" s="977"/>
      <c r="DCL6" s="977"/>
      <c r="DCM6" s="977"/>
      <c r="DCN6" s="977"/>
      <c r="DCO6" s="977"/>
      <c r="DCP6" s="977"/>
      <c r="DCQ6" s="977"/>
      <c r="DCR6" s="977"/>
      <c r="DCS6" s="977"/>
      <c r="DCT6" s="977"/>
      <c r="DCU6" s="977"/>
      <c r="DCV6" s="977"/>
      <c r="DCW6" s="977"/>
      <c r="DCX6" s="977"/>
      <c r="DCY6" s="977"/>
      <c r="DCZ6" s="977"/>
      <c r="DDA6" s="977"/>
      <c r="DDB6" s="977"/>
      <c r="DDC6" s="977"/>
      <c r="DDD6" s="977"/>
      <c r="DDE6" s="977"/>
      <c r="DDF6" s="977"/>
      <c r="DDG6" s="977"/>
      <c r="DDH6" s="977"/>
      <c r="DDI6" s="977"/>
      <c r="DDJ6" s="977"/>
      <c r="DDK6" s="977"/>
      <c r="DDL6" s="977"/>
      <c r="DDM6" s="977"/>
      <c r="DDN6" s="977"/>
      <c r="DDO6" s="977"/>
      <c r="DDP6" s="977"/>
      <c r="DDQ6" s="977"/>
      <c r="DDR6" s="977"/>
      <c r="DDS6" s="977"/>
      <c r="DDT6" s="977"/>
      <c r="DDU6" s="977"/>
      <c r="DDV6" s="977"/>
      <c r="DDW6" s="977"/>
      <c r="DDX6" s="977"/>
      <c r="DDY6" s="977"/>
      <c r="DDZ6" s="977"/>
      <c r="DEA6" s="977"/>
      <c r="DEB6" s="977"/>
      <c r="DEC6" s="977"/>
      <c r="DED6" s="977"/>
      <c r="DEE6" s="977"/>
      <c r="DEF6" s="977"/>
      <c r="DEG6" s="977"/>
      <c r="DEH6" s="977"/>
      <c r="DEI6" s="977"/>
      <c r="DEJ6" s="977"/>
      <c r="DEK6" s="977"/>
      <c r="DEL6" s="977"/>
      <c r="DEM6" s="977"/>
      <c r="DEN6" s="977"/>
      <c r="DEO6" s="977"/>
      <c r="DEP6" s="977"/>
      <c r="DEQ6" s="977"/>
      <c r="DER6" s="977"/>
      <c r="DES6" s="977"/>
      <c r="DET6" s="977"/>
      <c r="DEU6" s="977"/>
      <c r="DEV6" s="977"/>
      <c r="DEW6" s="977"/>
      <c r="DEX6" s="977"/>
      <c r="DEY6" s="977"/>
      <c r="DEZ6" s="977"/>
      <c r="DFA6" s="977"/>
      <c r="DFB6" s="977"/>
      <c r="DFC6" s="977"/>
      <c r="DFD6" s="977"/>
      <c r="DFE6" s="977"/>
      <c r="DFF6" s="977"/>
      <c r="DFG6" s="977"/>
      <c r="DFH6" s="977"/>
      <c r="DFI6" s="977"/>
      <c r="DFJ6" s="977"/>
      <c r="DFK6" s="977"/>
      <c r="DFL6" s="977"/>
      <c r="DFM6" s="977"/>
      <c r="DFN6" s="977"/>
      <c r="DFO6" s="977"/>
      <c r="DFP6" s="977"/>
      <c r="DFQ6" s="977"/>
      <c r="DFR6" s="977"/>
      <c r="DFS6" s="977"/>
      <c r="DFT6" s="977"/>
      <c r="DFU6" s="977"/>
      <c r="DFV6" s="977"/>
      <c r="DFW6" s="977"/>
      <c r="DFX6" s="977"/>
      <c r="DFY6" s="977"/>
      <c r="DFZ6" s="977"/>
      <c r="DGA6" s="977"/>
      <c r="DGB6" s="977"/>
      <c r="DGC6" s="977"/>
      <c r="DGD6" s="977"/>
      <c r="DGE6" s="977"/>
      <c r="DGF6" s="977"/>
      <c r="DGG6" s="977"/>
      <c r="DGH6" s="977"/>
      <c r="DGI6" s="977"/>
      <c r="DGJ6" s="977"/>
      <c r="DGK6" s="977"/>
      <c r="DGL6" s="977"/>
      <c r="DGM6" s="977"/>
      <c r="DGN6" s="977"/>
      <c r="DGO6" s="977"/>
      <c r="DGP6" s="977"/>
      <c r="DGQ6" s="977"/>
      <c r="DGR6" s="977"/>
      <c r="DGS6" s="977"/>
      <c r="DGT6" s="977"/>
      <c r="DGU6" s="977"/>
      <c r="DGV6" s="977"/>
      <c r="DGW6" s="977"/>
      <c r="DGX6" s="977"/>
      <c r="DGY6" s="977"/>
      <c r="DGZ6" s="977"/>
      <c r="DHA6" s="977"/>
      <c r="DHB6" s="977"/>
      <c r="DHC6" s="977"/>
      <c r="DHD6" s="977"/>
      <c r="DHE6" s="977"/>
      <c r="DHF6" s="977"/>
      <c r="DHG6" s="977"/>
      <c r="DHH6" s="977"/>
      <c r="DHI6" s="977"/>
      <c r="DHJ6" s="977"/>
      <c r="DHK6" s="977"/>
      <c r="DHL6" s="977"/>
      <c r="DHM6" s="977"/>
      <c r="DHN6" s="977"/>
      <c r="DHO6" s="977"/>
      <c r="DHP6" s="977"/>
      <c r="DHQ6" s="977"/>
      <c r="DHR6" s="977"/>
      <c r="DHS6" s="977"/>
      <c r="DHT6" s="977"/>
      <c r="DHU6" s="977"/>
      <c r="DHV6" s="977"/>
      <c r="DHW6" s="977"/>
      <c r="DHX6" s="977"/>
      <c r="DHY6" s="977"/>
      <c r="DHZ6" s="977"/>
      <c r="DIA6" s="977"/>
      <c r="DIB6" s="977"/>
      <c r="DIC6" s="977"/>
      <c r="DID6" s="977"/>
      <c r="DIE6" s="977"/>
      <c r="DIF6" s="977"/>
      <c r="DIG6" s="977"/>
      <c r="DIH6" s="977"/>
      <c r="DII6" s="977"/>
      <c r="DIJ6" s="977"/>
      <c r="DIK6" s="977"/>
      <c r="DIL6" s="977"/>
      <c r="DIM6" s="977"/>
      <c r="DIN6" s="977"/>
      <c r="DIO6" s="977"/>
      <c r="DIP6" s="977"/>
      <c r="DIQ6" s="977"/>
      <c r="DIR6" s="977"/>
      <c r="DIS6" s="977"/>
      <c r="DIT6" s="977"/>
      <c r="DIU6" s="977"/>
      <c r="DIV6" s="977"/>
      <c r="DIW6" s="977"/>
      <c r="DIX6" s="977"/>
      <c r="DIY6" s="977"/>
      <c r="DIZ6" s="977"/>
      <c r="DJA6" s="977"/>
      <c r="DJB6" s="977"/>
      <c r="DJC6" s="977"/>
      <c r="DJD6" s="977"/>
      <c r="DJE6" s="977"/>
      <c r="DJF6" s="977"/>
      <c r="DJG6" s="977"/>
      <c r="DJH6" s="977"/>
      <c r="DJI6" s="977"/>
      <c r="DJJ6" s="977"/>
      <c r="DJK6" s="977"/>
      <c r="DJL6" s="977"/>
      <c r="DJM6" s="977"/>
      <c r="DJN6" s="977"/>
      <c r="DJO6" s="977"/>
      <c r="DJP6" s="977"/>
      <c r="DJQ6" s="977"/>
      <c r="DJR6" s="977"/>
      <c r="DJS6" s="977"/>
      <c r="DJT6" s="977"/>
      <c r="DJU6" s="977"/>
      <c r="DJV6" s="977"/>
      <c r="DJW6" s="977"/>
      <c r="DJX6" s="977"/>
      <c r="DJY6" s="977"/>
      <c r="DJZ6" s="977"/>
      <c r="DKA6" s="977"/>
      <c r="DKB6" s="977"/>
      <c r="DKC6" s="977"/>
      <c r="DKD6" s="977"/>
      <c r="DKE6" s="977"/>
      <c r="DKF6" s="977"/>
      <c r="DKG6" s="977"/>
      <c r="DKH6" s="977"/>
      <c r="DKI6" s="977"/>
      <c r="DKJ6" s="977"/>
      <c r="DKK6" s="977"/>
      <c r="DKL6" s="977"/>
      <c r="DKM6" s="977"/>
      <c r="DKN6" s="977"/>
      <c r="DKO6" s="977"/>
      <c r="DKP6" s="977"/>
      <c r="DKQ6" s="977"/>
      <c r="DKR6" s="977"/>
      <c r="DKS6" s="977"/>
      <c r="DKT6" s="977"/>
      <c r="DKU6" s="977"/>
      <c r="DKV6" s="977"/>
      <c r="DKW6" s="977"/>
      <c r="DKX6" s="977"/>
      <c r="DKY6" s="977"/>
      <c r="DKZ6" s="977"/>
      <c r="DLA6" s="977"/>
      <c r="DLB6" s="977"/>
      <c r="DLC6" s="977"/>
      <c r="DLD6" s="977"/>
      <c r="DLE6" s="977"/>
      <c r="DLF6" s="977"/>
      <c r="DLG6" s="977"/>
      <c r="DLH6" s="977"/>
      <c r="DLI6" s="977"/>
      <c r="DLJ6" s="977"/>
      <c r="DLK6" s="977"/>
      <c r="DLL6" s="977"/>
      <c r="DLM6" s="977"/>
      <c r="DLN6" s="977"/>
      <c r="DLO6" s="977"/>
      <c r="DLP6" s="977"/>
      <c r="DLQ6" s="977"/>
      <c r="DLR6" s="977"/>
      <c r="DLS6" s="977"/>
      <c r="DLT6" s="977"/>
      <c r="DLU6" s="977"/>
      <c r="DLV6" s="977"/>
      <c r="DLW6" s="977"/>
      <c r="DLX6" s="977"/>
      <c r="DLY6" s="977"/>
      <c r="DLZ6" s="977"/>
      <c r="DMA6" s="977"/>
      <c r="DMB6" s="977"/>
      <c r="DMC6" s="977"/>
      <c r="DMD6" s="977"/>
      <c r="DME6" s="977"/>
      <c r="DMF6" s="977"/>
      <c r="DMG6" s="977"/>
      <c r="DMH6" s="977"/>
      <c r="DMI6" s="977"/>
      <c r="DMJ6" s="977"/>
      <c r="DMK6" s="977"/>
      <c r="DML6" s="977"/>
      <c r="DMM6" s="977"/>
      <c r="DMN6" s="977"/>
      <c r="DMO6" s="977"/>
      <c r="DMP6" s="977"/>
      <c r="DMQ6" s="977"/>
      <c r="DMR6" s="977"/>
      <c r="DMS6" s="977"/>
      <c r="DMT6" s="977"/>
      <c r="DMU6" s="977"/>
      <c r="DMV6" s="977"/>
      <c r="DMW6" s="977"/>
      <c r="DMX6" s="977"/>
      <c r="DMY6" s="977"/>
      <c r="DMZ6" s="977"/>
      <c r="DNA6" s="977"/>
      <c r="DNB6" s="977"/>
      <c r="DNC6" s="977"/>
      <c r="DND6" s="977"/>
      <c r="DNE6" s="977"/>
      <c r="DNF6" s="977"/>
      <c r="DNG6" s="977"/>
      <c r="DNH6" s="977"/>
      <c r="DNI6" s="977"/>
      <c r="DNJ6" s="977"/>
      <c r="DNK6" s="977"/>
      <c r="DNL6" s="977"/>
      <c r="DNM6" s="977"/>
      <c r="DNN6" s="977"/>
      <c r="DNO6" s="977"/>
      <c r="DNP6" s="977"/>
      <c r="DNQ6" s="977"/>
      <c r="DNR6" s="977"/>
      <c r="DNS6" s="977"/>
      <c r="DNT6" s="977"/>
      <c r="DNU6" s="977"/>
      <c r="DNV6" s="977"/>
      <c r="DNW6" s="977"/>
      <c r="DNX6" s="977"/>
      <c r="DNY6" s="977"/>
      <c r="DNZ6" s="977"/>
      <c r="DOA6" s="977"/>
      <c r="DOB6" s="977"/>
      <c r="DOC6" s="977"/>
      <c r="DOD6" s="977"/>
      <c r="DOE6" s="977"/>
      <c r="DOF6" s="977"/>
      <c r="DOG6" s="977"/>
      <c r="DOH6" s="977"/>
      <c r="DOI6" s="977"/>
      <c r="DOJ6" s="977"/>
      <c r="DOK6" s="977"/>
      <c r="DOL6" s="977"/>
      <c r="DOM6" s="977"/>
      <c r="DON6" s="977"/>
      <c r="DOO6" s="977"/>
      <c r="DOP6" s="977"/>
      <c r="DOQ6" s="977"/>
      <c r="DOR6" s="977"/>
      <c r="DOS6" s="977"/>
      <c r="DOT6" s="977"/>
      <c r="DOU6" s="977"/>
      <c r="DOV6" s="977"/>
      <c r="DOW6" s="977"/>
      <c r="DOX6" s="977"/>
      <c r="DOY6" s="977"/>
      <c r="DOZ6" s="977"/>
      <c r="DPA6" s="977"/>
      <c r="DPB6" s="977"/>
      <c r="DPC6" s="977"/>
      <c r="DPD6" s="977"/>
      <c r="DPE6" s="977"/>
      <c r="DPF6" s="977"/>
      <c r="DPG6" s="977"/>
      <c r="DPH6" s="977"/>
      <c r="DPI6" s="977"/>
      <c r="DPJ6" s="977"/>
      <c r="DPK6" s="977"/>
      <c r="DPL6" s="977"/>
      <c r="DPM6" s="977"/>
      <c r="DPN6" s="977"/>
      <c r="DPO6" s="977"/>
      <c r="DPP6" s="977"/>
      <c r="DPQ6" s="977"/>
      <c r="DPR6" s="977"/>
      <c r="DPS6" s="977"/>
      <c r="DPT6" s="977"/>
      <c r="DPU6" s="977"/>
      <c r="DPV6" s="977"/>
      <c r="DPW6" s="977"/>
      <c r="DPX6" s="977"/>
      <c r="DPY6" s="977"/>
      <c r="DPZ6" s="977"/>
      <c r="DQA6" s="977"/>
      <c r="DQB6" s="977"/>
      <c r="DQC6" s="977"/>
      <c r="DQD6" s="977"/>
      <c r="DQE6" s="977"/>
      <c r="DQF6" s="977"/>
      <c r="DQG6" s="977"/>
      <c r="DQH6" s="977"/>
      <c r="DQI6" s="977"/>
      <c r="DQJ6" s="977"/>
      <c r="DQK6" s="977"/>
      <c r="DQL6" s="977"/>
      <c r="DQM6" s="977"/>
      <c r="DQN6" s="977"/>
      <c r="DQO6" s="977"/>
      <c r="DQP6" s="977"/>
      <c r="DQQ6" s="977"/>
      <c r="DQR6" s="977"/>
      <c r="DQS6" s="977"/>
      <c r="DQT6" s="977"/>
      <c r="DQU6" s="977"/>
      <c r="DQV6" s="977"/>
      <c r="DQW6" s="977"/>
      <c r="DQX6" s="977"/>
      <c r="DQY6" s="977"/>
      <c r="DQZ6" s="977"/>
      <c r="DRA6" s="977"/>
      <c r="DRB6" s="977"/>
      <c r="DRC6" s="977"/>
      <c r="DRD6" s="977"/>
      <c r="DRE6" s="977"/>
      <c r="DRF6" s="977"/>
      <c r="DRG6" s="977"/>
      <c r="DRH6" s="977"/>
      <c r="DRI6" s="977"/>
      <c r="DRJ6" s="977"/>
      <c r="DRK6" s="977"/>
      <c r="DRL6" s="977"/>
      <c r="DRM6" s="977"/>
      <c r="DRN6" s="977"/>
      <c r="DRO6" s="977"/>
      <c r="DRP6" s="977"/>
      <c r="DRQ6" s="977"/>
      <c r="DRR6" s="977"/>
      <c r="DRS6" s="977"/>
      <c r="DRT6" s="977"/>
      <c r="DRU6" s="977"/>
      <c r="DRV6" s="977"/>
      <c r="DRW6" s="977"/>
      <c r="DRX6" s="977"/>
      <c r="DRY6" s="977"/>
      <c r="DRZ6" s="977"/>
      <c r="DSA6" s="977"/>
      <c r="DSB6" s="977"/>
      <c r="DSC6" s="977"/>
      <c r="DSD6" s="977"/>
      <c r="DSE6" s="977"/>
      <c r="DSF6" s="977"/>
      <c r="DSG6" s="977"/>
      <c r="DSH6" s="977"/>
      <c r="DSI6" s="977"/>
      <c r="DSJ6" s="977"/>
      <c r="DSK6" s="977"/>
      <c r="DSL6" s="977"/>
      <c r="DSM6" s="977"/>
      <c r="DSN6" s="977"/>
      <c r="DSO6" s="977"/>
      <c r="DSP6" s="977"/>
      <c r="DSQ6" s="977"/>
      <c r="DSR6" s="977"/>
      <c r="DSS6" s="977"/>
      <c r="DST6" s="977"/>
      <c r="DSU6" s="977"/>
      <c r="DSV6" s="977"/>
      <c r="DSW6" s="977"/>
      <c r="DSX6" s="977"/>
      <c r="DSY6" s="977"/>
      <c r="DSZ6" s="977"/>
      <c r="DTA6" s="977"/>
      <c r="DTB6" s="977"/>
      <c r="DTC6" s="977"/>
      <c r="DTD6" s="977"/>
      <c r="DTE6" s="977"/>
      <c r="DTF6" s="977"/>
      <c r="DTG6" s="977"/>
      <c r="DTH6" s="977"/>
      <c r="DTI6" s="977"/>
      <c r="DTJ6" s="977"/>
      <c r="DTK6" s="977"/>
      <c r="DTL6" s="977"/>
      <c r="DTM6" s="977"/>
      <c r="DTN6" s="977"/>
      <c r="DTO6" s="977"/>
      <c r="DTP6" s="977"/>
      <c r="DTQ6" s="977"/>
      <c r="DTR6" s="977"/>
      <c r="DTS6" s="977"/>
      <c r="DTT6" s="977"/>
      <c r="DTU6" s="977"/>
      <c r="DTV6" s="977"/>
      <c r="DTW6" s="977"/>
      <c r="DTX6" s="977"/>
      <c r="DTY6" s="977"/>
      <c r="DTZ6" s="977"/>
      <c r="DUA6" s="977"/>
      <c r="DUB6" s="977"/>
      <c r="DUC6" s="977"/>
      <c r="DUD6" s="977"/>
      <c r="DUE6" s="977"/>
      <c r="DUF6" s="977"/>
      <c r="DUG6" s="977"/>
      <c r="DUH6" s="977"/>
      <c r="DUI6" s="977"/>
      <c r="DUJ6" s="977"/>
      <c r="DUK6" s="977"/>
      <c r="DUL6" s="977"/>
      <c r="DUM6" s="977"/>
      <c r="DUN6" s="977"/>
      <c r="DUO6" s="977"/>
      <c r="DUP6" s="977"/>
      <c r="DUQ6" s="977"/>
      <c r="DUR6" s="977"/>
      <c r="DUS6" s="977"/>
      <c r="DUT6" s="977"/>
      <c r="DUU6" s="977"/>
      <c r="DUV6" s="977"/>
      <c r="DUW6" s="977"/>
      <c r="DUX6" s="977"/>
      <c r="DUY6" s="977"/>
      <c r="DUZ6" s="977"/>
      <c r="DVA6" s="977"/>
      <c r="DVB6" s="977"/>
      <c r="DVC6" s="977"/>
      <c r="DVD6" s="977"/>
      <c r="DVE6" s="977"/>
      <c r="DVF6" s="977"/>
      <c r="DVG6" s="977"/>
      <c r="DVH6" s="977"/>
      <c r="DVI6" s="977"/>
      <c r="DVJ6" s="977"/>
      <c r="DVK6" s="977"/>
      <c r="DVL6" s="977"/>
      <c r="DVM6" s="977"/>
      <c r="DVN6" s="977"/>
      <c r="DVO6" s="977"/>
      <c r="DVP6" s="977"/>
      <c r="DVQ6" s="977"/>
      <c r="DVR6" s="977"/>
      <c r="DVS6" s="977"/>
      <c r="DVT6" s="977"/>
      <c r="DVU6" s="977"/>
      <c r="DVV6" s="977"/>
      <c r="DVW6" s="977"/>
      <c r="DVX6" s="977"/>
      <c r="DVY6" s="977"/>
      <c r="DVZ6" s="977"/>
      <c r="DWA6" s="977"/>
      <c r="DWB6" s="977"/>
      <c r="DWC6" s="977"/>
      <c r="DWD6" s="977"/>
      <c r="DWE6" s="977"/>
      <c r="DWF6" s="977"/>
      <c r="DWG6" s="977"/>
      <c r="DWH6" s="977"/>
      <c r="DWI6" s="977"/>
      <c r="DWJ6" s="977"/>
      <c r="DWK6" s="977"/>
      <c r="DWL6" s="977"/>
      <c r="DWM6" s="977"/>
      <c r="DWN6" s="977"/>
      <c r="DWO6" s="977"/>
      <c r="DWP6" s="977"/>
      <c r="DWQ6" s="977"/>
      <c r="DWR6" s="977"/>
      <c r="DWS6" s="977"/>
      <c r="DWT6" s="977"/>
      <c r="DWU6" s="977"/>
      <c r="DWV6" s="977"/>
      <c r="DWW6" s="977"/>
      <c r="DWX6" s="977"/>
      <c r="DWY6" s="977"/>
      <c r="DWZ6" s="977"/>
      <c r="DXA6" s="977"/>
      <c r="DXB6" s="977"/>
      <c r="DXC6" s="977"/>
      <c r="DXD6" s="977"/>
      <c r="DXE6" s="977"/>
      <c r="DXF6" s="977"/>
      <c r="DXG6" s="977"/>
      <c r="DXH6" s="977"/>
      <c r="DXI6" s="977"/>
      <c r="DXJ6" s="977"/>
      <c r="DXK6" s="977"/>
      <c r="DXL6" s="977"/>
      <c r="DXM6" s="977"/>
      <c r="DXN6" s="977"/>
      <c r="DXO6" s="977"/>
      <c r="DXP6" s="977"/>
      <c r="DXQ6" s="977"/>
      <c r="DXR6" s="977"/>
      <c r="DXS6" s="977"/>
      <c r="DXT6" s="977"/>
      <c r="DXU6" s="977"/>
      <c r="DXV6" s="977"/>
      <c r="DXW6" s="977"/>
      <c r="DXX6" s="977"/>
      <c r="DXY6" s="977"/>
      <c r="DXZ6" s="977"/>
      <c r="DYA6" s="977"/>
      <c r="DYB6" s="977"/>
      <c r="DYC6" s="977"/>
      <c r="DYD6" s="977"/>
      <c r="DYE6" s="977"/>
      <c r="DYF6" s="977"/>
      <c r="DYG6" s="977"/>
      <c r="DYH6" s="977"/>
      <c r="DYI6" s="977"/>
      <c r="DYJ6" s="977"/>
      <c r="DYK6" s="977"/>
      <c r="DYL6" s="977"/>
      <c r="DYM6" s="977"/>
      <c r="DYN6" s="977"/>
      <c r="DYO6" s="977"/>
      <c r="DYP6" s="977"/>
      <c r="DYQ6" s="977"/>
      <c r="DYR6" s="977"/>
      <c r="DYS6" s="977"/>
      <c r="DYT6" s="977"/>
      <c r="DYU6" s="977"/>
      <c r="DYV6" s="977"/>
      <c r="DYW6" s="977"/>
      <c r="DYX6" s="977"/>
      <c r="DYY6" s="977"/>
      <c r="DYZ6" s="977"/>
      <c r="DZA6" s="977"/>
      <c r="DZB6" s="977"/>
      <c r="DZC6" s="977"/>
      <c r="DZD6" s="977"/>
      <c r="DZE6" s="977"/>
      <c r="DZF6" s="977"/>
      <c r="DZG6" s="977"/>
      <c r="DZH6" s="977"/>
      <c r="DZI6" s="977"/>
      <c r="DZJ6" s="977"/>
      <c r="DZK6" s="977"/>
      <c r="DZL6" s="977"/>
      <c r="DZM6" s="977"/>
      <c r="DZN6" s="977"/>
      <c r="DZO6" s="977"/>
      <c r="DZP6" s="977"/>
      <c r="DZQ6" s="977"/>
      <c r="DZR6" s="977"/>
      <c r="DZS6" s="977"/>
      <c r="DZT6" s="977"/>
      <c r="DZU6" s="977"/>
      <c r="DZV6" s="977"/>
      <c r="DZW6" s="977"/>
      <c r="DZX6" s="977"/>
      <c r="DZY6" s="977"/>
      <c r="DZZ6" s="977"/>
      <c r="EAA6" s="977"/>
      <c r="EAB6" s="977"/>
      <c r="EAC6" s="977"/>
      <c r="EAD6" s="977"/>
      <c r="EAE6" s="977"/>
      <c r="EAF6" s="977"/>
      <c r="EAG6" s="977"/>
      <c r="EAH6" s="977"/>
      <c r="EAI6" s="977"/>
      <c r="EAJ6" s="977"/>
      <c r="EAK6" s="977"/>
      <c r="EAL6" s="977"/>
      <c r="EAM6" s="977"/>
      <c r="EAN6" s="977"/>
      <c r="EAO6" s="977"/>
      <c r="EAP6" s="977"/>
      <c r="EAQ6" s="977"/>
      <c r="EAR6" s="977"/>
      <c r="EAS6" s="977"/>
      <c r="EAT6" s="977"/>
      <c r="EAU6" s="977"/>
      <c r="EAV6" s="977"/>
      <c r="EAW6" s="977"/>
      <c r="EAX6" s="977"/>
      <c r="EAY6" s="977"/>
      <c r="EAZ6" s="977"/>
      <c r="EBA6" s="977"/>
      <c r="EBB6" s="977"/>
      <c r="EBC6" s="977"/>
      <c r="EBD6" s="977"/>
      <c r="EBE6" s="977"/>
      <c r="EBF6" s="977"/>
      <c r="EBG6" s="977"/>
      <c r="EBH6" s="977"/>
      <c r="EBI6" s="977"/>
      <c r="EBJ6" s="977"/>
      <c r="EBK6" s="977"/>
      <c r="EBL6" s="977"/>
      <c r="EBM6" s="977"/>
      <c r="EBN6" s="977"/>
      <c r="EBO6" s="977"/>
      <c r="EBP6" s="977"/>
      <c r="EBQ6" s="977"/>
      <c r="EBR6" s="977"/>
      <c r="EBS6" s="977"/>
      <c r="EBT6" s="977"/>
      <c r="EBU6" s="977"/>
      <c r="EBV6" s="977"/>
      <c r="EBW6" s="977"/>
      <c r="EBX6" s="977"/>
      <c r="EBY6" s="977"/>
      <c r="EBZ6" s="977"/>
      <c r="ECA6" s="977"/>
      <c r="ECB6" s="977"/>
      <c r="ECC6" s="977"/>
      <c r="ECD6" s="977"/>
      <c r="ECE6" s="977"/>
      <c r="ECF6" s="977"/>
      <c r="ECG6" s="977"/>
      <c r="ECH6" s="977"/>
      <c r="ECI6" s="977"/>
      <c r="ECJ6" s="977"/>
      <c r="ECK6" s="977"/>
      <c r="ECL6" s="977"/>
      <c r="ECM6" s="977"/>
      <c r="ECN6" s="977"/>
      <c r="ECO6" s="977"/>
      <c r="ECP6" s="977"/>
      <c r="ECQ6" s="977"/>
      <c r="ECR6" s="977"/>
      <c r="ECS6" s="977"/>
      <c r="ECT6" s="977"/>
      <c r="ECU6" s="977"/>
      <c r="ECV6" s="977"/>
      <c r="ECW6" s="977"/>
      <c r="ECX6" s="977"/>
      <c r="ECY6" s="977"/>
      <c r="ECZ6" s="977"/>
      <c r="EDA6" s="977"/>
      <c r="EDB6" s="977"/>
      <c r="EDC6" s="977"/>
      <c r="EDD6" s="977"/>
      <c r="EDE6" s="977"/>
      <c r="EDF6" s="977"/>
      <c r="EDG6" s="977"/>
      <c r="EDH6" s="977"/>
      <c r="EDI6" s="977"/>
      <c r="EDJ6" s="977"/>
      <c r="EDK6" s="977"/>
      <c r="EDL6" s="977"/>
      <c r="EDM6" s="977"/>
      <c r="EDN6" s="977"/>
      <c r="EDO6" s="977"/>
      <c r="EDP6" s="977"/>
      <c r="EDQ6" s="977"/>
      <c r="EDR6" s="977"/>
      <c r="EDS6" s="977"/>
      <c r="EDT6" s="977"/>
      <c r="EDU6" s="977"/>
      <c r="EDV6" s="977"/>
      <c r="EDW6" s="977"/>
      <c r="EDX6" s="977"/>
      <c r="EDY6" s="977"/>
      <c r="EDZ6" s="977"/>
      <c r="EEA6" s="977"/>
      <c r="EEB6" s="977"/>
      <c r="EEC6" s="977"/>
      <c r="EED6" s="977"/>
      <c r="EEE6" s="977"/>
      <c r="EEF6" s="977"/>
      <c r="EEG6" s="977"/>
      <c r="EEH6" s="977"/>
      <c r="EEI6" s="977"/>
      <c r="EEJ6" s="977"/>
      <c r="EEK6" s="977"/>
      <c r="EEL6" s="977"/>
      <c r="EEM6" s="977"/>
      <c r="EEN6" s="977"/>
      <c r="EEO6" s="977"/>
      <c r="EEP6" s="977"/>
      <c r="EEQ6" s="977"/>
      <c r="EER6" s="977"/>
      <c r="EES6" s="977"/>
      <c r="EET6" s="977"/>
      <c r="EEU6" s="977"/>
      <c r="EEV6" s="977"/>
      <c r="EEW6" s="977"/>
      <c r="EEX6" s="977"/>
      <c r="EEY6" s="977"/>
      <c r="EEZ6" s="977"/>
      <c r="EFA6" s="977"/>
      <c r="EFB6" s="977"/>
      <c r="EFC6" s="977"/>
      <c r="EFD6" s="977"/>
      <c r="EFE6" s="977"/>
      <c r="EFF6" s="977"/>
      <c r="EFG6" s="977"/>
      <c r="EFH6" s="977"/>
      <c r="EFI6" s="977"/>
      <c r="EFJ6" s="977"/>
      <c r="EFK6" s="977"/>
      <c r="EFL6" s="977"/>
      <c r="EFM6" s="977"/>
      <c r="EFN6" s="977"/>
      <c r="EFO6" s="977"/>
      <c r="EFP6" s="977"/>
      <c r="EFQ6" s="977"/>
      <c r="EFR6" s="977"/>
      <c r="EFS6" s="977"/>
      <c r="EFT6" s="977"/>
      <c r="EFU6" s="977"/>
      <c r="EFV6" s="977"/>
      <c r="EFW6" s="977"/>
      <c r="EFX6" s="977"/>
      <c r="EFY6" s="977"/>
      <c r="EFZ6" s="977"/>
      <c r="EGA6" s="977"/>
      <c r="EGB6" s="977"/>
      <c r="EGC6" s="977"/>
      <c r="EGD6" s="977"/>
      <c r="EGE6" s="977"/>
      <c r="EGF6" s="977"/>
      <c r="EGG6" s="977"/>
      <c r="EGH6" s="977"/>
      <c r="EGI6" s="977"/>
      <c r="EGJ6" s="977"/>
      <c r="EGK6" s="977"/>
      <c r="EGL6" s="977"/>
      <c r="EGM6" s="977"/>
      <c r="EGN6" s="977"/>
      <c r="EGO6" s="977"/>
      <c r="EGP6" s="977"/>
      <c r="EGQ6" s="977"/>
      <c r="EGR6" s="977"/>
      <c r="EGS6" s="977"/>
      <c r="EGT6" s="977"/>
      <c r="EGU6" s="977"/>
      <c r="EGV6" s="977"/>
      <c r="EGW6" s="977"/>
      <c r="EGX6" s="977"/>
      <c r="EGY6" s="977"/>
      <c r="EGZ6" s="977"/>
      <c r="EHA6" s="977"/>
      <c r="EHB6" s="977"/>
      <c r="EHC6" s="977"/>
      <c r="EHD6" s="977"/>
      <c r="EHE6" s="977"/>
      <c r="EHF6" s="977"/>
      <c r="EHG6" s="977"/>
      <c r="EHH6" s="977"/>
      <c r="EHI6" s="977"/>
      <c r="EHJ6" s="977"/>
      <c r="EHK6" s="977"/>
      <c r="EHL6" s="977"/>
      <c r="EHM6" s="977"/>
      <c r="EHN6" s="977"/>
      <c r="EHO6" s="977"/>
      <c r="EHP6" s="977"/>
      <c r="EHQ6" s="977"/>
      <c r="EHR6" s="977"/>
      <c r="EHS6" s="977"/>
      <c r="EHT6" s="977"/>
      <c r="EHU6" s="977"/>
      <c r="EHV6" s="977"/>
      <c r="EHW6" s="977"/>
      <c r="EHX6" s="977"/>
      <c r="EHY6" s="977"/>
      <c r="EHZ6" s="977"/>
      <c r="EIA6" s="977"/>
      <c r="EIB6" s="977"/>
      <c r="EIC6" s="977"/>
      <c r="EID6" s="977"/>
      <c r="EIE6" s="977"/>
      <c r="EIF6" s="977"/>
      <c r="EIG6" s="977"/>
      <c r="EIH6" s="977"/>
      <c r="EII6" s="977"/>
      <c r="EIJ6" s="977"/>
      <c r="EIK6" s="977"/>
      <c r="EIL6" s="977"/>
      <c r="EIM6" s="977"/>
      <c r="EIN6" s="977"/>
      <c r="EIO6" s="977"/>
      <c r="EIP6" s="977"/>
      <c r="EIQ6" s="977"/>
      <c r="EIR6" s="977"/>
      <c r="EIS6" s="977"/>
      <c r="EIT6" s="977"/>
      <c r="EIU6" s="977"/>
      <c r="EIV6" s="977"/>
      <c r="EIW6" s="977"/>
      <c r="EIX6" s="977"/>
      <c r="EIY6" s="977"/>
      <c r="EIZ6" s="977"/>
      <c r="EJA6" s="977"/>
      <c r="EJB6" s="977"/>
      <c r="EJC6" s="977"/>
      <c r="EJD6" s="977"/>
      <c r="EJE6" s="977"/>
      <c r="EJF6" s="977"/>
      <c r="EJG6" s="977"/>
      <c r="EJH6" s="977"/>
      <c r="EJI6" s="977"/>
      <c r="EJJ6" s="977"/>
      <c r="EJK6" s="977"/>
      <c r="EJL6" s="977"/>
      <c r="EJM6" s="977"/>
      <c r="EJN6" s="977"/>
      <c r="EJO6" s="977"/>
      <c r="EJP6" s="977"/>
      <c r="EJQ6" s="977"/>
      <c r="EJR6" s="977"/>
      <c r="EJS6" s="977"/>
      <c r="EJT6" s="977"/>
      <c r="EJU6" s="977"/>
      <c r="EJV6" s="977"/>
      <c r="EJW6" s="977"/>
      <c r="EJX6" s="977"/>
      <c r="EJY6" s="977"/>
      <c r="EJZ6" s="977"/>
      <c r="EKA6" s="977"/>
      <c r="EKB6" s="977"/>
      <c r="EKC6" s="977"/>
      <c r="EKD6" s="977"/>
      <c r="EKE6" s="977"/>
      <c r="EKF6" s="977"/>
      <c r="EKG6" s="977"/>
      <c r="EKH6" s="977"/>
      <c r="EKI6" s="977"/>
      <c r="EKJ6" s="977"/>
      <c r="EKK6" s="977"/>
      <c r="EKL6" s="977"/>
      <c r="EKM6" s="977"/>
      <c r="EKN6" s="977"/>
      <c r="EKO6" s="977"/>
      <c r="EKP6" s="977"/>
      <c r="EKQ6" s="977"/>
      <c r="EKR6" s="977"/>
      <c r="EKS6" s="977"/>
      <c r="EKT6" s="977"/>
      <c r="EKU6" s="977"/>
      <c r="EKV6" s="977"/>
      <c r="EKW6" s="977"/>
      <c r="EKX6" s="977"/>
      <c r="EKY6" s="977"/>
      <c r="EKZ6" s="977"/>
      <c r="ELA6" s="977"/>
      <c r="ELB6" s="977"/>
      <c r="ELC6" s="977"/>
      <c r="ELD6" s="977"/>
      <c r="ELE6" s="977"/>
      <c r="ELF6" s="977"/>
      <c r="ELG6" s="977"/>
      <c r="ELH6" s="977"/>
      <c r="ELI6" s="977"/>
      <c r="ELJ6" s="977"/>
      <c r="ELK6" s="977"/>
      <c r="ELL6" s="977"/>
      <c r="ELM6" s="977"/>
      <c r="ELN6" s="977"/>
      <c r="ELO6" s="977"/>
      <c r="ELP6" s="977"/>
      <c r="ELQ6" s="977"/>
      <c r="ELR6" s="977"/>
      <c r="ELS6" s="977"/>
      <c r="ELT6" s="977"/>
      <c r="ELU6" s="977"/>
      <c r="ELV6" s="977"/>
      <c r="ELW6" s="977"/>
      <c r="ELX6" s="977"/>
      <c r="ELY6" s="977"/>
      <c r="ELZ6" s="977"/>
      <c r="EMA6" s="977"/>
      <c r="EMB6" s="977"/>
      <c r="EMC6" s="977"/>
      <c r="EMD6" s="977"/>
      <c r="EME6" s="977"/>
      <c r="EMF6" s="977"/>
      <c r="EMG6" s="977"/>
      <c r="EMH6" s="977"/>
      <c r="EMI6" s="977"/>
      <c r="EMJ6" s="977"/>
      <c r="EMK6" s="977"/>
      <c r="EML6" s="977"/>
      <c r="EMM6" s="977"/>
      <c r="EMN6" s="977"/>
      <c r="EMO6" s="977"/>
      <c r="EMP6" s="977"/>
      <c r="EMQ6" s="977"/>
      <c r="EMR6" s="977"/>
      <c r="EMS6" s="977"/>
      <c r="EMT6" s="977"/>
      <c r="EMU6" s="977"/>
      <c r="EMV6" s="977"/>
      <c r="EMW6" s="977"/>
      <c r="EMX6" s="977"/>
      <c r="EMY6" s="977"/>
      <c r="EMZ6" s="977"/>
      <c r="ENA6" s="977"/>
      <c r="ENB6" s="977"/>
      <c r="ENC6" s="977"/>
      <c r="END6" s="977"/>
      <c r="ENE6" s="977"/>
      <c r="ENF6" s="977"/>
      <c r="ENG6" s="977"/>
      <c r="ENH6" s="977"/>
      <c r="ENI6" s="977"/>
      <c r="ENJ6" s="977"/>
      <c r="ENK6" s="977"/>
      <c r="ENL6" s="977"/>
      <c r="ENM6" s="977"/>
      <c r="ENN6" s="977"/>
      <c r="ENO6" s="977"/>
      <c r="ENP6" s="977"/>
      <c r="ENQ6" s="977"/>
      <c r="ENR6" s="977"/>
      <c r="ENS6" s="977"/>
      <c r="ENT6" s="977"/>
      <c r="ENU6" s="977"/>
      <c r="ENV6" s="977"/>
      <c r="ENW6" s="977"/>
      <c r="ENX6" s="977"/>
      <c r="ENY6" s="977"/>
      <c r="ENZ6" s="977"/>
      <c r="EOA6" s="977"/>
      <c r="EOB6" s="977"/>
      <c r="EOC6" s="977"/>
      <c r="EOD6" s="977"/>
      <c r="EOE6" s="977"/>
      <c r="EOF6" s="977"/>
      <c r="EOG6" s="977"/>
      <c r="EOH6" s="977"/>
      <c r="EOI6" s="977"/>
      <c r="EOJ6" s="977"/>
      <c r="EOK6" s="977"/>
      <c r="EOL6" s="977"/>
      <c r="EOM6" s="977"/>
      <c r="EON6" s="977"/>
      <c r="EOO6" s="977"/>
      <c r="EOP6" s="977"/>
      <c r="EOQ6" s="977"/>
      <c r="EOR6" s="977"/>
      <c r="EOS6" s="977"/>
      <c r="EOT6" s="977"/>
      <c r="EOU6" s="977"/>
      <c r="EOV6" s="977"/>
      <c r="EOW6" s="977"/>
      <c r="EOX6" s="977"/>
      <c r="EOY6" s="977"/>
      <c r="EOZ6" s="977"/>
      <c r="EPA6" s="977"/>
      <c r="EPB6" s="977"/>
      <c r="EPC6" s="977"/>
      <c r="EPD6" s="977"/>
      <c r="EPE6" s="977"/>
      <c r="EPF6" s="977"/>
      <c r="EPG6" s="977"/>
      <c r="EPH6" s="977"/>
      <c r="EPI6" s="977"/>
      <c r="EPJ6" s="977"/>
      <c r="EPK6" s="977"/>
      <c r="EPL6" s="977"/>
      <c r="EPM6" s="977"/>
      <c r="EPN6" s="977"/>
      <c r="EPO6" s="977"/>
      <c r="EPP6" s="977"/>
      <c r="EPQ6" s="977"/>
      <c r="EPR6" s="977"/>
      <c r="EPS6" s="977"/>
      <c r="EPT6" s="977"/>
      <c r="EPU6" s="977"/>
      <c r="EPV6" s="977"/>
      <c r="EPW6" s="977"/>
      <c r="EPX6" s="977"/>
      <c r="EPY6" s="977"/>
      <c r="EPZ6" s="977"/>
      <c r="EQA6" s="977"/>
      <c r="EQB6" s="977"/>
      <c r="EQC6" s="977"/>
      <c r="EQD6" s="977"/>
      <c r="EQE6" s="977"/>
      <c r="EQF6" s="977"/>
      <c r="EQG6" s="977"/>
      <c r="EQH6" s="977"/>
      <c r="EQI6" s="977"/>
      <c r="EQJ6" s="977"/>
      <c r="EQK6" s="977"/>
      <c r="EQL6" s="977"/>
      <c r="EQM6" s="977"/>
      <c r="EQN6" s="977"/>
      <c r="EQO6" s="977"/>
      <c r="EQP6" s="977"/>
      <c r="EQQ6" s="977"/>
      <c r="EQR6" s="977"/>
      <c r="EQS6" s="977"/>
      <c r="EQT6" s="977"/>
      <c r="EQU6" s="977"/>
      <c r="EQV6" s="977"/>
      <c r="EQW6" s="977"/>
      <c r="EQX6" s="977"/>
      <c r="EQY6" s="977"/>
      <c r="EQZ6" s="977"/>
      <c r="ERA6" s="977"/>
      <c r="ERB6" s="977"/>
      <c r="ERC6" s="977"/>
      <c r="ERD6" s="977"/>
      <c r="ERE6" s="977"/>
      <c r="ERF6" s="977"/>
      <c r="ERG6" s="977"/>
      <c r="ERH6" s="977"/>
      <c r="ERI6" s="977"/>
      <c r="ERJ6" s="977"/>
      <c r="ERK6" s="977"/>
      <c r="ERL6" s="977"/>
      <c r="ERM6" s="977"/>
      <c r="ERN6" s="977"/>
      <c r="ERO6" s="977"/>
      <c r="ERP6" s="977"/>
      <c r="ERQ6" s="977"/>
      <c r="ERR6" s="977"/>
      <c r="ERS6" s="977"/>
      <c r="ERT6" s="977"/>
      <c r="ERU6" s="977"/>
      <c r="ERV6" s="977"/>
      <c r="ERW6" s="977"/>
      <c r="ERX6" s="977"/>
      <c r="ERY6" s="977"/>
      <c r="ERZ6" s="977"/>
      <c r="ESA6" s="977"/>
      <c r="ESB6" s="977"/>
      <c r="ESC6" s="977"/>
      <c r="ESD6" s="977"/>
      <c r="ESE6" s="977"/>
      <c r="ESF6" s="977"/>
      <c r="ESG6" s="977"/>
      <c r="ESH6" s="977"/>
      <c r="ESI6" s="977"/>
      <c r="ESJ6" s="977"/>
      <c r="ESK6" s="977"/>
      <c r="ESL6" s="977"/>
      <c r="ESM6" s="977"/>
      <c r="ESN6" s="977"/>
      <c r="ESO6" s="977"/>
      <c r="ESP6" s="977"/>
      <c r="ESQ6" s="977"/>
      <c r="ESR6" s="977"/>
      <c r="ESS6" s="977"/>
      <c r="EST6" s="977"/>
      <c r="ESU6" s="977"/>
      <c r="ESV6" s="977"/>
      <c r="ESW6" s="977"/>
      <c r="ESX6" s="977"/>
      <c r="ESY6" s="977"/>
      <c r="ESZ6" s="977"/>
      <c r="ETA6" s="977"/>
      <c r="ETB6" s="977"/>
      <c r="ETC6" s="977"/>
      <c r="ETD6" s="977"/>
      <c r="ETE6" s="977"/>
      <c r="ETF6" s="977"/>
      <c r="ETG6" s="977"/>
      <c r="ETH6" s="977"/>
      <c r="ETI6" s="977"/>
      <c r="ETJ6" s="977"/>
      <c r="ETK6" s="977"/>
      <c r="ETL6" s="977"/>
      <c r="ETM6" s="977"/>
      <c r="ETN6" s="977"/>
      <c r="ETO6" s="977"/>
      <c r="ETP6" s="977"/>
      <c r="ETQ6" s="977"/>
      <c r="ETR6" s="977"/>
      <c r="ETS6" s="977"/>
      <c r="ETT6" s="977"/>
      <c r="ETU6" s="977"/>
      <c r="ETV6" s="977"/>
      <c r="ETW6" s="977"/>
      <c r="ETX6" s="977"/>
      <c r="ETY6" s="977"/>
      <c r="ETZ6" s="977"/>
      <c r="EUA6" s="977"/>
      <c r="EUB6" s="977"/>
      <c r="EUC6" s="977"/>
      <c r="EUD6" s="977"/>
      <c r="EUE6" s="977"/>
      <c r="EUF6" s="977"/>
      <c r="EUG6" s="977"/>
      <c r="EUH6" s="977"/>
      <c r="EUI6" s="977"/>
      <c r="EUJ6" s="977"/>
      <c r="EUK6" s="977"/>
      <c r="EUL6" s="977"/>
      <c r="EUM6" s="977"/>
      <c r="EUN6" s="977"/>
      <c r="EUO6" s="977"/>
      <c r="EUP6" s="977"/>
      <c r="EUQ6" s="977"/>
      <c r="EUR6" s="977"/>
      <c r="EUS6" s="977"/>
      <c r="EUT6" s="977"/>
      <c r="EUU6" s="977"/>
      <c r="EUV6" s="977"/>
      <c r="EUW6" s="977"/>
      <c r="EUX6" s="977"/>
      <c r="EUY6" s="977"/>
      <c r="EUZ6" s="977"/>
      <c r="EVA6" s="977"/>
      <c r="EVB6" s="977"/>
      <c r="EVC6" s="977"/>
      <c r="EVD6" s="977"/>
      <c r="EVE6" s="977"/>
      <c r="EVF6" s="977"/>
      <c r="EVG6" s="977"/>
      <c r="EVH6" s="977"/>
      <c r="EVI6" s="977"/>
      <c r="EVJ6" s="977"/>
      <c r="EVK6" s="977"/>
      <c r="EVL6" s="977"/>
      <c r="EVM6" s="977"/>
      <c r="EVN6" s="977"/>
      <c r="EVO6" s="977"/>
      <c r="EVP6" s="977"/>
      <c r="EVQ6" s="977"/>
      <c r="EVR6" s="977"/>
      <c r="EVS6" s="977"/>
      <c r="EVT6" s="977"/>
      <c r="EVU6" s="977"/>
      <c r="EVV6" s="977"/>
      <c r="EVW6" s="977"/>
      <c r="EVX6" s="977"/>
      <c r="EVY6" s="977"/>
      <c r="EVZ6" s="977"/>
      <c r="EWA6" s="977"/>
      <c r="EWB6" s="977"/>
      <c r="EWC6" s="977"/>
      <c r="EWD6" s="977"/>
      <c r="EWE6" s="977"/>
      <c r="EWF6" s="977"/>
      <c r="EWG6" s="977"/>
      <c r="EWH6" s="977"/>
      <c r="EWI6" s="977"/>
      <c r="EWJ6" s="977"/>
      <c r="EWK6" s="977"/>
      <c r="EWL6" s="977"/>
      <c r="EWM6" s="977"/>
      <c r="EWN6" s="977"/>
      <c r="EWO6" s="977"/>
      <c r="EWP6" s="977"/>
      <c r="EWQ6" s="977"/>
      <c r="EWR6" s="977"/>
      <c r="EWS6" s="977"/>
      <c r="EWT6" s="977"/>
      <c r="EWU6" s="977"/>
      <c r="EWV6" s="977"/>
      <c r="EWW6" s="977"/>
      <c r="EWX6" s="977"/>
      <c r="EWY6" s="977"/>
      <c r="EWZ6" s="977"/>
      <c r="EXA6" s="977"/>
      <c r="EXB6" s="977"/>
      <c r="EXC6" s="977"/>
      <c r="EXD6" s="977"/>
      <c r="EXE6" s="977"/>
      <c r="EXF6" s="977"/>
      <c r="EXG6" s="977"/>
      <c r="EXH6" s="977"/>
      <c r="EXI6" s="977"/>
      <c r="EXJ6" s="977"/>
      <c r="EXK6" s="977"/>
      <c r="EXL6" s="977"/>
      <c r="EXM6" s="977"/>
      <c r="EXN6" s="977"/>
      <c r="EXO6" s="977"/>
      <c r="EXP6" s="977"/>
      <c r="EXQ6" s="977"/>
      <c r="EXR6" s="977"/>
      <c r="EXS6" s="977"/>
      <c r="EXT6" s="977"/>
      <c r="EXU6" s="977"/>
      <c r="EXV6" s="977"/>
      <c r="EXW6" s="977"/>
      <c r="EXX6" s="977"/>
      <c r="EXY6" s="977"/>
      <c r="EXZ6" s="977"/>
      <c r="EYA6" s="977"/>
      <c r="EYB6" s="977"/>
      <c r="EYC6" s="977"/>
      <c r="EYD6" s="977"/>
      <c r="EYE6" s="977"/>
      <c r="EYF6" s="977"/>
      <c r="EYG6" s="977"/>
      <c r="EYH6" s="977"/>
      <c r="EYI6" s="977"/>
      <c r="EYJ6" s="977"/>
      <c r="EYK6" s="977"/>
      <c r="EYL6" s="977"/>
      <c r="EYM6" s="977"/>
      <c r="EYN6" s="977"/>
      <c r="EYO6" s="977"/>
      <c r="EYP6" s="977"/>
      <c r="EYQ6" s="977"/>
      <c r="EYR6" s="977"/>
      <c r="EYS6" s="977"/>
      <c r="EYT6" s="977"/>
      <c r="EYU6" s="977"/>
      <c r="EYV6" s="977"/>
      <c r="EYW6" s="977"/>
      <c r="EYX6" s="977"/>
      <c r="EYY6" s="977"/>
      <c r="EYZ6" s="977"/>
      <c r="EZA6" s="977"/>
      <c r="EZB6" s="977"/>
      <c r="EZC6" s="977"/>
      <c r="EZD6" s="977"/>
      <c r="EZE6" s="977"/>
      <c r="EZF6" s="977"/>
      <c r="EZG6" s="977"/>
      <c r="EZH6" s="977"/>
      <c r="EZI6" s="977"/>
      <c r="EZJ6" s="977"/>
      <c r="EZK6" s="977"/>
      <c r="EZL6" s="977"/>
      <c r="EZM6" s="977"/>
      <c r="EZN6" s="977"/>
      <c r="EZO6" s="977"/>
      <c r="EZP6" s="977"/>
      <c r="EZQ6" s="977"/>
      <c r="EZR6" s="977"/>
      <c r="EZS6" s="977"/>
      <c r="EZT6" s="977"/>
      <c r="EZU6" s="977"/>
      <c r="EZV6" s="977"/>
      <c r="EZW6" s="977"/>
      <c r="EZX6" s="977"/>
      <c r="EZY6" s="977"/>
      <c r="EZZ6" s="977"/>
      <c r="FAA6" s="977"/>
      <c r="FAB6" s="977"/>
      <c r="FAC6" s="977"/>
      <c r="FAD6" s="977"/>
      <c r="FAE6" s="977"/>
      <c r="FAF6" s="977"/>
      <c r="FAG6" s="977"/>
      <c r="FAH6" s="977"/>
      <c r="FAI6" s="977"/>
      <c r="FAJ6" s="977"/>
      <c r="FAK6" s="977"/>
      <c r="FAL6" s="977"/>
      <c r="FAM6" s="977"/>
      <c r="FAN6" s="977"/>
      <c r="FAO6" s="977"/>
      <c r="FAP6" s="977"/>
      <c r="FAQ6" s="977"/>
      <c r="FAR6" s="977"/>
      <c r="FAS6" s="977"/>
      <c r="FAT6" s="977"/>
      <c r="FAU6" s="977"/>
      <c r="FAV6" s="977"/>
      <c r="FAW6" s="977"/>
      <c r="FAX6" s="977"/>
      <c r="FAY6" s="977"/>
      <c r="FAZ6" s="977"/>
      <c r="FBA6" s="977"/>
      <c r="FBB6" s="977"/>
      <c r="FBC6" s="977"/>
      <c r="FBD6" s="977"/>
      <c r="FBE6" s="977"/>
      <c r="FBF6" s="977"/>
      <c r="FBG6" s="977"/>
      <c r="FBH6" s="977"/>
      <c r="FBI6" s="977"/>
      <c r="FBJ6" s="977"/>
      <c r="FBK6" s="977"/>
      <c r="FBL6" s="977"/>
      <c r="FBM6" s="977"/>
      <c r="FBN6" s="977"/>
      <c r="FBO6" s="977"/>
      <c r="FBP6" s="977"/>
      <c r="FBQ6" s="977"/>
      <c r="FBR6" s="977"/>
      <c r="FBS6" s="977"/>
      <c r="FBT6" s="977"/>
      <c r="FBU6" s="977"/>
      <c r="FBV6" s="977"/>
      <c r="FBW6" s="977"/>
      <c r="FBX6" s="977"/>
      <c r="FBY6" s="977"/>
      <c r="FBZ6" s="977"/>
      <c r="FCA6" s="977"/>
      <c r="FCB6" s="977"/>
      <c r="FCC6" s="977"/>
      <c r="FCD6" s="977"/>
      <c r="FCE6" s="977"/>
      <c r="FCF6" s="977"/>
      <c r="FCG6" s="977"/>
      <c r="FCH6" s="977"/>
      <c r="FCI6" s="977"/>
      <c r="FCJ6" s="977"/>
      <c r="FCK6" s="977"/>
      <c r="FCL6" s="977"/>
      <c r="FCM6" s="977"/>
      <c r="FCN6" s="977"/>
      <c r="FCO6" s="977"/>
      <c r="FCP6" s="977"/>
      <c r="FCQ6" s="977"/>
      <c r="FCR6" s="977"/>
      <c r="FCS6" s="977"/>
      <c r="FCT6" s="977"/>
      <c r="FCU6" s="977"/>
      <c r="FCV6" s="977"/>
      <c r="FCW6" s="977"/>
      <c r="FCX6" s="977"/>
      <c r="FCY6" s="977"/>
      <c r="FCZ6" s="977"/>
      <c r="FDA6" s="977"/>
      <c r="FDB6" s="977"/>
      <c r="FDC6" s="977"/>
      <c r="FDD6" s="977"/>
      <c r="FDE6" s="977"/>
      <c r="FDF6" s="977"/>
      <c r="FDG6" s="977"/>
      <c r="FDH6" s="977"/>
      <c r="FDI6" s="977"/>
      <c r="FDJ6" s="977"/>
      <c r="FDK6" s="977"/>
      <c r="FDL6" s="977"/>
      <c r="FDM6" s="977"/>
      <c r="FDN6" s="977"/>
      <c r="FDO6" s="977"/>
      <c r="FDP6" s="977"/>
      <c r="FDQ6" s="977"/>
      <c r="FDR6" s="977"/>
      <c r="FDS6" s="977"/>
      <c r="FDT6" s="977"/>
      <c r="FDU6" s="977"/>
      <c r="FDV6" s="977"/>
      <c r="FDW6" s="977"/>
      <c r="FDX6" s="977"/>
      <c r="FDY6" s="977"/>
      <c r="FDZ6" s="977"/>
      <c r="FEA6" s="977"/>
      <c r="FEB6" s="977"/>
      <c r="FEC6" s="977"/>
      <c r="FED6" s="977"/>
      <c r="FEE6" s="977"/>
      <c r="FEF6" s="977"/>
      <c r="FEG6" s="977"/>
      <c r="FEH6" s="977"/>
      <c r="FEI6" s="977"/>
      <c r="FEJ6" s="977"/>
      <c r="FEK6" s="977"/>
      <c r="FEL6" s="977"/>
      <c r="FEM6" s="977"/>
      <c r="FEN6" s="977"/>
      <c r="FEO6" s="977"/>
      <c r="FEP6" s="977"/>
      <c r="FEQ6" s="977"/>
      <c r="FER6" s="977"/>
      <c r="FES6" s="977"/>
      <c r="FET6" s="977"/>
      <c r="FEU6" s="977"/>
      <c r="FEV6" s="977"/>
      <c r="FEW6" s="977"/>
      <c r="FEX6" s="977"/>
      <c r="FEY6" s="977"/>
      <c r="FEZ6" s="977"/>
      <c r="FFA6" s="977"/>
      <c r="FFB6" s="977"/>
      <c r="FFC6" s="977"/>
      <c r="FFD6" s="977"/>
      <c r="FFE6" s="977"/>
      <c r="FFF6" s="977"/>
      <c r="FFG6" s="977"/>
      <c r="FFH6" s="977"/>
      <c r="FFI6" s="977"/>
      <c r="FFJ6" s="977"/>
      <c r="FFK6" s="977"/>
      <c r="FFL6" s="977"/>
      <c r="FFM6" s="977"/>
      <c r="FFN6" s="977"/>
      <c r="FFO6" s="977"/>
      <c r="FFP6" s="977"/>
      <c r="FFQ6" s="977"/>
      <c r="FFR6" s="977"/>
      <c r="FFS6" s="977"/>
      <c r="FFT6" s="977"/>
      <c r="FFU6" s="977"/>
      <c r="FFV6" s="977"/>
      <c r="FFW6" s="977"/>
      <c r="FFX6" s="977"/>
      <c r="FFY6" s="977"/>
      <c r="FFZ6" s="977"/>
      <c r="FGA6" s="977"/>
      <c r="FGB6" s="977"/>
      <c r="FGC6" s="977"/>
      <c r="FGD6" s="977"/>
      <c r="FGE6" s="977"/>
      <c r="FGF6" s="977"/>
      <c r="FGG6" s="977"/>
      <c r="FGH6" s="977"/>
      <c r="FGI6" s="977"/>
      <c r="FGJ6" s="977"/>
      <c r="FGK6" s="977"/>
      <c r="FGL6" s="977"/>
      <c r="FGM6" s="977"/>
      <c r="FGN6" s="977"/>
      <c r="FGO6" s="977"/>
      <c r="FGP6" s="977"/>
      <c r="FGQ6" s="977"/>
      <c r="FGR6" s="977"/>
      <c r="FGS6" s="977"/>
      <c r="FGT6" s="977"/>
      <c r="FGU6" s="977"/>
      <c r="FGV6" s="977"/>
      <c r="FGW6" s="977"/>
      <c r="FGX6" s="977"/>
      <c r="FGY6" s="977"/>
      <c r="FGZ6" s="977"/>
      <c r="FHA6" s="977"/>
      <c r="FHB6" s="977"/>
      <c r="FHC6" s="977"/>
      <c r="FHD6" s="977"/>
      <c r="FHE6" s="977"/>
      <c r="FHF6" s="977"/>
      <c r="FHG6" s="977"/>
      <c r="FHH6" s="977"/>
      <c r="FHI6" s="977"/>
      <c r="FHJ6" s="977"/>
      <c r="FHK6" s="977"/>
      <c r="FHL6" s="977"/>
      <c r="FHM6" s="977"/>
      <c r="FHN6" s="977"/>
      <c r="FHO6" s="977"/>
      <c r="FHP6" s="977"/>
      <c r="FHQ6" s="977"/>
      <c r="FHR6" s="977"/>
      <c r="FHS6" s="977"/>
      <c r="FHT6" s="977"/>
      <c r="FHU6" s="977"/>
      <c r="FHV6" s="977"/>
      <c r="FHW6" s="977"/>
      <c r="FHX6" s="977"/>
      <c r="FHY6" s="977"/>
      <c r="FHZ6" s="977"/>
      <c r="FIA6" s="977"/>
      <c r="FIB6" s="977"/>
      <c r="FIC6" s="977"/>
      <c r="FID6" s="977"/>
      <c r="FIE6" s="977"/>
      <c r="FIF6" s="977"/>
      <c r="FIG6" s="977"/>
      <c r="FIH6" s="977"/>
      <c r="FII6" s="977"/>
      <c r="FIJ6" s="977"/>
      <c r="FIK6" s="977"/>
      <c r="FIL6" s="977"/>
      <c r="FIM6" s="977"/>
      <c r="FIN6" s="977"/>
      <c r="FIO6" s="977"/>
      <c r="FIP6" s="977"/>
      <c r="FIQ6" s="977"/>
      <c r="FIR6" s="977"/>
      <c r="FIS6" s="977"/>
      <c r="FIT6" s="977"/>
      <c r="FIU6" s="977"/>
      <c r="FIV6" s="977"/>
      <c r="FIW6" s="977"/>
      <c r="FIX6" s="977"/>
      <c r="FIY6" s="977"/>
      <c r="FIZ6" s="977"/>
      <c r="FJA6" s="977"/>
      <c r="FJB6" s="977"/>
      <c r="FJC6" s="977"/>
      <c r="FJD6" s="977"/>
      <c r="FJE6" s="977"/>
      <c r="FJF6" s="977"/>
      <c r="FJG6" s="977"/>
      <c r="FJH6" s="977"/>
      <c r="FJI6" s="977"/>
      <c r="FJJ6" s="977"/>
      <c r="FJK6" s="977"/>
      <c r="FJL6" s="977"/>
      <c r="FJM6" s="977"/>
      <c r="FJN6" s="977"/>
      <c r="FJO6" s="977"/>
      <c r="FJP6" s="977"/>
      <c r="FJQ6" s="977"/>
      <c r="FJR6" s="977"/>
      <c r="FJS6" s="977"/>
      <c r="FJT6" s="977"/>
      <c r="FJU6" s="977"/>
      <c r="FJV6" s="977"/>
      <c r="FJW6" s="977"/>
      <c r="FJX6" s="977"/>
      <c r="FJY6" s="977"/>
      <c r="FJZ6" s="977"/>
      <c r="FKA6" s="977"/>
      <c r="FKB6" s="977"/>
      <c r="FKC6" s="977"/>
      <c r="FKD6" s="977"/>
      <c r="FKE6" s="977"/>
      <c r="FKF6" s="977"/>
      <c r="FKG6" s="977"/>
      <c r="FKH6" s="977"/>
      <c r="FKI6" s="977"/>
      <c r="FKJ6" s="977"/>
      <c r="FKK6" s="977"/>
      <c r="FKL6" s="977"/>
      <c r="FKM6" s="977"/>
      <c r="FKN6" s="977"/>
      <c r="FKO6" s="977"/>
      <c r="FKP6" s="977"/>
      <c r="FKQ6" s="977"/>
      <c r="FKR6" s="977"/>
      <c r="FKS6" s="977"/>
      <c r="FKT6" s="977"/>
      <c r="FKU6" s="977"/>
      <c r="FKV6" s="977"/>
      <c r="FKW6" s="977"/>
      <c r="FKX6" s="977"/>
      <c r="FKY6" s="977"/>
      <c r="FKZ6" s="977"/>
      <c r="FLA6" s="977"/>
      <c r="FLB6" s="977"/>
      <c r="FLC6" s="977"/>
      <c r="FLD6" s="977"/>
      <c r="FLE6" s="977"/>
      <c r="FLF6" s="977"/>
      <c r="FLG6" s="977"/>
      <c r="FLH6" s="977"/>
      <c r="FLI6" s="977"/>
      <c r="FLJ6" s="977"/>
      <c r="FLK6" s="977"/>
      <c r="FLL6" s="977"/>
      <c r="FLM6" s="977"/>
      <c r="FLN6" s="977"/>
      <c r="FLO6" s="977"/>
      <c r="FLP6" s="977"/>
      <c r="FLQ6" s="977"/>
      <c r="FLR6" s="977"/>
      <c r="FLS6" s="977"/>
      <c r="FLT6" s="977"/>
      <c r="FLU6" s="977"/>
      <c r="FLV6" s="977"/>
      <c r="FLW6" s="977"/>
      <c r="FLX6" s="977"/>
      <c r="FLY6" s="977"/>
      <c r="FLZ6" s="977"/>
      <c r="FMA6" s="977"/>
      <c r="FMB6" s="977"/>
      <c r="FMC6" s="977"/>
      <c r="FMD6" s="977"/>
      <c r="FME6" s="977"/>
      <c r="FMF6" s="977"/>
      <c r="FMG6" s="977"/>
      <c r="FMH6" s="977"/>
      <c r="FMI6" s="977"/>
      <c r="FMJ6" s="977"/>
      <c r="FMK6" s="977"/>
      <c r="FML6" s="977"/>
      <c r="FMM6" s="977"/>
      <c r="FMN6" s="977"/>
      <c r="FMO6" s="977"/>
      <c r="FMP6" s="977"/>
      <c r="FMQ6" s="977"/>
      <c r="FMR6" s="977"/>
      <c r="FMS6" s="977"/>
      <c r="FMT6" s="977"/>
      <c r="FMU6" s="977"/>
      <c r="FMV6" s="977"/>
      <c r="FMW6" s="977"/>
      <c r="FMX6" s="977"/>
      <c r="FMY6" s="977"/>
      <c r="FMZ6" s="977"/>
      <c r="FNA6" s="977"/>
      <c r="FNB6" s="977"/>
      <c r="FNC6" s="977"/>
      <c r="FND6" s="977"/>
      <c r="FNE6" s="977"/>
      <c r="FNF6" s="977"/>
      <c r="FNG6" s="977"/>
      <c r="FNH6" s="977"/>
      <c r="FNI6" s="977"/>
      <c r="FNJ6" s="977"/>
      <c r="FNK6" s="977"/>
      <c r="FNL6" s="977"/>
      <c r="FNM6" s="977"/>
      <c r="FNN6" s="977"/>
      <c r="FNO6" s="977"/>
      <c r="FNP6" s="977"/>
      <c r="FNQ6" s="977"/>
      <c r="FNR6" s="977"/>
      <c r="FNS6" s="977"/>
      <c r="FNT6" s="977"/>
      <c r="FNU6" s="977"/>
      <c r="FNV6" s="977"/>
      <c r="FNW6" s="977"/>
      <c r="FNX6" s="977"/>
      <c r="FNY6" s="977"/>
      <c r="FNZ6" s="977"/>
      <c r="FOA6" s="977"/>
      <c r="FOB6" s="977"/>
      <c r="FOC6" s="977"/>
      <c r="FOD6" s="977"/>
      <c r="FOE6" s="977"/>
      <c r="FOF6" s="977"/>
      <c r="FOG6" s="977"/>
      <c r="FOH6" s="977"/>
      <c r="FOI6" s="977"/>
      <c r="FOJ6" s="977"/>
      <c r="FOK6" s="977"/>
      <c r="FOL6" s="977"/>
      <c r="FOM6" s="977"/>
      <c r="FON6" s="977"/>
      <c r="FOO6" s="977"/>
      <c r="FOP6" s="977"/>
      <c r="FOQ6" s="977"/>
      <c r="FOR6" s="977"/>
      <c r="FOS6" s="977"/>
      <c r="FOT6" s="977"/>
      <c r="FOU6" s="977"/>
      <c r="FOV6" s="977"/>
      <c r="FOW6" s="977"/>
      <c r="FOX6" s="977"/>
      <c r="FOY6" s="977"/>
      <c r="FOZ6" s="977"/>
      <c r="FPA6" s="977"/>
      <c r="FPB6" s="977"/>
      <c r="FPC6" s="977"/>
      <c r="FPD6" s="977"/>
      <c r="FPE6" s="977"/>
      <c r="FPF6" s="977"/>
      <c r="FPG6" s="977"/>
      <c r="FPH6" s="977"/>
      <c r="FPI6" s="977"/>
      <c r="FPJ6" s="977"/>
      <c r="FPK6" s="977"/>
      <c r="FPL6" s="977"/>
      <c r="FPM6" s="977"/>
      <c r="FPN6" s="977"/>
      <c r="FPO6" s="977"/>
      <c r="FPP6" s="977"/>
      <c r="FPQ6" s="977"/>
      <c r="FPR6" s="977"/>
      <c r="FPS6" s="977"/>
      <c r="FPT6" s="977"/>
      <c r="FPU6" s="977"/>
      <c r="FPV6" s="977"/>
      <c r="FPW6" s="977"/>
      <c r="FPX6" s="977"/>
      <c r="FPY6" s="977"/>
      <c r="FPZ6" s="977"/>
      <c r="FQA6" s="977"/>
      <c r="FQB6" s="977"/>
      <c r="FQC6" s="977"/>
      <c r="FQD6" s="977"/>
      <c r="FQE6" s="977"/>
      <c r="FQF6" s="977"/>
      <c r="FQG6" s="977"/>
      <c r="FQH6" s="977"/>
      <c r="FQI6" s="977"/>
      <c r="FQJ6" s="977"/>
      <c r="FQK6" s="977"/>
      <c r="FQL6" s="977"/>
      <c r="FQM6" s="977"/>
      <c r="FQN6" s="977"/>
      <c r="FQO6" s="977"/>
      <c r="FQP6" s="977"/>
      <c r="FQQ6" s="977"/>
      <c r="FQR6" s="977"/>
      <c r="FQS6" s="977"/>
      <c r="FQT6" s="977"/>
      <c r="FQU6" s="977"/>
      <c r="FQV6" s="977"/>
      <c r="FQW6" s="977"/>
      <c r="FQX6" s="977"/>
      <c r="FQY6" s="977"/>
      <c r="FQZ6" s="977"/>
      <c r="FRA6" s="977"/>
      <c r="FRB6" s="977"/>
      <c r="FRC6" s="977"/>
      <c r="FRD6" s="977"/>
      <c r="FRE6" s="977"/>
      <c r="FRF6" s="977"/>
      <c r="FRG6" s="977"/>
      <c r="FRH6" s="977"/>
      <c r="FRI6" s="977"/>
      <c r="FRJ6" s="977"/>
      <c r="FRK6" s="977"/>
      <c r="FRL6" s="977"/>
      <c r="FRM6" s="977"/>
      <c r="FRN6" s="977"/>
      <c r="FRO6" s="977"/>
      <c r="FRP6" s="977"/>
      <c r="FRQ6" s="977"/>
      <c r="FRR6" s="977"/>
      <c r="FRS6" s="977"/>
      <c r="FRT6" s="977"/>
      <c r="FRU6" s="977"/>
      <c r="FRV6" s="977"/>
      <c r="FRW6" s="977"/>
      <c r="FRX6" s="977"/>
      <c r="FRY6" s="977"/>
      <c r="FRZ6" s="977"/>
      <c r="FSA6" s="977"/>
      <c r="FSB6" s="977"/>
      <c r="FSC6" s="977"/>
      <c r="FSD6" s="977"/>
      <c r="FSE6" s="977"/>
      <c r="FSF6" s="977"/>
      <c r="FSG6" s="977"/>
      <c r="FSH6" s="977"/>
      <c r="FSI6" s="977"/>
      <c r="FSJ6" s="977"/>
      <c r="FSK6" s="977"/>
      <c r="FSL6" s="977"/>
      <c r="FSM6" s="977"/>
      <c r="FSN6" s="977"/>
      <c r="FSO6" s="977"/>
      <c r="FSP6" s="977"/>
      <c r="FSQ6" s="977"/>
      <c r="FSR6" s="977"/>
      <c r="FSS6" s="977"/>
      <c r="FST6" s="977"/>
      <c r="FSU6" s="977"/>
      <c r="FSV6" s="977"/>
      <c r="FSW6" s="977"/>
      <c r="FSX6" s="977"/>
      <c r="FSY6" s="977"/>
      <c r="FSZ6" s="977"/>
      <c r="FTA6" s="977"/>
      <c r="FTB6" s="977"/>
      <c r="FTC6" s="977"/>
      <c r="FTD6" s="977"/>
      <c r="FTE6" s="977"/>
      <c r="FTF6" s="977"/>
      <c r="FTG6" s="977"/>
      <c r="FTH6" s="977"/>
      <c r="FTI6" s="977"/>
      <c r="FTJ6" s="977"/>
      <c r="FTK6" s="977"/>
      <c r="FTL6" s="977"/>
      <c r="FTM6" s="977"/>
      <c r="FTN6" s="977"/>
      <c r="FTO6" s="977"/>
      <c r="FTP6" s="977"/>
      <c r="FTQ6" s="977"/>
      <c r="FTR6" s="977"/>
      <c r="FTS6" s="977"/>
      <c r="FTT6" s="977"/>
      <c r="FTU6" s="977"/>
      <c r="FTV6" s="977"/>
      <c r="FTW6" s="977"/>
      <c r="FTX6" s="977"/>
      <c r="FTY6" s="977"/>
      <c r="FTZ6" s="977"/>
      <c r="FUA6" s="977"/>
      <c r="FUB6" s="977"/>
      <c r="FUC6" s="977"/>
      <c r="FUD6" s="977"/>
      <c r="FUE6" s="977"/>
      <c r="FUF6" s="977"/>
      <c r="FUG6" s="977"/>
      <c r="FUH6" s="977"/>
      <c r="FUI6" s="977"/>
      <c r="FUJ6" s="977"/>
      <c r="FUK6" s="977"/>
      <c r="FUL6" s="977"/>
      <c r="FUM6" s="977"/>
      <c r="FUN6" s="977"/>
      <c r="FUO6" s="977"/>
      <c r="FUP6" s="977"/>
      <c r="FUQ6" s="977"/>
      <c r="FUR6" s="977"/>
      <c r="FUS6" s="977"/>
      <c r="FUT6" s="977"/>
      <c r="FUU6" s="977"/>
      <c r="FUV6" s="977"/>
      <c r="FUW6" s="977"/>
      <c r="FUX6" s="977"/>
      <c r="FUY6" s="977"/>
      <c r="FUZ6" s="977"/>
      <c r="FVA6" s="977"/>
      <c r="FVB6" s="977"/>
      <c r="FVC6" s="977"/>
      <c r="FVD6" s="977"/>
      <c r="FVE6" s="977"/>
      <c r="FVF6" s="977"/>
      <c r="FVG6" s="977"/>
      <c r="FVH6" s="977"/>
      <c r="FVI6" s="977"/>
      <c r="FVJ6" s="977"/>
      <c r="FVK6" s="977"/>
      <c r="FVL6" s="977"/>
      <c r="FVM6" s="977"/>
      <c r="FVN6" s="977"/>
      <c r="FVO6" s="977"/>
      <c r="FVP6" s="977"/>
      <c r="FVQ6" s="977"/>
      <c r="FVR6" s="977"/>
      <c r="FVS6" s="977"/>
      <c r="FVT6" s="977"/>
      <c r="FVU6" s="977"/>
      <c r="FVV6" s="977"/>
      <c r="FVW6" s="977"/>
      <c r="FVX6" s="977"/>
      <c r="FVY6" s="977"/>
      <c r="FVZ6" s="977"/>
      <c r="FWA6" s="977"/>
      <c r="FWB6" s="977"/>
      <c r="FWC6" s="977"/>
      <c r="FWD6" s="977"/>
      <c r="FWE6" s="977"/>
      <c r="FWF6" s="977"/>
      <c r="FWG6" s="977"/>
      <c r="FWH6" s="977"/>
      <c r="FWI6" s="977"/>
      <c r="FWJ6" s="977"/>
      <c r="FWK6" s="977"/>
      <c r="FWL6" s="977"/>
      <c r="FWM6" s="977"/>
      <c r="FWN6" s="977"/>
      <c r="FWO6" s="977"/>
      <c r="FWP6" s="977"/>
      <c r="FWQ6" s="977"/>
      <c r="FWR6" s="977"/>
      <c r="FWS6" s="977"/>
      <c r="FWT6" s="977"/>
      <c r="FWU6" s="977"/>
      <c r="FWV6" s="977"/>
      <c r="FWW6" s="977"/>
      <c r="FWX6" s="977"/>
      <c r="FWY6" s="977"/>
      <c r="FWZ6" s="977"/>
      <c r="FXA6" s="977"/>
      <c r="FXB6" s="977"/>
      <c r="FXC6" s="977"/>
      <c r="FXD6" s="977"/>
      <c r="FXE6" s="977"/>
      <c r="FXF6" s="977"/>
      <c r="FXG6" s="977"/>
      <c r="FXH6" s="977"/>
      <c r="FXI6" s="977"/>
      <c r="FXJ6" s="977"/>
      <c r="FXK6" s="977"/>
      <c r="FXL6" s="977"/>
      <c r="FXM6" s="977"/>
      <c r="FXN6" s="977"/>
      <c r="FXO6" s="977"/>
      <c r="FXP6" s="977"/>
      <c r="FXQ6" s="977"/>
      <c r="FXR6" s="977"/>
      <c r="FXS6" s="977"/>
      <c r="FXT6" s="977"/>
      <c r="FXU6" s="977"/>
      <c r="FXV6" s="977"/>
      <c r="FXW6" s="977"/>
      <c r="FXX6" s="977"/>
      <c r="FXY6" s="977"/>
      <c r="FXZ6" s="977"/>
      <c r="FYA6" s="977"/>
      <c r="FYB6" s="977"/>
      <c r="FYC6" s="977"/>
      <c r="FYD6" s="977"/>
      <c r="FYE6" s="977"/>
      <c r="FYF6" s="977"/>
      <c r="FYG6" s="977"/>
      <c r="FYH6" s="977"/>
      <c r="FYI6" s="977"/>
      <c r="FYJ6" s="977"/>
      <c r="FYK6" s="977"/>
      <c r="FYL6" s="977"/>
      <c r="FYM6" s="977"/>
      <c r="FYN6" s="977"/>
      <c r="FYO6" s="977"/>
      <c r="FYP6" s="977"/>
      <c r="FYQ6" s="977"/>
      <c r="FYR6" s="977"/>
      <c r="FYS6" s="977"/>
      <c r="FYT6" s="977"/>
      <c r="FYU6" s="977"/>
      <c r="FYV6" s="977"/>
      <c r="FYW6" s="977"/>
      <c r="FYX6" s="977"/>
      <c r="FYY6" s="977"/>
      <c r="FYZ6" s="977"/>
      <c r="FZA6" s="977"/>
      <c r="FZB6" s="977"/>
      <c r="FZC6" s="977"/>
      <c r="FZD6" s="977"/>
      <c r="FZE6" s="977"/>
      <c r="FZF6" s="977"/>
      <c r="FZG6" s="977"/>
      <c r="FZH6" s="977"/>
      <c r="FZI6" s="977"/>
      <c r="FZJ6" s="977"/>
      <c r="FZK6" s="977"/>
      <c r="FZL6" s="977"/>
      <c r="FZM6" s="977"/>
      <c r="FZN6" s="977"/>
      <c r="FZO6" s="977"/>
      <c r="FZP6" s="977"/>
      <c r="FZQ6" s="977"/>
      <c r="FZR6" s="977"/>
      <c r="FZS6" s="977"/>
      <c r="FZT6" s="977"/>
      <c r="FZU6" s="977"/>
      <c r="FZV6" s="977"/>
      <c r="FZW6" s="977"/>
      <c r="FZX6" s="977"/>
      <c r="FZY6" s="977"/>
      <c r="FZZ6" s="977"/>
      <c r="GAA6" s="977"/>
      <c r="GAB6" s="977"/>
      <c r="GAC6" s="977"/>
      <c r="GAD6" s="977"/>
      <c r="GAE6" s="977"/>
      <c r="GAF6" s="977"/>
      <c r="GAG6" s="977"/>
      <c r="GAH6" s="977"/>
      <c r="GAI6" s="977"/>
      <c r="GAJ6" s="977"/>
      <c r="GAK6" s="977"/>
      <c r="GAL6" s="977"/>
      <c r="GAM6" s="977"/>
      <c r="GAN6" s="977"/>
      <c r="GAO6" s="977"/>
      <c r="GAP6" s="977"/>
      <c r="GAQ6" s="977"/>
      <c r="GAR6" s="977"/>
      <c r="GAS6" s="977"/>
      <c r="GAT6" s="977"/>
      <c r="GAU6" s="977"/>
      <c r="GAV6" s="977"/>
      <c r="GAW6" s="977"/>
      <c r="GAX6" s="977"/>
      <c r="GAY6" s="977"/>
      <c r="GAZ6" s="977"/>
      <c r="GBA6" s="977"/>
      <c r="GBB6" s="977"/>
      <c r="GBC6" s="977"/>
      <c r="GBD6" s="977"/>
      <c r="GBE6" s="977"/>
      <c r="GBF6" s="977"/>
      <c r="GBG6" s="977"/>
      <c r="GBH6" s="977"/>
      <c r="GBI6" s="977"/>
      <c r="GBJ6" s="977"/>
      <c r="GBK6" s="977"/>
      <c r="GBL6" s="977"/>
      <c r="GBM6" s="977"/>
      <c r="GBN6" s="977"/>
      <c r="GBO6" s="977"/>
      <c r="GBP6" s="977"/>
      <c r="GBQ6" s="977"/>
      <c r="GBR6" s="977"/>
      <c r="GBS6" s="977"/>
      <c r="GBT6" s="977"/>
      <c r="GBU6" s="977"/>
      <c r="GBV6" s="977"/>
      <c r="GBW6" s="977"/>
      <c r="GBX6" s="977"/>
      <c r="GBY6" s="977"/>
      <c r="GBZ6" s="977"/>
      <c r="GCA6" s="977"/>
      <c r="GCB6" s="977"/>
      <c r="GCC6" s="977"/>
      <c r="GCD6" s="977"/>
      <c r="GCE6" s="977"/>
      <c r="GCF6" s="977"/>
      <c r="GCG6" s="977"/>
      <c r="GCH6" s="977"/>
      <c r="GCI6" s="977"/>
      <c r="GCJ6" s="977"/>
      <c r="GCK6" s="977"/>
      <c r="GCL6" s="977"/>
      <c r="GCM6" s="977"/>
      <c r="GCN6" s="977"/>
      <c r="GCO6" s="977"/>
      <c r="GCP6" s="977"/>
      <c r="GCQ6" s="977"/>
      <c r="GCR6" s="977"/>
      <c r="GCS6" s="977"/>
      <c r="GCT6" s="977"/>
      <c r="GCU6" s="977"/>
      <c r="GCV6" s="977"/>
      <c r="GCW6" s="977"/>
      <c r="GCX6" s="977"/>
      <c r="GCY6" s="977"/>
      <c r="GCZ6" s="977"/>
      <c r="GDA6" s="977"/>
      <c r="GDB6" s="977"/>
      <c r="GDC6" s="977"/>
      <c r="GDD6" s="977"/>
      <c r="GDE6" s="977"/>
      <c r="GDF6" s="977"/>
      <c r="GDG6" s="977"/>
      <c r="GDH6" s="977"/>
      <c r="GDI6" s="977"/>
      <c r="GDJ6" s="977"/>
      <c r="GDK6" s="977"/>
      <c r="GDL6" s="977"/>
      <c r="GDM6" s="977"/>
      <c r="GDN6" s="977"/>
      <c r="GDO6" s="977"/>
      <c r="GDP6" s="977"/>
      <c r="GDQ6" s="977"/>
      <c r="GDR6" s="977"/>
      <c r="GDS6" s="977"/>
      <c r="GDT6" s="977"/>
      <c r="GDU6" s="977"/>
      <c r="GDV6" s="977"/>
      <c r="GDW6" s="977"/>
      <c r="GDX6" s="977"/>
      <c r="GDY6" s="977"/>
      <c r="GDZ6" s="977"/>
      <c r="GEA6" s="977"/>
      <c r="GEB6" s="977"/>
      <c r="GEC6" s="977"/>
      <c r="GED6" s="977"/>
      <c r="GEE6" s="977"/>
      <c r="GEF6" s="977"/>
      <c r="GEG6" s="977"/>
      <c r="GEH6" s="977"/>
      <c r="GEI6" s="977"/>
      <c r="GEJ6" s="977"/>
      <c r="GEK6" s="977"/>
      <c r="GEL6" s="977"/>
      <c r="GEM6" s="977"/>
      <c r="GEN6" s="977"/>
      <c r="GEO6" s="977"/>
      <c r="GEP6" s="977"/>
      <c r="GEQ6" s="977"/>
      <c r="GER6" s="977"/>
      <c r="GES6" s="977"/>
      <c r="GET6" s="977"/>
      <c r="GEU6" s="977"/>
      <c r="GEV6" s="977"/>
      <c r="GEW6" s="977"/>
      <c r="GEX6" s="977"/>
      <c r="GEY6" s="977"/>
      <c r="GEZ6" s="977"/>
      <c r="GFA6" s="977"/>
      <c r="GFB6" s="977"/>
      <c r="GFC6" s="977"/>
      <c r="GFD6" s="977"/>
      <c r="GFE6" s="977"/>
      <c r="GFF6" s="977"/>
      <c r="GFG6" s="977"/>
      <c r="GFH6" s="977"/>
      <c r="GFI6" s="977"/>
      <c r="GFJ6" s="977"/>
      <c r="GFK6" s="977"/>
      <c r="GFL6" s="977"/>
      <c r="GFM6" s="977"/>
      <c r="GFN6" s="977"/>
      <c r="GFO6" s="977"/>
      <c r="GFP6" s="977"/>
      <c r="GFQ6" s="977"/>
      <c r="GFR6" s="977"/>
      <c r="GFS6" s="977"/>
      <c r="GFT6" s="977"/>
      <c r="GFU6" s="977"/>
      <c r="GFV6" s="977"/>
      <c r="GFW6" s="977"/>
      <c r="GFX6" s="977"/>
      <c r="GFY6" s="977"/>
      <c r="GFZ6" s="977"/>
      <c r="GGA6" s="977"/>
      <c r="GGB6" s="977"/>
      <c r="GGC6" s="977"/>
      <c r="GGD6" s="977"/>
      <c r="GGE6" s="977"/>
      <c r="GGF6" s="977"/>
      <c r="GGG6" s="977"/>
      <c r="GGH6" s="977"/>
      <c r="GGI6" s="977"/>
      <c r="GGJ6" s="977"/>
      <c r="GGK6" s="977"/>
      <c r="GGL6" s="977"/>
      <c r="GGM6" s="977"/>
      <c r="GGN6" s="977"/>
      <c r="GGO6" s="977"/>
      <c r="GGP6" s="977"/>
      <c r="GGQ6" s="977"/>
      <c r="GGR6" s="977"/>
      <c r="GGS6" s="977"/>
      <c r="GGT6" s="977"/>
      <c r="GGU6" s="977"/>
      <c r="GGV6" s="977"/>
      <c r="GGW6" s="977"/>
      <c r="GGX6" s="977"/>
      <c r="GGY6" s="977"/>
      <c r="GGZ6" s="977"/>
      <c r="GHA6" s="977"/>
      <c r="GHB6" s="977"/>
      <c r="GHC6" s="977"/>
      <c r="GHD6" s="977"/>
      <c r="GHE6" s="977"/>
      <c r="GHF6" s="977"/>
      <c r="GHG6" s="977"/>
      <c r="GHH6" s="977"/>
      <c r="GHI6" s="977"/>
      <c r="GHJ6" s="977"/>
      <c r="GHK6" s="977"/>
      <c r="GHL6" s="977"/>
      <c r="GHM6" s="977"/>
      <c r="GHN6" s="977"/>
      <c r="GHO6" s="977"/>
      <c r="GHP6" s="977"/>
      <c r="GHQ6" s="977"/>
      <c r="GHR6" s="977"/>
      <c r="GHS6" s="977"/>
      <c r="GHT6" s="977"/>
      <c r="GHU6" s="977"/>
      <c r="GHV6" s="977"/>
      <c r="GHW6" s="977"/>
      <c r="GHX6" s="977"/>
      <c r="GHY6" s="977"/>
      <c r="GHZ6" s="977"/>
      <c r="GIA6" s="977"/>
      <c r="GIB6" s="977"/>
      <c r="GIC6" s="977"/>
      <c r="GID6" s="977"/>
      <c r="GIE6" s="977"/>
      <c r="GIF6" s="977"/>
      <c r="GIG6" s="977"/>
      <c r="GIH6" s="977"/>
      <c r="GII6" s="977"/>
      <c r="GIJ6" s="977"/>
      <c r="GIK6" s="977"/>
      <c r="GIL6" s="977"/>
      <c r="GIM6" s="977"/>
      <c r="GIN6" s="977"/>
      <c r="GIO6" s="977"/>
      <c r="GIP6" s="977"/>
      <c r="GIQ6" s="977"/>
      <c r="GIR6" s="977"/>
      <c r="GIS6" s="977"/>
      <c r="GIT6" s="977"/>
      <c r="GIU6" s="977"/>
      <c r="GIV6" s="977"/>
      <c r="GIW6" s="977"/>
      <c r="GIX6" s="977"/>
      <c r="GIY6" s="977"/>
      <c r="GIZ6" s="977"/>
      <c r="GJA6" s="977"/>
      <c r="GJB6" s="977"/>
      <c r="GJC6" s="977"/>
      <c r="GJD6" s="977"/>
      <c r="GJE6" s="977"/>
      <c r="GJF6" s="977"/>
      <c r="GJG6" s="977"/>
      <c r="GJH6" s="977"/>
      <c r="GJI6" s="977"/>
      <c r="GJJ6" s="977"/>
      <c r="GJK6" s="977"/>
      <c r="GJL6" s="977"/>
      <c r="GJM6" s="977"/>
      <c r="GJN6" s="977"/>
      <c r="GJO6" s="977"/>
      <c r="GJP6" s="977"/>
      <c r="GJQ6" s="977"/>
      <c r="GJR6" s="977"/>
      <c r="GJS6" s="977"/>
      <c r="GJT6" s="977"/>
      <c r="GJU6" s="977"/>
      <c r="GJV6" s="977"/>
      <c r="GJW6" s="977"/>
      <c r="GJX6" s="977"/>
      <c r="GJY6" s="977"/>
      <c r="GJZ6" s="977"/>
      <c r="GKA6" s="977"/>
      <c r="GKB6" s="977"/>
      <c r="GKC6" s="977"/>
      <c r="GKD6" s="977"/>
      <c r="GKE6" s="977"/>
      <c r="GKF6" s="977"/>
      <c r="GKG6" s="977"/>
      <c r="GKH6" s="977"/>
      <c r="GKI6" s="977"/>
      <c r="GKJ6" s="977"/>
      <c r="GKK6" s="977"/>
      <c r="GKL6" s="977"/>
      <c r="GKM6" s="977"/>
      <c r="GKN6" s="977"/>
      <c r="GKO6" s="977"/>
      <c r="GKP6" s="977"/>
      <c r="GKQ6" s="977"/>
      <c r="GKR6" s="977"/>
      <c r="GKS6" s="977"/>
      <c r="GKT6" s="977"/>
      <c r="GKU6" s="977"/>
      <c r="GKV6" s="977"/>
      <c r="GKW6" s="977"/>
      <c r="GKX6" s="977"/>
      <c r="GKY6" s="977"/>
      <c r="GKZ6" s="977"/>
      <c r="GLA6" s="977"/>
      <c r="GLB6" s="977"/>
      <c r="GLC6" s="977"/>
      <c r="GLD6" s="977"/>
      <c r="GLE6" s="977"/>
      <c r="GLF6" s="977"/>
      <c r="GLG6" s="977"/>
      <c r="GLH6" s="977"/>
      <c r="GLI6" s="977"/>
      <c r="GLJ6" s="977"/>
      <c r="GLK6" s="977"/>
      <c r="GLL6" s="977"/>
      <c r="GLM6" s="977"/>
      <c r="GLN6" s="977"/>
      <c r="GLO6" s="977"/>
      <c r="GLP6" s="977"/>
      <c r="GLQ6" s="977"/>
      <c r="GLR6" s="977"/>
      <c r="GLS6" s="977"/>
      <c r="GLT6" s="977"/>
      <c r="GLU6" s="977"/>
      <c r="GLV6" s="977"/>
      <c r="GLW6" s="977"/>
      <c r="GLX6" s="977"/>
      <c r="GLY6" s="977"/>
      <c r="GLZ6" s="977"/>
      <c r="GMA6" s="977"/>
      <c r="GMB6" s="977"/>
      <c r="GMC6" s="977"/>
      <c r="GMD6" s="977"/>
      <c r="GME6" s="977"/>
      <c r="GMF6" s="977"/>
      <c r="GMG6" s="977"/>
      <c r="GMH6" s="977"/>
      <c r="GMI6" s="977"/>
      <c r="GMJ6" s="977"/>
      <c r="GMK6" s="977"/>
      <c r="GML6" s="977"/>
      <c r="GMM6" s="977"/>
      <c r="GMN6" s="977"/>
      <c r="GMO6" s="977"/>
      <c r="GMP6" s="977"/>
      <c r="GMQ6" s="977"/>
      <c r="GMR6" s="977"/>
      <c r="GMS6" s="977"/>
      <c r="GMT6" s="977"/>
      <c r="GMU6" s="977"/>
      <c r="GMV6" s="977"/>
      <c r="GMW6" s="977"/>
      <c r="GMX6" s="977"/>
      <c r="GMY6" s="977"/>
      <c r="GMZ6" s="977"/>
      <c r="GNA6" s="977"/>
      <c r="GNB6" s="977"/>
      <c r="GNC6" s="977"/>
      <c r="GND6" s="977"/>
      <c r="GNE6" s="977"/>
      <c r="GNF6" s="977"/>
      <c r="GNG6" s="977"/>
      <c r="GNH6" s="977"/>
      <c r="GNI6" s="977"/>
      <c r="GNJ6" s="977"/>
      <c r="GNK6" s="977"/>
      <c r="GNL6" s="977"/>
      <c r="GNM6" s="977"/>
      <c r="GNN6" s="977"/>
      <c r="GNO6" s="977"/>
      <c r="GNP6" s="977"/>
      <c r="GNQ6" s="977"/>
      <c r="GNR6" s="977"/>
      <c r="GNS6" s="977"/>
      <c r="GNT6" s="977"/>
      <c r="GNU6" s="977"/>
      <c r="GNV6" s="977"/>
      <c r="GNW6" s="977"/>
      <c r="GNX6" s="977"/>
      <c r="GNY6" s="977"/>
      <c r="GNZ6" s="977"/>
      <c r="GOA6" s="977"/>
      <c r="GOB6" s="977"/>
      <c r="GOC6" s="977"/>
      <c r="GOD6" s="977"/>
      <c r="GOE6" s="977"/>
      <c r="GOF6" s="977"/>
      <c r="GOG6" s="977"/>
      <c r="GOH6" s="977"/>
      <c r="GOI6" s="977"/>
      <c r="GOJ6" s="977"/>
      <c r="GOK6" s="977"/>
      <c r="GOL6" s="977"/>
      <c r="GOM6" s="977"/>
      <c r="GON6" s="977"/>
      <c r="GOO6" s="977"/>
      <c r="GOP6" s="977"/>
      <c r="GOQ6" s="977"/>
      <c r="GOR6" s="977"/>
      <c r="GOS6" s="977"/>
      <c r="GOT6" s="977"/>
      <c r="GOU6" s="977"/>
      <c r="GOV6" s="977"/>
      <c r="GOW6" s="977"/>
      <c r="GOX6" s="977"/>
      <c r="GOY6" s="977"/>
      <c r="GOZ6" s="977"/>
      <c r="GPA6" s="977"/>
      <c r="GPB6" s="977"/>
      <c r="GPC6" s="977"/>
      <c r="GPD6" s="977"/>
      <c r="GPE6" s="977"/>
      <c r="GPF6" s="977"/>
      <c r="GPG6" s="977"/>
      <c r="GPH6" s="977"/>
      <c r="GPI6" s="977"/>
      <c r="GPJ6" s="977"/>
      <c r="GPK6" s="977"/>
      <c r="GPL6" s="977"/>
      <c r="GPM6" s="977"/>
      <c r="GPN6" s="977"/>
      <c r="GPO6" s="977"/>
      <c r="GPP6" s="977"/>
      <c r="GPQ6" s="977"/>
      <c r="GPR6" s="977"/>
      <c r="GPS6" s="977"/>
      <c r="GPT6" s="977"/>
      <c r="GPU6" s="977"/>
      <c r="GPV6" s="977"/>
      <c r="GPW6" s="977"/>
      <c r="GPX6" s="977"/>
      <c r="GPY6" s="977"/>
      <c r="GPZ6" s="977"/>
      <c r="GQA6" s="977"/>
      <c r="GQB6" s="977"/>
      <c r="GQC6" s="977"/>
      <c r="GQD6" s="977"/>
      <c r="GQE6" s="977"/>
      <c r="GQF6" s="977"/>
      <c r="GQG6" s="977"/>
      <c r="GQH6" s="977"/>
      <c r="GQI6" s="977"/>
      <c r="GQJ6" s="977"/>
      <c r="GQK6" s="977"/>
      <c r="GQL6" s="977"/>
      <c r="GQM6" s="977"/>
      <c r="GQN6" s="977"/>
      <c r="GQO6" s="977"/>
      <c r="GQP6" s="977"/>
      <c r="GQQ6" s="977"/>
      <c r="GQR6" s="977"/>
      <c r="GQS6" s="977"/>
      <c r="GQT6" s="977"/>
      <c r="GQU6" s="977"/>
      <c r="GQV6" s="977"/>
      <c r="GQW6" s="977"/>
      <c r="GQX6" s="977"/>
      <c r="GQY6" s="977"/>
      <c r="GQZ6" s="977"/>
      <c r="GRA6" s="977"/>
      <c r="GRB6" s="977"/>
      <c r="GRC6" s="977"/>
      <c r="GRD6" s="977"/>
      <c r="GRE6" s="977"/>
      <c r="GRF6" s="977"/>
      <c r="GRG6" s="977"/>
      <c r="GRH6" s="977"/>
      <c r="GRI6" s="977"/>
      <c r="GRJ6" s="977"/>
      <c r="GRK6" s="977"/>
      <c r="GRL6" s="977"/>
      <c r="GRM6" s="977"/>
      <c r="GRN6" s="977"/>
      <c r="GRO6" s="977"/>
      <c r="GRP6" s="977"/>
      <c r="GRQ6" s="977"/>
      <c r="GRR6" s="977"/>
      <c r="GRS6" s="977"/>
      <c r="GRT6" s="977"/>
      <c r="GRU6" s="977"/>
      <c r="GRV6" s="977"/>
      <c r="GRW6" s="977"/>
      <c r="GRX6" s="977"/>
      <c r="GRY6" s="977"/>
      <c r="GRZ6" s="977"/>
      <c r="GSA6" s="977"/>
      <c r="GSB6" s="977"/>
      <c r="GSC6" s="977"/>
      <c r="GSD6" s="977"/>
      <c r="GSE6" s="977"/>
      <c r="GSF6" s="977"/>
      <c r="GSG6" s="977"/>
      <c r="GSH6" s="977"/>
      <c r="GSI6" s="977"/>
      <c r="GSJ6" s="977"/>
      <c r="GSK6" s="977"/>
      <c r="GSL6" s="977"/>
      <c r="GSM6" s="977"/>
      <c r="GSN6" s="977"/>
      <c r="GSO6" s="977"/>
      <c r="GSP6" s="977"/>
      <c r="GSQ6" s="977"/>
      <c r="GSR6" s="977"/>
      <c r="GSS6" s="977"/>
      <c r="GST6" s="977"/>
      <c r="GSU6" s="977"/>
      <c r="GSV6" s="977"/>
      <c r="GSW6" s="977"/>
      <c r="GSX6" s="977"/>
      <c r="GSY6" s="977"/>
      <c r="GSZ6" s="977"/>
      <c r="GTA6" s="977"/>
      <c r="GTB6" s="977"/>
      <c r="GTC6" s="977"/>
      <c r="GTD6" s="977"/>
      <c r="GTE6" s="977"/>
      <c r="GTF6" s="977"/>
      <c r="GTG6" s="977"/>
      <c r="GTH6" s="977"/>
      <c r="GTI6" s="977"/>
      <c r="GTJ6" s="977"/>
      <c r="GTK6" s="977"/>
      <c r="GTL6" s="977"/>
      <c r="GTM6" s="977"/>
      <c r="GTN6" s="977"/>
      <c r="GTO6" s="977"/>
      <c r="GTP6" s="977"/>
      <c r="GTQ6" s="977"/>
      <c r="GTR6" s="977"/>
      <c r="GTS6" s="977"/>
      <c r="GTT6" s="977"/>
      <c r="GTU6" s="977"/>
      <c r="GTV6" s="977"/>
      <c r="GTW6" s="977"/>
      <c r="GTX6" s="977"/>
      <c r="GTY6" s="977"/>
      <c r="GTZ6" s="977"/>
      <c r="GUA6" s="977"/>
      <c r="GUB6" s="977"/>
      <c r="GUC6" s="977"/>
      <c r="GUD6" s="977"/>
      <c r="GUE6" s="977"/>
      <c r="GUF6" s="977"/>
      <c r="GUG6" s="977"/>
      <c r="GUH6" s="977"/>
      <c r="GUI6" s="977"/>
      <c r="GUJ6" s="977"/>
      <c r="GUK6" s="977"/>
      <c r="GUL6" s="977"/>
      <c r="GUM6" s="977"/>
      <c r="GUN6" s="977"/>
      <c r="GUO6" s="977"/>
      <c r="GUP6" s="977"/>
      <c r="GUQ6" s="977"/>
      <c r="GUR6" s="977"/>
      <c r="GUS6" s="977"/>
      <c r="GUT6" s="977"/>
      <c r="GUU6" s="977"/>
      <c r="GUV6" s="977"/>
      <c r="GUW6" s="977"/>
      <c r="GUX6" s="977"/>
      <c r="GUY6" s="977"/>
      <c r="GUZ6" s="977"/>
      <c r="GVA6" s="977"/>
      <c r="GVB6" s="977"/>
      <c r="GVC6" s="977"/>
      <c r="GVD6" s="977"/>
      <c r="GVE6" s="977"/>
      <c r="GVF6" s="977"/>
      <c r="GVG6" s="977"/>
      <c r="GVH6" s="977"/>
      <c r="GVI6" s="977"/>
      <c r="GVJ6" s="977"/>
      <c r="GVK6" s="977"/>
      <c r="GVL6" s="977"/>
      <c r="GVM6" s="977"/>
      <c r="GVN6" s="977"/>
      <c r="GVO6" s="977"/>
      <c r="GVP6" s="977"/>
      <c r="GVQ6" s="977"/>
      <c r="GVR6" s="977"/>
      <c r="GVS6" s="977"/>
      <c r="GVT6" s="977"/>
      <c r="GVU6" s="977"/>
      <c r="GVV6" s="977"/>
      <c r="GVW6" s="977"/>
      <c r="GVX6" s="977"/>
      <c r="GVY6" s="977"/>
      <c r="GVZ6" s="977"/>
      <c r="GWA6" s="977"/>
      <c r="GWB6" s="977"/>
      <c r="GWC6" s="977"/>
      <c r="GWD6" s="977"/>
      <c r="GWE6" s="977"/>
      <c r="GWF6" s="977"/>
      <c r="GWG6" s="977"/>
      <c r="GWH6" s="977"/>
      <c r="GWI6" s="977"/>
      <c r="GWJ6" s="977"/>
      <c r="GWK6" s="977"/>
      <c r="GWL6" s="977"/>
      <c r="GWM6" s="977"/>
      <c r="GWN6" s="977"/>
      <c r="GWO6" s="977"/>
      <c r="GWP6" s="977"/>
      <c r="GWQ6" s="977"/>
      <c r="GWR6" s="977"/>
      <c r="GWS6" s="977"/>
      <c r="GWT6" s="977"/>
      <c r="GWU6" s="977"/>
      <c r="GWV6" s="977"/>
      <c r="GWW6" s="977"/>
      <c r="GWX6" s="977"/>
      <c r="GWY6" s="977"/>
      <c r="GWZ6" s="977"/>
      <c r="GXA6" s="977"/>
      <c r="GXB6" s="977"/>
      <c r="GXC6" s="977"/>
      <c r="GXD6" s="977"/>
      <c r="GXE6" s="977"/>
      <c r="GXF6" s="977"/>
      <c r="GXG6" s="977"/>
      <c r="GXH6" s="977"/>
      <c r="GXI6" s="977"/>
      <c r="GXJ6" s="977"/>
      <c r="GXK6" s="977"/>
      <c r="GXL6" s="977"/>
      <c r="GXM6" s="977"/>
      <c r="GXN6" s="977"/>
      <c r="GXO6" s="977"/>
      <c r="GXP6" s="977"/>
      <c r="GXQ6" s="977"/>
      <c r="GXR6" s="977"/>
      <c r="GXS6" s="977"/>
      <c r="GXT6" s="977"/>
      <c r="GXU6" s="977"/>
      <c r="GXV6" s="977"/>
      <c r="GXW6" s="977"/>
      <c r="GXX6" s="977"/>
      <c r="GXY6" s="977"/>
      <c r="GXZ6" s="977"/>
      <c r="GYA6" s="977"/>
      <c r="GYB6" s="977"/>
      <c r="GYC6" s="977"/>
      <c r="GYD6" s="977"/>
      <c r="GYE6" s="977"/>
      <c r="GYF6" s="977"/>
      <c r="GYG6" s="977"/>
      <c r="GYH6" s="977"/>
      <c r="GYI6" s="977"/>
      <c r="GYJ6" s="977"/>
      <c r="GYK6" s="977"/>
      <c r="GYL6" s="977"/>
      <c r="GYM6" s="977"/>
      <c r="GYN6" s="977"/>
      <c r="GYO6" s="977"/>
      <c r="GYP6" s="977"/>
      <c r="GYQ6" s="977"/>
      <c r="GYR6" s="977"/>
      <c r="GYS6" s="977"/>
      <c r="GYT6" s="977"/>
      <c r="GYU6" s="977"/>
      <c r="GYV6" s="977"/>
      <c r="GYW6" s="977"/>
      <c r="GYX6" s="977"/>
      <c r="GYY6" s="977"/>
      <c r="GYZ6" s="977"/>
      <c r="GZA6" s="977"/>
      <c r="GZB6" s="977"/>
      <c r="GZC6" s="977"/>
      <c r="GZD6" s="977"/>
      <c r="GZE6" s="977"/>
      <c r="GZF6" s="977"/>
      <c r="GZG6" s="977"/>
      <c r="GZH6" s="977"/>
      <c r="GZI6" s="977"/>
      <c r="GZJ6" s="977"/>
      <c r="GZK6" s="977"/>
      <c r="GZL6" s="977"/>
      <c r="GZM6" s="977"/>
      <c r="GZN6" s="977"/>
      <c r="GZO6" s="977"/>
      <c r="GZP6" s="977"/>
      <c r="GZQ6" s="977"/>
      <c r="GZR6" s="977"/>
      <c r="GZS6" s="977"/>
      <c r="GZT6" s="977"/>
      <c r="GZU6" s="977"/>
      <c r="GZV6" s="977"/>
      <c r="GZW6" s="977"/>
      <c r="GZX6" s="977"/>
      <c r="GZY6" s="977"/>
      <c r="GZZ6" s="977"/>
      <c r="HAA6" s="977"/>
      <c r="HAB6" s="977"/>
      <c r="HAC6" s="977"/>
      <c r="HAD6" s="977"/>
      <c r="HAE6" s="977"/>
      <c r="HAF6" s="977"/>
      <c r="HAG6" s="977"/>
      <c r="HAH6" s="977"/>
      <c r="HAI6" s="977"/>
      <c r="HAJ6" s="977"/>
      <c r="HAK6" s="977"/>
      <c r="HAL6" s="977"/>
      <c r="HAM6" s="977"/>
      <c r="HAN6" s="977"/>
      <c r="HAO6" s="977"/>
      <c r="HAP6" s="977"/>
      <c r="HAQ6" s="977"/>
      <c r="HAR6" s="977"/>
      <c r="HAS6" s="977"/>
      <c r="HAT6" s="977"/>
      <c r="HAU6" s="977"/>
      <c r="HAV6" s="977"/>
      <c r="HAW6" s="977"/>
      <c r="HAX6" s="977"/>
      <c r="HAY6" s="977"/>
      <c r="HAZ6" s="977"/>
      <c r="HBA6" s="977"/>
      <c r="HBB6" s="977"/>
      <c r="HBC6" s="977"/>
      <c r="HBD6" s="977"/>
      <c r="HBE6" s="977"/>
      <c r="HBF6" s="977"/>
      <c r="HBG6" s="977"/>
      <c r="HBH6" s="977"/>
      <c r="HBI6" s="977"/>
      <c r="HBJ6" s="977"/>
      <c r="HBK6" s="977"/>
      <c r="HBL6" s="977"/>
      <c r="HBM6" s="977"/>
      <c r="HBN6" s="977"/>
      <c r="HBO6" s="977"/>
      <c r="HBP6" s="977"/>
      <c r="HBQ6" s="977"/>
      <c r="HBR6" s="977"/>
      <c r="HBS6" s="977"/>
      <c r="HBT6" s="977"/>
      <c r="HBU6" s="977"/>
      <c r="HBV6" s="977"/>
      <c r="HBW6" s="977"/>
      <c r="HBX6" s="977"/>
      <c r="HBY6" s="977"/>
      <c r="HBZ6" s="977"/>
      <c r="HCA6" s="977"/>
      <c r="HCB6" s="977"/>
      <c r="HCC6" s="977"/>
      <c r="HCD6" s="977"/>
      <c r="HCE6" s="977"/>
      <c r="HCF6" s="977"/>
      <c r="HCG6" s="977"/>
      <c r="HCH6" s="977"/>
      <c r="HCI6" s="977"/>
      <c r="HCJ6" s="977"/>
      <c r="HCK6" s="977"/>
      <c r="HCL6" s="977"/>
      <c r="HCM6" s="977"/>
      <c r="HCN6" s="977"/>
      <c r="HCO6" s="977"/>
      <c r="HCP6" s="977"/>
      <c r="HCQ6" s="977"/>
      <c r="HCR6" s="977"/>
      <c r="HCS6" s="977"/>
      <c r="HCT6" s="977"/>
      <c r="HCU6" s="977"/>
      <c r="HCV6" s="977"/>
      <c r="HCW6" s="977"/>
      <c r="HCX6" s="977"/>
      <c r="HCY6" s="977"/>
      <c r="HCZ6" s="977"/>
      <c r="HDA6" s="977"/>
      <c r="HDB6" s="977"/>
      <c r="HDC6" s="977"/>
      <c r="HDD6" s="977"/>
      <c r="HDE6" s="977"/>
      <c r="HDF6" s="977"/>
      <c r="HDG6" s="977"/>
      <c r="HDH6" s="977"/>
      <c r="HDI6" s="977"/>
      <c r="HDJ6" s="977"/>
      <c r="HDK6" s="977"/>
      <c r="HDL6" s="977"/>
      <c r="HDM6" s="977"/>
      <c r="HDN6" s="977"/>
      <c r="HDO6" s="977"/>
      <c r="HDP6" s="977"/>
      <c r="HDQ6" s="977"/>
      <c r="HDR6" s="977"/>
      <c r="HDS6" s="977"/>
      <c r="HDT6" s="977"/>
      <c r="HDU6" s="977"/>
      <c r="HDV6" s="977"/>
      <c r="HDW6" s="977"/>
      <c r="HDX6" s="977"/>
      <c r="HDY6" s="977"/>
      <c r="HDZ6" s="977"/>
      <c r="HEA6" s="977"/>
      <c r="HEB6" s="977"/>
      <c r="HEC6" s="977"/>
      <c r="HED6" s="977"/>
      <c r="HEE6" s="977"/>
      <c r="HEF6" s="977"/>
      <c r="HEG6" s="977"/>
      <c r="HEH6" s="977"/>
      <c r="HEI6" s="977"/>
      <c r="HEJ6" s="977"/>
      <c r="HEK6" s="977"/>
      <c r="HEL6" s="977"/>
      <c r="HEM6" s="977"/>
      <c r="HEN6" s="977"/>
      <c r="HEO6" s="977"/>
      <c r="HEP6" s="977"/>
      <c r="HEQ6" s="977"/>
      <c r="HER6" s="977"/>
      <c r="HES6" s="977"/>
      <c r="HET6" s="977"/>
      <c r="HEU6" s="977"/>
      <c r="HEV6" s="977"/>
      <c r="HEW6" s="977"/>
      <c r="HEX6" s="977"/>
      <c r="HEY6" s="977"/>
      <c r="HEZ6" s="977"/>
      <c r="HFA6" s="977"/>
      <c r="HFB6" s="977"/>
      <c r="HFC6" s="977"/>
      <c r="HFD6" s="977"/>
      <c r="HFE6" s="977"/>
      <c r="HFF6" s="977"/>
      <c r="HFG6" s="977"/>
      <c r="HFH6" s="977"/>
      <c r="HFI6" s="977"/>
      <c r="HFJ6" s="977"/>
      <c r="HFK6" s="977"/>
      <c r="HFL6" s="977"/>
      <c r="HFM6" s="977"/>
      <c r="HFN6" s="977"/>
      <c r="HFO6" s="977"/>
      <c r="HFP6" s="977"/>
      <c r="HFQ6" s="977"/>
      <c r="HFR6" s="977"/>
      <c r="HFS6" s="977"/>
      <c r="HFT6" s="977"/>
      <c r="HFU6" s="977"/>
      <c r="HFV6" s="977"/>
      <c r="HFW6" s="977"/>
      <c r="HFX6" s="977"/>
      <c r="HFY6" s="977"/>
      <c r="HFZ6" s="977"/>
      <c r="HGA6" s="977"/>
      <c r="HGB6" s="977"/>
      <c r="HGC6" s="977"/>
      <c r="HGD6" s="977"/>
      <c r="HGE6" s="977"/>
      <c r="HGF6" s="977"/>
      <c r="HGG6" s="977"/>
      <c r="HGH6" s="977"/>
      <c r="HGI6" s="977"/>
      <c r="HGJ6" s="977"/>
      <c r="HGK6" s="977"/>
      <c r="HGL6" s="977"/>
      <c r="HGM6" s="977"/>
      <c r="HGN6" s="977"/>
      <c r="HGO6" s="977"/>
      <c r="HGP6" s="977"/>
      <c r="HGQ6" s="977"/>
      <c r="HGR6" s="977"/>
      <c r="HGS6" s="977"/>
      <c r="HGT6" s="977"/>
      <c r="HGU6" s="977"/>
      <c r="HGV6" s="977"/>
      <c r="HGW6" s="977"/>
      <c r="HGX6" s="977"/>
      <c r="HGY6" s="977"/>
      <c r="HGZ6" s="977"/>
      <c r="HHA6" s="977"/>
      <c r="HHB6" s="977"/>
      <c r="HHC6" s="977"/>
      <c r="HHD6" s="977"/>
      <c r="HHE6" s="977"/>
      <c r="HHF6" s="977"/>
      <c r="HHG6" s="977"/>
      <c r="HHH6" s="977"/>
      <c r="HHI6" s="977"/>
      <c r="HHJ6" s="977"/>
      <c r="HHK6" s="977"/>
      <c r="HHL6" s="977"/>
      <c r="HHM6" s="977"/>
      <c r="HHN6" s="977"/>
      <c r="HHO6" s="977"/>
      <c r="HHP6" s="977"/>
      <c r="HHQ6" s="977"/>
      <c r="HHR6" s="977"/>
      <c r="HHS6" s="977"/>
      <c r="HHT6" s="977"/>
      <c r="HHU6" s="977"/>
      <c r="HHV6" s="977"/>
      <c r="HHW6" s="977"/>
      <c r="HHX6" s="977"/>
      <c r="HHY6" s="977"/>
      <c r="HHZ6" s="977"/>
      <c r="HIA6" s="977"/>
      <c r="HIB6" s="977"/>
      <c r="HIC6" s="977"/>
      <c r="HID6" s="977"/>
      <c r="HIE6" s="977"/>
      <c r="HIF6" s="977"/>
      <c r="HIG6" s="977"/>
      <c r="HIH6" s="977"/>
      <c r="HII6" s="977"/>
      <c r="HIJ6" s="977"/>
      <c r="HIK6" s="977"/>
      <c r="HIL6" s="977"/>
      <c r="HIM6" s="977"/>
      <c r="HIN6" s="977"/>
      <c r="HIO6" s="977"/>
      <c r="HIP6" s="977"/>
      <c r="HIQ6" s="977"/>
      <c r="HIR6" s="977"/>
      <c r="HIS6" s="977"/>
      <c r="HIT6" s="977"/>
      <c r="HIU6" s="977"/>
      <c r="HIV6" s="977"/>
      <c r="HIW6" s="977"/>
      <c r="HIX6" s="977"/>
      <c r="HIY6" s="977"/>
      <c r="HIZ6" s="977"/>
      <c r="HJA6" s="977"/>
      <c r="HJB6" s="977"/>
      <c r="HJC6" s="977"/>
      <c r="HJD6" s="977"/>
      <c r="HJE6" s="977"/>
      <c r="HJF6" s="977"/>
      <c r="HJG6" s="977"/>
      <c r="HJH6" s="977"/>
      <c r="HJI6" s="977"/>
      <c r="HJJ6" s="977"/>
      <c r="HJK6" s="977"/>
      <c r="HJL6" s="977"/>
      <c r="HJM6" s="977"/>
      <c r="HJN6" s="977"/>
      <c r="HJO6" s="977"/>
      <c r="HJP6" s="977"/>
      <c r="HJQ6" s="977"/>
      <c r="HJR6" s="977"/>
      <c r="HJS6" s="977"/>
      <c r="HJT6" s="977"/>
      <c r="HJU6" s="977"/>
      <c r="HJV6" s="977"/>
      <c r="HJW6" s="977"/>
      <c r="HJX6" s="977"/>
      <c r="HJY6" s="977"/>
      <c r="HJZ6" s="977"/>
      <c r="HKA6" s="977"/>
      <c r="HKB6" s="977"/>
      <c r="HKC6" s="977"/>
      <c r="HKD6" s="977"/>
      <c r="HKE6" s="977"/>
      <c r="HKF6" s="977"/>
      <c r="HKG6" s="977"/>
      <c r="HKH6" s="977"/>
      <c r="HKI6" s="977"/>
      <c r="HKJ6" s="977"/>
      <c r="HKK6" s="977"/>
      <c r="HKL6" s="977"/>
      <c r="HKM6" s="977"/>
      <c r="HKN6" s="977"/>
      <c r="HKO6" s="977"/>
      <c r="HKP6" s="977"/>
      <c r="HKQ6" s="977"/>
      <c r="HKR6" s="977"/>
      <c r="HKS6" s="977"/>
      <c r="HKT6" s="977"/>
      <c r="HKU6" s="977"/>
      <c r="HKV6" s="977"/>
      <c r="HKW6" s="977"/>
      <c r="HKX6" s="977"/>
      <c r="HKY6" s="977"/>
      <c r="HKZ6" s="977"/>
      <c r="HLA6" s="977"/>
      <c r="HLB6" s="977"/>
      <c r="HLC6" s="977"/>
      <c r="HLD6" s="977"/>
      <c r="HLE6" s="977"/>
      <c r="HLF6" s="977"/>
      <c r="HLG6" s="977"/>
      <c r="HLH6" s="977"/>
      <c r="HLI6" s="977"/>
      <c r="HLJ6" s="977"/>
      <c r="HLK6" s="977"/>
      <c r="HLL6" s="977"/>
      <c r="HLM6" s="977"/>
      <c r="HLN6" s="977"/>
      <c r="HLO6" s="977"/>
      <c r="HLP6" s="977"/>
      <c r="HLQ6" s="977"/>
      <c r="HLR6" s="977"/>
      <c r="HLS6" s="977"/>
      <c r="HLT6" s="977"/>
      <c r="HLU6" s="977"/>
      <c r="HLV6" s="977"/>
      <c r="HLW6" s="977"/>
      <c r="HLX6" s="977"/>
      <c r="HLY6" s="977"/>
      <c r="HLZ6" s="977"/>
      <c r="HMA6" s="977"/>
      <c r="HMB6" s="977"/>
      <c r="HMC6" s="977"/>
      <c r="HMD6" s="977"/>
      <c r="HME6" s="977"/>
      <c r="HMF6" s="977"/>
      <c r="HMG6" s="977"/>
      <c r="HMH6" s="977"/>
      <c r="HMI6" s="977"/>
      <c r="HMJ6" s="977"/>
      <c r="HMK6" s="977"/>
      <c r="HML6" s="977"/>
      <c r="HMM6" s="977"/>
      <c r="HMN6" s="977"/>
      <c r="HMO6" s="977"/>
      <c r="HMP6" s="977"/>
      <c r="HMQ6" s="977"/>
      <c r="HMR6" s="977"/>
      <c r="HMS6" s="977"/>
      <c r="HMT6" s="977"/>
      <c r="HMU6" s="977"/>
      <c r="HMV6" s="977"/>
      <c r="HMW6" s="977"/>
      <c r="HMX6" s="977"/>
      <c r="HMY6" s="977"/>
      <c r="HMZ6" s="977"/>
      <c r="HNA6" s="977"/>
      <c r="HNB6" s="977"/>
      <c r="HNC6" s="977"/>
      <c r="HND6" s="977"/>
      <c r="HNE6" s="977"/>
      <c r="HNF6" s="977"/>
      <c r="HNG6" s="977"/>
      <c r="HNH6" s="977"/>
      <c r="HNI6" s="977"/>
      <c r="HNJ6" s="977"/>
      <c r="HNK6" s="977"/>
      <c r="HNL6" s="977"/>
      <c r="HNM6" s="977"/>
      <c r="HNN6" s="977"/>
      <c r="HNO6" s="977"/>
      <c r="HNP6" s="977"/>
      <c r="HNQ6" s="977"/>
      <c r="HNR6" s="977"/>
      <c r="HNS6" s="977"/>
      <c r="HNT6" s="977"/>
      <c r="HNU6" s="977"/>
      <c r="HNV6" s="977"/>
      <c r="HNW6" s="977"/>
      <c r="HNX6" s="977"/>
      <c r="HNY6" s="977"/>
      <c r="HNZ6" s="977"/>
      <c r="HOA6" s="977"/>
      <c r="HOB6" s="977"/>
      <c r="HOC6" s="977"/>
      <c r="HOD6" s="977"/>
      <c r="HOE6" s="977"/>
      <c r="HOF6" s="977"/>
      <c r="HOG6" s="977"/>
      <c r="HOH6" s="977"/>
      <c r="HOI6" s="977"/>
      <c r="HOJ6" s="977"/>
      <c r="HOK6" s="977"/>
      <c r="HOL6" s="977"/>
      <c r="HOM6" s="977"/>
      <c r="HON6" s="977"/>
      <c r="HOO6" s="977"/>
      <c r="HOP6" s="977"/>
      <c r="HOQ6" s="977"/>
      <c r="HOR6" s="977"/>
      <c r="HOS6" s="977"/>
      <c r="HOT6" s="977"/>
      <c r="HOU6" s="977"/>
      <c r="HOV6" s="977"/>
      <c r="HOW6" s="977"/>
      <c r="HOX6" s="977"/>
      <c r="HOY6" s="977"/>
      <c r="HOZ6" s="977"/>
      <c r="HPA6" s="977"/>
      <c r="HPB6" s="977"/>
      <c r="HPC6" s="977"/>
      <c r="HPD6" s="977"/>
      <c r="HPE6" s="977"/>
      <c r="HPF6" s="977"/>
      <c r="HPG6" s="977"/>
      <c r="HPH6" s="977"/>
      <c r="HPI6" s="977"/>
      <c r="HPJ6" s="977"/>
      <c r="HPK6" s="977"/>
      <c r="HPL6" s="977"/>
      <c r="HPM6" s="977"/>
      <c r="HPN6" s="977"/>
      <c r="HPO6" s="977"/>
      <c r="HPP6" s="977"/>
      <c r="HPQ6" s="977"/>
      <c r="HPR6" s="977"/>
      <c r="HPS6" s="977"/>
      <c r="HPT6" s="977"/>
      <c r="HPU6" s="977"/>
      <c r="HPV6" s="977"/>
      <c r="HPW6" s="977"/>
      <c r="HPX6" s="977"/>
      <c r="HPY6" s="977"/>
      <c r="HPZ6" s="977"/>
      <c r="HQA6" s="977"/>
      <c r="HQB6" s="977"/>
      <c r="HQC6" s="977"/>
      <c r="HQD6" s="977"/>
      <c r="HQE6" s="977"/>
      <c r="HQF6" s="977"/>
      <c r="HQG6" s="977"/>
      <c r="HQH6" s="977"/>
      <c r="HQI6" s="977"/>
      <c r="HQJ6" s="977"/>
      <c r="HQK6" s="977"/>
      <c r="HQL6" s="977"/>
      <c r="HQM6" s="977"/>
      <c r="HQN6" s="977"/>
      <c r="HQO6" s="977"/>
      <c r="HQP6" s="977"/>
      <c r="HQQ6" s="977"/>
      <c r="HQR6" s="977"/>
      <c r="HQS6" s="977"/>
      <c r="HQT6" s="977"/>
      <c r="HQU6" s="977"/>
      <c r="HQV6" s="977"/>
      <c r="HQW6" s="977"/>
      <c r="HQX6" s="977"/>
      <c r="HQY6" s="977"/>
      <c r="HQZ6" s="977"/>
      <c r="HRA6" s="977"/>
      <c r="HRB6" s="977"/>
      <c r="HRC6" s="977"/>
      <c r="HRD6" s="977"/>
      <c r="HRE6" s="977"/>
      <c r="HRF6" s="977"/>
      <c r="HRG6" s="977"/>
      <c r="HRH6" s="977"/>
      <c r="HRI6" s="977"/>
      <c r="HRJ6" s="977"/>
      <c r="HRK6" s="977"/>
      <c r="HRL6" s="977"/>
      <c r="HRM6" s="977"/>
      <c r="HRN6" s="977"/>
      <c r="HRO6" s="977"/>
      <c r="HRP6" s="977"/>
      <c r="HRQ6" s="977"/>
      <c r="HRR6" s="977"/>
      <c r="HRS6" s="977"/>
      <c r="HRT6" s="977"/>
      <c r="HRU6" s="977"/>
      <c r="HRV6" s="977"/>
      <c r="HRW6" s="977"/>
      <c r="HRX6" s="977"/>
      <c r="HRY6" s="977"/>
      <c r="HRZ6" s="977"/>
      <c r="HSA6" s="977"/>
      <c r="HSB6" s="977"/>
      <c r="HSC6" s="977"/>
      <c r="HSD6" s="977"/>
      <c r="HSE6" s="977"/>
      <c r="HSF6" s="977"/>
      <c r="HSG6" s="977"/>
      <c r="HSH6" s="977"/>
      <c r="HSI6" s="977"/>
      <c r="HSJ6" s="977"/>
      <c r="HSK6" s="977"/>
      <c r="HSL6" s="977"/>
      <c r="HSM6" s="977"/>
      <c r="HSN6" s="977"/>
      <c r="HSO6" s="977"/>
      <c r="HSP6" s="977"/>
      <c r="HSQ6" s="977"/>
      <c r="HSR6" s="977"/>
      <c r="HSS6" s="977"/>
      <c r="HST6" s="977"/>
      <c r="HSU6" s="977"/>
      <c r="HSV6" s="977"/>
      <c r="HSW6" s="977"/>
      <c r="HSX6" s="977"/>
      <c r="HSY6" s="977"/>
      <c r="HSZ6" s="977"/>
      <c r="HTA6" s="977"/>
      <c r="HTB6" s="977"/>
      <c r="HTC6" s="977"/>
      <c r="HTD6" s="977"/>
      <c r="HTE6" s="977"/>
      <c r="HTF6" s="977"/>
      <c r="HTG6" s="977"/>
      <c r="HTH6" s="977"/>
      <c r="HTI6" s="977"/>
      <c r="HTJ6" s="977"/>
      <c r="HTK6" s="977"/>
      <c r="HTL6" s="977"/>
      <c r="HTM6" s="977"/>
      <c r="HTN6" s="977"/>
      <c r="HTO6" s="977"/>
      <c r="HTP6" s="977"/>
      <c r="HTQ6" s="977"/>
      <c r="HTR6" s="977"/>
      <c r="HTS6" s="977"/>
      <c r="HTT6" s="977"/>
      <c r="HTU6" s="977"/>
      <c r="HTV6" s="977"/>
      <c r="HTW6" s="977"/>
      <c r="HTX6" s="977"/>
      <c r="HTY6" s="977"/>
      <c r="HTZ6" s="977"/>
      <c r="HUA6" s="977"/>
      <c r="HUB6" s="977"/>
      <c r="HUC6" s="977"/>
      <c r="HUD6" s="977"/>
      <c r="HUE6" s="977"/>
      <c r="HUF6" s="977"/>
      <c r="HUG6" s="977"/>
      <c r="HUH6" s="977"/>
      <c r="HUI6" s="977"/>
      <c r="HUJ6" s="977"/>
      <c r="HUK6" s="977"/>
      <c r="HUL6" s="977"/>
      <c r="HUM6" s="977"/>
      <c r="HUN6" s="977"/>
      <c r="HUO6" s="977"/>
      <c r="HUP6" s="977"/>
      <c r="HUQ6" s="977"/>
      <c r="HUR6" s="977"/>
      <c r="HUS6" s="977"/>
      <c r="HUT6" s="977"/>
      <c r="HUU6" s="977"/>
      <c r="HUV6" s="977"/>
      <c r="HUW6" s="977"/>
      <c r="HUX6" s="977"/>
      <c r="HUY6" s="977"/>
      <c r="HUZ6" s="977"/>
      <c r="HVA6" s="977"/>
      <c r="HVB6" s="977"/>
      <c r="HVC6" s="977"/>
      <c r="HVD6" s="977"/>
      <c r="HVE6" s="977"/>
      <c r="HVF6" s="977"/>
      <c r="HVG6" s="977"/>
      <c r="HVH6" s="977"/>
      <c r="HVI6" s="977"/>
      <c r="HVJ6" s="977"/>
      <c r="HVK6" s="977"/>
      <c r="HVL6" s="977"/>
      <c r="HVM6" s="977"/>
      <c r="HVN6" s="977"/>
      <c r="HVO6" s="977"/>
      <c r="HVP6" s="977"/>
      <c r="HVQ6" s="977"/>
      <c r="HVR6" s="977"/>
      <c r="HVS6" s="977"/>
      <c r="HVT6" s="977"/>
      <c r="HVU6" s="977"/>
      <c r="HVV6" s="977"/>
      <c r="HVW6" s="977"/>
      <c r="HVX6" s="977"/>
      <c r="HVY6" s="977"/>
      <c r="HVZ6" s="977"/>
      <c r="HWA6" s="977"/>
      <c r="HWB6" s="977"/>
      <c r="HWC6" s="977"/>
      <c r="HWD6" s="977"/>
      <c r="HWE6" s="977"/>
      <c r="HWF6" s="977"/>
      <c r="HWG6" s="977"/>
      <c r="HWH6" s="977"/>
      <c r="HWI6" s="977"/>
      <c r="HWJ6" s="977"/>
      <c r="HWK6" s="977"/>
      <c r="HWL6" s="977"/>
      <c r="HWM6" s="977"/>
      <c r="HWN6" s="977"/>
      <c r="HWO6" s="977"/>
      <c r="HWP6" s="977"/>
      <c r="HWQ6" s="977"/>
      <c r="HWR6" s="977"/>
      <c r="HWS6" s="977"/>
      <c r="HWT6" s="977"/>
      <c r="HWU6" s="977"/>
      <c r="HWV6" s="977"/>
      <c r="HWW6" s="977"/>
      <c r="HWX6" s="977"/>
      <c r="HWY6" s="977"/>
      <c r="HWZ6" s="977"/>
      <c r="HXA6" s="977"/>
      <c r="HXB6" s="977"/>
      <c r="HXC6" s="977"/>
      <c r="HXD6" s="977"/>
      <c r="HXE6" s="977"/>
      <c r="HXF6" s="977"/>
      <c r="HXG6" s="977"/>
      <c r="HXH6" s="977"/>
      <c r="HXI6" s="977"/>
      <c r="HXJ6" s="977"/>
      <c r="HXK6" s="977"/>
      <c r="HXL6" s="977"/>
      <c r="HXM6" s="977"/>
      <c r="HXN6" s="977"/>
      <c r="HXO6" s="977"/>
      <c r="HXP6" s="977"/>
      <c r="HXQ6" s="977"/>
      <c r="HXR6" s="977"/>
      <c r="HXS6" s="977"/>
      <c r="HXT6" s="977"/>
      <c r="HXU6" s="977"/>
      <c r="HXV6" s="977"/>
      <c r="HXW6" s="977"/>
      <c r="HXX6" s="977"/>
      <c r="HXY6" s="977"/>
      <c r="HXZ6" s="977"/>
      <c r="HYA6" s="977"/>
      <c r="HYB6" s="977"/>
      <c r="HYC6" s="977"/>
      <c r="HYD6" s="977"/>
      <c r="HYE6" s="977"/>
      <c r="HYF6" s="977"/>
      <c r="HYG6" s="977"/>
      <c r="HYH6" s="977"/>
      <c r="HYI6" s="977"/>
      <c r="HYJ6" s="977"/>
      <c r="HYK6" s="977"/>
      <c r="HYL6" s="977"/>
      <c r="HYM6" s="977"/>
      <c r="HYN6" s="977"/>
      <c r="HYO6" s="977"/>
      <c r="HYP6" s="977"/>
      <c r="HYQ6" s="977"/>
      <c r="HYR6" s="977"/>
      <c r="HYS6" s="977"/>
      <c r="HYT6" s="977"/>
      <c r="HYU6" s="977"/>
      <c r="HYV6" s="977"/>
      <c r="HYW6" s="977"/>
      <c r="HYX6" s="977"/>
      <c r="HYY6" s="977"/>
      <c r="HYZ6" s="977"/>
      <c r="HZA6" s="977"/>
      <c r="HZB6" s="977"/>
      <c r="HZC6" s="977"/>
      <c r="HZD6" s="977"/>
      <c r="HZE6" s="977"/>
      <c r="HZF6" s="977"/>
      <c r="HZG6" s="977"/>
      <c r="HZH6" s="977"/>
      <c r="HZI6" s="977"/>
      <c r="HZJ6" s="977"/>
      <c r="HZK6" s="977"/>
      <c r="HZL6" s="977"/>
      <c r="HZM6" s="977"/>
      <c r="HZN6" s="977"/>
      <c r="HZO6" s="977"/>
      <c r="HZP6" s="977"/>
      <c r="HZQ6" s="977"/>
      <c r="HZR6" s="977"/>
      <c r="HZS6" s="977"/>
      <c r="HZT6" s="977"/>
      <c r="HZU6" s="977"/>
      <c r="HZV6" s="977"/>
      <c r="HZW6" s="977"/>
      <c r="HZX6" s="977"/>
      <c r="HZY6" s="977"/>
      <c r="HZZ6" s="977"/>
      <c r="IAA6" s="977"/>
      <c r="IAB6" s="977"/>
      <c r="IAC6" s="977"/>
      <c r="IAD6" s="977"/>
      <c r="IAE6" s="977"/>
      <c r="IAF6" s="977"/>
      <c r="IAG6" s="977"/>
      <c r="IAH6" s="977"/>
      <c r="IAI6" s="977"/>
      <c r="IAJ6" s="977"/>
      <c r="IAK6" s="977"/>
      <c r="IAL6" s="977"/>
      <c r="IAM6" s="977"/>
      <c r="IAN6" s="977"/>
      <c r="IAO6" s="977"/>
      <c r="IAP6" s="977"/>
      <c r="IAQ6" s="977"/>
      <c r="IAR6" s="977"/>
      <c r="IAS6" s="977"/>
      <c r="IAT6" s="977"/>
      <c r="IAU6" s="977"/>
      <c r="IAV6" s="977"/>
      <c r="IAW6" s="977"/>
      <c r="IAX6" s="977"/>
      <c r="IAY6" s="977"/>
      <c r="IAZ6" s="977"/>
      <c r="IBA6" s="977"/>
      <c r="IBB6" s="977"/>
      <c r="IBC6" s="977"/>
      <c r="IBD6" s="977"/>
      <c r="IBE6" s="977"/>
      <c r="IBF6" s="977"/>
      <c r="IBG6" s="977"/>
      <c r="IBH6" s="977"/>
      <c r="IBI6" s="977"/>
      <c r="IBJ6" s="977"/>
      <c r="IBK6" s="977"/>
      <c r="IBL6" s="977"/>
      <c r="IBM6" s="977"/>
      <c r="IBN6" s="977"/>
      <c r="IBO6" s="977"/>
      <c r="IBP6" s="977"/>
      <c r="IBQ6" s="977"/>
      <c r="IBR6" s="977"/>
      <c r="IBS6" s="977"/>
      <c r="IBT6" s="977"/>
      <c r="IBU6" s="977"/>
      <c r="IBV6" s="977"/>
      <c r="IBW6" s="977"/>
      <c r="IBX6" s="977"/>
      <c r="IBY6" s="977"/>
      <c r="IBZ6" s="977"/>
      <c r="ICA6" s="977"/>
      <c r="ICB6" s="977"/>
      <c r="ICC6" s="977"/>
      <c r="ICD6" s="977"/>
      <c r="ICE6" s="977"/>
      <c r="ICF6" s="977"/>
      <c r="ICG6" s="977"/>
      <c r="ICH6" s="977"/>
      <c r="ICI6" s="977"/>
      <c r="ICJ6" s="977"/>
      <c r="ICK6" s="977"/>
      <c r="ICL6" s="977"/>
      <c r="ICM6" s="977"/>
      <c r="ICN6" s="977"/>
      <c r="ICO6" s="977"/>
      <c r="ICP6" s="977"/>
      <c r="ICQ6" s="977"/>
      <c r="ICR6" s="977"/>
      <c r="ICS6" s="977"/>
      <c r="ICT6" s="977"/>
      <c r="ICU6" s="977"/>
      <c r="ICV6" s="977"/>
      <c r="ICW6" s="977"/>
      <c r="ICX6" s="977"/>
      <c r="ICY6" s="977"/>
      <c r="ICZ6" s="977"/>
      <c r="IDA6" s="977"/>
      <c r="IDB6" s="977"/>
      <c r="IDC6" s="977"/>
      <c r="IDD6" s="977"/>
      <c r="IDE6" s="977"/>
      <c r="IDF6" s="977"/>
      <c r="IDG6" s="977"/>
      <c r="IDH6" s="977"/>
      <c r="IDI6" s="977"/>
      <c r="IDJ6" s="977"/>
      <c r="IDK6" s="977"/>
      <c r="IDL6" s="977"/>
      <c r="IDM6" s="977"/>
      <c r="IDN6" s="977"/>
      <c r="IDO6" s="977"/>
      <c r="IDP6" s="977"/>
      <c r="IDQ6" s="977"/>
      <c r="IDR6" s="977"/>
      <c r="IDS6" s="977"/>
      <c r="IDT6" s="977"/>
      <c r="IDU6" s="977"/>
      <c r="IDV6" s="977"/>
      <c r="IDW6" s="977"/>
      <c r="IDX6" s="977"/>
      <c r="IDY6" s="977"/>
      <c r="IDZ6" s="977"/>
      <c r="IEA6" s="977"/>
      <c r="IEB6" s="977"/>
      <c r="IEC6" s="977"/>
      <c r="IED6" s="977"/>
      <c r="IEE6" s="977"/>
      <c r="IEF6" s="977"/>
      <c r="IEG6" s="977"/>
      <c r="IEH6" s="977"/>
      <c r="IEI6" s="977"/>
      <c r="IEJ6" s="977"/>
      <c r="IEK6" s="977"/>
      <c r="IEL6" s="977"/>
      <c r="IEM6" s="977"/>
      <c r="IEN6" s="977"/>
      <c r="IEO6" s="977"/>
      <c r="IEP6" s="977"/>
      <c r="IEQ6" s="977"/>
      <c r="IER6" s="977"/>
      <c r="IES6" s="977"/>
      <c r="IET6" s="977"/>
      <c r="IEU6" s="977"/>
      <c r="IEV6" s="977"/>
      <c r="IEW6" s="977"/>
      <c r="IEX6" s="977"/>
      <c r="IEY6" s="977"/>
      <c r="IEZ6" s="977"/>
      <c r="IFA6" s="977"/>
      <c r="IFB6" s="977"/>
      <c r="IFC6" s="977"/>
      <c r="IFD6" s="977"/>
      <c r="IFE6" s="977"/>
      <c r="IFF6" s="977"/>
      <c r="IFG6" s="977"/>
      <c r="IFH6" s="977"/>
      <c r="IFI6" s="977"/>
      <c r="IFJ6" s="977"/>
      <c r="IFK6" s="977"/>
      <c r="IFL6" s="977"/>
      <c r="IFM6" s="977"/>
      <c r="IFN6" s="977"/>
      <c r="IFO6" s="977"/>
      <c r="IFP6" s="977"/>
      <c r="IFQ6" s="977"/>
      <c r="IFR6" s="977"/>
      <c r="IFS6" s="977"/>
      <c r="IFT6" s="977"/>
      <c r="IFU6" s="977"/>
      <c r="IFV6" s="977"/>
      <c r="IFW6" s="977"/>
      <c r="IFX6" s="977"/>
      <c r="IFY6" s="977"/>
      <c r="IFZ6" s="977"/>
      <c r="IGA6" s="977"/>
      <c r="IGB6" s="977"/>
      <c r="IGC6" s="977"/>
      <c r="IGD6" s="977"/>
      <c r="IGE6" s="977"/>
      <c r="IGF6" s="977"/>
      <c r="IGG6" s="977"/>
      <c r="IGH6" s="977"/>
      <c r="IGI6" s="977"/>
      <c r="IGJ6" s="977"/>
      <c r="IGK6" s="977"/>
      <c r="IGL6" s="977"/>
      <c r="IGM6" s="977"/>
      <c r="IGN6" s="977"/>
      <c r="IGO6" s="977"/>
      <c r="IGP6" s="977"/>
      <c r="IGQ6" s="977"/>
      <c r="IGR6" s="977"/>
      <c r="IGS6" s="977"/>
      <c r="IGT6" s="977"/>
      <c r="IGU6" s="977"/>
      <c r="IGV6" s="977"/>
      <c r="IGW6" s="977"/>
      <c r="IGX6" s="977"/>
      <c r="IGY6" s="977"/>
      <c r="IGZ6" s="977"/>
      <c r="IHA6" s="977"/>
      <c r="IHB6" s="977"/>
      <c r="IHC6" s="977"/>
      <c r="IHD6" s="977"/>
      <c r="IHE6" s="977"/>
      <c r="IHF6" s="977"/>
      <c r="IHG6" s="977"/>
      <c r="IHH6" s="977"/>
      <c r="IHI6" s="977"/>
      <c r="IHJ6" s="977"/>
      <c r="IHK6" s="977"/>
      <c r="IHL6" s="977"/>
      <c r="IHM6" s="977"/>
      <c r="IHN6" s="977"/>
      <c r="IHO6" s="977"/>
      <c r="IHP6" s="977"/>
      <c r="IHQ6" s="977"/>
      <c r="IHR6" s="977"/>
      <c r="IHS6" s="977"/>
      <c r="IHT6" s="977"/>
      <c r="IHU6" s="977"/>
      <c r="IHV6" s="977"/>
      <c r="IHW6" s="977"/>
      <c r="IHX6" s="977"/>
      <c r="IHY6" s="977"/>
      <c r="IHZ6" s="977"/>
      <c r="IIA6" s="977"/>
      <c r="IIB6" s="977"/>
      <c r="IIC6" s="977"/>
      <c r="IID6" s="977"/>
      <c r="IIE6" s="977"/>
      <c r="IIF6" s="977"/>
      <c r="IIG6" s="977"/>
      <c r="IIH6" s="977"/>
      <c r="III6" s="977"/>
      <c r="IIJ6" s="977"/>
      <c r="IIK6" s="977"/>
      <c r="IIL6" s="977"/>
      <c r="IIM6" s="977"/>
      <c r="IIN6" s="977"/>
      <c r="IIO6" s="977"/>
      <c r="IIP6" s="977"/>
      <c r="IIQ6" s="977"/>
      <c r="IIR6" s="977"/>
      <c r="IIS6" s="977"/>
      <c r="IIT6" s="977"/>
      <c r="IIU6" s="977"/>
      <c r="IIV6" s="977"/>
      <c r="IIW6" s="977"/>
      <c r="IIX6" s="977"/>
      <c r="IIY6" s="977"/>
      <c r="IIZ6" s="977"/>
      <c r="IJA6" s="977"/>
      <c r="IJB6" s="977"/>
      <c r="IJC6" s="977"/>
      <c r="IJD6" s="977"/>
      <c r="IJE6" s="977"/>
      <c r="IJF6" s="977"/>
      <c r="IJG6" s="977"/>
      <c r="IJH6" s="977"/>
      <c r="IJI6" s="977"/>
      <c r="IJJ6" s="977"/>
      <c r="IJK6" s="977"/>
      <c r="IJL6" s="977"/>
      <c r="IJM6" s="977"/>
      <c r="IJN6" s="977"/>
      <c r="IJO6" s="977"/>
      <c r="IJP6" s="977"/>
      <c r="IJQ6" s="977"/>
      <c r="IJR6" s="977"/>
      <c r="IJS6" s="977"/>
      <c r="IJT6" s="977"/>
      <c r="IJU6" s="977"/>
      <c r="IJV6" s="977"/>
      <c r="IJW6" s="977"/>
      <c r="IJX6" s="977"/>
      <c r="IJY6" s="977"/>
      <c r="IJZ6" s="977"/>
      <c r="IKA6" s="977"/>
      <c r="IKB6" s="977"/>
      <c r="IKC6" s="977"/>
      <c r="IKD6" s="977"/>
      <c r="IKE6" s="977"/>
      <c r="IKF6" s="977"/>
      <c r="IKG6" s="977"/>
      <c r="IKH6" s="977"/>
      <c r="IKI6" s="977"/>
      <c r="IKJ6" s="977"/>
      <c r="IKK6" s="977"/>
      <c r="IKL6" s="977"/>
      <c r="IKM6" s="977"/>
      <c r="IKN6" s="977"/>
      <c r="IKO6" s="977"/>
      <c r="IKP6" s="977"/>
      <c r="IKQ6" s="977"/>
      <c r="IKR6" s="977"/>
      <c r="IKS6" s="977"/>
      <c r="IKT6" s="977"/>
      <c r="IKU6" s="977"/>
      <c r="IKV6" s="977"/>
      <c r="IKW6" s="977"/>
      <c r="IKX6" s="977"/>
      <c r="IKY6" s="977"/>
      <c r="IKZ6" s="977"/>
      <c r="ILA6" s="977"/>
      <c r="ILB6" s="977"/>
      <c r="ILC6" s="977"/>
      <c r="ILD6" s="977"/>
      <c r="ILE6" s="977"/>
      <c r="ILF6" s="977"/>
      <c r="ILG6" s="977"/>
      <c r="ILH6" s="977"/>
      <c r="ILI6" s="977"/>
      <c r="ILJ6" s="977"/>
      <c r="ILK6" s="977"/>
      <c r="ILL6" s="977"/>
      <c r="ILM6" s="977"/>
      <c r="ILN6" s="977"/>
      <c r="ILO6" s="977"/>
      <c r="ILP6" s="977"/>
      <c r="ILQ6" s="977"/>
      <c r="ILR6" s="977"/>
      <c r="ILS6" s="977"/>
      <c r="ILT6" s="977"/>
      <c r="ILU6" s="977"/>
      <c r="ILV6" s="977"/>
      <c r="ILW6" s="977"/>
      <c r="ILX6" s="977"/>
      <c r="ILY6" s="977"/>
      <c r="ILZ6" s="977"/>
      <c r="IMA6" s="977"/>
      <c r="IMB6" s="977"/>
      <c r="IMC6" s="977"/>
      <c r="IMD6" s="977"/>
      <c r="IME6" s="977"/>
      <c r="IMF6" s="977"/>
      <c r="IMG6" s="977"/>
      <c r="IMH6" s="977"/>
      <c r="IMI6" s="977"/>
      <c r="IMJ6" s="977"/>
      <c r="IMK6" s="977"/>
      <c r="IML6" s="977"/>
      <c r="IMM6" s="977"/>
      <c r="IMN6" s="977"/>
      <c r="IMO6" s="977"/>
      <c r="IMP6" s="977"/>
      <c r="IMQ6" s="977"/>
      <c r="IMR6" s="977"/>
      <c r="IMS6" s="977"/>
      <c r="IMT6" s="977"/>
      <c r="IMU6" s="977"/>
      <c r="IMV6" s="977"/>
      <c r="IMW6" s="977"/>
      <c r="IMX6" s="977"/>
      <c r="IMY6" s="977"/>
      <c r="IMZ6" s="977"/>
      <c r="INA6" s="977"/>
      <c r="INB6" s="977"/>
      <c r="INC6" s="977"/>
      <c r="IND6" s="977"/>
      <c r="INE6" s="977"/>
      <c r="INF6" s="977"/>
      <c r="ING6" s="977"/>
      <c r="INH6" s="977"/>
      <c r="INI6" s="977"/>
      <c r="INJ6" s="977"/>
      <c r="INK6" s="977"/>
      <c r="INL6" s="977"/>
      <c r="INM6" s="977"/>
      <c r="INN6" s="977"/>
      <c r="INO6" s="977"/>
      <c r="INP6" s="977"/>
      <c r="INQ6" s="977"/>
      <c r="INR6" s="977"/>
      <c r="INS6" s="977"/>
      <c r="INT6" s="977"/>
      <c r="INU6" s="977"/>
      <c r="INV6" s="977"/>
      <c r="INW6" s="977"/>
      <c r="INX6" s="977"/>
      <c r="INY6" s="977"/>
      <c r="INZ6" s="977"/>
      <c r="IOA6" s="977"/>
      <c r="IOB6" s="977"/>
      <c r="IOC6" s="977"/>
      <c r="IOD6" s="977"/>
      <c r="IOE6" s="977"/>
      <c r="IOF6" s="977"/>
      <c r="IOG6" s="977"/>
      <c r="IOH6" s="977"/>
      <c r="IOI6" s="977"/>
      <c r="IOJ6" s="977"/>
      <c r="IOK6" s="977"/>
      <c r="IOL6" s="977"/>
      <c r="IOM6" s="977"/>
      <c r="ION6" s="977"/>
      <c r="IOO6" s="977"/>
      <c r="IOP6" s="977"/>
      <c r="IOQ6" s="977"/>
      <c r="IOR6" s="977"/>
      <c r="IOS6" s="977"/>
      <c r="IOT6" s="977"/>
      <c r="IOU6" s="977"/>
      <c r="IOV6" s="977"/>
      <c r="IOW6" s="977"/>
      <c r="IOX6" s="977"/>
      <c r="IOY6" s="977"/>
      <c r="IOZ6" s="977"/>
      <c r="IPA6" s="977"/>
      <c r="IPB6" s="977"/>
      <c r="IPC6" s="977"/>
      <c r="IPD6" s="977"/>
      <c r="IPE6" s="977"/>
      <c r="IPF6" s="977"/>
      <c r="IPG6" s="977"/>
      <c r="IPH6" s="977"/>
      <c r="IPI6" s="977"/>
      <c r="IPJ6" s="977"/>
      <c r="IPK6" s="977"/>
      <c r="IPL6" s="977"/>
      <c r="IPM6" s="977"/>
      <c r="IPN6" s="977"/>
      <c r="IPO6" s="977"/>
      <c r="IPP6" s="977"/>
      <c r="IPQ6" s="977"/>
      <c r="IPR6" s="977"/>
      <c r="IPS6" s="977"/>
      <c r="IPT6" s="977"/>
      <c r="IPU6" s="977"/>
      <c r="IPV6" s="977"/>
      <c r="IPW6" s="977"/>
      <c r="IPX6" s="977"/>
      <c r="IPY6" s="977"/>
      <c r="IPZ6" s="977"/>
      <c r="IQA6" s="977"/>
      <c r="IQB6" s="977"/>
      <c r="IQC6" s="977"/>
      <c r="IQD6" s="977"/>
      <c r="IQE6" s="977"/>
      <c r="IQF6" s="977"/>
      <c r="IQG6" s="977"/>
      <c r="IQH6" s="977"/>
      <c r="IQI6" s="977"/>
      <c r="IQJ6" s="977"/>
      <c r="IQK6" s="977"/>
      <c r="IQL6" s="977"/>
      <c r="IQM6" s="977"/>
      <c r="IQN6" s="977"/>
      <c r="IQO6" s="977"/>
      <c r="IQP6" s="977"/>
      <c r="IQQ6" s="977"/>
      <c r="IQR6" s="977"/>
      <c r="IQS6" s="977"/>
      <c r="IQT6" s="977"/>
      <c r="IQU6" s="977"/>
      <c r="IQV6" s="977"/>
      <c r="IQW6" s="977"/>
      <c r="IQX6" s="977"/>
      <c r="IQY6" s="977"/>
      <c r="IQZ6" s="977"/>
      <c r="IRA6" s="977"/>
      <c r="IRB6" s="977"/>
      <c r="IRC6" s="977"/>
      <c r="IRD6" s="977"/>
      <c r="IRE6" s="977"/>
      <c r="IRF6" s="977"/>
      <c r="IRG6" s="977"/>
      <c r="IRH6" s="977"/>
      <c r="IRI6" s="977"/>
      <c r="IRJ6" s="977"/>
      <c r="IRK6" s="977"/>
      <c r="IRL6" s="977"/>
      <c r="IRM6" s="977"/>
      <c r="IRN6" s="977"/>
      <c r="IRO6" s="977"/>
      <c r="IRP6" s="977"/>
      <c r="IRQ6" s="977"/>
      <c r="IRR6" s="977"/>
      <c r="IRS6" s="977"/>
      <c r="IRT6" s="977"/>
      <c r="IRU6" s="977"/>
      <c r="IRV6" s="977"/>
      <c r="IRW6" s="977"/>
      <c r="IRX6" s="977"/>
      <c r="IRY6" s="977"/>
      <c r="IRZ6" s="977"/>
      <c r="ISA6" s="977"/>
      <c r="ISB6" s="977"/>
      <c r="ISC6" s="977"/>
      <c r="ISD6" s="977"/>
      <c r="ISE6" s="977"/>
      <c r="ISF6" s="977"/>
      <c r="ISG6" s="977"/>
      <c r="ISH6" s="977"/>
      <c r="ISI6" s="977"/>
      <c r="ISJ6" s="977"/>
      <c r="ISK6" s="977"/>
      <c r="ISL6" s="977"/>
      <c r="ISM6" s="977"/>
      <c r="ISN6" s="977"/>
      <c r="ISO6" s="977"/>
      <c r="ISP6" s="977"/>
      <c r="ISQ6" s="977"/>
      <c r="ISR6" s="977"/>
      <c r="ISS6" s="977"/>
      <c r="IST6" s="977"/>
      <c r="ISU6" s="977"/>
      <c r="ISV6" s="977"/>
      <c r="ISW6" s="977"/>
      <c r="ISX6" s="977"/>
      <c r="ISY6" s="977"/>
      <c r="ISZ6" s="977"/>
      <c r="ITA6" s="977"/>
      <c r="ITB6" s="977"/>
      <c r="ITC6" s="977"/>
      <c r="ITD6" s="977"/>
      <c r="ITE6" s="977"/>
      <c r="ITF6" s="977"/>
      <c r="ITG6" s="977"/>
      <c r="ITH6" s="977"/>
      <c r="ITI6" s="977"/>
      <c r="ITJ6" s="977"/>
      <c r="ITK6" s="977"/>
      <c r="ITL6" s="977"/>
      <c r="ITM6" s="977"/>
      <c r="ITN6" s="977"/>
      <c r="ITO6" s="977"/>
      <c r="ITP6" s="977"/>
      <c r="ITQ6" s="977"/>
      <c r="ITR6" s="977"/>
      <c r="ITS6" s="977"/>
      <c r="ITT6" s="977"/>
      <c r="ITU6" s="977"/>
      <c r="ITV6" s="977"/>
      <c r="ITW6" s="977"/>
      <c r="ITX6" s="977"/>
      <c r="ITY6" s="977"/>
      <c r="ITZ6" s="977"/>
      <c r="IUA6" s="977"/>
      <c r="IUB6" s="977"/>
      <c r="IUC6" s="977"/>
      <c r="IUD6" s="977"/>
      <c r="IUE6" s="977"/>
      <c r="IUF6" s="977"/>
      <c r="IUG6" s="977"/>
      <c r="IUH6" s="977"/>
      <c r="IUI6" s="977"/>
      <c r="IUJ6" s="977"/>
      <c r="IUK6" s="977"/>
      <c r="IUL6" s="977"/>
      <c r="IUM6" s="977"/>
      <c r="IUN6" s="977"/>
      <c r="IUO6" s="977"/>
      <c r="IUP6" s="977"/>
      <c r="IUQ6" s="977"/>
      <c r="IUR6" s="977"/>
      <c r="IUS6" s="977"/>
      <c r="IUT6" s="977"/>
      <c r="IUU6" s="977"/>
      <c r="IUV6" s="977"/>
      <c r="IUW6" s="977"/>
      <c r="IUX6" s="977"/>
      <c r="IUY6" s="977"/>
      <c r="IUZ6" s="977"/>
      <c r="IVA6" s="977"/>
      <c r="IVB6" s="977"/>
      <c r="IVC6" s="977"/>
      <c r="IVD6" s="977"/>
      <c r="IVE6" s="977"/>
      <c r="IVF6" s="977"/>
      <c r="IVG6" s="977"/>
      <c r="IVH6" s="977"/>
      <c r="IVI6" s="977"/>
      <c r="IVJ6" s="977"/>
      <c r="IVK6" s="977"/>
      <c r="IVL6" s="977"/>
      <c r="IVM6" s="977"/>
      <c r="IVN6" s="977"/>
      <c r="IVO6" s="977"/>
      <c r="IVP6" s="977"/>
      <c r="IVQ6" s="977"/>
      <c r="IVR6" s="977"/>
      <c r="IVS6" s="977"/>
      <c r="IVT6" s="977"/>
      <c r="IVU6" s="977"/>
      <c r="IVV6" s="977"/>
      <c r="IVW6" s="977"/>
      <c r="IVX6" s="977"/>
      <c r="IVY6" s="977"/>
      <c r="IVZ6" s="977"/>
      <c r="IWA6" s="977"/>
      <c r="IWB6" s="977"/>
      <c r="IWC6" s="977"/>
      <c r="IWD6" s="977"/>
      <c r="IWE6" s="977"/>
      <c r="IWF6" s="977"/>
      <c r="IWG6" s="977"/>
      <c r="IWH6" s="977"/>
      <c r="IWI6" s="977"/>
      <c r="IWJ6" s="977"/>
      <c r="IWK6" s="977"/>
      <c r="IWL6" s="977"/>
      <c r="IWM6" s="977"/>
      <c r="IWN6" s="977"/>
      <c r="IWO6" s="977"/>
      <c r="IWP6" s="977"/>
      <c r="IWQ6" s="977"/>
      <c r="IWR6" s="977"/>
      <c r="IWS6" s="977"/>
      <c r="IWT6" s="977"/>
      <c r="IWU6" s="977"/>
      <c r="IWV6" s="977"/>
      <c r="IWW6" s="977"/>
      <c r="IWX6" s="977"/>
      <c r="IWY6" s="977"/>
      <c r="IWZ6" s="977"/>
      <c r="IXA6" s="977"/>
      <c r="IXB6" s="977"/>
      <c r="IXC6" s="977"/>
      <c r="IXD6" s="977"/>
      <c r="IXE6" s="977"/>
      <c r="IXF6" s="977"/>
      <c r="IXG6" s="977"/>
      <c r="IXH6" s="977"/>
      <c r="IXI6" s="977"/>
      <c r="IXJ6" s="977"/>
      <c r="IXK6" s="977"/>
      <c r="IXL6" s="977"/>
      <c r="IXM6" s="977"/>
      <c r="IXN6" s="977"/>
      <c r="IXO6" s="977"/>
      <c r="IXP6" s="977"/>
      <c r="IXQ6" s="977"/>
      <c r="IXR6" s="977"/>
      <c r="IXS6" s="977"/>
      <c r="IXT6" s="977"/>
      <c r="IXU6" s="977"/>
      <c r="IXV6" s="977"/>
      <c r="IXW6" s="977"/>
      <c r="IXX6" s="977"/>
      <c r="IXY6" s="977"/>
      <c r="IXZ6" s="977"/>
      <c r="IYA6" s="977"/>
      <c r="IYB6" s="977"/>
      <c r="IYC6" s="977"/>
      <c r="IYD6" s="977"/>
      <c r="IYE6" s="977"/>
      <c r="IYF6" s="977"/>
      <c r="IYG6" s="977"/>
      <c r="IYH6" s="977"/>
      <c r="IYI6" s="977"/>
      <c r="IYJ6" s="977"/>
      <c r="IYK6" s="977"/>
      <c r="IYL6" s="977"/>
      <c r="IYM6" s="977"/>
      <c r="IYN6" s="977"/>
      <c r="IYO6" s="977"/>
      <c r="IYP6" s="977"/>
      <c r="IYQ6" s="977"/>
      <c r="IYR6" s="977"/>
      <c r="IYS6" s="977"/>
      <c r="IYT6" s="977"/>
      <c r="IYU6" s="977"/>
      <c r="IYV6" s="977"/>
      <c r="IYW6" s="977"/>
      <c r="IYX6" s="977"/>
      <c r="IYY6" s="977"/>
      <c r="IYZ6" s="977"/>
      <c r="IZA6" s="977"/>
      <c r="IZB6" s="977"/>
      <c r="IZC6" s="977"/>
      <c r="IZD6" s="977"/>
      <c r="IZE6" s="977"/>
      <c r="IZF6" s="977"/>
      <c r="IZG6" s="977"/>
      <c r="IZH6" s="977"/>
      <c r="IZI6" s="977"/>
      <c r="IZJ6" s="977"/>
      <c r="IZK6" s="977"/>
      <c r="IZL6" s="977"/>
      <c r="IZM6" s="977"/>
      <c r="IZN6" s="977"/>
      <c r="IZO6" s="977"/>
      <c r="IZP6" s="977"/>
      <c r="IZQ6" s="977"/>
      <c r="IZR6" s="977"/>
      <c r="IZS6" s="977"/>
      <c r="IZT6" s="977"/>
      <c r="IZU6" s="977"/>
      <c r="IZV6" s="977"/>
      <c r="IZW6" s="977"/>
      <c r="IZX6" s="977"/>
      <c r="IZY6" s="977"/>
      <c r="IZZ6" s="977"/>
      <c r="JAA6" s="977"/>
      <c r="JAB6" s="977"/>
      <c r="JAC6" s="977"/>
      <c r="JAD6" s="977"/>
      <c r="JAE6" s="977"/>
      <c r="JAF6" s="977"/>
      <c r="JAG6" s="977"/>
      <c r="JAH6" s="977"/>
      <c r="JAI6" s="977"/>
      <c r="JAJ6" s="977"/>
      <c r="JAK6" s="977"/>
      <c r="JAL6" s="977"/>
      <c r="JAM6" s="977"/>
      <c r="JAN6" s="977"/>
      <c r="JAO6" s="977"/>
      <c r="JAP6" s="977"/>
      <c r="JAQ6" s="977"/>
      <c r="JAR6" s="977"/>
      <c r="JAS6" s="977"/>
      <c r="JAT6" s="977"/>
      <c r="JAU6" s="977"/>
      <c r="JAV6" s="977"/>
      <c r="JAW6" s="977"/>
      <c r="JAX6" s="977"/>
      <c r="JAY6" s="977"/>
      <c r="JAZ6" s="977"/>
      <c r="JBA6" s="977"/>
      <c r="JBB6" s="977"/>
      <c r="JBC6" s="977"/>
      <c r="JBD6" s="977"/>
      <c r="JBE6" s="977"/>
      <c r="JBF6" s="977"/>
      <c r="JBG6" s="977"/>
      <c r="JBH6" s="977"/>
      <c r="JBI6" s="977"/>
      <c r="JBJ6" s="977"/>
      <c r="JBK6" s="977"/>
      <c r="JBL6" s="977"/>
      <c r="JBM6" s="977"/>
      <c r="JBN6" s="977"/>
      <c r="JBO6" s="977"/>
      <c r="JBP6" s="977"/>
      <c r="JBQ6" s="977"/>
      <c r="JBR6" s="977"/>
      <c r="JBS6" s="977"/>
      <c r="JBT6" s="977"/>
      <c r="JBU6" s="977"/>
      <c r="JBV6" s="977"/>
      <c r="JBW6" s="977"/>
      <c r="JBX6" s="977"/>
      <c r="JBY6" s="977"/>
      <c r="JBZ6" s="977"/>
      <c r="JCA6" s="977"/>
      <c r="JCB6" s="977"/>
      <c r="JCC6" s="977"/>
      <c r="JCD6" s="977"/>
      <c r="JCE6" s="977"/>
      <c r="JCF6" s="977"/>
      <c r="JCG6" s="977"/>
      <c r="JCH6" s="977"/>
      <c r="JCI6" s="977"/>
      <c r="JCJ6" s="977"/>
      <c r="JCK6" s="977"/>
      <c r="JCL6" s="977"/>
      <c r="JCM6" s="977"/>
      <c r="JCN6" s="977"/>
      <c r="JCO6" s="977"/>
      <c r="JCP6" s="977"/>
      <c r="JCQ6" s="977"/>
      <c r="JCR6" s="977"/>
      <c r="JCS6" s="977"/>
      <c r="JCT6" s="977"/>
      <c r="JCU6" s="977"/>
      <c r="JCV6" s="977"/>
      <c r="JCW6" s="977"/>
      <c r="JCX6" s="977"/>
      <c r="JCY6" s="977"/>
      <c r="JCZ6" s="977"/>
      <c r="JDA6" s="977"/>
      <c r="JDB6" s="977"/>
      <c r="JDC6" s="977"/>
      <c r="JDD6" s="977"/>
      <c r="JDE6" s="977"/>
      <c r="JDF6" s="977"/>
      <c r="JDG6" s="977"/>
      <c r="JDH6" s="977"/>
      <c r="JDI6" s="977"/>
      <c r="JDJ6" s="977"/>
      <c r="JDK6" s="977"/>
      <c r="JDL6" s="977"/>
      <c r="JDM6" s="977"/>
      <c r="JDN6" s="977"/>
      <c r="JDO6" s="977"/>
      <c r="JDP6" s="977"/>
      <c r="JDQ6" s="977"/>
      <c r="JDR6" s="977"/>
      <c r="JDS6" s="977"/>
      <c r="JDT6" s="977"/>
      <c r="JDU6" s="977"/>
      <c r="JDV6" s="977"/>
      <c r="JDW6" s="977"/>
      <c r="JDX6" s="977"/>
      <c r="JDY6" s="977"/>
      <c r="JDZ6" s="977"/>
      <c r="JEA6" s="977"/>
      <c r="JEB6" s="977"/>
      <c r="JEC6" s="977"/>
      <c r="JED6" s="977"/>
      <c r="JEE6" s="977"/>
      <c r="JEF6" s="977"/>
      <c r="JEG6" s="977"/>
      <c r="JEH6" s="977"/>
      <c r="JEI6" s="977"/>
      <c r="JEJ6" s="977"/>
      <c r="JEK6" s="977"/>
      <c r="JEL6" s="977"/>
      <c r="JEM6" s="977"/>
      <c r="JEN6" s="977"/>
      <c r="JEO6" s="977"/>
      <c r="JEP6" s="977"/>
      <c r="JEQ6" s="977"/>
      <c r="JER6" s="977"/>
      <c r="JES6" s="977"/>
      <c r="JET6" s="977"/>
      <c r="JEU6" s="977"/>
      <c r="JEV6" s="977"/>
      <c r="JEW6" s="977"/>
      <c r="JEX6" s="977"/>
      <c r="JEY6" s="977"/>
      <c r="JEZ6" s="977"/>
      <c r="JFA6" s="977"/>
      <c r="JFB6" s="977"/>
      <c r="JFC6" s="977"/>
      <c r="JFD6" s="977"/>
      <c r="JFE6" s="977"/>
      <c r="JFF6" s="977"/>
      <c r="JFG6" s="977"/>
      <c r="JFH6" s="977"/>
      <c r="JFI6" s="977"/>
      <c r="JFJ6" s="977"/>
      <c r="JFK6" s="977"/>
      <c r="JFL6" s="977"/>
      <c r="JFM6" s="977"/>
      <c r="JFN6" s="977"/>
      <c r="JFO6" s="977"/>
      <c r="JFP6" s="977"/>
      <c r="JFQ6" s="977"/>
      <c r="JFR6" s="977"/>
      <c r="JFS6" s="977"/>
      <c r="JFT6" s="977"/>
      <c r="JFU6" s="977"/>
      <c r="JFV6" s="977"/>
      <c r="JFW6" s="977"/>
      <c r="JFX6" s="977"/>
      <c r="JFY6" s="977"/>
      <c r="JFZ6" s="977"/>
      <c r="JGA6" s="977"/>
      <c r="JGB6" s="977"/>
      <c r="JGC6" s="977"/>
      <c r="JGD6" s="977"/>
      <c r="JGE6" s="977"/>
      <c r="JGF6" s="977"/>
      <c r="JGG6" s="977"/>
      <c r="JGH6" s="977"/>
      <c r="JGI6" s="977"/>
      <c r="JGJ6" s="977"/>
      <c r="JGK6" s="977"/>
      <c r="JGL6" s="977"/>
      <c r="JGM6" s="977"/>
      <c r="JGN6" s="977"/>
      <c r="JGO6" s="977"/>
      <c r="JGP6" s="977"/>
      <c r="JGQ6" s="977"/>
      <c r="JGR6" s="977"/>
      <c r="JGS6" s="977"/>
      <c r="JGT6" s="977"/>
      <c r="JGU6" s="977"/>
      <c r="JGV6" s="977"/>
      <c r="JGW6" s="977"/>
      <c r="JGX6" s="977"/>
      <c r="JGY6" s="977"/>
      <c r="JGZ6" s="977"/>
      <c r="JHA6" s="977"/>
      <c r="JHB6" s="977"/>
      <c r="JHC6" s="977"/>
      <c r="JHD6" s="977"/>
      <c r="JHE6" s="977"/>
      <c r="JHF6" s="977"/>
      <c r="JHG6" s="977"/>
      <c r="JHH6" s="977"/>
      <c r="JHI6" s="977"/>
      <c r="JHJ6" s="977"/>
      <c r="JHK6" s="977"/>
      <c r="JHL6" s="977"/>
      <c r="JHM6" s="977"/>
      <c r="JHN6" s="977"/>
      <c r="JHO6" s="977"/>
      <c r="JHP6" s="977"/>
      <c r="JHQ6" s="977"/>
      <c r="JHR6" s="977"/>
      <c r="JHS6" s="977"/>
      <c r="JHT6" s="977"/>
      <c r="JHU6" s="977"/>
      <c r="JHV6" s="977"/>
      <c r="JHW6" s="977"/>
      <c r="JHX6" s="977"/>
      <c r="JHY6" s="977"/>
      <c r="JHZ6" s="977"/>
      <c r="JIA6" s="977"/>
      <c r="JIB6" s="977"/>
      <c r="JIC6" s="977"/>
      <c r="JID6" s="977"/>
      <c r="JIE6" s="977"/>
      <c r="JIF6" s="977"/>
      <c r="JIG6" s="977"/>
      <c r="JIH6" s="977"/>
      <c r="JII6" s="977"/>
      <c r="JIJ6" s="977"/>
      <c r="JIK6" s="977"/>
      <c r="JIL6" s="977"/>
      <c r="JIM6" s="977"/>
      <c r="JIN6" s="977"/>
      <c r="JIO6" s="977"/>
      <c r="JIP6" s="977"/>
      <c r="JIQ6" s="977"/>
      <c r="JIR6" s="977"/>
      <c r="JIS6" s="977"/>
      <c r="JIT6" s="977"/>
      <c r="JIU6" s="977"/>
      <c r="JIV6" s="977"/>
      <c r="JIW6" s="977"/>
      <c r="JIX6" s="977"/>
      <c r="JIY6" s="977"/>
      <c r="JIZ6" s="977"/>
      <c r="JJA6" s="977"/>
      <c r="JJB6" s="977"/>
      <c r="JJC6" s="977"/>
      <c r="JJD6" s="977"/>
      <c r="JJE6" s="977"/>
      <c r="JJF6" s="977"/>
      <c r="JJG6" s="977"/>
      <c r="JJH6" s="977"/>
      <c r="JJI6" s="977"/>
      <c r="JJJ6" s="977"/>
      <c r="JJK6" s="977"/>
      <c r="JJL6" s="977"/>
      <c r="JJM6" s="977"/>
      <c r="JJN6" s="977"/>
      <c r="JJO6" s="977"/>
      <c r="JJP6" s="977"/>
      <c r="JJQ6" s="977"/>
      <c r="JJR6" s="977"/>
      <c r="JJS6" s="977"/>
      <c r="JJT6" s="977"/>
      <c r="JJU6" s="977"/>
      <c r="JJV6" s="977"/>
      <c r="JJW6" s="977"/>
      <c r="JJX6" s="977"/>
      <c r="JJY6" s="977"/>
      <c r="JJZ6" s="977"/>
      <c r="JKA6" s="977"/>
      <c r="JKB6" s="977"/>
      <c r="JKC6" s="977"/>
      <c r="JKD6" s="977"/>
      <c r="JKE6" s="977"/>
      <c r="JKF6" s="977"/>
      <c r="JKG6" s="977"/>
      <c r="JKH6" s="977"/>
      <c r="JKI6" s="977"/>
      <c r="JKJ6" s="977"/>
      <c r="JKK6" s="977"/>
      <c r="JKL6" s="977"/>
      <c r="JKM6" s="977"/>
      <c r="JKN6" s="977"/>
      <c r="JKO6" s="977"/>
      <c r="JKP6" s="977"/>
      <c r="JKQ6" s="977"/>
      <c r="JKR6" s="977"/>
      <c r="JKS6" s="977"/>
      <c r="JKT6" s="977"/>
      <c r="JKU6" s="977"/>
      <c r="JKV6" s="977"/>
      <c r="JKW6" s="977"/>
      <c r="JKX6" s="977"/>
      <c r="JKY6" s="977"/>
      <c r="JKZ6" s="977"/>
      <c r="JLA6" s="977"/>
      <c r="JLB6" s="977"/>
      <c r="JLC6" s="977"/>
      <c r="JLD6" s="977"/>
      <c r="JLE6" s="977"/>
      <c r="JLF6" s="977"/>
      <c r="JLG6" s="977"/>
      <c r="JLH6" s="977"/>
      <c r="JLI6" s="977"/>
      <c r="JLJ6" s="977"/>
      <c r="JLK6" s="977"/>
      <c r="JLL6" s="977"/>
      <c r="JLM6" s="977"/>
      <c r="JLN6" s="977"/>
      <c r="JLO6" s="977"/>
      <c r="JLP6" s="977"/>
      <c r="JLQ6" s="977"/>
      <c r="JLR6" s="977"/>
      <c r="JLS6" s="977"/>
      <c r="JLT6" s="977"/>
      <c r="JLU6" s="977"/>
      <c r="JLV6" s="977"/>
      <c r="JLW6" s="977"/>
      <c r="JLX6" s="977"/>
      <c r="JLY6" s="977"/>
      <c r="JLZ6" s="977"/>
      <c r="JMA6" s="977"/>
      <c r="JMB6" s="977"/>
      <c r="JMC6" s="977"/>
      <c r="JMD6" s="977"/>
      <c r="JME6" s="977"/>
      <c r="JMF6" s="977"/>
      <c r="JMG6" s="977"/>
      <c r="JMH6" s="977"/>
      <c r="JMI6" s="977"/>
      <c r="JMJ6" s="977"/>
      <c r="JMK6" s="977"/>
      <c r="JML6" s="977"/>
      <c r="JMM6" s="977"/>
      <c r="JMN6" s="977"/>
      <c r="JMO6" s="977"/>
      <c r="JMP6" s="977"/>
      <c r="JMQ6" s="977"/>
      <c r="JMR6" s="977"/>
      <c r="JMS6" s="977"/>
      <c r="JMT6" s="977"/>
      <c r="JMU6" s="977"/>
      <c r="JMV6" s="977"/>
      <c r="JMW6" s="977"/>
      <c r="JMX6" s="977"/>
      <c r="JMY6" s="977"/>
      <c r="JMZ6" s="977"/>
      <c r="JNA6" s="977"/>
      <c r="JNB6" s="977"/>
      <c r="JNC6" s="977"/>
      <c r="JND6" s="977"/>
      <c r="JNE6" s="977"/>
      <c r="JNF6" s="977"/>
      <c r="JNG6" s="977"/>
      <c r="JNH6" s="977"/>
      <c r="JNI6" s="977"/>
      <c r="JNJ6" s="977"/>
      <c r="JNK6" s="977"/>
      <c r="JNL6" s="977"/>
      <c r="JNM6" s="977"/>
      <c r="JNN6" s="977"/>
      <c r="JNO6" s="977"/>
      <c r="JNP6" s="977"/>
      <c r="JNQ6" s="977"/>
      <c r="JNR6" s="977"/>
      <c r="JNS6" s="977"/>
      <c r="JNT6" s="977"/>
      <c r="JNU6" s="977"/>
      <c r="JNV6" s="977"/>
      <c r="JNW6" s="977"/>
      <c r="JNX6" s="977"/>
      <c r="JNY6" s="977"/>
      <c r="JNZ6" s="977"/>
      <c r="JOA6" s="977"/>
      <c r="JOB6" s="977"/>
      <c r="JOC6" s="977"/>
      <c r="JOD6" s="977"/>
      <c r="JOE6" s="977"/>
      <c r="JOF6" s="977"/>
      <c r="JOG6" s="977"/>
      <c r="JOH6" s="977"/>
      <c r="JOI6" s="977"/>
      <c r="JOJ6" s="977"/>
      <c r="JOK6" s="977"/>
      <c r="JOL6" s="977"/>
      <c r="JOM6" s="977"/>
      <c r="JON6" s="977"/>
      <c r="JOO6" s="977"/>
      <c r="JOP6" s="977"/>
      <c r="JOQ6" s="977"/>
      <c r="JOR6" s="977"/>
      <c r="JOS6" s="977"/>
      <c r="JOT6" s="977"/>
      <c r="JOU6" s="977"/>
      <c r="JOV6" s="977"/>
      <c r="JOW6" s="977"/>
      <c r="JOX6" s="977"/>
      <c r="JOY6" s="977"/>
      <c r="JOZ6" s="977"/>
      <c r="JPA6" s="977"/>
      <c r="JPB6" s="977"/>
      <c r="JPC6" s="977"/>
      <c r="JPD6" s="977"/>
      <c r="JPE6" s="977"/>
      <c r="JPF6" s="977"/>
      <c r="JPG6" s="977"/>
      <c r="JPH6" s="977"/>
      <c r="JPI6" s="977"/>
      <c r="JPJ6" s="977"/>
      <c r="JPK6" s="977"/>
      <c r="JPL6" s="977"/>
      <c r="JPM6" s="977"/>
      <c r="JPN6" s="977"/>
      <c r="JPO6" s="977"/>
      <c r="JPP6" s="977"/>
      <c r="JPQ6" s="977"/>
      <c r="JPR6" s="977"/>
      <c r="JPS6" s="977"/>
      <c r="JPT6" s="977"/>
      <c r="JPU6" s="977"/>
      <c r="JPV6" s="977"/>
      <c r="JPW6" s="977"/>
      <c r="JPX6" s="977"/>
      <c r="JPY6" s="977"/>
      <c r="JPZ6" s="977"/>
      <c r="JQA6" s="977"/>
      <c r="JQB6" s="977"/>
      <c r="JQC6" s="977"/>
      <c r="JQD6" s="977"/>
      <c r="JQE6" s="977"/>
      <c r="JQF6" s="977"/>
      <c r="JQG6" s="977"/>
      <c r="JQH6" s="977"/>
      <c r="JQI6" s="977"/>
      <c r="JQJ6" s="977"/>
      <c r="JQK6" s="977"/>
      <c r="JQL6" s="977"/>
      <c r="JQM6" s="977"/>
      <c r="JQN6" s="977"/>
      <c r="JQO6" s="977"/>
      <c r="JQP6" s="977"/>
      <c r="JQQ6" s="977"/>
      <c r="JQR6" s="977"/>
      <c r="JQS6" s="977"/>
      <c r="JQT6" s="977"/>
      <c r="JQU6" s="977"/>
      <c r="JQV6" s="977"/>
      <c r="JQW6" s="977"/>
      <c r="JQX6" s="977"/>
      <c r="JQY6" s="977"/>
      <c r="JQZ6" s="977"/>
      <c r="JRA6" s="977"/>
      <c r="JRB6" s="977"/>
      <c r="JRC6" s="977"/>
      <c r="JRD6" s="977"/>
      <c r="JRE6" s="977"/>
      <c r="JRF6" s="977"/>
      <c r="JRG6" s="977"/>
      <c r="JRH6" s="977"/>
      <c r="JRI6" s="977"/>
      <c r="JRJ6" s="977"/>
      <c r="JRK6" s="977"/>
      <c r="JRL6" s="977"/>
      <c r="JRM6" s="977"/>
      <c r="JRN6" s="977"/>
      <c r="JRO6" s="977"/>
      <c r="JRP6" s="977"/>
      <c r="JRQ6" s="977"/>
      <c r="JRR6" s="977"/>
      <c r="JRS6" s="977"/>
      <c r="JRT6" s="977"/>
      <c r="JRU6" s="977"/>
      <c r="JRV6" s="977"/>
      <c r="JRW6" s="977"/>
      <c r="JRX6" s="977"/>
      <c r="JRY6" s="977"/>
      <c r="JRZ6" s="977"/>
      <c r="JSA6" s="977"/>
      <c r="JSB6" s="977"/>
      <c r="JSC6" s="977"/>
      <c r="JSD6" s="977"/>
      <c r="JSE6" s="977"/>
      <c r="JSF6" s="977"/>
      <c r="JSG6" s="977"/>
      <c r="JSH6" s="977"/>
      <c r="JSI6" s="977"/>
      <c r="JSJ6" s="977"/>
      <c r="JSK6" s="977"/>
      <c r="JSL6" s="977"/>
      <c r="JSM6" s="977"/>
      <c r="JSN6" s="977"/>
      <c r="JSO6" s="977"/>
      <c r="JSP6" s="977"/>
      <c r="JSQ6" s="977"/>
      <c r="JSR6" s="977"/>
      <c r="JSS6" s="977"/>
      <c r="JST6" s="977"/>
      <c r="JSU6" s="977"/>
      <c r="JSV6" s="977"/>
      <c r="JSW6" s="977"/>
      <c r="JSX6" s="977"/>
      <c r="JSY6" s="977"/>
      <c r="JSZ6" s="977"/>
      <c r="JTA6" s="977"/>
      <c r="JTB6" s="977"/>
      <c r="JTC6" s="977"/>
      <c r="JTD6" s="977"/>
      <c r="JTE6" s="977"/>
      <c r="JTF6" s="977"/>
      <c r="JTG6" s="977"/>
      <c r="JTH6" s="977"/>
      <c r="JTI6" s="977"/>
      <c r="JTJ6" s="977"/>
      <c r="JTK6" s="977"/>
      <c r="JTL6" s="977"/>
      <c r="JTM6" s="977"/>
      <c r="JTN6" s="977"/>
      <c r="JTO6" s="977"/>
      <c r="JTP6" s="977"/>
      <c r="JTQ6" s="977"/>
      <c r="JTR6" s="977"/>
      <c r="JTS6" s="977"/>
      <c r="JTT6" s="977"/>
      <c r="JTU6" s="977"/>
      <c r="JTV6" s="977"/>
      <c r="JTW6" s="977"/>
      <c r="JTX6" s="977"/>
      <c r="JTY6" s="977"/>
      <c r="JTZ6" s="977"/>
      <c r="JUA6" s="977"/>
      <c r="JUB6" s="977"/>
      <c r="JUC6" s="977"/>
      <c r="JUD6" s="977"/>
      <c r="JUE6" s="977"/>
      <c r="JUF6" s="977"/>
      <c r="JUG6" s="977"/>
      <c r="JUH6" s="977"/>
      <c r="JUI6" s="977"/>
      <c r="JUJ6" s="977"/>
      <c r="JUK6" s="977"/>
      <c r="JUL6" s="977"/>
      <c r="JUM6" s="977"/>
      <c r="JUN6" s="977"/>
      <c r="JUO6" s="977"/>
      <c r="JUP6" s="977"/>
      <c r="JUQ6" s="977"/>
      <c r="JUR6" s="977"/>
      <c r="JUS6" s="977"/>
      <c r="JUT6" s="977"/>
      <c r="JUU6" s="977"/>
      <c r="JUV6" s="977"/>
      <c r="JUW6" s="977"/>
      <c r="JUX6" s="977"/>
      <c r="JUY6" s="977"/>
      <c r="JUZ6" s="977"/>
      <c r="JVA6" s="977"/>
      <c r="JVB6" s="977"/>
      <c r="JVC6" s="977"/>
      <c r="JVD6" s="977"/>
      <c r="JVE6" s="977"/>
      <c r="JVF6" s="977"/>
      <c r="JVG6" s="977"/>
      <c r="JVH6" s="977"/>
      <c r="JVI6" s="977"/>
      <c r="JVJ6" s="977"/>
      <c r="JVK6" s="977"/>
      <c r="JVL6" s="977"/>
      <c r="JVM6" s="977"/>
      <c r="JVN6" s="977"/>
      <c r="JVO6" s="977"/>
      <c r="JVP6" s="977"/>
      <c r="JVQ6" s="977"/>
      <c r="JVR6" s="977"/>
      <c r="JVS6" s="977"/>
      <c r="JVT6" s="977"/>
      <c r="JVU6" s="977"/>
      <c r="JVV6" s="977"/>
      <c r="JVW6" s="977"/>
      <c r="JVX6" s="977"/>
      <c r="JVY6" s="977"/>
      <c r="JVZ6" s="977"/>
      <c r="JWA6" s="977"/>
      <c r="JWB6" s="977"/>
      <c r="JWC6" s="977"/>
      <c r="JWD6" s="977"/>
      <c r="JWE6" s="977"/>
      <c r="JWF6" s="977"/>
      <c r="JWG6" s="977"/>
      <c r="JWH6" s="977"/>
      <c r="JWI6" s="977"/>
      <c r="JWJ6" s="977"/>
      <c r="JWK6" s="977"/>
      <c r="JWL6" s="977"/>
      <c r="JWM6" s="977"/>
      <c r="JWN6" s="977"/>
      <c r="JWO6" s="977"/>
      <c r="JWP6" s="977"/>
      <c r="JWQ6" s="977"/>
      <c r="JWR6" s="977"/>
      <c r="JWS6" s="977"/>
      <c r="JWT6" s="977"/>
      <c r="JWU6" s="977"/>
      <c r="JWV6" s="977"/>
      <c r="JWW6" s="977"/>
      <c r="JWX6" s="977"/>
      <c r="JWY6" s="977"/>
      <c r="JWZ6" s="977"/>
      <c r="JXA6" s="977"/>
      <c r="JXB6" s="977"/>
      <c r="JXC6" s="977"/>
      <c r="JXD6" s="977"/>
      <c r="JXE6" s="977"/>
      <c r="JXF6" s="977"/>
      <c r="JXG6" s="977"/>
      <c r="JXH6" s="977"/>
      <c r="JXI6" s="977"/>
      <c r="JXJ6" s="977"/>
      <c r="JXK6" s="977"/>
      <c r="JXL6" s="977"/>
      <c r="JXM6" s="977"/>
      <c r="JXN6" s="977"/>
      <c r="JXO6" s="977"/>
      <c r="JXP6" s="977"/>
      <c r="JXQ6" s="977"/>
      <c r="JXR6" s="977"/>
      <c r="JXS6" s="977"/>
      <c r="JXT6" s="977"/>
      <c r="JXU6" s="977"/>
      <c r="JXV6" s="977"/>
      <c r="JXW6" s="977"/>
      <c r="JXX6" s="977"/>
      <c r="JXY6" s="977"/>
      <c r="JXZ6" s="977"/>
      <c r="JYA6" s="977"/>
      <c r="JYB6" s="977"/>
      <c r="JYC6" s="977"/>
      <c r="JYD6" s="977"/>
      <c r="JYE6" s="977"/>
      <c r="JYF6" s="977"/>
      <c r="JYG6" s="977"/>
      <c r="JYH6" s="977"/>
      <c r="JYI6" s="977"/>
      <c r="JYJ6" s="977"/>
      <c r="JYK6" s="977"/>
      <c r="JYL6" s="977"/>
      <c r="JYM6" s="977"/>
      <c r="JYN6" s="977"/>
      <c r="JYO6" s="977"/>
      <c r="JYP6" s="977"/>
      <c r="JYQ6" s="977"/>
      <c r="JYR6" s="977"/>
      <c r="JYS6" s="977"/>
      <c r="JYT6" s="977"/>
      <c r="JYU6" s="977"/>
      <c r="JYV6" s="977"/>
      <c r="JYW6" s="977"/>
      <c r="JYX6" s="977"/>
      <c r="JYY6" s="977"/>
      <c r="JYZ6" s="977"/>
      <c r="JZA6" s="977"/>
      <c r="JZB6" s="977"/>
      <c r="JZC6" s="977"/>
      <c r="JZD6" s="977"/>
      <c r="JZE6" s="977"/>
      <c r="JZF6" s="977"/>
      <c r="JZG6" s="977"/>
      <c r="JZH6" s="977"/>
      <c r="JZI6" s="977"/>
      <c r="JZJ6" s="977"/>
      <c r="JZK6" s="977"/>
      <c r="JZL6" s="977"/>
      <c r="JZM6" s="977"/>
      <c r="JZN6" s="977"/>
      <c r="JZO6" s="977"/>
      <c r="JZP6" s="977"/>
      <c r="JZQ6" s="977"/>
      <c r="JZR6" s="977"/>
      <c r="JZS6" s="977"/>
      <c r="JZT6" s="977"/>
      <c r="JZU6" s="977"/>
      <c r="JZV6" s="977"/>
      <c r="JZW6" s="977"/>
      <c r="JZX6" s="977"/>
      <c r="JZY6" s="977"/>
      <c r="JZZ6" s="977"/>
      <c r="KAA6" s="977"/>
      <c r="KAB6" s="977"/>
      <c r="KAC6" s="977"/>
      <c r="KAD6" s="977"/>
      <c r="KAE6" s="977"/>
      <c r="KAF6" s="977"/>
      <c r="KAG6" s="977"/>
      <c r="KAH6" s="977"/>
      <c r="KAI6" s="977"/>
      <c r="KAJ6" s="977"/>
      <c r="KAK6" s="977"/>
      <c r="KAL6" s="977"/>
      <c r="KAM6" s="977"/>
      <c r="KAN6" s="977"/>
      <c r="KAO6" s="977"/>
      <c r="KAP6" s="977"/>
      <c r="KAQ6" s="977"/>
      <c r="KAR6" s="977"/>
      <c r="KAS6" s="977"/>
      <c r="KAT6" s="977"/>
      <c r="KAU6" s="977"/>
      <c r="KAV6" s="977"/>
      <c r="KAW6" s="977"/>
      <c r="KAX6" s="977"/>
      <c r="KAY6" s="977"/>
      <c r="KAZ6" s="977"/>
      <c r="KBA6" s="977"/>
      <c r="KBB6" s="977"/>
      <c r="KBC6" s="977"/>
      <c r="KBD6" s="977"/>
      <c r="KBE6" s="977"/>
      <c r="KBF6" s="977"/>
      <c r="KBG6" s="977"/>
      <c r="KBH6" s="977"/>
      <c r="KBI6" s="977"/>
      <c r="KBJ6" s="977"/>
      <c r="KBK6" s="977"/>
      <c r="KBL6" s="977"/>
      <c r="KBM6" s="977"/>
      <c r="KBN6" s="977"/>
      <c r="KBO6" s="977"/>
      <c r="KBP6" s="977"/>
      <c r="KBQ6" s="977"/>
      <c r="KBR6" s="977"/>
      <c r="KBS6" s="977"/>
      <c r="KBT6" s="977"/>
      <c r="KBU6" s="977"/>
      <c r="KBV6" s="977"/>
      <c r="KBW6" s="977"/>
      <c r="KBX6" s="977"/>
      <c r="KBY6" s="977"/>
      <c r="KBZ6" s="977"/>
      <c r="KCA6" s="977"/>
      <c r="KCB6" s="977"/>
      <c r="KCC6" s="977"/>
      <c r="KCD6" s="977"/>
      <c r="KCE6" s="977"/>
      <c r="KCF6" s="977"/>
      <c r="KCG6" s="977"/>
      <c r="KCH6" s="977"/>
      <c r="KCI6" s="977"/>
      <c r="KCJ6" s="977"/>
      <c r="KCK6" s="977"/>
      <c r="KCL6" s="977"/>
      <c r="KCM6" s="977"/>
      <c r="KCN6" s="977"/>
      <c r="KCO6" s="977"/>
      <c r="KCP6" s="977"/>
      <c r="KCQ6" s="977"/>
      <c r="KCR6" s="977"/>
      <c r="KCS6" s="977"/>
      <c r="KCT6" s="977"/>
      <c r="KCU6" s="977"/>
      <c r="KCV6" s="977"/>
      <c r="KCW6" s="977"/>
      <c r="KCX6" s="977"/>
      <c r="KCY6" s="977"/>
      <c r="KCZ6" s="977"/>
      <c r="KDA6" s="977"/>
      <c r="KDB6" s="977"/>
      <c r="KDC6" s="977"/>
      <c r="KDD6" s="977"/>
      <c r="KDE6" s="977"/>
      <c r="KDF6" s="977"/>
      <c r="KDG6" s="977"/>
      <c r="KDH6" s="977"/>
      <c r="KDI6" s="977"/>
      <c r="KDJ6" s="977"/>
      <c r="KDK6" s="977"/>
      <c r="KDL6" s="977"/>
      <c r="KDM6" s="977"/>
      <c r="KDN6" s="977"/>
      <c r="KDO6" s="977"/>
      <c r="KDP6" s="977"/>
      <c r="KDQ6" s="977"/>
      <c r="KDR6" s="977"/>
      <c r="KDS6" s="977"/>
      <c r="KDT6" s="977"/>
      <c r="KDU6" s="977"/>
      <c r="KDV6" s="977"/>
      <c r="KDW6" s="977"/>
      <c r="KDX6" s="977"/>
      <c r="KDY6" s="977"/>
      <c r="KDZ6" s="977"/>
      <c r="KEA6" s="977"/>
      <c r="KEB6" s="977"/>
      <c r="KEC6" s="977"/>
      <c r="KED6" s="977"/>
      <c r="KEE6" s="977"/>
      <c r="KEF6" s="977"/>
      <c r="KEG6" s="977"/>
      <c r="KEH6" s="977"/>
      <c r="KEI6" s="977"/>
      <c r="KEJ6" s="977"/>
      <c r="KEK6" s="977"/>
      <c r="KEL6" s="977"/>
      <c r="KEM6" s="977"/>
      <c r="KEN6" s="977"/>
      <c r="KEO6" s="977"/>
      <c r="KEP6" s="977"/>
      <c r="KEQ6" s="977"/>
      <c r="KER6" s="977"/>
      <c r="KES6" s="977"/>
      <c r="KET6" s="977"/>
      <c r="KEU6" s="977"/>
      <c r="KEV6" s="977"/>
      <c r="KEW6" s="977"/>
      <c r="KEX6" s="977"/>
      <c r="KEY6" s="977"/>
      <c r="KEZ6" s="977"/>
      <c r="KFA6" s="977"/>
      <c r="KFB6" s="977"/>
      <c r="KFC6" s="977"/>
      <c r="KFD6" s="977"/>
      <c r="KFE6" s="977"/>
      <c r="KFF6" s="977"/>
      <c r="KFG6" s="977"/>
      <c r="KFH6" s="977"/>
      <c r="KFI6" s="977"/>
      <c r="KFJ6" s="977"/>
      <c r="KFK6" s="977"/>
      <c r="KFL6" s="977"/>
      <c r="KFM6" s="977"/>
      <c r="KFN6" s="977"/>
      <c r="KFO6" s="977"/>
      <c r="KFP6" s="977"/>
      <c r="KFQ6" s="977"/>
      <c r="KFR6" s="977"/>
      <c r="KFS6" s="977"/>
      <c r="KFT6" s="977"/>
      <c r="KFU6" s="977"/>
      <c r="KFV6" s="977"/>
      <c r="KFW6" s="977"/>
      <c r="KFX6" s="977"/>
      <c r="KFY6" s="977"/>
      <c r="KFZ6" s="977"/>
      <c r="KGA6" s="977"/>
      <c r="KGB6" s="977"/>
      <c r="KGC6" s="977"/>
      <c r="KGD6" s="977"/>
      <c r="KGE6" s="977"/>
      <c r="KGF6" s="977"/>
      <c r="KGG6" s="977"/>
      <c r="KGH6" s="977"/>
      <c r="KGI6" s="977"/>
      <c r="KGJ6" s="977"/>
      <c r="KGK6" s="977"/>
      <c r="KGL6" s="977"/>
      <c r="KGM6" s="977"/>
      <c r="KGN6" s="977"/>
      <c r="KGO6" s="977"/>
      <c r="KGP6" s="977"/>
      <c r="KGQ6" s="977"/>
      <c r="KGR6" s="977"/>
      <c r="KGS6" s="977"/>
      <c r="KGT6" s="977"/>
      <c r="KGU6" s="977"/>
      <c r="KGV6" s="977"/>
      <c r="KGW6" s="977"/>
      <c r="KGX6" s="977"/>
      <c r="KGY6" s="977"/>
      <c r="KGZ6" s="977"/>
      <c r="KHA6" s="977"/>
      <c r="KHB6" s="977"/>
      <c r="KHC6" s="977"/>
      <c r="KHD6" s="977"/>
      <c r="KHE6" s="977"/>
      <c r="KHF6" s="977"/>
      <c r="KHG6" s="977"/>
      <c r="KHH6" s="977"/>
      <c r="KHI6" s="977"/>
      <c r="KHJ6" s="977"/>
      <c r="KHK6" s="977"/>
      <c r="KHL6" s="977"/>
      <c r="KHM6" s="977"/>
      <c r="KHN6" s="977"/>
      <c r="KHO6" s="977"/>
      <c r="KHP6" s="977"/>
      <c r="KHQ6" s="977"/>
      <c r="KHR6" s="977"/>
      <c r="KHS6" s="977"/>
      <c r="KHT6" s="977"/>
      <c r="KHU6" s="977"/>
      <c r="KHV6" s="977"/>
      <c r="KHW6" s="977"/>
      <c r="KHX6" s="977"/>
      <c r="KHY6" s="977"/>
      <c r="KHZ6" s="977"/>
      <c r="KIA6" s="977"/>
      <c r="KIB6" s="977"/>
      <c r="KIC6" s="977"/>
      <c r="KID6" s="977"/>
      <c r="KIE6" s="977"/>
      <c r="KIF6" s="977"/>
      <c r="KIG6" s="977"/>
      <c r="KIH6" s="977"/>
      <c r="KII6" s="977"/>
      <c r="KIJ6" s="977"/>
      <c r="KIK6" s="977"/>
      <c r="KIL6" s="977"/>
      <c r="KIM6" s="977"/>
      <c r="KIN6" s="977"/>
      <c r="KIO6" s="977"/>
      <c r="KIP6" s="977"/>
      <c r="KIQ6" s="977"/>
      <c r="KIR6" s="977"/>
      <c r="KIS6" s="977"/>
      <c r="KIT6" s="977"/>
      <c r="KIU6" s="977"/>
      <c r="KIV6" s="977"/>
      <c r="KIW6" s="977"/>
      <c r="KIX6" s="977"/>
      <c r="KIY6" s="977"/>
      <c r="KIZ6" s="977"/>
      <c r="KJA6" s="977"/>
      <c r="KJB6" s="977"/>
      <c r="KJC6" s="977"/>
      <c r="KJD6" s="977"/>
      <c r="KJE6" s="977"/>
      <c r="KJF6" s="977"/>
      <c r="KJG6" s="977"/>
      <c r="KJH6" s="977"/>
      <c r="KJI6" s="977"/>
      <c r="KJJ6" s="977"/>
      <c r="KJK6" s="977"/>
      <c r="KJL6" s="977"/>
      <c r="KJM6" s="977"/>
      <c r="KJN6" s="977"/>
      <c r="KJO6" s="977"/>
      <c r="KJP6" s="977"/>
      <c r="KJQ6" s="977"/>
      <c r="KJR6" s="977"/>
      <c r="KJS6" s="977"/>
      <c r="KJT6" s="977"/>
      <c r="KJU6" s="977"/>
      <c r="KJV6" s="977"/>
      <c r="KJW6" s="977"/>
      <c r="KJX6" s="977"/>
      <c r="KJY6" s="977"/>
      <c r="KJZ6" s="977"/>
      <c r="KKA6" s="977"/>
      <c r="KKB6" s="977"/>
      <c r="KKC6" s="977"/>
      <c r="KKD6" s="977"/>
      <c r="KKE6" s="977"/>
      <c r="KKF6" s="977"/>
      <c r="KKG6" s="977"/>
      <c r="KKH6" s="977"/>
      <c r="KKI6" s="977"/>
      <c r="KKJ6" s="977"/>
      <c r="KKK6" s="977"/>
      <c r="KKL6" s="977"/>
      <c r="KKM6" s="977"/>
      <c r="KKN6" s="977"/>
      <c r="KKO6" s="977"/>
      <c r="KKP6" s="977"/>
      <c r="KKQ6" s="977"/>
      <c r="KKR6" s="977"/>
      <c r="KKS6" s="977"/>
      <c r="KKT6" s="977"/>
      <c r="KKU6" s="977"/>
      <c r="KKV6" s="977"/>
      <c r="KKW6" s="977"/>
      <c r="KKX6" s="977"/>
      <c r="KKY6" s="977"/>
      <c r="KKZ6" s="977"/>
      <c r="KLA6" s="977"/>
      <c r="KLB6" s="977"/>
      <c r="KLC6" s="977"/>
      <c r="KLD6" s="977"/>
      <c r="KLE6" s="977"/>
      <c r="KLF6" s="977"/>
      <c r="KLG6" s="977"/>
      <c r="KLH6" s="977"/>
      <c r="KLI6" s="977"/>
      <c r="KLJ6" s="977"/>
      <c r="KLK6" s="977"/>
      <c r="KLL6" s="977"/>
      <c r="KLM6" s="977"/>
      <c r="KLN6" s="977"/>
      <c r="KLO6" s="977"/>
      <c r="KLP6" s="977"/>
      <c r="KLQ6" s="977"/>
      <c r="KLR6" s="977"/>
      <c r="KLS6" s="977"/>
      <c r="KLT6" s="977"/>
      <c r="KLU6" s="977"/>
      <c r="KLV6" s="977"/>
      <c r="KLW6" s="977"/>
      <c r="KLX6" s="977"/>
      <c r="KLY6" s="977"/>
      <c r="KLZ6" s="977"/>
      <c r="KMA6" s="977"/>
      <c r="KMB6" s="977"/>
      <c r="KMC6" s="977"/>
      <c r="KMD6" s="977"/>
      <c r="KME6" s="977"/>
      <c r="KMF6" s="977"/>
      <c r="KMG6" s="977"/>
      <c r="KMH6" s="977"/>
      <c r="KMI6" s="977"/>
      <c r="KMJ6" s="977"/>
      <c r="KMK6" s="977"/>
      <c r="KML6" s="977"/>
      <c r="KMM6" s="977"/>
      <c r="KMN6" s="977"/>
      <c r="KMO6" s="977"/>
      <c r="KMP6" s="977"/>
      <c r="KMQ6" s="977"/>
      <c r="KMR6" s="977"/>
      <c r="KMS6" s="977"/>
      <c r="KMT6" s="977"/>
      <c r="KMU6" s="977"/>
      <c r="KMV6" s="977"/>
      <c r="KMW6" s="977"/>
      <c r="KMX6" s="977"/>
      <c r="KMY6" s="977"/>
      <c r="KMZ6" s="977"/>
      <c r="KNA6" s="977"/>
      <c r="KNB6" s="977"/>
      <c r="KNC6" s="977"/>
      <c r="KND6" s="977"/>
      <c r="KNE6" s="977"/>
      <c r="KNF6" s="977"/>
      <c r="KNG6" s="977"/>
      <c r="KNH6" s="977"/>
      <c r="KNI6" s="977"/>
      <c r="KNJ6" s="977"/>
      <c r="KNK6" s="977"/>
      <c r="KNL6" s="977"/>
      <c r="KNM6" s="977"/>
      <c r="KNN6" s="977"/>
      <c r="KNO6" s="977"/>
      <c r="KNP6" s="977"/>
      <c r="KNQ6" s="977"/>
      <c r="KNR6" s="977"/>
      <c r="KNS6" s="977"/>
      <c r="KNT6" s="977"/>
      <c r="KNU6" s="977"/>
      <c r="KNV6" s="977"/>
      <c r="KNW6" s="977"/>
      <c r="KNX6" s="977"/>
      <c r="KNY6" s="977"/>
      <c r="KNZ6" s="977"/>
      <c r="KOA6" s="977"/>
      <c r="KOB6" s="977"/>
      <c r="KOC6" s="977"/>
      <c r="KOD6" s="977"/>
      <c r="KOE6" s="977"/>
      <c r="KOF6" s="977"/>
      <c r="KOG6" s="977"/>
      <c r="KOH6" s="977"/>
      <c r="KOI6" s="977"/>
      <c r="KOJ6" s="977"/>
      <c r="KOK6" s="977"/>
      <c r="KOL6" s="977"/>
      <c r="KOM6" s="977"/>
      <c r="KON6" s="977"/>
      <c r="KOO6" s="977"/>
      <c r="KOP6" s="977"/>
      <c r="KOQ6" s="977"/>
      <c r="KOR6" s="977"/>
      <c r="KOS6" s="977"/>
      <c r="KOT6" s="977"/>
      <c r="KOU6" s="977"/>
      <c r="KOV6" s="977"/>
      <c r="KOW6" s="977"/>
      <c r="KOX6" s="977"/>
      <c r="KOY6" s="977"/>
      <c r="KOZ6" s="977"/>
      <c r="KPA6" s="977"/>
      <c r="KPB6" s="977"/>
      <c r="KPC6" s="977"/>
      <c r="KPD6" s="977"/>
      <c r="KPE6" s="977"/>
      <c r="KPF6" s="977"/>
      <c r="KPG6" s="977"/>
      <c r="KPH6" s="977"/>
      <c r="KPI6" s="977"/>
      <c r="KPJ6" s="977"/>
      <c r="KPK6" s="977"/>
      <c r="KPL6" s="977"/>
      <c r="KPM6" s="977"/>
      <c r="KPN6" s="977"/>
      <c r="KPO6" s="977"/>
      <c r="KPP6" s="977"/>
      <c r="KPQ6" s="977"/>
      <c r="KPR6" s="977"/>
      <c r="KPS6" s="977"/>
      <c r="KPT6" s="977"/>
      <c r="KPU6" s="977"/>
      <c r="KPV6" s="977"/>
      <c r="KPW6" s="977"/>
      <c r="KPX6" s="977"/>
      <c r="KPY6" s="977"/>
      <c r="KPZ6" s="977"/>
      <c r="KQA6" s="977"/>
      <c r="KQB6" s="977"/>
      <c r="KQC6" s="977"/>
      <c r="KQD6" s="977"/>
      <c r="KQE6" s="977"/>
      <c r="KQF6" s="977"/>
      <c r="KQG6" s="977"/>
      <c r="KQH6" s="977"/>
      <c r="KQI6" s="977"/>
      <c r="KQJ6" s="977"/>
      <c r="KQK6" s="977"/>
      <c r="KQL6" s="977"/>
      <c r="KQM6" s="977"/>
      <c r="KQN6" s="977"/>
      <c r="KQO6" s="977"/>
      <c r="KQP6" s="977"/>
      <c r="KQQ6" s="977"/>
      <c r="KQR6" s="977"/>
      <c r="KQS6" s="977"/>
      <c r="KQT6" s="977"/>
      <c r="KQU6" s="977"/>
      <c r="KQV6" s="977"/>
      <c r="KQW6" s="977"/>
      <c r="KQX6" s="977"/>
      <c r="KQY6" s="977"/>
      <c r="KQZ6" s="977"/>
      <c r="KRA6" s="977"/>
      <c r="KRB6" s="977"/>
      <c r="KRC6" s="977"/>
      <c r="KRD6" s="977"/>
      <c r="KRE6" s="977"/>
      <c r="KRF6" s="977"/>
      <c r="KRG6" s="977"/>
      <c r="KRH6" s="977"/>
      <c r="KRI6" s="977"/>
      <c r="KRJ6" s="977"/>
      <c r="KRK6" s="977"/>
      <c r="KRL6" s="977"/>
      <c r="KRM6" s="977"/>
      <c r="KRN6" s="977"/>
      <c r="KRO6" s="977"/>
      <c r="KRP6" s="977"/>
      <c r="KRQ6" s="977"/>
      <c r="KRR6" s="977"/>
      <c r="KRS6" s="977"/>
      <c r="KRT6" s="977"/>
      <c r="KRU6" s="977"/>
      <c r="KRV6" s="977"/>
      <c r="KRW6" s="977"/>
      <c r="KRX6" s="977"/>
      <c r="KRY6" s="977"/>
      <c r="KRZ6" s="977"/>
      <c r="KSA6" s="977"/>
      <c r="KSB6" s="977"/>
      <c r="KSC6" s="977"/>
      <c r="KSD6" s="977"/>
      <c r="KSE6" s="977"/>
      <c r="KSF6" s="977"/>
      <c r="KSG6" s="977"/>
      <c r="KSH6" s="977"/>
      <c r="KSI6" s="977"/>
      <c r="KSJ6" s="977"/>
      <c r="KSK6" s="977"/>
      <c r="KSL6" s="977"/>
      <c r="KSM6" s="977"/>
      <c r="KSN6" s="977"/>
      <c r="KSO6" s="977"/>
      <c r="KSP6" s="977"/>
      <c r="KSQ6" s="977"/>
      <c r="KSR6" s="977"/>
      <c r="KSS6" s="977"/>
      <c r="KST6" s="977"/>
      <c r="KSU6" s="977"/>
      <c r="KSV6" s="977"/>
      <c r="KSW6" s="977"/>
      <c r="KSX6" s="977"/>
      <c r="KSY6" s="977"/>
      <c r="KSZ6" s="977"/>
      <c r="KTA6" s="977"/>
      <c r="KTB6" s="977"/>
      <c r="KTC6" s="977"/>
      <c r="KTD6" s="977"/>
      <c r="KTE6" s="977"/>
      <c r="KTF6" s="977"/>
      <c r="KTG6" s="977"/>
      <c r="KTH6" s="977"/>
      <c r="KTI6" s="977"/>
      <c r="KTJ6" s="977"/>
      <c r="KTK6" s="977"/>
      <c r="KTL6" s="977"/>
      <c r="KTM6" s="977"/>
      <c r="KTN6" s="977"/>
      <c r="KTO6" s="977"/>
      <c r="KTP6" s="977"/>
      <c r="KTQ6" s="977"/>
      <c r="KTR6" s="977"/>
      <c r="KTS6" s="977"/>
      <c r="KTT6" s="977"/>
      <c r="KTU6" s="977"/>
      <c r="KTV6" s="977"/>
      <c r="KTW6" s="977"/>
      <c r="KTX6" s="977"/>
      <c r="KTY6" s="977"/>
      <c r="KTZ6" s="977"/>
      <c r="KUA6" s="977"/>
      <c r="KUB6" s="977"/>
      <c r="KUC6" s="977"/>
      <c r="KUD6" s="977"/>
      <c r="KUE6" s="977"/>
      <c r="KUF6" s="977"/>
      <c r="KUG6" s="977"/>
      <c r="KUH6" s="977"/>
      <c r="KUI6" s="977"/>
      <c r="KUJ6" s="977"/>
      <c r="KUK6" s="977"/>
      <c r="KUL6" s="977"/>
      <c r="KUM6" s="977"/>
      <c r="KUN6" s="977"/>
      <c r="KUO6" s="977"/>
      <c r="KUP6" s="977"/>
      <c r="KUQ6" s="977"/>
      <c r="KUR6" s="977"/>
      <c r="KUS6" s="977"/>
      <c r="KUT6" s="977"/>
      <c r="KUU6" s="977"/>
      <c r="KUV6" s="977"/>
      <c r="KUW6" s="977"/>
      <c r="KUX6" s="977"/>
      <c r="KUY6" s="977"/>
      <c r="KUZ6" s="977"/>
      <c r="KVA6" s="977"/>
      <c r="KVB6" s="977"/>
      <c r="KVC6" s="977"/>
      <c r="KVD6" s="977"/>
      <c r="KVE6" s="977"/>
      <c r="KVF6" s="977"/>
      <c r="KVG6" s="977"/>
      <c r="KVH6" s="977"/>
      <c r="KVI6" s="977"/>
      <c r="KVJ6" s="977"/>
      <c r="KVK6" s="977"/>
      <c r="KVL6" s="977"/>
      <c r="KVM6" s="977"/>
      <c r="KVN6" s="977"/>
      <c r="KVO6" s="977"/>
      <c r="KVP6" s="977"/>
      <c r="KVQ6" s="977"/>
      <c r="KVR6" s="977"/>
      <c r="KVS6" s="977"/>
      <c r="KVT6" s="977"/>
      <c r="KVU6" s="977"/>
      <c r="KVV6" s="977"/>
      <c r="KVW6" s="977"/>
      <c r="KVX6" s="977"/>
      <c r="KVY6" s="977"/>
      <c r="KVZ6" s="977"/>
      <c r="KWA6" s="977"/>
      <c r="KWB6" s="977"/>
      <c r="KWC6" s="977"/>
      <c r="KWD6" s="977"/>
      <c r="KWE6" s="977"/>
      <c r="KWF6" s="977"/>
      <c r="KWG6" s="977"/>
      <c r="KWH6" s="977"/>
      <c r="KWI6" s="977"/>
      <c r="KWJ6" s="977"/>
      <c r="KWK6" s="977"/>
      <c r="KWL6" s="977"/>
      <c r="KWM6" s="977"/>
      <c r="KWN6" s="977"/>
      <c r="KWO6" s="977"/>
      <c r="KWP6" s="977"/>
      <c r="KWQ6" s="977"/>
      <c r="KWR6" s="977"/>
      <c r="KWS6" s="977"/>
      <c r="KWT6" s="977"/>
      <c r="KWU6" s="977"/>
      <c r="KWV6" s="977"/>
      <c r="KWW6" s="977"/>
      <c r="KWX6" s="977"/>
      <c r="KWY6" s="977"/>
      <c r="KWZ6" s="977"/>
      <c r="KXA6" s="977"/>
      <c r="KXB6" s="977"/>
      <c r="KXC6" s="977"/>
      <c r="KXD6" s="977"/>
      <c r="KXE6" s="977"/>
      <c r="KXF6" s="977"/>
      <c r="KXG6" s="977"/>
      <c r="KXH6" s="977"/>
      <c r="KXI6" s="977"/>
      <c r="KXJ6" s="977"/>
      <c r="KXK6" s="977"/>
      <c r="KXL6" s="977"/>
      <c r="KXM6" s="977"/>
      <c r="KXN6" s="977"/>
      <c r="KXO6" s="977"/>
      <c r="KXP6" s="977"/>
      <c r="KXQ6" s="977"/>
      <c r="KXR6" s="977"/>
      <c r="KXS6" s="977"/>
      <c r="KXT6" s="977"/>
      <c r="KXU6" s="977"/>
      <c r="KXV6" s="977"/>
      <c r="KXW6" s="977"/>
      <c r="KXX6" s="977"/>
      <c r="KXY6" s="977"/>
      <c r="KXZ6" s="977"/>
      <c r="KYA6" s="977"/>
      <c r="KYB6" s="977"/>
      <c r="KYC6" s="977"/>
      <c r="KYD6" s="977"/>
      <c r="KYE6" s="977"/>
      <c r="KYF6" s="977"/>
      <c r="KYG6" s="977"/>
      <c r="KYH6" s="977"/>
      <c r="KYI6" s="977"/>
      <c r="KYJ6" s="977"/>
      <c r="KYK6" s="977"/>
      <c r="KYL6" s="977"/>
      <c r="KYM6" s="977"/>
      <c r="KYN6" s="977"/>
      <c r="KYO6" s="977"/>
      <c r="KYP6" s="977"/>
      <c r="KYQ6" s="977"/>
      <c r="KYR6" s="977"/>
      <c r="KYS6" s="977"/>
      <c r="KYT6" s="977"/>
      <c r="KYU6" s="977"/>
      <c r="KYV6" s="977"/>
      <c r="KYW6" s="977"/>
      <c r="KYX6" s="977"/>
      <c r="KYY6" s="977"/>
      <c r="KYZ6" s="977"/>
      <c r="KZA6" s="977"/>
      <c r="KZB6" s="977"/>
      <c r="KZC6" s="977"/>
      <c r="KZD6" s="977"/>
      <c r="KZE6" s="977"/>
      <c r="KZF6" s="977"/>
      <c r="KZG6" s="977"/>
      <c r="KZH6" s="977"/>
      <c r="KZI6" s="977"/>
      <c r="KZJ6" s="977"/>
      <c r="KZK6" s="977"/>
      <c r="KZL6" s="977"/>
      <c r="KZM6" s="977"/>
      <c r="KZN6" s="977"/>
      <c r="KZO6" s="977"/>
      <c r="KZP6" s="977"/>
      <c r="KZQ6" s="977"/>
      <c r="KZR6" s="977"/>
      <c r="KZS6" s="977"/>
      <c r="KZT6" s="977"/>
      <c r="KZU6" s="977"/>
      <c r="KZV6" s="977"/>
      <c r="KZW6" s="977"/>
      <c r="KZX6" s="977"/>
      <c r="KZY6" s="977"/>
      <c r="KZZ6" s="977"/>
      <c r="LAA6" s="977"/>
      <c r="LAB6" s="977"/>
      <c r="LAC6" s="977"/>
      <c r="LAD6" s="977"/>
      <c r="LAE6" s="977"/>
      <c r="LAF6" s="977"/>
      <c r="LAG6" s="977"/>
      <c r="LAH6" s="977"/>
      <c r="LAI6" s="977"/>
      <c r="LAJ6" s="977"/>
      <c r="LAK6" s="977"/>
      <c r="LAL6" s="977"/>
      <c r="LAM6" s="977"/>
      <c r="LAN6" s="977"/>
      <c r="LAO6" s="977"/>
      <c r="LAP6" s="977"/>
      <c r="LAQ6" s="977"/>
      <c r="LAR6" s="977"/>
      <c r="LAS6" s="977"/>
      <c r="LAT6" s="977"/>
      <c r="LAU6" s="977"/>
      <c r="LAV6" s="977"/>
      <c r="LAW6" s="977"/>
      <c r="LAX6" s="977"/>
      <c r="LAY6" s="977"/>
      <c r="LAZ6" s="977"/>
      <c r="LBA6" s="977"/>
      <c r="LBB6" s="977"/>
      <c r="LBC6" s="977"/>
      <c r="LBD6" s="977"/>
      <c r="LBE6" s="977"/>
      <c r="LBF6" s="977"/>
      <c r="LBG6" s="977"/>
      <c r="LBH6" s="977"/>
      <c r="LBI6" s="977"/>
      <c r="LBJ6" s="977"/>
      <c r="LBK6" s="977"/>
      <c r="LBL6" s="977"/>
      <c r="LBM6" s="977"/>
      <c r="LBN6" s="977"/>
      <c r="LBO6" s="977"/>
      <c r="LBP6" s="977"/>
      <c r="LBQ6" s="977"/>
      <c r="LBR6" s="977"/>
      <c r="LBS6" s="977"/>
      <c r="LBT6" s="977"/>
      <c r="LBU6" s="977"/>
      <c r="LBV6" s="977"/>
      <c r="LBW6" s="977"/>
      <c r="LBX6" s="977"/>
      <c r="LBY6" s="977"/>
      <c r="LBZ6" s="977"/>
      <c r="LCA6" s="977"/>
      <c r="LCB6" s="977"/>
      <c r="LCC6" s="977"/>
      <c r="LCD6" s="977"/>
      <c r="LCE6" s="977"/>
      <c r="LCF6" s="977"/>
      <c r="LCG6" s="977"/>
      <c r="LCH6" s="977"/>
      <c r="LCI6" s="977"/>
      <c r="LCJ6" s="977"/>
      <c r="LCK6" s="977"/>
      <c r="LCL6" s="977"/>
      <c r="LCM6" s="977"/>
      <c r="LCN6" s="977"/>
      <c r="LCO6" s="977"/>
      <c r="LCP6" s="977"/>
      <c r="LCQ6" s="977"/>
      <c r="LCR6" s="977"/>
      <c r="LCS6" s="977"/>
      <c r="LCT6" s="977"/>
      <c r="LCU6" s="977"/>
      <c r="LCV6" s="977"/>
      <c r="LCW6" s="977"/>
      <c r="LCX6" s="977"/>
      <c r="LCY6" s="977"/>
      <c r="LCZ6" s="977"/>
      <c r="LDA6" s="977"/>
      <c r="LDB6" s="977"/>
      <c r="LDC6" s="977"/>
      <c r="LDD6" s="977"/>
      <c r="LDE6" s="977"/>
      <c r="LDF6" s="977"/>
      <c r="LDG6" s="977"/>
      <c r="LDH6" s="977"/>
      <c r="LDI6" s="977"/>
      <c r="LDJ6" s="977"/>
      <c r="LDK6" s="977"/>
      <c r="LDL6" s="977"/>
      <c r="LDM6" s="977"/>
      <c r="LDN6" s="977"/>
      <c r="LDO6" s="977"/>
      <c r="LDP6" s="977"/>
      <c r="LDQ6" s="977"/>
      <c r="LDR6" s="977"/>
      <c r="LDS6" s="977"/>
      <c r="LDT6" s="977"/>
      <c r="LDU6" s="977"/>
      <c r="LDV6" s="977"/>
      <c r="LDW6" s="977"/>
      <c r="LDX6" s="977"/>
      <c r="LDY6" s="977"/>
      <c r="LDZ6" s="977"/>
      <c r="LEA6" s="977"/>
      <c r="LEB6" s="977"/>
      <c r="LEC6" s="977"/>
      <c r="LED6" s="977"/>
      <c r="LEE6" s="977"/>
      <c r="LEF6" s="977"/>
      <c r="LEG6" s="977"/>
      <c r="LEH6" s="977"/>
      <c r="LEI6" s="977"/>
      <c r="LEJ6" s="977"/>
      <c r="LEK6" s="977"/>
      <c r="LEL6" s="977"/>
      <c r="LEM6" s="977"/>
      <c r="LEN6" s="977"/>
      <c r="LEO6" s="977"/>
      <c r="LEP6" s="977"/>
      <c r="LEQ6" s="977"/>
      <c r="LER6" s="977"/>
      <c r="LES6" s="977"/>
      <c r="LET6" s="977"/>
      <c r="LEU6" s="977"/>
      <c r="LEV6" s="977"/>
      <c r="LEW6" s="977"/>
      <c r="LEX6" s="977"/>
      <c r="LEY6" s="977"/>
      <c r="LEZ6" s="977"/>
      <c r="LFA6" s="977"/>
      <c r="LFB6" s="977"/>
      <c r="LFC6" s="977"/>
      <c r="LFD6" s="977"/>
      <c r="LFE6" s="977"/>
      <c r="LFF6" s="977"/>
      <c r="LFG6" s="977"/>
      <c r="LFH6" s="977"/>
      <c r="LFI6" s="977"/>
      <c r="LFJ6" s="977"/>
      <c r="LFK6" s="977"/>
      <c r="LFL6" s="977"/>
      <c r="LFM6" s="977"/>
      <c r="LFN6" s="977"/>
      <c r="LFO6" s="977"/>
      <c r="LFP6" s="977"/>
      <c r="LFQ6" s="977"/>
      <c r="LFR6" s="977"/>
      <c r="LFS6" s="977"/>
      <c r="LFT6" s="977"/>
      <c r="LFU6" s="977"/>
      <c r="LFV6" s="977"/>
      <c r="LFW6" s="977"/>
      <c r="LFX6" s="977"/>
      <c r="LFY6" s="977"/>
      <c r="LFZ6" s="977"/>
      <c r="LGA6" s="977"/>
      <c r="LGB6" s="977"/>
      <c r="LGC6" s="977"/>
      <c r="LGD6" s="977"/>
      <c r="LGE6" s="977"/>
      <c r="LGF6" s="977"/>
      <c r="LGG6" s="977"/>
      <c r="LGH6" s="977"/>
      <c r="LGI6" s="977"/>
      <c r="LGJ6" s="977"/>
      <c r="LGK6" s="977"/>
      <c r="LGL6" s="977"/>
      <c r="LGM6" s="977"/>
      <c r="LGN6" s="977"/>
      <c r="LGO6" s="977"/>
      <c r="LGP6" s="977"/>
      <c r="LGQ6" s="977"/>
      <c r="LGR6" s="977"/>
      <c r="LGS6" s="977"/>
      <c r="LGT6" s="977"/>
      <c r="LGU6" s="977"/>
      <c r="LGV6" s="977"/>
      <c r="LGW6" s="977"/>
      <c r="LGX6" s="977"/>
      <c r="LGY6" s="977"/>
      <c r="LGZ6" s="977"/>
      <c r="LHA6" s="977"/>
      <c r="LHB6" s="977"/>
      <c r="LHC6" s="977"/>
      <c r="LHD6" s="977"/>
      <c r="LHE6" s="977"/>
      <c r="LHF6" s="977"/>
      <c r="LHG6" s="977"/>
      <c r="LHH6" s="977"/>
      <c r="LHI6" s="977"/>
      <c r="LHJ6" s="977"/>
      <c r="LHK6" s="977"/>
      <c r="LHL6" s="977"/>
      <c r="LHM6" s="977"/>
      <c r="LHN6" s="977"/>
      <c r="LHO6" s="977"/>
      <c r="LHP6" s="977"/>
      <c r="LHQ6" s="977"/>
      <c r="LHR6" s="977"/>
      <c r="LHS6" s="977"/>
      <c r="LHT6" s="977"/>
      <c r="LHU6" s="977"/>
      <c r="LHV6" s="977"/>
      <c r="LHW6" s="977"/>
      <c r="LHX6" s="977"/>
      <c r="LHY6" s="977"/>
      <c r="LHZ6" s="977"/>
      <c r="LIA6" s="977"/>
      <c r="LIB6" s="977"/>
      <c r="LIC6" s="977"/>
      <c r="LID6" s="977"/>
      <c r="LIE6" s="977"/>
      <c r="LIF6" s="977"/>
      <c r="LIG6" s="977"/>
      <c r="LIH6" s="977"/>
      <c r="LII6" s="977"/>
      <c r="LIJ6" s="977"/>
      <c r="LIK6" s="977"/>
      <c r="LIL6" s="977"/>
      <c r="LIM6" s="977"/>
      <c r="LIN6" s="977"/>
      <c r="LIO6" s="977"/>
      <c r="LIP6" s="977"/>
      <c r="LIQ6" s="977"/>
      <c r="LIR6" s="977"/>
      <c r="LIS6" s="977"/>
      <c r="LIT6" s="977"/>
      <c r="LIU6" s="977"/>
      <c r="LIV6" s="977"/>
      <c r="LIW6" s="977"/>
      <c r="LIX6" s="977"/>
      <c r="LIY6" s="977"/>
      <c r="LIZ6" s="977"/>
      <c r="LJA6" s="977"/>
      <c r="LJB6" s="977"/>
      <c r="LJC6" s="977"/>
      <c r="LJD6" s="977"/>
      <c r="LJE6" s="977"/>
      <c r="LJF6" s="977"/>
      <c r="LJG6" s="977"/>
      <c r="LJH6" s="977"/>
      <c r="LJI6" s="977"/>
      <c r="LJJ6" s="977"/>
      <c r="LJK6" s="977"/>
      <c r="LJL6" s="977"/>
      <c r="LJM6" s="977"/>
      <c r="LJN6" s="977"/>
      <c r="LJO6" s="977"/>
      <c r="LJP6" s="977"/>
      <c r="LJQ6" s="977"/>
      <c r="LJR6" s="977"/>
      <c r="LJS6" s="977"/>
      <c r="LJT6" s="977"/>
      <c r="LJU6" s="977"/>
      <c r="LJV6" s="977"/>
      <c r="LJW6" s="977"/>
      <c r="LJX6" s="977"/>
      <c r="LJY6" s="977"/>
      <c r="LJZ6" s="977"/>
      <c r="LKA6" s="977"/>
      <c r="LKB6" s="977"/>
      <c r="LKC6" s="977"/>
      <c r="LKD6" s="977"/>
      <c r="LKE6" s="977"/>
      <c r="LKF6" s="977"/>
      <c r="LKG6" s="977"/>
      <c r="LKH6" s="977"/>
      <c r="LKI6" s="977"/>
      <c r="LKJ6" s="977"/>
      <c r="LKK6" s="977"/>
      <c r="LKL6" s="977"/>
      <c r="LKM6" s="977"/>
      <c r="LKN6" s="977"/>
      <c r="LKO6" s="977"/>
      <c r="LKP6" s="977"/>
      <c r="LKQ6" s="977"/>
      <c r="LKR6" s="977"/>
      <c r="LKS6" s="977"/>
      <c r="LKT6" s="977"/>
      <c r="LKU6" s="977"/>
      <c r="LKV6" s="977"/>
      <c r="LKW6" s="977"/>
      <c r="LKX6" s="977"/>
      <c r="LKY6" s="977"/>
      <c r="LKZ6" s="977"/>
      <c r="LLA6" s="977"/>
      <c r="LLB6" s="977"/>
      <c r="LLC6" s="977"/>
      <c r="LLD6" s="977"/>
      <c r="LLE6" s="977"/>
      <c r="LLF6" s="977"/>
      <c r="LLG6" s="977"/>
      <c r="LLH6" s="977"/>
      <c r="LLI6" s="977"/>
      <c r="LLJ6" s="977"/>
      <c r="LLK6" s="977"/>
      <c r="LLL6" s="977"/>
      <c r="LLM6" s="977"/>
      <c r="LLN6" s="977"/>
      <c r="LLO6" s="977"/>
      <c r="LLP6" s="977"/>
      <c r="LLQ6" s="977"/>
      <c r="LLR6" s="977"/>
      <c r="LLS6" s="977"/>
      <c r="LLT6" s="977"/>
      <c r="LLU6" s="977"/>
      <c r="LLV6" s="977"/>
      <c r="LLW6" s="977"/>
      <c r="LLX6" s="977"/>
      <c r="LLY6" s="977"/>
      <c r="LLZ6" s="977"/>
      <c r="LMA6" s="977"/>
      <c r="LMB6" s="977"/>
      <c r="LMC6" s="977"/>
      <c r="LMD6" s="977"/>
      <c r="LME6" s="977"/>
      <c r="LMF6" s="977"/>
      <c r="LMG6" s="977"/>
      <c r="LMH6" s="977"/>
      <c r="LMI6" s="977"/>
      <c r="LMJ6" s="977"/>
      <c r="LMK6" s="977"/>
      <c r="LML6" s="977"/>
      <c r="LMM6" s="977"/>
      <c r="LMN6" s="977"/>
      <c r="LMO6" s="977"/>
      <c r="LMP6" s="977"/>
      <c r="LMQ6" s="977"/>
      <c r="LMR6" s="977"/>
      <c r="LMS6" s="977"/>
      <c r="LMT6" s="977"/>
      <c r="LMU6" s="977"/>
      <c r="LMV6" s="977"/>
      <c r="LMW6" s="977"/>
      <c r="LMX6" s="977"/>
      <c r="LMY6" s="977"/>
      <c r="LMZ6" s="977"/>
      <c r="LNA6" s="977"/>
      <c r="LNB6" s="977"/>
      <c r="LNC6" s="977"/>
      <c r="LND6" s="977"/>
      <c r="LNE6" s="977"/>
      <c r="LNF6" s="977"/>
      <c r="LNG6" s="977"/>
      <c r="LNH6" s="977"/>
      <c r="LNI6" s="977"/>
      <c r="LNJ6" s="977"/>
      <c r="LNK6" s="977"/>
      <c r="LNL6" s="977"/>
      <c r="LNM6" s="977"/>
      <c r="LNN6" s="977"/>
      <c r="LNO6" s="977"/>
      <c r="LNP6" s="977"/>
      <c r="LNQ6" s="977"/>
      <c r="LNR6" s="977"/>
      <c r="LNS6" s="977"/>
      <c r="LNT6" s="977"/>
      <c r="LNU6" s="977"/>
      <c r="LNV6" s="977"/>
      <c r="LNW6" s="977"/>
      <c r="LNX6" s="977"/>
      <c r="LNY6" s="977"/>
      <c r="LNZ6" s="977"/>
      <c r="LOA6" s="977"/>
      <c r="LOB6" s="977"/>
      <c r="LOC6" s="977"/>
      <c r="LOD6" s="977"/>
      <c r="LOE6" s="977"/>
      <c r="LOF6" s="977"/>
      <c r="LOG6" s="977"/>
      <c r="LOH6" s="977"/>
      <c r="LOI6" s="977"/>
      <c r="LOJ6" s="977"/>
      <c r="LOK6" s="977"/>
      <c r="LOL6" s="977"/>
      <c r="LOM6" s="977"/>
      <c r="LON6" s="977"/>
      <c r="LOO6" s="977"/>
      <c r="LOP6" s="977"/>
      <c r="LOQ6" s="977"/>
      <c r="LOR6" s="977"/>
      <c r="LOS6" s="977"/>
      <c r="LOT6" s="977"/>
      <c r="LOU6" s="977"/>
      <c r="LOV6" s="977"/>
      <c r="LOW6" s="977"/>
      <c r="LOX6" s="977"/>
      <c r="LOY6" s="977"/>
      <c r="LOZ6" s="977"/>
      <c r="LPA6" s="977"/>
      <c r="LPB6" s="977"/>
      <c r="LPC6" s="977"/>
      <c r="LPD6" s="977"/>
      <c r="LPE6" s="977"/>
      <c r="LPF6" s="977"/>
      <c r="LPG6" s="977"/>
      <c r="LPH6" s="977"/>
      <c r="LPI6" s="977"/>
      <c r="LPJ6" s="977"/>
      <c r="LPK6" s="977"/>
      <c r="LPL6" s="977"/>
      <c r="LPM6" s="977"/>
      <c r="LPN6" s="977"/>
      <c r="LPO6" s="977"/>
      <c r="LPP6" s="977"/>
      <c r="LPQ6" s="977"/>
      <c r="LPR6" s="977"/>
      <c r="LPS6" s="977"/>
      <c r="LPT6" s="977"/>
      <c r="LPU6" s="977"/>
      <c r="LPV6" s="977"/>
      <c r="LPW6" s="977"/>
      <c r="LPX6" s="977"/>
      <c r="LPY6" s="977"/>
      <c r="LPZ6" s="977"/>
      <c r="LQA6" s="977"/>
      <c r="LQB6" s="977"/>
      <c r="LQC6" s="977"/>
      <c r="LQD6" s="977"/>
      <c r="LQE6" s="977"/>
      <c r="LQF6" s="977"/>
      <c r="LQG6" s="977"/>
      <c r="LQH6" s="977"/>
      <c r="LQI6" s="977"/>
      <c r="LQJ6" s="977"/>
      <c r="LQK6" s="977"/>
      <c r="LQL6" s="977"/>
      <c r="LQM6" s="977"/>
      <c r="LQN6" s="977"/>
      <c r="LQO6" s="977"/>
      <c r="LQP6" s="977"/>
      <c r="LQQ6" s="977"/>
      <c r="LQR6" s="977"/>
      <c r="LQS6" s="977"/>
      <c r="LQT6" s="977"/>
      <c r="LQU6" s="977"/>
      <c r="LQV6" s="977"/>
      <c r="LQW6" s="977"/>
      <c r="LQX6" s="977"/>
      <c r="LQY6" s="977"/>
      <c r="LQZ6" s="977"/>
      <c r="LRA6" s="977"/>
      <c r="LRB6" s="977"/>
      <c r="LRC6" s="977"/>
      <c r="LRD6" s="977"/>
      <c r="LRE6" s="977"/>
      <c r="LRF6" s="977"/>
      <c r="LRG6" s="977"/>
      <c r="LRH6" s="977"/>
      <c r="LRI6" s="977"/>
      <c r="LRJ6" s="977"/>
      <c r="LRK6" s="977"/>
      <c r="LRL6" s="977"/>
      <c r="LRM6" s="977"/>
      <c r="LRN6" s="977"/>
      <c r="LRO6" s="977"/>
      <c r="LRP6" s="977"/>
      <c r="LRQ6" s="977"/>
      <c r="LRR6" s="977"/>
      <c r="LRS6" s="977"/>
      <c r="LRT6" s="977"/>
      <c r="LRU6" s="977"/>
      <c r="LRV6" s="977"/>
      <c r="LRW6" s="977"/>
      <c r="LRX6" s="977"/>
      <c r="LRY6" s="977"/>
      <c r="LRZ6" s="977"/>
      <c r="LSA6" s="977"/>
      <c r="LSB6" s="977"/>
      <c r="LSC6" s="977"/>
      <c r="LSD6" s="977"/>
      <c r="LSE6" s="977"/>
      <c r="LSF6" s="977"/>
      <c r="LSG6" s="977"/>
      <c r="LSH6" s="977"/>
      <c r="LSI6" s="977"/>
      <c r="LSJ6" s="977"/>
      <c r="LSK6" s="977"/>
      <c r="LSL6" s="977"/>
      <c r="LSM6" s="977"/>
      <c r="LSN6" s="977"/>
      <c r="LSO6" s="977"/>
      <c r="LSP6" s="977"/>
      <c r="LSQ6" s="977"/>
      <c r="LSR6" s="977"/>
      <c r="LSS6" s="977"/>
      <c r="LST6" s="977"/>
      <c r="LSU6" s="977"/>
      <c r="LSV6" s="977"/>
      <c r="LSW6" s="977"/>
      <c r="LSX6" s="977"/>
      <c r="LSY6" s="977"/>
      <c r="LSZ6" s="977"/>
      <c r="LTA6" s="977"/>
      <c r="LTB6" s="977"/>
      <c r="LTC6" s="977"/>
      <c r="LTD6" s="977"/>
      <c r="LTE6" s="977"/>
      <c r="LTF6" s="977"/>
      <c r="LTG6" s="977"/>
      <c r="LTH6" s="977"/>
      <c r="LTI6" s="977"/>
      <c r="LTJ6" s="977"/>
      <c r="LTK6" s="977"/>
      <c r="LTL6" s="977"/>
      <c r="LTM6" s="977"/>
      <c r="LTN6" s="977"/>
      <c r="LTO6" s="977"/>
      <c r="LTP6" s="977"/>
      <c r="LTQ6" s="977"/>
      <c r="LTR6" s="977"/>
      <c r="LTS6" s="977"/>
      <c r="LTT6" s="977"/>
      <c r="LTU6" s="977"/>
      <c r="LTV6" s="977"/>
      <c r="LTW6" s="977"/>
      <c r="LTX6" s="977"/>
      <c r="LTY6" s="977"/>
      <c r="LTZ6" s="977"/>
      <c r="LUA6" s="977"/>
      <c r="LUB6" s="977"/>
      <c r="LUC6" s="977"/>
      <c r="LUD6" s="977"/>
      <c r="LUE6" s="977"/>
      <c r="LUF6" s="977"/>
      <c r="LUG6" s="977"/>
      <c r="LUH6" s="977"/>
      <c r="LUI6" s="977"/>
      <c r="LUJ6" s="977"/>
      <c r="LUK6" s="977"/>
      <c r="LUL6" s="977"/>
      <c r="LUM6" s="977"/>
      <c r="LUN6" s="977"/>
      <c r="LUO6" s="977"/>
      <c r="LUP6" s="977"/>
      <c r="LUQ6" s="977"/>
      <c r="LUR6" s="977"/>
      <c r="LUS6" s="977"/>
      <c r="LUT6" s="977"/>
      <c r="LUU6" s="977"/>
      <c r="LUV6" s="977"/>
      <c r="LUW6" s="977"/>
      <c r="LUX6" s="977"/>
      <c r="LUY6" s="977"/>
      <c r="LUZ6" s="977"/>
      <c r="LVA6" s="977"/>
      <c r="LVB6" s="977"/>
      <c r="LVC6" s="977"/>
      <c r="LVD6" s="977"/>
      <c r="LVE6" s="977"/>
      <c r="LVF6" s="977"/>
      <c r="LVG6" s="977"/>
      <c r="LVH6" s="977"/>
      <c r="LVI6" s="977"/>
      <c r="LVJ6" s="977"/>
      <c r="LVK6" s="977"/>
      <c r="LVL6" s="977"/>
      <c r="LVM6" s="977"/>
      <c r="LVN6" s="977"/>
      <c r="LVO6" s="977"/>
      <c r="LVP6" s="977"/>
      <c r="LVQ6" s="977"/>
      <c r="LVR6" s="977"/>
      <c r="LVS6" s="977"/>
      <c r="LVT6" s="977"/>
      <c r="LVU6" s="977"/>
      <c r="LVV6" s="977"/>
      <c r="LVW6" s="977"/>
      <c r="LVX6" s="977"/>
      <c r="LVY6" s="977"/>
      <c r="LVZ6" s="977"/>
      <c r="LWA6" s="977"/>
      <c r="LWB6" s="977"/>
      <c r="LWC6" s="977"/>
      <c r="LWD6" s="977"/>
      <c r="LWE6" s="977"/>
      <c r="LWF6" s="977"/>
      <c r="LWG6" s="977"/>
      <c r="LWH6" s="977"/>
      <c r="LWI6" s="977"/>
      <c r="LWJ6" s="977"/>
      <c r="LWK6" s="977"/>
      <c r="LWL6" s="977"/>
      <c r="LWM6" s="977"/>
      <c r="LWN6" s="977"/>
      <c r="LWO6" s="977"/>
      <c r="LWP6" s="977"/>
      <c r="LWQ6" s="977"/>
      <c r="LWR6" s="977"/>
      <c r="LWS6" s="977"/>
      <c r="LWT6" s="977"/>
      <c r="LWU6" s="977"/>
      <c r="LWV6" s="977"/>
      <c r="LWW6" s="977"/>
      <c r="LWX6" s="977"/>
      <c r="LWY6" s="977"/>
      <c r="LWZ6" s="977"/>
      <c r="LXA6" s="977"/>
      <c r="LXB6" s="977"/>
      <c r="LXC6" s="977"/>
      <c r="LXD6" s="977"/>
      <c r="LXE6" s="977"/>
      <c r="LXF6" s="977"/>
      <c r="LXG6" s="977"/>
      <c r="LXH6" s="977"/>
      <c r="LXI6" s="977"/>
      <c r="LXJ6" s="977"/>
      <c r="LXK6" s="977"/>
      <c r="LXL6" s="977"/>
      <c r="LXM6" s="977"/>
      <c r="LXN6" s="977"/>
      <c r="LXO6" s="977"/>
      <c r="LXP6" s="977"/>
      <c r="LXQ6" s="977"/>
      <c r="LXR6" s="977"/>
      <c r="LXS6" s="977"/>
      <c r="LXT6" s="977"/>
      <c r="LXU6" s="977"/>
      <c r="LXV6" s="977"/>
      <c r="LXW6" s="977"/>
      <c r="LXX6" s="977"/>
      <c r="LXY6" s="977"/>
      <c r="LXZ6" s="977"/>
      <c r="LYA6" s="977"/>
      <c r="LYB6" s="977"/>
      <c r="LYC6" s="977"/>
      <c r="LYD6" s="977"/>
      <c r="LYE6" s="977"/>
      <c r="LYF6" s="977"/>
      <c r="LYG6" s="977"/>
      <c r="LYH6" s="977"/>
      <c r="LYI6" s="977"/>
      <c r="LYJ6" s="977"/>
      <c r="LYK6" s="977"/>
      <c r="LYL6" s="977"/>
      <c r="LYM6" s="977"/>
      <c r="LYN6" s="977"/>
      <c r="LYO6" s="977"/>
      <c r="LYP6" s="977"/>
      <c r="LYQ6" s="977"/>
      <c r="LYR6" s="977"/>
      <c r="LYS6" s="977"/>
      <c r="LYT6" s="977"/>
      <c r="LYU6" s="977"/>
      <c r="LYV6" s="977"/>
      <c r="LYW6" s="977"/>
      <c r="LYX6" s="977"/>
      <c r="LYY6" s="977"/>
      <c r="LYZ6" s="977"/>
      <c r="LZA6" s="977"/>
      <c r="LZB6" s="977"/>
      <c r="LZC6" s="977"/>
      <c r="LZD6" s="977"/>
      <c r="LZE6" s="977"/>
      <c r="LZF6" s="977"/>
      <c r="LZG6" s="977"/>
      <c r="LZH6" s="977"/>
      <c r="LZI6" s="977"/>
      <c r="LZJ6" s="977"/>
      <c r="LZK6" s="977"/>
      <c r="LZL6" s="977"/>
      <c r="LZM6" s="977"/>
      <c r="LZN6" s="977"/>
      <c r="LZO6" s="977"/>
      <c r="LZP6" s="977"/>
      <c r="LZQ6" s="977"/>
      <c r="LZR6" s="977"/>
      <c r="LZS6" s="977"/>
      <c r="LZT6" s="977"/>
      <c r="LZU6" s="977"/>
      <c r="LZV6" s="977"/>
      <c r="LZW6" s="977"/>
      <c r="LZX6" s="977"/>
      <c r="LZY6" s="977"/>
      <c r="LZZ6" s="977"/>
      <c r="MAA6" s="977"/>
      <c r="MAB6" s="977"/>
      <c r="MAC6" s="977"/>
      <c r="MAD6" s="977"/>
      <c r="MAE6" s="977"/>
      <c r="MAF6" s="977"/>
      <c r="MAG6" s="977"/>
      <c r="MAH6" s="977"/>
      <c r="MAI6" s="977"/>
      <c r="MAJ6" s="977"/>
      <c r="MAK6" s="977"/>
      <c r="MAL6" s="977"/>
      <c r="MAM6" s="977"/>
      <c r="MAN6" s="977"/>
      <c r="MAO6" s="977"/>
      <c r="MAP6" s="977"/>
      <c r="MAQ6" s="977"/>
      <c r="MAR6" s="977"/>
      <c r="MAS6" s="977"/>
      <c r="MAT6" s="977"/>
      <c r="MAU6" s="977"/>
      <c r="MAV6" s="977"/>
      <c r="MAW6" s="977"/>
      <c r="MAX6" s="977"/>
      <c r="MAY6" s="977"/>
      <c r="MAZ6" s="977"/>
      <c r="MBA6" s="977"/>
      <c r="MBB6" s="977"/>
      <c r="MBC6" s="977"/>
      <c r="MBD6" s="977"/>
      <c r="MBE6" s="977"/>
      <c r="MBF6" s="977"/>
      <c r="MBG6" s="977"/>
      <c r="MBH6" s="977"/>
      <c r="MBI6" s="977"/>
      <c r="MBJ6" s="977"/>
      <c r="MBK6" s="977"/>
      <c r="MBL6" s="977"/>
      <c r="MBM6" s="977"/>
      <c r="MBN6" s="977"/>
      <c r="MBO6" s="977"/>
      <c r="MBP6" s="977"/>
      <c r="MBQ6" s="977"/>
      <c r="MBR6" s="977"/>
      <c r="MBS6" s="977"/>
      <c r="MBT6" s="977"/>
      <c r="MBU6" s="977"/>
      <c r="MBV6" s="977"/>
      <c r="MBW6" s="977"/>
      <c r="MBX6" s="977"/>
      <c r="MBY6" s="977"/>
      <c r="MBZ6" s="977"/>
      <c r="MCA6" s="977"/>
      <c r="MCB6" s="977"/>
      <c r="MCC6" s="977"/>
      <c r="MCD6" s="977"/>
      <c r="MCE6" s="977"/>
      <c r="MCF6" s="977"/>
      <c r="MCG6" s="977"/>
      <c r="MCH6" s="977"/>
      <c r="MCI6" s="977"/>
      <c r="MCJ6" s="977"/>
      <c r="MCK6" s="977"/>
      <c r="MCL6" s="977"/>
      <c r="MCM6" s="977"/>
      <c r="MCN6" s="977"/>
      <c r="MCO6" s="977"/>
      <c r="MCP6" s="977"/>
      <c r="MCQ6" s="977"/>
      <c r="MCR6" s="977"/>
      <c r="MCS6" s="977"/>
      <c r="MCT6" s="977"/>
      <c r="MCU6" s="977"/>
      <c r="MCV6" s="977"/>
      <c r="MCW6" s="977"/>
      <c r="MCX6" s="977"/>
      <c r="MCY6" s="977"/>
      <c r="MCZ6" s="977"/>
      <c r="MDA6" s="977"/>
      <c r="MDB6" s="977"/>
      <c r="MDC6" s="977"/>
      <c r="MDD6" s="977"/>
      <c r="MDE6" s="977"/>
      <c r="MDF6" s="977"/>
      <c r="MDG6" s="977"/>
      <c r="MDH6" s="977"/>
      <c r="MDI6" s="977"/>
      <c r="MDJ6" s="977"/>
      <c r="MDK6" s="977"/>
      <c r="MDL6" s="977"/>
      <c r="MDM6" s="977"/>
      <c r="MDN6" s="977"/>
      <c r="MDO6" s="977"/>
      <c r="MDP6" s="977"/>
      <c r="MDQ6" s="977"/>
      <c r="MDR6" s="977"/>
      <c r="MDS6" s="977"/>
      <c r="MDT6" s="977"/>
      <c r="MDU6" s="977"/>
      <c r="MDV6" s="977"/>
      <c r="MDW6" s="977"/>
      <c r="MDX6" s="977"/>
      <c r="MDY6" s="977"/>
      <c r="MDZ6" s="977"/>
      <c r="MEA6" s="977"/>
      <c r="MEB6" s="977"/>
      <c r="MEC6" s="977"/>
      <c r="MED6" s="977"/>
      <c r="MEE6" s="977"/>
      <c r="MEF6" s="977"/>
      <c r="MEG6" s="977"/>
      <c r="MEH6" s="977"/>
      <c r="MEI6" s="977"/>
      <c r="MEJ6" s="977"/>
      <c r="MEK6" s="977"/>
      <c r="MEL6" s="977"/>
      <c r="MEM6" s="977"/>
      <c r="MEN6" s="977"/>
      <c r="MEO6" s="977"/>
      <c r="MEP6" s="977"/>
      <c r="MEQ6" s="977"/>
      <c r="MER6" s="977"/>
      <c r="MES6" s="977"/>
      <c r="MET6" s="977"/>
      <c r="MEU6" s="977"/>
      <c r="MEV6" s="977"/>
      <c r="MEW6" s="977"/>
      <c r="MEX6" s="977"/>
      <c r="MEY6" s="977"/>
      <c r="MEZ6" s="977"/>
      <c r="MFA6" s="977"/>
      <c r="MFB6" s="977"/>
      <c r="MFC6" s="977"/>
      <c r="MFD6" s="977"/>
      <c r="MFE6" s="977"/>
      <c r="MFF6" s="977"/>
      <c r="MFG6" s="977"/>
      <c r="MFH6" s="977"/>
      <c r="MFI6" s="977"/>
      <c r="MFJ6" s="977"/>
      <c r="MFK6" s="977"/>
      <c r="MFL6" s="977"/>
      <c r="MFM6" s="977"/>
      <c r="MFN6" s="977"/>
      <c r="MFO6" s="977"/>
      <c r="MFP6" s="977"/>
      <c r="MFQ6" s="977"/>
      <c r="MFR6" s="977"/>
      <c r="MFS6" s="977"/>
      <c r="MFT6" s="977"/>
      <c r="MFU6" s="977"/>
      <c r="MFV6" s="977"/>
      <c r="MFW6" s="977"/>
      <c r="MFX6" s="977"/>
      <c r="MFY6" s="977"/>
      <c r="MFZ6" s="977"/>
      <c r="MGA6" s="977"/>
      <c r="MGB6" s="977"/>
      <c r="MGC6" s="977"/>
      <c r="MGD6" s="977"/>
      <c r="MGE6" s="977"/>
      <c r="MGF6" s="977"/>
      <c r="MGG6" s="977"/>
      <c r="MGH6" s="977"/>
      <c r="MGI6" s="977"/>
      <c r="MGJ6" s="977"/>
      <c r="MGK6" s="977"/>
      <c r="MGL6" s="977"/>
      <c r="MGM6" s="977"/>
      <c r="MGN6" s="977"/>
      <c r="MGO6" s="977"/>
      <c r="MGP6" s="977"/>
      <c r="MGQ6" s="977"/>
      <c r="MGR6" s="977"/>
      <c r="MGS6" s="977"/>
      <c r="MGT6" s="977"/>
      <c r="MGU6" s="977"/>
      <c r="MGV6" s="977"/>
      <c r="MGW6" s="977"/>
      <c r="MGX6" s="977"/>
      <c r="MGY6" s="977"/>
      <c r="MGZ6" s="977"/>
      <c r="MHA6" s="977"/>
      <c r="MHB6" s="977"/>
      <c r="MHC6" s="977"/>
      <c r="MHD6" s="977"/>
      <c r="MHE6" s="977"/>
      <c r="MHF6" s="977"/>
      <c r="MHG6" s="977"/>
      <c r="MHH6" s="977"/>
      <c r="MHI6" s="977"/>
      <c r="MHJ6" s="977"/>
      <c r="MHK6" s="977"/>
      <c r="MHL6" s="977"/>
      <c r="MHM6" s="977"/>
      <c r="MHN6" s="977"/>
      <c r="MHO6" s="977"/>
      <c r="MHP6" s="977"/>
      <c r="MHQ6" s="977"/>
      <c r="MHR6" s="977"/>
      <c r="MHS6" s="977"/>
      <c r="MHT6" s="977"/>
      <c r="MHU6" s="977"/>
      <c r="MHV6" s="977"/>
      <c r="MHW6" s="977"/>
      <c r="MHX6" s="977"/>
      <c r="MHY6" s="977"/>
      <c r="MHZ6" s="977"/>
      <c r="MIA6" s="977"/>
      <c r="MIB6" s="977"/>
      <c r="MIC6" s="977"/>
      <c r="MID6" s="977"/>
      <c r="MIE6" s="977"/>
      <c r="MIF6" s="977"/>
      <c r="MIG6" s="977"/>
      <c r="MIH6" s="977"/>
      <c r="MII6" s="977"/>
      <c r="MIJ6" s="977"/>
      <c r="MIK6" s="977"/>
      <c r="MIL6" s="977"/>
      <c r="MIM6" s="977"/>
      <c r="MIN6" s="977"/>
      <c r="MIO6" s="977"/>
      <c r="MIP6" s="977"/>
      <c r="MIQ6" s="977"/>
      <c r="MIR6" s="977"/>
      <c r="MIS6" s="977"/>
      <c r="MIT6" s="977"/>
      <c r="MIU6" s="977"/>
      <c r="MIV6" s="977"/>
      <c r="MIW6" s="977"/>
      <c r="MIX6" s="977"/>
      <c r="MIY6" s="977"/>
      <c r="MIZ6" s="977"/>
      <c r="MJA6" s="977"/>
      <c r="MJB6" s="977"/>
      <c r="MJC6" s="977"/>
      <c r="MJD6" s="977"/>
      <c r="MJE6" s="977"/>
      <c r="MJF6" s="977"/>
      <c r="MJG6" s="977"/>
      <c r="MJH6" s="977"/>
      <c r="MJI6" s="977"/>
      <c r="MJJ6" s="977"/>
      <c r="MJK6" s="977"/>
      <c r="MJL6" s="977"/>
      <c r="MJM6" s="977"/>
      <c r="MJN6" s="977"/>
      <c r="MJO6" s="977"/>
      <c r="MJP6" s="977"/>
      <c r="MJQ6" s="977"/>
      <c r="MJR6" s="977"/>
      <c r="MJS6" s="977"/>
      <c r="MJT6" s="977"/>
      <c r="MJU6" s="977"/>
      <c r="MJV6" s="977"/>
      <c r="MJW6" s="977"/>
      <c r="MJX6" s="977"/>
      <c r="MJY6" s="977"/>
      <c r="MJZ6" s="977"/>
      <c r="MKA6" s="977"/>
      <c r="MKB6" s="977"/>
      <c r="MKC6" s="977"/>
      <c r="MKD6" s="977"/>
      <c r="MKE6" s="977"/>
      <c r="MKF6" s="977"/>
      <c r="MKG6" s="977"/>
      <c r="MKH6" s="977"/>
      <c r="MKI6" s="977"/>
      <c r="MKJ6" s="977"/>
      <c r="MKK6" s="977"/>
      <c r="MKL6" s="977"/>
      <c r="MKM6" s="977"/>
      <c r="MKN6" s="977"/>
      <c r="MKO6" s="977"/>
      <c r="MKP6" s="977"/>
      <c r="MKQ6" s="977"/>
      <c r="MKR6" s="977"/>
      <c r="MKS6" s="977"/>
      <c r="MKT6" s="977"/>
      <c r="MKU6" s="977"/>
      <c r="MKV6" s="977"/>
      <c r="MKW6" s="977"/>
      <c r="MKX6" s="977"/>
      <c r="MKY6" s="977"/>
      <c r="MKZ6" s="977"/>
      <c r="MLA6" s="977"/>
      <c r="MLB6" s="977"/>
      <c r="MLC6" s="977"/>
      <c r="MLD6" s="977"/>
      <c r="MLE6" s="977"/>
      <c r="MLF6" s="977"/>
      <c r="MLG6" s="977"/>
      <c r="MLH6" s="977"/>
      <c r="MLI6" s="977"/>
      <c r="MLJ6" s="977"/>
      <c r="MLK6" s="977"/>
      <c r="MLL6" s="977"/>
      <c r="MLM6" s="977"/>
      <c r="MLN6" s="977"/>
      <c r="MLO6" s="977"/>
      <c r="MLP6" s="977"/>
      <c r="MLQ6" s="977"/>
      <c r="MLR6" s="977"/>
      <c r="MLS6" s="977"/>
      <c r="MLT6" s="977"/>
      <c r="MLU6" s="977"/>
      <c r="MLV6" s="977"/>
      <c r="MLW6" s="977"/>
      <c r="MLX6" s="977"/>
      <c r="MLY6" s="977"/>
      <c r="MLZ6" s="977"/>
      <c r="MMA6" s="977"/>
      <c r="MMB6" s="977"/>
      <c r="MMC6" s="977"/>
      <c r="MMD6" s="977"/>
      <c r="MME6" s="977"/>
      <c r="MMF6" s="977"/>
      <c r="MMG6" s="977"/>
      <c r="MMH6" s="977"/>
      <c r="MMI6" s="977"/>
      <c r="MMJ6" s="977"/>
      <c r="MMK6" s="977"/>
      <c r="MML6" s="977"/>
      <c r="MMM6" s="977"/>
      <c r="MMN6" s="977"/>
      <c r="MMO6" s="977"/>
      <c r="MMP6" s="977"/>
      <c r="MMQ6" s="977"/>
      <c r="MMR6" s="977"/>
      <c r="MMS6" s="977"/>
      <c r="MMT6" s="977"/>
      <c r="MMU6" s="977"/>
      <c r="MMV6" s="977"/>
      <c r="MMW6" s="977"/>
      <c r="MMX6" s="977"/>
      <c r="MMY6" s="977"/>
      <c r="MMZ6" s="977"/>
      <c r="MNA6" s="977"/>
      <c r="MNB6" s="977"/>
      <c r="MNC6" s="977"/>
      <c r="MND6" s="977"/>
      <c r="MNE6" s="977"/>
      <c r="MNF6" s="977"/>
      <c r="MNG6" s="977"/>
      <c r="MNH6" s="977"/>
      <c r="MNI6" s="977"/>
      <c r="MNJ6" s="977"/>
      <c r="MNK6" s="977"/>
      <c r="MNL6" s="977"/>
      <c r="MNM6" s="977"/>
      <c r="MNN6" s="977"/>
      <c r="MNO6" s="977"/>
      <c r="MNP6" s="977"/>
      <c r="MNQ6" s="977"/>
      <c r="MNR6" s="977"/>
      <c r="MNS6" s="977"/>
      <c r="MNT6" s="977"/>
      <c r="MNU6" s="977"/>
      <c r="MNV6" s="977"/>
      <c r="MNW6" s="977"/>
      <c r="MNX6" s="977"/>
      <c r="MNY6" s="977"/>
      <c r="MNZ6" s="977"/>
      <c r="MOA6" s="977"/>
      <c r="MOB6" s="977"/>
      <c r="MOC6" s="977"/>
      <c r="MOD6" s="977"/>
      <c r="MOE6" s="977"/>
      <c r="MOF6" s="977"/>
      <c r="MOG6" s="977"/>
      <c r="MOH6" s="977"/>
      <c r="MOI6" s="977"/>
      <c r="MOJ6" s="977"/>
      <c r="MOK6" s="977"/>
      <c r="MOL6" s="977"/>
      <c r="MOM6" s="977"/>
      <c r="MON6" s="977"/>
      <c r="MOO6" s="977"/>
      <c r="MOP6" s="977"/>
      <c r="MOQ6" s="977"/>
      <c r="MOR6" s="977"/>
      <c r="MOS6" s="977"/>
      <c r="MOT6" s="977"/>
      <c r="MOU6" s="977"/>
      <c r="MOV6" s="977"/>
      <c r="MOW6" s="977"/>
      <c r="MOX6" s="977"/>
      <c r="MOY6" s="977"/>
      <c r="MOZ6" s="977"/>
      <c r="MPA6" s="977"/>
      <c r="MPB6" s="977"/>
      <c r="MPC6" s="977"/>
      <c r="MPD6" s="977"/>
      <c r="MPE6" s="977"/>
      <c r="MPF6" s="977"/>
      <c r="MPG6" s="977"/>
      <c r="MPH6" s="977"/>
      <c r="MPI6" s="977"/>
      <c r="MPJ6" s="977"/>
      <c r="MPK6" s="977"/>
      <c r="MPL6" s="977"/>
      <c r="MPM6" s="977"/>
      <c r="MPN6" s="977"/>
      <c r="MPO6" s="977"/>
      <c r="MPP6" s="977"/>
      <c r="MPQ6" s="977"/>
      <c r="MPR6" s="977"/>
      <c r="MPS6" s="977"/>
      <c r="MPT6" s="977"/>
      <c r="MPU6" s="977"/>
      <c r="MPV6" s="977"/>
      <c r="MPW6" s="977"/>
      <c r="MPX6" s="977"/>
      <c r="MPY6" s="977"/>
      <c r="MPZ6" s="977"/>
      <c r="MQA6" s="977"/>
      <c r="MQB6" s="977"/>
      <c r="MQC6" s="977"/>
      <c r="MQD6" s="977"/>
      <c r="MQE6" s="977"/>
      <c r="MQF6" s="977"/>
      <c r="MQG6" s="977"/>
      <c r="MQH6" s="977"/>
      <c r="MQI6" s="977"/>
      <c r="MQJ6" s="977"/>
      <c r="MQK6" s="977"/>
      <c r="MQL6" s="977"/>
      <c r="MQM6" s="977"/>
      <c r="MQN6" s="977"/>
      <c r="MQO6" s="977"/>
      <c r="MQP6" s="977"/>
      <c r="MQQ6" s="977"/>
      <c r="MQR6" s="977"/>
      <c r="MQS6" s="977"/>
      <c r="MQT6" s="977"/>
      <c r="MQU6" s="977"/>
      <c r="MQV6" s="977"/>
      <c r="MQW6" s="977"/>
      <c r="MQX6" s="977"/>
      <c r="MQY6" s="977"/>
      <c r="MQZ6" s="977"/>
      <c r="MRA6" s="977"/>
      <c r="MRB6" s="977"/>
      <c r="MRC6" s="977"/>
      <c r="MRD6" s="977"/>
      <c r="MRE6" s="977"/>
      <c r="MRF6" s="977"/>
      <c r="MRG6" s="977"/>
      <c r="MRH6" s="977"/>
      <c r="MRI6" s="977"/>
      <c r="MRJ6" s="977"/>
      <c r="MRK6" s="977"/>
      <c r="MRL6" s="977"/>
      <c r="MRM6" s="977"/>
      <c r="MRN6" s="977"/>
      <c r="MRO6" s="977"/>
      <c r="MRP6" s="977"/>
      <c r="MRQ6" s="977"/>
      <c r="MRR6" s="977"/>
      <c r="MRS6" s="977"/>
      <c r="MRT6" s="977"/>
      <c r="MRU6" s="977"/>
      <c r="MRV6" s="977"/>
      <c r="MRW6" s="977"/>
      <c r="MRX6" s="977"/>
      <c r="MRY6" s="977"/>
      <c r="MRZ6" s="977"/>
      <c r="MSA6" s="977"/>
      <c r="MSB6" s="977"/>
      <c r="MSC6" s="977"/>
      <c r="MSD6" s="977"/>
      <c r="MSE6" s="977"/>
      <c r="MSF6" s="977"/>
      <c r="MSG6" s="977"/>
      <c r="MSH6" s="977"/>
      <c r="MSI6" s="977"/>
      <c r="MSJ6" s="977"/>
      <c r="MSK6" s="977"/>
      <c r="MSL6" s="977"/>
      <c r="MSM6" s="977"/>
      <c r="MSN6" s="977"/>
      <c r="MSO6" s="977"/>
      <c r="MSP6" s="977"/>
      <c r="MSQ6" s="977"/>
      <c r="MSR6" s="977"/>
      <c r="MSS6" s="977"/>
      <c r="MST6" s="977"/>
      <c r="MSU6" s="977"/>
      <c r="MSV6" s="977"/>
      <c r="MSW6" s="977"/>
      <c r="MSX6" s="977"/>
      <c r="MSY6" s="977"/>
      <c r="MSZ6" s="977"/>
      <c r="MTA6" s="977"/>
      <c r="MTB6" s="977"/>
      <c r="MTC6" s="977"/>
      <c r="MTD6" s="977"/>
      <c r="MTE6" s="977"/>
      <c r="MTF6" s="977"/>
      <c r="MTG6" s="977"/>
      <c r="MTH6" s="977"/>
      <c r="MTI6" s="977"/>
      <c r="MTJ6" s="977"/>
      <c r="MTK6" s="977"/>
      <c r="MTL6" s="977"/>
      <c r="MTM6" s="977"/>
      <c r="MTN6" s="977"/>
      <c r="MTO6" s="977"/>
      <c r="MTP6" s="977"/>
      <c r="MTQ6" s="977"/>
      <c r="MTR6" s="977"/>
      <c r="MTS6" s="977"/>
      <c r="MTT6" s="977"/>
      <c r="MTU6" s="977"/>
      <c r="MTV6" s="977"/>
      <c r="MTW6" s="977"/>
      <c r="MTX6" s="977"/>
      <c r="MTY6" s="977"/>
      <c r="MTZ6" s="977"/>
      <c r="MUA6" s="977"/>
      <c r="MUB6" s="977"/>
      <c r="MUC6" s="977"/>
      <c r="MUD6" s="977"/>
      <c r="MUE6" s="977"/>
      <c r="MUF6" s="977"/>
      <c r="MUG6" s="977"/>
      <c r="MUH6" s="977"/>
      <c r="MUI6" s="977"/>
      <c r="MUJ6" s="977"/>
      <c r="MUK6" s="977"/>
      <c r="MUL6" s="977"/>
      <c r="MUM6" s="977"/>
      <c r="MUN6" s="977"/>
      <c r="MUO6" s="977"/>
      <c r="MUP6" s="977"/>
      <c r="MUQ6" s="977"/>
      <c r="MUR6" s="977"/>
      <c r="MUS6" s="977"/>
      <c r="MUT6" s="977"/>
      <c r="MUU6" s="977"/>
      <c r="MUV6" s="977"/>
      <c r="MUW6" s="977"/>
      <c r="MUX6" s="977"/>
      <c r="MUY6" s="977"/>
      <c r="MUZ6" s="977"/>
      <c r="MVA6" s="977"/>
      <c r="MVB6" s="977"/>
      <c r="MVC6" s="977"/>
      <c r="MVD6" s="977"/>
      <c r="MVE6" s="977"/>
      <c r="MVF6" s="977"/>
      <c r="MVG6" s="977"/>
      <c r="MVH6" s="977"/>
      <c r="MVI6" s="977"/>
      <c r="MVJ6" s="977"/>
      <c r="MVK6" s="977"/>
      <c r="MVL6" s="977"/>
      <c r="MVM6" s="977"/>
      <c r="MVN6" s="977"/>
      <c r="MVO6" s="977"/>
      <c r="MVP6" s="977"/>
      <c r="MVQ6" s="977"/>
      <c r="MVR6" s="977"/>
      <c r="MVS6" s="977"/>
      <c r="MVT6" s="977"/>
      <c r="MVU6" s="977"/>
      <c r="MVV6" s="977"/>
      <c r="MVW6" s="977"/>
      <c r="MVX6" s="977"/>
      <c r="MVY6" s="977"/>
      <c r="MVZ6" s="977"/>
      <c r="MWA6" s="977"/>
      <c r="MWB6" s="977"/>
      <c r="MWC6" s="977"/>
      <c r="MWD6" s="977"/>
      <c r="MWE6" s="977"/>
      <c r="MWF6" s="977"/>
      <c r="MWG6" s="977"/>
      <c r="MWH6" s="977"/>
      <c r="MWI6" s="977"/>
      <c r="MWJ6" s="977"/>
      <c r="MWK6" s="977"/>
      <c r="MWL6" s="977"/>
      <c r="MWM6" s="977"/>
      <c r="MWN6" s="977"/>
      <c r="MWO6" s="977"/>
      <c r="MWP6" s="977"/>
      <c r="MWQ6" s="977"/>
      <c r="MWR6" s="977"/>
      <c r="MWS6" s="977"/>
      <c r="MWT6" s="977"/>
      <c r="MWU6" s="977"/>
      <c r="MWV6" s="977"/>
      <c r="MWW6" s="977"/>
      <c r="MWX6" s="977"/>
      <c r="MWY6" s="977"/>
      <c r="MWZ6" s="977"/>
      <c r="MXA6" s="977"/>
      <c r="MXB6" s="977"/>
      <c r="MXC6" s="977"/>
      <c r="MXD6" s="977"/>
      <c r="MXE6" s="977"/>
      <c r="MXF6" s="977"/>
      <c r="MXG6" s="977"/>
      <c r="MXH6" s="977"/>
      <c r="MXI6" s="977"/>
      <c r="MXJ6" s="977"/>
      <c r="MXK6" s="977"/>
      <c r="MXL6" s="977"/>
      <c r="MXM6" s="977"/>
      <c r="MXN6" s="977"/>
      <c r="MXO6" s="977"/>
      <c r="MXP6" s="977"/>
      <c r="MXQ6" s="977"/>
      <c r="MXR6" s="977"/>
      <c r="MXS6" s="977"/>
      <c r="MXT6" s="977"/>
      <c r="MXU6" s="977"/>
      <c r="MXV6" s="977"/>
      <c r="MXW6" s="977"/>
      <c r="MXX6" s="977"/>
      <c r="MXY6" s="977"/>
      <c r="MXZ6" s="977"/>
      <c r="MYA6" s="977"/>
      <c r="MYB6" s="977"/>
      <c r="MYC6" s="977"/>
      <c r="MYD6" s="977"/>
      <c r="MYE6" s="977"/>
      <c r="MYF6" s="977"/>
      <c r="MYG6" s="977"/>
      <c r="MYH6" s="977"/>
      <c r="MYI6" s="977"/>
      <c r="MYJ6" s="977"/>
      <c r="MYK6" s="977"/>
      <c r="MYL6" s="977"/>
      <c r="MYM6" s="977"/>
      <c r="MYN6" s="977"/>
      <c r="MYO6" s="977"/>
      <c r="MYP6" s="977"/>
      <c r="MYQ6" s="977"/>
      <c r="MYR6" s="977"/>
      <c r="MYS6" s="977"/>
      <c r="MYT6" s="977"/>
      <c r="MYU6" s="977"/>
      <c r="MYV6" s="977"/>
      <c r="MYW6" s="977"/>
      <c r="MYX6" s="977"/>
      <c r="MYY6" s="977"/>
      <c r="MYZ6" s="977"/>
      <c r="MZA6" s="977"/>
      <c r="MZB6" s="977"/>
      <c r="MZC6" s="977"/>
      <c r="MZD6" s="977"/>
      <c r="MZE6" s="977"/>
      <c r="MZF6" s="977"/>
      <c r="MZG6" s="977"/>
      <c r="MZH6" s="977"/>
      <c r="MZI6" s="977"/>
      <c r="MZJ6" s="977"/>
      <c r="MZK6" s="977"/>
      <c r="MZL6" s="977"/>
      <c r="MZM6" s="977"/>
      <c r="MZN6" s="977"/>
      <c r="MZO6" s="977"/>
      <c r="MZP6" s="977"/>
      <c r="MZQ6" s="977"/>
      <c r="MZR6" s="977"/>
      <c r="MZS6" s="977"/>
      <c r="MZT6" s="977"/>
      <c r="MZU6" s="977"/>
      <c r="MZV6" s="977"/>
      <c r="MZW6" s="977"/>
      <c r="MZX6" s="977"/>
      <c r="MZY6" s="977"/>
      <c r="MZZ6" s="977"/>
      <c r="NAA6" s="977"/>
      <c r="NAB6" s="977"/>
      <c r="NAC6" s="977"/>
      <c r="NAD6" s="977"/>
      <c r="NAE6" s="977"/>
      <c r="NAF6" s="977"/>
      <c r="NAG6" s="977"/>
      <c r="NAH6" s="977"/>
      <c r="NAI6" s="977"/>
      <c r="NAJ6" s="977"/>
      <c r="NAK6" s="977"/>
      <c r="NAL6" s="977"/>
      <c r="NAM6" s="977"/>
      <c r="NAN6" s="977"/>
      <c r="NAO6" s="977"/>
      <c r="NAP6" s="977"/>
      <c r="NAQ6" s="977"/>
      <c r="NAR6" s="977"/>
      <c r="NAS6" s="977"/>
      <c r="NAT6" s="977"/>
      <c r="NAU6" s="977"/>
      <c r="NAV6" s="977"/>
      <c r="NAW6" s="977"/>
      <c r="NAX6" s="977"/>
      <c r="NAY6" s="977"/>
      <c r="NAZ6" s="977"/>
      <c r="NBA6" s="977"/>
      <c r="NBB6" s="977"/>
      <c r="NBC6" s="977"/>
      <c r="NBD6" s="977"/>
      <c r="NBE6" s="977"/>
      <c r="NBF6" s="977"/>
      <c r="NBG6" s="977"/>
      <c r="NBH6" s="977"/>
      <c r="NBI6" s="977"/>
      <c r="NBJ6" s="977"/>
      <c r="NBK6" s="977"/>
      <c r="NBL6" s="977"/>
      <c r="NBM6" s="977"/>
      <c r="NBN6" s="977"/>
      <c r="NBO6" s="977"/>
      <c r="NBP6" s="977"/>
      <c r="NBQ6" s="977"/>
      <c r="NBR6" s="977"/>
      <c r="NBS6" s="977"/>
      <c r="NBT6" s="977"/>
      <c r="NBU6" s="977"/>
      <c r="NBV6" s="977"/>
      <c r="NBW6" s="977"/>
      <c r="NBX6" s="977"/>
      <c r="NBY6" s="977"/>
      <c r="NBZ6" s="977"/>
      <c r="NCA6" s="977"/>
      <c r="NCB6" s="977"/>
      <c r="NCC6" s="977"/>
      <c r="NCD6" s="977"/>
      <c r="NCE6" s="977"/>
      <c r="NCF6" s="977"/>
      <c r="NCG6" s="977"/>
      <c r="NCH6" s="977"/>
      <c r="NCI6" s="977"/>
      <c r="NCJ6" s="977"/>
      <c r="NCK6" s="977"/>
      <c r="NCL6" s="977"/>
      <c r="NCM6" s="977"/>
      <c r="NCN6" s="977"/>
      <c r="NCO6" s="977"/>
      <c r="NCP6" s="977"/>
      <c r="NCQ6" s="977"/>
      <c r="NCR6" s="977"/>
      <c r="NCS6" s="977"/>
      <c r="NCT6" s="977"/>
      <c r="NCU6" s="977"/>
      <c r="NCV6" s="977"/>
      <c r="NCW6" s="977"/>
      <c r="NCX6" s="977"/>
      <c r="NCY6" s="977"/>
      <c r="NCZ6" s="977"/>
      <c r="NDA6" s="977"/>
      <c r="NDB6" s="977"/>
      <c r="NDC6" s="977"/>
      <c r="NDD6" s="977"/>
      <c r="NDE6" s="977"/>
      <c r="NDF6" s="977"/>
      <c r="NDG6" s="977"/>
      <c r="NDH6" s="977"/>
      <c r="NDI6" s="977"/>
      <c r="NDJ6" s="977"/>
      <c r="NDK6" s="977"/>
      <c r="NDL6" s="977"/>
      <c r="NDM6" s="977"/>
      <c r="NDN6" s="977"/>
      <c r="NDO6" s="977"/>
      <c r="NDP6" s="977"/>
      <c r="NDQ6" s="977"/>
      <c r="NDR6" s="977"/>
      <c r="NDS6" s="977"/>
      <c r="NDT6" s="977"/>
      <c r="NDU6" s="977"/>
      <c r="NDV6" s="977"/>
      <c r="NDW6" s="977"/>
      <c r="NDX6" s="977"/>
      <c r="NDY6" s="977"/>
      <c r="NDZ6" s="977"/>
      <c r="NEA6" s="977"/>
      <c r="NEB6" s="977"/>
      <c r="NEC6" s="977"/>
      <c r="NED6" s="977"/>
      <c r="NEE6" s="977"/>
      <c r="NEF6" s="977"/>
      <c r="NEG6" s="977"/>
      <c r="NEH6" s="977"/>
      <c r="NEI6" s="977"/>
      <c r="NEJ6" s="977"/>
      <c r="NEK6" s="977"/>
      <c r="NEL6" s="977"/>
      <c r="NEM6" s="977"/>
      <c r="NEN6" s="977"/>
      <c r="NEO6" s="977"/>
      <c r="NEP6" s="977"/>
      <c r="NEQ6" s="977"/>
      <c r="NER6" s="977"/>
      <c r="NES6" s="977"/>
      <c r="NET6" s="977"/>
      <c r="NEU6" s="977"/>
      <c r="NEV6" s="977"/>
      <c r="NEW6" s="977"/>
      <c r="NEX6" s="977"/>
      <c r="NEY6" s="977"/>
      <c r="NEZ6" s="977"/>
      <c r="NFA6" s="977"/>
      <c r="NFB6" s="977"/>
      <c r="NFC6" s="977"/>
      <c r="NFD6" s="977"/>
      <c r="NFE6" s="977"/>
      <c r="NFF6" s="977"/>
      <c r="NFG6" s="977"/>
      <c r="NFH6" s="977"/>
      <c r="NFI6" s="977"/>
      <c r="NFJ6" s="977"/>
      <c r="NFK6" s="977"/>
      <c r="NFL6" s="977"/>
      <c r="NFM6" s="977"/>
      <c r="NFN6" s="977"/>
      <c r="NFO6" s="977"/>
      <c r="NFP6" s="977"/>
      <c r="NFQ6" s="977"/>
      <c r="NFR6" s="977"/>
      <c r="NFS6" s="977"/>
      <c r="NFT6" s="977"/>
      <c r="NFU6" s="977"/>
      <c r="NFV6" s="977"/>
      <c r="NFW6" s="977"/>
      <c r="NFX6" s="977"/>
      <c r="NFY6" s="977"/>
      <c r="NFZ6" s="977"/>
      <c r="NGA6" s="977"/>
      <c r="NGB6" s="977"/>
      <c r="NGC6" s="977"/>
      <c r="NGD6" s="977"/>
      <c r="NGE6" s="977"/>
      <c r="NGF6" s="977"/>
      <c r="NGG6" s="977"/>
      <c r="NGH6" s="977"/>
      <c r="NGI6" s="977"/>
      <c r="NGJ6" s="977"/>
      <c r="NGK6" s="977"/>
      <c r="NGL6" s="977"/>
      <c r="NGM6" s="977"/>
      <c r="NGN6" s="977"/>
      <c r="NGO6" s="977"/>
      <c r="NGP6" s="977"/>
      <c r="NGQ6" s="977"/>
      <c r="NGR6" s="977"/>
      <c r="NGS6" s="977"/>
      <c r="NGT6" s="977"/>
      <c r="NGU6" s="977"/>
      <c r="NGV6" s="977"/>
      <c r="NGW6" s="977"/>
      <c r="NGX6" s="977"/>
      <c r="NGY6" s="977"/>
      <c r="NGZ6" s="977"/>
      <c r="NHA6" s="977"/>
      <c r="NHB6" s="977"/>
      <c r="NHC6" s="977"/>
      <c r="NHD6" s="977"/>
      <c r="NHE6" s="977"/>
      <c r="NHF6" s="977"/>
      <c r="NHG6" s="977"/>
      <c r="NHH6" s="977"/>
      <c r="NHI6" s="977"/>
      <c r="NHJ6" s="977"/>
      <c r="NHK6" s="977"/>
      <c r="NHL6" s="977"/>
      <c r="NHM6" s="977"/>
      <c r="NHN6" s="977"/>
      <c r="NHO6" s="977"/>
      <c r="NHP6" s="977"/>
      <c r="NHQ6" s="977"/>
      <c r="NHR6" s="977"/>
      <c r="NHS6" s="977"/>
      <c r="NHT6" s="977"/>
      <c r="NHU6" s="977"/>
      <c r="NHV6" s="977"/>
      <c r="NHW6" s="977"/>
      <c r="NHX6" s="977"/>
      <c r="NHY6" s="977"/>
      <c r="NHZ6" s="977"/>
      <c r="NIA6" s="977"/>
      <c r="NIB6" s="977"/>
      <c r="NIC6" s="977"/>
      <c r="NID6" s="977"/>
      <c r="NIE6" s="977"/>
      <c r="NIF6" s="977"/>
      <c r="NIG6" s="977"/>
      <c r="NIH6" s="977"/>
      <c r="NII6" s="977"/>
      <c r="NIJ6" s="977"/>
      <c r="NIK6" s="977"/>
      <c r="NIL6" s="977"/>
      <c r="NIM6" s="977"/>
      <c r="NIN6" s="977"/>
      <c r="NIO6" s="977"/>
      <c r="NIP6" s="977"/>
      <c r="NIQ6" s="977"/>
      <c r="NIR6" s="977"/>
      <c r="NIS6" s="977"/>
      <c r="NIT6" s="977"/>
      <c r="NIU6" s="977"/>
      <c r="NIV6" s="977"/>
      <c r="NIW6" s="977"/>
      <c r="NIX6" s="977"/>
      <c r="NIY6" s="977"/>
      <c r="NIZ6" s="977"/>
      <c r="NJA6" s="977"/>
      <c r="NJB6" s="977"/>
      <c r="NJC6" s="977"/>
      <c r="NJD6" s="977"/>
      <c r="NJE6" s="977"/>
      <c r="NJF6" s="977"/>
      <c r="NJG6" s="977"/>
      <c r="NJH6" s="977"/>
      <c r="NJI6" s="977"/>
      <c r="NJJ6" s="977"/>
      <c r="NJK6" s="977"/>
      <c r="NJL6" s="977"/>
      <c r="NJM6" s="977"/>
      <c r="NJN6" s="977"/>
      <c r="NJO6" s="977"/>
      <c r="NJP6" s="977"/>
      <c r="NJQ6" s="977"/>
      <c r="NJR6" s="977"/>
      <c r="NJS6" s="977"/>
      <c r="NJT6" s="977"/>
      <c r="NJU6" s="977"/>
      <c r="NJV6" s="977"/>
      <c r="NJW6" s="977"/>
      <c r="NJX6" s="977"/>
      <c r="NJY6" s="977"/>
      <c r="NJZ6" s="977"/>
      <c r="NKA6" s="977"/>
      <c r="NKB6" s="977"/>
      <c r="NKC6" s="977"/>
      <c r="NKD6" s="977"/>
      <c r="NKE6" s="977"/>
      <c r="NKF6" s="977"/>
      <c r="NKG6" s="977"/>
      <c r="NKH6" s="977"/>
      <c r="NKI6" s="977"/>
      <c r="NKJ6" s="977"/>
      <c r="NKK6" s="977"/>
      <c r="NKL6" s="977"/>
      <c r="NKM6" s="977"/>
      <c r="NKN6" s="977"/>
      <c r="NKO6" s="977"/>
      <c r="NKP6" s="977"/>
      <c r="NKQ6" s="977"/>
      <c r="NKR6" s="977"/>
      <c r="NKS6" s="977"/>
      <c r="NKT6" s="977"/>
      <c r="NKU6" s="977"/>
      <c r="NKV6" s="977"/>
      <c r="NKW6" s="977"/>
      <c r="NKX6" s="977"/>
      <c r="NKY6" s="977"/>
      <c r="NKZ6" s="977"/>
      <c r="NLA6" s="977"/>
      <c r="NLB6" s="977"/>
      <c r="NLC6" s="977"/>
      <c r="NLD6" s="977"/>
      <c r="NLE6" s="977"/>
      <c r="NLF6" s="977"/>
      <c r="NLG6" s="977"/>
      <c r="NLH6" s="977"/>
      <c r="NLI6" s="977"/>
      <c r="NLJ6" s="977"/>
      <c r="NLK6" s="977"/>
      <c r="NLL6" s="977"/>
      <c r="NLM6" s="977"/>
      <c r="NLN6" s="977"/>
      <c r="NLO6" s="977"/>
      <c r="NLP6" s="977"/>
      <c r="NLQ6" s="977"/>
      <c r="NLR6" s="977"/>
      <c r="NLS6" s="977"/>
      <c r="NLT6" s="977"/>
      <c r="NLU6" s="977"/>
      <c r="NLV6" s="977"/>
      <c r="NLW6" s="977"/>
      <c r="NLX6" s="977"/>
      <c r="NLY6" s="977"/>
      <c r="NLZ6" s="977"/>
      <c r="NMA6" s="977"/>
      <c r="NMB6" s="977"/>
      <c r="NMC6" s="977"/>
      <c r="NMD6" s="977"/>
      <c r="NME6" s="977"/>
      <c r="NMF6" s="977"/>
      <c r="NMG6" s="977"/>
      <c r="NMH6" s="977"/>
      <c r="NMI6" s="977"/>
      <c r="NMJ6" s="977"/>
      <c r="NMK6" s="977"/>
      <c r="NML6" s="977"/>
      <c r="NMM6" s="977"/>
      <c r="NMN6" s="977"/>
      <c r="NMO6" s="977"/>
      <c r="NMP6" s="977"/>
      <c r="NMQ6" s="977"/>
      <c r="NMR6" s="977"/>
      <c r="NMS6" s="977"/>
      <c r="NMT6" s="977"/>
      <c r="NMU6" s="977"/>
      <c r="NMV6" s="977"/>
      <c r="NMW6" s="977"/>
      <c r="NMX6" s="977"/>
      <c r="NMY6" s="977"/>
      <c r="NMZ6" s="977"/>
      <c r="NNA6" s="977"/>
      <c r="NNB6" s="977"/>
      <c r="NNC6" s="977"/>
      <c r="NND6" s="977"/>
      <c r="NNE6" s="977"/>
      <c r="NNF6" s="977"/>
      <c r="NNG6" s="977"/>
      <c r="NNH6" s="977"/>
      <c r="NNI6" s="977"/>
      <c r="NNJ6" s="977"/>
      <c r="NNK6" s="977"/>
      <c r="NNL6" s="977"/>
      <c r="NNM6" s="977"/>
      <c r="NNN6" s="977"/>
      <c r="NNO6" s="977"/>
      <c r="NNP6" s="977"/>
      <c r="NNQ6" s="977"/>
      <c r="NNR6" s="977"/>
      <c r="NNS6" s="977"/>
      <c r="NNT6" s="977"/>
      <c r="NNU6" s="977"/>
      <c r="NNV6" s="977"/>
      <c r="NNW6" s="977"/>
      <c r="NNX6" s="977"/>
      <c r="NNY6" s="977"/>
      <c r="NNZ6" s="977"/>
      <c r="NOA6" s="977"/>
      <c r="NOB6" s="977"/>
      <c r="NOC6" s="977"/>
      <c r="NOD6" s="977"/>
      <c r="NOE6" s="977"/>
      <c r="NOF6" s="977"/>
      <c r="NOG6" s="977"/>
      <c r="NOH6" s="977"/>
      <c r="NOI6" s="977"/>
      <c r="NOJ6" s="977"/>
      <c r="NOK6" s="977"/>
      <c r="NOL6" s="977"/>
      <c r="NOM6" s="977"/>
      <c r="NON6" s="977"/>
      <c r="NOO6" s="977"/>
      <c r="NOP6" s="977"/>
      <c r="NOQ6" s="977"/>
      <c r="NOR6" s="977"/>
      <c r="NOS6" s="977"/>
      <c r="NOT6" s="977"/>
      <c r="NOU6" s="977"/>
      <c r="NOV6" s="977"/>
      <c r="NOW6" s="977"/>
      <c r="NOX6" s="977"/>
      <c r="NOY6" s="977"/>
      <c r="NOZ6" s="977"/>
      <c r="NPA6" s="977"/>
      <c r="NPB6" s="977"/>
      <c r="NPC6" s="977"/>
      <c r="NPD6" s="977"/>
      <c r="NPE6" s="977"/>
      <c r="NPF6" s="977"/>
      <c r="NPG6" s="977"/>
      <c r="NPH6" s="977"/>
      <c r="NPI6" s="977"/>
      <c r="NPJ6" s="977"/>
      <c r="NPK6" s="977"/>
      <c r="NPL6" s="977"/>
      <c r="NPM6" s="977"/>
      <c r="NPN6" s="977"/>
      <c r="NPO6" s="977"/>
      <c r="NPP6" s="977"/>
      <c r="NPQ6" s="977"/>
      <c r="NPR6" s="977"/>
      <c r="NPS6" s="977"/>
      <c r="NPT6" s="977"/>
      <c r="NPU6" s="977"/>
      <c r="NPV6" s="977"/>
      <c r="NPW6" s="977"/>
      <c r="NPX6" s="977"/>
      <c r="NPY6" s="977"/>
      <c r="NPZ6" s="977"/>
      <c r="NQA6" s="977"/>
      <c r="NQB6" s="977"/>
      <c r="NQC6" s="977"/>
      <c r="NQD6" s="977"/>
      <c r="NQE6" s="977"/>
      <c r="NQF6" s="977"/>
      <c r="NQG6" s="977"/>
      <c r="NQH6" s="977"/>
      <c r="NQI6" s="977"/>
      <c r="NQJ6" s="977"/>
      <c r="NQK6" s="977"/>
      <c r="NQL6" s="977"/>
      <c r="NQM6" s="977"/>
      <c r="NQN6" s="977"/>
      <c r="NQO6" s="977"/>
      <c r="NQP6" s="977"/>
      <c r="NQQ6" s="977"/>
      <c r="NQR6" s="977"/>
      <c r="NQS6" s="977"/>
      <c r="NQT6" s="977"/>
      <c r="NQU6" s="977"/>
      <c r="NQV6" s="977"/>
      <c r="NQW6" s="977"/>
      <c r="NQX6" s="977"/>
      <c r="NQY6" s="977"/>
      <c r="NQZ6" s="977"/>
      <c r="NRA6" s="977"/>
      <c r="NRB6" s="977"/>
      <c r="NRC6" s="977"/>
      <c r="NRD6" s="977"/>
      <c r="NRE6" s="977"/>
      <c r="NRF6" s="977"/>
      <c r="NRG6" s="977"/>
      <c r="NRH6" s="977"/>
      <c r="NRI6" s="977"/>
      <c r="NRJ6" s="977"/>
      <c r="NRK6" s="977"/>
      <c r="NRL6" s="977"/>
      <c r="NRM6" s="977"/>
      <c r="NRN6" s="977"/>
      <c r="NRO6" s="977"/>
      <c r="NRP6" s="977"/>
      <c r="NRQ6" s="977"/>
      <c r="NRR6" s="977"/>
      <c r="NRS6" s="977"/>
      <c r="NRT6" s="977"/>
      <c r="NRU6" s="977"/>
      <c r="NRV6" s="977"/>
      <c r="NRW6" s="977"/>
      <c r="NRX6" s="977"/>
      <c r="NRY6" s="977"/>
      <c r="NRZ6" s="977"/>
      <c r="NSA6" s="977"/>
      <c r="NSB6" s="977"/>
      <c r="NSC6" s="977"/>
      <c r="NSD6" s="977"/>
      <c r="NSE6" s="977"/>
      <c r="NSF6" s="977"/>
      <c r="NSG6" s="977"/>
      <c r="NSH6" s="977"/>
      <c r="NSI6" s="977"/>
      <c r="NSJ6" s="977"/>
      <c r="NSK6" s="977"/>
      <c r="NSL6" s="977"/>
      <c r="NSM6" s="977"/>
      <c r="NSN6" s="977"/>
      <c r="NSO6" s="977"/>
      <c r="NSP6" s="977"/>
      <c r="NSQ6" s="977"/>
      <c r="NSR6" s="977"/>
      <c r="NSS6" s="977"/>
      <c r="NST6" s="977"/>
      <c r="NSU6" s="977"/>
      <c r="NSV6" s="977"/>
      <c r="NSW6" s="977"/>
      <c r="NSX6" s="977"/>
      <c r="NSY6" s="977"/>
      <c r="NSZ6" s="977"/>
      <c r="NTA6" s="977"/>
      <c r="NTB6" s="977"/>
      <c r="NTC6" s="977"/>
      <c r="NTD6" s="977"/>
      <c r="NTE6" s="977"/>
      <c r="NTF6" s="977"/>
      <c r="NTG6" s="977"/>
      <c r="NTH6" s="977"/>
      <c r="NTI6" s="977"/>
      <c r="NTJ6" s="977"/>
      <c r="NTK6" s="977"/>
      <c r="NTL6" s="977"/>
      <c r="NTM6" s="977"/>
      <c r="NTN6" s="977"/>
      <c r="NTO6" s="977"/>
      <c r="NTP6" s="977"/>
      <c r="NTQ6" s="977"/>
      <c r="NTR6" s="977"/>
      <c r="NTS6" s="977"/>
      <c r="NTT6" s="977"/>
      <c r="NTU6" s="977"/>
      <c r="NTV6" s="977"/>
      <c r="NTW6" s="977"/>
      <c r="NTX6" s="977"/>
      <c r="NTY6" s="977"/>
      <c r="NTZ6" s="977"/>
      <c r="NUA6" s="977"/>
      <c r="NUB6" s="977"/>
      <c r="NUC6" s="977"/>
      <c r="NUD6" s="977"/>
      <c r="NUE6" s="977"/>
      <c r="NUF6" s="977"/>
      <c r="NUG6" s="977"/>
      <c r="NUH6" s="977"/>
      <c r="NUI6" s="977"/>
      <c r="NUJ6" s="977"/>
      <c r="NUK6" s="977"/>
      <c r="NUL6" s="977"/>
      <c r="NUM6" s="977"/>
      <c r="NUN6" s="977"/>
      <c r="NUO6" s="977"/>
      <c r="NUP6" s="977"/>
      <c r="NUQ6" s="977"/>
      <c r="NUR6" s="977"/>
      <c r="NUS6" s="977"/>
      <c r="NUT6" s="977"/>
      <c r="NUU6" s="977"/>
      <c r="NUV6" s="977"/>
      <c r="NUW6" s="977"/>
      <c r="NUX6" s="977"/>
      <c r="NUY6" s="977"/>
      <c r="NUZ6" s="977"/>
      <c r="NVA6" s="977"/>
      <c r="NVB6" s="977"/>
      <c r="NVC6" s="977"/>
      <c r="NVD6" s="977"/>
      <c r="NVE6" s="977"/>
      <c r="NVF6" s="977"/>
      <c r="NVG6" s="977"/>
      <c r="NVH6" s="977"/>
      <c r="NVI6" s="977"/>
      <c r="NVJ6" s="977"/>
      <c r="NVK6" s="977"/>
      <c r="NVL6" s="977"/>
      <c r="NVM6" s="977"/>
      <c r="NVN6" s="977"/>
      <c r="NVO6" s="977"/>
      <c r="NVP6" s="977"/>
      <c r="NVQ6" s="977"/>
      <c r="NVR6" s="977"/>
      <c r="NVS6" s="977"/>
      <c r="NVT6" s="977"/>
      <c r="NVU6" s="977"/>
      <c r="NVV6" s="977"/>
      <c r="NVW6" s="977"/>
      <c r="NVX6" s="977"/>
      <c r="NVY6" s="977"/>
      <c r="NVZ6" s="977"/>
      <c r="NWA6" s="977"/>
      <c r="NWB6" s="977"/>
      <c r="NWC6" s="977"/>
      <c r="NWD6" s="977"/>
      <c r="NWE6" s="977"/>
      <c r="NWF6" s="977"/>
      <c r="NWG6" s="977"/>
      <c r="NWH6" s="977"/>
      <c r="NWI6" s="977"/>
      <c r="NWJ6" s="977"/>
      <c r="NWK6" s="977"/>
      <c r="NWL6" s="977"/>
      <c r="NWM6" s="977"/>
      <c r="NWN6" s="977"/>
      <c r="NWO6" s="977"/>
      <c r="NWP6" s="977"/>
      <c r="NWQ6" s="977"/>
      <c r="NWR6" s="977"/>
      <c r="NWS6" s="977"/>
      <c r="NWT6" s="977"/>
      <c r="NWU6" s="977"/>
      <c r="NWV6" s="977"/>
      <c r="NWW6" s="977"/>
      <c r="NWX6" s="977"/>
      <c r="NWY6" s="977"/>
      <c r="NWZ6" s="977"/>
      <c r="NXA6" s="977"/>
      <c r="NXB6" s="977"/>
      <c r="NXC6" s="977"/>
      <c r="NXD6" s="977"/>
      <c r="NXE6" s="977"/>
      <c r="NXF6" s="977"/>
      <c r="NXG6" s="977"/>
      <c r="NXH6" s="977"/>
      <c r="NXI6" s="977"/>
      <c r="NXJ6" s="977"/>
      <c r="NXK6" s="977"/>
      <c r="NXL6" s="977"/>
      <c r="NXM6" s="977"/>
      <c r="NXN6" s="977"/>
      <c r="NXO6" s="977"/>
      <c r="NXP6" s="977"/>
      <c r="NXQ6" s="977"/>
      <c r="NXR6" s="977"/>
      <c r="NXS6" s="977"/>
      <c r="NXT6" s="977"/>
      <c r="NXU6" s="977"/>
      <c r="NXV6" s="977"/>
      <c r="NXW6" s="977"/>
      <c r="NXX6" s="977"/>
      <c r="NXY6" s="977"/>
      <c r="NXZ6" s="977"/>
      <c r="NYA6" s="977"/>
      <c r="NYB6" s="977"/>
      <c r="NYC6" s="977"/>
      <c r="NYD6" s="977"/>
      <c r="NYE6" s="977"/>
      <c r="NYF6" s="977"/>
      <c r="NYG6" s="977"/>
      <c r="NYH6" s="977"/>
      <c r="NYI6" s="977"/>
      <c r="NYJ6" s="977"/>
      <c r="NYK6" s="977"/>
      <c r="NYL6" s="977"/>
      <c r="NYM6" s="977"/>
      <c r="NYN6" s="977"/>
      <c r="NYO6" s="977"/>
      <c r="NYP6" s="977"/>
      <c r="NYQ6" s="977"/>
      <c r="NYR6" s="977"/>
      <c r="NYS6" s="977"/>
      <c r="NYT6" s="977"/>
      <c r="NYU6" s="977"/>
      <c r="NYV6" s="977"/>
      <c r="NYW6" s="977"/>
      <c r="NYX6" s="977"/>
      <c r="NYY6" s="977"/>
      <c r="NYZ6" s="977"/>
      <c r="NZA6" s="977"/>
      <c r="NZB6" s="977"/>
      <c r="NZC6" s="977"/>
      <c r="NZD6" s="977"/>
      <c r="NZE6" s="977"/>
      <c r="NZF6" s="977"/>
      <c r="NZG6" s="977"/>
      <c r="NZH6" s="977"/>
      <c r="NZI6" s="977"/>
      <c r="NZJ6" s="977"/>
      <c r="NZK6" s="977"/>
      <c r="NZL6" s="977"/>
      <c r="NZM6" s="977"/>
      <c r="NZN6" s="977"/>
      <c r="NZO6" s="977"/>
      <c r="NZP6" s="977"/>
      <c r="NZQ6" s="977"/>
      <c r="NZR6" s="977"/>
      <c r="NZS6" s="977"/>
      <c r="NZT6" s="977"/>
      <c r="NZU6" s="977"/>
      <c r="NZV6" s="977"/>
      <c r="NZW6" s="977"/>
      <c r="NZX6" s="977"/>
      <c r="NZY6" s="977"/>
      <c r="NZZ6" s="977"/>
      <c r="OAA6" s="977"/>
      <c r="OAB6" s="977"/>
      <c r="OAC6" s="977"/>
      <c r="OAD6" s="977"/>
      <c r="OAE6" s="977"/>
      <c r="OAF6" s="977"/>
      <c r="OAG6" s="977"/>
      <c r="OAH6" s="977"/>
      <c r="OAI6" s="977"/>
      <c r="OAJ6" s="977"/>
      <c r="OAK6" s="977"/>
      <c r="OAL6" s="977"/>
      <c r="OAM6" s="977"/>
      <c r="OAN6" s="977"/>
      <c r="OAO6" s="977"/>
      <c r="OAP6" s="977"/>
      <c r="OAQ6" s="977"/>
      <c r="OAR6" s="977"/>
      <c r="OAS6" s="977"/>
      <c r="OAT6" s="977"/>
      <c r="OAU6" s="977"/>
      <c r="OAV6" s="977"/>
      <c r="OAW6" s="977"/>
      <c r="OAX6" s="977"/>
      <c r="OAY6" s="977"/>
      <c r="OAZ6" s="977"/>
      <c r="OBA6" s="977"/>
      <c r="OBB6" s="977"/>
      <c r="OBC6" s="977"/>
      <c r="OBD6" s="977"/>
      <c r="OBE6" s="977"/>
      <c r="OBF6" s="977"/>
      <c r="OBG6" s="977"/>
      <c r="OBH6" s="977"/>
      <c r="OBI6" s="977"/>
      <c r="OBJ6" s="977"/>
      <c r="OBK6" s="977"/>
      <c r="OBL6" s="977"/>
      <c r="OBM6" s="977"/>
      <c r="OBN6" s="977"/>
      <c r="OBO6" s="977"/>
      <c r="OBP6" s="977"/>
      <c r="OBQ6" s="977"/>
      <c r="OBR6" s="977"/>
      <c r="OBS6" s="977"/>
      <c r="OBT6" s="977"/>
      <c r="OBU6" s="977"/>
      <c r="OBV6" s="977"/>
      <c r="OBW6" s="977"/>
      <c r="OBX6" s="977"/>
      <c r="OBY6" s="977"/>
      <c r="OBZ6" s="977"/>
      <c r="OCA6" s="977"/>
      <c r="OCB6" s="977"/>
      <c r="OCC6" s="977"/>
      <c r="OCD6" s="977"/>
      <c r="OCE6" s="977"/>
      <c r="OCF6" s="977"/>
      <c r="OCG6" s="977"/>
      <c r="OCH6" s="977"/>
      <c r="OCI6" s="977"/>
      <c r="OCJ6" s="977"/>
      <c r="OCK6" s="977"/>
      <c r="OCL6" s="977"/>
      <c r="OCM6" s="977"/>
      <c r="OCN6" s="977"/>
      <c r="OCO6" s="977"/>
      <c r="OCP6" s="977"/>
      <c r="OCQ6" s="977"/>
      <c r="OCR6" s="977"/>
      <c r="OCS6" s="977"/>
      <c r="OCT6" s="977"/>
      <c r="OCU6" s="977"/>
      <c r="OCV6" s="977"/>
      <c r="OCW6" s="977"/>
      <c r="OCX6" s="977"/>
      <c r="OCY6" s="977"/>
      <c r="OCZ6" s="977"/>
      <c r="ODA6" s="977"/>
      <c r="ODB6" s="977"/>
      <c r="ODC6" s="977"/>
      <c r="ODD6" s="977"/>
      <c r="ODE6" s="977"/>
      <c r="ODF6" s="977"/>
      <c r="ODG6" s="977"/>
      <c r="ODH6" s="977"/>
      <c r="ODI6" s="977"/>
      <c r="ODJ6" s="977"/>
      <c r="ODK6" s="977"/>
      <c r="ODL6" s="977"/>
      <c r="ODM6" s="977"/>
      <c r="ODN6" s="977"/>
      <c r="ODO6" s="977"/>
      <c r="ODP6" s="977"/>
      <c r="ODQ6" s="977"/>
      <c r="ODR6" s="977"/>
      <c r="ODS6" s="977"/>
      <c r="ODT6" s="977"/>
      <c r="ODU6" s="977"/>
      <c r="ODV6" s="977"/>
      <c r="ODW6" s="977"/>
      <c r="ODX6" s="977"/>
      <c r="ODY6" s="977"/>
      <c r="ODZ6" s="977"/>
      <c r="OEA6" s="977"/>
      <c r="OEB6" s="977"/>
      <c r="OEC6" s="977"/>
      <c r="OED6" s="977"/>
      <c r="OEE6" s="977"/>
      <c r="OEF6" s="977"/>
      <c r="OEG6" s="977"/>
      <c r="OEH6" s="977"/>
      <c r="OEI6" s="977"/>
      <c r="OEJ6" s="977"/>
      <c r="OEK6" s="977"/>
      <c r="OEL6" s="977"/>
      <c r="OEM6" s="977"/>
      <c r="OEN6" s="977"/>
      <c r="OEO6" s="977"/>
      <c r="OEP6" s="977"/>
      <c r="OEQ6" s="977"/>
      <c r="OER6" s="977"/>
      <c r="OES6" s="977"/>
      <c r="OET6" s="977"/>
      <c r="OEU6" s="977"/>
      <c r="OEV6" s="977"/>
      <c r="OEW6" s="977"/>
      <c r="OEX6" s="977"/>
      <c r="OEY6" s="977"/>
      <c r="OEZ6" s="977"/>
      <c r="OFA6" s="977"/>
      <c r="OFB6" s="977"/>
      <c r="OFC6" s="977"/>
      <c r="OFD6" s="977"/>
      <c r="OFE6" s="977"/>
      <c r="OFF6" s="977"/>
      <c r="OFG6" s="977"/>
      <c r="OFH6" s="977"/>
      <c r="OFI6" s="977"/>
      <c r="OFJ6" s="977"/>
      <c r="OFK6" s="977"/>
      <c r="OFL6" s="977"/>
      <c r="OFM6" s="977"/>
      <c r="OFN6" s="977"/>
      <c r="OFO6" s="977"/>
      <c r="OFP6" s="977"/>
      <c r="OFQ6" s="977"/>
      <c r="OFR6" s="977"/>
      <c r="OFS6" s="977"/>
      <c r="OFT6" s="977"/>
      <c r="OFU6" s="977"/>
      <c r="OFV6" s="977"/>
      <c r="OFW6" s="977"/>
      <c r="OFX6" s="977"/>
      <c r="OFY6" s="977"/>
      <c r="OFZ6" s="977"/>
      <c r="OGA6" s="977"/>
      <c r="OGB6" s="977"/>
      <c r="OGC6" s="977"/>
      <c r="OGD6" s="977"/>
      <c r="OGE6" s="977"/>
      <c r="OGF6" s="977"/>
      <c r="OGG6" s="977"/>
      <c r="OGH6" s="977"/>
      <c r="OGI6" s="977"/>
      <c r="OGJ6" s="977"/>
      <c r="OGK6" s="977"/>
      <c r="OGL6" s="977"/>
      <c r="OGM6" s="977"/>
      <c r="OGN6" s="977"/>
      <c r="OGO6" s="977"/>
      <c r="OGP6" s="977"/>
      <c r="OGQ6" s="977"/>
      <c r="OGR6" s="977"/>
      <c r="OGS6" s="977"/>
      <c r="OGT6" s="977"/>
      <c r="OGU6" s="977"/>
      <c r="OGV6" s="977"/>
      <c r="OGW6" s="977"/>
      <c r="OGX6" s="977"/>
      <c r="OGY6" s="977"/>
      <c r="OGZ6" s="977"/>
      <c r="OHA6" s="977"/>
      <c r="OHB6" s="977"/>
      <c r="OHC6" s="977"/>
      <c r="OHD6" s="977"/>
      <c r="OHE6" s="977"/>
      <c r="OHF6" s="977"/>
      <c r="OHG6" s="977"/>
      <c r="OHH6" s="977"/>
      <c r="OHI6" s="977"/>
      <c r="OHJ6" s="977"/>
      <c r="OHK6" s="977"/>
      <c r="OHL6" s="977"/>
      <c r="OHM6" s="977"/>
      <c r="OHN6" s="977"/>
      <c r="OHO6" s="977"/>
      <c r="OHP6" s="977"/>
      <c r="OHQ6" s="977"/>
      <c r="OHR6" s="977"/>
      <c r="OHS6" s="977"/>
      <c r="OHT6" s="977"/>
      <c r="OHU6" s="977"/>
      <c r="OHV6" s="977"/>
      <c r="OHW6" s="977"/>
      <c r="OHX6" s="977"/>
      <c r="OHY6" s="977"/>
      <c r="OHZ6" s="977"/>
      <c r="OIA6" s="977"/>
      <c r="OIB6" s="977"/>
      <c r="OIC6" s="977"/>
      <c r="OID6" s="977"/>
      <c r="OIE6" s="977"/>
      <c r="OIF6" s="977"/>
      <c r="OIG6" s="977"/>
      <c r="OIH6" s="977"/>
      <c r="OII6" s="977"/>
      <c r="OIJ6" s="977"/>
      <c r="OIK6" s="977"/>
      <c r="OIL6" s="977"/>
      <c r="OIM6" s="977"/>
      <c r="OIN6" s="977"/>
      <c r="OIO6" s="977"/>
      <c r="OIP6" s="977"/>
      <c r="OIQ6" s="977"/>
      <c r="OIR6" s="977"/>
      <c r="OIS6" s="977"/>
      <c r="OIT6" s="977"/>
      <c r="OIU6" s="977"/>
      <c r="OIV6" s="977"/>
      <c r="OIW6" s="977"/>
      <c r="OIX6" s="977"/>
      <c r="OIY6" s="977"/>
      <c r="OIZ6" s="977"/>
      <c r="OJA6" s="977"/>
      <c r="OJB6" s="977"/>
      <c r="OJC6" s="977"/>
      <c r="OJD6" s="977"/>
      <c r="OJE6" s="977"/>
      <c r="OJF6" s="977"/>
      <c r="OJG6" s="977"/>
      <c r="OJH6" s="977"/>
      <c r="OJI6" s="977"/>
      <c r="OJJ6" s="977"/>
      <c r="OJK6" s="977"/>
      <c r="OJL6" s="977"/>
      <c r="OJM6" s="977"/>
      <c r="OJN6" s="977"/>
      <c r="OJO6" s="977"/>
      <c r="OJP6" s="977"/>
      <c r="OJQ6" s="977"/>
      <c r="OJR6" s="977"/>
      <c r="OJS6" s="977"/>
      <c r="OJT6" s="977"/>
      <c r="OJU6" s="977"/>
      <c r="OJV6" s="977"/>
      <c r="OJW6" s="977"/>
      <c r="OJX6" s="977"/>
      <c r="OJY6" s="977"/>
      <c r="OJZ6" s="977"/>
      <c r="OKA6" s="977"/>
      <c r="OKB6" s="977"/>
      <c r="OKC6" s="977"/>
      <c r="OKD6" s="977"/>
      <c r="OKE6" s="977"/>
      <c r="OKF6" s="977"/>
      <c r="OKG6" s="977"/>
      <c r="OKH6" s="977"/>
      <c r="OKI6" s="977"/>
      <c r="OKJ6" s="977"/>
      <c r="OKK6" s="977"/>
      <c r="OKL6" s="977"/>
      <c r="OKM6" s="977"/>
      <c r="OKN6" s="977"/>
      <c r="OKO6" s="977"/>
      <c r="OKP6" s="977"/>
      <c r="OKQ6" s="977"/>
      <c r="OKR6" s="977"/>
      <c r="OKS6" s="977"/>
      <c r="OKT6" s="977"/>
      <c r="OKU6" s="977"/>
      <c r="OKV6" s="977"/>
      <c r="OKW6" s="977"/>
      <c r="OKX6" s="977"/>
      <c r="OKY6" s="977"/>
      <c r="OKZ6" s="977"/>
      <c r="OLA6" s="977"/>
      <c r="OLB6" s="977"/>
      <c r="OLC6" s="977"/>
      <c r="OLD6" s="977"/>
      <c r="OLE6" s="977"/>
      <c r="OLF6" s="977"/>
      <c r="OLG6" s="977"/>
      <c r="OLH6" s="977"/>
      <c r="OLI6" s="977"/>
      <c r="OLJ6" s="977"/>
      <c r="OLK6" s="977"/>
      <c r="OLL6" s="977"/>
      <c r="OLM6" s="977"/>
      <c r="OLN6" s="977"/>
      <c r="OLO6" s="977"/>
      <c r="OLP6" s="977"/>
      <c r="OLQ6" s="977"/>
      <c r="OLR6" s="977"/>
      <c r="OLS6" s="977"/>
      <c r="OLT6" s="977"/>
      <c r="OLU6" s="977"/>
      <c r="OLV6" s="977"/>
      <c r="OLW6" s="977"/>
      <c r="OLX6" s="977"/>
      <c r="OLY6" s="977"/>
      <c r="OLZ6" s="977"/>
      <c r="OMA6" s="977"/>
      <c r="OMB6" s="977"/>
      <c r="OMC6" s="977"/>
      <c r="OMD6" s="977"/>
      <c r="OME6" s="977"/>
      <c r="OMF6" s="977"/>
      <c r="OMG6" s="977"/>
      <c r="OMH6" s="977"/>
      <c r="OMI6" s="977"/>
      <c r="OMJ6" s="977"/>
      <c r="OMK6" s="977"/>
      <c r="OML6" s="977"/>
      <c r="OMM6" s="977"/>
      <c r="OMN6" s="977"/>
      <c r="OMO6" s="977"/>
      <c r="OMP6" s="977"/>
      <c r="OMQ6" s="977"/>
      <c r="OMR6" s="977"/>
      <c r="OMS6" s="977"/>
      <c r="OMT6" s="977"/>
      <c r="OMU6" s="977"/>
      <c r="OMV6" s="977"/>
      <c r="OMW6" s="977"/>
      <c r="OMX6" s="977"/>
      <c r="OMY6" s="977"/>
      <c r="OMZ6" s="977"/>
      <c r="ONA6" s="977"/>
      <c r="ONB6" s="977"/>
      <c r="ONC6" s="977"/>
      <c r="OND6" s="977"/>
      <c r="ONE6" s="977"/>
      <c r="ONF6" s="977"/>
      <c r="ONG6" s="977"/>
      <c r="ONH6" s="977"/>
      <c r="ONI6" s="977"/>
      <c r="ONJ6" s="977"/>
      <c r="ONK6" s="977"/>
      <c r="ONL6" s="977"/>
      <c r="ONM6" s="977"/>
      <c r="ONN6" s="977"/>
      <c r="ONO6" s="977"/>
      <c r="ONP6" s="977"/>
      <c r="ONQ6" s="977"/>
      <c r="ONR6" s="977"/>
      <c r="ONS6" s="977"/>
      <c r="ONT6" s="977"/>
      <c r="ONU6" s="977"/>
      <c r="ONV6" s="977"/>
      <c r="ONW6" s="977"/>
      <c r="ONX6" s="977"/>
      <c r="ONY6" s="977"/>
      <c r="ONZ6" s="977"/>
      <c r="OOA6" s="977"/>
      <c r="OOB6" s="977"/>
      <c r="OOC6" s="977"/>
      <c r="OOD6" s="977"/>
      <c r="OOE6" s="977"/>
      <c r="OOF6" s="977"/>
      <c r="OOG6" s="977"/>
      <c r="OOH6" s="977"/>
      <c r="OOI6" s="977"/>
      <c r="OOJ6" s="977"/>
      <c r="OOK6" s="977"/>
      <c r="OOL6" s="977"/>
      <c r="OOM6" s="977"/>
      <c r="OON6" s="977"/>
      <c r="OOO6" s="977"/>
      <c r="OOP6" s="977"/>
      <c r="OOQ6" s="977"/>
      <c r="OOR6" s="977"/>
      <c r="OOS6" s="977"/>
      <c r="OOT6" s="977"/>
      <c r="OOU6" s="977"/>
      <c r="OOV6" s="977"/>
      <c r="OOW6" s="977"/>
      <c r="OOX6" s="977"/>
      <c r="OOY6" s="977"/>
      <c r="OOZ6" s="977"/>
      <c r="OPA6" s="977"/>
      <c r="OPB6" s="977"/>
      <c r="OPC6" s="977"/>
      <c r="OPD6" s="977"/>
      <c r="OPE6" s="977"/>
      <c r="OPF6" s="977"/>
      <c r="OPG6" s="977"/>
      <c r="OPH6" s="977"/>
      <c r="OPI6" s="977"/>
      <c r="OPJ6" s="977"/>
      <c r="OPK6" s="977"/>
      <c r="OPL6" s="977"/>
      <c r="OPM6" s="977"/>
      <c r="OPN6" s="977"/>
      <c r="OPO6" s="977"/>
      <c r="OPP6" s="977"/>
      <c r="OPQ6" s="977"/>
      <c r="OPR6" s="977"/>
      <c r="OPS6" s="977"/>
      <c r="OPT6" s="977"/>
      <c r="OPU6" s="977"/>
      <c r="OPV6" s="977"/>
      <c r="OPW6" s="977"/>
      <c r="OPX6" s="977"/>
      <c r="OPY6" s="977"/>
      <c r="OPZ6" s="977"/>
      <c r="OQA6" s="977"/>
      <c r="OQB6" s="977"/>
      <c r="OQC6" s="977"/>
      <c r="OQD6" s="977"/>
      <c r="OQE6" s="977"/>
      <c r="OQF6" s="977"/>
      <c r="OQG6" s="977"/>
      <c r="OQH6" s="977"/>
      <c r="OQI6" s="977"/>
      <c r="OQJ6" s="977"/>
      <c r="OQK6" s="977"/>
      <c r="OQL6" s="977"/>
      <c r="OQM6" s="977"/>
      <c r="OQN6" s="977"/>
      <c r="OQO6" s="977"/>
      <c r="OQP6" s="977"/>
      <c r="OQQ6" s="977"/>
      <c r="OQR6" s="977"/>
      <c r="OQS6" s="977"/>
      <c r="OQT6" s="977"/>
      <c r="OQU6" s="977"/>
      <c r="OQV6" s="977"/>
      <c r="OQW6" s="977"/>
      <c r="OQX6" s="977"/>
      <c r="OQY6" s="977"/>
      <c r="OQZ6" s="977"/>
      <c r="ORA6" s="977"/>
      <c r="ORB6" s="977"/>
      <c r="ORC6" s="977"/>
      <c r="ORD6" s="977"/>
      <c r="ORE6" s="977"/>
      <c r="ORF6" s="977"/>
      <c r="ORG6" s="977"/>
      <c r="ORH6" s="977"/>
      <c r="ORI6" s="977"/>
      <c r="ORJ6" s="977"/>
      <c r="ORK6" s="977"/>
      <c r="ORL6" s="977"/>
      <c r="ORM6" s="977"/>
      <c r="ORN6" s="977"/>
      <c r="ORO6" s="977"/>
      <c r="ORP6" s="977"/>
      <c r="ORQ6" s="977"/>
      <c r="ORR6" s="977"/>
      <c r="ORS6" s="977"/>
      <c r="ORT6" s="977"/>
      <c r="ORU6" s="977"/>
      <c r="ORV6" s="977"/>
      <c r="ORW6" s="977"/>
      <c r="ORX6" s="977"/>
      <c r="ORY6" s="977"/>
      <c r="ORZ6" s="977"/>
      <c r="OSA6" s="977"/>
      <c r="OSB6" s="977"/>
      <c r="OSC6" s="977"/>
      <c r="OSD6" s="977"/>
      <c r="OSE6" s="977"/>
      <c r="OSF6" s="977"/>
      <c r="OSG6" s="977"/>
      <c r="OSH6" s="977"/>
      <c r="OSI6" s="977"/>
      <c r="OSJ6" s="977"/>
      <c r="OSK6" s="977"/>
      <c r="OSL6" s="977"/>
      <c r="OSM6" s="977"/>
      <c r="OSN6" s="977"/>
      <c r="OSO6" s="977"/>
      <c r="OSP6" s="977"/>
      <c r="OSQ6" s="977"/>
      <c r="OSR6" s="977"/>
      <c r="OSS6" s="977"/>
      <c r="OST6" s="977"/>
      <c r="OSU6" s="977"/>
      <c r="OSV6" s="977"/>
      <c r="OSW6" s="977"/>
      <c r="OSX6" s="977"/>
      <c r="OSY6" s="977"/>
      <c r="OSZ6" s="977"/>
      <c r="OTA6" s="977"/>
      <c r="OTB6" s="977"/>
      <c r="OTC6" s="977"/>
      <c r="OTD6" s="977"/>
      <c r="OTE6" s="977"/>
      <c r="OTF6" s="977"/>
      <c r="OTG6" s="977"/>
      <c r="OTH6" s="977"/>
      <c r="OTI6" s="977"/>
      <c r="OTJ6" s="977"/>
      <c r="OTK6" s="977"/>
      <c r="OTL6" s="977"/>
      <c r="OTM6" s="977"/>
      <c r="OTN6" s="977"/>
      <c r="OTO6" s="977"/>
      <c r="OTP6" s="977"/>
      <c r="OTQ6" s="977"/>
      <c r="OTR6" s="977"/>
      <c r="OTS6" s="977"/>
      <c r="OTT6" s="977"/>
      <c r="OTU6" s="977"/>
      <c r="OTV6" s="977"/>
      <c r="OTW6" s="977"/>
      <c r="OTX6" s="977"/>
      <c r="OTY6" s="977"/>
      <c r="OTZ6" s="977"/>
      <c r="OUA6" s="977"/>
      <c r="OUB6" s="977"/>
      <c r="OUC6" s="977"/>
      <c r="OUD6" s="977"/>
      <c r="OUE6" s="977"/>
      <c r="OUF6" s="977"/>
      <c r="OUG6" s="977"/>
      <c r="OUH6" s="977"/>
      <c r="OUI6" s="977"/>
      <c r="OUJ6" s="977"/>
      <c r="OUK6" s="977"/>
      <c r="OUL6" s="977"/>
      <c r="OUM6" s="977"/>
      <c r="OUN6" s="977"/>
      <c r="OUO6" s="977"/>
      <c r="OUP6" s="977"/>
      <c r="OUQ6" s="977"/>
      <c r="OUR6" s="977"/>
      <c r="OUS6" s="977"/>
      <c r="OUT6" s="977"/>
      <c r="OUU6" s="977"/>
      <c r="OUV6" s="977"/>
      <c r="OUW6" s="977"/>
      <c r="OUX6" s="977"/>
      <c r="OUY6" s="977"/>
      <c r="OUZ6" s="977"/>
      <c r="OVA6" s="977"/>
      <c r="OVB6" s="977"/>
      <c r="OVC6" s="977"/>
      <c r="OVD6" s="977"/>
      <c r="OVE6" s="977"/>
      <c r="OVF6" s="977"/>
      <c r="OVG6" s="977"/>
      <c r="OVH6" s="977"/>
      <c r="OVI6" s="977"/>
      <c r="OVJ6" s="977"/>
      <c r="OVK6" s="977"/>
      <c r="OVL6" s="977"/>
      <c r="OVM6" s="977"/>
      <c r="OVN6" s="977"/>
      <c r="OVO6" s="977"/>
      <c r="OVP6" s="977"/>
      <c r="OVQ6" s="977"/>
      <c r="OVR6" s="977"/>
      <c r="OVS6" s="977"/>
      <c r="OVT6" s="977"/>
      <c r="OVU6" s="977"/>
      <c r="OVV6" s="977"/>
      <c r="OVW6" s="977"/>
      <c r="OVX6" s="977"/>
      <c r="OVY6" s="977"/>
      <c r="OVZ6" s="977"/>
      <c r="OWA6" s="977"/>
      <c r="OWB6" s="977"/>
      <c r="OWC6" s="977"/>
      <c r="OWD6" s="977"/>
      <c r="OWE6" s="977"/>
      <c r="OWF6" s="977"/>
      <c r="OWG6" s="977"/>
      <c r="OWH6" s="977"/>
      <c r="OWI6" s="977"/>
      <c r="OWJ6" s="977"/>
      <c r="OWK6" s="977"/>
      <c r="OWL6" s="977"/>
      <c r="OWM6" s="977"/>
      <c r="OWN6" s="977"/>
      <c r="OWO6" s="977"/>
      <c r="OWP6" s="977"/>
      <c r="OWQ6" s="977"/>
      <c r="OWR6" s="977"/>
      <c r="OWS6" s="977"/>
      <c r="OWT6" s="977"/>
      <c r="OWU6" s="977"/>
      <c r="OWV6" s="977"/>
      <c r="OWW6" s="977"/>
      <c r="OWX6" s="977"/>
      <c r="OWY6" s="977"/>
      <c r="OWZ6" s="977"/>
      <c r="OXA6" s="977"/>
      <c r="OXB6" s="977"/>
      <c r="OXC6" s="977"/>
      <c r="OXD6" s="977"/>
      <c r="OXE6" s="977"/>
      <c r="OXF6" s="977"/>
      <c r="OXG6" s="977"/>
      <c r="OXH6" s="977"/>
      <c r="OXI6" s="977"/>
      <c r="OXJ6" s="977"/>
      <c r="OXK6" s="977"/>
      <c r="OXL6" s="977"/>
      <c r="OXM6" s="977"/>
      <c r="OXN6" s="977"/>
      <c r="OXO6" s="977"/>
      <c r="OXP6" s="977"/>
      <c r="OXQ6" s="977"/>
      <c r="OXR6" s="977"/>
      <c r="OXS6" s="977"/>
      <c r="OXT6" s="977"/>
      <c r="OXU6" s="977"/>
      <c r="OXV6" s="977"/>
      <c r="OXW6" s="977"/>
      <c r="OXX6" s="977"/>
      <c r="OXY6" s="977"/>
      <c r="OXZ6" s="977"/>
      <c r="OYA6" s="977"/>
      <c r="OYB6" s="977"/>
      <c r="OYC6" s="977"/>
      <c r="OYD6" s="977"/>
      <c r="OYE6" s="977"/>
      <c r="OYF6" s="977"/>
      <c r="OYG6" s="977"/>
      <c r="OYH6" s="977"/>
      <c r="OYI6" s="977"/>
      <c r="OYJ6" s="977"/>
      <c r="OYK6" s="977"/>
      <c r="OYL6" s="977"/>
      <c r="OYM6" s="977"/>
      <c r="OYN6" s="977"/>
      <c r="OYO6" s="977"/>
      <c r="OYP6" s="977"/>
      <c r="OYQ6" s="977"/>
      <c r="OYR6" s="977"/>
      <c r="OYS6" s="977"/>
      <c r="OYT6" s="977"/>
      <c r="OYU6" s="977"/>
      <c r="OYV6" s="977"/>
      <c r="OYW6" s="977"/>
      <c r="OYX6" s="977"/>
      <c r="OYY6" s="977"/>
      <c r="OYZ6" s="977"/>
      <c r="OZA6" s="977"/>
      <c r="OZB6" s="977"/>
      <c r="OZC6" s="977"/>
      <c r="OZD6" s="977"/>
      <c r="OZE6" s="977"/>
      <c r="OZF6" s="977"/>
      <c r="OZG6" s="977"/>
      <c r="OZH6" s="977"/>
      <c r="OZI6" s="977"/>
      <c r="OZJ6" s="977"/>
      <c r="OZK6" s="977"/>
      <c r="OZL6" s="977"/>
      <c r="OZM6" s="977"/>
      <c r="OZN6" s="977"/>
      <c r="OZO6" s="977"/>
      <c r="OZP6" s="977"/>
      <c r="OZQ6" s="977"/>
      <c r="OZR6" s="977"/>
      <c r="OZS6" s="977"/>
      <c r="OZT6" s="977"/>
      <c r="OZU6" s="977"/>
      <c r="OZV6" s="977"/>
      <c r="OZW6" s="977"/>
      <c r="OZX6" s="977"/>
      <c r="OZY6" s="977"/>
      <c r="OZZ6" s="977"/>
      <c r="PAA6" s="977"/>
      <c r="PAB6" s="977"/>
      <c r="PAC6" s="977"/>
      <c r="PAD6" s="977"/>
      <c r="PAE6" s="977"/>
      <c r="PAF6" s="977"/>
      <c r="PAG6" s="977"/>
      <c r="PAH6" s="977"/>
      <c r="PAI6" s="977"/>
      <c r="PAJ6" s="977"/>
      <c r="PAK6" s="977"/>
      <c r="PAL6" s="977"/>
      <c r="PAM6" s="977"/>
      <c r="PAN6" s="977"/>
      <c r="PAO6" s="977"/>
      <c r="PAP6" s="977"/>
      <c r="PAQ6" s="977"/>
      <c r="PAR6" s="977"/>
      <c r="PAS6" s="977"/>
      <c r="PAT6" s="977"/>
      <c r="PAU6" s="977"/>
      <c r="PAV6" s="977"/>
      <c r="PAW6" s="977"/>
      <c r="PAX6" s="977"/>
      <c r="PAY6" s="977"/>
      <c r="PAZ6" s="977"/>
      <c r="PBA6" s="977"/>
      <c r="PBB6" s="977"/>
      <c r="PBC6" s="977"/>
      <c r="PBD6" s="977"/>
      <c r="PBE6" s="977"/>
      <c r="PBF6" s="977"/>
      <c r="PBG6" s="977"/>
      <c r="PBH6" s="977"/>
      <c r="PBI6" s="977"/>
      <c r="PBJ6" s="977"/>
      <c r="PBK6" s="977"/>
      <c r="PBL6" s="977"/>
      <c r="PBM6" s="977"/>
      <c r="PBN6" s="977"/>
      <c r="PBO6" s="977"/>
      <c r="PBP6" s="977"/>
      <c r="PBQ6" s="977"/>
      <c r="PBR6" s="977"/>
      <c r="PBS6" s="977"/>
      <c r="PBT6" s="977"/>
      <c r="PBU6" s="977"/>
      <c r="PBV6" s="977"/>
      <c r="PBW6" s="977"/>
      <c r="PBX6" s="977"/>
      <c r="PBY6" s="977"/>
      <c r="PBZ6" s="977"/>
      <c r="PCA6" s="977"/>
      <c r="PCB6" s="977"/>
      <c r="PCC6" s="977"/>
      <c r="PCD6" s="977"/>
      <c r="PCE6" s="977"/>
      <c r="PCF6" s="977"/>
      <c r="PCG6" s="977"/>
      <c r="PCH6" s="977"/>
      <c r="PCI6" s="977"/>
      <c r="PCJ6" s="977"/>
      <c r="PCK6" s="977"/>
      <c r="PCL6" s="977"/>
      <c r="PCM6" s="977"/>
      <c r="PCN6" s="977"/>
      <c r="PCO6" s="977"/>
      <c r="PCP6" s="977"/>
      <c r="PCQ6" s="977"/>
      <c r="PCR6" s="977"/>
      <c r="PCS6" s="977"/>
      <c r="PCT6" s="977"/>
      <c r="PCU6" s="977"/>
      <c r="PCV6" s="977"/>
      <c r="PCW6" s="977"/>
      <c r="PCX6" s="977"/>
      <c r="PCY6" s="977"/>
      <c r="PCZ6" s="977"/>
      <c r="PDA6" s="977"/>
      <c r="PDB6" s="977"/>
      <c r="PDC6" s="977"/>
      <c r="PDD6" s="977"/>
      <c r="PDE6" s="977"/>
      <c r="PDF6" s="977"/>
      <c r="PDG6" s="977"/>
      <c r="PDH6" s="977"/>
      <c r="PDI6" s="977"/>
      <c r="PDJ6" s="977"/>
      <c r="PDK6" s="977"/>
      <c r="PDL6" s="977"/>
      <c r="PDM6" s="977"/>
      <c r="PDN6" s="977"/>
      <c r="PDO6" s="977"/>
      <c r="PDP6" s="977"/>
      <c r="PDQ6" s="977"/>
      <c r="PDR6" s="977"/>
      <c r="PDS6" s="977"/>
      <c r="PDT6" s="977"/>
      <c r="PDU6" s="977"/>
      <c r="PDV6" s="977"/>
      <c r="PDW6" s="977"/>
      <c r="PDX6" s="977"/>
      <c r="PDY6" s="977"/>
      <c r="PDZ6" s="977"/>
      <c r="PEA6" s="977"/>
      <c r="PEB6" s="977"/>
      <c r="PEC6" s="977"/>
      <c r="PED6" s="977"/>
      <c r="PEE6" s="977"/>
      <c r="PEF6" s="977"/>
      <c r="PEG6" s="977"/>
      <c r="PEH6" s="977"/>
      <c r="PEI6" s="977"/>
      <c r="PEJ6" s="977"/>
      <c r="PEK6" s="977"/>
      <c r="PEL6" s="977"/>
      <c r="PEM6" s="977"/>
      <c r="PEN6" s="977"/>
      <c r="PEO6" s="977"/>
      <c r="PEP6" s="977"/>
      <c r="PEQ6" s="977"/>
      <c r="PER6" s="977"/>
      <c r="PES6" s="977"/>
      <c r="PET6" s="977"/>
      <c r="PEU6" s="977"/>
      <c r="PEV6" s="977"/>
      <c r="PEW6" s="977"/>
      <c r="PEX6" s="977"/>
      <c r="PEY6" s="977"/>
      <c r="PEZ6" s="977"/>
      <c r="PFA6" s="977"/>
      <c r="PFB6" s="977"/>
      <c r="PFC6" s="977"/>
      <c r="PFD6" s="977"/>
      <c r="PFE6" s="977"/>
      <c r="PFF6" s="977"/>
      <c r="PFG6" s="977"/>
      <c r="PFH6" s="977"/>
      <c r="PFI6" s="977"/>
      <c r="PFJ6" s="977"/>
      <c r="PFK6" s="977"/>
      <c r="PFL6" s="977"/>
      <c r="PFM6" s="977"/>
      <c r="PFN6" s="977"/>
      <c r="PFO6" s="977"/>
      <c r="PFP6" s="977"/>
      <c r="PFQ6" s="977"/>
      <c r="PFR6" s="977"/>
      <c r="PFS6" s="977"/>
      <c r="PFT6" s="977"/>
      <c r="PFU6" s="977"/>
      <c r="PFV6" s="977"/>
      <c r="PFW6" s="977"/>
      <c r="PFX6" s="977"/>
      <c r="PFY6" s="977"/>
      <c r="PFZ6" s="977"/>
      <c r="PGA6" s="977"/>
      <c r="PGB6" s="977"/>
      <c r="PGC6" s="977"/>
      <c r="PGD6" s="977"/>
      <c r="PGE6" s="977"/>
      <c r="PGF6" s="977"/>
      <c r="PGG6" s="977"/>
      <c r="PGH6" s="977"/>
      <c r="PGI6" s="977"/>
      <c r="PGJ6" s="977"/>
      <c r="PGK6" s="977"/>
      <c r="PGL6" s="977"/>
      <c r="PGM6" s="977"/>
      <c r="PGN6" s="977"/>
      <c r="PGO6" s="977"/>
      <c r="PGP6" s="977"/>
      <c r="PGQ6" s="977"/>
      <c r="PGR6" s="977"/>
      <c r="PGS6" s="977"/>
      <c r="PGT6" s="977"/>
      <c r="PGU6" s="977"/>
      <c r="PGV6" s="977"/>
      <c r="PGW6" s="977"/>
      <c r="PGX6" s="977"/>
      <c r="PGY6" s="977"/>
      <c r="PGZ6" s="977"/>
      <c r="PHA6" s="977"/>
      <c r="PHB6" s="977"/>
      <c r="PHC6" s="977"/>
      <c r="PHD6" s="977"/>
      <c r="PHE6" s="977"/>
      <c r="PHF6" s="977"/>
      <c r="PHG6" s="977"/>
      <c r="PHH6" s="977"/>
      <c r="PHI6" s="977"/>
      <c r="PHJ6" s="977"/>
      <c r="PHK6" s="977"/>
      <c r="PHL6" s="977"/>
      <c r="PHM6" s="977"/>
      <c r="PHN6" s="977"/>
      <c r="PHO6" s="977"/>
      <c r="PHP6" s="977"/>
      <c r="PHQ6" s="977"/>
      <c r="PHR6" s="977"/>
      <c r="PHS6" s="977"/>
      <c r="PHT6" s="977"/>
      <c r="PHU6" s="977"/>
      <c r="PHV6" s="977"/>
      <c r="PHW6" s="977"/>
      <c r="PHX6" s="977"/>
      <c r="PHY6" s="977"/>
      <c r="PHZ6" s="977"/>
      <c r="PIA6" s="977"/>
      <c r="PIB6" s="977"/>
      <c r="PIC6" s="977"/>
      <c r="PID6" s="977"/>
      <c r="PIE6" s="977"/>
      <c r="PIF6" s="977"/>
      <c r="PIG6" s="977"/>
      <c r="PIH6" s="977"/>
      <c r="PII6" s="977"/>
      <c r="PIJ6" s="977"/>
      <c r="PIK6" s="977"/>
      <c r="PIL6" s="977"/>
      <c r="PIM6" s="977"/>
      <c r="PIN6" s="977"/>
      <c r="PIO6" s="977"/>
      <c r="PIP6" s="977"/>
      <c r="PIQ6" s="977"/>
      <c r="PIR6" s="977"/>
      <c r="PIS6" s="977"/>
      <c r="PIT6" s="977"/>
      <c r="PIU6" s="977"/>
      <c r="PIV6" s="977"/>
      <c r="PIW6" s="977"/>
      <c r="PIX6" s="977"/>
      <c r="PIY6" s="977"/>
      <c r="PIZ6" s="977"/>
      <c r="PJA6" s="977"/>
      <c r="PJB6" s="977"/>
      <c r="PJC6" s="977"/>
      <c r="PJD6" s="977"/>
      <c r="PJE6" s="977"/>
      <c r="PJF6" s="977"/>
      <c r="PJG6" s="977"/>
      <c r="PJH6" s="977"/>
      <c r="PJI6" s="977"/>
      <c r="PJJ6" s="977"/>
      <c r="PJK6" s="977"/>
      <c r="PJL6" s="977"/>
      <c r="PJM6" s="977"/>
      <c r="PJN6" s="977"/>
      <c r="PJO6" s="977"/>
      <c r="PJP6" s="977"/>
      <c r="PJQ6" s="977"/>
      <c r="PJR6" s="977"/>
      <c r="PJS6" s="977"/>
      <c r="PJT6" s="977"/>
      <c r="PJU6" s="977"/>
      <c r="PJV6" s="977"/>
      <c r="PJW6" s="977"/>
      <c r="PJX6" s="977"/>
      <c r="PJY6" s="977"/>
      <c r="PJZ6" s="977"/>
      <c r="PKA6" s="977"/>
      <c r="PKB6" s="977"/>
      <c r="PKC6" s="977"/>
      <c r="PKD6" s="977"/>
      <c r="PKE6" s="977"/>
      <c r="PKF6" s="977"/>
      <c r="PKG6" s="977"/>
      <c r="PKH6" s="977"/>
      <c r="PKI6" s="977"/>
      <c r="PKJ6" s="977"/>
      <c r="PKK6" s="977"/>
      <c r="PKL6" s="977"/>
      <c r="PKM6" s="977"/>
      <c r="PKN6" s="977"/>
      <c r="PKO6" s="977"/>
      <c r="PKP6" s="977"/>
      <c r="PKQ6" s="977"/>
      <c r="PKR6" s="977"/>
      <c r="PKS6" s="977"/>
      <c r="PKT6" s="977"/>
      <c r="PKU6" s="977"/>
      <c r="PKV6" s="977"/>
      <c r="PKW6" s="977"/>
      <c r="PKX6" s="977"/>
      <c r="PKY6" s="977"/>
      <c r="PKZ6" s="977"/>
      <c r="PLA6" s="977"/>
      <c r="PLB6" s="977"/>
      <c r="PLC6" s="977"/>
      <c r="PLD6" s="977"/>
      <c r="PLE6" s="977"/>
      <c r="PLF6" s="977"/>
      <c r="PLG6" s="977"/>
      <c r="PLH6" s="977"/>
      <c r="PLI6" s="977"/>
      <c r="PLJ6" s="977"/>
      <c r="PLK6" s="977"/>
      <c r="PLL6" s="977"/>
      <c r="PLM6" s="977"/>
      <c r="PLN6" s="977"/>
      <c r="PLO6" s="977"/>
      <c r="PLP6" s="977"/>
      <c r="PLQ6" s="977"/>
      <c r="PLR6" s="977"/>
      <c r="PLS6" s="977"/>
      <c r="PLT6" s="977"/>
      <c r="PLU6" s="977"/>
      <c r="PLV6" s="977"/>
      <c r="PLW6" s="977"/>
      <c r="PLX6" s="977"/>
      <c r="PLY6" s="977"/>
      <c r="PLZ6" s="977"/>
      <c r="PMA6" s="977"/>
      <c r="PMB6" s="977"/>
      <c r="PMC6" s="977"/>
      <c r="PMD6" s="977"/>
      <c r="PME6" s="977"/>
      <c r="PMF6" s="977"/>
      <c r="PMG6" s="977"/>
      <c r="PMH6" s="977"/>
      <c r="PMI6" s="977"/>
      <c r="PMJ6" s="977"/>
      <c r="PMK6" s="977"/>
      <c r="PML6" s="977"/>
      <c r="PMM6" s="977"/>
      <c r="PMN6" s="977"/>
      <c r="PMO6" s="977"/>
      <c r="PMP6" s="977"/>
      <c r="PMQ6" s="977"/>
      <c r="PMR6" s="977"/>
      <c r="PMS6" s="977"/>
      <c r="PMT6" s="977"/>
      <c r="PMU6" s="977"/>
      <c r="PMV6" s="977"/>
      <c r="PMW6" s="977"/>
      <c r="PMX6" s="977"/>
      <c r="PMY6" s="977"/>
      <c r="PMZ6" s="977"/>
      <c r="PNA6" s="977"/>
      <c r="PNB6" s="977"/>
      <c r="PNC6" s="977"/>
      <c r="PND6" s="977"/>
      <c r="PNE6" s="977"/>
      <c r="PNF6" s="977"/>
      <c r="PNG6" s="977"/>
      <c r="PNH6" s="977"/>
      <c r="PNI6" s="977"/>
      <c r="PNJ6" s="977"/>
      <c r="PNK6" s="977"/>
      <c r="PNL6" s="977"/>
      <c r="PNM6" s="977"/>
      <c r="PNN6" s="977"/>
      <c r="PNO6" s="977"/>
      <c r="PNP6" s="977"/>
      <c r="PNQ6" s="977"/>
      <c r="PNR6" s="977"/>
      <c r="PNS6" s="977"/>
      <c r="PNT6" s="977"/>
      <c r="PNU6" s="977"/>
      <c r="PNV6" s="977"/>
      <c r="PNW6" s="977"/>
      <c r="PNX6" s="977"/>
      <c r="PNY6" s="977"/>
      <c r="PNZ6" s="977"/>
      <c r="POA6" s="977"/>
      <c r="POB6" s="977"/>
      <c r="POC6" s="977"/>
      <c r="POD6" s="977"/>
      <c r="POE6" s="977"/>
      <c r="POF6" s="977"/>
      <c r="POG6" s="977"/>
      <c r="POH6" s="977"/>
      <c r="POI6" s="977"/>
      <c r="POJ6" s="977"/>
      <c r="POK6" s="977"/>
      <c r="POL6" s="977"/>
      <c r="POM6" s="977"/>
      <c r="PON6" s="977"/>
      <c r="POO6" s="977"/>
      <c r="POP6" s="977"/>
      <c r="POQ6" s="977"/>
      <c r="POR6" s="977"/>
      <c r="POS6" s="977"/>
      <c r="POT6" s="977"/>
      <c r="POU6" s="977"/>
      <c r="POV6" s="977"/>
      <c r="POW6" s="977"/>
      <c r="POX6" s="977"/>
      <c r="POY6" s="977"/>
      <c r="POZ6" s="977"/>
      <c r="PPA6" s="977"/>
      <c r="PPB6" s="977"/>
      <c r="PPC6" s="977"/>
      <c r="PPD6" s="977"/>
      <c r="PPE6" s="977"/>
      <c r="PPF6" s="977"/>
      <c r="PPG6" s="977"/>
      <c r="PPH6" s="977"/>
      <c r="PPI6" s="977"/>
      <c r="PPJ6" s="977"/>
      <c r="PPK6" s="977"/>
      <c r="PPL6" s="977"/>
      <c r="PPM6" s="977"/>
      <c r="PPN6" s="977"/>
      <c r="PPO6" s="977"/>
      <c r="PPP6" s="977"/>
      <c r="PPQ6" s="977"/>
      <c r="PPR6" s="977"/>
      <c r="PPS6" s="977"/>
      <c r="PPT6" s="977"/>
      <c r="PPU6" s="977"/>
      <c r="PPV6" s="977"/>
      <c r="PPW6" s="977"/>
      <c r="PPX6" s="977"/>
      <c r="PPY6" s="977"/>
      <c r="PPZ6" s="977"/>
      <c r="PQA6" s="977"/>
      <c r="PQB6" s="977"/>
      <c r="PQC6" s="977"/>
      <c r="PQD6" s="977"/>
      <c r="PQE6" s="977"/>
      <c r="PQF6" s="977"/>
      <c r="PQG6" s="977"/>
      <c r="PQH6" s="977"/>
      <c r="PQI6" s="977"/>
      <c r="PQJ6" s="977"/>
      <c r="PQK6" s="977"/>
      <c r="PQL6" s="977"/>
      <c r="PQM6" s="977"/>
      <c r="PQN6" s="977"/>
      <c r="PQO6" s="977"/>
      <c r="PQP6" s="977"/>
      <c r="PQQ6" s="977"/>
      <c r="PQR6" s="977"/>
      <c r="PQS6" s="977"/>
      <c r="PQT6" s="977"/>
      <c r="PQU6" s="977"/>
      <c r="PQV6" s="977"/>
      <c r="PQW6" s="977"/>
      <c r="PQX6" s="977"/>
      <c r="PQY6" s="977"/>
      <c r="PQZ6" s="977"/>
      <c r="PRA6" s="977"/>
      <c r="PRB6" s="977"/>
      <c r="PRC6" s="977"/>
      <c r="PRD6" s="977"/>
      <c r="PRE6" s="977"/>
      <c r="PRF6" s="977"/>
      <c r="PRG6" s="977"/>
      <c r="PRH6" s="977"/>
      <c r="PRI6" s="977"/>
      <c r="PRJ6" s="977"/>
      <c r="PRK6" s="977"/>
      <c r="PRL6" s="977"/>
      <c r="PRM6" s="977"/>
      <c r="PRN6" s="977"/>
      <c r="PRO6" s="977"/>
      <c r="PRP6" s="977"/>
      <c r="PRQ6" s="977"/>
      <c r="PRR6" s="977"/>
      <c r="PRS6" s="977"/>
      <c r="PRT6" s="977"/>
      <c r="PRU6" s="977"/>
      <c r="PRV6" s="977"/>
      <c r="PRW6" s="977"/>
      <c r="PRX6" s="977"/>
      <c r="PRY6" s="977"/>
      <c r="PRZ6" s="977"/>
      <c r="PSA6" s="977"/>
      <c r="PSB6" s="977"/>
      <c r="PSC6" s="977"/>
      <c r="PSD6" s="977"/>
      <c r="PSE6" s="977"/>
      <c r="PSF6" s="977"/>
      <c r="PSG6" s="977"/>
      <c r="PSH6" s="977"/>
      <c r="PSI6" s="977"/>
      <c r="PSJ6" s="977"/>
      <c r="PSK6" s="977"/>
      <c r="PSL6" s="977"/>
      <c r="PSM6" s="977"/>
      <c r="PSN6" s="977"/>
      <c r="PSO6" s="977"/>
      <c r="PSP6" s="977"/>
      <c r="PSQ6" s="977"/>
      <c r="PSR6" s="977"/>
      <c r="PSS6" s="977"/>
      <c r="PST6" s="977"/>
      <c r="PSU6" s="977"/>
      <c r="PSV6" s="977"/>
      <c r="PSW6" s="977"/>
      <c r="PSX6" s="977"/>
      <c r="PSY6" s="977"/>
      <c r="PSZ6" s="977"/>
      <c r="PTA6" s="977"/>
      <c r="PTB6" s="977"/>
      <c r="PTC6" s="977"/>
      <c r="PTD6" s="977"/>
      <c r="PTE6" s="977"/>
      <c r="PTF6" s="977"/>
      <c r="PTG6" s="977"/>
      <c r="PTH6" s="977"/>
      <c r="PTI6" s="977"/>
      <c r="PTJ6" s="977"/>
      <c r="PTK6" s="977"/>
      <c r="PTL6" s="977"/>
      <c r="PTM6" s="977"/>
      <c r="PTN6" s="977"/>
      <c r="PTO6" s="977"/>
      <c r="PTP6" s="977"/>
      <c r="PTQ6" s="977"/>
      <c r="PTR6" s="977"/>
      <c r="PTS6" s="977"/>
      <c r="PTT6" s="977"/>
      <c r="PTU6" s="977"/>
      <c r="PTV6" s="977"/>
      <c r="PTW6" s="977"/>
      <c r="PTX6" s="977"/>
      <c r="PTY6" s="977"/>
      <c r="PTZ6" s="977"/>
      <c r="PUA6" s="977"/>
      <c r="PUB6" s="977"/>
      <c r="PUC6" s="977"/>
      <c r="PUD6" s="977"/>
      <c r="PUE6" s="977"/>
      <c r="PUF6" s="977"/>
      <c r="PUG6" s="977"/>
      <c r="PUH6" s="977"/>
      <c r="PUI6" s="977"/>
      <c r="PUJ6" s="977"/>
      <c r="PUK6" s="977"/>
      <c r="PUL6" s="977"/>
      <c r="PUM6" s="977"/>
      <c r="PUN6" s="977"/>
      <c r="PUO6" s="977"/>
      <c r="PUP6" s="977"/>
      <c r="PUQ6" s="977"/>
      <c r="PUR6" s="977"/>
      <c r="PUS6" s="977"/>
      <c r="PUT6" s="977"/>
      <c r="PUU6" s="977"/>
      <c r="PUV6" s="977"/>
      <c r="PUW6" s="977"/>
      <c r="PUX6" s="977"/>
      <c r="PUY6" s="977"/>
      <c r="PUZ6" s="977"/>
      <c r="PVA6" s="977"/>
      <c r="PVB6" s="977"/>
      <c r="PVC6" s="977"/>
      <c r="PVD6" s="977"/>
      <c r="PVE6" s="977"/>
      <c r="PVF6" s="977"/>
      <c r="PVG6" s="977"/>
      <c r="PVH6" s="977"/>
      <c r="PVI6" s="977"/>
      <c r="PVJ6" s="977"/>
      <c r="PVK6" s="977"/>
      <c r="PVL6" s="977"/>
      <c r="PVM6" s="977"/>
      <c r="PVN6" s="977"/>
      <c r="PVO6" s="977"/>
      <c r="PVP6" s="977"/>
      <c r="PVQ6" s="977"/>
      <c r="PVR6" s="977"/>
      <c r="PVS6" s="977"/>
      <c r="PVT6" s="977"/>
      <c r="PVU6" s="977"/>
      <c r="PVV6" s="977"/>
      <c r="PVW6" s="977"/>
      <c r="PVX6" s="977"/>
      <c r="PVY6" s="977"/>
      <c r="PVZ6" s="977"/>
      <c r="PWA6" s="977"/>
      <c r="PWB6" s="977"/>
      <c r="PWC6" s="977"/>
      <c r="PWD6" s="977"/>
      <c r="PWE6" s="977"/>
      <c r="PWF6" s="977"/>
      <c r="PWG6" s="977"/>
      <c r="PWH6" s="977"/>
      <c r="PWI6" s="977"/>
      <c r="PWJ6" s="977"/>
      <c r="PWK6" s="977"/>
      <c r="PWL6" s="977"/>
      <c r="PWM6" s="977"/>
      <c r="PWN6" s="977"/>
      <c r="PWO6" s="977"/>
      <c r="PWP6" s="977"/>
      <c r="PWQ6" s="977"/>
      <c r="PWR6" s="977"/>
      <c r="PWS6" s="977"/>
      <c r="PWT6" s="977"/>
      <c r="PWU6" s="977"/>
      <c r="PWV6" s="977"/>
      <c r="PWW6" s="977"/>
      <c r="PWX6" s="977"/>
      <c r="PWY6" s="977"/>
      <c r="PWZ6" s="977"/>
      <c r="PXA6" s="977"/>
      <c r="PXB6" s="977"/>
      <c r="PXC6" s="977"/>
      <c r="PXD6" s="977"/>
      <c r="PXE6" s="977"/>
      <c r="PXF6" s="977"/>
      <c r="PXG6" s="977"/>
      <c r="PXH6" s="977"/>
      <c r="PXI6" s="977"/>
      <c r="PXJ6" s="977"/>
      <c r="PXK6" s="977"/>
      <c r="PXL6" s="977"/>
      <c r="PXM6" s="977"/>
      <c r="PXN6" s="977"/>
      <c r="PXO6" s="977"/>
      <c r="PXP6" s="977"/>
      <c r="PXQ6" s="977"/>
      <c r="PXR6" s="977"/>
      <c r="PXS6" s="977"/>
      <c r="PXT6" s="977"/>
      <c r="PXU6" s="977"/>
      <c r="PXV6" s="977"/>
      <c r="PXW6" s="977"/>
      <c r="PXX6" s="977"/>
      <c r="PXY6" s="977"/>
      <c r="PXZ6" s="977"/>
      <c r="PYA6" s="977"/>
      <c r="PYB6" s="977"/>
      <c r="PYC6" s="977"/>
      <c r="PYD6" s="977"/>
      <c r="PYE6" s="977"/>
      <c r="PYF6" s="977"/>
      <c r="PYG6" s="977"/>
      <c r="PYH6" s="977"/>
      <c r="PYI6" s="977"/>
      <c r="PYJ6" s="977"/>
      <c r="PYK6" s="977"/>
      <c r="PYL6" s="977"/>
      <c r="PYM6" s="977"/>
      <c r="PYN6" s="977"/>
      <c r="PYO6" s="977"/>
      <c r="PYP6" s="977"/>
      <c r="PYQ6" s="977"/>
      <c r="PYR6" s="977"/>
      <c r="PYS6" s="977"/>
      <c r="PYT6" s="977"/>
      <c r="PYU6" s="977"/>
      <c r="PYV6" s="977"/>
      <c r="PYW6" s="977"/>
      <c r="PYX6" s="977"/>
      <c r="PYY6" s="977"/>
      <c r="PYZ6" s="977"/>
      <c r="PZA6" s="977"/>
      <c r="PZB6" s="977"/>
      <c r="PZC6" s="977"/>
      <c r="PZD6" s="977"/>
      <c r="PZE6" s="977"/>
      <c r="PZF6" s="977"/>
      <c r="PZG6" s="977"/>
      <c r="PZH6" s="977"/>
      <c r="PZI6" s="977"/>
      <c r="PZJ6" s="977"/>
      <c r="PZK6" s="977"/>
      <c r="PZL6" s="977"/>
      <c r="PZM6" s="977"/>
      <c r="PZN6" s="977"/>
      <c r="PZO6" s="977"/>
      <c r="PZP6" s="977"/>
      <c r="PZQ6" s="977"/>
      <c r="PZR6" s="977"/>
      <c r="PZS6" s="977"/>
      <c r="PZT6" s="977"/>
      <c r="PZU6" s="977"/>
      <c r="PZV6" s="977"/>
      <c r="PZW6" s="977"/>
      <c r="PZX6" s="977"/>
      <c r="PZY6" s="977"/>
      <c r="PZZ6" s="977"/>
      <c r="QAA6" s="977"/>
      <c r="QAB6" s="977"/>
      <c r="QAC6" s="977"/>
      <c r="QAD6" s="977"/>
      <c r="QAE6" s="977"/>
      <c r="QAF6" s="977"/>
      <c r="QAG6" s="977"/>
      <c r="QAH6" s="977"/>
      <c r="QAI6" s="977"/>
      <c r="QAJ6" s="977"/>
      <c r="QAK6" s="977"/>
      <c r="QAL6" s="977"/>
      <c r="QAM6" s="977"/>
      <c r="QAN6" s="977"/>
      <c r="QAO6" s="977"/>
      <c r="QAP6" s="977"/>
      <c r="QAQ6" s="977"/>
      <c r="QAR6" s="977"/>
      <c r="QAS6" s="977"/>
      <c r="QAT6" s="977"/>
      <c r="QAU6" s="977"/>
      <c r="QAV6" s="977"/>
      <c r="QAW6" s="977"/>
      <c r="QAX6" s="977"/>
      <c r="QAY6" s="977"/>
      <c r="QAZ6" s="977"/>
      <c r="QBA6" s="977"/>
      <c r="QBB6" s="977"/>
      <c r="QBC6" s="977"/>
      <c r="QBD6" s="977"/>
      <c r="QBE6" s="977"/>
      <c r="QBF6" s="977"/>
      <c r="QBG6" s="977"/>
      <c r="QBH6" s="977"/>
      <c r="QBI6" s="977"/>
      <c r="QBJ6" s="977"/>
      <c r="QBK6" s="977"/>
      <c r="QBL6" s="977"/>
      <c r="QBM6" s="977"/>
      <c r="QBN6" s="977"/>
      <c r="QBO6" s="977"/>
      <c r="QBP6" s="977"/>
      <c r="QBQ6" s="977"/>
      <c r="QBR6" s="977"/>
      <c r="QBS6" s="977"/>
      <c r="QBT6" s="977"/>
      <c r="QBU6" s="977"/>
      <c r="QBV6" s="977"/>
      <c r="QBW6" s="977"/>
      <c r="QBX6" s="977"/>
      <c r="QBY6" s="977"/>
      <c r="QBZ6" s="977"/>
      <c r="QCA6" s="977"/>
      <c r="QCB6" s="977"/>
      <c r="QCC6" s="977"/>
      <c r="QCD6" s="977"/>
      <c r="QCE6" s="977"/>
      <c r="QCF6" s="977"/>
      <c r="QCG6" s="977"/>
      <c r="QCH6" s="977"/>
      <c r="QCI6" s="977"/>
      <c r="QCJ6" s="977"/>
      <c r="QCK6" s="977"/>
      <c r="QCL6" s="977"/>
      <c r="QCM6" s="977"/>
      <c r="QCN6" s="977"/>
      <c r="QCO6" s="977"/>
      <c r="QCP6" s="977"/>
      <c r="QCQ6" s="977"/>
      <c r="QCR6" s="977"/>
      <c r="QCS6" s="977"/>
      <c r="QCT6" s="977"/>
      <c r="QCU6" s="977"/>
      <c r="QCV6" s="977"/>
      <c r="QCW6" s="977"/>
      <c r="QCX6" s="977"/>
      <c r="QCY6" s="977"/>
      <c r="QCZ6" s="977"/>
      <c r="QDA6" s="977"/>
      <c r="QDB6" s="977"/>
      <c r="QDC6" s="977"/>
      <c r="QDD6" s="977"/>
      <c r="QDE6" s="977"/>
      <c r="QDF6" s="977"/>
      <c r="QDG6" s="977"/>
      <c r="QDH6" s="977"/>
      <c r="QDI6" s="977"/>
      <c r="QDJ6" s="977"/>
      <c r="QDK6" s="977"/>
      <c r="QDL6" s="977"/>
      <c r="QDM6" s="977"/>
      <c r="QDN6" s="977"/>
      <c r="QDO6" s="977"/>
      <c r="QDP6" s="977"/>
      <c r="QDQ6" s="977"/>
      <c r="QDR6" s="977"/>
      <c r="QDS6" s="977"/>
      <c r="QDT6" s="977"/>
      <c r="QDU6" s="977"/>
      <c r="QDV6" s="977"/>
      <c r="QDW6" s="977"/>
      <c r="QDX6" s="977"/>
      <c r="QDY6" s="977"/>
      <c r="QDZ6" s="977"/>
      <c r="QEA6" s="977"/>
      <c r="QEB6" s="977"/>
      <c r="QEC6" s="977"/>
      <c r="QED6" s="977"/>
      <c r="QEE6" s="977"/>
      <c r="QEF6" s="977"/>
      <c r="QEG6" s="977"/>
      <c r="QEH6" s="977"/>
      <c r="QEI6" s="977"/>
      <c r="QEJ6" s="977"/>
      <c r="QEK6" s="977"/>
      <c r="QEL6" s="977"/>
      <c r="QEM6" s="977"/>
      <c r="QEN6" s="977"/>
      <c r="QEO6" s="977"/>
      <c r="QEP6" s="977"/>
      <c r="QEQ6" s="977"/>
      <c r="QER6" s="977"/>
      <c r="QES6" s="977"/>
      <c r="QET6" s="977"/>
      <c r="QEU6" s="977"/>
      <c r="QEV6" s="977"/>
      <c r="QEW6" s="977"/>
      <c r="QEX6" s="977"/>
      <c r="QEY6" s="977"/>
      <c r="QEZ6" s="977"/>
      <c r="QFA6" s="977"/>
      <c r="QFB6" s="977"/>
      <c r="QFC6" s="977"/>
      <c r="QFD6" s="977"/>
      <c r="QFE6" s="977"/>
      <c r="QFF6" s="977"/>
      <c r="QFG6" s="977"/>
      <c r="QFH6" s="977"/>
      <c r="QFI6" s="977"/>
      <c r="QFJ6" s="977"/>
      <c r="QFK6" s="977"/>
      <c r="QFL6" s="977"/>
      <c r="QFM6" s="977"/>
      <c r="QFN6" s="977"/>
      <c r="QFO6" s="977"/>
      <c r="QFP6" s="977"/>
      <c r="QFQ6" s="977"/>
      <c r="QFR6" s="977"/>
      <c r="QFS6" s="977"/>
      <c r="QFT6" s="977"/>
      <c r="QFU6" s="977"/>
      <c r="QFV6" s="977"/>
      <c r="QFW6" s="977"/>
      <c r="QFX6" s="977"/>
      <c r="QFY6" s="977"/>
      <c r="QFZ6" s="977"/>
      <c r="QGA6" s="977"/>
      <c r="QGB6" s="977"/>
      <c r="QGC6" s="977"/>
      <c r="QGD6" s="977"/>
      <c r="QGE6" s="977"/>
      <c r="QGF6" s="977"/>
      <c r="QGG6" s="977"/>
      <c r="QGH6" s="977"/>
      <c r="QGI6" s="977"/>
      <c r="QGJ6" s="977"/>
      <c r="QGK6" s="977"/>
      <c r="QGL6" s="977"/>
      <c r="QGM6" s="977"/>
      <c r="QGN6" s="977"/>
      <c r="QGO6" s="977"/>
      <c r="QGP6" s="977"/>
      <c r="QGQ6" s="977"/>
      <c r="QGR6" s="977"/>
      <c r="QGS6" s="977"/>
      <c r="QGT6" s="977"/>
      <c r="QGU6" s="977"/>
      <c r="QGV6" s="977"/>
      <c r="QGW6" s="977"/>
      <c r="QGX6" s="977"/>
      <c r="QGY6" s="977"/>
      <c r="QGZ6" s="977"/>
      <c r="QHA6" s="977"/>
      <c r="QHB6" s="977"/>
      <c r="QHC6" s="977"/>
      <c r="QHD6" s="977"/>
      <c r="QHE6" s="977"/>
      <c r="QHF6" s="977"/>
      <c r="QHG6" s="977"/>
      <c r="QHH6" s="977"/>
      <c r="QHI6" s="977"/>
      <c r="QHJ6" s="977"/>
      <c r="QHK6" s="977"/>
      <c r="QHL6" s="977"/>
      <c r="QHM6" s="977"/>
      <c r="QHN6" s="977"/>
      <c r="QHO6" s="977"/>
      <c r="QHP6" s="977"/>
      <c r="QHQ6" s="977"/>
      <c r="QHR6" s="977"/>
      <c r="QHS6" s="977"/>
      <c r="QHT6" s="977"/>
      <c r="QHU6" s="977"/>
      <c r="QHV6" s="977"/>
      <c r="QHW6" s="977"/>
      <c r="QHX6" s="977"/>
      <c r="QHY6" s="977"/>
      <c r="QHZ6" s="977"/>
      <c r="QIA6" s="977"/>
      <c r="QIB6" s="977"/>
      <c r="QIC6" s="977"/>
      <c r="QID6" s="977"/>
      <c r="QIE6" s="977"/>
      <c r="QIF6" s="977"/>
      <c r="QIG6" s="977"/>
      <c r="QIH6" s="977"/>
      <c r="QII6" s="977"/>
      <c r="QIJ6" s="977"/>
      <c r="QIK6" s="977"/>
      <c r="QIL6" s="977"/>
      <c r="QIM6" s="977"/>
      <c r="QIN6" s="977"/>
      <c r="QIO6" s="977"/>
      <c r="QIP6" s="977"/>
      <c r="QIQ6" s="977"/>
      <c r="QIR6" s="977"/>
      <c r="QIS6" s="977"/>
      <c r="QIT6" s="977"/>
      <c r="QIU6" s="977"/>
      <c r="QIV6" s="977"/>
      <c r="QIW6" s="977"/>
      <c r="QIX6" s="977"/>
      <c r="QIY6" s="977"/>
      <c r="QIZ6" s="977"/>
      <c r="QJA6" s="977"/>
      <c r="QJB6" s="977"/>
      <c r="QJC6" s="977"/>
      <c r="QJD6" s="977"/>
      <c r="QJE6" s="977"/>
      <c r="QJF6" s="977"/>
      <c r="QJG6" s="977"/>
      <c r="QJH6" s="977"/>
      <c r="QJI6" s="977"/>
      <c r="QJJ6" s="977"/>
      <c r="QJK6" s="977"/>
      <c r="QJL6" s="977"/>
      <c r="QJM6" s="977"/>
      <c r="QJN6" s="977"/>
      <c r="QJO6" s="977"/>
      <c r="QJP6" s="977"/>
      <c r="QJQ6" s="977"/>
      <c r="QJR6" s="977"/>
      <c r="QJS6" s="977"/>
      <c r="QJT6" s="977"/>
      <c r="QJU6" s="977"/>
      <c r="QJV6" s="977"/>
      <c r="QJW6" s="977"/>
      <c r="QJX6" s="977"/>
      <c r="QJY6" s="977"/>
      <c r="QJZ6" s="977"/>
      <c r="QKA6" s="977"/>
      <c r="QKB6" s="977"/>
      <c r="QKC6" s="977"/>
      <c r="QKD6" s="977"/>
      <c r="QKE6" s="977"/>
      <c r="QKF6" s="977"/>
      <c r="QKG6" s="977"/>
      <c r="QKH6" s="977"/>
      <c r="QKI6" s="977"/>
      <c r="QKJ6" s="977"/>
      <c r="QKK6" s="977"/>
      <c r="QKL6" s="977"/>
      <c r="QKM6" s="977"/>
      <c r="QKN6" s="977"/>
      <c r="QKO6" s="977"/>
      <c r="QKP6" s="977"/>
      <c r="QKQ6" s="977"/>
      <c r="QKR6" s="977"/>
      <c r="QKS6" s="977"/>
      <c r="QKT6" s="977"/>
      <c r="QKU6" s="977"/>
      <c r="QKV6" s="977"/>
      <c r="QKW6" s="977"/>
      <c r="QKX6" s="977"/>
      <c r="QKY6" s="977"/>
      <c r="QKZ6" s="977"/>
      <c r="QLA6" s="977"/>
      <c r="QLB6" s="977"/>
      <c r="QLC6" s="977"/>
      <c r="QLD6" s="977"/>
      <c r="QLE6" s="977"/>
      <c r="QLF6" s="977"/>
      <c r="QLG6" s="977"/>
      <c r="QLH6" s="977"/>
      <c r="QLI6" s="977"/>
      <c r="QLJ6" s="977"/>
      <c r="QLK6" s="977"/>
      <c r="QLL6" s="977"/>
      <c r="QLM6" s="977"/>
      <c r="QLN6" s="977"/>
      <c r="QLO6" s="977"/>
      <c r="QLP6" s="977"/>
      <c r="QLQ6" s="977"/>
      <c r="QLR6" s="977"/>
      <c r="QLS6" s="977"/>
      <c r="QLT6" s="977"/>
      <c r="QLU6" s="977"/>
      <c r="QLV6" s="977"/>
      <c r="QLW6" s="977"/>
      <c r="QLX6" s="977"/>
      <c r="QLY6" s="977"/>
      <c r="QLZ6" s="977"/>
      <c r="QMA6" s="977"/>
      <c r="QMB6" s="977"/>
      <c r="QMC6" s="977"/>
      <c r="QMD6" s="977"/>
      <c r="QME6" s="977"/>
      <c r="QMF6" s="977"/>
      <c r="QMG6" s="977"/>
      <c r="QMH6" s="977"/>
      <c r="QMI6" s="977"/>
      <c r="QMJ6" s="977"/>
      <c r="QMK6" s="977"/>
      <c r="QML6" s="977"/>
      <c r="QMM6" s="977"/>
      <c r="QMN6" s="977"/>
      <c r="QMO6" s="977"/>
      <c r="QMP6" s="977"/>
      <c r="QMQ6" s="977"/>
      <c r="QMR6" s="977"/>
      <c r="QMS6" s="977"/>
      <c r="QMT6" s="977"/>
      <c r="QMU6" s="977"/>
      <c r="QMV6" s="977"/>
      <c r="QMW6" s="977"/>
      <c r="QMX6" s="977"/>
      <c r="QMY6" s="977"/>
      <c r="QMZ6" s="977"/>
      <c r="QNA6" s="977"/>
      <c r="QNB6" s="977"/>
      <c r="QNC6" s="977"/>
      <c r="QND6" s="977"/>
      <c r="QNE6" s="977"/>
      <c r="QNF6" s="977"/>
      <c r="QNG6" s="977"/>
      <c r="QNH6" s="977"/>
      <c r="QNI6" s="977"/>
      <c r="QNJ6" s="977"/>
      <c r="QNK6" s="977"/>
      <c r="QNL6" s="977"/>
      <c r="QNM6" s="977"/>
      <c r="QNN6" s="977"/>
      <c r="QNO6" s="977"/>
      <c r="QNP6" s="977"/>
      <c r="QNQ6" s="977"/>
      <c r="QNR6" s="977"/>
      <c r="QNS6" s="977"/>
      <c r="QNT6" s="977"/>
      <c r="QNU6" s="977"/>
      <c r="QNV6" s="977"/>
      <c r="QNW6" s="977"/>
      <c r="QNX6" s="977"/>
      <c r="QNY6" s="977"/>
      <c r="QNZ6" s="977"/>
      <c r="QOA6" s="977"/>
      <c r="QOB6" s="977"/>
      <c r="QOC6" s="977"/>
      <c r="QOD6" s="977"/>
      <c r="QOE6" s="977"/>
      <c r="QOF6" s="977"/>
      <c r="QOG6" s="977"/>
      <c r="QOH6" s="977"/>
      <c r="QOI6" s="977"/>
      <c r="QOJ6" s="977"/>
      <c r="QOK6" s="977"/>
      <c r="QOL6" s="977"/>
      <c r="QOM6" s="977"/>
      <c r="QON6" s="977"/>
      <c r="QOO6" s="977"/>
      <c r="QOP6" s="977"/>
      <c r="QOQ6" s="977"/>
      <c r="QOR6" s="977"/>
      <c r="QOS6" s="977"/>
      <c r="QOT6" s="977"/>
      <c r="QOU6" s="977"/>
      <c r="QOV6" s="977"/>
      <c r="QOW6" s="977"/>
      <c r="QOX6" s="977"/>
      <c r="QOY6" s="977"/>
      <c r="QOZ6" s="977"/>
      <c r="QPA6" s="977"/>
      <c r="QPB6" s="977"/>
      <c r="QPC6" s="977"/>
      <c r="QPD6" s="977"/>
      <c r="QPE6" s="977"/>
      <c r="QPF6" s="977"/>
      <c r="QPG6" s="977"/>
      <c r="QPH6" s="977"/>
      <c r="QPI6" s="977"/>
      <c r="QPJ6" s="977"/>
      <c r="QPK6" s="977"/>
      <c r="QPL6" s="977"/>
      <c r="QPM6" s="977"/>
      <c r="QPN6" s="977"/>
      <c r="QPO6" s="977"/>
      <c r="QPP6" s="977"/>
      <c r="QPQ6" s="977"/>
      <c r="QPR6" s="977"/>
      <c r="QPS6" s="977"/>
      <c r="QPT6" s="977"/>
      <c r="QPU6" s="977"/>
      <c r="QPV6" s="977"/>
      <c r="QPW6" s="977"/>
      <c r="QPX6" s="977"/>
      <c r="QPY6" s="977"/>
      <c r="QPZ6" s="977"/>
      <c r="QQA6" s="977"/>
      <c r="QQB6" s="977"/>
      <c r="QQC6" s="977"/>
      <c r="QQD6" s="977"/>
      <c r="QQE6" s="977"/>
      <c r="QQF6" s="977"/>
      <c r="QQG6" s="977"/>
      <c r="QQH6" s="977"/>
      <c r="QQI6" s="977"/>
      <c r="QQJ6" s="977"/>
      <c r="QQK6" s="977"/>
      <c r="QQL6" s="977"/>
      <c r="QQM6" s="977"/>
      <c r="QQN6" s="977"/>
      <c r="QQO6" s="977"/>
      <c r="QQP6" s="977"/>
      <c r="QQQ6" s="977"/>
      <c r="QQR6" s="977"/>
      <c r="QQS6" s="977"/>
      <c r="QQT6" s="977"/>
      <c r="QQU6" s="977"/>
      <c r="QQV6" s="977"/>
      <c r="QQW6" s="977"/>
      <c r="QQX6" s="977"/>
      <c r="QQY6" s="977"/>
      <c r="QQZ6" s="977"/>
      <c r="QRA6" s="977"/>
      <c r="QRB6" s="977"/>
      <c r="QRC6" s="977"/>
      <c r="QRD6" s="977"/>
      <c r="QRE6" s="977"/>
      <c r="QRF6" s="977"/>
      <c r="QRG6" s="977"/>
      <c r="QRH6" s="977"/>
      <c r="QRI6" s="977"/>
      <c r="QRJ6" s="977"/>
      <c r="QRK6" s="977"/>
      <c r="QRL6" s="977"/>
      <c r="QRM6" s="977"/>
      <c r="QRN6" s="977"/>
      <c r="QRO6" s="977"/>
      <c r="QRP6" s="977"/>
      <c r="QRQ6" s="977"/>
      <c r="QRR6" s="977"/>
      <c r="QRS6" s="977"/>
      <c r="QRT6" s="977"/>
      <c r="QRU6" s="977"/>
      <c r="QRV6" s="977"/>
      <c r="QRW6" s="977"/>
      <c r="QRX6" s="977"/>
      <c r="QRY6" s="977"/>
      <c r="QRZ6" s="977"/>
      <c r="QSA6" s="977"/>
      <c r="QSB6" s="977"/>
      <c r="QSC6" s="977"/>
      <c r="QSD6" s="977"/>
      <c r="QSE6" s="977"/>
      <c r="QSF6" s="977"/>
      <c r="QSG6" s="977"/>
      <c r="QSH6" s="977"/>
      <c r="QSI6" s="977"/>
      <c r="QSJ6" s="977"/>
      <c r="QSK6" s="977"/>
      <c r="QSL6" s="977"/>
      <c r="QSM6" s="977"/>
      <c r="QSN6" s="977"/>
      <c r="QSO6" s="977"/>
      <c r="QSP6" s="977"/>
      <c r="QSQ6" s="977"/>
      <c r="QSR6" s="977"/>
      <c r="QSS6" s="977"/>
      <c r="QST6" s="977"/>
      <c r="QSU6" s="977"/>
      <c r="QSV6" s="977"/>
      <c r="QSW6" s="977"/>
      <c r="QSX6" s="977"/>
      <c r="QSY6" s="977"/>
      <c r="QSZ6" s="977"/>
      <c r="QTA6" s="977"/>
      <c r="QTB6" s="977"/>
      <c r="QTC6" s="977"/>
      <c r="QTD6" s="977"/>
      <c r="QTE6" s="977"/>
      <c r="QTF6" s="977"/>
      <c r="QTG6" s="977"/>
      <c r="QTH6" s="977"/>
      <c r="QTI6" s="977"/>
      <c r="QTJ6" s="977"/>
      <c r="QTK6" s="977"/>
      <c r="QTL6" s="977"/>
      <c r="QTM6" s="977"/>
      <c r="QTN6" s="977"/>
      <c r="QTO6" s="977"/>
      <c r="QTP6" s="977"/>
      <c r="QTQ6" s="977"/>
      <c r="QTR6" s="977"/>
      <c r="QTS6" s="977"/>
      <c r="QTT6" s="977"/>
      <c r="QTU6" s="977"/>
      <c r="QTV6" s="977"/>
      <c r="QTW6" s="977"/>
      <c r="QTX6" s="977"/>
      <c r="QTY6" s="977"/>
      <c r="QTZ6" s="977"/>
      <c r="QUA6" s="977"/>
      <c r="QUB6" s="977"/>
      <c r="QUC6" s="977"/>
      <c r="QUD6" s="977"/>
      <c r="QUE6" s="977"/>
      <c r="QUF6" s="977"/>
      <c r="QUG6" s="977"/>
      <c r="QUH6" s="977"/>
      <c r="QUI6" s="977"/>
      <c r="QUJ6" s="977"/>
      <c r="QUK6" s="977"/>
      <c r="QUL6" s="977"/>
      <c r="QUM6" s="977"/>
      <c r="QUN6" s="977"/>
      <c r="QUO6" s="977"/>
      <c r="QUP6" s="977"/>
      <c r="QUQ6" s="977"/>
      <c r="QUR6" s="977"/>
      <c r="QUS6" s="977"/>
      <c r="QUT6" s="977"/>
      <c r="QUU6" s="977"/>
      <c r="QUV6" s="977"/>
      <c r="QUW6" s="977"/>
      <c r="QUX6" s="977"/>
      <c r="QUY6" s="977"/>
      <c r="QUZ6" s="977"/>
      <c r="QVA6" s="977"/>
      <c r="QVB6" s="977"/>
      <c r="QVC6" s="977"/>
      <c r="QVD6" s="977"/>
      <c r="QVE6" s="977"/>
      <c r="QVF6" s="977"/>
      <c r="QVG6" s="977"/>
      <c r="QVH6" s="977"/>
      <c r="QVI6" s="977"/>
      <c r="QVJ6" s="977"/>
      <c r="QVK6" s="977"/>
      <c r="QVL6" s="977"/>
      <c r="QVM6" s="977"/>
      <c r="QVN6" s="977"/>
      <c r="QVO6" s="977"/>
      <c r="QVP6" s="977"/>
      <c r="QVQ6" s="977"/>
      <c r="QVR6" s="977"/>
      <c r="QVS6" s="977"/>
      <c r="QVT6" s="977"/>
      <c r="QVU6" s="977"/>
      <c r="QVV6" s="977"/>
      <c r="QVW6" s="977"/>
      <c r="QVX6" s="977"/>
      <c r="QVY6" s="977"/>
      <c r="QVZ6" s="977"/>
      <c r="QWA6" s="977"/>
      <c r="QWB6" s="977"/>
      <c r="QWC6" s="977"/>
      <c r="QWD6" s="977"/>
      <c r="QWE6" s="977"/>
      <c r="QWF6" s="977"/>
      <c r="QWG6" s="977"/>
      <c r="QWH6" s="977"/>
      <c r="QWI6" s="977"/>
      <c r="QWJ6" s="977"/>
      <c r="QWK6" s="977"/>
      <c r="QWL6" s="977"/>
      <c r="QWM6" s="977"/>
      <c r="QWN6" s="977"/>
      <c r="QWO6" s="977"/>
      <c r="QWP6" s="977"/>
      <c r="QWQ6" s="977"/>
      <c r="QWR6" s="977"/>
      <c r="QWS6" s="977"/>
      <c r="QWT6" s="977"/>
      <c r="QWU6" s="977"/>
      <c r="QWV6" s="977"/>
      <c r="QWW6" s="977"/>
      <c r="QWX6" s="977"/>
      <c r="QWY6" s="977"/>
      <c r="QWZ6" s="977"/>
      <c r="QXA6" s="977"/>
      <c r="QXB6" s="977"/>
      <c r="QXC6" s="977"/>
      <c r="QXD6" s="977"/>
      <c r="QXE6" s="977"/>
      <c r="QXF6" s="977"/>
      <c r="QXG6" s="977"/>
      <c r="QXH6" s="977"/>
      <c r="QXI6" s="977"/>
      <c r="QXJ6" s="977"/>
      <c r="QXK6" s="977"/>
      <c r="QXL6" s="977"/>
      <c r="QXM6" s="977"/>
      <c r="QXN6" s="977"/>
      <c r="QXO6" s="977"/>
      <c r="QXP6" s="977"/>
      <c r="QXQ6" s="977"/>
      <c r="QXR6" s="977"/>
      <c r="QXS6" s="977"/>
      <c r="QXT6" s="977"/>
      <c r="QXU6" s="977"/>
      <c r="QXV6" s="977"/>
      <c r="QXW6" s="977"/>
      <c r="QXX6" s="977"/>
      <c r="QXY6" s="977"/>
      <c r="QXZ6" s="977"/>
      <c r="QYA6" s="977"/>
      <c r="QYB6" s="977"/>
      <c r="QYC6" s="977"/>
      <c r="QYD6" s="977"/>
      <c r="QYE6" s="977"/>
      <c r="QYF6" s="977"/>
      <c r="QYG6" s="977"/>
      <c r="QYH6" s="977"/>
      <c r="QYI6" s="977"/>
      <c r="QYJ6" s="977"/>
      <c r="QYK6" s="977"/>
      <c r="QYL6" s="977"/>
      <c r="QYM6" s="977"/>
      <c r="QYN6" s="977"/>
      <c r="QYO6" s="977"/>
      <c r="QYP6" s="977"/>
      <c r="QYQ6" s="977"/>
      <c r="QYR6" s="977"/>
      <c r="QYS6" s="977"/>
      <c r="QYT6" s="977"/>
      <c r="QYU6" s="977"/>
      <c r="QYV6" s="977"/>
      <c r="QYW6" s="977"/>
      <c r="QYX6" s="977"/>
      <c r="QYY6" s="977"/>
      <c r="QYZ6" s="977"/>
      <c r="QZA6" s="977"/>
      <c r="QZB6" s="977"/>
      <c r="QZC6" s="977"/>
      <c r="QZD6" s="977"/>
      <c r="QZE6" s="977"/>
      <c r="QZF6" s="977"/>
      <c r="QZG6" s="977"/>
      <c r="QZH6" s="977"/>
      <c r="QZI6" s="977"/>
      <c r="QZJ6" s="977"/>
      <c r="QZK6" s="977"/>
      <c r="QZL6" s="977"/>
      <c r="QZM6" s="977"/>
      <c r="QZN6" s="977"/>
      <c r="QZO6" s="977"/>
      <c r="QZP6" s="977"/>
      <c r="QZQ6" s="977"/>
      <c r="QZR6" s="977"/>
      <c r="QZS6" s="977"/>
      <c r="QZT6" s="977"/>
      <c r="QZU6" s="977"/>
      <c r="QZV6" s="977"/>
      <c r="QZW6" s="977"/>
      <c r="QZX6" s="977"/>
      <c r="QZY6" s="977"/>
      <c r="QZZ6" s="977"/>
      <c r="RAA6" s="977"/>
      <c r="RAB6" s="977"/>
      <c r="RAC6" s="977"/>
      <c r="RAD6" s="977"/>
      <c r="RAE6" s="977"/>
      <c r="RAF6" s="977"/>
      <c r="RAG6" s="977"/>
      <c r="RAH6" s="977"/>
      <c r="RAI6" s="977"/>
      <c r="RAJ6" s="977"/>
      <c r="RAK6" s="977"/>
      <c r="RAL6" s="977"/>
      <c r="RAM6" s="977"/>
      <c r="RAN6" s="977"/>
      <c r="RAO6" s="977"/>
      <c r="RAP6" s="977"/>
      <c r="RAQ6" s="977"/>
      <c r="RAR6" s="977"/>
      <c r="RAS6" s="977"/>
      <c r="RAT6" s="977"/>
      <c r="RAU6" s="977"/>
      <c r="RAV6" s="977"/>
      <c r="RAW6" s="977"/>
      <c r="RAX6" s="977"/>
      <c r="RAY6" s="977"/>
      <c r="RAZ6" s="977"/>
      <c r="RBA6" s="977"/>
      <c r="RBB6" s="977"/>
      <c r="RBC6" s="977"/>
      <c r="RBD6" s="977"/>
      <c r="RBE6" s="977"/>
      <c r="RBF6" s="977"/>
      <c r="RBG6" s="977"/>
      <c r="RBH6" s="977"/>
      <c r="RBI6" s="977"/>
      <c r="RBJ6" s="977"/>
      <c r="RBK6" s="977"/>
      <c r="RBL6" s="977"/>
      <c r="RBM6" s="977"/>
      <c r="RBN6" s="977"/>
      <c r="RBO6" s="977"/>
      <c r="RBP6" s="977"/>
      <c r="RBQ6" s="977"/>
      <c r="RBR6" s="977"/>
      <c r="RBS6" s="977"/>
      <c r="RBT6" s="977"/>
      <c r="RBU6" s="977"/>
      <c r="RBV6" s="977"/>
      <c r="RBW6" s="977"/>
      <c r="RBX6" s="977"/>
      <c r="RBY6" s="977"/>
      <c r="RBZ6" s="977"/>
      <c r="RCA6" s="977"/>
      <c r="RCB6" s="977"/>
      <c r="RCC6" s="977"/>
      <c r="RCD6" s="977"/>
      <c r="RCE6" s="977"/>
      <c r="RCF6" s="977"/>
      <c r="RCG6" s="977"/>
      <c r="RCH6" s="977"/>
      <c r="RCI6" s="977"/>
      <c r="RCJ6" s="977"/>
      <c r="RCK6" s="977"/>
      <c r="RCL6" s="977"/>
      <c r="RCM6" s="977"/>
      <c r="RCN6" s="977"/>
      <c r="RCO6" s="977"/>
      <c r="RCP6" s="977"/>
      <c r="RCQ6" s="977"/>
      <c r="RCR6" s="977"/>
      <c r="RCS6" s="977"/>
      <c r="RCT6" s="977"/>
      <c r="RCU6" s="977"/>
      <c r="RCV6" s="977"/>
      <c r="RCW6" s="977"/>
      <c r="RCX6" s="977"/>
      <c r="RCY6" s="977"/>
      <c r="RCZ6" s="977"/>
      <c r="RDA6" s="977"/>
      <c r="RDB6" s="977"/>
      <c r="RDC6" s="977"/>
      <c r="RDD6" s="977"/>
      <c r="RDE6" s="977"/>
      <c r="RDF6" s="977"/>
      <c r="RDG6" s="977"/>
      <c r="RDH6" s="977"/>
      <c r="RDI6" s="977"/>
      <c r="RDJ6" s="977"/>
      <c r="RDK6" s="977"/>
      <c r="RDL6" s="977"/>
      <c r="RDM6" s="977"/>
      <c r="RDN6" s="977"/>
      <c r="RDO6" s="977"/>
      <c r="RDP6" s="977"/>
      <c r="RDQ6" s="977"/>
      <c r="RDR6" s="977"/>
      <c r="RDS6" s="977"/>
      <c r="RDT6" s="977"/>
      <c r="RDU6" s="977"/>
      <c r="RDV6" s="977"/>
      <c r="RDW6" s="977"/>
      <c r="RDX6" s="977"/>
      <c r="RDY6" s="977"/>
      <c r="RDZ6" s="977"/>
      <c r="REA6" s="977"/>
      <c r="REB6" s="977"/>
      <c r="REC6" s="977"/>
      <c r="RED6" s="977"/>
      <c r="REE6" s="977"/>
      <c r="REF6" s="977"/>
      <c r="REG6" s="977"/>
      <c r="REH6" s="977"/>
      <c r="REI6" s="977"/>
      <c r="REJ6" s="977"/>
      <c r="REK6" s="977"/>
      <c r="REL6" s="977"/>
      <c r="REM6" s="977"/>
      <c r="REN6" s="977"/>
      <c r="REO6" s="977"/>
      <c r="REP6" s="977"/>
      <c r="REQ6" s="977"/>
      <c r="RER6" s="977"/>
      <c r="RES6" s="977"/>
      <c r="RET6" s="977"/>
      <c r="REU6" s="977"/>
      <c r="REV6" s="977"/>
      <c r="REW6" s="977"/>
      <c r="REX6" s="977"/>
      <c r="REY6" s="977"/>
      <c r="REZ6" s="977"/>
      <c r="RFA6" s="977"/>
      <c r="RFB6" s="977"/>
      <c r="RFC6" s="977"/>
      <c r="RFD6" s="977"/>
      <c r="RFE6" s="977"/>
      <c r="RFF6" s="977"/>
      <c r="RFG6" s="977"/>
      <c r="RFH6" s="977"/>
      <c r="RFI6" s="977"/>
      <c r="RFJ6" s="977"/>
      <c r="RFK6" s="977"/>
      <c r="RFL6" s="977"/>
      <c r="RFM6" s="977"/>
      <c r="RFN6" s="977"/>
      <c r="RFO6" s="977"/>
      <c r="RFP6" s="977"/>
      <c r="RFQ6" s="977"/>
      <c r="RFR6" s="977"/>
      <c r="RFS6" s="977"/>
      <c r="RFT6" s="977"/>
      <c r="RFU6" s="977"/>
      <c r="RFV6" s="977"/>
      <c r="RFW6" s="977"/>
      <c r="RFX6" s="977"/>
      <c r="RFY6" s="977"/>
      <c r="RFZ6" s="977"/>
      <c r="RGA6" s="977"/>
      <c r="RGB6" s="977"/>
      <c r="RGC6" s="977"/>
      <c r="RGD6" s="977"/>
      <c r="RGE6" s="977"/>
      <c r="RGF6" s="977"/>
      <c r="RGG6" s="977"/>
      <c r="RGH6" s="977"/>
      <c r="RGI6" s="977"/>
      <c r="RGJ6" s="977"/>
      <c r="RGK6" s="977"/>
      <c r="RGL6" s="977"/>
      <c r="RGM6" s="977"/>
      <c r="RGN6" s="977"/>
      <c r="RGO6" s="977"/>
      <c r="RGP6" s="977"/>
      <c r="RGQ6" s="977"/>
      <c r="RGR6" s="977"/>
      <c r="RGS6" s="977"/>
      <c r="RGT6" s="977"/>
      <c r="RGU6" s="977"/>
      <c r="RGV6" s="977"/>
      <c r="RGW6" s="977"/>
      <c r="RGX6" s="977"/>
      <c r="RGY6" s="977"/>
      <c r="RGZ6" s="977"/>
      <c r="RHA6" s="977"/>
      <c r="RHB6" s="977"/>
      <c r="RHC6" s="977"/>
      <c r="RHD6" s="977"/>
      <c r="RHE6" s="977"/>
      <c r="RHF6" s="977"/>
      <c r="RHG6" s="977"/>
      <c r="RHH6" s="977"/>
      <c r="RHI6" s="977"/>
      <c r="RHJ6" s="977"/>
      <c r="RHK6" s="977"/>
      <c r="RHL6" s="977"/>
      <c r="RHM6" s="977"/>
      <c r="RHN6" s="977"/>
      <c r="RHO6" s="977"/>
      <c r="RHP6" s="977"/>
      <c r="RHQ6" s="977"/>
      <c r="RHR6" s="977"/>
      <c r="RHS6" s="977"/>
      <c r="RHT6" s="977"/>
      <c r="RHU6" s="977"/>
      <c r="RHV6" s="977"/>
      <c r="RHW6" s="977"/>
      <c r="RHX6" s="977"/>
      <c r="RHY6" s="977"/>
      <c r="RHZ6" s="977"/>
      <c r="RIA6" s="977"/>
      <c r="RIB6" s="977"/>
      <c r="RIC6" s="977"/>
      <c r="RID6" s="977"/>
      <c r="RIE6" s="977"/>
      <c r="RIF6" s="977"/>
      <c r="RIG6" s="977"/>
      <c r="RIH6" s="977"/>
      <c r="RII6" s="977"/>
      <c r="RIJ6" s="977"/>
      <c r="RIK6" s="977"/>
      <c r="RIL6" s="977"/>
      <c r="RIM6" s="977"/>
      <c r="RIN6" s="977"/>
      <c r="RIO6" s="977"/>
      <c r="RIP6" s="977"/>
      <c r="RIQ6" s="977"/>
      <c r="RIR6" s="977"/>
      <c r="RIS6" s="977"/>
      <c r="RIT6" s="977"/>
      <c r="RIU6" s="977"/>
      <c r="RIV6" s="977"/>
      <c r="RIW6" s="977"/>
      <c r="RIX6" s="977"/>
      <c r="RIY6" s="977"/>
      <c r="RIZ6" s="977"/>
      <c r="RJA6" s="977"/>
      <c r="RJB6" s="977"/>
      <c r="RJC6" s="977"/>
      <c r="RJD6" s="977"/>
      <c r="RJE6" s="977"/>
      <c r="RJF6" s="977"/>
      <c r="RJG6" s="977"/>
      <c r="RJH6" s="977"/>
      <c r="RJI6" s="977"/>
      <c r="RJJ6" s="977"/>
      <c r="RJK6" s="977"/>
      <c r="RJL6" s="977"/>
      <c r="RJM6" s="977"/>
      <c r="RJN6" s="977"/>
      <c r="RJO6" s="977"/>
      <c r="RJP6" s="977"/>
      <c r="RJQ6" s="977"/>
      <c r="RJR6" s="977"/>
      <c r="RJS6" s="977"/>
      <c r="RJT6" s="977"/>
      <c r="RJU6" s="977"/>
      <c r="RJV6" s="977"/>
      <c r="RJW6" s="977"/>
      <c r="RJX6" s="977"/>
      <c r="RJY6" s="977"/>
      <c r="RJZ6" s="977"/>
      <c r="RKA6" s="977"/>
      <c r="RKB6" s="977"/>
      <c r="RKC6" s="977"/>
      <c r="RKD6" s="977"/>
      <c r="RKE6" s="977"/>
      <c r="RKF6" s="977"/>
      <c r="RKG6" s="977"/>
      <c r="RKH6" s="977"/>
      <c r="RKI6" s="977"/>
      <c r="RKJ6" s="977"/>
      <c r="RKK6" s="977"/>
      <c r="RKL6" s="977"/>
      <c r="RKM6" s="977"/>
      <c r="RKN6" s="977"/>
      <c r="RKO6" s="977"/>
      <c r="RKP6" s="977"/>
      <c r="RKQ6" s="977"/>
      <c r="RKR6" s="977"/>
      <c r="RKS6" s="977"/>
      <c r="RKT6" s="977"/>
      <c r="RKU6" s="977"/>
      <c r="RKV6" s="977"/>
      <c r="RKW6" s="977"/>
      <c r="RKX6" s="977"/>
      <c r="RKY6" s="977"/>
      <c r="RKZ6" s="977"/>
      <c r="RLA6" s="977"/>
      <c r="RLB6" s="977"/>
      <c r="RLC6" s="977"/>
      <c r="RLD6" s="977"/>
      <c r="RLE6" s="977"/>
      <c r="RLF6" s="977"/>
      <c r="RLG6" s="977"/>
      <c r="RLH6" s="977"/>
      <c r="RLI6" s="977"/>
      <c r="RLJ6" s="977"/>
      <c r="RLK6" s="977"/>
      <c r="RLL6" s="977"/>
      <c r="RLM6" s="977"/>
      <c r="RLN6" s="977"/>
      <c r="RLO6" s="977"/>
      <c r="RLP6" s="977"/>
      <c r="RLQ6" s="977"/>
      <c r="RLR6" s="977"/>
      <c r="RLS6" s="977"/>
      <c r="RLT6" s="977"/>
      <c r="RLU6" s="977"/>
      <c r="RLV6" s="977"/>
      <c r="RLW6" s="977"/>
      <c r="RLX6" s="977"/>
      <c r="RLY6" s="977"/>
      <c r="RLZ6" s="977"/>
      <c r="RMA6" s="977"/>
      <c r="RMB6" s="977"/>
      <c r="RMC6" s="977"/>
      <c r="RMD6" s="977"/>
      <c r="RME6" s="977"/>
      <c r="RMF6" s="977"/>
      <c r="RMG6" s="977"/>
      <c r="RMH6" s="977"/>
      <c r="RMI6" s="977"/>
      <c r="RMJ6" s="977"/>
      <c r="RMK6" s="977"/>
      <c r="RML6" s="977"/>
      <c r="RMM6" s="977"/>
      <c r="RMN6" s="977"/>
      <c r="RMO6" s="977"/>
      <c r="RMP6" s="977"/>
      <c r="RMQ6" s="977"/>
      <c r="RMR6" s="977"/>
      <c r="RMS6" s="977"/>
      <c r="RMT6" s="977"/>
      <c r="RMU6" s="977"/>
      <c r="RMV6" s="977"/>
      <c r="RMW6" s="977"/>
      <c r="RMX6" s="977"/>
      <c r="RMY6" s="977"/>
      <c r="RMZ6" s="977"/>
      <c r="RNA6" s="977"/>
      <c r="RNB6" s="977"/>
      <c r="RNC6" s="977"/>
      <c r="RND6" s="977"/>
      <c r="RNE6" s="977"/>
      <c r="RNF6" s="977"/>
      <c r="RNG6" s="977"/>
      <c r="RNH6" s="977"/>
      <c r="RNI6" s="977"/>
      <c r="RNJ6" s="977"/>
      <c r="RNK6" s="977"/>
      <c r="RNL6" s="977"/>
      <c r="RNM6" s="977"/>
      <c r="RNN6" s="977"/>
      <c r="RNO6" s="977"/>
      <c r="RNP6" s="977"/>
      <c r="RNQ6" s="977"/>
      <c r="RNR6" s="977"/>
      <c r="RNS6" s="977"/>
      <c r="RNT6" s="977"/>
      <c r="RNU6" s="977"/>
      <c r="RNV6" s="977"/>
      <c r="RNW6" s="977"/>
      <c r="RNX6" s="977"/>
      <c r="RNY6" s="977"/>
      <c r="RNZ6" s="977"/>
      <c r="ROA6" s="977"/>
      <c r="ROB6" s="977"/>
      <c r="ROC6" s="977"/>
      <c r="ROD6" s="977"/>
      <c r="ROE6" s="977"/>
      <c r="ROF6" s="977"/>
      <c r="ROG6" s="977"/>
      <c r="ROH6" s="977"/>
      <c r="ROI6" s="977"/>
      <c r="ROJ6" s="977"/>
      <c r="ROK6" s="977"/>
      <c r="ROL6" s="977"/>
      <c r="ROM6" s="977"/>
      <c r="RON6" s="977"/>
      <c r="ROO6" s="977"/>
      <c r="ROP6" s="977"/>
      <c r="ROQ6" s="977"/>
      <c r="ROR6" s="977"/>
      <c r="ROS6" s="977"/>
      <c r="ROT6" s="977"/>
      <c r="ROU6" s="977"/>
      <c r="ROV6" s="977"/>
      <c r="ROW6" s="977"/>
      <c r="ROX6" s="977"/>
      <c r="ROY6" s="977"/>
      <c r="ROZ6" s="977"/>
      <c r="RPA6" s="977"/>
      <c r="RPB6" s="977"/>
      <c r="RPC6" s="977"/>
      <c r="RPD6" s="977"/>
      <c r="RPE6" s="977"/>
      <c r="RPF6" s="977"/>
      <c r="RPG6" s="977"/>
      <c r="RPH6" s="977"/>
      <c r="RPI6" s="977"/>
      <c r="RPJ6" s="977"/>
      <c r="RPK6" s="977"/>
      <c r="RPL6" s="977"/>
      <c r="RPM6" s="977"/>
      <c r="RPN6" s="977"/>
      <c r="RPO6" s="977"/>
      <c r="RPP6" s="977"/>
      <c r="RPQ6" s="977"/>
      <c r="RPR6" s="977"/>
      <c r="RPS6" s="977"/>
      <c r="RPT6" s="977"/>
      <c r="RPU6" s="977"/>
      <c r="RPV6" s="977"/>
      <c r="RPW6" s="977"/>
      <c r="RPX6" s="977"/>
      <c r="RPY6" s="977"/>
      <c r="RPZ6" s="977"/>
      <c r="RQA6" s="977"/>
      <c r="RQB6" s="977"/>
      <c r="RQC6" s="977"/>
      <c r="RQD6" s="977"/>
      <c r="RQE6" s="977"/>
      <c r="RQF6" s="977"/>
      <c r="RQG6" s="977"/>
      <c r="RQH6" s="977"/>
      <c r="RQI6" s="977"/>
      <c r="RQJ6" s="977"/>
      <c r="RQK6" s="977"/>
      <c r="RQL6" s="977"/>
      <c r="RQM6" s="977"/>
      <c r="RQN6" s="977"/>
      <c r="RQO6" s="977"/>
      <c r="RQP6" s="977"/>
      <c r="RQQ6" s="977"/>
      <c r="RQR6" s="977"/>
      <c r="RQS6" s="977"/>
      <c r="RQT6" s="977"/>
      <c r="RQU6" s="977"/>
      <c r="RQV6" s="977"/>
      <c r="RQW6" s="977"/>
      <c r="RQX6" s="977"/>
      <c r="RQY6" s="977"/>
      <c r="RQZ6" s="977"/>
      <c r="RRA6" s="977"/>
      <c r="RRB6" s="977"/>
      <c r="RRC6" s="977"/>
      <c r="RRD6" s="977"/>
      <c r="RRE6" s="977"/>
      <c r="RRF6" s="977"/>
      <c r="RRG6" s="977"/>
      <c r="RRH6" s="977"/>
      <c r="RRI6" s="977"/>
      <c r="RRJ6" s="977"/>
      <c r="RRK6" s="977"/>
      <c r="RRL6" s="977"/>
      <c r="RRM6" s="977"/>
      <c r="RRN6" s="977"/>
      <c r="RRO6" s="977"/>
      <c r="RRP6" s="977"/>
      <c r="RRQ6" s="977"/>
      <c r="RRR6" s="977"/>
      <c r="RRS6" s="977"/>
      <c r="RRT6" s="977"/>
      <c r="RRU6" s="977"/>
      <c r="RRV6" s="977"/>
      <c r="RRW6" s="977"/>
      <c r="RRX6" s="977"/>
      <c r="RRY6" s="977"/>
      <c r="RRZ6" s="977"/>
      <c r="RSA6" s="977"/>
      <c r="RSB6" s="977"/>
      <c r="RSC6" s="977"/>
      <c r="RSD6" s="977"/>
      <c r="RSE6" s="977"/>
      <c r="RSF6" s="977"/>
      <c r="RSG6" s="977"/>
      <c r="RSH6" s="977"/>
      <c r="RSI6" s="977"/>
      <c r="RSJ6" s="977"/>
      <c r="RSK6" s="977"/>
      <c r="RSL6" s="977"/>
      <c r="RSM6" s="977"/>
      <c r="RSN6" s="977"/>
      <c r="RSO6" s="977"/>
      <c r="RSP6" s="977"/>
      <c r="RSQ6" s="977"/>
      <c r="RSR6" s="977"/>
      <c r="RSS6" s="977"/>
      <c r="RST6" s="977"/>
      <c r="RSU6" s="977"/>
      <c r="RSV6" s="977"/>
      <c r="RSW6" s="977"/>
      <c r="RSX6" s="977"/>
      <c r="RSY6" s="977"/>
      <c r="RSZ6" s="977"/>
      <c r="RTA6" s="977"/>
      <c r="RTB6" s="977"/>
      <c r="RTC6" s="977"/>
      <c r="RTD6" s="977"/>
      <c r="RTE6" s="977"/>
      <c r="RTF6" s="977"/>
      <c r="RTG6" s="977"/>
      <c r="RTH6" s="977"/>
      <c r="RTI6" s="977"/>
      <c r="RTJ6" s="977"/>
      <c r="RTK6" s="977"/>
      <c r="RTL6" s="977"/>
      <c r="RTM6" s="977"/>
      <c r="RTN6" s="977"/>
      <c r="RTO6" s="977"/>
      <c r="RTP6" s="977"/>
      <c r="RTQ6" s="977"/>
      <c r="RTR6" s="977"/>
      <c r="RTS6" s="977"/>
      <c r="RTT6" s="977"/>
      <c r="RTU6" s="977"/>
      <c r="RTV6" s="977"/>
      <c r="RTW6" s="977"/>
      <c r="RTX6" s="977"/>
      <c r="RTY6" s="977"/>
      <c r="RTZ6" s="977"/>
      <c r="RUA6" s="977"/>
      <c r="RUB6" s="977"/>
      <c r="RUC6" s="977"/>
      <c r="RUD6" s="977"/>
      <c r="RUE6" s="977"/>
      <c r="RUF6" s="977"/>
      <c r="RUG6" s="977"/>
      <c r="RUH6" s="977"/>
      <c r="RUI6" s="977"/>
      <c r="RUJ6" s="977"/>
      <c r="RUK6" s="977"/>
      <c r="RUL6" s="977"/>
      <c r="RUM6" s="977"/>
      <c r="RUN6" s="977"/>
      <c r="RUO6" s="977"/>
      <c r="RUP6" s="977"/>
      <c r="RUQ6" s="977"/>
      <c r="RUR6" s="977"/>
      <c r="RUS6" s="977"/>
      <c r="RUT6" s="977"/>
      <c r="RUU6" s="977"/>
      <c r="RUV6" s="977"/>
      <c r="RUW6" s="977"/>
      <c r="RUX6" s="977"/>
      <c r="RUY6" s="977"/>
      <c r="RUZ6" s="977"/>
      <c r="RVA6" s="977"/>
      <c r="RVB6" s="977"/>
      <c r="RVC6" s="977"/>
      <c r="RVD6" s="977"/>
      <c r="RVE6" s="977"/>
      <c r="RVF6" s="977"/>
      <c r="RVG6" s="977"/>
      <c r="RVH6" s="977"/>
      <c r="RVI6" s="977"/>
      <c r="RVJ6" s="977"/>
      <c r="RVK6" s="977"/>
      <c r="RVL6" s="977"/>
      <c r="RVM6" s="977"/>
      <c r="RVN6" s="977"/>
      <c r="RVO6" s="977"/>
      <c r="RVP6" s="977"/>
      <c r="RVQ6" s="977"/>
      <c r="RVR6" s="977"/>
      <c r="RVS6" s="977"/>
      <c r="RVT6" s="977"/>
      <c r="RVU6" s="977"/>
      <c r="RVV6" s="977"/>
      <c r="RVW6" s="977"/>
      <c r="RVX6" s="977"/>
      <c r="RVY6" s="977"/>
      <c r="RVZ6" s="977"/>
      <c r="RWA6" s="977"/>
      <c r="RWB6" s="977"/>
      <c r="RWC6" s="977"/>
      <c r="RWD6" s="977"/>
      <c r="RWE6" s="977"/>
      <c r="RWF6" s="977"/>
      <c r="RWG6" s="977"/>
      <c r="RWH6" s="977"/>
      <c r="RWI6" s="977"/>
      <c r="RWJ6" s="977"/>
      <c r="RWK6" s="977"/>
      <c r="RWL6" s="977"/>
      <c r="RWM6" s="977"/>
      <c r="RWN6" s="977"/>
      <c r="RWO6" s="977"/>
      <c r="RWP6" s="977"/>
      <c r="RWQ6" s="977"/>
      <c r="RWR6" s="977"/>
      <c r="RWS6" s="977"/>
      <c r="RWT6" s="977"/>
      <c r="RWU6" s="977"/>
      <c r="RWV6" s="977"/>
      <c r="RWW6" s="977"/>
      <c r="RWX6" s="977"/>
      <c r="RWY6" s="977"/>
      <c r="RWZ6" s="977"/>
      <c r="RXA6" s="977"/>
      <c r="RXB6" s="977"/>
      <c r="RXC6" s="977"/>
      <c r="RXD6" s="977"/>
      <c r="RXE6" s="977"/>
      <c r="RXF6" s="977"/>
      <c r="RXG6" s="977"/>
      <c r="RXH6" s="977"/>
      <c r="RXI6" s="977"/>
      <c r="RXJ6" s="977"/>
      <c r="RXK6" s="977"/>
      <c r="RXL6" s="977"/>
      <c r="RXM6" s="977"/>
      <c r="RXN6" s="977"/>
      <c r="RXO6" s="977"/>
      <c r="RXP6" s="977"/>
      <c r="RXQ6" s="977"/>
      <c r="RXR6" s="977"/>
      <c r="RXS6" s="977"/>
      <c r="RXT6" s="977"/>
      <c r="RXU6" s="977"/>
      <c r="RXV6" s="977"/>
      <c r="RXW6" s="977"/>
      <c r="RXX6" s="977"/>
      <c r="RXY6" s="977"/>
      <c r="RXZ6" s="977"/>
      <c r="RYA6" s="977"/>
      <c r="RYB6" s="977"/>
      <c r="RYC6" s="977"/>
      <c r="RYD6" s="977"/>
      <c r="RYE6" s="977"/>
      <c r="RYF6" s="977"/>
      <c r="RYG6" s="977"/>
      <c r="RYH6" s="977"/>
      <c r="RYI6" s="977"/>
      <c r="RYJ6" s="977"/>
      <c r="RYK6" s="977"/>
      <c r="RYL6" s="977"/>
      <c r="RYM6" s="977"/>
      <c r="RYN6" s="977"/>
      <c r="RYO6" s="977"/>
      <c r="RYP6" s="977"/>
      <c r="RYQ6" s="977"/>
      <c r="RYR6" s="977"/>
      <c r="RYS6" s="977"/>
      <c r="RYT6" s="977"/>
      <c r="RYU6" s="977"/>
      <c r="RYV6" s="977"/>
      <c r="RYW6" s="977"/>
      <c r="RYX6" s="977"/>
      <c r="RYY6" s="977"/>
      <c r="RYZ6" s="977"/>
      <c r="RZA6" s="977"/>
      <c r="RZB6" s="977"/>
      <c r="RZC6" s="977"/>
      <c r="RZD6" s="977"/>
      <c r="RZE6" s="977"/>
      <c r="RZF6" s="977"/>
      <c r="RZG6" s="977"/>
      <c r="RZH6" s="977"/>
      <c r="RZI6" s="977"/>
      <c r="RZJ6" s="977"/>
      <c r="RZK6" s="977"/>
      <c r="RZL6" s="977"/>
      <c r="RZM6" s="977"/>
      <c r="RZN6" s="977"/>
      <c r="RZO6" s="977"/>
      <c r="RZP6" s="977"/>
      <c r="RZQ6" s="977"/>
      <c r="RZR6" s="977"/>
      <c r="RZS6" s="977"/>
      <c r="RZT6" s="977"/>
      <c r="RZU6" s="977"/>
      <c r="RZV6" s="977"/>
      <c r="RZW6" s="977"/>
      <c r="RZX6" s="977"/>
      <c r="RZY6" s="977"/>
      <c r="RZZ6" s="977"/>
      <c r="SAA6" s="977"/>
      <c r="SAB6" s="977"/>
      <c r="SAC6" s="977"/>
      <c r="SAD6" s="977"/>
      <c r="SAE6" s="977"/>
      <c r="SAF6" s="977"/>
      <c r="SAG6" s="977"/>
      <c r="SAH6" s="977"/>
      <c r="SAI6" s="977"/>
      <c r="SAJ6" s="977"/>
      <c r="SAK6" s="977"/>
      <c r="SAL6" s="977"/>
      <c r="SAM6" s="977"/>
      <c r="SAN6" s="977"/>
      <c r="SAO6" s="977"/>
      <c r="SAP6" s="977"/>
      <c r="SAQ6" s="977"/>
      <c r="SAR6" s="977"/>
      <c r="SAS6" s="977"/>
      <c r="SAT6" s="977"/>
      <c r="SAU6" s="977"/>
      <c r="SAV6" s="977"/>
      <c r="SAW6" s="977"/>
      <c r="SAX6" s="977"/>
      <c r="SAY6" s="977"/>
      <c r="SAZ6" s="977"/>
      <c r="SBA6" s="977"/>
      <c r="SBB6" s="977"/>
      <c r="SBC6" s="977"/>
      <c r="SBD6" s="977"/>
      <c r="SBE6" s="977"/>
      <c r="SBF6" s="977"/>
      <c r="SBG6" s="977"/>
      <c r="SBH6" s="977"/>
      <c r="SBI6" s="977"/>
      <c r="SBJ6" s="977"/>
      <c r="SBK6" s="977"/>
      <c r="SBL6" s="977"/>
      <c r="SBM6" s="977"/>
      <c r="SBN6" s="977"/>
      <c r="SBO6" s="977"/>
      <c r="SBP6" s="977"/>
      <c r="SBQ6" s="977"/>
      <c r="SBR6" s="977"/>
      <c r="SBS6" s="977"/>
      <c r="SBT6" s="977"/>
      <c r="SBU6" s="977"/>
      <c r="SBV6" s="977"/>
      <c r="SBW6" s="977"/>
      <c r="SBX6" s="977"/>
      <c r="SBY6" s="977"/>
      <c r="SBZ6" s="977"/>
      <c r="SCA6" s="977"/>
      <c r="SCB6" s="977"/>
      <c r="SCC6" s="977"/>
      <c r="SCD6" s="977"/>
      <c r="SCE6" s="977"/>
      <c r="SCF6" s="977"/>
      <c r="SCG6" s="977"/>
      <c r="SCH6" s="977"/>
      <c r="SCI6" s="977"/>
      <c r="SCJ6" s="977"/>
      <c r="SCK6" s="977"/>
      <c r="SCL6" s="977"/>
      <c r="SCM6" s="977"/>
      <c r="SCN6" s="977"/>
      <c r="SCO6" s="977"/>
      <c r="SCP6" s="977"/>
      <c r="SCQ6" s="977"/>
      <c r="SCR6" s="977"/>
      <c r="SCS6" s="977"/>
      <c r="SCT6" s="977"/>
      <c r="SCU6" s="977"/>
      <c r="SCV6" s="977"/>
      <c r="SCW6" s="977"/>
      <c r="SCX6" s="977"/>
      <c r="SCY6" s="977"/>
      <c r="SCZ6" s="977"/>
      <c r="SDA6" s="977"/>
      <c r="SDB6" s="977"/>
      <c r="SDC6" s="977"/>
      <c r="SDD6" s="977"/>
      <c r="SDE6" s="977"/>
      <c r="SDF6" s="977"/>
      <c r="SDG6" s="977"/>
      <c r="SDH6" s="977"/>
      <c r="SDI6" s="977"/>
      <c r="SDJ6" s="977"/>
      <c r="SDK6" s="977"/>
      <c r="SDL6" s="977"/>
      <c r="SDM6" s="977"/>
      <c r="SDN6" s="977"/>
      <c r="SDO6" s="977"/>
      <c r="SDP6" s="977"/>
      <c r="SDQ6" s="977"/>
      <c r="SDR6" s="977"/>
      <c r="SDS6" s="977"/>
      <c r="SDT6" s="977"/>
      <c r="SDU6" s="977"/>
      <c r="SDV6" s="977"/>
      <c r="SDW6" s="977"/>
      <c r="SDX6" s="977"/>
      <c r="SDY6" s="977"/>
      <c r="SDZ6" s="977"/>
      <c r="SEA6" s="977"/>
      <c r="SEB6" s="977"/>
      <c r="SEC6" s="977"/>
      <c r="SED6" s="977"/>
      <c r="SEE6" s="977"/>
      <c r="SEF6" s="977"/>
      <c r="SEG6" s="977"/>
      <c r="SEH6" s="977"/>
      <c r="SEI6" s="977"/>
      <c r="SEJ6" s="977"/>
      <c r="SEK6" s="977"/>
      <c r="SEL6" s="977"/>
      <c r="SEM6" s="977"/>
      <c r="SEN6" s="977"/>
      <c r="SEO6" s="977"/>
      <c r="SEP6" s="977"/>
      <c r="SEQ6" s="977"/>
      <c r="SER6" s="977"/>
      <c r="SES6" s="977"/>
      <c r="SET6" s="977"/>
      <c r="SEU6" s="977"/>
      <c r="SEV6" s="977"/>
      <c r="SEW6" s="977"/>
      <c r="SEX6" s="977"/>
      <c r="SEY6" s="977"/>
      <c r="SEZ6" s="977"/>
      <c r="SFA6" s="977"/>
      <c r="SFB6" s="977"/>
      <c r="SFC6" s="977"/>
      <c r="SFD6" s="977"/>
      <c r="SFE6" s="977"/>
      <c r="SFF6" s="977"/>
      <c r="SFG6" s="977"/>
      <c r="SFH6" s="977"/>
      <c r="SFI6" s="977"/>
      <c r="SFJ6" s="977"/>
      <c r="SFK6" s="977"/>
      <c r="SFL6" s="977"/>
      <c r="SFM6" s="977"/>
      <c r="SFN6" s="977"/>
      <c r="SFO6" s="977"/>
      <c r="SFP6" s="977"/>
      <c r="SFQ6" s="977"/>
      <c r="SFR6" s="977"/>
      <c r="SFS6" s="977"/>
      <c r="SFT6" s="977"/>
      <c r="SFU6" s="977"/>
      <c r="SFV6" s="977"/>
      <c r="SFW6" s="977"/>
      <c r="SFX6" s="977"/>
      <c r="SFY6" s="977"/>
      <c r="SFZ6" s="977"/>
      <c r="SGA6" s="977"/>
      <c r="SGB6" s="977"/>
      <c r="SGC6" s="977"/>
      <c r="SGD6" s="977"/>
      <c r="SGE6" s="977"/>
      <c r="SGF6" s="977"/>
      <c r="SGG6" s="977"/>
      <c r="SGH6" s="977"/>
      <c r="SGI6" s="977"/>
      <c r="SGJ6" s="977"/>
      <c r="SGK6" s="977"/>
      <c r="SGL6" s="977"/>
      <c r="SGM6" s="977"/>
      <c r="SGN6" s="977"/>
      <c r="SGO6" s="977"/>
      <c r="SGP6" s="977"/>
      <c r="SGQ6" s="977"/>
      <c r="SGR6" s="977"/>
      <c r="SGS6" s="977"/>
      <c r="SGT6" s="977"/>
      <c r="SGU6" s="977"/>
      <c r="SGV6" s="977"/>
      <c r="SGW6" s="977"/>
      <c r="SGX6" s="977"/>
      <c r="SGY6" s="977"/>
      <c r="SGZ6" s="977"/>
      <c r="SHA6" s="977"/>
      <c r="SHB6" s="977"/>
      <c r="SHC6" s="977"/>
      <c r="SHD6" s="977"/>
      <c r="SHE6" s="977"/>
      <c r="SHF6" s="977"/>
      <c r="SHG6" s="977"/>
      <c r="SHH6" s="977"/>
      <c r="SHI6" s="977"/>
      <c r="SHJ6" s="977"/>
      <c r="SHK6" s="977"/>
      <c r="SHL6" s="977"/>
      <c r="SHM6" s="977"/>
      <c r="SHN6" s="977"/>
      <c r="SHO6" s="977"/>
      <c r="SHP6" s="977"/>
      <c r="SHQ6" s="977"/>
      <c r="SHR6" s="977"/>
      <c r="SHS6" s="977"/>
      <c r="SHT6" s="977"/>
      <c r="SHU6" s="977"/>
      <c r="SHV6" s="977"/>
      <c r="SHW6" s="977"/>
      <c r="SHX6" s="977"/>
      <c r="SHY6" s="977"/>
      <c r="SHZ6" s="977"/>
      <c r="SIA6" s="977"/>
      <c r="SIB6" s="977"/>
      <c r="SIC6" s="977"/>
      <c r="SID6" s="977"/>
      <c r="SIE6" s="977"/>
      <c r="SIF6" s="977"/>
      <c r="SIG6" s="977"/>
      <c r="SIH6" s="977"/>
      <c r="SII6" s="977"/>
      <c r="SIJ6" s="977"/>
      <c r="SIK6" s="977"/>
      <c r="SIL6" s="977"/>
      <c r="SIM6" s="977"/>
      <c r="SIN6" s="977"/>
      <c r="SIO6" s="977"/>
      <c r="SIP6" s="977"/>
      <c r="SIQ6" s="977"/>
      <c r="SIR6" s="977"/>
      <c r="SIS6" s="977"/>
      <c r="SIT6" s="977"/>
      <c r="SIU6" s="977"/>
      <c r="SIV6" s="977"/>
      <c r="SIW6" s="977"/>
      <c r="SIX6" s="977"/>
      <c r="SIY6" s="977"/>
      <c r="SIZ6" s="977"/>
      <c r="SJA6" s="977"/>
      <c r="SJB6" s="977"/>
      <c r="SJC6" s="977"/>
      <c r="SJD6" s="977"/>
      <c r="SJE6" s="977"/>
      <c r="SJF6" s="977"/>
      <c r="SJG6" s="977"/>
      <c r="SJH6" s="977"/>
      <c r="SJI6" s="977"/>
      <c r="SJJ6" s="977"/>
      <c r="SJK6" s="977"/>
      <c r="SJL6" s="977"/>
      <c r="SJM6" s="977"/>
      <c r="SJN6" s="977"/>
      <c r="SJO6" s="977"/>
      <c r="SJP6" s="977"/>
      <c r="SJQ6" s="977"/>
      <c r="SJR6" s="977"/>
      <c r="SJS6" s="977"/>
      <c r="SJT6" s="977"/>
      <c r="SJU6" s="977"/>
      <c r="SJV6" s="977"/>
      <c r="SJW6" s="977"/>
      <c r="SJX6" s="977"/>
      <c r="SJY6" s="977"/>
      <c r="SJZ6" s="977"/>
      <c r="SKA6" s="977"/>
      <c r="SKB6" s="977"/>
      <c r="SKC6" s="977"/>
      <c r="SKD6" s="977"/>
      <c r="SKE6" s="977"/>
      <c r="SKF6" s="977"/>
      <c r="SKG6" s="977"/>
      <c r="SKH6" s="977"/>
      <c r="SKI6" s="977"/>
      <c r="SKJ6" s="977"/>
      <c r="SKK6" s="977"/>
      <c r="SKL6" s="977"/>
      <c r="SKM6" s="977"/>
      <c r="SKN6" s="977"/>
      <c r="SKO6" s="977"/>
      <c r="SKP6" s="977"/>
      <c r="SKQ6" s="977"/>
      <c r="SKR6" s="977"/>
      <c r="SKS6" s="977"/>
      <c r="SKT6" s="977"/>
      <c r="SKU6" s="977"/>
      <c r="SKV6" s="977"/>
      <c r="SKW6" s="977"/>
      <c r="SKX6" s="977"/>
      <c r="SKY6" s="977"/>
      <c r="SKZ6" s="977"/>
      <c r="SLA6" s="977"/>
      <c r="SLB6" s="977"/>
      <c r="SLC6" s="977"/>
      <c r="SLD6" s="977"/>
      <c r="SLE6" s="977"/>
      <c r="SLF6" s="977"/>
      <c r="SLG6" s="977"/>
      <c r="SLH6" s="977"/>
      <c r="SLI6" s="977"/>
      <c r="SLJ6" s="977"/>
      <c r="SLK6" s="977"/>
      <c r="SLL6" s="977"/>
      <c r="SLM6" s="977"/>
      <c r="SLN6" s="977"/>
      <c r="SLO6" s="977"/>
      <c r="SLP6" s="977"/>
      <c r="SLQ6" s="977"/>
      <c r="SLR6" s="977"/>
      <c r="SLS6" s="977"/>
      <c r="SLT6" s="977"/>
      <c r="SLU6" s="977"/>
      <c r="SLV6" s="977"/>
      <c r="SLW6" s="977"/>
      <c r="SLX6" s="977"/>
      <c r="SLY6" s="977"/>
      <c r="SLZ6" s="977"/>
      <c r="SMA6" s="977"/>
      <c r="SMB6" s="977"/>
      <c r="SMC6" s="977"/>
      <c r="SMD6" s="977"/>
      <c r="SME6" s="977"/>
      <c r="SMF6" s="977"/>
      <c r="SMG6" s="977"/>
      <c r="SMH6" s="977"/>
      <c r="SMI6" s="977"/>
      <c r="SMJ6" s="977"/>
      <c r="SMK6" s="977"/>
      <c r="SML6" s="977"/>
      <c r="SMM6" s="977"/>
      <c r="SMN6" s="977"/>
      <c r="SMO6" s="977"/>
      <c r="SMP6" s="977"/>
      <c r="SMQ6" s="977"/>
      <c r="SMR6" s="977"/>
      <c r="SMS6" s="977"/>
      <c r="SMT6" s="977"/>
      <c r="SMU6" s="977"/>
      <c r="SMV6" s="977"/>
      <c r="SMW6" s="977"/>
      <c r="SMX6" s="977"/>
      <c r="SMY6" s="977"/>
      <c r="SMZ6" s="977"/>
      <c r="SNA6" s="977"/>
      <c r="SNB6" s="977"/>
      <c r="SNC6" s="977"/>
      <c r="SND6" s="977"/>
      <c r="SNE6" s="977"/>
      <c r="SNF6" s="977"/>
      <c r="SNG6" s="977"/>
      <c r="SNH6" s="977"/>
      <c r="SNI6" s="977"/>
      <c r="SNJ6" s="977"/>
      <c r="SNK6" s="977"/>
      <c r="SNL6" s="977"/>
      <c r="SNM6" s="977"/>
      <c r="SNN6" s="977"/>
      <c r="SNO6" s="977"/>
      <c r="SNP6" s="977"/>
      <c r="SNQ6" s="977"/>
      <c r="SNR6" s="977"/>
      <c r="SNS6" s="977"/>
      <c r="SNT6" s="977"/>
      <c r="SNU6" s="977"/>
      <c r="SNV6" s="977"/>
      <c r="SNW6" s="977"/>
      <c r="SNX6" s="977"/>
      <c r="SNY6" s="977"/>
      <c r="SNZ6" s="977"/>
      <c r="SOA6" s="977"/>
      <c r="SOB6" s="977"/>
      <c r="SOC6" s="977"/>
      <c r="SOD6" s="977"/>
      <c r="SOE6" s="977"/>
      <c r="SOF6" s="977"/>
      <c r="SOG6" s="977"/>
      <c r="SOH6" s="977"/>
      <c r="SOI6" s="977"/>
      <c r="SOJ6" s="977"/>
      <c r="SOK6" s="977"/>
      <c r="SOL6" s="977"/>
      <c r="SOM6" s="977"/>
      <c r="SON6" s="977"/>
      <c r="SOO6" s="977"/>
      <c r="SOP6" s="977"/>
      <c r="SOQ6" s="977"/>
      <c r="SOR6" s="977"/>
      <c r="SOS6" s="977"/>
      <c r="SOT6" s="977"/>
      <c r="SOU6" s="977"/>
      <c r="SOV6" s="977"/>
      <c r="SOW6" s="977"/>
      <c r="SOX6" s="977"/>
      <c r="SOY6" s="977"/>
      <c r="SOZ6" s="977"/>
      <c r="SPA6" s="977"/>
      <c r="SPB6" s="977"/>
      <c r="SPC6" s="977"/>
      <c r="SPD6" s="977"/>
      <c r="SPE6" s="977"/>
      <c r="SPF6" s="977"/>
      <c r="SPG6" s="977"/>
      <c r="SPH6" s="977"/>
      <c r="SPI6" s="977"/>
      <c r="SPJ6" s="977"/>
      <c r="SPK6" s="977"/>
      <c r="SPL6" s="977"/>
      <c r="SPM6" s="977"/>
      <c r="SPN6" s="977"/>
      <c r="SPO6" s="977"/>
      <c r="SPP6" s="977"/>
      <c r="SPQ6" s="977"/>
      <c r="SPR6" s="977"/>
      <c r="SPS6" s="977"/>
      <c r="SPT6" s="977"/>
      <c r="SPU6" s="977"/>
      <c r="SPV6" s="977"/>
      <c r="SPW6" s="977"/>
      <c r="SPX6" s="977"/>
      <c r="SPY6" s="977"/>
      <c r="SPZ6" s="977"/>
      <c r="SQA6" s="977"/>
      <c r="SQB6" s="977"/>
      <c r="SQC6" s="977"/>
      <c r="SQD6" s="977"/>
      <c r="SQE6" s="977"/>
      <c r="SQF6" s="977"/>
      <c r="SQG6" s="977"/>
      <c r="SQH6" s="977"/>
      <c r="SQI6" s="977"/>
      <c r="SQJ6" s="977"/>
      <c r="SQK6" s="977"/>
      <c r="SQL6" s="977"/>
      <c r="SQM6" s="977"/>
      <c r="SQN6" s="977"/>
      <c r="SQO6" s="977"/>
      <c r="SQP6" s="977"/>
      <c r="SQQ6" s="977"/>
      <c r="SQR6" s="977"/>
      <c r="SQS6" s="977"/>
      <c r="SQT6" s="977"/>
      <c r="SQU6" s="977"/>
      <c r="SQV6" s="977"/>
      <c r="SQW6" s="977"/>
      <c r="SQX6" s="977"/>
      <c r="SQY6" s="977"/>
      <c r="SQZ6" s="977"/>
      <c r="SRA6" s="977"/>
      <c r="SRB6" s="977"/>
      <c r="SRC6" s="977"/>
      <c r="SRD6" s="977"/>
      <c r="SRE6" s="977"/>
      <c r="SRF6" s="977"/>
      <c r="SRG6" s="977"/>
      <c r="SRH6" s="977"/>
      <c r="SRI6" s="977"/>
      <c r="SRJ6" s="977"/>
      <c r="SRK6" s="977"/>
      <c r="SRL6" s="977"/>
      <c r="SRM6" s="977"/>
      <c r="SRN6" s="977"/>
      <c r="SRO6" s="977"/>
      <c r="SRP6" s="977"/>
      <c r="SRQ6" s="977"/>
      <c r="SRR6" s="977"/>
      <c r="SRS6" s="977"/>
      <c r="SRT6" s="977"/>
      <c r="SRU6" s="977"/>
      <c r="SRV6" s="977"/>
      <c r="SRW6" s="977"/>
      <c r="SRX6" s="977"/>
      <c r="SRY6" s="977"/>
      <c r="SRZ6" s="977"/>
      <c r="SSA6" s="977"/>
      <c r="SSB6" s="977"/>
      <c r="SSC6" s="977"/>
      <c r="SSD6" s="977"/>
      <c r="SSE6" s="977"/>
      <c r="SSF6" s="977"/>
      <c r="SSG6" s="977"/>
      <c r="SSH6" s="977"/>
      <c r="SSI6" s="977"/>
      <c r="SSJ6" s="977"/>
      <c r="SSK6" s="977"/>
      <c r="SSL6" s="977"/>
      <c r="SSM6" s="977"/>
      <c r="SSN6" s="977"/>
      <c r="SSO6" s="977"/>
      <c r="SSP6" s="977"/>
      <c r="SSQ6" s="977"/>
      <c r="SSR6" s="977"/>
      <c r="SSS6" s="977"/>
      <c r="SST6" s="977"/>
      <c r="SSU6" s="977"/>
      <c r="SSV6" s="977"/>
      <c r="SSW6" s="977"/>
      <c r="SSX6" s="977"/>
      <c r="SSY6" s="977"/>
      <c r="SSZ6" s="977"/>
      <c r="STA6" s="977"/>
      <c r="STB6" s="977"/>
      <c r="STC6" s="977"/>
      <c r="STD6" s="977"/>
      <c r="STE6" s="977"/>
      <c r="STF6" s="977"/>
      <c r="STG6" s="977"/>
      <c r="STH6" s="977"/>
      <c r="STI6" s="977"/>
      <c r="STJ6" s="977"/>
      <c r="STK6" s="977"/>
      <c r="STL6" s="977"/>
      <c r="STM6" s="977"/>
      <c r="STN6" s="977"/>
      <c r="STO6" s="977"/>
      <c r="STP6" s="977"/>
      <c r="STQ6" s="977"/>
      <c r="STR6" s="977"/>
      <c r="STS6" s="977"/>
      <c r="STT6" s="977"/>
      <c r="STU6" s="977"/>
      <c r="STV6" s="977"/>
      <c r="STW6" s="977"/>
      <c r="STX6" s="977"/>
      <c r="STY6" s="977"/>
      <c r="STZ6" s="977"/>
      <c r="SUA6" s="977"/>
      <c r="SUB6" s="977"/>
      <c r="SUC6" s="977"/>
      <c r="SUD6" s="977"/>
      <c r="SUE6" s="977"/>
      <c r="SUF6" s="977"/>
      <c r="SUG6" s="977"/>
      <c r="SUH6" s="977"/>
      <c r="SUI6" s="977"/>
      <c r="SUJ6" s="977"/>
      <c r="SUK6" s="977"/>
      <c r="SUL6" s="977"/>
      <c r="SUM6" s="977"/>
      <c r="SUN6" s="977"/>
      <c r="SUO6" s="977"/>
      <c r="SUP6" s="977"/>
      <c r="SUQ6" s="977"/>
      <c r="SUR6" s="977"/>
      <c r="SUS6" s="977"/>
      <c r="SUT6" s="977"/>
      <c r="SUU6" s="977"/>
      <c r="SUV6" s="977"/>
      <c r="SUW6" s="977"/>
      <c r="SUX6" s="977"/>
      <c r="SUY6" s="977"/>
      <c r="SUZ6" s="977"/>
      <c r="SVA6" s="977"/>
      <c r="SVB6" s="977"/>
      <c r="SVC6" s="977"/>
      <c r="SVD6" s="977"/>
      <c r="SVE6" s="977"/>
      <c r="SVF6" s="977"/>
      <c r="SVG6" s="977"/>
      <c r="SVH6" s="977"/>
      <c r="SVI6" s="977"/>
      <c r="SVJ6" s="977"/>
      <c r="SVK6" s="977"/>
      <c r="SVL6" s="977"/>
      <c r="SVM6" s="977"/>
      <c r="SVN6" s="977"/>
      <c r="SVO6" s="977"/>
      <c r="SVP6" s="977"/>
      <c r="SVQ6" s="977"/>
      <c r="SVR6" s="977"/>
      <c r="SVS6" s="977"/>
      <c r="SVT6" s="977"/>
      <c r="SVU6" s="977"/>
      <c r="SVV6" s="977"/>
      <c r="SVW6" s="977"/>
      <c r="SVX6" s="977"/>
      <c r="SVY6" s="977"/>
      <c r="SVZ6" s="977"/>
      <c r="SWA6" s="977"/>
      <c r="SWB6" s="977"/>
      <c r="SWC6" s="977"/>
      <c r="SWD6" s="977"/>
      <c r="SWE6" s="977"/>
      <c r="SWF6" s="977"/>
      <c r="SWG6" s="977"/>
      <c r="SWH6" s="977"/>
      <c r="SWI6" s="977"/>
      <c r="SWJ6" s="977"/>
      <c r="SWK6" s="977"/>
      <c r="SWL6" s="977"/>
      <c r="SWM6" s="977"/>
      <c r="SWN6" s="977"/>
      <c r="SWO6" s="977"/>
      <c r="SWP6" s="977"/>
      <c r="SWQ6" s="977"/>
      <c r="SWR6" s="977"/>
      <c r="SWS6" s="977"/>
      <c r="SWT6" s="977"/>
      <c r="SWU6" s="977"/>
      <c r="SWV6" s="977"/>
      <c r="SWW6" s="977"/>
      <c r="SWX6" s="977"/>
      <c r="SWY6" s="977"/>
      <c r="SWZ6" s="977"/>
      <c r="SXA6" s="977"/>
      <c r="SXB6" s="977"/>
      <c r="SXC6" s="977"/>
      <c r="SXD6" s="977"/>
      <c r="SXE6" s="977"/>
      <c r="SXF6" s="977"/>
      <c r="SXG6" s="977"/>
      <c r="SXH6" s="977"/>
      <c r="SXI6" s="977"/>
      <c r="SXJ6" s="977"/>
      <c r="SXK6" s="977"/>
      <c r="SXL6" s="977"/>
      <c r="SXM6" s="977"/>
      <c r="SXN6" s="977"/>
      <c r="SXO6" s="977"/>
      <c r="SXP6" s="977"/>
      <c r="SXQ6" s="977"/>
      <c r="SXR6" s="977"/>
      <c r="SXS6" s="977"/>
      <c r="SXT6" s="977"/>
      <c r="SXU6" s="977"/>
      <c r="SXV6" s="977"/>
      <c r="SXW6" s="977"/>
      <c r="SXX6" s="977"/>
      <c r="SXY6" s="977"/>
      <c r="SXZ6" s="977"/>
      <c r="SYA6" s="977"/>
      <c r="SYB6" s="977"/>
      <c r="SYC6" s="977"/>
      <c r="SYD6" s="977"/>
      <c r="SYE6" s="977"/>
      <c r="SYF6" s="977"/>
      <c r="SYG6" s="977"/>
      <c r="SYH6" s="977"/>
      <c r="SYI6" s="977"/>
      <c r="SYJ6" s="977"/>
      <c r="SYK6" s="977"/>
      <c r="SYL6" s="977"/>
      <c r="SYM6" s="977"/>
      <c r="SYN6" s="977"/>
      <c r="SYO6" s="977"/>
      <c r="SYP6" s="977"/>
      <c r="SYQ6" s="977"/>
      <c r="SYR6" s="977"/>
      <c r="SYS6" s="977"/>
      <c r="SYT6" s="977"/>
      <c r="SYU6" s="977"/>
      <c r="SYV6" s="977"/>
      <c r="SYW6" s="977"/>
      <c r="SYX6" s="977"/>
      <c r="SYY6" s="977"/>
      <c r="SYZ6" s="977"/>
      <c r="SZA6" s="977"/>
      <c r="SZB6" s="977"/>
      <c r="SZC6" s="977"/>
      <c r="SZD6" s="977"/>
      <c r="SZE6" s="977"/>
      <c r="SZF6" s="977"/>
      <c r="SZG6" s="977"/>
      <c r="SZH6" s="977"/>
      <c r="SZI6" s="977"/>
      <c r="SZJ6" s="977"/>
      <c r="SZK6" s="977"/>
      <c r="SZL6" s="977"/>
      <c r="SZM6" s="977"/>
      <c r="SZN6" s="977"/>
      <c r="SZO6" s="977"/>
      <c r="SZP6" s="977"/>
      <c r="SZQ6" s="977"/>
      <c r="SZR6" s="977"/>
      <c r="SZS6" s="977"/>
      <c r="SZT6" s="977"/>
      <c r="SZU6" s="977"/>
      <c r="SZV6" s="977"/>
      <c r="SZW6" s="977"/>
      <c r="SZX6" s="977"/>
      <c r="SZY6" s="977"/>
      <c r="SZZ6" s="977"/>
      <c r="TAA6" s="977"/>
      <c r="TAB6" s="977"/>
      <c r="TAC6" s="977"/>
      <c r="TAD6" s="977"/>
      <c r="TAE6" s="977"/>
      <c r="TAF6" s="977"/>
      <c r="TAG6" s="977"/>
      <c r="TAH6" s="977"/>
      <c r="TAI6" s="977"/>
      <c r="TAJ6" s="977"/>
      <c r="TAK6" s="977"/>
      <c r="TAL6" s="977"/>
      <c r="TAM6" s="977"/>
      <c r="TAN6" s="977"/>
      <c r="TAO6" s="977"/>
      <c r="TAP6" s="977"/>
      <c r="TAQ6" s="977"/>
      <c r="TAR6" s="977"/>
      <c r="TAS6" s="977"/>
      <c r="TAT6" s="977"/>
      <c r="TAU6" s="977"/>
      <c r="TAV6" s="977"/>
      <c r="TAW6" s="977"/>
      <c r="TAX6" s="977"/>
      <c r="TAY6" s="977"/>
      <c r="TAZ6" s="977"/>
      <c r="TBA6" s="977"/>
      <c r="TBB6" s="977"/>
      <c r="TBC6" s="977"/>
      <c r="TBD6" s="977"/>
      <c r="TBE6" s="977"/>
      <c r="TBF6" s="977"/>
      <c r="TBG6" s="977"/>
      <c r="TBH6" s="977"/>
      <c r="TBI6" s="977"/>
      <c r="TBJ6" s="977"/>
      <c r="TBK6" s="977"/>
      <c r="TBL6" s="977"/>
      <c r="TBM6" s="977"/>
      <c r="TBN6" s="977"/>
      <c r="TBO6" s="977"/>
      <c r="TBP6" s="977"/>
      <c r="TBQ6" s="977"/>
      <c r="TBR6" s="977"/>
      <c r="TBS6" s="977"/>
      <c r="TBT6" s="977"/>
      <c r="TBU6" s="977"/>
      <c r="TBV6" s="977"/>
      <c r="TBW6" s="977"/>
      <c r="TBX6" s="977"/>
      <c r="TBY6" s="977"/>
      <c r="TBZ6" s="977"/>
      <c r="TCA6" s="977"/>
      <c r="TCB6" s="977"/>
      <c r="TCC6" s="977"/>
      <c r="TCD6" s="977"/>
      <c r="TCE6" s="977"/>
      <c r="TCF6" s="977"/>
      <c r="TCG6" s="977"/>
      <c r="TCH6" s="977"/>
      <c r="TCI6" s="977"/>
      <c r="TCJ6" s="977"/>
      <c r="TCK6" s="977"/>
      <c r="TCL6" s="977"/>
      <c r="TCM6" s="977"/>
      <c r="TCN6" s="977"/>
      <c r="TCO6" s="977"/>
      <c r="TCP6" s="977"/>
      <c r="TCQ6" s="977"/>
      <c r="TCR6" s="977"/>
      <c r="TCS6" s="977"/>
      <c r="TCT6" s="977"/>
      <c r="TCU6" s="977"/>
      <c r="TCV6" s="977"/>
      <c r="TCW6" s="977"/>
      <c r="TCX6" s="977"/>
      <c r="TCY6" s="977"/>
      <c r="TCZ6" s="977"/>
      <c r="TDA6" s="977"/>
      <c r="TDB6" s="977"/>
      <c r="TDC6" s="977"/>
      <c r="TDD6" s="977"/>
      <c r="TDE6" s="977"/>
      <c r="TDF6" s="977"/>
      <c r="TDG6" s="977"/>
      <c r="TDH6" s="977"/>
      <c r="TDI6" s="977"/>
      <c r="TDJ6" s="977"/>
      <c r="TDK6" s="977"/>
      <c r="TDL6" s="977"/>
      <c r="TDM6" s="977"/>
      <c r="TDN6" s="977"/>
      <c r="TDO6" s="977"/>
      <c r="TDP6" s="977"/>
      <c r="TDQ6" s="977"/>
      <c r="TDR6" s="977"/>
      <c r="TDS6" s="977"/>
      <c r="TDT6" s="977"/>
      <c r="TDU6" s="977"/>
      <c r="TDV6" s="977"/>
      <c r="TDW6" s="977"/>
      <c r="TDX6" s="977"/>
      <c r="TDY6" s="977"/>
      <c r="TDZ6" s="977"/>
      <c r="TEA6" s="977"/>
      <c r="TEB6" s="977"/>
      <c r="TEC6" s="977"/>
      <c r="TED6" s="977"/>
      <c r="TEE6" s="977"/>
      <c r="TEF6" s="977"/>
      <c r="TEG6" s="977"/>
      <c r="TEH6" s="977"/>
      <c r="TEI6" s="977"/>
      <c r="TEJ6" s="977"/>
      <c r="TEK6" s="977"/>
      <c r="TEL6" s="977"/>
      <c r="TEM6" s="977"/>
      <c r="TEN6" s="977"/>
      <c r="TEO6" s="977"/>
      <c r="TEP6" s="977"/>
      <c r="TEQ6" s="977"/>
      <c r="TER6" s="977"/>
      <c r="TES6" s="977"/>
      <c r="TET6" s="977"/>
      <c r="TEU6" s="977"/>
      <c r="TEV6" s="977"/>
      <c r="TEW6" s="977"/>
      <c r="TEX6" s="977"/>
      <c r="TEY6" s="977"/>
      <c r="TEZ6" s="977"/>
      <c r="TFA6" s="977"/>
      <c r="TFB6" s="977"/>
      <c r="TFC6" s="977"/>
      <c r="TFD6" s="977"/>
      <c r="TFE6" s="977"/>
      <c r="TFF6" s="977"/>
      <c r="TFG6" s="977"/>
      <c r="TFH6" s="977"/>
      <c r="TFI6" s="977"/>
      <c r="TFJ6" s="977"/>
      <c r="TFK6" s="977"/>
      <c r="TFL6" s="977"/>
      <c r="TFM6" s="977"/>
      <c r="TFN6" s="977"/>
      <c r="TFO6" s="977"/>
      <c r="TFP6" s="977"/>
      <c r="TFQ6" s="977"/>
      <c r="TFR6" s="977"/>
      <c r="TFS6" s="977"/>
      <c r="TFT6" s="977"/>
      <c r="TFU6" s="977"/>
      <c r="TFV6" s="977"/>
      <c r="TFW6" s="977"/>
      <c r="TFX6" s="977"/>
      <c r="TFY6" s="977"/>
      <c r="TFZ6" s="977"/>
      <c r="TGA6" s="977"/>
      <c r="TGB6" s="977"/>
      <c r="TGC6" s="977"/>
      <c r="TGD6" s="977"/>
      <c r="TGE6" s="977"/>
      <c r="TGF6" s="977"/>
      <c r="TGG6" s="977"/>
      <c r="TGH6" s="977"/>
      <c r="TGI6" s="977"/>
      <c r="TGJ6" s="977"/>
      <c r="TGK6" s="977"/>
      <c r="TGL6" s="977"/>
      <c r="TGM6" s="977"/>
      <c r="TGN6" s="977"/>
      <c r="TGO6" s="977"/>
      <c r="TGP6" s="977"/>
      <c r="TGQ6" s="977"/>
      <c r="TGR6" s="977"/>
      <c r="TGS6" s="977"/>
      <c r="TGT6" s="977"/>
      <c r="TGU6" s="977"/>
      <c r="TGV6" s="977"/>
      <c r="TGW6" s="977"/>
      <c r="TGX6" s="977"/>
      <c r="TGY6" s="977"/>
      <c r="TGZ6" s="977"/>
      <c r="THA6" s="977"/>
      <c r="THB6" s="977"/>
      <c r="THC6" s="977"/>
      <c r="THD6" s="977"/>
      <c r="THE6" s="977"/>
      <c r="THF6" s="977"/>
      <c r="THG6" s="977"/>
      <c r="THH6" s="977"/>
      <c r="THI6" s="977"/>
      <c r="THJ6" s="977"/>
      <c r="THK6" s="977"/>
      <c r="THL6" s="977"/>
      <c r="THM6" s="977"/>
      <c r="THN6" s="977"/>
      <c r="THO6" s="977"/>
      <c r="THP6" s="977"/>
      <c r="THQ6" s="977"/>
      <c r="THR6" s="977"/>
      <c r="THS6" s="977"/>
      <c r="THT6" s="977"/>
      <c r="THU6" s="977"/>
      <c r="THV6" s="977"/>
      <c r="THW6" s="977"/>
      <c r="THX6" s="977"/>
      <c r="THY6" s="977"/>
      <c r="THZ6" s="977"/>
      <c r="TIA6" s="977"/>
      <c r="TIB6" s="977"/>
      <c r="TIC6" s="977"/>
      <c r="TID6" s="977"/>
      <c r="TIE6" s="977"/>
      <c r="TIF6" s="977"/>
      <c r="TIG6" s="977"/>
      <c r="TIH6" s="977"/>
      <c r="TII6" s="977"/>
      <c r="TIJ6" s="977"/>
      <c r="TIK6" s="977"/>
      <c r="TIL6" s="977"/>
      <c r="TIM6" s="977"/>
      <c r="TIN6" s="977"/>
      <c r="TIO6" s="977"/>
      <c r="TIP6" s="977"/>
      <c r="TIQ6" s="977"/>
      <c r="TIR6" s="977"/>
      <c r="TIS6" s="977"/>
      <c r="TIT6" s="977"/>
      <c r="TIU6" s="977"/>
      <c r="TIV6" s="977"/>
      <c r="TIW6" s="977"/>
      <c r="TIX6" s="977"/>
      <c r="TIY6" s="977"/>
      <c r="TIZ6" s="977"/>
      <c r="TJA6" s="977"/>
      <c r="TJB6" s="977"/>
      <c r="TJC6" s="977"/>
      <c r="TJD6" s="977"/>
      <c r="TJE6" s="977"/>
      <c r="TJF6" s="977"/>
      <c r="TJG6" s="977"/>
      <c r="TJH6" s="977"/>
      <c r="TJI6" s="977"/>
      <c r="TJJ6" s="977"/>
      <c r="TJK6" s="977"/>
      <c r="TJL6" s="977"/>
      <c r="TJM6" s="977"/>
      <c r="TJN6" s="977"/>
      <c r="TJO6" s="977"/>
      <c r="TJP6" s="977"/>
      <c r="TJQ6" s="977"/>
      <c r="TJR6" s="977"/>
      <c r="TJS6" s="977"/>
      <c r="TJT6" s="977"/>
      <c r="TJU6" s="977"/>
      <c r="TJV6" s="977"/>
      <c r="TJW6" s="977"/>
      <c r="TJX6" s="977"/>
      <c r="TJY6" s="977"/>
      <c r="TJZ6" s="977"/>
      <c r="TKA6" s="977"/>
      <c r="TKB6" s="977"/>
      <c r="TKC6" s="977"/>
      <c r="TKD6" s="977"/>
      <c r="TKE6" s="977"/>
      <c r="TKF6" s="977"/>
      <c r="TKG6" s="977"/>
      <c r="TKH6" s="977"/>
      <c r="TKI6" s="977"/>
      <c r="TKJ6" s="977"/>
      <c r="TKK6" s="977"/>
      <c r="TKL6" s="977"/>
      <c r="TKM6" s="977"/>
      <c r="TKN6" s="977"/>
      <c r="TKO6" s="977"/>
      <c r="TKP6" s="977"/>
      <c r="TKQ6" s="977"/>
      <c r="TKR6" s="977"/>
      <c r="TKS6" s="977"/>
      <c r="TKT6" s="977"/>
      <c r="TKU6" s="977"/>
      <c r="TKV6" s="977"/>
      <c r="TKW6" s="977"/>
      <c r="TKX6" s="977"/>
      <c r="TKY6" s="977"/>
      <c r="TKZ6" s="977"/>
      <c r="TLA6" s="977"/>
      <c r="TLB6" s="977"/>
      <c r="TLC6" s="977"/>
      <c r="TLD6" s="977"/>
      <c r="TLE6" s="977"/>
      <c r="TLF6" s="977"/>
      <c r="TLG6" s="977"/>
      <c r="TLH6" s="977"/>
      <c r="TLI6" s="977"/>
      <c r="TLJ6" s="977"/>
      <c r="TLK6" s="977"/>
      <c r="TLL6" s="977"/>
      <c r="TLM6" s="977"/>
      <c r="TLN6" s="977"/>
      <c r="TLO6" s="977"/>
      <c r="TLP6" s="977"/>
      <c r="TLQ6" s="977"/>
      <c r="TLR6" s="977"/>
      <c r="TLS6" s="977"/>
      <c r="TLT6" s="977"/>
      <c r="TLU6" s="977"/>
      <c r="TLV6" s="977"/>
      <c r="TLW6" s="977"/>
      <c r="TLX6" s="977"/>
      <c r="TLY6" s="977"/>
      <c r="TLZ6" s="977"/>
      <c r="TMA6" s="977"/>
      <c r="TMB6" s="977"/>
      <c r="TMC6" s="977"/>
      <c r="TMD6" s="977"/>
      <c r="TME6" s="977"/>
      <c r="TMF6" s="977"/>
      <c r="TMG6" s="977"/>
      <c r="TMH6" s="977"/>
      <c r="TMI6" s="977"/>
      <c r="TMJ6" s="977"/>
      <c r="TMK6" s="977"/>
      <c r="TML6" s="977"/>
      <c r="TMM6" s="977"/>
      <c r="TMN6" s="977"/>
      <c r="TMO6" s="977"/>
      <c r="TMP6" s="977"/>
      <c r="TMQ6" s="977"/>
      <c r="TMR6" s="977"/>
      <c r="TMS6" s="977"/>
      <c r="TMT6" s="977"/>
      <c r="TMU6" s="977"/>
      <c r="TMV6" s="977"/>
      <c r="TMW6" s="977"/>
      <c r="TMX6" s="977"/>
      <c r="TMY6" s="977"/>
      <c r="TMZ6" s="977"/>
      <c r="TNA6" s="977"/>
      <c r="TNB6" s="977"/>
      <c r="TNC6" s="977"/>
      <c r="TND6" s="977"/>
      <c r="TNE6" s="977"/>
      <c r="TNF6" s="977"/>
      <c r="TNG6" s="977"/>
      <c r="TNH6" s="977"/>
      <c r="TNI6" s="977"/>
      <c r="TNJ6" s="977"/>
      <c r="TNK6" s="977"/>
      <c r="TNL6" s="977"/>
      <c r="TNM6" s="977"/>
      <c r="TNN6" s="977"/>
      <c r="TNO6" s="977"/>
      <c r="TNP6" s="977"/>
      <c r="TNQ6" s="977"/>
      <c r="TNR6" s="977"/>
      <c r="TNS6" s="977"/>
      <c r="TNT6" s="977"/>
      <c r="TNU6" s="977"/>
      <c r="TNV6" s="977"/>
      <c r="TNW6" s="977"/>
      <c r="TNX6" s="977"/>
      <c r="TNY6" s="977"/>
      <c r="TNZ6" s="977"/>
      <c r="TOA6" s="977"/>
      <c r="TOB6" s="977"/>
      <c r="TOC6" s="977"/>
      <c r="TOD6" s="977"/>
      <c r="TOE6" s="977"/>
      <c r="TOF6" s="977"/>
      <c r="TOG6" s="977"/>
      <c r="TOH6" s="977"/>
      <c r="TOI6" s="977"/>
      <c r="TOJ6" s="977"/>
      <c r="TOK6" s="977"/>
      <c r="TOL6" s="977"/>
      <c r="TOM6" s="977"/>
      <c r="TON6" s="977"/>
      <c r="TOO6" s="977"/>
      <c r="TOP6" s="977"/>
      <c r="TOQ6" s="977"/>
      <c r="TOR6" s="977"/>
      <c r="TOS6" s="977"/>
      <c r="TOT6" s="977"/>
      <c r="TOU6" s="977"/>
      <c r="TOV6" s="977"/>
      <c r="TOW6" s="977"/>
      <c r="TOX6" s="977"/>
      <c r="TOY6" s="977"/>
      <c r="TOZ6" s="977"/>
      <c r="TPA6" s="977"/>
      <c r="TPB6" s="977"/>
      <c r="TPC6" s="977"/>
      <c r="TPD6" s="977"/>
      <c r="TPE6" s="977"/>
      <c r="TPF6" s="977"/>
      <c r="TPG6" s="977"/>
      <c r="TPH6" s="977"/>
      <c r="TPI6" s="977"/>
      <c r="TPJ6" s="977"/>
      <c r="TPK6" s="977"/>
      <c r="TPL6" s="977"/>
      <c r="TPM6" s="977"/>
      <c r="TPN6" s="977"/>
      <c r="TPO6" s="977"/>
      <c r="TPP6" s="977"/>
      <c r="TPQ6" s="977"/>
      <c r="TPR6" s="977"/>
      <c r="TPS6" s="977"/>
      <c r="TPT6" s="977"/>
      <c r="TPU6" s="977"/>
      <c r="TPV6" s="977"/>
      <c r="TPW6" s="977"/>
      <c r="TPX6" s="977"/>
      <c r="TPY6" s="977"/>
      <c r="TPZ6" s="977"/>
      <c r="TQA6" s="977"/>
      <c r="TQB6" s="977"/>
      <c r="TQC6" s="977"/>
      <c r="TQD6" s="977"/>
      <c r="TQE6" s="977"/>
      <c r="TQF6" s="977"/>
      <c r="TQG6" s="977"/>
      <c r="TQH6" s="977"/>
      <c r="TQI6" s="977"/>
      <c r="TQJ6" s="977"/>
      <c r="TQK6" s="977"/>
      <c r="TQL6" s="977"/>
      <c r="TQM6" s="977"/>
      <c r="TQN6" s="977"/>
      <c r="TQO6" s="977"/>
      <c r="TQP6" s="977"/>
      <c r="TQQ6" s="977"/>
      <c r="TQR6" s="977"/>
      <c r="TQS6" s="977"/>
      <c r="TQT6" s="977"/>
      <c r="TQU6" s="977"/>
      <c r="TQV6" s="977"/>
      <c r="TQW6" s="977"/>
      <c r="TQX6" s="977"/>
      <c r="TQY6" s="977"/>
      <c r="TQZ6" s="977"/>
      <c r="TRA6" s="977"/>
      <c r="TRB6" s="977"/>
      <c r="TRC6" s="977"/>
      <c r="TRD6" s="977"/>
      <c r="TRE6" s="977"/>
      <c r="TRF6" s="977"/>
      <c r="TRG6" s="977"/>
      <c r="TRH6" s="977"/>
      <c r="TRI6" s="977"/>
      <c r="TRJ6" s="977"/>
      <c r="TRK6" s="977"/>
      <c r="TRL6" s="977"/>
      <c r="TRM6" s="977"/>
      <c r="TRN6" s="977"/>
      <c r="TRO6" s="977"/>
      <c r="TRP6" s="977"/>
      <c r="TRQ6" s="977"/>
      <c r="TRR6" s="977"/>
      <c r="TRS6" s="977"/>
      <c r="TRT6" s="977"/>
      <c r="TRU6" s="977"/>
      <c r="TRV6" s="977"/>
      <c r="TRW6" s="977"/>
      <c r="TRX6" s="977"/>
      <c r="TRY6" s="977"/>
      <c r="TRZ6" s="977"/>
      <c r="TSA6" s="977"/>
      <c r="TSB6" s="977"/>
      <c r="TSC6" s="977"/>
      <c r="TSD6" s="977"/>
      <c r="TSE6" s="977"/>
      <c r="TSF6" s="977"/>
      <c r="TSG6" s="977"/>
      <c r="TSH6" s="977"/>
      <c r="TSI6" s="977"/>
      <c r="TSJ6" s="977"/>
      <c r="TSK6" s="977"/>
      <c r="TSL6" s="977"/>
      <c r="TSM6" s="977"/>
      <c r="TSN6" s="977"/>
      <c r="TSO6" s="977"/>
      <c r="TSP6" s="977"/>
      <c r="TSQ6" s="977"/>
      <c r="TSR6" s="977"/>
      <c r="TSS6" s="977"/>
      <c r="TST6" s="977"/>
      <c r="TSU6" s="977"/>
      <c r="TSV6" s="977"/>
      <c r="TSW6" s="977"/>
      <c r="TSX6" s="977"/>
      <c r="TSY6" s="977"/>
      <c r="TSZ6" s="977"/>
      <c r="TTA6" s="977"/>
      <c r="TTB6" s="977"/>
      <c r="TTC6" s="977"/>
      <c r="TTD6" s="977"/>
      <c r="TTE6" s="977"/>
      <c r="TTF6" s="977"/>
      <c r="TTG6" s="977"/>
      <c r="TTH6" s="977"/>
      <c r="TTI6" s="977"/>
      <c r="TTJ6" s="977"/>
      <c r="TTK6" s="977"/>
      <c r="TTL6" s="977"/>
      <c r="TTM6" s="977"/>
      <c r="TTN6" s="977"/>
      <c r="TTO6" s="977"/>
      <c r="TTP6" s="977"/>
      <c r="TTQ6" s="977"/>
      <c r="TTR6" s="977"/>
      <c r="TTS6" s="977"/>
      <c r="TTT6" s="977"/>
      <c r="TTU6" s="977"/>
      <c r="TTV6" s="977"/>
      <c r="TTW6" s="977"/>
      <c r="TTX6" s="977"/>
      <c r="TTY6" s="977"/>
      <c r="TTZ6" s="977"/>
      <c r="TUA6" s="977"/>
      <c r="TUB6" s="977"/>
      <c r="TUC6" s="977"/>
      <c r="TUD6" s="977"/>
      <c r="TUE6" s="977"/>
      <c r="TUF6" s="977"/>
      <c r="TUG6" s="977"/>
      <c r="TUH6" s="977"/>
      <c r="TUI6" s="977"/>
      <c r="TUJ6" s="977"/>
      <c r="TUK6" s="977"/>
      <c r="TUL6" s="977"/>
      <c r="TUM6" s="977"/>
      <c r="TUN6" s="977"/>
      <c r="TUO6" s="977"/>
      <c r="TUP6" s="977"/>
      <c r="TUQ6" s="977"/>
      <c r="TUR6" s="977"/>
      <c r="TUS6" s="977"/>
      <c r="TUT6" s="977"/>
      <c r="TUU6" s="977"/>
      <c r="TUV6" s="977"/>
      <c r="TUW6" s="977"/>
      <c r="TUX6" s="977"/>
      <c r="TUY6" s="977"/>
      <c r="TUZ6" s="977"/>
      <c r="TVA6" s="977"/>
      <c r="TVB6" s="977"/>
      <c r="TVC6" s="977"/>
      <c r="TVD6" s="977"/>
      <c r="TVE6" s="977"/>
      <c r="TVF6" s="977"/>
      <c r="TVG6" s="977"/>
      <c r="TVH6" s="977"/>
      <c r="TVI6" s="977"/>
      <c r="TVJ6" s="977"/>
      <c r="TVK6" s="977"/>
      <c r="TVL6" s="977"/>
      <c r="TVM6" s="977"/>
      <c r="TVN6" s="977"/>
      <c r="TVO6" s="977"/>
      <c r="TVP6" s="977"/>
      <c r="TVQ6" s="977"/>
      <c r="TVR6" s="977"/>
      <c r="TVS6" s="977"/>
      <c r="TVT6" s="977"/>
      <c r="TVU6" s="977"/>
      <c r="TVV6" s="977"/>
      <c r="TVW6" s="977"/>
      <c r="TVX6" s="977"/>
      <c r="TVY6" s="977"/>
      <c r="TVZ6" s="977"/>
      <c r="TWA6" s="977"/>
      <c r="TWB6" s="977"/>
      <c r="TWC6" s="977"/>
      <c r="TWD6" s="977"/>
      <c r="TWE6" s="977"/>
      <c r="TWF6" s="977"/>
      <c r="TWG6" s="977"/>
      <c r="TWH6" s="977"/>
      <c r="TWI6" s="977"/>
      <c r="TWJ6" s="977"/>
      <c r="TWK6" s="977"/>
      <c r="TWL6" s="977"/>
      <c r="TWM6" s="977"/>
      <c r="TWN6" s="977"/>
      <c r="TWO6" s="977"/>
      <c r="TWP6" s="977"/>
      <c r="TWQ6" s="977"/>
      <c r="TWR6" s="977"/>
      <c r="TWS6" s="977"/>
      <c r="TWT6" s="977"/>
      <c r="TWU6" s="977"/>
      <c r="TWV6" s="977"/>
      <c r="TWW6" s="977"/>
      <c r="TWX6" s="977"/>
      <c r="TWY6" s="977"/>
      <c r="TWZ6" s="977"/>
      <c r="TXA6" s="977"/>
      <c r="TXB6" s="977"/>
      <c r="TXC6" s="977"/>
      <c r="TXD6" s="977"/>
      <c r="TXE6" s="977"/>
      <c r="TXF6" s="977"/>
      <c r="TXG6" s="977"/>
      <c r="TXH6" s="977"/>
      <c r="TXI6" s="977"/>
      <c r="TXJ6" s="977"/>
      <c r="TXK6" s="977"/>
      <c r="TXL6" s="977"/>
      <c r="TXM6" s="977"/>
      <c r="TXN6" s="977"/>
      <c r="TXO6" s="977"/>
      <c r="TXP6" s="977"/>
      <c r="TXQ6" s="977"/>
      <c r="TXR6" s="977"/>
      <c r="TXS6" s="977"/>
      <c r="TXT6" s="977"/>
      <c r="TXU6" s="977"/>
      <c r="TXV6" s="977"/>
      <c r="TXW6" s="977"/>
      <c r="TXX6" s="977"/>
      <c r="TXY6" s="977"/>
      <c r="TXZ6" s="977"/>
      <c r="TYA6" s="977"/>
      <c r="TYB6" s="977"/>
      <c r="TYC6" s="977"/>
      <c r="TYD6" s="977"/>
      <c r="TYE6" s="977"/>
      <c r="TYF6" s="977"/>
      <c r="TYG6" s="977"/>
      <c r="TYH6" s="977"/>
      <c r="TYI6" s="977"/>
      <c r="TYJ6" s="977"/>
      <c r="TYK6" s="977"/>
      <c r="TYL6" s="977"/>
      <c r="TYM6" s="977"/>
      <c r="TYN6" s="977"/>
      <c r="TYO6" s="977"/>
      <c r="TYP6" s="977"/>
      <c r="TYQ6" s="977"/>
      <c r="TYR6" s="977"/>
      <c r="TYS6" s="977"/>
      <c r="TYT6" s="977"/>
      <c r="TYU6" s="977"/>
      <c r="TYV6" s="977"/>
      <c r="TYW6" s="977"/>
      <c r="TYX6" s="977"/>
      <c r="TYY6" s="977"/>
      <c r="TYZ6" s="977"/>
      <c r="TZA6" s="977"/>
      <c r="TZB6" s="977"/>
      <c r="TZC6" s="977"/>
      <c r="TZD6" s="977"/>
      <c r="TZE6" s="977"/>
      <c r="TZF6" s="977"/>
      <c r="TZG6" s="977"/>
      <c r="TZH6" s="977"/>
      <c r="TZI6" s="977"/>
      <c r="TZJ6" s="977"/>
      <c r="TZK6" s="977"/>
      <c r="TZL6" s="977"/>
      <c r="TZM6" s="977"/>
      <c r="TZN6" s="977"/>
      <c r="TZO6" s="977"/>
      <c r="TZP6" s="977"/>
      <c r="TZQ6" s="977"/>
      <c r="TZR6" s="977"/>
      <c r="TZS6" s="977"/>
      <c r="TZT6" s="977"/>
      <c r="TZU6" s="977"/>
      <c r="TZV6" s="977"/>
      <c r="TZW6" s="977"/>
      <c r="TZX6" s="977"/>
      <c r="TZY6" s="977"/>
      <c r="TZZ6" s="977"/>
      <c r="UAA6" s="977"/>
      <c r="UAB6" s="977"/>
      <c r="UAC6" s="977"/>
      <c r="UAD6" s="977"/>
      <c r="UAE6" s="977"/>
      <c r="UAF6" s="977"/>
      <c r="UAG6" s="977"/>
      <c r="UAH6" s="977"/>
      <c r="UAI6" s="977"/>
      <c r="UAJ6" s="977"/>
      <c r="UAK6" s="977"/>
      <c r="UAL6" s="977"/>
      <c r="UAM6" s="977"/>
      <c r="UAN6" s="977"/>
      <c r="UAO6" s="977"/>
      <c r="UAP6" s="977"/>
      <c r="UAQ6" s="977"/>
      <c r="UAR6" s="977"/>
      <c r="UAS6" s="977"/>
      <c r="UAT6" s="977"/>
      <c r="UAU6" s="977"/>
      <c r="UAV6" s="977"/>
      <c r="UAW6" s="977"/>
      <c r="UAX6" s="977"/>
      <c r="UAY6" s="977"/>
      <c r="UAZ6" s="977"/>
      <c r="UBA6" s="977"/>
      <c r="UBB6" s="977"/>
      <c r="UBC6" s="977"/>
      <c r="UBD6" s="977"/>
      <c r="UBE6" s="977"/>
      <c r="UBF6" s="977"/>
      <c r="UBG6" s="977"/>
      <c r="UBH6" s="977"/>
      <c r="UBI6" s="977"/>
      <c r="UBJ6" s="977"/>
      <c r="UBK6" s="977"/>
      <c r="UBL6" s="977"/>
      <c r="UBM6" s="977"/>
      <c r="UBN6" s="977"/>
      <c r="UBO6" s="977"/>
      <c r="UBP6" s="977"/>
      <c r="UBQ6" s="977"/>
      <c r="UBR6" s="977"/>
      <c r="UBS6" s="977"/>
      <c r="UBT6" s="977"/>
      <c r="UBU6" s="977"/>
      <c r="UBV6" s="977"/>
      <c r="UBW6" s="977"/>
      <c r="UBX6" s="977"/>
      <c r="UBY6" s="977"/>
      <c r="UBZ6" s="977"/>
      <c r="UCA6" s="977"/>
      <c r="UCB6" s="977"/>
      <c r="UCC6" s="977"/>
      <c r="UCD6" s="977"/>
      <c r="UCE6" s="977"/>
      <c r="UCF6" s="977"/>
      <c r="UCG6" s="977"/>
      <c r="UCH6" s="977"/>
      <c r="UCI6" s="977"/>
      <c r="UCJ6" s="977"/>
      <c r="UCK6" s="977"/>
      <c r="UCL6" s="977"/>
      <c r="UCM6" s="977"/>
      <c r="UCN6" s="977"/>
      <c r="UCO6" s="977"/>
      <c r="UCP6" s="977"/>
      <c r="UCQ6" s="977"/>
      <c r="UCR6" s="977"/>
      <c r="UCS6" s="977"/>
      <c r="UCT6" s="977"/>
      <c r="UCU6" s="977"/>
      <c r="UCV6" s="977"/>
      <c r="UCW6" s="977"/>
      <c r="UCX6" s="977"/>
      <c r="UCY6" s="977"/>
      <c r="UCZ6" s="977"/>
      <c r="UDA6" s="977"/>
      <c r="UDB6" s="977"/>
      <c r="UDC6" s="977"/>
      <c r="UDD6" s="977"/>
      <c r="UDE6" s="977"/>
      <c r="UDF6" s="977"/>
      <c r="UDG6" s="977"/>
      <c r="UDH6" s="977"/>
      <c r="UDI6" s="977"/>
      <c r="UDJ6" s="977"/>
      <c r="UDK6" s="977"/>
      <c r="UDL6" s="977"/>
      <c r="UDM6" s="977"/>
      <c r="UDN6" s="977"/>
      <c r="UDO6" s="977"/>
      <c r="UDP6" s="977"/>
      <c r="UDQ6" s="977"/>
      <c r="UDR6" s="977"/>
      <c r="UDS6" s="977"/>
      <c r="UDT6" s="977"/>
      <c r="UDU6" s="977"/>
      <c r="UDV6" s="977"/>
      <c r="UDW6" s="977"/>
      <c r="UDX6" s="977"/>
      <c r="UDY6" s="977"/>
      <c r="UDZ6" s="977"/>
      <c r="UEA6" s="977"/>
      <c r="UEB6" s="977"/>
      <c r="UEC6" s="977"/>
      <c r="UED6" s="977"/>
      <c r="UEE6" s="977"/>
      <c r="UEF6" s="977"/>
      <c r="UEG6" s="977"/>
      <c r="UEH6" s="977"/>
      <c r="UEI6" s="977"/>
      <c r="UEJ6" s="977"/>
      <c r="UEK6" s="977"/>
      <c r="UEL6" s="977"/>
      <c r="UEM6" s="977"/>
      <c r="UEN6" s="977"/>
      <c r="UEO6" s="977"/>
      <c r="UEP6" s="977"/>
      <c r="UEQ6" s="977"/>
      <c r="UER6" s="977"/>
      <c r="UES6" s="977"/>
      <c r="UET6" s="977"/>
      <c r="UEU6" s="977"/>
      <c r="UEV6" s="977"/>
      <c r="UEW6" s="977"/>
      <c r="UEX6" s="977"/>
      <c r="UEY6" s="977"/>
      <c r="UEZ6" s="977"/>
      <c r="UFA6" s="977"/>
      <c r="UFB6" s="977"/>
      <c r="UFC6" s="977"/>
      <c r="UFD6" s="977"/>
      <c r="UFE6" s="977"/>
      <c r="UFF6" s="977"/>
      <c r="UFG6" s="977"/>
      <c r="UFH6" s="977"/>
      <c r="UFI6" s="977"/>
      <c r="UFJ6" s="977"/>
      <c r="UFK6" s="977"/>
      <c r="UFL6" s="977"/>
      <c r="UFM6" s="977"/>
      <c r="UFN6" s="977"/>
      <c r="UFO6" s="977"/>
      <c r="UFP6" s="977"/>
      <c r="UFQ6" s="977"/>
      <c r="UFR6" s="977"/>
      <c r="UFS6" s="977"/>
      <c r="UFT6" s="977"/>
      <c r="UFU6" s="977"/>
      <c r="UFV6" s="977"/>
      <c r="UFW6" s="977"/>
      <c r="UFX6" s="977"/>
      <c r="UFY6" s="977"/>
      <c r="UFZ6" s="977"/>
      <c r="UGA6" s="977"/>
      <c r="UGB6" s="977"/>
      <c r="UGC6" s="977"/>
      <c r="UGD6" s="977"/>
      <c r="UGE6" s="977"/>
      <c r="UGF6" s="977"/>
      <c r="UGG6" s="977"/>
      <c r="UGH6" s="977"/>
      <c r="UGI6" s="977"/>
      <c r="UGJ6" s="977"/>
      <c r="UGK6" s="977"/>
      <c r="UGL6" s="977"/>
      <c r="UGM6" s="977"/>
      <c r="UGN6" s="977"/>
      <c r="UGO6" s="977"/>
      <c r="UGP6" s="977"/>
      <c r="UGQ6" s="977"/>
      <c r="UGR6" s="977"/>
      <c r="UGS6" s="977"/>
      <c r="UGT6" s="977"/>
      <c r="UGU6" s="977"/>
      <c r="UGV6" s="977"/>
      <c r="UGW6" s="977"/>
      <c r="UGX6" s="977"/>
      <c r="UGY6" s="977"/>
      <c r="UGZ6" s="977"/>
      <c r="UHA6" s="977"/>
      <c r="UHB6" s="977"/>
      <c r="UHC6" s="977"/>
      <c r="UHD6" s="977"/>
      <c r="UHE6" s="977"/>
      <c r="UHF6" s="977"/>
      <c r="UHG6" s="977"/>
      <c r="UHH6" s="977"/>
      <c r="UHI6" s="977"/>
      <c r="UHJ6" s="977"/>
      <c r="UHK6" s="977"/>
      <c r="UHL6" s="977"/>
      <c r="UHM6" s="977"/>
      <c r="UHN6" s="977"/>
      <c r="UHO6" s="977"/>
      <c r="UHP6" s="977"/>
      <c r="UHQ6" s="977"/>
      <c r="UHR6" s="977"/>
      <c r="UHS6" s="977"/>
      <c r="UHT6" s="977"/>
      <c r="UHU6" s="977"/>
      <c r="UHV6" s="977"/>
      <c r="UHW6" s="977"/>
      <c r="UHX6" s="977"/>
      <c r="UHY6" s="977"/>
      <c r="UHZ6" s="977"/>
      <c r="UIA6" s="977"/>
      <c r="UIB6" s="977"/>
      <c r="UIC6" s="977"/>
      <c r="UID6" s="977"/>
      <c r="UIE6" s="977"/>
      <c r="UIF6" s="977"/>
      <c r="UIG6" s="977"/>
      <c r="UIH6" s="977"/>
      <c r="UII6" s="977"/>
      <c r="UIJ6" s="977"/>
      <c r="UIK6" s="977"/>
      <c r="UIL6" s="977"/>
      <c r="UIM6" s="977"/>
      <c r="UIN6" s="977"/>
      <c r="UIO6" s="977"/>
      <c r="UIP6" s="977"/>
      <c r="UIQ6" s="977"/>
      <c r="UIR6" s="977"/>
      <c r="UIS6" s="977"/>
      <c r="UIT6" s="977"/>
      <c r="UIU6" s="977"/>
      <c r="UIV6" s="977"/>
      <c r="UIW6" s="977"/>
      <c r="UIX6" s="977"/>
      <c r="UIY6" s="977"/>
      <c r="UIZ6" s="977"/>
      <c r="UJA6" s="977"/>
      <c r="UJB6" s="977"/>
      <c r="UJC6" s="977"/>
      <c r="UJD6" s="977"/>
      <c r="UJE6" s="977"/>
      <c r="UJF6" s="977"/>
      <c r="UJG6" s="977"/>
      <c r="UJH6" s="977"/>
      <c r="UJI6" s="977"/>
      <c r="UJJ6" s="977"/>
      <c r="UJK6" s="977"/>
      <c r="UJL6" s="977"/>
      <c r="UJM6" s="977"/>
      <c r="UJN6" s="977"/>
      <c r="UJO6" s="977"/>
      <c r="UJP6" s="977"/>
      <c r="UJQ6" s="977"/>
      <c r="UJR6" s="977"/>
      <c r="UJS6" s="977"/>
      <c r="UJT6" s="977"/>
      <c r="UJU6" s="977"/>
      <c r="UJV6" s="977"/>
      <c r="UJW6" s="977"/>
      <c r="UJX6" s="977"/>
      <c r="UJY6" s="977"/>
      <c r="UJZ6" s="977"/>
      <c r="UKA6" s="977"/>
      <c r="UKB6" s="977"/>
      <c r="UKC6" s="977"/>
      <c r="UKD6" s="977"/>
      <c r="UKE6" s="977"/>
      <c r="UKF6" s="977"/>
      <c r="UKG6" s="977"/>
      <c r="UKH6" s="977"/>
      <c r="UKI6" s="977"/>
      <c r="UKJ6" s="977"/>
      <c r="UKK6" s="977"/>
      <c r="UKL6" s="977"/>
      <c r="UKM6" s="977"/>
      <c r="UKN6" s="977"/>
      <c r="UKO6" s="977"/>
      <c r="UKP6" s="977"/>
      <c r="UKQ6" s="977"/>
      <c r="UKR6" s="977"/>
      <c r="UKS6" s="977"/>
      <c r="UKT6" s="977"/>
      <c r="UKU6" s="977"/>
      <c r="UKV6" s="977"/>
      <c r="UKW6" s="977"/>
      <c r="UKX6" s="977"/>
      <c r="UKY6" s="977"/>
      <c r="UKZ6" s="977"/>
      <c r="ULA6" s="977"/>
      <c r="ULB6" s="977"/>
      <c r="ULC6" s="977"/>
      <c r="ULD6" s="977"/>
      <c r="ULE6" s="977"/>
      <c r="ULF6" s="977"/>
      <c r="ULG6" s="977"/>
      <c r="ULH6" s="977"/>
      <c r="ULI6" s="977"/>
      <c r="ULJ6" s="977"/>
      <c r="ULK6" s="977"/>
      <c r="ULL6" s="977"/>
      <c r="ULM6" s="977"/>
      <c r="ULN6" s="977"/>
      <c r="ULO6" s="977"/>
      <c r="ULP6" s="977"/>
      <c r="ULQ6" s="977"/>
      <c r="ULR6" s="977"/>
      <c r="ULS6" s="977"/>
      <c r="ULT6" s="977"/>
      <c r="ULU6" s="977"/>
      <c r="ULV6" s="977"/>
      <c r="ULW6" s="977"/>
      <c r="ULX6" s="977"/>
      <c r="ULY6" s="977"/>
      <c r="ULZ6" s="977"/>
      <c r="UMA6" s="977"/>
      <c r="UMB6" s="977"/>
      <c r="UMC6" s="977"/>
      <c r="UMD6" s="977"/>
      <c r="UME6" s="977"/>
      <c r="UMF6" s="977"/>
      <c r="UMG6" s="977"/>
      <c r="UMH6" s="977"/>
      <c r="UMI6" s="977"/>
      <c r="UMJ6" s="977"/>
      <c r="UMK6" s="977"/>
      <c r="UML6" s="977"/>
      <c r="UMM6" s="977"/>
      <c r="UMN6" s="977"/>
      <c r="UMO6" s="977"/>
      <c r="UMP6" s="977"/>
      <c r="UMQ6" s="977"/>
      <c r="UMR6" s="977"/>
      <c r="UMS6" s="977"/>
      <c r="UMT6" s="977"/>
      <c r="UMU6" s="977"/>
      <c r="UMV6" s="977"/>
      <c r="UMW6" s="977"/>
      <c r="UMX6" s="977"/>
      <c r="UMY6" s="977"/>
      <c r="UMZ6" s="977"/>
      <c r="UNA6" s="977"/>
      <c r="UNB6" s="977"/>
      <c r="UNC6" s="977"/>
      <c r="UND6" s="977"/>
      <c r="UNE6" s="977"/>
      <c r="UNF6" s="977"/>
      <c r="UNG6" s="977"/>
      <c r="UNH6" s="977"/>
      <c r="UNI6" s="977"/>
      <c r="UNJ6" s="977"/>
      <c r="UNK6" s="977"/>
      <c r="UNL6" s="977"/>
      <c r="UNM6" s="977"/>
      <c r="UNN6" s="977"/>
      <c r="UNO6" s="977"/>
      <c r="UNP6" s="977"/>
      <c r="UNQ6" s="977"/>
      <c r="UNR6" s="977"/>
      <c r="UNS6" s="977"/>
      <c r="UNT6" s="977"/>
      <c r="UNU6" s="977"/>
      <c r="UNV6" s="977"/>
      <c r="UNW6" s="977"/>
      <c r="UNX6" s="977"/>
      <c r="UNY6" s="977"/>
      <c r="UNZ6" s="977"/>
      <c r="UOA6" s="977"/>
      <c r="UOB6" s="977"/>
      <c r="UOC6" s="977"/>
      <c r="UOD6" s="977"/>
      <c r="UOE6" s="977"/>
      <c r="UOF6" s="977"/>
      <c r="UOG6" s="977"/>
      <c r="UOH6" s="977"/>
      <c r="UOI6" s="977"/>
      <c r="UOJ6" s="977"/>
      <c r="UOK6" s="977"/>
      <c r="UOL6" s="977"/>
      <c r="UOM6" s="977"/>
      <c r="UON6" s="977"/>
      <c r="UOO6" s="977"/>
      <c r="UOP6" s="977"/>
      <c r="UOQ6" s="977"/>
      <c r="UOR6" s="977"/>
      <c r="UOS6" s="977"/>
      <c r="UOT6" s="977"/>
      <c r="UOU6" s="977"/>
      <c r="UOV6" s="977"/>
      <c r="UOW6" s="977"/>
      <c r="UOX6" s="977"/>
      <c r="UOY6" s="977"/>
      <c r="UOZ6" s="977"/>
      <c r="UPA6" s="977"/>
      <c r="UPB6" s="977"/>
      <c r="UPC6" s="977"/>
      <c r="UPD6" s="977"/>
      <c r="UPE6" s="977"/>
      <c r="UPF6" s="977"/>
      <c r="UPG6" s="977"/>
      <c r="UPH6" s="977"/>
      <c r="UPI6" s="977"/>
      <c r="UPJ6" s="977"/>
      <c r="UPK6" s="977"/>
      <c r="UPL6" s="977"/>
      <c r="UPM6" s="977"/>
      <c r="UPN6" s="977"/>
      <c r="UPO6" s="977"/>
      <c r="UPP6" s="977"/>
      <c r="UPQ6" s="977"/>
      <c r="UPR6" s="977"/>
      <c r="UPS6" s="977"/>
      <c r="UPT6" s="977"/>
      <c r="UPU6" s="977"/>
      <c r="UPV6" s="977"/>
      <c r="UPW6" s="977"/>
      <c r="UPX6" s="977"/>
      <c r="UPY6" s="977"/>
      <c r="UPZ6" s="977"/>
      <c r="UQA6" s="977"/>
      <c r="UQB6" s="977"/>
      <c r="UQC6" s="977"/>
      <c r="UQD6" s="977"/>
      <c r="UQE6" s="977"/>
      <c r="UQF6" s="977"/>
      <c r="UQG6" s="977"/>
      <c r="UQH6" s="977"/>
      <c r="UQI6" s="977"/>
      <c r="UQJ6" s="977"/>
      <c r="UQK6" s="977"/>
      <c r="UQL6" s="977"/>
      <c r="UQM6" s="977"/>
      <c r="UQN6" s="977"/>
      <c r="UQO6" s="977"/>
      <c r="UQP6" s="977"/>
      <c r="UQQ6" s="977"/>
      <c r="UQR6" s="977"/>
      <c r="UQS6" s="977"/>
      <c r="UQT6" s="977"/>
      <c r="UQU6" s="977"/>
      <c r="UQV6" s="977"/>
      <c r="UQW6" s="977"/>
      <c r="UQX6" s="977"/>
      <c r="UQY6" s="977"/>
      <c r="UQZ6" s="977"/>
      <c r="URA6" s="977"/>
      <c r="URB6" s="977"/>
      <c r="URC6" s="977"/>
      <c r="URD6" s="977"/>
      <c r="URE6" s="977"/>
      <c r="URF6" s="977"/>
      <c r="URG6" s="977"/>
      <c r="URH6" s="977"/>
      <c r="URI6" s="977"/>
      <c r="URJ6" s="977"/>
      <c r="URK6" s="977"/>
      <c r="URL6" s="977"/>
      <c r="URM6" s="977"/>
      <c r="URN6" s="977"/>
      <c r="URO6" s="977"/>
      <c r="URP6" s="977"/>
      <c r="URQ6" s="977"/>
      <c r="URR6" s="977"/>
      <c r="URS6" s="977"/>
      <c r="URT6" s="977"/>
      <c r="URU6" s="977"/>
      <c r="URV6" s="977"/>
      <c r="URW6" s="977"/>
      <c r="URX6" s="977"/>
      <c r="URY6" s="977"/>
      <c r="URZ6" s="977"/>
      <c r="USA6" s="977"/>
      <c r="USB6" s="977"/>
      <c r="USC6" s="977"/>
      <c r="USD6" s="977"/>
      <c r="USE6" s="977"/>
      <c r="USF6" s="977"/>
      <c r="USG6" s="977"/>
      <c r="USH6" s="977"/>
      <c r="USI6" s="977"/>
      <c r="USJ6" s="977"/>
      <c r="USK6" s="977"/>
      <c r="USL6" s="977"/>
      <c r="USM6" s="977"/>
      <c r="USN6" s="977"/>
      <c r="USO6" s="977"/>
      <c r="USP6" s="977"/>
      <c r="USQ6" s="977"/>
      <c r="USR6" s="977"/>
      <c r="USS6" s="977"/>
      <c r="UST6" s="977"/>
      <c r="USU6" s="977"/>
      <c r="USV6" s="977"/>
      <c r="USW6" s="977"/>
      <c r="USX6" s="977"/>
      <c r="USY6" s="977"/>
      <c r="USZ6" s="977"/>
      <c r="UTA6" s="977"/>
      <c r="UTB6" s="977"/>
      <c r="UTC6" s="977"/>
      <c r="UTD6" s="977"/>
      <c r="UTE6" s="977"/>
      <c r="UTF6" s="977"/>
      <c r="UTG6" s="977"/>
      <c r="UTH6" s="977"/>
      <c r="UTI6" s="977"/>
      <c r="UTJ6" s="977"/>
      <c r="UTK6" s="977"/>
      <c r="UTL6" s="977"/>
      <c r="UTM6" s="977"/>
      <c r="UTN6" s="977"/>
      <c r="UTO6" s="977"/>
      <c r="UTP6" s="977"/>
      <c r="UTQ6" s="977"/>
      <c r="UTR6" s="977"/>
      <c r="UTS6" s="977"/>
      <c r="UTT6" s="977"/>
      <c r="UTU6" s="977"/>
      <c r="UTV6" s="977"/>
      <c r="UTW6" s="977"/>
      <c r="UTX6" s="977"/>
      <c r="UTY6" s="977"/>
      <c r="UTZ6" s="977"/>
      <c r="UUA6" s="977"/>
      <c r="UUB6" s="977"/>
      <c r="UUC6" s="977"/>
      <c r="UUD6" s="977"/>
      <c r="UUE6" s="977"/>
      <c r="UUF6" s="977"/>
      <c r="UUG6" s="977"/>
      <c r="UUH6" s="977"/>
      <c r="UUI6" s="977"/>
      <c r="UUJ6" s="977"/>
      <c r="UUK6" s="977"/>
      <c r="UUL6" s="977"/>
      <c r="UUM6" s="977"/>
      <c r="UUN6" s="977"/>
      <c r="UUO6" s="977"/>
      <c r="UUP6" s="977"/>
      <c r="UUQ6" s="977"/>
      <c r="UUR6" s="977"/>
      <c r="UUS6" s="977"/>
      <c r="UUT6" s="977"/>
      <c r="UUU6" s="977"/>
      <c r="UUV6" s="977"/>
      <c r="UUW6" s="977"/>
      <c r="UUX6" s="977"/>
      <c r="UUY6" s="977"/>
      <c r="UUZ6" s="977"/>
      <c r="UVA6" s="977"/>
      <c r="UVB6" s="977"/>
      <c r="UVC6" s="977"/>
      <c r="UVD6" s="977"/>
      <c r="UVE6" s="977"/>
      <c r="UVF6" s="977"/>
      <c r="UVG6" s="977"/>
      <c r="UVH6" s="977"/>
      <c r="UVI6" s="977"/>
      <c r="UVJ6" s="977"/>
      <c r="UVK6" s="977"/>
      <c r="UVL6" s="977"/>
      <c r="UVM6" s="977"/>
      <c r="UVN6" s="977"/>
      <c r="UVO6" s="977"/>
      <c r="UVP6" s="977"/>
      <c r="UVQ6" s="977"/>
      <c r="UVR6" s="977"/>
      <c r="UVS6" s="977"/>
      <c r="UVT6" s="977"/>
      <c r="UVU6" s="977"/>
      <c r="UVV6" s="977"/>
      <c r="UVW6" s="977"/>
      <c r="UVX6" s="977"/>
      <c r="UVY6" s="977"/>
      <c r="UVZ6" s="977"/>
      <c r="UWA6" s="977"/>
      <c r="UWB6" s="977"/>
      <c r="UWC6" s="977"/>
      <c r="UWD6" s="977"/>
      <c r="UWE6" s="977"/>
      <c r="UWF6" s="977"/>
      <c r="UWG6" s="977"/>
      <c r="UWH6" s="977"/>
      <c r="UWI6" s="977"/>
      <c r="UWJ6" s="977"/>
      <c r="UWK6" s="977"/>
      <c r="UWL6" s="977"/>
      <c r="UWM6" s="977"/>
      <c r="UWN6" s="977"/>
      <c r="UWO6" s="977"/>
      <c r="UWP6" s="977"/>
      <c r="UWQ6" s="977"/>
      <c r="UWR6" s="977"/>
      <c r="UWS6" s="977"/>
      <c r="UWT6" s="977"/>
      <c r="UWU6" s="977"/>
      <c r="UWV6" s="977"/>
      <c r="UWW6" s="977"/>
      <c r="UWX6" s="977"/>
      <c r="UWY6" s="977"/>
      <c r="UWZ6" s="977"/>
      <c r="UXA6" s="977"/>
      <c r="UXB6" s="977"/>
      <c r="UXC6" s="977"/>
      <c r="UXD6" s="977"/>
      <c r="UXE6" s="977"/>
      <c r="UXF6" s="977"/>
      <c r="UXG6" s="977"/>
      <c r="UXH6" s="977"/>
      <c r="UXI6" s="977"/>
      <c r="UXJ6" s="977"/>
      <c r="UXK6" s="977"/>
      <c r="UXL6" s="977"/>
      <c r="UXM6" s="977"/>
      <c r="UXN6" s="977"/>
      <c r="UXO6" s="977"/>
      <c r="UXP6" s="977"/>
      <c r="UXQ6" s="977"/>
      <c r="UXR6" s="977"/>
      <c r="UXS6" s="977"/>
      <c r="UXT6" s="977"/>
      <c r="UXU6" s="977"/>
      <c r="UXV6" s="977"/>
      <c r="UXW6" s="977"/>
      <c r="UXX6" s="977"/>
      <c r="UXY6" s="977"/>
      <c r="UXZ6" s="977"/>
      <c r="UYA6" s="977"/>
      <c r="UYB6" s="977"/>
      <c r="UYC6" s="977"/>
      <c r="UYD6" s="977"/>
      <c r="UYE6" s="977"/>
      <c r="UYF6" s="977"/>
      <c r="UYG6" s="977"/>
      <c r="UYH6" s="977"/>
      <c r="UYI6" s="977"/>
      <c r="UYJ6" s="977"/>
      <c r="UYK6" s="977"/>
      <c r="UYL6" s="977"/>
      <c r="UYM6" s="977"/>
      <c r="UYN6" s="977"/>
      <c r="UYO6" s="977"/>
      <c r="UYP6" s="977"/>
      <c r="UYQ6" s="977"/>
      <c r="UYR6" s="977"/>
      <c r="UYS6" s="977"/>
      <c r="UYT6" s="977"/>
      <c r="UYU6" s="977"/>
      <c r="UYV6" s="977"/>
      <c r="UYW6" s="977"/>
      <c r="UYX6" s="977"/>
      <c r="UYY6" s="977"/>
      <c r="UYZ6" s="977"/>
      <c r="UZA6" s="977"/>
      <c r="UZB6" s="977"/>
      <c r="UZC6" s="977"/>
      <c r="UZD6" s="977"/>
      <c r="UZE6" s="977"/>
      <c r="UZF6" s="977"/>
      <c r="UZG6" s="977"/>
      <c r="UZH6" s="977"/>
      <c r="UZI6" s="977"/>
      <c r="UZJ6" s="977"/>
      <c r="UZK6" s="977"/>
      <c r="UZL6" s="977"/>
      <c r="UZM6" s="977"/>
      <c r="UZN6" s="977"/>
      <c r="UZO6" s="977"/>
      <c r="UZP6" s="977"/>
      <c r="UZQ6" s="977"/>
      <c r="UZR6" s="977"/>
      <c r="UZS6" s="977"/>
      <c r="UZT6" s="977"/>
      <c r="UZU6" s="977"/>
      <c r="UZV6" s="977"/>
      <c r="UZW6" s="977"/>
      <c r="UZX6" s="977"/>
      <c r="UZY6" s="977"/>
      <c r="UZZ6" s="977"/>
      <c r="VAA6" s="977"/>
      <c r="VAB6" s="977"/>
      <c r="VAC6" s="977"/>
      <c r="VAD6" s="977"/>
      <c r="VAE6" s="977"/>
      <c r="VAF6" s="977"/>
      <c r="VAG6" s="977"/>
      <c r="VAH6" s="977"/>
      <c r="VAI6" s="977"/>
      <c r="VAJ6" s="977"/>
      <c r="VAK6" s="977"/>
      <c r="VAL6" s="977"/>
      <c r="VAM6" s="977"/>
      <c r="VAN6" s="977"/>
      <c r="VAO6" s="977"/>
      <c r="VAP6" s="977"/>
      <c r="VAQ6" s="977"/>
      <c r="VAR6" s="977"/>
      <c r="VAS6" s="977"/>
      <c r="VAT6" s="977"/>
      <c r="VAU6" s="977"/>
      <c r="VAV6" s="977"/>
      <c r="VAW6" s="977"/>
      <c r="VAX6" s="977"/>
      <c r="VAY6" s="977"/>
      <c r="VAZ6" s="977"/>
      <c r="VBA6" s="977"/>
      <c r="VBB6" s="977"/>
      <c r="VBC6" s="977"/>
      <c r="VBD6" s="977"/>
      <c r="VBE6" s="977"/>
      <c r="VBF6" s="977"/>
      <c r="VBG6" s="977"/>
      <c r="VBH6" s="977"/>
      <c r="VBI6" s="977"/>
      <c r="VBJ6" s="977"/>
      <c r="VBK6" s="977"/>
      <c r="VBL6" s="977"/>
      <c r="VBM6" s="977"/>
      <c r="VBN6" s="977"/>
      <c r="VBO6" s="977"/>
      <c r="VBP6" s="977"/>
      <c r="VBQ6" s="977"/>
      <c r="VBR6" s="977"/>
      <c r="VBS6" s="977"/>
      <c r="VBT6" s="977"/>
      <c r="VBU6" s="977"/>
      <c r="VBV6" s="977"/>
      <c r="VBW6" s="977"/>
      <c r="VBX6" s="977"/>
      <c r="VBY6" s="977"/>
      <c r="VBZ6" s="977"/>
      <c r="VCA6" s="977"/>
      <c r="VCB6" s="977"/>
      <c r="VCC6" s="977"/>
      <c r="VCD6" s="977"/>
      <c r="VCE6" s="977"/>
      <c r="VCF6" s="977"/>
      <c r="VCG6" s="977"/>
      <c r="VCH6" s="977"/>
      <c r="VCI6" s="977"/>
      <c r="VCJ6" s="977"/>
      <c r="VCK6" s="977"/>
      <c r="VCL6" s="977"/>
      <c r="VCM6" s="977"/>
      <c r="VCN6" s="977"/>
      <c r="VCO6" s="977"/>
      <c r="VCP6" s="977"/>
      <c r="VCQ6" s="977"/>
      <c r="VCR6" s="977"/>
      <c r="VCS6" s="977"/>
      <c r="VCT6" s="977"/>
      <c r="VCU6" s="977"/>
      <c r="VCV6" s="977"/>
      <c r="VCW6" s="977"/>
      <c r="VCX6" s="977"/>
      <c r="VCY6" s="977"/>
      <c r="VCZ6" s="977"/>
      <c r="VDA6" s="977"/>
      <c r="VDB6" s="977"/>
      <c r="VDC6" s="977"/>
      <c r="VDD6" s="977"/>
      <c r="VDE6" s="977"/>
      <c r="VDF6" s="977"/>
      <c r="VDG6" s="977"/>
      <c r="VDH6" s="977"/>
      <c r="VDI6" s="977"/>
      <c r="VDJ6" s="977"/>
      <c r="VDK6" s="977"/>
      <c r="VDL6" s="977"/>
      <c r="VDM6" s="977"/>
      <c r="VDN6" s="977"/>
      <c r="VDO6" s="977"/>
      <c r="VDP6" s="977"/>
      <c r="VDQ6" s="977"/>
      <c r="VDR6" s="977"/>
      <c r="VDS6" s="977"/>
      <c r="VDT6" s="977"/>
      <c r="VDU6" s="977"/>
      <c r="VDV6" s="977"/>
      <c r="VDW6" s="977"/>
      <c r="VDX6" s="977"/>
      <c r="VDY6" s="977"/>
      <c r="VDZ6" s="977"/>
      <c r="VEA6" s="977"/>
      <c r="VEB6" s="977"/>
      <c r="VEC6" s="977"/>
      <c r="VED6" s="977"/>
      <c r="VEE6" s="977"/>
      <c r="VEF6" s="977"/>
      <c r="VEG6" s="977"/>
      <c r="VEH6" s="977"/>
      <c r="VEI6" s="977"/>
      <c r="VEJ6" s="977"/>
      <c r="VEK6" s="977"/>
      <c r="VEL6" s="977"/>
      <c r="VEM6" s="977"/>
      <c r="VEN6" s="977"/>
      <c r="VEO6" s="977"/>
      <c r="VEP6" s="977"/>
      <c r="VEQ6" s="977"/>
      <c r="VER6" s="977"/>
      <c r="VES6" s="977"/>
      <c r="VET6" s="977"/>
      <c r="VEU6" s="977"/>
      <c r="VEV6" s="977"/>
      <c r="VEW6" s="977"/>
      <c r="VEX6" s="977"/>
      <c r="VEY6" s="977"/>
      <c r="VEZ6" s="977"/>
      <c r="VFA6" s="977"/>
      <c r="VFB6" s="977"/>
      <c r="VFC6" s="977"/>
      <c r="VFD6" s="977"/>
      <c r="VFE6" s="977"/>
      <c r="VFF6" s="977"/>
      <c r="VFG6" s="977"/>
      <c r="VFH6" s="977"/>
      <c r="VFI6" s="977"/>
      <c r="VFJ6" s="977"/>
      <c r="VFK6" s="977"/>
      <c r="VFL6" s="977"/>
      <c r="VFM6" s="977"/>
      <c r="VFN6" s="977"/>
      <c r="VFO6" s="977"/>
      <c r="VFP6" s="977"/>
      <c r="VFQ6" s="977"/>
      <c r="VFR6" s="977"/>
      <c r="VFS6" s="977"/>
      <c r="VFT6" s="977"/>
      <c r="VFU6" s="977"/>
      <c r="VFV6" s="977"/>
      <c r="VFW6" s="977"/>
      <c r="VFX6" s="977"/>
      <c r="VFY6" s="977"/>
      <c r="VFZ6" s="977"/>
      <c r="VGA6" s="977"/>
      <c r="VGB6" s="977"/>
      <c r="VGC6" s="977"/>
      <c r="VGD6" s="977"/>
      <c r="VGE6" s="977"/>
      <c r="VGF6" s="977"/>
      <c r="VGG6" s="977"/>
      <c r="VGH6" s="977"/>
      <c r="VGI6" s="977"/>
      <c r="VGJ6" s="977"/>
      <c r="VGK6" s="977"/>
      <c r="VGL6" s="977"/>
      <c r="VGM6" s="977"/>
      <c r="VGN6" s="977"/>
      <c r="VGO6" s="977"/>
      <c r="VGP6" s="977"/>
      <c r="VGQ6" s="977"/>
      <c r="VGR6" s="977"/>
      <c r="VGS6" s="977"/>
      <c r="VGT6" s="977"/>
      <c r="VGU6" s="977"/>
      <c r="VGV6" s="977"/>
      <c r="VGW6" s="977"/>
      <c r="VGX6" s="977"/>
      <c r="VGY6" s="977"/>
      <c r="VGZ6" s="977"/>
      <c r="VHA6" s="977"/>
      <c r="VHB6" s="977"/>
      <c r="VHC6" s="977"/>
      <c r="VHD6" s="977"/>
      <c r="VHE6" s="977"/>
      <c r="VHF6" s="977"/>
      <c r="VHG6" s="977"/>
      <c r="VHH6" s="977"/>
      <c r="VHI6" s="977"/>
      <c r="VHJ6" s="977"/>
      <c r="VHK6" s="977"/>
      <c r="VHL6" s="977"/>
      <c r="VHM6" s="977"/>
      <c r="VHN6" s="977"/>
      <c r="VHO6" s="977"/>
      <c r="VHP6" s="977"/>
      <c r="VHQ6" s="977"/>
      <c r="VHR6" s="977"/>
      <c r="VHS6" s="977"/>
      <c r="VHT6" s="977"/>
      <c r="VHU6" s="977"/>
      <c r="VHV6" s="977"/>
      <c r="VHW6" s="977"/>
      <c r="VHX6" s="977"/>
      <c r="VHY6" s="977"/>
      <c r="VHZ6" s="977"/>
      <c r="VIA6" s="977"/>
      <c r="VIB6" s="977"/>
      <c r="VIC6" s="977"/>
      <c r="VID6" s="977"/>
      <c r="VIE6" s="977"/>
      <c r="VIF6" s="977"/>
      <c r="VIG6" s="977"/>
      <c r="VIH6" s="977"/>
      <c r="VII6" s="977"/>
      <c r="VIJ6" s="977"/>
      <c r="VIK6" s="977"/>
      <c r="VIL6" s="977"/>
      <c r="VIM6" s="977"/>
      <c r="VIN6" s="977"/>
      <c r="VIO6" s="977"/>
      <c r="VIP6" s="977"/>
      <c r="VIQ6" s="977"/>
      <c r="VIR6" s="977"/>
      <c r="VIS6" s="977"/>
      <c r="VIT6" s="977"/>
      <c r="VIU6" s="977"/>
      <c r="VIV6" s="977"/>
      <c r="VIW6" s="977"/>
      <c r="VIX6" s="977"/>
      <c r="VIY6" s="977"/>
      <c r="VIZ6" s="977"/>
      <c r="VJA6" s="977"/>
      <c r="VJB6" s="977"/>
      <c r="VJC6" s="977"/>
      <c r="VJD6" s="977"/>
      <c r="VJE6" s="977"/>
      <c r="VJF6" s="977"/>
      <c r="VJG6" s="977"/>
      <c r="VJH6" s="977"/>
      <c r="VJI6" s="977"/>
      <c r="VJJ6" s="977"/>
      <c r="VJK6" s="977"/>
      <c r="VJL6" s="977"/>
      <c r="VJM6" s="977"/>
      <c r="VJN6" s="977"/>
      <c r="VJO6" s="977"/>
      <c r="VJP6" s="977"/>
      <c r="VJQ6" s="977"/>
      <c r="VJR6" s="977"/>
      <c r="VJS6" s="977"/>
      <c r="VJT6" s="977"/>
      <c r="VJU6" s="977"/>
      <c r="VJV6" s="977"/>
      <c r="VJW6" s="977"/>
      <c r="VJX6" s="977"/>
      <c r="VJY6" s="977"/>
      <c r="VJZ6" s="977"/>
      <c r="VKA6" s="977"/>
      <c r="VKB6" s="977"/>
      <c r="VKC6" s="977"/>
      <c r="VKD6" s="977"/>
      <c r="VKE6" s="977"/>
      <c r="VKF6" s="977"/>
      <c r="VKG6" s="977"/>
      <c r="VKH6" s="977"/>
      <c r="VKI6" s="977"/>
      <c r="VKJ6" s="977"/>
      <c r="VKK6" s="977"/>
      <c r="VKL6" s="977"/>
      <c r="VKM6" s="977"/>
      <c r="VKN6" s="977"/>
      <c r="VKO6" s="977"/>
      <c r="VKP6" s="977"/>
      <c r="VKQ6" s="977"/>
      <c r="VKR6" s="977"/>
      <c r="VKS6" s="977"/>
      <c r="VKT6" s="977"/>
      <c r="VKU6" s="977"/>
      <c r="VKV6" s="977"/>
      <c r="VKW6" s="977"/>
      <c r="VKX6" s="977"/>
      <c r="VKY6" s="977"/>
      <c r="VKZ6" s="977"/>
      <c r="VLA6" s="977"/>
      <c r="VLB6" s="977"/>
      <c r="VLC6" s="977"/>
      <c r="VLD6" s="977"/>
      <c r="VLE6" s="977"/>
      <c r="VLF6" s="977"/>
      <c r="VLG6" s="977"/>
      <c r="VLH6" s="977"/>
      <c r="VLI6" s="977"/>
      <c r="VLJ6" s="977"/>
      <c r="VLK6" s="977"/>
      <c r="VLL6" s="977"/>
      <c r="VLM6" s="977"/>
      <c r="VLN6" s="977"/>
      <c r="VLO6" s="977"/>
      <c r="VLP6" s="977"/>
      <c r="VLQ6" s="977"/>
      <c r="VLR6" s="977"/>
      <c r="VLS6" s="977"/>
      <c r="VLT6" s="977"/>
      <c r="VLU6" s="977"/>
      <c r="VLV6" s="977"/>
      <c r="VLW6" s="977"/>
      <c r="VLX6" s="977"/>
      <c r="VLY6" s="977"/>
      <c r="VLZ6" s="977"/>
      <c r="VMA6" s="977"/>
      <c r="VMB6" s="977"/>
      <c r="VMC6" s="977"/>
      <c r="VMD6" s="977"/>
      <c r="VME6" s="977"/>
      <c r="VMF6" s="977"/>
      <c r="VMG6" s="977"/>
      <c r="VMH6" s="977"/>
      <c r="VMI6" s="977"/>
      <c r="VMJ6" s="977"/>
      <c r="VMK6" s="977"/>
      <c r="VML6" s="977"/>
      <c r="VMM6" s="977"/>
      <c r="VMN6" s="977"/>
      <c r="VMO6" s="977"/>
      <c r="VMP6" s="977"/>
      <c r="VMQ6" s="977"/>
      <c r="VMR6" s="977"/>
      <c r="VMS6" s="977"/>
      <c r="VMT6" s="977"/>
      <c r="VMU6" s="977"/>
      <c r="VMV6" s="977"/>
      <c r="VMW6" s="977"/>
      <c r="VMX6" s="977"/>
      <c r="VMY6" s="977"/>
      <c r="VMZ6" s="977"/>
      <c r="VNA6" s="977"/>
      <c r="VNB6" s="977"/>
      <c r="VNC6" s="977"/>
      <c r="VND6" s="977"/>
      <c r="VNE6" s="977"/>
      <c r="VNF6" s="977"/>
      <c r="VNG6" s="977"/>
      <c r="VNH6" s="977"/>
      <c r="VNI6" s="977"/>
      <c r="VNJ6" s="977"/>
      <c r="VNK6" s="977"/>
      <c r="VNL6" s="977"/>
      <c r="VNM6" s="977"/>
      <c r="VNN6" s="977"/>
      <c r="VNO6" s="977"/>
      <c r="VNP6" s="977"/>
      <c r="VNQ6" s="977"/>
      <c r="VNR6" s="977"/>
      <c r="VNS6" s="977"/>
      <c r="VNT6" s="977"/>
      <c r="VNU6" s="977"/>
      <c r="VNV6" s="977"/>
      <c r="VNW6" s="977"/>
      <c r="VNX6" s="977"/>
      <c r="VNY6" s="977"/>
      <c r="VNZ6" s="977"/>
      <c r="VOA6" s="977"/>
      <c r="VOB6" s="977"/>
      <c r="VOC6" s="977"/>
      <c r="VOD6" s="977"/>
      <c r="VOE6" s="977"/>
      <c r="VOF6" s="977"/>
      <c r="VOG6" s="977"/>
      <c r="VOH6" s="977"/>
      <c r="VOI6" s="977"/>
      <c r="VOJ6" s="977"/>
      <c r="VOK6" s="977"/>
      <c r="VOL6" s="977"/>
      <c r="VOM6" s="977"/>
      <c r="VON6" s="977"/>
      <c r="VOO6" s="977"/>
      <c r="VOP6" s="977"/>
      <c r="VOQ6" s="977"/>
      <c r="VOR6" s="977"/>
      <c r="VOS6" s="977"/>
      <c r="VOT6" s="977"/>
      <c r="VOU6" s="977"/>
      <c r="VOV6" s="977"/>
      <c r="VOW6" s="977"/>
      <c r="VOX6" s="977"/>
      <c r="VOY6" s="977"/>
      <c r="VOZ6" s="977"/>
      <c r="VPA6" s="977"/>
      <c r="VPB6" s="977"/>
      <c r="VPC6" s="977"/>
      <c r="VPD6" s="977"/>
      <c r="VPE6" s="977"/>
      <c r="VPF6" s="977"/>
      <c r="VPG6" s="977"/>
      <c r="VPH6" s="977"/>
      <c r="VPI6" s="977"/>
      <c r="VPJ6" s="977"/>
      <c r="VPK6" s="977"/>
      <c r="VPL6" s="977"/>
      <c r="VPM6" s="977"/>
      <c r="VPN6" s="977"/>
      <c r="VPO6" s="977"/>
      <c r="VPP6" s="977"/>
      <c r="VPQ6" s="977"/>
      <c r="VPR6" s="977"/>
      <c r="VPS6" s="977"/>
      <c r="VPT6" s="977"/>
      <c r="VPU6" s="977"/>
      <c r="VPV6" s="977"/>
      <c r="VPW6" s="977"/>
      <c r="VPX6" s="977"/>
      <c r="VPY6" s="977"/>
      <c r="VPZ6" s="977"/>
      <c r="VQA6" s="977"/>
      <c r="VQB6" s="977"/>
      <c r="VQC6" s="977"/>
      <c r="VQD6" s="977"/>
      <c r="VQE6" s="977"/>
      <c r="VQF6" s="977"/>
      <c r="VQG6" s="977"/>
      <c r="VQH6" s="977"/>
      <c r="VQI6" s="977"/>
      <c r="VQJ6" s="977"/>
      <c r="VQK6" s="977"/>
      <c r="VQL6" s="977"/>
      <c r="VQM6" s="977"/>
      <c r="VQN6" s="977"/>
      <c r="VQO6" s="977"/>
      <c r="VQP6" s="977"/>
      <c r="VQQ6" s="977"/>
      <c r="VQR6" s="977"/>
      <c r="VQS6" s="977"/>
      <c r="VQT6" s="977"/>
      <c r="VQU6" s="977"/>
      <c r="VQV6" s="977"/>
      <c r="VQW6" s="977"/>
      <c r="VQX6" s="977"/>
      <c r="VQY6" s="977"/>
      <c r="VQZ6" s="977"/>
      <c r="VRA6" s="977"/>
      <c r="VRB6" s="977"/>
      <c r="VRC6" s="977"/>
      <c r="VRD6" s="977"/>
      <c r="VRE6" s="977"/>
      <c r="VRF6" s="977"/>
      <c r="VRG6" s="977"/>
      <c r="VRH6" s="977"/>
      <c r="VRI6" s="977"/>
      <c r="VRJ6" s="977"/>
      <c r="VRK6" s="977"/>
      <c r="VRL6" s="977"/>
      <c r="VRM6" s="977"/>
      <c r="VRN6" s="977"/>
      <c r="VRO6" s="977"/>
      <c r="VRP6" s="977"/>
      <c r="VRQ6" s="977"/>
      <c r="VRR6" s="977"/>
      <c r="VRS6" s="977"/>
      <c r="VRT6" s="977"/>
      <c r="VRU6" s="977"/>
      <c r="VRV6" s="977"/>
      <c r="VRW6" s="977"/>
      <c r="VRX6" s="977"/>
      <c r="VRY6" s="977"/>
      <c r="VRZ6" s="977"/>
      <c r="VSA6" s="977"/>
      <c r="VSB6" s="977"/>
      <c r="VSC6" s="977"/>
      <c r="VSD6" s="977"/>
      <c r="VSE6" s="977"/>
      <c r="VSF6" s="977"/>
      <c r="VSG6" s="977"/>
      <c r="VSH6" s="977"/>
      <c r="VSI6" s="977"/>
      <c r="VSJ6" s="977"/>
      <c r="VSK6" s="977"/>
      <c r="VSL6" s="977"/>
      <c r="VSM6" s="977"/>
      <c r="VSN6" s="977"/>
      <c r="VSO6" s="977"/>
      <c r="VSP6" s="977"/>
      <c r="VSQ6" s="977"/>
      <c r="VSR6" s="977"/>
      <c r="VSS6" s="977"/>
      <c r="VST6" s="977"/>
      <c r="VSU6" s="977"/>
      <c r="VSV6" s="977"/>
      <c r="VSW6" s="977"/>
      <c r="VSX6" s="977"/>
      <c r="VSY6" s="977"/>
      <c r="VSZ6" s="977"/>
      <c r="VTA6" s="977"/>
      <c r="VTB6" s="977"/>
      <c r="VTC6" s="977"/>
      <c r="VTD6" s="977"/>
      <c r="VTE6" s="977"/>
      <c r="VTF6" s="977"/>
      <c r="VTG6" s="977"/>
      <c r="VTH6" s="977"/>
      <c r="VTI6" s="977"/>
      <c r="VTJ6" s="977"/>
      <c r="VTK6" s="977"/>
      <c r="VTL6" s="977"/>
      <c r="VTM6" s="977"/>
      <c r="VTN6" s="977"/>
      <c r="VTO6" s="977"/>
      <c r="VTP6" s="977"/>
      <c r="VTQ6" s="977"/>
      <c r="VTR6" s="977"/>
      <c r="VTS6" s="977"/>
      <c r="VTT6" s="977"/>
      <c r="VTU6" s="977"/>
      <c r="VTV6" s="977"/>
      <c r="VTW6" s="977"/>
      <c r="VTX6" s="977"/>
      <c r="VTY6" s="977"/>
      <c r="VTZ6" s="977"/>
      <c r="VUA6" s="977"/>
      <c r="VUB6" s="977"/>
      <c r="VUC6" s="977"/>
      <c r="VUD6" s="977"/>
      <c r="VUE6" s="977"/>
      <c r="VUF6" s="977"/>
      <c r="VUG6" s="977"/>
      <c r="VUH6" s="977"/>
      <c r="VUI6" s="977"/>
      <c r="VUJ6" s="977"/>
      <c r="VUK6" s="977"/>
      <c r="VUL6" s="977"/>
      <c r="VUM6" s="977"/>
      <c r="VUN6" s="977"/>
      <c r="VUO6" s="977"/>
      <c r="VUP6" s="977"/>
      <c r="VUQ6" s="977"/>
      <c r="VUR6" s="977"/>
      <c r="VUS6" s="977"/>
      <c r="VUT6" s="977"/>
      <c r="VUU6" s="977"/>
      <c r="VUV6" s="977"/>
      <c r="VUW6" s="977"/>
      <c r="VUX6" s="977"/>
      <c r="VUY6" s="977"/>
      <c r="VUZ6" s="977"/>
      <c r="VVA6" s="977"/>
      <c r="VVB6" s="977"/>
      <c r="VVC6" s="977"/>
      <c r="VVD6" s="977"/>
      <c r="VVE6" s="977"/>
      <c r="VVF6" s="977"/>
      <c r="VVG6" s="977"/>
      <c r="VVH6" s="977"/>
      <c r="VVI6" s="977"/>
      <c r="VVJ6" s="977"/>
      <c r="VVK6" s="977"/>
      <c r="VVL6" s="977"/>
      <c r="VVM6" s="977"/>
      <c r="VVN6" s="977"/>
      <c r="VVO6" s="977"/>
      <c r="VVP6" s="977"/>
      <c r="VVQ6" s="977"/>
      <c r="VVR6" s="977"/>
      <c r="VVS6" s="977"/>
      <c r="VVT6" s="977"/>
      <c r="VVU6" s="977"/>
      <c r="VVV6" s="977"/>
      <c r="VVW6" s="977"/>
      <c r="VVX6" s="977"/>
      <c r="VVY6" s="977"/>
      <c r="VVZ6" s="977"/>
      <c r="VWA6" s="977"/>
      <c r="VWB6" s="977"/>
      <c r="VWC6" s="977"/>
      <c r="VWD6" s="977"/>
      <c r="VWE6" s="977"/>
      <c r="VWF6" s="977"/>
      <c r="VWG6" s="977"/>
      <c r="VWH6" s="977"/>
      <c r="VWI6" s="977"/>
      <c r="VWJ6" s="977"/>
      <c r="VWK6" s="977"/>
      <c r="VWL6" s="977"/>
      <c r="VWM6" s="977"/>
      <c r="VWN6" s="977"/>
      <c r="VWO6" s="977"/>
      <c r="VWP6" s="977"/>
      <c r="VWQ6" s="977"/>
      <c r="VWR6" s="977"/>
      <c r="VWS6" s="977"/>
      <c r="VWT6" s="977"/>
      <c r="VWU6" s="977"/>
      <c r="VWV6" s="977"/>
      <c r="VWW6" s="977"/>
      <c r="VWX6" s="977"/>
      <c r="VWY6" s="977"/>
      <c r="VWZ6" s="977"/>
      <c r="VXA6" s="977"/>
      <c r="VXB6" s="977"/>
      <c r="VXC6" s="977"/>
      <c r="VXD6" s="977"/>
      <c r="VXE6" s="977"/>
      <c r="VXF6" s="977"/>
      <c r="VXG6" s="977"/>
      <c r="VXH6" s="977"/>
      <c r="VXI6" s="977"/>
      <c r="VXJ6" s="977"/>
      <c r="VXK6" s="977"/>
      <c r="VXL6" s="977"/>
      <c r="VXM6" s="977"/>
      <c r="VXN6" s="977"/>
      <c r="VXO6" s="977"/>
      <c r="VXP6" s="977"/>
      <c r="VXQ6" s="977"/>
      <c r="VXR6" s="977"/>
      <c r="VXS6" s="977"/>
      <c r="VXT6" s="977"/>
      <c r="VXU6" s="977"/>
      <c r="VXV6" s="977"/>
      <c r="VXW6" s="977"/>
      <c r="VXX6" s="977"/>
      <c r="VXY6" s="977"/>
      <c r="VXZ6" s="977"/>
      <c r="VYA6" s="977"/>
      <c r="VYB6" s="977"/>
      <c r="VYC6" s="977"/>
      <c r="VYD6" s="977"/>
      <c r="VYE6" s="977"/>
      <c r="VYF6" s="977"/>
      <c r="VYG6" s="977"/>
      <c r="VYH6" s="977"/>
      <c r="VYI6" s="977"/>
      <c r="VYJ6" s="977"/>
      <c r="VYK6" s="977"/>
      <c r="VYL6" s="977"/>
      <c r="VYM6" s="977"/>
      <c r="VYN6" s="977"/>
      <c r="VYO6" s="977"/>
      <c r="VYP6" s="977"/>
      <c r="VYQ6" s="977"/>
      <c r="VYR6" s="977"/>
      <c r="VYS6" s="977"/>
      <c r="VYT6" s="977"/>
      <c r="VYU6" s="977"/>
      <c r="VYV6" s="977"/>
      <c r="VYW6" s="977"/>
      <c r="VYX6" s="977"/>
      <c r="VYY6" s="977"/>
      <c r="VYZ6" s="977"/>
      <c r="VZA6" s="977"/>
      <c r="VZB6" s="977"/>
      <c r="VZC6" s="977"/>
      <c r="VZD6" s="977"/>
      <c r="VZE6" s="977"/>
      <c r="VZF6" s="977"/>
      <c r="VZG6" s="977"/>
      <c r="VZH6" s="977"/>
      <c r="VZI6" s="977"/>
      <c r="VZJ6" s="977"/>
      <c r="VZK6" s="977"/>
      <c r="VZL6" s="977"/>
      <c r="VZM6" s="977"/>
      <c r="VZN6" s="977"/>
      <c r="VZO6" s="977"/>
      <c r="VZP6" s="977"/>
      <c r="VZQ6" s="977"/>
      <c r="VZR6" s="977"/>
      <c r="VZS6" s="977"/>
      <c r="VZT6" s="977"/>
      <c r="VZU6" s="977"/>
      <c r="VZV6" s="977"/>
      <c r="VZW6" s="977"/>
      <c r="VZX6" s="977"/>
      <c r="VZY6" s="977"/>
      <c r="VZZ6" s="977"/>
      <c r="WAA6" s="977"/>
      <c r="WAB6" s="977"/>
      <c r="WAC6" s="977"/>
      <c r="WAD6" s="977"/>
      <c r="WAE6" s="977"/>
      <c r="WAF6" s="977"/>
      <c r="WAG6" s="977"/>
      <c r="WAH6" s="977"/>
      <c r="WAI6" s="977"/>
      <c r="WAJ6" s="977"/>
      <c r="WAK6" s="977"/>
      <c r="WAL6" s="977"/>
      <c r="WAM6" s="977"/>
      <c r="WAN6" s="977"/>
      <c r="WAO6" s="977"/>
      <c r="WAP6" s="977"/>
      <c r="WAQ6" s="977"/>
      <c r="WAR6" s="977"/>
      <c r="WAS6" s="977"/>
      <c r="WAT6" s="977"/>
      <c r="WAU6" s="977"/>
      <c r="WAV6" s="977"/>
      <c r="WAW6" s="977"/>
      <c r="WAX6" s="977"/>
      <c r="WAY6" s="977"/>
      <c r="WAZ6" s="977"/>
      <c r="WBA6" s="977"/>
      <c r="WBB6" s="977"/>
      <c r="WBC6" s="977"/>
      <c r="WBD6" s="977"/>
      <c r="WBE6" s="977"/>
      <c r="WBF6" s="977"/>
      <c r="WBG6" s="977"/>
      <c r="WBH6" s="977"/>
      <c r="WBI6" s="977"/>
      <c r="WBJ6" s="977"/>
      <c r="WBK6" s="977"/>
      <c r="WBL6" s="977"/>
      <c r="WBM6" s="977"/>
      <c r="WBN6" s="977"/>
      <c r="WBO6" s="977"/>
      <c r="WBP6" s="977"/>
      <c r="WBQ6" s="977"/>
      <c r="WBR6" s="977"/>
      <c r="WBS6" s="977"/>
      <c r="WBT6" s="977"/>
      <c r="WBU6" s="977"/>
      <c r="WBV6" s="977"/>
      <c r="WBW6" s="977"/>
      <c r="WBX6" s="977"/>
      <c r="WBY6" s="977"/>
      <c r="WBZ6" s="977"/>
      <c r="WCA6" s="977"/>
      <c r="WCB6" s="977"/>
      <c r="WCC6" s="977"/>
      <c r="WCD6" s="977"/>
      <c r="WCE6" s="977"/>
      <c r="WCF6" s="977"/>
      <c r="WCG6" s="977"/>
      <c r="WCH6" s="977"/>
      <c r="WCI6" s="977"/>
      <c r="WCJ6" s="977"/>
      <c r="WCK6" s="977"/>
      <c r="WCL6" s="977"/>
      <c r="WCM6" s="977"/>
      <c r="WCN6" s="977"/>
      <c r="WCO6" s="977"/>
      <c r="WCP6" s="977"/>
      <c r="WCQ6" s="977"/>
      <c r="WCR6" s="977"/>
      <c r="WCS6" s="977"/>
      <c r="WCT6" s="977"/>
      <c r="WCU6" s="977"/>
      <c r="WCV6" s="977"/>
      <c r="WCW6" s="977"/>
      <c r="WCX6" s="977"/>
      <c r="WCY6" s="977"/>
      <c r="WCZ6" s="977"/>
      <c r="WDA6" s="977"/>
      <c r="WDB6" s="977"/>
      <c r="WDC6" s="977"/>
      <c r="WDD6" s="977"/>
      <c r="WDE6" s="977"/>
      <c r="WDF6" s="977"/>
      <c r="WDG6" s="977"/>
      <c r="WDH6" s="977"/>
      <c r="WDI6" s="977"/>
      <c r="WDJ6" s="977"/>
      <c r="WDK6" s="977"/>
      <c r="WDL6" s="977"/>
      <c r="WDM6" s="977"/>
      <c r="WDN6" s="977"/>
      <c r="WDO6" s="977"/>
      <c r="WDP6" s="977"/>
      <c r="WDQ6" s="977"/>
      <c r="WDR6" s="977"/>
      <c r="WDS6" s="977"/>
      <c r="WDT6" s="977"/>
      <c r="WDU6" s="977"/>
      <c r="WDV6" s="977"/>
      <c r="WDW6" s="977"/>
      <c r="WDX6" s="977"/>
      <c r="WDY6" s="977"/>
      <c r="WDZ6" s="977"/>
      <c r="WEA6" s="977"/>
      <c r="WEB6" s="977"/>
      <c r="WEC6" s="977"/>
      <c r="WED6" s="977"/>
      <c r="WEE6" s="977"/>
      <c r="WEF6" s="977"/>
      <c r="WEG6" s="977"/>
      <c r="WEH6" s="977"/>
      <c r="WEI6" s="977"/>
      <c r="WEJ6" s="977"/>
      <c r="WEK6" s="977"/>
      <c r="WEL6" s="977"/>
      <c r="WEM6" s="977"/>
      <c r="WEN6" s="977"/>
      <c r="WEO6" s="977"/>
      <c r="WEP6" s="977"/>
      <c r="WEQ6" s="977"/>
      <c r="WER6" s="977"/>
      <c r="WES6" s="977"/>
      <c r="WET6" s="977"/>
      <c r="WEU6" s="977"/>
      <c r="WEV6" s="977"/>
      <c r="WEW6" s="977"/>
      <c r="WEX6" s="977"/>
      <c r="WEY6" s="977"/>
      <c r="WEZ6" s="977"/>
      <c r="WFA6" s="977"/>
      <c r="WFB6" s="977"/>
      <c r="WFC6" s="977"/>
      <c r="WFD6" s="977"/>
      <c r="WFE6" s="977"/>
      <c r="WFF6" s="977"/>
      <c r="WFG6" s="977"/>
      <c r="WFH6" s="977"/>
      <c r="WFI6" s="977"/>
      <c r="WFJ6" s="977"/>
      <c r="WFK6" s="977"/>
      <c r="WFL6" s="977"/>
      <c r="WFM6" s="977"/>
      <c r="WFN6" s="977"/>
      <c r="WFO6" s="977"/>
      <c r="WFP6" s="977"/>
      <c r="WFQ6" s="977"/>
      <c r="WFR6" s="977"/>
      <c r="WFS6" s="977"/>
      <c r="WFT6" s="977"/>
      <c r="WFU6" s="977"/>
      <c r="WFV6" s="977"/>
      <c r="WFW6" s="977"/>
      <c r="WFX6" s="977"/>
      <c r="WFY6" s="977"/>
      <c r="WFZ6" s="977"/>
      <c r="WGA6" s="977"/>
      <c r="WGB6" s="977"/>
      <c r="WGC6" s="977"/>
      <c r="WGD6" s="977"/>
      <c r="WGE6" s="977"/>
      <c r="WGF6" s="977"/>
      <c r="WGG6" s="977"/>
      <c r="WGH6" s="977"/>
      <c r="WGI6" s="977"/>
      <c r="WGJ6" s="977"/>
      <c r="WGK6" s="977"/>
      <c r="WGL6" s="977"/>
      <c r="WGM6" s="977"/>
      <c r="WGN6" s="977"/>
      <c r="WGO6" s="977"/>
      <c r="WGP6" s="977"/>
      <c r="WGQ6" s="977"/>
      <c r="WGR6" s="977"/>
      <c r="WGS6" s="977"/>
      <c r="WGT6" s="977"/>
      <c r="WGU6" s="977"/>
      <c r="WGV6" s="977"/>
      <c r="WGW6" s="977"/>
      <c r="WGX6" s="977"/>
      <c r="WGY6" s="977"/>
      <c r="WGZ6" s="977"/>
      <c r="WHA6" s="977"/>
      <c r="WHB6" s="977"/>
      <c r="WHC6" s="977"/>
      <c r="WHD6" s="977"/>
      <c r="WHE6" s="977"/>
      <c r="WHF6" s="977"/>
      <c r="WHG6" s="977"/>
      <c r="WHH6" s="977"/>
      <c r="WHI6" s="977"/>
      <c r="WHJ6" s="977"/>
      <c r="WHK6" s="977"/>
      <c r="WHL6" s="977"/>
      <c r="WHM6" s="977"/>
      <c r="WHN6" s="977"/>
      <c r="WHO6" s="977"/>
      <c r="WHP6" s="977"/>
      <c r="WHQ6" s="977"/>
      <c r="WHR6" s="977"/>
      <c r="WHS6" s="977"/>
      <c r="WHT6" s="977"/>
      <c r="WHU6" s="977"/>
      <c r="WHV6" s="977"/>
      <c r="WHW6" s="977"/>
      <c r="WHX6" s="977"/>
      <c r="WHY6" s="977"/>
      <c r="WHZ6" s="977"/>
      <c r="WIA6" s="977"/>
      <c r="WIB6" s="977"/>
      <c r="WIC6" s="977"/>
      <c r="WID6" s="977"/>
      <c r="WIE6" s="977"/>
      <c r="WIF6" s="977"/>
      <c r="WIG6" s="977"/>
      <c r="WIH6" s="977"/>
      <c r="WII6" s="977"/>
      <c r="WIJ6" s="977"/>
      <c r="WIK6" s="977"/>
      <c r="WIL6" s="977"/>
      <c r="WIM6" s="977"/>
      <c r="WIN6" s="977"/>
      <c r="WIO6" s="977"/>
      <c r="WIP6" s="977"/>
      <c r="WIQ6" s="977"/>
      <c r="WIR6" s="977"/>
      <c r="WIS6" s="977"/>
      <c r="WIT6" s="977"/>
      <c r="WIU6" s="977"/>
      <c r="WIV6" s="977"/>
      <c r="WIW6" s="977"/>
      <c r="WIX6" s="977"/>
      <c r="WIY6" s="977"/>
      <c r="WIZ6" s="977"/>
      <c r="WJA6" s="977"/>
      <c r="WJB6" s="977"/>
      <c r="WJC6" s="977"/>
      <c r="WJD6" s="977"/>
      <c r="WJE6" s="977"/>
      <c r="WJF6" s="977"/>
      <c r="WJG6" s="977"/>
      <c r="WJH6" s="977"/>
      <c r="WJI6" s="977"/>
      <c r="WJJ6" s="977"/>
      <c r="WJK6" s="977"/>
      <c r="WJL6" s="977"/>
      <c r="WJM6" s="977"/>
      <c r="WJN6" s="977"/>
      <c r="WJO6" s="977"/>
      <c r="WJP6" s="977"/>
      <c r="WJQ6" s="977"/>
      <c r="WJR6" s="977"/>
      <c r="WJS6" s="977"/>
      <c r="WJT6" s="977"/>
      <c r="WJU6" s="977"/>
      <c r="WJV6" s="977"/>
      <c r="WJW6" s="977"/>
      <c r="WJX6" s="977"/>
      <c r="WJY6" s="977"/>
      <c r="WJZ6" s="977"/>
      <c r="WKA6" s="977"/>
      <c r="WKB6" s="977"/>
      <c r="WKC6" s="977"/>
      <c r="WKD6" s="977"/>
      <c r="WKE6" s="977"/>
      <c r="WKF6" s="977"/>
      <c r="WKG6" s="977"/>
      <c r="WKH6" s="977"/>
      <c r="WKI6" s="977"/>
      <c r="WKJ6" s="977"/>
      <c r="WKK6" s="977"/>
      <c r="WKL6" s="977"/>
      <c r="WKM6" s="977"/>
      <c r="WKN6" s="977"/>
      <c r="WKO6" s="977"/>
      <c r="WKP6" s="977"/>
      <c r="WKQ6" s="977"/>
      <c r="WKR6" s="977"/>
      <c r="WKS6" s="977"/>
      <c r="WKT6" s="977"/>
      <c r="WKU6" s="977"/>
      <c r="WKV6" s="977"/>
      <c r="WKW6" s="977"/>
      <c r="WKX6" s="977"/>
      <c r="WKY6" s="977"/>
      <c r="WKZ6" s="977"/>
      <c r="WLA6" s="977"/>
      <c r="WLB6" s="977"/>
      <c r="WLC6" s="977"/>
      <c r="WLD6" s="977"/>
      <c r="WLE6" s="977"/>
      <c r="WLF6" s="977"/>
      <c r="WLG6" s="977"/>
      <c r="WLH6" s="977"/>
      <c r="WLI6" s="977"/>
      <c r="WLJ6" s="977"/>
      <c r="WLK6" s="977"/>
      <c r="WLL6" s="977"/>
      <c r="WLM6" s="977"/>
      <c r="WLN6" s="977"/>
      <c r="WLO6" s="977"/>
      <c r="WLP6" s="977"/>
      <c r="WLQ6" s="977"/>
      <c r="WLR6" s="977"/>
      <c r="WLS6" s="977"/>
      <c r="WLT6" s="977"/>
      <c r="WLU6" s="977"/>
      <c r="WLV6" s="977"/>
      <c r="WLW6" s="977"/>
      <c r="WLX6" s="977"/>
      <c r="WLY6" s="977"/>
      <c r="WLZ6" s="977"/>
      <c r="WMA6" s="977"/>
      <c r="WMB6" s="977"/>
      <c r="WMC6" s="977"/>
      <c r="WMD6" s="977"/>
      <c r="WME6" s="977"/>
      <c r="WMF6" s="977"/>
      <c r="WMG6" s="977"/>
      <c r="WMH6" s="977"/>
      <c r="WMI6" s="977"/>
      <c r="WMJ6" s="977"/>
      <c r="WMK6" s="977"/>
      <c r="WML6" s="977"/>
      <c r="WMM6" s="977"/>
      <c r="WMN6" s="977"/>
      <c r="WMO6" s="977"/>
      <c r="WMP6" s="977"/>
      <c r="WMQ6" s="977"/>
      <c r="WMR6" s="977"/>
      <c r="WMS6" s="977"/>
      <c r="WMT6" s="977"/>
      <c r="WMU6" s="977"/>
      <c r="WMV6" s="977"/>
      <c r="WMW6" s="977"/>
      <c r="WMX6" s="977"/>
      <c r="WMY6" s="977"/>
      <c r="WMZ6" s="977"/>
      <c r="WNA6" s="977"/>
      <c r="WNB6" s="977"/>
      <c r="WNC6" s="977"/>
      <c r="WND6" s="977"/>
      <c r="WNE6" s="977"/>
      <c r="WNF6" s="977"/>
      <c r="WNG6" s="977"/>
      <c r="WNH6" s="977"/>
      <c r="WNI6" s="977"/>
      <c r="WNJ6" s="977"/>
      <c r="WNK6" s="977"/>
      <c r="WNL6" s="977"/>
      <c r="WNM6" s="977"/>
      <c r="WNN6" s="977"/>
      <c r="WNO6" s="977"/>
      <c r="WNP6" s="977"/>
      <c r="WNQ6" s="977"/>
      <c r="WNR6" s="977"/>
      <c r="WNS6" s="977"/>
      <c r="WNT6" s="977"/>
      <c r="WNU6" s="977"/>
      <c r="WNV6" s="977"/>
      <c r="WNW6" s="977"/>
      <c r="WNX6" s="977"/>
      <c r="WNY6" s="977"/>
      <c r="WNZ6" s="977"/>
      <c r="WOA6" s="977"/>
      <c r="WOB6" s="977"/>
      <c r="WOC6" s="977"/>
      <c r="WOD6" s="977"/>
      <c r="WOE6" s="977"/>
      <c r="WOF6" s="977"/>
      <c r="WOG6" s="977"/>
      <c r="WOH6" s="977"/>
      <c r="WOI6" s="977"/>
      <c r="WOJ6" s="977"/>
      <c r="WOK6" s="977"/>
      <c r="WOL6" s="977"/>
      <c r="WOM6" s="977"/>
      <c r="WON6" s="977"/>
      <c r="WOO6" s="977"/>
      <c r="WOP6" s="977"/>
      <c r="WOQ6" s="977"/>
      <c r="WOR6" s="977"/>
      <c r="WOS6" s="977"/>
      <c r="WOT6" s="977"/>
      <c r="WOU6" s="977"/>
      <c r="WOV6" s="977"/>
      <c r="WOW6" s="977"/>
      <c r="WOX6" s="977"/>
      <c r="WOY6" s="977"/>
      <c r="WOZ6" s="977"/>
      <c r="WPA6" s="977"/>
      <c r="WPB6" s="977"/>
      <c r="WPC6" s="977"/>
      <c r="WPD6" s="977"/>
      <c r="WPE6" s="977"/>
      <c r="WPF6" s="977"/>
      <c r="WPG6" s="977"/>
      <c r="WPH6" s="977"/>
      <c r="WPI6" s="977"/>
      <c r="WPJ6" s="977"/>
      <c r="WPK6" s="977"/>
      <c r="WPL6" s="977"/>
      <c r="WPM6" s="977"/>
      <c r="WPN6" s="977"/>
      <c r="WPO6" s="977"/>
      <c r="WPP6" s="977"/>
      <c r="WPQ6" s="977"/>
      <c r="WPR6" s="977"/>
      <c r="WPS6" s="977"/>
      <c r="WPT6" s="977"/>
      <c r="WPU6" s="977"/>
      <c r="WPV6" s="977"/>
      <c r="WPW6" s="977"/>
      <c r="WPX6" s="977"/>
      <c r="WPY6" s="977"/>
      <c r="WPZ6" s="977"/>
      <c r="WQA6" s="977"/>
      <c r="WQB6" s="977"/>
      <c r="WQC6" s="977"/>
      <c r="WQD6" s="977"/>
      <c r="WQE6" s="977"/>
      <c r="WQF6" s="977"/>
      <c r="WQG6" s="977"/>
      <c r="WQH6" s="977"/>
      <c r="WQI6" s="977"/>
      <c r="WQJ6" s="977"/>
      <c r="WQK6" s="977"/>
      <c r="WQL6" s="977"/>
      <c r="WQM6" s="977"/>
      <c r="WQN6" s="977"/>
      <c r="WQO6" s="977"/>
      <c r="WQP6" s="977"/>
      <c r="WQQ6" s="977"/>
      <c r="WQR6" s="977"/>
      <c r="WQS6" s="977"/>
      <c r="WQT6" s="977"/>
      <c r="WQU6" s="977"/>
      <c r="WQV6" s="977"/>
      <c r="WQW6" s="977"/>
      <c r="WQX6" s="977"/>
      <c r="WQY6" s="977"/>
      <c r="WQZ6" s="977"/>
      <c r="WRA6" s="977"/>
      <c r="WRB6" s="977"/>
      <c r="WRC6" s="977"/>
      <c r="WRD6" s="977"/>
      <c r="WRE6" s="977"/>
      <c r="WRF6" s="977"/>
      <c r="WRG6" s="977"/>
      <c r="WRH6" s="977"/>
      <c r="WRI6" s="977"/>
      <c r="WRJ6" s="977"/>
      <c r="WRK6" s="977"/>
      <c r="WRL6" s="977"/>
      <c r="WRM6" s="977"/>
      <c r="WRN6" s="977"/>
      <c r="WRO6" s="977"/>
      <c r="WRP6" s="977"/>
      <c r="WRQ6" s="977"/>
      <c r="WRR6" s="977"/>
      <c r="WRS6" s="977"/>
      <c r="WRT6" s="977"/>
      <c r="WRU6" s="977"/>
      <c r="WRV6" s="977"/>
      <c r="WRW6" s="977"/>
      <c r="WRX6" s="977"/>
      <c r="WRY6" s="977"/>
      <c r="WRZ6" s="977"/>
      <c r="WSA6" s="977"/>
      <c r="WSB6" s="977"/>
      <c r="WSC6" s="977"/>
      <c r="WSD6" s="977"/>
      <c r="WSE6" s="977"/>
      <c r="WSF6" s="977"/>
      <c r="WSG6" s="977"/>
      <c r="WSH6" s="977"/>
      <c r="WSI6" s="977"/>
      <c r="WSJ6" s="977"/>
      <c r="WSK6" s="977"/>
      <c r="WSL6" s="977"/>
      <c r="WSM6" s="977"/>
      <c r="WSN6" s="977"/>
      <c r="WSO6" s="977"/>
      <c r="WSP6" s="977"/>
      <c r="WSQ6" s="977"/>
      <c r="WSR6" s="977"/>
      <c r="WSS6" s="977"/>
      <c r="WST6" s="977"/>
      <c r="WSU6" s="977"/>
      <c r="WSV6" s="977"/>
      <c r="WSW6" s="977"/>
      <c r="WSX6" s="977"/>
      <c r="WSY6" s="977"/>
      <c r="WSZ6" s="977"/>
      <c r="WTA6" s="977"/>
      <c r="WTB6" s="977"/>
      <c r="WTC6" s="977"/>
      <c r="WTD6" s="977"/>
      <c r="WTE6" s="977"/>
      <c r="WTF6" s="977"/>
      <c r="WTG6" s="977"/>
      <c r="WTH6" s="977"/>
      <c r="WTI6" s="977"/>
      <c r="WTJ6" s="977"/>
      <c r="WTK6" s="977"/>
      <c r="WTL6" s="977"/>
      <c r="WTM6" s="977"/>
      <c r="WTN6" s="977"/>
      <c r="WTO6" s="977"/>
      <c r="WTP6" s="977"/>
      <c r="WTQ6" s="977"/>
      <c r="WTR6" s="977"/>
      <c r="WTS6" s="977"/>
      <c r="WTT6" s="977"/>
      <c r="WTU6" s="977"/>
      <c r="WTV6" s="977"/>
      <c r="WTW6" s="977"/>
      <c r="WTX6" s="977"/>
      <c r="WTY6" s="977"/>
      <c r="WTZ6" s="977"/>
      <c r="WUA6" s="977"/>
      <c r="WUB6" s="977"/>
      <c r="WUC6" s="977"/>
      <c r="WUD6" s="977"/>
      <c r="WUE6" s="977"/>
      <c r="WUF6" s="977"/>
      <c r="WUG6" s="977"/>
      <c r="WUH6" s="977"/>
      <c r="WUI6" s="977"/>
      <c r="WUJ6" s="977"/>
      <c r="WUK6" s="977"/>
      <c r="WUL6" s="977"/>
      <c r="WUM6" s="977"/>
      <c r="WUN6" s="977"/>
      <c r="WUO6" s="977"/>
      <c r="WUP6" s="977"/>
      <c r="WUQ6" s="977"/>
      <c r="WUR6" s="977"/>
      <c r="WUS6" s="977"/>
      <c r="WUT6" s="977"/>
      <c r="WUU6" s="977"/>
      <c r="WUV6" s="977"/>
      <c r="WUW6" s="977"/>
      <c r="WUX6" s="977"/>
      <c r="WUY6" s="977"/>
      <c r="WUZ6" s="977"/>
      <c r="WVA6" s="977"/>
      <c r="WVB6" s="977"/>
      <c r="WVC6" s="977"/>
      <c r="WVD6" s="977"/>
      <c r="WVE6" s="977"/>
      <c r="WVF6" s="977"/>
      <c r="WVG6" s="977"/>
      <c r="WVH6" s="977"/>
      <c r="WVI6" s="977"/>
      <c r="WVJ6" s="977"/>
      <c r="WVK6" s="977"/>
      <c r="WVL6" s="977"/>
      <c r="WVM6" s="977"/>
      <c r="WVN6" s="977"/>
      <c r="WVO6" s="977"/>
      <c r="WVP6" s="977"/>
      <c r="WVQ6" s="977"/>
      <c r="WVR6" s="977"/>
      <c r="WVS6" s="977"/>
      <c r="WVT6" s="977"/>
      <c r="WVU6" s="977"/>
      <c r="WVV6" s="977"/>
      <c r="WVW6" s="977"/>
      <c r="WVX6" s="977"/>
      <c r="WVY6" s="977"/>
      <c r="WVZ6" s="977"/>
      <c r="WWA6" s="977"/>
      <c r="WWB6" s="977"/>
      <c r="WWC6" s="977"/>
      <c r="WWD6" s="977"/>
      <c r="WWE6" s="977"/>
      <c r="WWF6" s="977"/>
      <c r="WWG6" s="977"/>
      <c r="WWH6" s="977"/>
      <c r="WWI6" s="977"/>
      <c r="WWJ6" s="977"/>
      <c r="WWK6" s="977"/>
      <c r="WWL6" s="977"/>
      <c r="WWM6" s="977"/>
      <c r="WWN6" s="977"/>
      <c r="WWO6" s="977"/>
      <c r="WWP6" s="977"/>
      <c r="WWQ6" s="977"/>
      <c r="WWR6" s="977"/>
      <c r="WWS6" s="977"/>
      <c r="WWT6" s="977"/>
      <c r="WWU6" s="977"/>
      <c r="WWV6" s="977"/>
      <c r="WWW6" s="977"/>
      <c r="WWX6" s="977"/>
      <c r="WWY6" s="977"/>
      <c r="WWZ6" s="977"/>
      <c r="WXA6" s="977"/>
      <c r="WXB6" s="977"/>
      <c r="WXC6" s="977"/>
      <c r="WXD6" s="977"/>
      <c r="WXE6" s="977"/>
      <c r="WXF6" s="977"/>
      <c r="WXG6" s="977"/>
      <c r="WXH6" s="977"/>
      <c r="WXI6" s="977"/>
      <c r="WXJ6" s="977"/>
      <c r="WXK6" s="977"/>
      <c r="WXL6" s="977"/>
      <c r="WXM6" s="977"/>
      <c r="WXN6" s="977"/>
      <c r="WXO6" s="977"/>
      <c r="WXP6" s="977"/>
      <c r="WXQ6" s="977"/>
      <c r="WXR6" s="977"/>
      <c r="WXS6" s="977"/>
      <c r="WXT6" s="977"/>
      <c r="WXU6" s="977"/>
      <c r="WXV6" s="977"/>
      <c r="WXW6" s="977"/>
      <c r="WXX6" s="977"/>
      <c r="WXY6" s="977"/>
      <c r="WXZ6" s="977"/>
      <c r="WYA6" s="977"/>
      <c r="WYB6" s="977"/>
      <c r="WYC6" s="977"/>
      <c r="WYD6" s="977"/>
      <c r="WYE6" s="977"/>
      <c r="WYF6" s="977"/>
      <c r="WYG6" s="977"/>
      <c r="WYH6" s="977"/>
      <c r="WYI6" s="977"/>
      <c r="WYJ6" s="977"/>
      <c r="WYK6" s="977"/>
      <c r="WYL6" s="977"/>
      <c r="WYM6" s="977"/>
      <c r="WYN6" s="977"/>
      <c r="WYO6" s="977"/>
      <c r="WYP6" s="977"/>
      <c r="WYQ6" s="977"/>
      <c r="WYR6" s="977"/>
      <c r="WYS6" s="977"/>
      <c r="WYT6" s="977"/>
      <c r="WYU6" s="977"/>
      <c r="WYV6" s="977"/>
      <c r="WYW6" s="977"/>
      <c r="WYX6" s="977"/>
      <c r="WYY6" s="977"/>
      <c r="WYZ6" s="977"/>
      <c r="WZA6" s="977"/>
      <c r="WZB6" s="977"/>
      <c r="WZC6" s="977"/>
      <c r="WZD6" s="977"/>
      <c r="WZE6" s="977"/>
      <c r="WZF6" s="977"/>
      <c r="WZG6" s="977"/>
      <c r="WZH6" s="977"/>
      <c r="WZI6" s="977"/>
      <c r="WZJ6" s="977"/>
      <c r="WZK6" s="977"/>
      <c r="WZL6" s="977"/>
      <c r="WZM6" s="977"/>
      <c r="WZN6" s="977"/>
      <c r="WZO6" s="977"/>
      <c r="WZP6" s="977"/>
      <c r="WZQ6" s="977"/>
      <c r="WZR6" s="977"/>
      <c r="WZS6" s="977"/>
      <c r="WZT6" s="977"/>
      <c r="WZU6" s="977"/>
      <c r="WZV6" s="977"/>
      <c r="WZW6" s="977"/>
      <c r="WZX6" s="977"/>
      <c r="WZY6" s="977"/>
      <c r="WZZ6" s="977"/>
      <c r="XAA6" s="977"/>
      <c r="XAB6" s="977"/>
      <c r="XAC6" s="977"/>
      <c r="XAD6" s="977"/>
      <c r="XAE6" s="977"/>
      <c r="XAF6" s="977"/>
      <c r="XAG6" s="977"/>
      <c r="XAH6" s="977"/>
      <c r="XAI6" s="977"/>
      <c r="XAJ6" s="977"/>
      <c r="XAK6" s="977"/>
      <c r="XAL6" s="977"/>
      <c r="XAM6" s="977"/>
      <c r="XAN6" s="977"/>
      <c r="XAO6" s="977"/>
      <c r="XAP6" s="977"/>
      <c r="XAQ6" s="977"/>
      <c r="XAR6" s="977"/>
      <c r="XAS6" s="977"/>
      <c r="XAT6" s="977"/>
      <c r="XAU6" s="977"/>
      <c r="XAV6" s="977"/>
      <c r="XAW6" s="977"/>
      <c r="XAX6" s="977"/>
      <c r="XAY6" s="977"/>
      <c r="XAZ6" s="977"/>
      <c r="XBA6" s="977"/>
      <c r="XBB6" s="977"/>
      <c r="XBC6" s="977"/>
      <c r="XBD6" s="977"/>
      <c r="XBE6" s="977"/>
      <c r="XBF6" s="977"/>
      <c r="XBG6" s="977"/>
      <c r="XBH6" s="977"/>
      <c r="XBI6" s="977"/>
      <c r="XBJ6" s="977"/>
      <c r="XBK6" s="977"/>
      <c r="XBL6" s="977"/>
      <c r="XBM6" s="977"/>
      <c r="XBN6" s="977"/>
      <c r="XBO6" s="977"/>
      <c r="XBP6" s="977"/>
      <c r="XBQ6" s="977"/>
      <c r="XBR6" s="977"/>
      <c r="XBS6" s="977"/>
      <c r="XBT6" s="977"/>
      <c r="XBU6" s="977"/>
      <c r="XBV6" s="977"/>
      <c r="XBW6" s="977"/>
      <c r="XBX6" s="977"/>
      <c r="XBY6" s="977"/>
      <c r="XBZ6" s="977"/>
      <c r="XCA6" s="977"/>
      <c r="XCB6" s="977"/>
      <c r="XCC6" s="977"/>
      <c r="XCD6" s="977"/>
      <c r="XCE6" s="977"/>
      <c r="XCF6" s="977"/>
      <c r="XCG6" s="977"/>
      <c r="XCH6" s="977"/>
      <c r="XCI6" s="977"/>
      <c r="XCJ6" s="977"/>
      <c r="XCK6" s="977"/>
      <c r="XCL6" s="977"/>
      <c r="XCM6" s="977"/>
      <c r="XCN6" s="977"/>
      <c r="XCO6" s="977"/>
      <c r="XCP6" s="977"/>
      <c r="XCQ6" s="977"/>
      <c r="XCR6" s="977"/>
      <c r="XCS6" s="977"/>
      <c r="XCT6" s="977"/>
      <c r="XCU6" s="977"/>
      <c r="XCV6" s="977"/>
      <c r="XCW6" s="977"/>
      <c r="XCX6" s="977"/>
      <c r="XCY6" s="977"/>
      <c r="XCZ6" s="977"/>
      <c r="XDA6" s="977"/>
      <c r="XDB6" s="977"/>
      <c r="XDC6" s="977"/>
      <c r="XDD6" s="977"/>
      <c r="XDE6" s="977"/>
      <c r="XDF6" s="977"/>
      <c r="XDG6" s="977"/>
      <c r="XDH6" s="977"/>
      <c r="XDI6" s="977"/>
      <c r="XDJ6" s="977"/>
      <c r="XDK6" s="977"/>
      <c r="XDL6" s="977"/>
      <c r="XDM6" s="977"/>
      <c r="XDN6" s="977"/>
      <c r="XDO6" s="977"/>
      <c r="XDP6" s="977"/>
      <c r="XDQ6" s="977"/>
      <c r="XDR6" s="977"/>
      <c r="XDS6" s="977"/>
      <c r="XDT6" s="977"/>
      <c r="XDU6" s="977"/>
      <c r="XDV6" s="977"/>
      <c r="XDW6" s="977"/>
      <c r="XDX6" s="977"/>
      <c r="XDY6" s="977"/>
      <c r="XDZ6" s="977"/>
      <c r="XEA6" s="977"/>
      <c r="XEB6" s="977"/>
      <c r="XEC6" s="977"/>
      <c r="XED6" s="977"/>
      <c r="XEE6" s="977"/>
      <c r="XEF6" s="977"/>
      <c r="XEG6" s="977"/>
      <c r="XEH6" s="977"/>
      <c r="XEI6" s="977"/>
      <c r="XEJ6" s="977"/>
      <c r="XEK6" s="977"/>
      <c r="XEL6" s="977"/>
      <c r="XEM6" s="977"/>
      <c r="XEN6" s="977"/>
      <c r="XEO6" s="977"/>
      <c r="XEP6" s="977"/>
      <c r="XEQ6" s="977"/>
      <c r="XER6" s="977"/>
      <c r="XES6" s="977"/>
      <c r="XET6" s="977"/>
      <c r="XEU6" s="977"/>
      <c r="XEV6" s="977"/>
      <c r="XEW6" s="977"/>
      <c r="XEX6" s="977"/>
      <c r="XEY6" s="977"/>
      <c r="XEZ6" s="977"/>
      <c r="XFA6" s="977"/>
      <c r="XFB6" s="977"/>
      <c r="XFC6" s="977"/>
      <c r="XFD6" s="977"/>
    </row>
    <row r="7" spans="1:16384" ht="15">
      <c r="A7" s="453" t="s">
        <v>10</v>
      </c>
      <c r="B7" s="453"/>
      <c r="C7" s="453">
        <v>999</v>
      </c>
      <c r="D7" s="453">
        <v>111100</v>
      </c>
      <c r="E7" s="453"/>
      <c r="F7" s="453"/>
      <c r="G7" s="60">
        <f>SUM(G3:G6)</f>
        <v>466824000</v>
      </c>
      <c r="H7" s="60">
        <f>SUM(H3:H6)</f>
        <v>478945000</v>
      </c>
      <c r="I7" s="60">
        <f>SUM(I3:I6)</f>
        <v>492700000</v>
      </c>
      <c r="J7" s="92" t="s">
        <v>4</v>
      </c>
      <c r="K7" s="969"/>
    </row>
    <row r="8" spans="1:16384">
      <c r="A8" s="480" t="s">
        <v>11</v>
      </c>
      <c r="B8" s="516">
        <v>1121000220</v>
      </c>
      <c r="C8" s="480">
        <v>220</v>
      </c>
      <c r="D8" s="480">
        <v>121000</v>
      </c>
      <c r="E8" s="480">
        <v>1</v>
      </c>
      <c r="F8" s="480" t="s">
        <v>12</v>
      </c>
      <c r="G8" s="58">
        <v>200000</v>
      </c>
      <c r="H8" s="59">
        <f>VLOOKUP(B8,'אומדן 28.11.2022'!C:Q,15,0)</f>
        <v>233000</v>
      </c>
      <c r="I8" s="58">
        <v>230000</v>
      </c>
      <c r="J8" s="91"/>
      <c r="K8" s="969"/>
    </row>
    <row r="9" spans="1:16384">
      <c r="A9" s="480"/>
      <c r="B9" s="516">
        <v>1122000220</v>
      </c>
      <c r="C9" s="480">
        <v>220</v>
      </c>
      <c r="D9" s="480">
        <v>122000</v>
      </c>
      <c r="E9" s="480">
        <v>1</v>
      </c>
      <c r="F9" s="480" t="s">
        <v>13</v>
      </c>
      <c r="G9" s="58">
        <v>6000000</v>
      </c>
      <c r="H9" s="59">
        <f>VLOOKUP(B9,'אומדן 28.11.2022'!C:Q,15,0)</f>
        <v>8005000</v>
      </c>
      <c r="I9" s="58">
        <f>7100000+100000+300000+300000</f>
        <v>7800000</v>
      </c>
      <c r="J9" s="91"/>
      <c r="K9" s="969"/>
    </row>
    <row r="10" spans="1:16384" ht="15">
      <c r="A10" s="453" t="s">
        <v>14</v>
      </c>
      <c r="B10" s="453"/>
      <c r="C10" s="453">
        <v>999</v>
      </c>
      <c r="D10" s="453">
        <v>120000</v>
      </c>
      <c r="E10" s="453"/>
      <c r="F10" s="453"/>
      <c r="G10" s="60">
        <f>SUM(G8:G9)</f>
        <v>6200000</v>
      </c>
      <c r="H10" s="60">
        <f>SUM(H8:H9)</f>
        <v>8238000</v>
      </c>
      <c r="I10" s="60">
        <f>SUM(I8:I9)</f>
        <v>8030000</v>
      </c>
      <c r="J10" s="92"/>
      <c r="K10" s="969"/>
    </row>
    <row r="11" spans="1:16384">
      <c r="A11" s="480"/>
      <c r="B11" s="516">
        <v>1180000220</v>
      </c>
      <c r="C11" s="480">
        <v>220</v>
      </c>
      <c r="D11" s="480">
        <v>180000</v>
      </c>
      <c r="E11" s="480">
        <v>1</v>
      </c>
      <c r="F11" s="480" t="s">
        <v>15</v>
      </c>
      <c r="G11" s="58">
        <v>90000</v>
      </c>
      <c r="H11" s="59">
        <f>VLOOKUP(B11,'אומדן 28.11.2022'!C:Q,15,0)</f>
        <v>115000</v>
      </c>
      <c r="I11" s="58">
        <f>115000</f>
        <v>115000</v>
      </c>
      <c r="J11" s="91"/>
      <c r="K11" s="969"/>
    </row>
    <row r="12" spans="1:16384" ht="15">
      <c r="A12" s="453" t="s">
        <v>16</v>
      </c>
      <c r="B12" s="453"/>
      <c r="C12" s="453">
        <v>999</v>
      </c>
      <c r="D12" s="453">
        <v>180000</v>
      </c>
      <c r="E12" s="453"/>
      <c r="F12" s="453"/>
      <c r="G12" s="60">
        <f>SUM(G11)</f>
        <v>90000</v>
      </c>
      <c r="H12" s="60">
        <f>SUM(H11)</f>
        <v>115000</v>
      </c>
      <c r="I12" s="60">
        <f>SUM(I11)</f>
        <v>115000</v>
      </c>
      <c r="J12" s="92"/>
      <c r="K12" s="969"/>
    </row>
    <row r="13" spans="1:16384">
      <c r="A13" s="480" t="s">
        <v>17</v>
      </c>
      <c r="B13" s="516">
        <v>1212300610</v>
      </c>
      <c r="C13" s="480">
        <v>610</v>
      </c>
      <c r="D13" s="480">
        <v>212300</v>
      </c>
      <c r="E13" s="480">
        <v>1</v>
      </c>
      <c r="F13" s="480" t="s">
        <v>2237</v>
      </c>
      <c r="G13" s="58">
        <v>450000</v>
      </c>
      <c r="H13" s="59">
        <f>VLOOKUP(B13,'אומדן 28.11.2022'!C:Q,15,0)</f>
        <v>450000</v>
      </c>
      <c r="I13" s="58">
        <f>שלומית!G4</f>
        <v>400000</v>
      </c>
      <c r="J13" s="91"/>
      <c r="K13" s="969"/>
    </row>
    <row r="14" spans="1:16384">
      <c r="A14" s="480"/>
      <c r="B14" s="516">
        <v>1212300611</v>
      </c>
      <c r="C14" s="480">
        <v>611</v>
      </c>
      <c r="D14" s="480">
        <v>212300</v>
      </c>
      <c r="E14" s="480">
        <v>1</v>
      </c>
      <c r="F14" s="480" t="s">
        <v>18</v>
      </c>
      <c r="G14" s="58">
        <v>400000</v>
      </c>
      <c r="H14" s="59">
        <f>VLOOKUP(B14,'אומדן 28.11.2022'!C:Q,15,0)</f>
        <v>320000</v>
      </c>
      <c r="I14" s="58">
        <f>שלומית!G5+50000</f>
        <v>350000</v>
      </c>
      <c r="J14" s="91"/>
      <c r="K14" s="969"/>
    </row>
    <row r="15" spans="1:16384">
      <c r="A15" s="480"/>
      <c r="B15" s="516">
        <v>1214200220</v>
      </c>
      <c r="C15" s="480">
        <v>220</v>
      </c>
      <c r="D15" s="480">
        <v>214200</v>
      </c>
      <c r="E15" s="480">
        <v>1</v>
      </c>
      <c r="F15" s="480" t="s">
        <v>19</v>
      </c>
      <c r="G15" s="58">
        <v>420000</v>
      </c>
      <c r="H15" s="59">
        <f>VLOOKUP(B15,'אומדן 28.11.2022'!C:Q,15,0)</f>
        <v>421000</v>
      </c>
      <c r="I15" s="58">
        <v>450000</v>
      </c>
      <c r="J15" s="91"/>
      <c r="K15" s="969"/>
    </row>
    <row r="16" spans="1:16384">
      <c r="A16" s="480"/>
      <c r="B16" s="516">
        <v>1214200990</v>
      </c>
      <c r="C16" s="480">
        <v>990</v>
      </c>
      <c r="D16" s="480">
        <v>214200</v>
      </c>
      <c r="E16" s="480">
        <v>1</v>
      </c>
      <c r="F16" s="480" t="s">
        <v>20</v>
      </c>
      <c r="G16" s="58">
        <v>600000</v>
      </c>
      <c r="H16" s="59">
        <f>VLOOKUP(B16,'אומדן 28.11.2022'!C:Q,15,0)</f>
        <v>485000</v>
      </c>
      <c r="I16" s="58">
        <f>שלומית!G7+100000</f>
        <v>500000</v>
      </c>
      <c r="J16" s="728"/>
      <c r="K16" s="969"/>
    </row>
    <row r="17" spans="1:11" ht="15">
      <c r="A17" s="453" t="s">
        <v>21</v>
      </c>
      <c r="B17" s="453"/>
      <c r="C17" s="453">
        <v>999</v>
      </c>
      <c r="D17" s="453">
        <v>210000</v>
      </c>
      <c r="E17" s="453"/>
      <c r="F17" s="453"/>
      <c r="G17" s="60">
        <f>SUM(G13:G16)</f>
        <v>1870000</v>
      </c>
      <c r="H17" s="60">
        <f>SUM(H13:H16)</f>
        <v>1676000</v>
      </c>
      <c r="I17" s="60">
        <f>SUM(I13:I16)</f>
        <v>1700000</v>
      </c>
      <c r="J17" s="92"/>
      <c r="K17" s="969"/>
    </row>
    <row r="18" spans="1:11">
      <c r="A18" s="480" t="s">
        <v>22</v>
      </c>
      <c r="B18" s="516">
        <v>1222000220</v>
      </c>
      <c r="C18" s="480">
        <v>220</v>
      </c>
      <c r="D18" s="480">
        <v>222000</v>
      </c>
      <c r="E18" s="480">
        <v>1</v>
      </c>
      <c r="F18" s="480" t="s">
        <v>23</v>
      </c>
      <c r="G18" s="58">
        <v>6700000</v>
      </c>
      <c r="H18" s="59">
        <f>VLOOKUP(B18,'אומדן 28.11.2022'!C:Q,15,0)</f>
        <v>6701000</v>
      </c>
      <c r="I18" s="58">
        <f>7200000-110000</f>
        <v>7090000</v>
      </c>
      <c r="J18" s="91"/>
      <c r="K18" s="969"/>
    </row>
    <row r="19" spans="1:11">
      <c r="A19" s="480"/>
      <c r="B19" s="516">
        <v>1222000990</v>
      </c>
      <c r="C19" s="480">
        <v>990</v>
      </c>
      <c r="D19" s="480">
        <v>222000</v>
      </c>
      <c r="E19" s="480">
        <v>1</v>
      </c>
      <c r="F19" s="480" t="s">
        <v>24</v>
      </c>
      <c r="G19" s="58">
        <v>4459000</v>
      </c>
      <c r="H19" s="59">
        <f>VLOOKUP(B19,'אומדן 28.11.2022'!C:Q,15,0)</f>
        <v>3957000</v>
      </c>
      <c r="I19" s="58">
        <f>ROUND(אכיפה!E10,-3)-500000*0.52+105000-500000*0.52</f>
        <v>4537000</v>
      </c>
      <c r="J19" s="91"/>
      <c r="K19" s="969"/>
    </row>
    <row r="20" spans="1:11">
      <c r="A20" s="480"/>
      <c r="B20" s="516">
        <v>1223000990</v>
      </c>
      <c r="C20" s="480">
        <v>990</v>
      </c>
      <c r="D20" s="480">
        <v>223000</v>
      </c>
      <c r="E20" s="480">
        <v>1</v>
      </c>
      <c r="F20" s="480" t="s">
        <v>25</v>
      </c>
      <c r="G20" s="58">
        <v>455000</v>
      </c>
      <c r="H20" s="59">
        <f>VLOOKUP(B20,'אומדן 28.11.2022'!C:Q,15,0)</f>
        <v>332000</v>
      </c>
      <c r="I20" s="58">
        <f>אכיפה!E13</f>
        <v>455000</v>
      </c>
      <c r="J20" s="91"/>
      <c r="K20" s="969"/>
    </row>
    <row r="21" spans="1:11" s="968" customFormat="1">
      <c r="A21" s="977"/>
      <c r="B21" s="516">
        <v>1229999920</v>
      </c>
      <c r="C21" s="480">
        <v>920</v>
      </c>
      <c r="D21" s="480">
        <v>229999</v>
      </c>
      <c r="E21" s="480"/>
      <c r="F21" s="480" t="s">
        <v>266</v>
      </c>
      <c r="G21" s="58">
        <v>0</v>
      </c>
      <c r="H21" s="59">
        <f>VLOOKUP(B21,'אומדן 28.11.2022'!C:Q,15,0)</f>
        <v>160000</v>
      </c>
      <c r="I21" s="58">
        <v>0</v>
      </c>
      <c r="J21" s="91"/>
      <c r="K21" s="969"/>
    </row>
    <row r="22" spans="1:11" ht="15">
      <c r="A22" s="453" t="s">
        <v>26</v>
      </c>
      <c r="B22" s="453"/>
      <c r="C22" s="453">
        <v>999</v>
      </c>
      <c r="D22" s="453">
        <v>220000</v>
      </c>
      <c r="E22" s="453"/>
      <c r="F22" s="453"/>
      <c r="G22" s="60">
        <f>SUM(G18:G21)</f>
        <v>11614000</v>
      </c>
      <c r="H22" s="60">
        <f>SUM(H18:H21)</f>
        <v>11150000</v>
      </c>
      <c r="I22" s="60">
        <f>SUM(I18:I21)</f>
        <v>12082000</v>
      </c>
      <c r="J22" s="92"/>
      <c r="K22" s="969"/>
    </row>
    <row r="23" spans="1:11">
      <c r="A23" s="480" t="s">
        <v>27</v>
      </c>
      <c r="B23" s="516">
        <v>1231000220</v>
      </c>
      <c r="C23" s="480">
        <v>220</v>
      </c>
      <c r="D23" s="480">
        <v>231000</v>
      </c>
      <c r="E23" s="480">
        <v>1</v>
      </c>
      <c r="F23" s="480" t="s">
        <v>28</v>
      </c>
      <c r="G23" s="58">
        <v>90000</v>
      </c>
      <c r="H23" s="59">
        <f>VLOOKUP(B23,'אומדן 28.11.2022'!C:Q,15,0)</f>
        <v>107000</v>
      </c>
      <c r="I23" s="58">
        <v>110000</v>
      </c>
      <c r="J23" s="91"/>
      <c r="K23" s="969"/>
    </row>
    <row r="24" spans="1:11" s="730" customFormat="1">
      <c r="A24" s="480" t="s">
        <v>4</v>
      </c>
      <c r="B24" s="516">
        <v>1233100220</v>
      </c>
      <c r="C24" s="480">
        <v>220</v>
      </c>
      <c r="D24" s="480">
        <v>233100</v>
      </c>
      <c r="E24" s="544">
        <v>1</v>
      </c>
      <c r="F24" s="480" t="s">
        <v>29</v>
      </c>
      <c r="G24" s="58">
        <v>6290000</v>
      </c>
      <c r="H24" s="59">
        <f>VLOOKUP(B24,'אומדן 28.11.2022'!C:Q,15,0)</f>
        <v>5500000</v>
      </c>
      <c r="I24" s="58">
        <f>6090000+500000</f>
        <v>6590000</v>
      </c>
      <c r="J24" s="91"/>
      <c r="K24" s="969"/>
    </row>
    <row r="25" spans="1:11" ht="15">
      <c r="A25" s="453" t="s">
        <v>30</v>
      </c>
      <c r="B25" s="453"/>
      <c r="C25" s="453">
        <v>999</v>
      </c>
      <c r="D25" s="453">
        <v>230000</v>
      </c>
      <c r="E25" s="453"/>
      <c r="F25" s="453"/>
      <c r="G25" s="60">
        <f>SUM(G23:G24)</f>
        <v>6380000</v>
      </c>
      <c r="H25" s="60">
        <f>SUM(H23:H24)</f>
        <v>5607000</v>
      </c>
      <c r="I25" s="60">
        <f>SUM(I23:I24)</f>
        <v>6700000</v>
      </c>
      <c r="J25" s="92"/>
      <c r="K25" s="969"/>
    </row>
    <row r="26" spans="1:11">
      <c r="A26" s="480" t="s">
        <v>31</v>
      </c>
      <c r="B26" s="516">
        <v>1243000690</v>
      </c>
      <c r="C26" s="480">
        <v>690</v>
      </c>
      <c r="D26" s="480">
        <v>243000</v>
      </c>
      <c r="E26" s="480">
        <v>1</v>
      </c>
      <c r="F26" s="480" t="s">
        <v>32</v>
      </c>
      <c r="G26" s="58">
        <v>0</v>
      </c>
      <c r="H26" s="59">
        <f>VLOOKUP(B26,'אומדן 28.11.2022'!C:Q,15,0)</f>
        <v>157000</v>
      </c>
      <c r="I26" s="58">
        <v>50000</v>
      </c>
      <c r="J26" s="91"/>
      <c r="K26" s="969"/>
    </row>
    <row r="27" spans="1:11" s="730" customFormat="1">
      <c r="A27" s="480"/>
      <c r="B27" s="516">
        <v>1247000910</v>
      </c>
      <c r="C27" s="480">
        <v>910</v>
      </c>
      <c r="D27" s="480">
        <v>247000</v>
      </c>
      <c r="E27" s="544">
        <v>1</v>
      </c>
      <c r="F27" s="480" t="s">
        <v>2188</v>
      </c>
      <c r="G27" s="58">
        <v>450000</v>
      </c>
      <c r="H27" s="59">
        <f>VLOOKUP(B27,'אומדן 28.11.2022'!C:Q,15,0)</f>
        <v>560000</v>
      </c>
      <c r="I27" s="58">
        <v>560000</v>
      </c>
      <c r="J27" s="91"/>
      <c r="K27" s="969"/>
    </row>
    <row r="28" spans="1:11">
      <c r="A28" s="61"/>
      <c r="B28" s="516">
        <v>1247000990</v>
      </c>
      <c r="C28" s="480">
        <v>990</v>
      </c>
      <c r="D28" s="480">
        <v>247000</v>
      </c>
      <c r="E28" s="480">
        <v>1</v>
      </c>
      <c r="F28" s="480" t="s">
        <v>33</v>
      </c>
      <c r="G28" s="58">
        <v>0</v>
      </c>
      <c r="H28" s="59"/>
      <c r="I28" s="58">
        <v>0</v>
      </c>
      <c r="J28" s="91"/>
      <c r="K28" s="969"/>
    </row>
    <row r="29" spans="1:11" ht="15">
      <c r="A29" s="453" t="s">
        <v>34</v>
      </c>
      <c r="B29" s="453"/>
      <c r="C29" s="453">
        <v>999</v>
      </c>
      <c r="D29" s="453">
        <v>240000</v>
      </c>
      <c r="E29" s="453"/>
      <c r="F29" s="453"/>
      <c r="G29" s="60">
        <f>SUM(G26:G28)</f>
        <v>450000</v>
      </c>
      <c r="H29" s="60">
        <f>SUM(H26:H28)</f>
        <v>717000</v>
      </c>
      <c r="I29" s="60">
        <f>SUM(I26:I28)</f>
        <v>610000</v>
      </c>
      <c r="J29" s="92"/>
      <c r="K29" s="969"/>
    </row>
    <row r="30" spans="1:11">
      <c r="A30" s="480" t="s">
        <v>36</v>
      </c>
      <c r="B30" s="516">
        <v>1281000690</v>
      </c>
      <c r="C30" s="480">
        <v>690</v>
      </c>
      <c r="D30" s="480">
        <v>281000</v>
      </c>
      <c r="E30" s="480">
        <v>1</v>
      </c>
      <c r="F30" s="480" t="s">
        <v>37</v>
      </c>
      <c r="G30" s="58">
        <v>11000000</v>
      </c>
      <c r="H30" s="59">
        <f>VLOOKUP(B30,'אומדן 28.11.2022'!C:Q,15,0)</f>
        <v>9506000</v>
      </c>
      <c r="I30" s="58">
        <f>אכיפה!E5+2000000</f>
        <v>10000000</v>
      </c>
      <c r="J30" s="45" t="s">
        <v>4</v>
      </c>
      <c r="K30" s="969"/>
    </row>
    <row r="31" spans="1:11">
      <c r="A31" s="480"/>
      <c r="B31" s="516">
        <v>1282000440</v>
      </c>
      <c r="C31" s="480">
        <v>440</v>
      </c>
      <c r="D31" s="480">
        <v>282000</v>
      </c>
      <c r="E31" s="480">
        <v>1</v>
      </c>
      <c r="F31" s="480" t="s">
        <v>38</v>
      </c>
      <c r="G31" s="58">
        <v>830000</v>
      </c>
      <c r="H31" s="59">
        <f>VLOOKUP(B31,'אומדן 28.11.2022'!C:Q,15,0)</f>
        <v>794000</v>
      </c>
      <c r="I31" s="58">
        <f>G31</f>
        <v>830000</v>
      </c>
      <c r="J31" s="91" t="s">
        <v>4</v>
      </c>
      <c r="K31" s="969"/>
    </row>
    <row r="32" spans="1:11">
      <c r="A32" s="480"/>
      <c r="B32" s="516">
        <v>1282000690</v>
      </c>
      <c r="C32" s="480">
        <v>690</v>
      </c>
      <c r="D32" s="480">
        <v>282000</v>
      </c>
      <c r="E32" s="480">
        <v>1</v>
      </c>
      <c r="F32" s="480" t="s">
        <v>39</v>
      </c>
      <c r="G32" s="58">
        <v>250000</v>
      </c>
      <c r="H32" s="59">
        <f>VLOOKUP(B32,'אומדן 28.11.2022'!C:Q,15,0)</f>
        <v>210000</v>
      </c>
      <c r="I32" s="58">
        <f>G32</f>
        <v>250000</v>
      </c>
      <c r="J32" s="91"/>
      <c r="K32" s="969"/>
    </row>
    <row r="33" spans="1:11">
      <c r="A33" s="480"/>
      <c r="B33" s="516">
        <v>1282000691</v>
      </c>
      <c r="C33" s="480">
        <v>691</v>
      </c>
      <c r="D33" s="480">
        <v>282000</v>
      </c>
      <c r="E33" s="480">
        <v>1</v>
      </c>
      <c r="F33" s="480" t="s">
        <v>40</v>
      </c>
      <c r="G33" s="58">
        <v>20000</v>
      </c>
      <c r="H33" s="59">
        <f>VLOOKUP(B33,'אומדן 28.11.2022'!C:Q,15,0)</f>
        <v>15000</v>
      </c>
      <c r="I33" s="58">
        <f>G33</f>
        <v>20000</v>
      </c>
      <c r="J33" s="91"/>
      <c r="K33" s="969"/>
    </row>
    <row r="34" spans="1:11">
      <c r="A34" s="480"/>
      <c r="B34" s="516">
        <v>1282000693</v>
      </c>
      <c r="C34" s="480">
        <v>693</v>
      </c>
      <c r="D34" s="480">
        <v>282000</v>
      </c>
      <c r="E34" s="480">
        <v>1</v>
      </c>
      <c r="F34" s="480" t="s">
        <v>41</v>
      </c>
      <c r="G34" s="58">
        <v>130000</v>
      </c>
      <c r="H34" s="59">
        <f>VLOOKUP(B34,'אומדן 28.11.2022'!C:Q,15,0)</f>
        <v>182000</v>
      </c>
      <c r="I34" s="58">
        <v>180000</v>
      </c>
      <c r="J34" s="91"/>
      <c r="K34" s="969"/>
    </row>
    <row r="35" spans="1:11">
      <c r="A35" s="480"/>
      <c r="B35" s="516">
        <v>1282000694</v>
      </c>
      <c r="C35" s="480">
        <v>694</v>
      </c>
      <c r="D35" s="480">
        <v>282000</v>
      </c>
      <c r="E35" s="480">
        <v>1</v>
      </c>
      <c r="F35" s="480" t="s">
        <v>42</v>
      </c>
      <c r="G35" s="58">
        <v>60000</v>
      </c>
      <c r="H35" s="59">
        <f>VLOOKUP(B35,'אומדן 28.11.2022'!C:Q,15,0)</f>
        <v>100000</v>
      </c>
      <c r="I35" s="58">
        <v>100000</v>
      </c>
      <c r="J35" s="91"/>
      <c r="K35" s="969"/>
    </row>
    <row r="36" spans="1:11" ht="15">
      <c r="A36" s="453" t="s">
        <v>43</v>
      </c>
      <c r="B36" s="279"/>
      <c r="C36" s="453">
        <v>999</v>
      </c>
      <c r="D36" s="453">
        <v>280000</v>
      </c>
      <c r="E36" s="453"/>
      <c r="F36" s="453"/>
      <c r="G36" s="60">
        <f>SUM(G30:G35)</f>
        <v>12290000</v>
      </c>
      <c r="H36" s="60">
        <f>SUM(H30:H35)</f>
        <v>10807000</v>
      </c>
      <c r="I36" s="60">
        <f>SUM(I30:I35)</f>
        <v>11380000</v>
      </c>
      <c r="J36" s="92"/>
      <c r="K36" s="969"/>
    </row>
    <row r="37" spans="1:11">
      <c r="A37" s="480" t="s">
        <v>44</v>
      </c>
      <c r="B37" s="516">
        <v>1291000220</v>
      </c>
      <c r="C37" s="480">
        <v>220</v>
      </c>
      <c r="D37" s="480">
        <v>291000</v>
      </c>
      <c r="E37" s="480">
        <v>1</v>
      </c>
      <c r="F37" s="480" t="s">
        <v>45</v>
      </c>
      <c r="G37" s="58">
        <v>100000</v>
      </c>
      <c r="H37" s="59">
        <f>VLOOKUP(B37,'אומדן 28.11.2022'!C:Q,15,0)</f>
        <v>70000</v>
      </c>
      <c r="I37" s="58">
        <v>80000</v>
      </c>
      <c r="J37" s="91"/>
      <c r="K37" s="969"/>
    </row>
    <row r="38" spans="1:11" ht="15">
      <c r="A38" s="453" t="s">
        <v>46</v>
      </c>
      <c r="B38" s="453"/>
      <c r="C38" s="453">
        <v>999</v>
      </c>
      <c r="D38" s="453">
        <v>290000</v>
      </c>
      <c r="E38" s="453"/>
      <c r="F38" s="453"/>
      <c r="G38" s="60">
        <f>SUM(G37)</f>
        <v>100000</v>
      </c>
      <c r="H38" s="60">
        <f>SUM(H37)</f>
        <v>70000</v>
      </c>
      <c r="I38" s="60">
        <f>SUM(I37)</f>
        <v>80000</v>
      </c>
      <c r="J38" s="92"/>
      <c r="K38" s="969"/>
    </row>
    <row r="39" spans="1:11" s="730" customFormat="1">
      <c r="A39" s="480"/>
      <c r="B39" s="516">
        <v>1300000740</v>
      </c>
      <c r="C39" s="480">
        <v>740</v>
      </c>
      <c r="D39" s="480">
        <v>300000</v>
      </c>
      <c r="E39" s="544">
        <v>1</v>
      </c>
      <c r="F39" s="480" t="s">
        <v>47</v>
      </c>
      <c r="G39" s="58">
        <v>1000000</v>
      </c>
      <c r="H39" s="59">
        <f>VLOOKUP(B39,'אומדן 28.11.2022'!C:Q,15,0)</f>
        <v>1000000</v>
      </c>
      <c r="I39" s="58">
        <v>0</v>
      </c>
      <c r="J39" s="732" t="s">
        <v>3723</v>
      </c>
      <c r="K39" s="969"/>
    </row>
    <row r="40" spans="1:11" s="566" customFormat="1" ht="15">
      <c r="A40" s="453" t="s">
        <v>3564</v>
      </c>
      <c r="B40" s="453"/>
      <c r="C40" s="453">
        <v>999</v>
      </c>
      <c r="D40" s="453">
        <v>300000</v>
      </c>
      <c r="E40" s="453"/>
      <c r="F40" s="453"/>
      <c r="G40" s="60">
        <f>SUM(G39)</f>
        <v>1000000</v>
      </c>
      <c r="H40" s="60">
        <f>SUM(H39)</f>
        <v>1000000</v>
      </c>
      <c r="I40" s="60">
        <f>SUM(I39)</f>
        <v>0</v>
      </c>
      <c r="J40" s="92"/>
      <c r="K40" s="969"/>
    </row>
    <row r="41" spans="1:11">
      <c r="A41" s="480"/>
      <c r="B41" s="516">
        <v>1312000690</v>
      </c>
      <c r="C41" s="480">
        <v>690</v>
      </c>
      <c r="D41" s="480">
        <v>312000</v>
      </c>
      <c r="E41" s="480">
        <v>1</v>
      </c>
      <c r="F41" s="480" t="s">
        <v>48</v>
      </c>
      <c r="G41" s="58">
        <v>844000</v>
      </c>
      <c r="H41" s="59">
        <f>VLOOKUP(B41,'אומדן 28.11.2022'!C:Q,15,0)</f>
        <v>844000</v>
      </c>
      <c r="I41" s="58">
        <f>חינוך!I4+400000</f>
        <v>1244000</v>
      </c>
      <c r="J41" s="91"/>
      <c r="K41" s="969"/>
    </row>
    <row r="42" spans="1:11" s="566" customFormat="1">
      <c r="A42" s="480"/>
      <c r="B42" s="516">
        <v>1312100920</v>
      </c>
      <c r="C42" s="480">
        <v>920</v>
      </c>
      <c r="D42" s="480">
        <v>312100</v>
      </c>
      <c r="E42" s="480"/>
      <c r="F42" s="480" t="s">
        <v>3708</v>
      </c>
      <c r="G42" s="58">
        <v>0</v>
      </c>
      <c r="H42" s="59">
        <v>0</v>
      </c>
      <c r="I42" s="58">
        <f>חינוך!I52</f>
        <v>950000</v>
      </c>
      <c r="J42" s="91" t="s">
        <v>3709</v>
      </c>
      <c r="K42" s="969"/>
    </row>
    <row r="43" spans="1:11">
      <c r="A43" s="480"/>
      <c r="B43" s="516">
        <v>1312200220</v>
      </c>
      <c r="C43" s="480">
        <v>220</v>
      </c>
      <c r="D43" s="480">
        <v>312200</v>
      </c>
      <c r="E43" s="480">
        <v>1</v>
      </c>
      <c r="F43" s="480" t="s">
        <v>49</v>
      </c>
      <c r="G43" s="58">
        <v>3434000</v>
      </c>
      <c r="H43" s="59">
        <f>VLOOKUP(B43,'אומדן 28.11.2022'!C:Q,15,0)</f>
        <v>3434000</v>
      </c>
      <c r="I43" s="58">
        <f>חינוך!I5</f>
        <v>3624000</v>
      </c>
      <c r="J43" s="91"/>
      <c r="K43" s="969"/>
    </row>
    <row r="44" spans="1:11">
      <c r="A44" s="480"/>
      <c r="B44" s="516">
        <v>1312204920</v>
      </c>
      <c r="C44" s="480">
        <v>920</v>
      </c>
      <c r="D44" s="480">
        <v>312204</v>
      </c>
      <c r="E44" s="480">
        <v>1</v>
      </c>
      <c r="F44" s="62" t="s">
        <v>50</v>
      </c>
      <c r="G44" s="58">
        <v>9655000</v>
      </c>
      <c r="H44" s="59">
        <f>VLOOKUP(B44,'אומדן 28.11.2022'!C:Q,15,0)</f>
        <v>9655000</v>
      </c>
      <c r="I44" s="58">
        <f>9648667+333</f>
        <v>9649000</v>
      </c>
      <c r="J44" s="91"/>
      <c r="K44" s="969"/>
    </row>
    <row r="45" spans="1:11">
      <c r="A45" s="480"/>
      <c r="B45" s="516">
        <v>1312207920</v>
      </c>
      <c r="C45" s="480">
        <v>920</v>
      </c>
      <c r="D45" s="480">
        <v>312207</v>
      </c>
      <c r="E45" s="480">
        <v>1</v>
      </c>
      <c r="F45" s="62" t="s">
        <v>51</v>
      </c>
      <c r="G45" s="58">
        <v>11963000</v>
      </c>
      <c r="H45" s="59">
        <f>VLOOKUP(B45,'אומדן 28.11.2022'!C:Q,15,0)</f>
        <v>12105000</v>
      </c>
      <c r="I45" s="58">
        <v>12195000</v>
      </c>
      <c r="J45" s="91"/>
      <c r="K45" s="969"/>
    </row>
    <row r="46" spans="1:11" s="43" customFormat="1">
      <c r="A46" s="480"/>
      <c r="B46" s="516">
        <v>1312300430</v>
      </c>
      <c r="C46" s="480">
        <v>430</v>
      </c>
      <c r="D46" s="480">
        <v>312300</v>
      </c>
      <c r="E46" s="480">
        <v>1</v>
      </c>
      <c r="F46" s="480" t="s">
        <v>2207</v>
      </c>
      <c r="G46" s="58">
        <v>774000</v>
      </c>
      <c r="H46" s="59">
        <f>VLOOKUP(B46,'אומדן 28.11.2022'!C:Q,15,0)</f>
        <v>634000</v>
      </c>
      <c r="I46" s="58">
        <f>חינוך!I8</f>
        <v>774000</v>
      </c>
      <c r="J46" s="91"/>
      <c r="K46" s="969"/>
    </row>
    <row r="47" spans="1:11">
      <c r="A47" s="480"/>
      <c r="B47" s="516">
        <v>1312300921</v>
      </c>
      <c r="C47" s="480">
        <v>921</v>
      </c>
      <c r="D47" s="480">
        <v>312300</v>
      </c>
      <c r="E47" s="480">
        <v>1</v>
      </c>
      <c r="F47" s="480" t="s">
        <v>2514</v>
      </c>
      <c r="G47" s="58">
        <v>2160000</v>
      </c>
      <c r="H47" s="59">
        <f>VLOOKUP(B47,'אומדן 28.11.2022'!C:Q,15,0)</f>
        <v>2391000</v>
      </c>
      <c r="I47" s="58">
        <f>חינוך!I9</f>
        <v>2960000</v>
      </c>
      <c r="J47" s="91"/>
      <c r="K47" s="969"/>
    </row>
    <row r="48" spans="1:11">
      <c r="A48" s="480"/>
      <c r="B48" s="516">
        <v>1312300922</v>
      </c>
      <c r="C48" s="480">
        <v>922</v>
      </c>
      <c r="D48" s="480">
        <v>312300</v>
      </c>
      <c r="E48" s="480">
        <v>1</v>
      </c>
      <c r="F48" s="480" t="s">
        <v>52</v>
      </c>
      <c r="G48" s="58">
        <v>250000</v>
      </c>
      <c r="H48" s="59">
        <f>VLOOKUP(B48,'אומדן 28.11.2022'!C:Q,15,0)</f>
        <v>337000</v>
      </c>
      <c r="I48" s="58">
        <v>2650000</v>
      </c>
      <c r="J48" s="91" t="s">
        <v>3985</v>
      </c>
      <c r="K48" s="969"/>
    </row>
    <row r="49" spans="1:11">
      <c r="A49" s="480"/>
      <c r="B49" s="516">
        <v>1312305920</v>
      </c>
      <c r="C49" s="480">
        <v>920</v>
      </c>
      <c r="D49" s="480">
        <v>312305</v>
      </c>
      <c r="E49" s="480">
        <v>1</v>
      </c>
      <c r="F49" s="62" t="s">
        <v>53</v>
      </c>
      <c r="G49" s="58">
        <v>33225000</v>
      </c>
      <c r="H49" s="59">
        <f>VLOOKUP(B49,'אומדן 28.11.2022'!C:Q,15,0)</f>
        <v>33224000</v>
      </c>
      <c r="I49" s="58">
        <f>31040415-15-400</f>
        <v>31040000</v>
      </c>
      <c r="J49" s="45" t="s">
        <v>4</v>
      </c>
      <c r="K49" s="969"/>
    </row>
    <row r="50" spans="1:11">
      <c r="A50" s="480"/>
      <c r="B50" s="516">
        <v>1312602920</v>
      </c>
      <c r="C50" s="480">
        <v>920</v>
      </c>
      <c r="D50" s="480">
        <v>312602</v>
      </c>
      <c r="E50" s="480">
        <v>1</v>
      </c>
      <c r="F50" s="62" t="s">
        <v>54</v>
      </c>
      <c r="G50" s="58">
        <v>200000</v>
      </c>
      <c r="H50" s="59">
        <f>VLOOKUP(B50,'אומדן 28.11.2022'!C:Q,15,0)</f>
        <v>254000</v>
      </c>
      <c r="I50" s="58">
        <f>חינוך!I12</f>
        <v>200000</v>
      </c>
      <c r="J50" s="91"/>
      <c r="K50" s="969"/>
    </row>
    <row r="51" spans="1:11" s="8" customFormat="1" ht="15">
      <c r="A51" s="453" t="s">
        <v>55</v>
      </c>
      <c r="B51" s="453"/>
      <c r="C51" s="453">
        <v>999</v>
      </c>
      <c r="D51" s="453">
        <v>312000</v>
      </c>
      <c r="E51" s="453"/>
      <c r="F51" s="453"/>
      <c r="G51" s="60">
        <f>SUM(G41:G50)</f>
        <v>62505000</v>
      </c>
      <c r="H51" s="60">
        <f>SUM(H41:H50)</f>
        <v>62878000</v>
      </c>
      <c r="I51" s="60">
        <f>SUM(I41:I50)</f>
        <v>65286000</v>
      </c>
      <c r="J51" s="92"/>
      <c r="K51" s="969"/>
    </row>
    <row r="52" spans="1:11">
      <c r="A52" s="480" t="s">
        <v>56</v>
      </c>
      <c r="B52" s="516">
        <v>1313200220</v>
      </c>
      <c r="C52" s="480">
        <v>220</v>
      </c>
      <c r="D52" s="480">
        <v>313200</v>
      </c>
      <c r="E52" s="480">
        <v>1</v>
      </c>
      <c r="F52" s="480" t="s">
        <v>57</v>
      </c>
      <c r="G52" s="58">
        <v>880000</v>
      </c>
      <c r="H52" s="59">
        <f>VLOOKUP(B52,'אומדן 28.11.2022'!C:Q,15,0)</f>
        <v>670000</v>
      </c>
      <c r="I52" s="58">
        <f>חינוך!I14</f>
        <v>880000</v>
      </c>
      <c r="J52" s="91"/>
      <c r="K52" s="969"/>
    </row>
    <row r="53" spans="1:11">
      <c r="A53" s="480"/>
      <c r="B53" s="516">
        <v>1313200430</v>
      </c>
      <c r="C53" s="480">
        <v>430</v>
      </c>
      <c r="D53" s="480">
        <v>313200</v>
      </c>
      <c r="E53" s="480">
        <v>1</v>
      </c>
      <c r="F53" s="480" t="s">
        <v>58</v>
      </c>
      <c r="G53" s="58">
        <v>700000</v>
      </c>
      <c r="H53" s="59">
        <f>VLOOKUP(B53,'אומדן 28.11.2022'!C:Q,15,0)</f>
        <v>700000</v>
      </c>
      <c r="I53" s="58">
        <f>חינוך!I15</f>
        <v>700000</v>
      </c>
      <c r="J53" s="91"/>
      <c r="K53" s="969"/>
    </row>
    <row r="54" spans="1:11">
      <c r="A54" s="480"/>
      <c r="B54" s="516">
        <v>1313200431</v>
      </c>
      <c r="C54" s="480">
        <v>431</v>
      </c>
      <c r="D54" s="480">
        <v>313200</v>
      </c>
      <c r="E54" s="480">
        <v>1</v>
      </c>
      <c r="F54" s="480" t="s">
        <v>59</v>
      </c>
      <c r="G54" s="58">
        <v>1000000</v>
      </c>
      <c r="H54" s="59">
        <f>VLOOKUP(B54,'אומדן 28.11.2022'!C:Q,15,0)</f>
        <v>1001000</v>
      </c>
      <c r="I54" s="58">
        <f>חינוך!I16</f>
        <v>1000000</v>
      </c>
      <c r="J54" s="91"/>
      <c r="K54" s="969"/>
    </row>
    <row r="55" spans="1:11">
      <c r="A55" s="480"/>
      <c r="B55" s="516">
        <v>1313200920</v>
      </c>
      <c r="C55" s="480">
        <v>920</v>
      </c>
      <c r="D55" s="480">
        <v>313200</v>
      </c>
      <c r="E55" s="480">
        <v>1</v>
      </c>
      <c r="F55" s="480" t="s">
        <v>60</v>
      </c>
      <c r="G55" s="58">
        <v>9733000</v>
      </c>
      <c r="H55" s="59">
        <f>VLOOKUP(B55,'אומדן 28.11.2022'!C:Q,15,0)</f>
        <v>9548000</v>
      </c>
      <c r="I55" s="58">
        <f>חינוך!I17+200</f>
        <v>7037000</v>
      </c>
      <c r="J55" s="91" t="s">
        <v>3521</v>
      </c>
      <c r="K55" s="969"/>
    </row>
    <row r="56" spans="1:11">
      <c r="A56" s="480"/>
      <c r="B56" s="516">
        <v>1313200921</v>
      </c>
      <c r="C56" s="480">
        <v>921</v>
      </c>
      <c r="D56" s="480">
        <v>313200</v>
      </c>
      <c r="E56" s="480">
        <v>1</v>
      </c>
      <c r="F56" s="480" t="s">
        <v>61</v>
      </c>
      <c r="G56" s="58">
        <v>75000</v>
      </c>
      <c r="H56" s="59">
        <f>VLOOKUP(B56,'אומדן 28.11.2022'!C:Q,15,0)</f>
        <v>0</v>
      </c>
      <c r="I56" s="58">
        <f>חינוך!I18</f>
        <v>150000</v>
      </c>
      <c r="J56" s="91"/>
      <c r="K56" s="969"/>
    </row>
    <row r="57" spans="1:11" s="566" customFormat="1">
      <c r="A57" s="480"/>
      <c r="B57" s="516">
        <v>1313200922</v>
      </c>
      <c r="C57" s="480">
        <v>922</v>
      </c>
      <c r="D57" s="480">
        <v>313200</v>
      </c>
      <c r="E57" s="480"/>
      <c r="F57" s="480" t="s">
        <v>2917</v>
      </c>
      <c r="G57" s="58">
        <v>0</v>
      </c>
      <c r="H57" s="59">
        <f>VLOOKUP(B57,'אומדן 28.11.2022'!C:Q,15,0)</f>
        <v>675000</v>
      </c>
      <c r="I57" s="58">
        <f>חינוך!I51+141000+240</f>
        <v>2553000</v>
      </c>
      <c r="J57" s="91"/>
      <c r="K57" s="969"/>
    </row>
    <row r="58" spans="1:11">
      <c r="A58" s="480"/>
      <c r="B58" s="516">
        <v>1313206920</v>
      </c>
      <c r="C58" s="480">
        <v>920</v>
      </c>
      <c r="D58" s="480">
        <v>313206</v>
      </c>
      <c r="E58" s="480">
        <v>1</v>
      </c>
      <c r="F58" s="62" t="s">
        <v>62</v>
      </c>
      <c r="G58" s="58">
        <v>1180000</v>
      </c>
      <c r="H58" s="59">
        <f>VLOOKUP(B58,'אומדן 28.11.2022'!C:Q,15,0)</f>
        <v>1957000</v>
      </c>
      <c r="I58" s="58">
        <v>908000</v>
      </c>
      <c r="J58" s="91"/>
      <c r="K58" s="969"/>
    </row>
    <row r="59" spans="1:11">
      <c r="A59" s="480"/>
      <c r="B59" s="516">
        <v>1313207920</v>
      </c>
      <c r="C59" s="480">
        <v>920</v>
      </c>
      <c r="D59" s="480">
        <v>313207</v>
      </c>
      <c r="E59" s="480">
        <v>1</v>
      </c>
      <c r="F59" s="62" t="s">
        <v>63</v>
      </c>
      <c r="G59" s="58">
        <v>408000</v>
      </c>
      <c r="H59" s="59">
        <f>VLOOKUP(B59,'אומדן 28.11.2022'!C:Q,15,0)</f>
        <v>666000</v>
      </c>
      <c r="I59" s="58">
        <f>חינוך!I20</f>
        <v>714000</v>
      </c>
      <c r="J59" s="91"/>
      <c r="K59" s="969"/>
    </row>
    <row r="60" spans="1:11">
      <c r="A60" s="480"/>
      <c r="B60" s="516">
        <v>1313209920</v>
      </c>
      <c r="C60" s="480">
        <v>920</v>
      </c>
      <c r="D60" s="480">
        <v>313209</v>
      </c>
      <c r="E60" s="480">
        <v>1</v>
      </c>
      <c r="F60" s="62" t="s">
        <v>64</v>
      </c>
      <c r="G60" s="58">
        <v>290000</v>
      </c>
      <c r="H60" s="59">
        <f>VLOOKUP(B60,'אומדן 28.11.2022'!C:Q,15,0)</f>
        <v>265000</v>
      </c>
      <c r="I60" s="58">
        <f>חינוך!I21</f>
        <v>290000</v>
      </c>
      <c r="J60" s="91"/>
      <c r="K60" s="969"/>
    </row>
    <row r="61" spans="1:11">
      <c r="A61" s="480"/>
      <c r="B61" s="516">
        <v>1313210920</v>
      </c>
      <c r="C61" s="480">
        <v>920</v>
      </c>
      <c r="D61" s="480">
        <v>313210</v>
      </c>
      <c r="E61" s="480">
        <v>1</v>
      </c>
      <c r="F61" s="62" t="s">
        <v>65</v>
      </c>
      <c r="G61" s="58">
        <v>550000</v>
      </c>
      <c r="H61" s="59">
        <f>VLOOKUP(B61,'אומדן 28.11.2022'!C:Q,15,0)</f>
        <v>715000</v>
      </c>
      <c r="I61" s="58">
        <f>חינוך!I22</f>
        <v>550000</v>
      </c>
      <c r="J61" s="91"/>
      <c r="K61" s="969"/>
    </row>
    <row r="62" spans="1:11">
      <c r="A62" s="480"/>
      <c r="B62" s="516">
        <v>1313211920</v>
      </c>
      <c r="C62" s="480">
        <v>920</v>
      </c>
      <c r="D62" s="480">
        <v>313211</v>
      </c>
      <c r="E62" s="480">
        <v>1</v>
      </c>
      <c r="F62" s="62" t="s">
        <v>66</v>
      </c>
      <c r="G62" s="58">
        <v>20000</v>
      </c>
      <c r="H62" s="59">
        <f>VLOOKUP(B62,'אומדן 28.11.2022'!C:Q,15,0)</f>
        <v>1000</v>
      </c>
      <c r="I62" s="58">
        <f>חינוך!I23</f>
        <v>20000</v>
      </c>
      <c r="J62" s="91"/>
      <c r="K62" s="969"/>
    </row>
    <row r="63" spans="1:11">
      <c r="A63" s="480"/>
      <c r="B63" s="516">
        <v>1313212920</v>
      </c>
      <c r="C63" s="480">
        <v>920</v>
      </c>
      <c r="D63" s="480">
        <v>313212</v>
      </c>
      <c r="E63" s="480">
        <v>1</v>
      </c>
      <c r="F63" s="62" t="s">
        <v>67</v>
      </c>
      <c r="G63" s="58">
        <v>75000</v>
      </c>
      <c r="H63" s="59">
        <f>VLOOKUP(B63,'אומדן 28.11.2022'!C:Q,15,0)</f>
        <v>69000</v>
      </c>
      <c r="I63" s="58">
        <f>חינוך!I24</f>
        <v>75000</v>
      </c>
      <c r="J63" s="91"/>
      <c r="K63" s="969"/>
    </row>
    <row r="64" spans="1:11">
      <c r="A64" s="480"/>
      <c r="B64" s="516">
        <v>1313214920</v>
      </c>
      <c r="C64" s="480">
        <v>920</v>
      </c>
      <c r="D64" s="480">
        <v>313214</v>
      </c>
      <c r="E64" s="480">
        <v>1</v>
      </c>
      <c r="F64" s="62" t="s">
        <v>68</v>
      </c>
      <c r="G64" s="58">
        <v>165000</v>
      </c>
      <c r="H64" s="59">
        <f>VLOOKUP(B64,'אומדן 28.11.2022'!C:Q,15,0)</f>
        <v>139000</v>
      </c>
      <c r="I64" s="58">
        <f>חינוך!I25</f>
        <v>165000</v>
      </c>
      <c r="J64" s="91"/>
      <c r="K64" s="969"/>
    </row>
    <row r="65" spans="1:11">
      <c r="A65" s="480"/>
      <c r="B65" s="516">
        <v>1313300410</v>
      </c>
      <c r="C65" s="480">
        <v>410</v>
      </c>
      <c r="D65" s="480">
        <v>313300</v>
      </c>
      <c r="E65" s="480">
        <v>1</v>
      </c>
      <c r="F65" s="62" t="s">
        <v>69</v>
      </c>
      <c r="G65" s="58">
        <v>141000</v>
      </c>
      <c r="H65" s="59">
        <f>VLOOKUP(B65,'אומדן 28.11.2022'!C:Q,15,0)</f>
        <v>0</v>
      </c>
      <c r="I65" s="58">
        <f>חינוך!I26</f>
        <v>141000</v>
      </c>
      <c r="J65" s="91"/>
      <c r="K65" s="969"/>
    </row>
    <row r="66" spans="1:11">
      <c r="A66" s="480"/>
      <c r="B66" s="516">
        <v>1313302920</v>
      </c>
      <c r="C66" s="480">
        <v>920</v>
      </c>
      <c r="D66" s="480">
        <v>313302</v>
      </c>
      <c r="E66" s="480">
        <v>1</v>
      </c>
      <c r="F66" s="62" t="s">
        <v>70</v>
      </c>
      <c r="G66" s="58">
        <v>1600000</v>
      </c>
      <c r="H66" s="59">
        <f>VLOOKUP(B66,'אומדן 28.11.2022'!C:Q,15,0)</f>
        <v>1383000</v>
      </c>
      <c r="I66" s="58">
        <f>חינוך!I27</f>
        <v>2160000</v>
      </c>
      <c r="J66" s="91"/>
      <c r="K66" s="969"/>
    </row>
    <row r="67" spans="1:11">
      <c r="A67" s="480"/>
      <c r="B67" s="516">
        <v>1313303920</v>
      </c>
      <c r="C67" s="480">
        <v>920</v>
      </c>
      <c r="D67" s="480">
        <v>313303</v>
      </c>
      <c r="E67" s="480">
        <v>1</v>
      </c>
      <c r="F67" s="62" t="s">
        <v>71</v>
      </c>
      <c r="G67" s="58">
        <v>5930000</v>
      </c>
      <c r="H67" s="59">
        <f>VLOOKUP(B67,'אומדן 28.11.2022'!C:Q,15,0)</f>
        <v>6448000</v>
      </c>
      <c r="I67" s="58">
        <f>10676182+18-200</f>
        <v>10676000</v>
      </c>
      <c r="J67" s="91" t="s">
        <v>4</v>
      </c>
      <c r="K67" s="969"/>
    </row>
    <row r="68" spans="1:11">
      <c r="A68" s="480"/>
      <c r="B68" s="516">
        <v>1313305920</v>
      </c>
      <c r="C68" s="480">
        <v>920</v>
      </c>
      <c r="D68" s="480">
        <v>313305</v>
      </c>
      <c r="E68" s="480">
        <v>1</v>
      </c>
      <c r="F68" s="62" t="s">
        <v>72</v>
      </c>
      <c r="G68" s="58">
        <v>12800000</v>
      </c>
      <c r="H68" s="59">
        <f>VLOOKUP(B68,'אומדן 28.11.2022'!C:Q,15,0)</f>
        <v>12600000</v>
      </c>
      <c r="I68" s="58">
        <v>16500000</v>
      </c>
      <c r="J68" s="45" t="s">
        <v>4</v>
      </c>
      <c r="K68" s="969"/>
    </row>
    <row r="69" spans="1:11">
      <c r="A69" s="480"/>
      <c r="B69" s="516">
        <v>1313306920</v>
      </c>
      <c r="C69" s="480">
        <v>920</v>
      </c>
      <c r="D69" s="480">
        <v>313306</v>
      </c>
      <c r="E69" s="480">
        <v>1</v>
      </c>
      <c r="F69" s="62" t="s">
        <v>73</v>
      </c>
      <c r="G69" s="58">
        <v>750000</v>
      </c>
      <c r="H69" s="59">
        <f>VLOOKUP(B69,'אומדן 28.11.2022'!C:Q,15,0)</f>
        <v>851000</v>
      </c>
      <c r="I69" s="58">
        <f>870105-105</f>
        <v>870000</v>
      </c>
      <c r="J69" s="91"/>
      <c r="K69" s="969"/>
    </row>
    <row r="70" spans="1:11">
      <c r="A70" s="480"/>
      <c r="B70" s="516">
        <v>1313307920</v>
      </c>
      <c r="C70" s="480">
        <v>920</v>
      </c>
      <c r="D70" s="480">
        <v>313307</v>
      </c>
      <c r="E70" s="480">
        <v>1</v>
      </c>
      <c r="F70" s="62" t="s">
        <v>74</v>
      </c>
      <c r="G70" s="58">
        <v>5726000</v>
      </c>
      <c r="H70" s="59">
        <f>VLOOKUP(B70,'אומדן 28.11.2022'!C:Q,15,0)</f>
        <v>5625000</v>
      </c>
      <c r="I70" s="58">
        <f>חינוך!I31</f>
        <v>7263000</v>
      </c>
      <c r="J70" s="91"/>
      <c r="K70" s="969"/>
    </row>
    <row r="71" spans="1:11">
      <c r="A71" s="480"/>
      <c r="B71" s="516">
        <v>1313500410</v>
      </c>
      <c r="C71" s="480">
        <v>410</v>
      </c>
      <c r="D71" s="480">
        <v>313500</v>
      </c>
      <c r="E71" s="480">
        <v>1</v>
      </c>
      <c r="F71" s="62" t="s">
        <v>75</v>
      </c>
      <c r="G71" s="58">
        <v>1200000</v>
      </c>
      <c r="H71" s="59">
        <f>VLOOKUP(B71,'אומדן 28.11.2022'!C:Q,15,0)</f>
        <v>800000</v>
      </c>
      <c r="I71" s="58">
        <f>חינוך!I32</f>
        <v>1300000</v>
      </c>
      <c r="J71" s="91"/>
      <c r="K71" s="969"/>
    </row>
    <row r="72" spans="1:11">
      <c r="A72" s="480"/>
      <c r="B72" s="516">
        <v>1313500920</v>
      </c>
      <c r="C72" s="480">
        <v>920</v>
      </c>
      <c r="D72" s="480">
        <v>313500</v>
      </c>
      <c r="E72" s="480">
        <v>1</v>
      </c>
      <c r="F72" s="62" t="s">
        <v>76</v>
      </c>
      <c r="G72" s="58">
        <v>1200000</v>
      </c>
      <c r="H72" s="59">
        <f>VLOOKUP(B72,'אומדן 28.11.2022'!C:Q,15,0)</f>
        <v>1151000</v>
      </c>
      <c r="I72" s="58">
        <f>חינוך!I33</f>
        <v>1200000</v>
      </c>
      <c r="J72" s="91"/>
      <c r="K72" s="969"/>
    </row>
    <row r="73" spans="1:11">
      <c r="A73" s="480"/>
      <c r="B73" s="516">
        <v>1313700920</v>
      </c>
      <c r="C73" s="480">
        <v>920</v>
      </c>
      <c r="D73" s="480">
        <v>313700</v>
      </c>
      <c r="E73" s="480">
        <v>1</v>
      </c>
      <c r="F73" s="480" t="s">
        <v>77</v>
      </c>
      <c r="G73" s="58">
        <v>202000</v>
      </c>
      <c r="H73" s="59">
        <f>VLOOKUP(B73,'אומדן 28.11.2022'!C:Q,15,0)</f>
        <v>177000</v>
      </c>
      <c r="I73" s="58">
        <f>חינוך!I34</f>
        <v>202000</v>
      </c>
      <c r="J73" s="91"/>
      <c r="K73" s="969"/>
    </row>
    <row r="74" spans="1:11" ht="15">
      <c r="A74" s="453" t="s">
        <v>78</v>
      </c>
      <c r="B74" s="453"/>
      <c r="C74" s="453">
        <v>999</v>
      </c>
      <c r="D74" s="453">
        <v>313000</v>
      </c>
      <c r="E74" s="453"/>
      <c r="F74" s="453"/>
      <c r="G74" s="60">
        <f>SUM(G52:G73)</f>
        <v>44625000</v>
      </c>
      <c r="H74" s="60">
        <f>SUM(H52:H73)</f>
        <v>45441000</v>
      </c>
      <c r="I74" s="60">
        <f>SUM(I52:I73)</f>
        <v>55354000</v>
      </c>
      <c r="J74" s="92"/>
      <c r="K74" s="969"/>
    </row>
    <row r="75" spans="1:11">
      <c r="A75" s="480"/>
      <c r="B75" s="516">
        <v>1315000920</v>
      </c>
      <c r="C75" s="480">
        <v>920</v>
      </c>
      <c r="D75" s="480">
        <v>315000</v>
      </c>
      <c r="E75" s="480">
        <v>1</v>
      </c>
      <c r="F75" s="480" t="s">
        <v>1526</v>
      </c>
      <c r="G75" s="58">
        <v>280000</v>
      </c>
      <c r="H75" s="59">
        <f>VLOOKUP(B75,'אומדן 28.11.2022'!C:Q,15,0)</f>
        <v>280000</v>
      </c>
      <c r="I75" s="58">
        <f>חינוך!I36</f>
        <v>280000</v>
      </c>
      <c r="J75" s="91"/>
      <c r="K75" s="969"/>
    </row>
    <row r="76" spans="1:11" ht="15">
      <c r="A76" s="453" t="s">
        <v>79</v>
      </c>
      <c r="B76" s="453"/>
      <c r="C76" s="453">
        <v>999</v>
      </c>
      <c r="D76" s="453">
        <v>314000</v>
      </c>
      <c r="E76" s="453"/>
      <c r="F76" s="453"/>
      <c r="G76" s="60">
        <f>SUM(G75:G75)</f>
        <v>280000</v>
      </c>
      <c r="H76" s="60">
        <f>SUM(H75:H75)</f>
        <v>280000</v>
      </c>
      <c r="I76" s="60">
        <f>SUM(I75:I75)</f>
        <v>280000</v>
      </c>
      <c r="J76" s="92"/>
      <c r="K76" s="969"/>
    </row>
    <row r="77" spans="1:11">
      <c r="A77" s="480" t="s">
        <v>80</v>
      </c>
      <c r="B77" s="516">
        <v>1317100920</v>
      </c>
      <c r="C77" s="480">
        <v>920</v>
      </c>
      <c r="D77" s="480">
        <v>317100</v>
      </c>
      <c r="E77" s="480">
        <v>1</v>
      </c>
      <c r="F77" s="480" t="s">
        <v>81</v>
      </c>
      <c r="G77" s="58">
        <v>270000</v>
      </c>
      <c r="H77" s="59">
        <f>VLOOKUP(B77,'אומדן 28.11.2022'!C:Q,15,0)</f>
        <v>110000</v>
      </c>
      <c r="I77" s="58">
        <v>510000</v>
      </c>
      <c r="J77" s="91"/>
    </row>
    <row r="78" spans="1:11">
      <c r="A78" s="480"/>
      <c r="B78" s="516">
        <v>1317103920</v>
      </c>
      <c r="C78" s="480">
        <v>920</v>
      </c>
      <c r="D78" s="480">
        <v>317103</v>
      </c>
      <c r="E78" s="480">
        <v>1</v>
      </c>
      <c r="F78" s="480" t="s">
        <v>82</v>
      </c>
      <c r="G78" s="58">
        <v>235000</v>
      </c>
      <c r="H78" s="59">
        <f>VLOOKUP(B78,'אומדן 28.11.2022'!C:Q,15,0)</f>
        <v>218000</v>
      </c>
      <c r="I78" s="58">
        <f>חינוך!I39</f>
        <v>235000</v>
      </c>
      <c r="J78" s="91"/>
    </row>
    <row r="79" spans="1:11">
      <c r="A79" s="480"/>
      <c r="B79" s="516">
        <v>1317200920</v>
      </c>
      <c r="C79" s="480">
        <v>920</v>
      </c>
      <c r="D79" s="480">
        <v>317200</v>
      </c>
      <c r="E79" s="480">
        <v>1</v>
      </c>
      <c r="F79" s="480" t="s">
        <v>83</v>
      </c>
      <c r="G79" s="58">
        <v>0</v>
      </c>
      <c r="H79" s="59">
        <f>VLOOKUP(B79,'אומדן 28.11.2022'!C:Q,15,0)</f>
        <v>20000</v>
      </c>
      <c r="I79" s="58">
        <v>0</v>
      </c>
      <c r="J79" s="91"/>
    </row>
    <row r="80" spans="1:11">
      <c r="A80" s="480"/>
      <c r="B80" s="516">
        <v>1317300920</v>
      </c>
      <c r="C80" s="480">
        <v>920</v>
      </c>
      <c r="D80" s="480">
        <v>317300</v>
      </c>
      <c r="E80" s="480">
        <v>1</v>
      </c>
      <c r="F80" s="480" t="s">
        <v>84</v>
      </c>
      <c r="G80" s="58">
        <v>4036000</v>
      </c>
      <c r="H80" s="59">
        <f>VLOOKUP(B80,'אומדן 28.11.2022'!C:Q,15,0)</f>
        <v>3126000</v>
      </c>
      <c r="I80" s="58">
        <f>חינוך!I40+300000-3600-204000*0.68*3</f>
        <v>4083840</v>
      </c>
      <c r="J80" s="948"/>
    </row>
    <row r="81" spans="1:10">
      <c r="A81" s="480"/>
      <c r="B81" s="516">
        <v>1317300921</v>
      </c>
      <c r="C81" s="480">
        <v>921</v>
      </c>
      <c r="D81" s="480">
        <v>317300</v>
      </c>
      <c r="E81" s="480">
        <v>1</v>
      </c>
      <c r="F81" s="480" t="s">
        <v>85</v>
      </c>
      <c r="G81" s="58">
        <v>150000</v>
      </c>
      <c r="H81" s="59">
        <f>VLOOKUP(B81,'אומדן 28.11.2022'!C:Q,15,0)</f>
        <v>0</v>
      </c>
      <c r="I81" s="58">
        <f>חינוך!I41</f>
        <v>200000</v>
      </c>
      <c r="J81" s="91"/>
    </row>
    <row r="82" spans="1:10">
      <c r="A82" s="480"/>
      <c r="B82" s="516">
        <v>1317600920</v>
      </c>
      <c r="C82" s="480">
        <v>920</v>
      </c>
      <c r="D82" s="480">
        <v>317600</v>
      </c>
      <c r="E82" s="480">
        <v>1</v>
      </c>
      <c r="F82" s="480" t="s">
        <v>86</v>
      </c>
      <c r="G82" s="58">
        <v>800000</v>
      </c>
      <c r="H82" s="59">
        <f>VLOOKUP(B82,'אומדן 28.11.2022'!C:Q,15,0)</f>
        <v>800000</v>
      </c>
      <c r="I82" s="58">
        <f>חינוך!I42</f>
        <v>800000</v>
      </c>
      <c r="J82" s="91"/>
    </row>
    <row r="83" spans="1:10">
      <c r="A83" s="480"/>
      <c r="B83" s="516">
        <v>1317600990</v>
      </c>
      <c r="C83" s="480">
        <v>990</v>
      </c>
      <c r="D83" s="480">
        <v>317600</v>
      </c>
      <c r="E83" s="480">
        <v>1</v>
      </c>
      <c r="F83" s="480" t="s">
        <v>88</v>
      </c>
      <c r="G83" s="58">
        <v>1029000</v>
      </c>
      <c r="H83" s="59">
        <f>VLOOKUP(B83,'אומדן 28.11.2022'!C:Q,15,0)</f>
        <v>1030000</v>
      </c>
      <c r="I83" s="58">
        <f>חינוך!I43</f>
        <v>1029000</v>
      </c>
      <c r="J83" s="91" t="s">
        <v>4</v>
      </c>
    </row>
    <row r="84" spans="1:10">
      <c r="A84" s="480"/>
      <c r="B84" s="516">
        <v>1317703920</v>
      </c>
      <c r="C84" s="480">
        <v>920</v>
      </c>
      <c r="D84" s="480">
        <v>317703</v>
      </c>
      <c r="E84" s="480">
        <v>1</v>
      </c>
      <c r="F84" s="480" t="s">
        <v>89</v>
      </c>
      <c r="G84" s="58">
        <v>930000</v>
      </c>
      <c r="H84" s="59">
        <f>VLOOKUP(B84,'אומדן 28.11.2022'!C:Q,15,0)</f>
        <v>945000</v>
      </c>
      <c r="I84" s="58">
        <f>חינוך!I44</f>
        <v>930000</v>
      </c>
      <c r="J84" s="91"/>
    </row>
    <row r="85" spans="1:10">
      <c r="A85" s="480"/>
      <c r="B85" s="516">
        <v>1317800420</v>
      </c>
      <c r="C85" s="480">
        <v>420</v>
      </c>
      <c r="D85" s="480">
        <v>317800</v>
      </c>
      <c r="E85" s="480">
        <v>1</v>
      </c>
      <c r="F85" s="480" t="s">
        <v>90</v>
      </c>
      <c r="G85" s="63">
        <v>150000</v>
      </c>
      <c r="H85" s="59">
        <f>G85</f>
        <v>150000</v>
      </c>
      <c r="I85" s="58">
        <f>חינוך!I45</f>
        <v>175000</v>
      </c>
      <c r="J85" s="91"/>
    </row>
    <row r="86" spans="1:10">
      <c r="A86" s="480"/>
      <c r="B86" s="516">
        <v>1317802920</v>
      </c>
      <c r="C86" s="480">
        <v>920</v>
      </c>
      <c r="D86" s="480">
        <v>317802</v>
      </c>
      <c r="E86" s="480">
        <v>1</v>
      </c>
      <c r="F86" s="62" t="s">
        <v>91</v>
      </c>
      <c r="G86" s="58">
        <v>3500000</v>
      </c>
      <c r="H86" s="59">
        <f>VLOOKUP(B86,'אומדן 28.11.2022'!C:Q,15,0)</f>
        <v>3300000</v>
      </c>
      <c r="I86" s="58">
        <f>חינוך!I46</f>
        <v>4350000</v>
      </c>
      <c r="J86" s="91" t="s">
        <v>4</v>
      </c>
    </row>
    <row r="87" spans="1:10">
      <c r="A87" s="480"/>
      <c r="B87" s="516">
        <v>1317803920</v>
      </c>
      <c r="C87" s="480">
        <v>920</v>
      </c>
      <c r="D87" s="480">
        <v>317803</v>
      </c>
      <c r="E87" s="480">
        <v>1</v>
      </c>
      <c r="F87" s="62" t="s">
        <v>92</v>
      </c>
      <c r="G87" s="58">
        <v>840000</v>
      </c>
      <c r="H87" s="59">
        <f>VLOOKUP(B87,'אומדן 28.11.2022'!C:Q,15,0)</f>
        <v>573000</v>
      </c>
      <c r="I87" s="58">
        <f>חינוך!I47</f>
        <v>840000</v>
      </c>
      <c r="J87" s="91"/>
    </row>
    <row r="88" spans="1:10">
      <c r="A88" s="480"/>
      <c r="B88" s="516">
        <v>1317804920</v>
      </c>
      <c r="C88" s="480">
        <v>920</v>
      </c>
      <c r="D88" s="480">
        <v>317804</v>
      </c>
      <c r="E88" s="480">
        <v>1</v>
      </c>
      <c r="F88" s="62" t="s">
        <v>93</v>
      </c>
      <c r="G88" s="58">
        <v>3378000</v>
      </c>
      <c r="H88" s="59">
        <f>VLOOKUP(B88,'אומדן 28.11.2022'!C:Q,15,0)</f>
        <v>4045000</v>
      </c>
      <c r="I88" s="58">
        <f>חינוך!I48</f>
        <v>3578000</v>
      </c>
      <c r="J88" s="91"/>
    </row>
    <row r="89" spans="1:10">
      <c r="A89" s="480"/>
      <c r="B89" s="516">
        <v>1317900420</v>
      </c>
      <c r="C89" s="480">
        <v>420</v>
      </c>
      <c r="D89" s="480">
        <v>317900</v>
      </c>
      <c r="E89" s="480">
        <v>1</v>
      </c>
      <c r="F89" s="62" t="s">
        <v>94</v>
      </c>
      <c r="G89" s="58">
        <v>50000</v>
      </c>
      <c r="H89" s="59">
        <f>VLOOKUP(B89,'אומדן 28.11.2022'!C:Q,15,0)</f>
        <v>0</v>
      </c>
      <c r="I89" s="58">
        <f>חינוך!I49</f>
        <v>50000</v>
      </c>
      <c r="J89" s="91" t="s">
        <v>4</v>
      </c>
    </row>
    <row r="90" spans="1:10">
      <c r="A90" s="480"/>
      <c r="B90" s="516">
        <v>1317900921</v>
      </c>
      <c r="C90" s="480">
        <v>921</v>
      </c>
      <c r="D90" s="480">
        <v>317900</v>
      </c>
      <c r="E90" s="480">
        <v>1</v>
      </c>
      <c r="F90" s="480" t="s">
        <v>95</v>
      </c>
      <c r="G90" s="58">
        <v>4000000</v>
      </c>
      <c r="H90" s="59">
        <f>VLOOKUP(B90,'אומדן 28.11.2022'!C:Q,15,0)</f>
        <v>4389000</v>
      </c>
      <c r="I90" s="58">
        <f>חינוך!I50</f>
        <v>2000000</v>
      </c>
      <c r="J90" s="91" t="s">
        <v>2559</v>
      </c>
    </row>
    <row r="91" spans="1:10" s="43" customFormat="1">
      <c r="A91" s="480"/>
      <c r="B91" s="516">
        <v>1317900922</v>
      </c>
      <c r="C91" s="480">
        <v>922</v>
      </c>
      <c r="D91" s="480">
        <v>317900</v>
      </c>
      <c r="E91" s="480">
        <v>1</v>
      </c>
      <c r="F91" s="480" t="s">
        <v>96</v>
      </c>
      <c r="G91" s="58">
        <v>550000</v>
      </c>
      <c r="H91" s="59">
        <f>VLOOKUP(B91,'אומדן 28.11.2022'!C:Q,15,0)</f>
        <v>343000</v>
      </c>
      <c r="I91" s="58">
        <f>חינוך!I51-760</f>
        <v>2411000</v>
      </c>
      <c r="J91" s="91"/>
    </row>
    <row r="92" spans="1:10">
      <c r="A92" s="480"/>
      <c r="B92" s="516">
        <v>1317900923</v>
      </c>
      <c r="C92" s="480">
        <v>923</v>
      </c>
      <c r="D92" s="480">
        <v>317900</v>
      </c>
      <c r="E92" s="480">
        <v>1</v>
      </c>
      <c r="F92" s="480" t="s">
        <v>2413</v>
      </c>
      <c r="G92" s="58">
        <v>780000</v>
      </c>
      <c r="H92" s="59">
        <f>VLOOKUP(B92,'אומדן 28.11.2022'!C:Q,15,0)</f>
        <v>781000</v>
      </c>
      <c r="I92" s="58">
        <f>חינוך!I53</f>
        <v>780000</v>
      </c>
      <c r="J92" s="91" t="s">
        <v>1509</v>
      </c>
    </row>
    <row r="93" spans="1:10" ht="15">
      <c r="A93" s="453" t="s">
        <v>97</v>
      </c>
      <c r="B93" s="453"/>
      <c r="C93" s="453">
        <v>999</v>
      </c>
      <c r="D93" s="453">
        <v>317000</v>
      </c>
      <c r="E93" s="453"/>
      <c r="F93" s="453"/>
      <c r="G93" s="60">
        <f>SUM(G77:G92)</f>
        <v>20698000</v>
      </c>
      <c r="H93" s="60">
        <f>SUM(H77:H92)</f>
        <v>19830000</v>
      </c>
      <c r="I93" s="60">
        <f>SUM(I77:I92)</f>
        <v>21971840</v>
      </c>
      <c r="J93" s="92">
        <f>SUM(J77:J92)</f>
        <v>0</v>
      </c>
    </row>
    <row r="94" spans="1:10" s="730" customFormat="1" ht="42.75">
      <c r="A94" s="480" t="s">
        <v>98</v>
      </c>
      <c r="B94" s="516">
        <v>1321000920</v>
      </c>
      <c r="C94" s="480">
        <v>920</v>
      </c>
      <c r="D94" s="480">
        <v>321000</v>
      </c>
      <c r="E94" s="544">
        <v>1</v>
      </c>
      <c r="F94" s="480" t="s">
        <v>99</v>
      </c>
      <c r="G94" s="58">
        <v>1569215</v>
      </c>
      <c r="H94" s="59">
        <f>VLOOKUP(B94,'אומדן 28.11.2022'!C:Q,15,0)</f>
        <v>987000</v>
      </c>
      <c r="I94" s="58">
        <f>1048000*0.75+406000*100%</f>
        <v>1192000</v>
      </c>
      <c r="J94" s="93" t="s">
        <v>3522</v>
      </c>
    </row>
    <row r="95" spans="1:10" s="730" customFormat="1" ht="42.75">
      <c r="A95" s="480"/>
      <c r="B95" s="516">
        <v>1322000420</v>
      </c>
      <c r="C95" s="480">
        <v>420</v>
      </c>
      <c r="D95" s="480">
        <v>322000</v>
      </c>
      <c r="E95" s="544">
        <v>1</v>
      </c>
      <c r="F95" s="480" t="s">
        <v>100</v>
      </c>
      <c r="G95" s="58">
        <v>20000</v>
      </c>
      <c r="H95" s="59">
        <f>VLOOKUP(B95,'אומדן 28.11.2022'!C:Q,15,0)</f>
        <v>123000</v>
      </c>
      <c r="I95" s="58">
        <v>0</v>
      </c>
      <c r="J95" s="93" t="s">
        <v>3720</v>
      </c>
    </row>
    <row r="96" spans="1:10" s="730" customFormat="1" ht="28.5">
      <c r="A96" s="480"/>
      <c r="B96" s="516">
        <v>1322000920</v>
      </c>
      <c r="C96" s="480">
        <v>920</v>
      </c>
      <c r="D96" s="480">
        <v>322000</v>
      </c>
      <c r="E96" s="544">
        <v>1</v>
      </c>
      <c r="F96" s="480" t="s">
        <v>1528</v>
      </c>
      <c r="G96" s="58">
        <v>1031268</v>
      </c>
      <c r="H96" s="59">
        <f>VLOOKUP(B96,'אומדן 28.11.2022'!C:Q,15,0)</f>
        <v>1030000</v>
      </c>
      <c r="I96" s="58">
        <v>500000</v>
      </c>
      <c r="J96" s="93" t="s">
        <v>1529</v>
      </c>
    </row>
    <row r="97" spans="1:10">
      <c r="A97" s="480"/>
      <c r="B97" s="516">
        <v>1322000922</v>
      </c>
      <c r="C97" s="480">
        <v>922</v>
      </c>
      <c r="D97" s="480">
        <v>322000</v>
      </c>
      <c r="E97" s="480">
        <v>1</v>
      </c>
      <c r="F97" s="480" t="s">
        <v>102</v>
      </c>
      <c r="G97" s="58">
        <v>455000</v>
      </c>
      <c r="H97" s="59">
        <f>VLOOKUP(B97,'אומדן 28.11.2022'!C:Q,15,0)</f>
        <v>455000</v>
      </c>
      <c r="I97" s="58">
        <f>'כרמית '!H4</f>
        <v>455000</v>
      </c>
      <c r="J97" s="91"/>
    </row>
    <row r="98" spans="1:10">
      <c r="A98" s="480"/>
      <c r="B98" s="516">
        <v>1323000420</v>
      </c>
      <c r="C98" s="480">
        <v>420</v>
      </c>
      <c r="D98" s="480">
        <v>323000</v>
      </c>
      <c r="E98" s="480">
        <v>1</v>
      </c>
      <c r="F98" s="480" t="s">
        <v>268</v>
      </c>
      <c r="G98" s="58">
        <v>10000</v>
      </c>
      <c r="H98" s="59">
        <f>VLOOKUP(B98,'אומדן 28.11.2022'!C:Q,15,0)</f>
        <v>15000</v>
      </c>
      <c r="I98" s="58">
        <f>'כרמית '!H5</f>
        <v>10000</v>
      </c>
      <c r="J98" s="91"/>
    </row>
    <row r="99" spans="1:10">
      <c r="A99" s="480"/>
      <c r="B99" s="516">
        <v>1325200410</v>
      </c>
      <c r="C99" s="480">
        <v>410</v>
      </c>
      <c r="D99" s="480">
        <v>325200</v>
      </c>
      <c r="E99" s="480">
        <v>1</v>
      </c>
      <c r="F99" s="64" t="s">
        <v>1523</v>
      </c>
      <c r="G99" s="58">
        <v>632000</v>
      </c>
      <c r="H99" s="59">
        <f>VLOOKUP(B99,'אומדן 28.11.2022'!C:Q,15,0)</f>
        <v>632000</v>
      </c>
      <c r="I99" s="58">
        <f>'כרמית '!H6</f>
        <v>632000</v>
      </c>
      <c r="J99" s="91"/>
    </row>
    <row r="100" spans="1:10" s="730" customFormat="1">
      <c r="A100" s="480"/>
      <c r="B100" s="516">
        <v>1325200420</v>
      </c>
      <c r="C100" s="480">
        <v>420</v>
      </c>
      <c r="D100" s="480">
        <v>325200</v>
      </c>
      <c r="E100" s="544">
        <v>1</v>
      </c>
      <c r="F100" s="731" t="s">
        <v>3965</v>
      </c>
      <c r="G100" s="58">
        <v>1770000</v>
      </c>
      <c r="H100" s="59">
        <v>1400000</v>
      </c>
      <c r="I100" s="58">
        <v>1350000</v>
      </c>
      <c r="J100" s="91"/>
    </row>
    <row r="101" spans="1:10" s="730" customFormat="1">
      <c r="A101" s="480"/>
      <c r="B101" s="516">
        <v>1325200920</v>
      </c>
      <c r="C101" s="480">
        <v>920</v>
      </c>
      <c r="D101" s="480">
        <v>325200</v>
      </c>
      <c r="E101" s="544">
        <v>1</v>
      </c>
      <c r="F101" s="731" t="s">
        <v>3966</v>
      </c>
      <c r="G101" s="58">
        <v>404000</v>
      </c>
      <c r="H101" s="59">
        <f>VLOOKUP(B101,'אומדן 28.11.2022'!C:Q,15,0)</f>
        <v>404000</v>
      </c>
      <c r="I101" s="58">
        <v>200000</v>
      </c>
      <c r="J101" s="91"/>
    </row>
    <row r="102" spans="1:10" s="730" customFormat="1" ht="28.5">
      <c r="A102" s="480"/>
      <c r="B102" s="516">
        <v>1326000420</v>
      </c>
      <c r="C102" s="480">
        <v>420</v>
      </c>
      <c r="D102" s="480">
        <v>326000</v>
      </c>
      <c r="E102" s="544"/>
      <c r="F102" s="480" t="s">
        <v>100</v>
      </c>
      <c r="G102" s="58">
        <v>0</v>
      </c>
      <c r="H102" s="59">
        <v>0</v>
      </c>
      <c r="I102" s="58">
        <v>100000</v>
      </c>
      <c r="J102" s="93" t="s">
        <v>101</v>
      </c>
    </row>
    <row r="103" spans="1:10" s="730" customFormat="1">
      <c r="A103" s="480"/>
      <c r="B103" s="516">
        <v>1326000920</v>
      </c>
      <c r="C103" s="480">
        <v>920</v>
      </c>
      <c r="D103" s="480">
        <v>326000</v>
      </c>
      <c r="E103" s="544">
        <v>1</v>
      </c>
      <c r="F103" s="732" t="s">
        <v>2520</v>
      </c>
      <c r="G103" s="58">
        <v>218732</v>
      </c>
      <c r="H103" s="59">
        <f>VLOOKUP(B103,'אומדן 28.11.2022'!C:Q,15,0)</f>
        <v>301000</v>
      </c>
      <c r="I103" s="58">
        <v>250000</v>
      </c>
      <c r="J103" s="91" t="s">
        <v>3518</v>
      </c>
    </row>
    <row r="104" spans="1:10" s="730" customFormat="1">
      <c r="A104" s="480"/>
      <c r="B104" s="516">
        <v>1326000921</v>
      </c>
      <c r="C104" s="480">
        <v>920</v>
      </c>
      <c r="D104" s="480">
        <v>326000</v>
      </c>
      <c r="E104" s="544">
        <v>1</v>
      </c>
      <c r="F104" s="732" t="s">
        <v>3451</v>
      </c>
      <c r="G104" s="58">
        <v>0</v>
      </c>
      <c r="H104" s="59">
        <v>0</v>
      </c>
      <c r="I104" s="58">
        <v>250000</v>
      </c>
      <c r="J104" s="91" t="s">
        <v>3518</v>
      </c>
    </row>
    <row r="105" spans="1:10">
      <c r="A105" s="61"/>
      <c r="B105" s="516">
        <v>1327000420</v>
      </c>
      <c r="C105" s="480">
        <v>420</v>
      </c>
      <c r="D105" s="480">
        <v>327000</v>
      </c>
      <c r="E105" s="480">
        <v>1</v>
      </c>
      <c r="F105" s="480" t="s">
        <v>104</v>
      </c>
      <c r="G105" s="63">
        <v>20000</v>
      </c>
      <c r="H105" s="59">
        <f>VLOOKUP(B105,'אומדן 28.11.2022'!C:Q,15,0)</f>
        <v>31000</v>
      </c>
      <c r="I105" s="63">
        <f>'כרמית '!H10</f>
        <v>20000</v>
      </c>
      <c r="J105" s="91"/>
    </row>
    <row r="106" spans="1:10">
      <c r="A106" s="61"/>
      <c r="B106" s="516">
        <v>1327000920</v>
      </c>
      <c r="C106" s="480">
        <v>920</v>
      </c>
      <c r="D106" s="480">
        <v>327000</v>
      </c>
      <c r="E106" s="480">
        <v>1</v>
      </c>
      <c r="F106" s="480" t="s">
        <v>105</v>
      </c>
      <c r="G106" s="58">
        <v>300000</v>
      </c>
      <c r="H106" s="59">
        <f>VLOOKUP(B106,'אומדן 28.11.2022'!C:Q,15,0)</f>
        <v>550000</v>
      </c>
      <c r="I106" s="58">
        <f>'כרמית '!H11</f>
        <v>300000</v>
      </c>
      <c r="J106" s="91"/>
    </row>
    <row r="107" spans="1:10" s="730" customFormat="1">
      <c r="A107" s="480"/>
      <c r="B107" s="516">
        <v>1328000920</v>
      </c>
      <c r="C107" s="480">
        <v>920</v>
      </c>
      <c r="D107" s="480">
        <v>328000</v>
      </c>
      <c r="E107" s="544">
        <v>1</v>
      </c>
      <c r="F107" s="480" t="s">
        <v>106</v>
      </c>
      <c r="G107" s="58">
        <v>219000</v>
      </c>
      <c r="H107" s="59">
        <f>VLOOKUP(B107,'אומדן 28.11.2022'!C:Q,15,0)</f>
        <v>219000</v>
      </c>
      <c r="I107" s="58">
        <f>'הוצאות '!I486</f>
        <v>185000</v>
      </c>
      <c r="J107" s="91" t="s">
        <v>4</v>
      </c>
    </row>
    <row r="108" spans="1:10" s="730" customFormat="1">
      <c r="A108" s="480"/>
      <c r="B108" s="516">
        <v>1328000960</v>
      </c>
      <c r="C108" s="480">
        <v>960</v>
      </c>
      <c r="D108" s="480">
        <v>328000</v>
      </c>
      <c r="E108" s="544">
        <v>1</v>
      </c>
      <c r="F108" s="480" t="s">
        <v>863</v>
      </c>
      <c r="G108" s="58">
        <v>35000</v>
      </c>
      <c r="H108" s="59">
        <f>VLOOKUP(B108,'אומדן 28.11.2022'!C:Q,15,0)</f>
        <v>54000</v>
      </c>
      <c r="I108" s="58">
        <f>35000+48000</f>
        <v>83000</v>
      </c>
      <c r="J108" s="91"/>
    </row>
    <row r="109" spans="1:10">
      <c r="A109" s="480"/>
      <c r="B109" s="516">
        <v>1329300420</v>
      </c>
      <c r="C109" s="480">
        <v>420</v>
      </c>
      <c r="D109" s="480">
        <v>329300</v>
      </c>
      <c r="E109" s="480">
        <v>1</v>
      </c>
      <c r="F109" s="480" t="s">
        <v>269</v>
      </c>
      <c r="G109" s="58">
        <v>300000</v>
      </c>
      <c r="H109" s="59">
        <f>VLOOKUP(B109,'אומדן 28.11.2022'!C:Q,15,0)</f>
        <v>301000</v>
      </c>
      <c r="I109" s="58">
        <f>G109</f>
        <v>300000</v>
      </c>
      <c r="J109" s="91"/>
    </row>
    <row r="110" spans="1:10" s="730" customFormat="1">
      <c r="A110" s="480"/>
      <c r="B110" s="516">
        <v>1329300421</v>
      </c>
      <c r="C110" s="480">
        <v>421</v>
      </c>
      <c r="D110" s="480">
        <v>329300</v>
      </c>
      <c r="E110" s="544"/>
      <c r="F110" s="480" t="s">
        <v>3168</v>
      </c>
      <c r="G110" s="58">
        <v>0</v>
      </c>
      <c r="H110" s="59">
        <v>0</v>
      </c>
      <c r="I110" s="58">
        <v>600000</v>
      </c>
      <c r="J110" s="91" t="s">
        <v>3170</v>
      </c>
    </row>
    <row r="111" spans="1:10">
      <c r="A111" s="480"/>
      <c r="B111" s="516">
        <v>1329300920</v>
      </c>
      <c r="C111" s="480">
        <v>920</v>
      </c>
      <c r="D111" s="480">
        <v>329300</v>
      </c>
      <c r="E111" s="480">
        <v>1</v>
      </c>
      <c r="F111" s="480" t="s">
        <v>107</v>
      </c>
      <c r="G111" s="58">
        <v>162000</v>
      </c>
      <c r="H111" s="59">
        <f>VLOOKUP(B111,'אומדן 28.11.2022'!C:Q,15,0)</f>
        <v>300000</v>
      </c>
      <c r="I111" s="58">
        <f>'כרמית '!H15</f>
        <v>162000</v>
      </c>
      <c r="J111" s="91"/>
    </row>
    <row r="112" spans="1:10" ht="15">
      <c r="A112" s="453" t="s">
        <v>108</v>
      </c>
      <c r="B112" s="453"/>
      <c r="C112" s="453">
        <v>999</v>
      </c>
      <c r="D112" s="453">
        <v>320000</v>
      </c>
      <c r="E112" s="453"/>
      <c r="F112" s="453"/>
      <c r="G112" s="60">
        <f>SUM(G94:G111)</f>
        <v>7146215</v>
      </c>
      <c r="H112" s="60">
        <f>SUM(H94:H111)</f>
        <v>6802000</v>
      </c>
      <c r="I112" s="60">
        <f>SUM(I94:I111)</f>
        <v>6589000</v>
      </c>
      <c r="J112" s="92"/>
    </row>
    <row r="113" spans="1:10">
      <c r="A113" s="480" t="s">
        <v>109</v>
      </c>
      <c r="B113" s="516">
        <v>1341000490</v>
      </c>
      <c r="C113" s="480">
        <v>490</v>
      </c>
      <c r="D113" s="480">
        <v>341000</v>
      </c>
      <c r="E113" s="480">
        <v>1</v>
      </c>
      <c r="F113" s="480" t="s">
        <v>110</v>
      </c>
      <c r="G113" s="58">
        <v>30000</v>
      </c>
      <c r="H113" s="59">
        <f>VLOOKUP(B113,'אומדן 28.11.2022'!C:Q,15,0)</f>
        <v>31000</v>
      </c>
      <c r="I113" s="58">
        <f>'רווחה '!H4</f>
        <v>30000</v>
      </c>
      <c r="J113" s="91"/>
    </row>
    <row r="114" spans="1:10" s="43" customFormat="1">
      <c r="A114" s="480" t="s">
        <v>4</v>
      </c>
      <c r="B114" s="516">
        <v>1341000930</v>
      </c>
      <c r="C114" s="480">
        <v>930</v>
      </c>
      <c r="D114" s="480">
        <v>341000</v>
      </c>
      <c r="E114" s="480">
        <v>1</v>
      </c>
      <c r="F114" s="480" t="s">
        <v>111</v>
      </c>
      <c r="G114" s="58">
        <v>12037885</v>
      </c>
      <c r="H114" s="59">
        <f>VLOOKUP(B114,'אומדן 28.11.2022'!C:Q,15,0)</f>
        <v>12038000</v>
      </c>
      <c r="I114" s="58">
        <f>'רווחה '!H5-33+30000+250000</f>
        <v>13489999.604522519</v>
      </c>
      <c r="J114" s="91"/>
    </row>
    <row r="115" spans="1:10">
      <c r="A115" s="480" t="s">
        <v>4</v>
      </c>
      <c r="B115" s="516">
        <v>1341000931</v>
      </c>
      <c r="C115" s="480">
        <v>931</v>
      </c>
      <c r="D115" s="480">
        <v>341000</v>
      </c>
      <c r="E115" s="480">
        <v>1</v>
      </c>
      <c r="F115" s="480" t="s">
        <v>2365</v>
      </c>
      <c r="G115" s="58">
        <v>338000</v>
      </c>
      <c r="H115" s="59">
        <f>VLOOKUP(B115,'אומדן 28.11.2022'!C:Q,15,0)</f>
        <v>338000</v>
      </c>
      <c r="I115" s="58">
        <f>'רווחה '!H6-200000*0.75-447</f>
        <v>285999.58262500004</v>
      </c>
      <c r="J115" s="91"/>
    </row>
    <row r="116" spans="1:10">
      <c r="A116" s="948"/>
      <c r="B116" s="516">
        <v>1341000932</v>
      </c>
      <c r="C116" s="480">
        <v>932</v>
      </c>
      <c r="D116" s="480">
        <v>341000</v>
      </c>
      <c r="E116" s="948"/>
      <c r="F116" s="480" t="s">
        <v>3164</v>
      </c>
      <c r="G116" s="58">
        <v>0</v>
      </c>
      <c r="H116" s="59">
        <f>VLOOKUP(B116,'אומדן 28.11.2022'!C:Q,15,0)</f>
        <v>0</v>
      </c>
      <c r="I116" s="58">
        <v>38000</v>
      </c>
      <c r="J116" s="1048" t="s">
        <v>3166</v>
      </c>
    </row>
    <row r="117" spans="1:10" ht="15">
      <c r="A117" s="453" t="s">
        <v>112</v>
      </c>
      <c r="B117" s="453"/>
      <c r="C117" s="453">
        <v>999</v>
      </c>
      <c r="D117" s="453">
        <v>341000</v>
      </c>
      <c r="E117" s="453"/>
      <c r="F117" s="453"/>
      <c r="G117" s="60">
        <f>SUM(G113:G116)</f>
        <v>12405885</v>
      </c>
      <c r="H117" s="60">
        <f>SUM(H113:H115)</f>
        <v>12407000</v>
      </c>
      <c r="I117" s="60">
        <f>SUM(I113:I116)+1</f>
        <v>13844000.187147519</v>
      </c>
      <c r="J117" s="92"/>
    </row>
    <row r="118" spans="1:10">
      <c r="A118" s="480" t="s">
        <v>113</v>
      </c>
      <c r="B118" s="516">
        <v>1342000490</v>
      </c>
      <c r="C118" s="480">
        <v>490</v>
      </c>
      <c r="D118" s="480">
        <v>342000</v>
      </c>
      <c r="E118" s="480">
        <v>1</v>
      </c>
      <c r="F118" s="480" t="s">
        <v>114</v>
      </c>
      <c r="G118" s="58">
        <v>254000</v>
      </c>
      <c r="H118" s="59">
        <f>VLOOKUP(B118,'אומדן 28.11.2022'!C:Q,15,0)</f>
        <v>254000</v>
      </c>
      <c r="I118" s="88">
        <f>'רווחה '!H8-500</f>
        <v>403000</v>
      </c>
      <c r="J118" s="91"/>
    </row>
    <row r="119" spans="1:10" s="43" customFormat="1">
      <c r="A119" s="480"/>
      <c r="B119" s="516">
        <v>1342200933</v>
      </c>
      <c r="C119" s="480">
        <v>933</v>
      </c>
      <c r="D119" s="480">
        <v>342200</v>
      </c>
      <c r="E119" s="480">
        <v>1</v>
      </c>
      <c r="F119" s="480" t="s">
        <v>115</v>
      </c>
      <c r="G119" s="58">
        <v>260000</v>
      </c>
      <c r="H119" s="59">
        <f>VLOOKUP(B119,'אומדן 28.11.2022'!C:Q,15,0)</f>
        <v>260000</v>
      </c>
      <c r="I119" s="88">
        <f>'רווחה '!H9-543-300</f>
        <v>255999.66666666666</v>
      </c>
      <c r="J119" s="42" t="s">
        <v>116</v>
      </c>
    </row>
    <row r="120" spans="1:10">
      <c r="A120" s="480"/>
      <c r="B120" s="516">
        <v>1342200934</v>
      </c>
      <c r="C120" s="480">
        <v>934</v>
      </c>
      <c r="D120" s="480">
        <v>342200</v>
      </c>
      <c r="E120" s="480">
        <v>1</v>
      </c>
      <c r="F120" s="480" t="s">
        <v>1543</v>
      </c>
      <c r="G120" s="58">
        <v>394000</v>
      </c>
      <c r="H120" s="59">
        <f>VLOOKUP(B120,'אומדן 28.11.2022'!C:Q,15,0)</f>
        <v>232000</v>
      </c>
      <c r="I120" s="59">
        <v>409000</v>
      </c>
      <c r="J120" s="42" t="s">
        <v>116</v>
      </c>
    </row>
    <row r="121" spans="1:10">
      <c r="A121" s="480"/>
      <c r="B121" s="516">
        <v>1342400930</v>
      </c>
      <c r="C121" s="480">
        <v>930</v>
      </c>
      <c r="D121" s="480">
        <v>342400</v>
      </c>
      <c r="E121" s="480">
        <v>1</v>
      </c>
      <c r="F121" s="480" t="s">
        <v>117</v>
      </c>
      <c r="G121" s="58">
        <v>723000</v>
      </c>
      <c r="H121" s="59">
        <f>VLOOKUP(B121,'אומדן 28.11.2022'!C:Q,15,0)</f>
        <v>722000</v>
      </c>
      <c r="I121" s="88">
        <f>'רווחה '!H10</f>
        <v>740000</v>
      </c>
      <c r="J121" s="42" t="s">
        <v>118</v>
      </c>
    </row>
    <row r="122" spans="1:10">
      <c r="A122" s="480"/>
      <c r="B122" s="516">
        <v>1342400931</v>
      </c>
      <c r="C122" s="480">
        <v>931</v>
      </c>
      <c r="D122" s="480">
        <v>342400</v>
      </c>
      <c r="E122" s="480">
        <v>1</v>
      </c>
      <c r="F122" s="480" t="s">
        <v>119</v>
      </c>
      <c r="G122" s="58">
        <v>268000</v>
      </c>
      <c r="H122" s="59">
        <f>VLOOKUP(B122,'אומדן 28.11.2022'!C:Q,15,0)</f>
        <v>268000</v>
      </c>
      <c r="I122" s="88">
        <f>'רווחה '!H11+451</f>
        <v>457000</v>
      </c>
      <c r="J122" s="42" t="s">
        <v>118</v>
      </c>
    </row>
    <row r="123" spans="1:10">
      <c r="A123" s="480"/>
      <c r="B123" s="516">
        <v>1342400932</v>
      </c>
      <c r="C123" s="480">
        <v>932</v>
      </c>
      <c r="D123" s="480">
        <v>342400</v>
      </c>
      <c r="E123" s="480">
        <v>1</v>
      </c>
      <c r="F123" s="480" t="s">
        <v>121</v>
      </c>
      <c r="G123" s="58">
        <v>330000</v>
      </c>
      <c r="H123" s="59">
        <f>VLOOKUP(B123,'אומדן 28.11.2022'!C:Q,15,0)</f>
        <v>241000</v>
      </c>
      <c r="I123" s="88">
        <f>'רווחה '!H13</f>
        <v>188000</v>
      </c>
      <c r="J123" s="42" t="s">
        <v>118</v>
      </c>
    </row>
    <row r="124" spans="1:10" s="43" customFormat="1">
      <c r="A124" s="480"/>
      <c r="B124" s="516">
        <v>1342400934</v>
      </c>
      <c r="C124" s="480">
        <v>934</v>
      </c>
      <c r="D124" s="480">
        <v>342400</v>
      </c>
      <c r="E124" s="480">
        <v>1</v>
      </c>
      <c r="F124" s="480" t="s">
        <v>122</v>
      </c>
      <c r="G124" s="58">
        <v>81000</v>
      </c>
      <c r="H124" s="59">
        <f>VLOOKUP(B124,'אומדן 28.11.2022'!C:Q,15,0)</f>
        <v>81000</v>
      </c>
      <c r="I124" s="88">
        <f>'רווחה '!H14+316</f>
        <v>625000</v>
      </c>
      <c r="J124" s="42" t="s">
        <v>118</v>
      </c>
    </row>
    <row r="125" spans="1:10" s="43" customFormat="1">
      <c r="A125" s="480"/>
      <c r="B125" s="516">
        <v>1342400935</v>
      </c>
      <c r="C125" s="480">
        <v>935</v>
      </c>
      <c r="D125" s="480">
        <v>342400</v>
      </c>
      <c r="E125" s="480">
        <v>1</v>
      </c>
      <c r="F125" s="480" t="s">
        <v>123</v>
      </c>
      <c r="G125" s="58">
        <v>756000</v>
      </c>
      <c r="H125" s="59">
        <f>VLOOKUP(B125,'אומדן 28.11.2022'!C:Q,15,0)</f>
        <v>756000</v>
      </c>
      <c r="I125" s="88">
        <f>'רווחה '!H15</f>
        <v>663000</v>
      </c>
      <c r="J125" s="42" t="s">
        <v>118</v>
      </c>
    </row>
    <row r="126" spans="1:10" s="43" customFormat="1">
      <c r="A126" s="480"/>
      <c r="B126" s="516">
        <v>1342400936</v>
      </c>
      <c r="C126" s="480">
        <v>936</v>
      </c>
      <c r="D126" s="480">
        <v>342400</v>
      </c>
      <c r="E126" s="480">
        <v>1</v>
      </c>
      <c r="F126" s="480" t="s">
        <v>124</v>
      </c>
      <c r="G126" s="58">
        <v>314000</v>
      </c>
      <c r="H126" s="59">
        <f>VLOOKUP(B126,'אומדן 28.11.2022'!C:Q,15,0)</f>
        <v>324000</v>
      </c>
      <c r="I126" s="88">
        <f>'רווחה '!H16-428</f>
        <v>544000</v>
      </c>
      <c r="J126" s="42" t="s">
        <v>118</v>
      </c>
    </row>
    <row r="127" spans="1:10" s="43" customFormat="1">
      <c r="A127" s="480"/>
      <c r="B127" s="516">
        <v>1342410938</v>
      </c>
      <c r="C127" s="480">
        <v>938</v>
      </c>
      <c r="D127" s="480">
        <v>342410</v>
      </c>
      <c r="E127" s="480">
        <v>1</v>
      </c>
      <c r="F127" s="480" t="s">
        <v>125</v>
      </c>
      <c r="G127" s="58">
        <v>258000</v>
      </c>
      <c r="H127" s="59">
        <f>VLOOKUP(B127,'אומדן 28.11.2022'!C:Q,15,0)</f>
        <v>204000</v>
      </c>
      <c r="I127" s="88">
        <f>'רווחה '!H17+180</f>
        <v>261000</v>
      </c>
      <c r="J127" s="42" t="s">
        <v>118</v>
      </c>
    </row>
    <row r="128" spans="1:10" ht="15">
      <c r="A128" s="453" t="s">
        <v>126</v>
      </c>
      <c r="B128" s="453"/>
      <c r="C128" s="453">
        <v>999</v>
      </c>
      <c r="D128" s="453">
        <v>342000</v>
      </c>
      <c r="E128" s="453"/>
      <c r="F128" s="453"/>
      <c r="G128" s="60">
        <f>SUM(G118:G127)</f>
        <v>3638000</v>
      </c>
      <c r="H128" s="60">
        <f>SUM(H118:H127)</f>
        <v>3342000</v>
      </c>
      <c r="I128" s="60">
        <f>SUM(I118:I127)</f>
        <v>4545999.666666666</v>
      </c>
      <c r="J128" s="92">
        <f>SUM(J118:J127)</f>
        <v>0</v>
      </c>
    </row>
    <row r="129" spans="1:10">
      <c r="A129" s="480" t="s">
        <v>127</v>
      </c>
      <c r="B129" s="516">
        <v>1343500930</v>
      </c>
      <c r="C129" s="480">
        <v>930</v>
      </c>
      <c r="D129" s="480">
        <v>343500</v>
      </c>
      <c r="E129" s="480">
        <v>1</v>
      </c>
      <c r="F129" s="480" t="s">
        <v>128</v>
      </c>
      <c r="G129" s="58">
        <v>583000</v>
      </c>
      <c r="H129" s="59">
        <f>VLOOKUP(B129,'אומדן 28.11.2022'!C:Q,15,0)</f>
        <v>583000</v>
      </c>
      <c r="I129" s="88">
        <f>'רווחה '!H20</f>
        <v>612000</v>
      </c>
      <c r="J129" s="42" t="s">
        <v>118</v>
      </c>
    </row>
    <row r="130" spans="1:10">
      <c r="A130" s="480"/>
      <c r="B130" s="516">
        <v>1343500931</v>
      </c>
      <c r="C130" s="480">
        <v>931</v>
      </c>
      <c r="D130" s="480">
        <v>343500</v>
      </c>
      <c r="E130" s="480">
        <v>1</v>
      </c>
      <c r="F130" s="480" t="s">
        <v>129</v>
      </c>
      <c r="G130" s="58">
        <v>198000</v>
      </c>
      <c r="H130" s="59">
        <f>VLOOKUP(B130,'אומדן 28.11.2022'!C:Q,15,0)</f>
        <v>172000</v>
      </c>
      <c r="I130" s="88">
        <f>'רווחה '!H21</f>
        <v>0</v>
      </c>
      <c r="J130" s="42" t="s">
        <v>118</v>
      </c>
    </row>
    <row r="131" spans="1:10">
      <c r="A131" s="480"/>
      <c r="B131" s="516">
        <v>1343500932</v>
      </c>
      <c r="C131" s="480">
        <v>932</v>
      </c>
      <c r="D131" s="480">
        <v>343500</v>
      </c>
      <c r="E131" s="480">
        <v>1</v>
      </c>
      <c r="F131" s="480" t="s">
        <v>130</v>
      </c>
      <c r="G131" s="58">
        <v>1408000</v>
      </c>
      <c r="H131" s="59">
        <f>VLOOKUP(B131,'אומדן 28.11.2022'!C:Q,15,0)</f>
        <v>1408000</v>
      </c>
      <c r="I131" s="88">
        <f>'רווחה '!H22-222</f>
        <v>1446000.25</v>
      </c>
      <c r="J131" s="42" t="s">
        <v>118</v>
      </c>
    </row>
    <row r="132" spans="1:10">
      <c r="A132" s="480"/>
      <c r="B132" s="516">
        <v>1343500934</v>
      </c>
      <c r="C132" s="480">
        <v>934</v>
      </c>
      <c r="D132" s="480">
        <v>343500</v>
      </c>
      <c r="E132" s="480">
        <v>1</v>
      </c>
      <c r="F132" s="480" t="s">
        <v>131</v>
      </c>
      <c r="G132" s="58">
        <v>225000</v>
      </c>
      <c r="H132" s="59">
        <f>VLOOKUP(B132,'אומדן 28.11.2022'!C:Q,15,0)</f>
        <v>225000</v>
      </c>
      <c r="I132" s="88">
        <f>'רווחה '!H23</f>
        <v>0</v>
      </c>
      <c r="J132" s="42" t="s">
        <v>118</v>
      </c>
    </row>
    <row r="133" spans="1:10">
      <c r="A133" s="480"/>
      <c r="B133" s="516">
        <v>1343800420</v>
      </c>
      <c r="C133" s="480">
        <v>420</v>
      </c>
      <c r="D133" s="480">
        <v>343800</v>
      </c>
      <c r="E133" s="480">
        <v>1</v>
      </c>
      <c r="F133" s="480" t="s">
        <v>132</v>
      </c>
      <c r="G133" s="58">
        <v>700000</v>
      </c>
      <c r="H133" s="59">
        <f>VLOOKUP(B133,'אומדן 28.11.2022'!C:Q,15,0)</f>
        <v>1078000</v>
      </c>
      <c r="I133" s="88">
        <f>'רווחה '!H24</f>
        <v>850000</v>
      </c>
      <c r="J133" s="42" t="s">
        <v>118</v>
      </c>
    </row>
    <row r="134" spans="1:10">
      <c r="A134" s="480"/>
      <c r="B134" s="516">
        <v>1343800930</v>
      </c>
      <c r="C134" s="480">
        <v>930</v>
      </c>
      <c r="D134" s="480">
        <v>343800</v>
      </c>
      <c r="E134" s="480">
        <v>1</v>
      </c>
      <c r="F134" s="480" t="s">
        <v>133</v>
      </c>
      <c r="G134" s="58">
        <v>12250000</v>
      </c>
      <c r="H134" s="59">
        <f>VLOOKUP(B134,'אומדן 28.11.2022'!C:Q,15,0)</f>
        <v>11214000</v>
      </c>
      <c r="I134" s="88">
        <f>'רווחה '!H25-582</f>
        <v>10756999.874638904</v>
      </c>
      <c r="J134" s="42" t="s">
        <v>118</v>
      </c>
    </row>
    <row r="135" spans="1:10">
      <c r="A135" s="480"/>
      <c r="B135" s="516">
        <v>1343800931</v>
      </c>
      <c r="C135" s="480">
        <v>931</v>
      </c>
      <c r="D135" s="480">
        <v>343800</v>
      </c>
      <c r="E135" s="480">
        <v>1</v>
      </c>
      <c r="F135" s="480" t="s">
        <v>134</v>
      </c>
      <c r="G135" s="58">
        <v>889000</v>
      </c>
      <c r="H135" s="59">
        <f>VLOOKUP(B135,'אומדן 28.11.2022'!C:Q,15,0)</f>
        <v>889000</v>
      </c>
      <c r="I135" s="88">
        <f>'רווחה '!H26+207</f>
        <v>888000</v>
      </c>
      <c r="J135" s="42" t="s">
        <v>118</v>
      </c>
    </row>
    <row r="136" spans="1:10">
      <c r="A136" s="480"/>
      <c r="B136" s="516">
        <v>1343800934</v>
      </c>
      <c r="C136" s="480">
        <v>934</v>
      </c>
      <c r="D136" s="480">
        <v>343800</v>
      </c>
      <c r="E136" s="480">
        <v>1</v>
      </c>
      <c r="F136" s="480" t="s">
        <v>135</v>
      </c>
      <c r="G136" s="58">
        <v>671000</v>
      </c>
      <c r="H136" s="59">
        <f>VLOOKUP(B136,'אומדן 28.11.2022'!C:Q,15,0)</f>
        <v>670000</v>
      </c>
      <c r="I136" s="88">
        <f>'רווחה '!H27+275</f>
        <v>631000</v>
      </c>
      <c r="J136" s="42" t="s">
        <v>118</v>
      </c>
    </row>
    <row r="137" spans="1:10">
      <c r="A137" s="480"/>
      <c r="B137" s="516">
        <v>1343900930</v>
      </c>
      <c r="C137" s="480">
        <v>930</v>
      </c>
      <c r="D137" s="480">
        <v>343900</v>
      </c>
      <c r="E137" s="480">
        <v>1</v>
      </c>
      <c r="F137" s="480" t="s">
        <v>136</v>
      </c>
      <c r="G137" s="58">
        <v>2925000</v>
      </c>
      <c r="H137" s="59">
        <f>VLOOKUP(B137,'אומדן 28.11.2022'!C:Q,15,0)</f>
        <v>2831000</v>
      </c>
      <c r="I137" s="88">
        <f>'רווחה '!H28-134</f>
        <v>3122000</v>
      </c>
      <c r="J137" s="42" t="s">
        <v>118</v>
      </c>
    </row>
    <row r="138" spans="1:10">
      <c r="A138" s="480"/>
      <c r="B138" s="516">
        <v>1343900931</v>
      </c>
      <c r="C138" s="480">
        <v>931</v>
      </c>
      <c r="D138" s="480">
        <v>343900</v>
      </c>
      <c r="E138" s="480">
        <v>1</v>
      </c>
      <c r="F138" s="480" t="s">
        <v>137</v>
      </c>
      <c r="G138" s="58">
        <v>50000</v>
      </c>
      <c r="H138" s="59">
        <f>VLOOKUP(B138,'אומדן 28.11.2022'!C:Q,15,0)</f>
        <v>50000</v>
      </c>
      <c r="I138" s="88">
        <f>'רווחה '!H29</f>
        <v>50000</v>
      </c>
      <c r="J138" s="42" t="s">
        <v>118</v>
      </c>
    </row>
    <row r="139" spans="1:10">
      <c r="A139" s="480"/>
      <c r="B139" s="516">
        <v>1343900934</v>
      </c>
      <c r="C139" s="480">
        <v>934</v>
      </c>
      <c r="D139" s="480">
        <v>343900</v>
      </c>
      <c r="E139" s="480">
        <v>1</v>
      </c>
      <c r="F139" s="480" t="s">
        <v>138</v>
      </c>
      <c r="G139" s="58">
        <v>113000</v>
      </c>
      <c r="H139" s="59">
        <f>VLOOKUP(B139,'אומדן 28.11.2022'!C:Q,15,0)</f>
        <v>113000</v>
      </c>
      <c r="I139" s="88">
        <f>'רווחה '!H30+362</f>
        <v>155000</v>
      </c>
      <c r="J139" s="42" t="s">
        <v>118</v>
      </c>
    </row>
    <row r="140" spans="1:10">
      <c r="A140" s="480"/>
      <c r="B140" s="516">
        <v>1343900935</v>
      </c>
      <c r="C140" s="480">
        <v>935</v>
      </c>
      <c r="D140" s="480">
        <v>343900</v>
      </c>
      <c r="E140" s="480">
        <v>1</v>
      </c>
      <c r="F140" s="480" t="s">
        <v>139</v>
      </c>
      <c r="G140" s="58">
        <v>360000</v>
      </c>
      <c r="H140" s="59">
        <f>VLOOKUP(B140,'אומדן 28.11.2022'!C:Q,15,0)</f>
        <v>360000</v>
      </c>
      <c r="I140" s="88">
        <f>'רווחה '!H31+41+500</f>
        <v>345000</v>
      </c>
      <c r="J140" s="42" t="s">
        <v>118</v>
      </c>
    </row>
    <row r="141" spans="1:10" ht="15">
      <c r="A141" s="453" t="s">
        <v>140</v>
      </c>
      <c r="B141" s="453"/>
      <c r="C141" s="453">
        <v>999</v>
      </c>
      <c r="D141" s="453">
        <v>343000</v>
      </c>
      <c r="E141" s="453"/>
      <c r="F141" s="453"/>
      <c r="G141" s="60">
        <f>SUM(G129:G140)</f>
        <v>20372000</v>
      </c>
      <c r="H141" s="60">
        <f>SUM(H129:H140)</f>
        <v>19593000</v>
      </c>
      <c r="I141" s="60">
        <f>SUM(I129:I140)</f>
        <v>18856000.124638904</v>
      </c>
      <c r="J141" s="92"/>
    </row>
    <row r="142" spans="1:10">
      <c r="A142" s="480" t="s">
        <v>141</v>
      </c>
      <c r="B142" s="516">
        <v>1344000420</v>
      </c>
      <c r="C142" s="480">
        <v>420</v>
      </c>
      <c r="D142" s="480">
        <v>344000</v>
      </c>
      <c r="E142" s="480">
        <v>1</v>
      </c>
      <c r="F142" s="480" t="s">
        <v>142</v>
      </c>
      <c r="G142" s="58">
        <v>470000.00000000006</v>
      </c>
      <c r="H142" s="59">
        <f>VLOOKUP(B142,'אומדן 28.11.2022'!C:Q,15,0)</f>
        <v>466000</v>
      </c>
      <c r="I142" s="58">
        <f>'רווחה '!H33</f>
        <v>470000</v>
      </c>
      <c r="J142" s="91"/>
    </row>
    <row r="143" spans="1:10">
      <c r="A143" s="480"/>
      <c r="B143" s="516">
        <v>1344300930</v>
      </c>
      <c r="C143" s="480">
        <v>930</v>
      </c>
      <c r="D143" s="480">
        <v>344300</v>
      </c>
      <c r="E143" s="480">
        <v>1</v>
      </c>
      <c r="F143" s="480" t="s">
        <v>143</v>
      </c>
      <c r="G143" s="58">
        <v>3718000</v>
      </c>
      <c r="H143" s="59">
        <f>VLOOKUP(B143,'אומדן 28.11.2022'!C:Q,15,0)</f>
        <v>3679000</v>
      </c>
      <c r="I143" s="58">
        <f>'רווחה '!H34</f>
        <v>3900000</v>
      </c>
      <c r="J143" s="42" t="s">
        <v>118</v>
      </c>
    </row>
    <row r="144" spans="1:10">
      <c r="A144" s="480"/>
      <c r="B144" s="516">
        <v>1344300931</v>
      </c>
      <c r="C144" s="480">
        <v>931</v>
      </c>
      <c r="D144" s="480">
        <v>344300</v>
      </c>
      <c r="E144" s="480">
        <v>1</v>
      </c>
      <c r="F144" s="480" t="s">
        <v>144</v>
      </c>
      <c r="G144" s="58">
        <v>146000</v>
      </c>
      <c r="H144" s="59">
        <f>VLOOKUP(B144,'אומדן 28.11.2022'!C:Q,15,0)</f>
        <v>145000</v>
      </c>
      <c r="I144" s="58">
        <f>'רווחה '!H35</f>
        <v>0</v>
      </c>
      <c r="J144" s="42" t="s">
        <v>118</v>
      </c>
    </row>
    <row r="145" spans="1:10">
      <c r="A145" s="480"/>
      <c r="B145" s="516">
        <v>1344300932</v>
      </c>
      <c r="C145" s="480">
        <v>932</v>
      </c>
      <c r="D145" s="480">
        <v>344300</v>
      </c>
      <c r="E145" s="480">
        <v>1</v>
      </c>
      <c r="F145" s="480" t="s">
        <v>145</v>
      </c>
      <c r="G145" s="58">
        <v>607000</v>
      </c>
      <c r="H145" s="59">
        <f>VLOOKUP(B145,'אומדן 28.11.2022'!C:Q,15,0)</f>
        <v>607000</v>
      </c>
      <c r="I145" s="58">
        <f>'רווחה '!H36</f>
        <v>0</v>
      </c>
      <c r="J145" s="42" t="s">
        <v>116</v>
      </c>
    </row>
    <row r="146" spans="1:10">
      <c r="A146" s="480"/>
      <c r="B146" s="516">
        <v>1344300933</v>
      </c>
      <c r="C146" s="480">
        <v>933</v>
      </c>
      <c r="D146" s="480">
        <v>344300</v>
      </c>
      <c r="E146" s="480">
        <v>1</v>
      </c>
      <c r="F146" s="480" t="s">
        <v>146</v>
      </c>
      <c r="G146" s="58">
        <v>173000</v>
      </c>
      <c r="H146" s="59">
        <f>VLOOKUP(B146,'אומדן 28.11.2022'!C:Q,15,0)</f>
        <v>173000</v>
      </c>
      <c r="I146" s="58">
        <f>'רווחה '!H39-500</f>
        <v>181000</v>
      </c>
      <c r="J146" s="42" t="s">
        <v>118</v>
      </c>
    </row>
    <row r="147" spans="1:10">
      <c r="A147" s="480"/>
      <c r="B147" s="516">
        <v>1344300935</v>
      </c>
      <c r="C147" s="480">
        <v>935</v>
      </c>
      <c r="D147" s="480">
        <v>344300</v>
      </c>
      <c r="E147" s="480">
        <v>1</v>
      </c>
      <c r="F147" s="480" t="s">
        <v>2366</v>
      </c>
      <c r="G147" s="58">
        <v>750000</v>
      </c>
      <c r="H147" s="59">
        <f>VLOOKUP(B147,'אומדן 28.11.2022'!C:Q,15,0)</f>
        <v>750000</v>
      </c>
      <c r="I147" s="58">
        <f>'רווחה '!H41</f>
        <v>0</v>
      </c>
      <c r="J147" s="42" t="s">
        <v>118</v>
      </c>
    </row>
    <row r="148" spans="1:10">
      <c r="A148" s="480"/>
      <c r="B148" s="516">
        <v>1344300936</v>
      </c>
      <c r="C148" s="480">
        <v>936</v>
      </c>
      <c r="D148" s="480">
        <v>344300</v>
      </c>
      <c r="E148" s="480">
        <v>1</v>
      </c>
      <c r="F148" s="480" t="s">
        <v>147</v>
      </c>
      <c r="G148" s="58">
        <v>30000</v>
      </c>
      <c r="H148" s="59">
        <f>VLOOKUP(B148,'אומדן 28.11.2022'!C:Q,15,0)</f>
        <v>0</v>
      </c>
      <c r="I148" s="58">
        <f>'רווחה '!H42</f>
        <v>30000</v>
      </c>
      <c r="J148" s="42" t="s">
        <v>118</v>
      </c>
    </row>
    <row r="149" spans="1:10">
      <c r="A149" s="480"/>
      <c r="B149" s="516">
        <v>1344300938</v>
      </c>
      <c r="C149" s="480">
        <v>938</v>
      </c>
      <c r="D149" s="480">
        <v>344300</v>
      </c>
      <c r="E149" s="480">
        <v>1</v>
      </c>
      <c r="F149" s="480" t="s">
        <v>148</v>
      </c>
      <c r="G149" s="58">
        <v>121000</v>
      </c>
      <c r="H149" s="59">
        <f>VLOOKUP(B149,'אומדן 28.11.2022'!C:Q,15,0)</f>
        <v>121000</v>
      </c>
      <c r="I149" s="58">
        <v>0</v>
      </c>
      <c r="J149" s="42" t="s">
        <v>118</v>
      </c>
    </row>
    <row r="150" spans="1:10">
      <c r="A150" s="480" t="s">
        <v>4</v>
      </c>
      <c r="B150" s="516">
        <v>1344300939</v>
      </c>
      <c r="C150" s="480">
        <v>939</v>
      </c>
      <c r="D150" s="480">
        <v>344300</v>
      </c>
      <c r="E150" s="480">
        <v>1</v>
      </c>
      <c r="F150" s="480" t="s">
        <v>149</v>
      </c>
      <c r="G150" s="58">
        <v>455000</v>
      </c>
      <c r="H150" s="59">
        <f>VLOOKUP(B150,'אומדן 28.11.2022'!C:Q,15,0)</f>
        <v>455000</v>
      </c>
      <c r="I150" s="58">
        <f>'רווחה '!H41</f>
        <v>0</v>
      </c>
      <c r="J150" s="42" t="s">
        <v>118</v>
      </c>
    </row>
    <row r="151" spans="1:10" s="43" customFormat="1">
      <c r="A151" s="480"/>
      <c r="B151" s="516">
        <v>1344400930</v>
      </c>
      <c r="C151" s="480">
        <v>930</v>
      </c>
      <c r="D151" s="480">
        <v>344400</v>
      </c>
      <c r="E151" s="480">
        <v>1</v>
      </c>
      <c r="F151" s="970" t="s">
        <v>2204</v>
      </c>
      <c r="G151" s="58">
        <v>344000</v>
      </c>
      <c r="H151" s="59">
        <f>VLOOKUP(B151,'אומדן 28.11.2022'!C:Q,15,0)</f>
        <v>344000</v>
      </c>
      <c r="I151" s="58">
        <v>214000</v>
      </c>
      <c r="J151" s="42"/>
    </row>
    <row r="152" spans="1:10">
      <c r="A152" s="480" t="s">
        <v>4</v>
      </c>
      <c r="B152" s="516">
        <v>1344400932</v>
      </c>
      <c r="C152" s="480">
        <v>932</v>
      </c>
      <c r="D152" s="480">
        <v>344400</v>
      </c>
      <c r="E152" s="480">
        <v>1</v>
      </c>
      <c r="F152" s="480" t="s">
        <v>150</v>
      </c>
      <c r="G152" s="58">
        <v>1249000</v>
      </c>
      <c r="H152" s="59">
        <f>VLOOKUP(B152,'אומדן 28.11.2022'!C:Q,15,0)</f>
        <v>1249000</v>
      </c>
      <c r="I152" s="58">
        <f>'רווחה '!H43</f>
        <v>130000</v>
      </c>
      <c r="J152" s="42" t="s">
        <v>116</v>
      </c>
    </row>
    <row r="153" spans="1:10">
      <c r="A153" s="480"/>
      <c r="B153" s="516">
        <v>1344400933</v>
      </c>
      <c r="C153" s="480">
        <v>933</v>
      </c>
      <c r="D153" s="480">
        <v>344400</v>
      </c>
      <c r="E153" s="480">
        <v>1</v>
      </c>
      <c r="F153" s="480" t="s">
        <v>1515</v>
      </c>
      <c r="G153" s="58">
        <v>276000</v>
      </c>
      <c r="H153" s="59">
        <f>VLOOKUP(B153,'אומדן 28.11.2022'!C:Q,15,0)</f>
        <v>276000</v>
      </c>
      <c r="I153" s="58">
        <f>'רווחה '!H44</f>
        <v>0</v>
      </c>
      <c r="J153" s="42"/>
    </row>
    <row r="154" spans="1:10" s="566" customFormat="1">
      <c r="A154" s="480"/>
      <c r="B154" s="516">
        <v>1344400934</v>
      </c>
      <c r="C154" s="480">
        <v>934</v>
      </c>
      <c r="D154" s="480">
        <v>344400</v>
      </c>
      <c r="E154" s="480"/>
      <c r="F154" s="480" t="s">
        <v>3012</v>
      </c>
      <c r="G154" s="58">
        <v>0</v>
      </c>
      <c r="H154" s="59">
        <v>0</v>
      </c>
      <c r="I154" s="58">
        <f>'רווחה '!H45-250</f>
        <v>1370000</v>
      </c>
      <c r="J154" s="42" t="s">
        <v>118</v>
      </c>
    </row>
    <row r="155" spans="1:10" s="566" customFormat="1">
      <c r="A155" s="480"/>
      <c r="B155" s="516">
        <v>1344400935</v>
      </c>
      <c r="C155" s="480">
        <v>935</v>
      </c>
      <c r="D155" s="480">
        <v>344400</v>
      </c>
      <c r="E155" s="480"/>
      <c r="F155" s="480" t="s">
        <v>3013</v>
      </c>
      <c r="G155" s="58">
        <v>0</v>
      </c>
      <c r="H155" s="59">
        <v>0</v>
      </c>
      <c r="I155" s="58">
        <f>'רווחה '!H46</f>
        <v>1596000</v>
      </c>
      <c r="J155" s="42" t="s">
        <v>116</v>
      </c>
    </row>
    <row r="156" spans="1:10" s="566" customFormat="1">
      <c r="A156" s="480"/>
      <c r="B156" s="516">
        <v>1344400936</v>
      </c>
      <c r="C156" s="480">
        <v>936</v>
      </c>
      <c r="D156" s="480">
        <v>344400</v>
      </c>
      <c r="E156" s="480"/>
      <c r="F156" s="480" t="s">
        <v>3014</v>
      </c>
      <c r="G156" s="58">
        <v>0</v>
      </c>
      <c r="H156" s="59">
        <v>0</v>
      </c>
      <c r="I156" s="58">
        <v>739000</v>
      </c>
      <c r="J156" s="42" t="s">
        <v>118</v>
      </c>
    </row>
    <row r="157" spans="1:10" ht="15">
      <c r="A157" s="453" t="s">
        <v>151</v>
      </c>
      <c r="B157" s="453"/>
      <c r="C157" s="453">
        <v>999</v>
      </c>
      <c r="D157" s="453">
        <v>344000</v>
      </c>
      <c r="E157" s="453"/>
      <c r="F157" s="453"/>
      <c r="G157" s="60">
        <f>SUM(G142:G156)</f>
        <v>8339000</v>
      </c>
      <c r="H157" s="60">
        <f>SUM(H142:H153)</f>
        <v>8265000</v>
      </c>
      <c r="I157" s="60">
        <f>SUM(I142:I156)</f>
        <v>8630000</v>
      </c>
      <c r="J157" s="92"/>
    </row>
    <row r="158" spans="1:10">
      <c r="A158" s="480" t="s">
        <v>152</v>
      </c>
      <c r="B158" s="516">
        <v>1345100930</v>
      </c>
      <c r="C158" s="480">
        <v>930</v>
      </c>
      <c r="D158" s="480">
        <v>345100</v>
      </c>
      <c r="E158" s="480">
        <v>1</v>
      </c>
      <c r="F158" s="480" t="s">
        <v>153</v>
      </c>
      <c r="G158" s="58">
        <v>16877000</v>
      </c>
      <c r="H158" s="59">
        <f>VLOOKUP(B158,'אומדן 28.11.2022'!C:Q,15,0)</f>
        <v>15946000</v>
      </c>
      <c r="I158" s="58">
        <f>ROUND('רווחה '!H49,-3)</f>
        <v>16485000</v>
      </c>
      <c r="J158" s="42" t="s">
        <v>118</v>
      </c>
    </row>
    <row r="159" spans="1:10">
      <c r="A159" s="480"/>
      <c r="B159" s="516">
        <v>1345100931</v>
      </c>
      <c r="C159" s="480">
        <v>931</v>
      </c>
      <c r="D159" s="480">
        <v>345100</v>
      </c>
      <c r="E159" s="480">
        <v>1</v>
      </c>
      <c r="F159" s="480" t="s">
        <v>154</v>
      </c>
      <c r="G159" s="58">
        <v>3128000</v>
      </c>
      <c r="H159" s="59">
        <f>VLOOKUP(B159,'אומדן 28.11.2022'!C:Q,15,0)</f>
        <v>3015000</v>
      </c>
      <c r="I159" s="58">
        <f>ROUND('רווחה '!H50,-3)</f>
        <v>2979000</v>
      </c>
      <c r="J159" s="42" t="s">
        <v>118</v>
      </c>
    </row>
    <row r="160" spans="1:10">
      <c r="A160" s="480"/>
      <c r="B160" s="516">
        <v>1345100932</v>
      </c>
      <c r="C160" s="480">
        <v>932</v>
      </c>
      <c r="D160" s="480">
        <v>345100</v>
      </c>
      <c r="E160" s="480">
        <v>1</v>
      </c>
      <c r="F160" s="480" t="s">
        <v>155</v>
      </c>
      <c r="G160" s="58">
        <v>533000</v>
      </c>
      <c r="H160" s="59">
        <f>VLOOKUP(B160,'אומדן 28.11.2022'!C:Q,15,0)</f>
        <v>533000</v>
      </c>
      <c r="I160" s="58">
        <f>ROUND('רווחה '!H51,-3)</f>
        <v>533000</v>
      </c>
      <c r="J160" s="42" t="s">
        <v>118</v>
      </c>
    </row>
    <row r="161" spans="1:10">
      <c r="A161" s="480"/>
      <c r="B161" s="516">
        <v>1345100933</v>
      </c>
      <c r="C161" s="480">
        <v>933</v>
      </c>
      <c r="D161" s="480">
        <v>345100</v>
      </c>
      <c r="E161" s="480">
        <v>1</v>
      </c>
      <c r="F161" s="480" t="s">
        <v>128</v>
      </c>
      <c r="G161" s="58">
        <v>1057000</v>
      </c>
      <c r="H161" s="59">
        <f>VLOOKUP(B161,'אומדן 28.11.2022'!C:Q,15,0)</f>
        <v>1063000</v>
      </c>
      <c r="I161" s="58">
        <f>ROUND('רווחה '!H52,-3)</f>
        <v>524000</v>
      </c>
      <c r="J161" s="42" t="s">
        <v>118</v>
      </c>
    </row>
    <row r="162" spans="1:10">
      <c r="A162" s="480"/>
      <c r="B162" s="516">
        <v>1345100934</v>
      </c>
      <c r="C162" s="480">
        <v>934</v>
      </c>
      <c r="D162" s="480">
        <v>345100</v>
      </c>
      <c r="E162" s="480">
        <v>1</v>
      </c>
      <c r="F162" s="480" t="s">
        <v>156</v>
      </c>
      <c r="G162" s="58">
        <v>1622000</v>
      </c>
      <c r="H162" s="59">
        <f>VLOOKUP(B162,'אומדן 28.11.2022'!C:Q,15,0)</f>
        <v>3891000</v>
      </c>
      <c r="I162" s="58">
        <f>ROUND('רווחה '!H53,-3)</f>
        <v>2455000</v>
      </c>
      <c r="J162" s="42" t="s">
        <v>118</v>
      </c>
    </row>
    <row r="163" spans="1:10">
      <c r="A163" s="480"/>
      <c r="B163" s="516">
        <v>1345100935</v>
      </c>
      <c r="C163" s="480">
        <v>935</v>
      </c>
      <c r="D163" s="480">
        <v>345100</v>
      </c>
      <c r="E163" s="480">
        <v>1</v>
      </c>
      <c r="F163" s="480" t="s">
        <v>157</v>
      </c>
      <c r="G163" s="58">
        <v>0</v>
      </c>
      <c r="H163" s="59">
        <f>VLOOKUP(B163,'אומדן 28.11.2022'!C:Q,15,0)</f>
        <v>0</v>
      </c>
      <c r="I163" s="58">
        <v>0</v>
      </c>
      <c r="J163" s="42" t="s">
        <v>118</v>
      </c>
    </row>
    <row r="164" spans="1:10">
      <c r="A164" s="480"/>
      <c r="B164" s="516">
        <v>1345100938</v>
      </c>
      <c r="C164" s="480">
        <v>938</v>
      </c>
      <c r="D164" s="480">
        <v>345100</v>
      </c>
      <c r="E164" s="480">
        <v>1</v>
      </c>
      <c r="F164" s="480" t="s">
        <v>158</v>
      </c>
      <c r="G164" s="58">
        <v>20000</v>
      </c>
      <c r="H164" s="59">
        <f>VLOOKUP(B164,'אומדן 28.11.2022'!C:Q,15,0)</f>
        <v>23000</v>
      </c>
      <c r="I164" s="58">
        <f>ROUND('רווחה '!H54,-3)</f>
        <v>23000</v>
      </c>
      <c r="J164" s="42" t="s">
        <v>118</v>
      </c>
    </row>
    <row r="165" spans="1:10">
      <c r="A165" s="480"/>
      <c r="B165" s="516">
        <v>1345100939</v>
      </c>
      <c r="C165" s="480">
        <v>939</v>
      </c>
      <c r="D165" s="480">
        <v>345100</v>
      </c>
      <c r="E165" s="480">
        <v>1</v>
      </c>
      <c r="F165" s="480" t="s">
        <v>159</v>
      </c>
      <c r="G165" s="58">
        <v>59000</v>
      </c>
      <c r="H165" s="59">
        <f>VLOOKUP(B165,'אומדן 28.11.2022'!C:Q,15,0)</f>
        <v>47000</v>
      </c>
      <c r="I165" s="58">
        <f>ROUND('רווחה '!H55,-3)</f>
        <v>47000</v>
      </c>
      <c r="J165" s="42" t="s">
        <v>118</v>
      </c>
    </row>
    <row r="166" spans="1:10">
      <c r="A166" s="480"/>
      <c r="B166" s="516">
        <v>1345200930</v>
      </c>
      <c r="C166" s="480">
        <v>930</v>
      </c>
      <c r="D166" s="480">
        <v>345200</v>
      </c>
      <c r="E166" s="480">
        <v>1</v>
      </c>
      <c r="F166" s="480" t="s">
        <v>160</v>
      </c>
      <c r="G166" s="58">
        <v>8107000</v>
      </c>
      <c r="H166" s="59">
        <f>VLOOKUP(B166,'אומדן 28.11.2022'!C:Q,15,0)</f>
        <v>6418000</v>
      </c>
      <c r="I166" s="58">
        <f>ROUND('רווחה '!H56,-3)</f>
        <v>8735000</v>
      </c>
      <c r="J166" s="42" t="s">
        <v>116</v>
      </c>
    </row>
    <row r="167" spans="1:10">
      <c r="A167" s="480"/>
      <c r="B167" s="516">
        <v>1345200931</v>
      </c>
      <c r="C167" s="480">
        <v>931</v>
      </c>
      <c r="D167" s="480">
        <v>345200</v>
      </c>
      <c r="E167" s="480">
        <v>1</v>
      </c>
      <c r="F167" s="480" t="s">
        <v>161</v>
      </c>
      <c r="G167" s="58">
        <v>0</v>
      </c>
      <c r="H167" s="59">
        <f>VLOOKUP(B167,'אומדן 28.11.2022'!C:Q,15,0)</f>
        <v>0</v>
      </c>
      <c r="I167" s="58">
        <v>0</v>
      </c>
      <c r="J167" s="42" t="s">
        <v>118</v>
      </c>
    </row>
    <row r="168" spans="1:10">
      <c r="A168" s="480"/>
      <c r="B168" s="516">
        <v>1345200933</v>
      </c>
      <c r="C168" s="480">
        <v>933</v>
      </c>
      <c r="D168" s="480">
        <v>345200</v>
      </c>
      <c r="E168" s="480">
        <v>1</v>
      </c>
      <c r="F168" s="480" t="s">
        <v>162</v>
      </c>
      <c r="G168" s="58">
        <v>3380000</v>
      </c>
      <c r="H168" s="59">
        <f>VLOOKUP(B168,'אומדן 28.11.2022'!C:Q,15,0)</f>
        <v>3380000</v>
      </c>
      <c r="I168" s="58">
        <f>ROUND('רווחה '!H57,-3)</f>
        <v>3497000</v>
      </c>
      <c r="J168" s="91"/>
    </row>
    <row r="169" spans="1:10">
      <c r="A169" s="480"/>
      <c r="B169" s="516">
        <v>1345200934</v>
      </c>
      <c r="C169" s="480">
        <v>934</v>
      </c>
      <c r="D169" s="480">
        <v>345200</v>
      </c>
      <c r="E169" s="480">
        <v>1</v>
      </c>
      <c r="F169" s="480" t="s">
        <v>163</v>
      </c>
      <c r="G169" s="58">
        <v>600000</v>
      </c>
      <c r="H169" s="59">
        <f>VLOOKUP(B169,'אומדן 28.11.2022'!C:Q,15,0)</f>
        <v>536000</v>
      </c>
      <c r="I169" s="58">
        <f>ROUND('רווחה '!H58,-3)</f>
        <v>495000</v>
      </c>
      <c r="J169" s="42" t="s">
        <v>118</v>
      </c>
    </row>
    <row r="170" spans="1:10">
      <c r="A170" s="480"/>
      <c r="B170" s="516">
        <v>1345200935</v>
      </c>
      <c r="C170" s="480">
        <v>935</v>
      </c>
      <c r="D170" s="480">
        <v>345200</v>
      </c>
      <c r="E170" s="480">
        <v>1</v>
      </c>
      <c r="F170" s="480" t="s">
        <v>164</v>
      </c>
      <c r="G170" s="58">
        <v>11000</v>
      </c>
      <c r="H170" s="59">
        <f>VLOOKUP(B170,'אומדן 28.11.2022'!C:Q,15,0)</f>
        <v>8000</v>
      </c>
      <c r="I170" s="58">
        <f>ROUND('רווחה '!H59,-3)</f>
        <v>10000</v>
      </c>
      <c r="J170" s="42" t="s">
        <v>116</v>
      </c>
    </row>
    <row r="171" spans="1:10">
      <c r="A171" s="480"/>
      <c r="B171" s="516">
        <v>1345200936</v>
      </c>
      <c r="C171" s="480">
        <v>936</v>
      </c>
      <c r="D171" s="480">
        <v>345200</v>
      </c>
      <c r="E171" s="480">
        <v>1</v>
      </c>
      <c r="F171" s="480" t="s">
        <v>165</v>
      </c>
      <c r="G171" s="58">
        <v>30000</v>
      </c>
      <c r="H171" s="59">
        <f>VLOOKUP(B171,'אומדן 28.11.2022'!C:Q,15,0)</f>
        <v>30000</v>
      </c>
      <c r="I171" s="58">
        <f>ROUND('רווחה '!H60,-3)</f>
        <v>35000</v>
      </c>
      <c r="J171" s="42" t="s">
        <v>118</v>
      </c>
    </row>
    <row r="172" spans="1:10">
      <c r="A172" s="480"/>
      <c r="B172" s="516">
        <v>1345200937</v>
      </c>
      <c r="C172" s="480">
        <v>937</v>
      </c>
      <c r="D172" s="480">
        <v>345200</v>
      </c>
      <c r="E172" s="480">
        <v>1</v>
      </c>
      <c r="F172" s="480" t="s">
        <v>166</v>
      </c>
      <c r="G172" s="58">
        <v>123000</v>
      </c>
      <c r="H172" s="59">
        <f>VLOOKUP(B172,'אומדן 28.11.2022'!C:Q,15,0)</f>
        <v>123000</v>
      </c>
      <c r="I172" s="58">
        <f>ROUND('רווחה '!H61,-3)</f>
        <v>165000</v>
      </c>
      <c r="J172" s="42" t="s">
        <v>118</v>
      </c>
    </row>
    <row r="173" spans="1:10">
      <c r="A173" s="480"/>
      <c r="B173" s="516">
        <v>1345400610</v>
      </c>
      <c r="C173" s="480">
        <v>610</v>
      </c>
      <c r="D173" s="480">
        <v>345400</v>
      </c>
      <c r="E173" s="480">
        <v>1</v>
      </c>
      <c r="F173" s="480" t="s">
        <v>167</v>
      </c>
      <c r="G173" s="58">
        <v>388000</v>
      </c>
      <c r="H173" s="59">
        <f>VLOOKUP(B173,'אומדן 28.11.2022'!C:Q,15,0)</f>
        <v>396000</v>
      </c>
      <c r="I173" s="58">
        <f>ROUND('רווחה '!H62,-3)</f>
        <v>531000</v>
      </c>
      <c r="J173" s="91"/>
    </row>
    <row r="174" spans="1:10">
      <c r="A174" s="480" t="s">
        <v>4</v>
      </c>
      <c r="B174" s="516">
        <v>1345400930</v>
      </c>
      <c r="C174" s="480">
        <v>930</v>
      </c>
      <c r="D174" s="480">
        <v>345400</v>
      </c>
      <c r="E174" s="480">
        <v>1</v>
      </c>
      <c r="F174" s="480" t="s">
        <v>168</v>
      </c>
      <c r="G174" s="58">
        <v>230000</v>
      </c>
      <c r="H174" s="59">
        <f>VLOOKUP(B174,'אומדן 28.11.2022'!C:Q,15,0)</f>
        <v>224000</v>
      </c>
      <c r="I174" s="58">
        <f>ROUND('רווחה '!H63,-3)</f>
        <v>221000</v>
      </c>
      <c r="J174" s="42" t="s">
        <v>118</v>
      </c>
    </row>
    <row r="175" spans="1:10">
      <c r="A175" s="480"/>
      <c r="B175" s="516">
        <v>1345400932</v>
      </c>
      <c r="C175" s="480">
        <v>932</v>
      </c>
      <c r="D175" s="480">
        <v>345400</v>
      </c>
      <c r="E175" s="480">
        <v>1</v>
      </c>
      <c r="F175" s="480" t="s">
        <v>169</v>
      </c>
      <c r="G175" s="58">
        <v>685000</v>
      </c>
      <c r="H175" s="59">
        <f>VLOOKUP(B175,'אומדן 28.11.2022'!C:Q,15,0)</f>
        <v>497000</v>
      </c>
      <c r="I175" s="58">
        <f>ROUND('רווחה '!H64,-3)</f>
        <v>538000</v>
      </c>
      <c r="J175" s="42" t="s">
        <v>118</v>
      </c>
    </row>
    <row r="176" spans="1:10">
      <c r="A176" s="480"/>
      <c r="B176" s="516">
        <v>1345400933</v>
      </c>
      <c r="C176" s="480">
        <v>933</v>
      </c>
      <c r="D176" s="480">
        <v>345400</v>
      </c>
      <c r="E176" s="480">
        <v>1</v>
      </c>
      <c r="F176" s="480" t="s">
        <v>170</v>
      </c>
      <c r="G176" s="58">
        <v>73000</v>
      </c>
      <c r="H176" s="59">
        <f>VLOOKUP(B176,'אומדן 28.11.2022'!C:Q,15,0)</f>
        <v>73000</v>
      </c>
      <c r="I176" s="58">
        <v>0</v>
      </c>
      <c r="J176" s="42" t="s">
        <v>118</v>
      </c>
    </row>
    <row r="177" spans="1:10" ht="15">
      <c r="A177" s="453" t="s">
        <v>171</v>
      </c>
      <c r="B177" s="453"/>
      <c r="C177" s="453">
        <v>999</v>
      </c>
      <c r="D177" s="453">
        <v>345000</v>
      </c>
      <c r="E177" s="453"/>
      <c r="F177" s="453"/>
      <c r="G177" s="60">
        <f>SUM(G158:G176)</f>
        <v>36923000</v>
      </c>
      <c r="H177" s="60">
        <f>SUM(H158:H176)</f>
        <v>36203000</v>
      </c>
      <c r="I177" s="60">
        <f>SUM(I158:I176)</f>
        <v>37273000</v>
      </c>
      <c r="J177" s="92"/>
    </row>
    <row r="178" spans="1:10">
      <c r="A178" s="480" t="s">
        <v>172</v>
      </c>
      <c r="B178" s="516">
        <v>1346100930</v>
      </c>
      <c r="C178" s="480">
        <v>930</v>
      </c>
      <c r="D178" s="480">
        <v>346100</v>
      </c>
      <c r="E178" s="480">
        <v>1</v>
      </c>
      <c r="F178" s="480" t="s">
        <v>173</v>
      </c>
      <c r="G178" s="58">
        <v>15000</v>
      </c>
      <c r="H178" s="59">
        <f>VLOOKUP(B178,'אומדן 28.11.2022'!C:Q,15,0)</f>
        <v>14000</v>
      </c>
      <c r="I178" s="58">
        <f>ROUND('רווחה '!H67,-3)</f>
        <v>15000</v>
      </c>
      <c r="J178" s="42" t="s">
        <v>118</v>
      </c>
    </row>
    <row r="179" spans="1:10">
      <c r="A179" s="480"/>
      <c r="B179" s="516">
        <v>1346300932</v>
      </c>
      <c r="C179" s="480">
        <v>932</v>
      </c>
      <c r="D179" s="480">
        <v>346300</v>
      </c>
      <c r="E179" s="480">
        <v>1</v>
      </c>
      <c r="F179" s="480" t="s">
        <v>174</v>
      </c>
      <c r="G179" s="58">
        <v>36000</v>
      </c>
      <c r="H179" s="59">
        <f>VLOOKUP(B179,'אומדן 28.11.2022'!C:Q,15,0)</f>
        <v>36000</v>
      </c>
      <c r="I179" s="58">
        <f>ROUND('רווחה '!H68,-3)</f>
        <v>0</v>
      </c>
      <c r="J179" s="42" t="s">
        <v>118</v>
      </c>
    </row>
    <row r="180" spans="1:10">
      <c r="A180" s="480"/>
      <c r="B180" s="516">
        <v>1346300934</v>
      </c>
      <c r="C180" s="480">
        <v>934</v>
      </c>
      <c r="D180" s="480">
        <v>346300</v>
      </c>
      <c r="E180" s="480">
        <v>1</v>
      </c>
      <c r="F180" s="480" t="s">
        <v>175</v>
      </c>
      <c r="G180" s="58">
        <v>79000</v>
      </c>
      <c r="H180" s="59">
        <f>VLOOKUP(B180,'אומדן 28.11.2022'!C:Q,15,0)</f>
        <v>78000</v>
      </c>
      <c r="I180" s="58">
        <f>ROUND('רווחה '!H69,-3)</f>
        <v>96000</v>
      </c>
      <c r="J180" s="42" t="s">
        <v>118</v>
      </c>
    </row>
    <row r="181" spans="1:10">
      <c r="A181" s="480"/>
      <c r="B181" s="516">
        <v>1346400937</v>
      </c>
      <c r="C181" s="480">
        <v>937</v>
      </c>
      <c r="D181" s="480">
        <v>346400</v>
      </c>
      <c r="E181" s="480">
        <v>1</v>
      </c>
      <c r="F181" s="480" t="s">
        <v>176</v>
      </c>
      <c r="G181" s="58">
        <v>232000</v>
      </c>
      <c r="H181" s="59">
        <f>VLOOKUP(B181,'אומדן 28.11.2022'!C:Q,15,0)</f>
        <v>167000</v>
      </c>
      <c r="I181" s="58">
        <f>ROUND('רווחה '!H70,-3)</f>
        <v>135000</v>
      </c>
      <c r="J181" s="42" t="s">
        <v>118</v>
      </c>
    </row>
    <row r="182" spans="1:10">
      <c r="A182" s="480"/>
      <c r="B182" s="516">
        <v>1346500930</v>
      </c>
      <c r="C182" s="480">
        <v>930</v>
      </c>
      <c r="D182" s="480">
        <v>346500</v>
      </c>
      <c r="E182" s="480">
        <v>1</v>
      </c>
      <c r="F182" s="480" t="s">
        <v>177</v>
      </c>
      <c r="G182" s="58">
        <v>161000</v>
      </c>
      <c r="H182" s="59">
        <f>VLOOKUP(B182,'אומדן 28.11.2022'!C:Q,15,0)</f>
        <v>127000</v>
      </c>
      <c r="I182" s="58">
        <f>ROUND('רווחה '!H71,-3)</f>
        <v>149000</v>
      </c>
      <c r="J182" s="42" t="s">
        <v>118</v>
      </c>
    </row>
    <row r="183" spans="1:10">
      <c r="A183" s="480" t="s">
        <v>4</v>
      </c>
      <c r="B183" s="516">
        <v>1346500933</v>
      </c>
      <c r="C183" s="480">
        <v>933</v>
      </c>
      <c r="D183" s="480">
        <v>346500</v>
      </c>
      <c r="E183" s="480">
        <v>1</v>
      </c>
      <c r="F183" s="480" t="s">
        <v>134</v>
      </c>
      <c r="G183" s="58">
        <v>32000</v>
      </c>
      <c r="H183" s="59">
        <f>VLOOKUP(B183,'אומדן 28.11.2022'!C:Q,15,0)</f>
        <v>32000</v>
      </c>
      <c r="I183" s="58">
        <f>ROUND('רווחה '!H72,-3)</f>
        <v>31000</v>
      </c>
      <c r="J183" s="42" t="s">
        <v>118</v>
      </c>
    </row>
    <row r="184" spans="1:10">
      <c r="A184" s="480"/>
      <c r="B184" s="516">
        <v>1346500937</v>
      </c>
      <c r="C184" s="480">
        <v>937</v>
      </c>
      <c r="D184" s="480">
        <v>346500</v>
      </c>
      <c r="E184" s="480">
        <v>1</v>
      </c>
      <c r="F184" s="480" t="s">
        <v>178</v>
      </c>
      <c r="G184" s="58">
        <v>5191000.0749999993</v>
      </c>
      <c r="H184" s="59">
        <f>VLOOKUP(B184,'אומדן 28.11.2022'!C:Q,15,0)</f>
        <v>4951000</v>
      </c>
      <c r="I184" s="58">
        <f>ROUND('רווחה '!H73,-3)</f>
        <v>7048000</v>
      </c>
      <c r="J184" s="42" t="s">
        <v>118</v>
      </c>
    </row>
    <row r="185" spans="1:10">
      <c r="A185" s="480"/>
      <c r="B185" s="516">
        <v>1346500938</v>
      </c>
      <c r="C185" s="480">
        <v>938</v>
      </c>
      <c r="D185" s="480">
        <v>346500</v>
      </c>
      <c r="E185" s="480">
        <v>1</v>
      </c>
      <c r="F185" s="480" t="s">
        <v>179</v>
      </c>
      <c r="G185" s="58">
        <v>115000</v>
      </c>
      <c r="H185" s="59">
        <f>VLOOKUP(B185,'אומדן 28.11.2022'!C:Q,15,0)</f>
        <v>114000</v>
      </c>
      <c r="I185" s="58">
        <f>ROUND('רווחה '!H74,-3)</f>
        <v>89000</v>
      </c>
      <c r="J185" s="42" t="s">
        <v>118</v>
      </c>
    </row>
    <row r="186" spans="1:10">
      <c r="A186" s="480"/>
      <c r="B186" s="516">
        <v>1346600930</v>
      </c>
      <c r="C186" s="480">
        <v>930</v>
      </c>
      <c r="D186" s="480">
        <v>346600</v>
      </c>
      <c r="E186" s="480">
        <v>1</v>
      </c>
      <c r="F186" s="480" t="s">
        <v>180</v>
      </c>
      <c r="G186" s="58">
        <v>157000</v>
      </c>
      <c r="H186" s="59">
        <f>VLOOKUP(B186,'אומדן 28.11.2022'!C:Q,15,0)</f>
        <v>83000</v>
      </c>
      <c r="I186" s="58">
        <f>ROUND('רווחה '!H75,-3)</f>
        <v>65000</v>
      </c>
      <c r="J186" s="42" t="s">
        <v>118</v>
      </c>
    </row>
    <row r="187" spans="1:10">
      <c r="A187" s="480"/>
      <c r="B187" s="516">
        <v>1346600931</v>
      </c>
      <c r="C187" s="480">
        <v>931</v>
      </c>
      <c r="D187" s="480">
        <v>346600</v>
      </c>
      <c r="E187" s="480">
        <v>1</v>
      </c>
      <c r="F187" s="480" t="s">
        <v>181</v>
      </c>
      <c r="G187" s="58">
        <v>674999.7</v>
      </c>
      <c r="H187" s="59">
        <f>VLOOKUP(B187,'אומדן 28.11.2022'!C:Q,15,0)</f>
        <v>526000</v>
      </c>
      <c r="I187" s="58">
        <f>ROUND('רווחה '!H76,-3)</f>
        <v>974000</v>
      </c>
      <c r="J187" s="42" t="s">
        <v>118</v>
      </c>
    </row>
    <row r="188" spans="1:10">
      <c r="A188" s="480"/>
      <c r="B188" s="516">
        <v>1346600932</v>
      </c>
      <c r="C188" s="480">
        <v>932</v>
      </c>
      <c r="D188" s="480">
        <v>346600</v>
      </c>
      <c r="E188" s="480">
        <v>1</v>
      </c>
      <c r="F188" s="480" t="s">
        <v>182</v>
      </c>
      <c r="G188" s="58">
        <v>540000</v>
      </c>
      <c r="H188" s="59">
        <f>VLOOKUP(B188,'אומדן 28.11.2022'!C:Q,15,0)</f>
        <v>540000</v>
      </c>
      <c r="I188" s="58">
        <f>ROUND('רווחה '!H77,-3)</f>
        <v>554000</v>
      </c>
      <c r="J188" s="42" t="s">
        <v>118</v>
      </c>
    </row>
    <row r="189" spans="1:10">
      <c r="A189" s="480"/>
      <c r="B189" s="516">
        <v>1346600933</v>
      </c>
      <c r="C189" s="480">
        <v>933</v>
      </c>
      <c r="D189" s="480">
        <v>346600</v>
      </c>
      <c r="E189" s="480">
        <v>1</v>
      </c>
      <c r="F189" s="480" t="s">
        <v>183</v>
      </c>
      <c r="G189" s="58">
        <v>45000</v>
      </c>
      <c r="H189" s="59">
        <f>VLOOKUP(B189,'אומדן 28.11.2022'!C:Q,15,0)</f>
        <v>26000</v>
      </c>
      <c r="I189" s="58">
        <f>ROUND('רווחה '!H78,-3)</f>
        <v>24000</v>
      </c>
      <c r="J189" s="42" t="s">
        <v>118</v>
      </c>
    </row>
    <row r="190" spans="1:10">
      <c r="A190" s="480"/>
      <c r="B190" s="516">
        <v>1346600936</v>
      </c>
      <c r="C190" s="480">
        <v>936</v>
      </c>
      <c r="D190" s="480">
        <v>346600</v>
      </c>
      <c r="E190" s="480">
        <v>1</v>
      </c>
      <c r="F190" s="480" t="s">
        <v>184</v>
      </c>
      <c r="G190" s="58">
        <v>2250000</v>
      </c>
      <c r="H190" s="59">
        <f>VLOOKUP(B190,'אומדן 28.11.2022'!C:Q,15,0)</f>
        <v>2040000</v>
      </c>
      <c r="I190" s="58">
        <f>ROUND('רווחה '!H79,-3)</f>
        <v>1823000</v>
      </c>
      <c r="J190" s="42" t="s">
        <v>118</v>
      </c>
    </row>
    <row r="191" spans="1:10">
      <c r="A191" s="480"/>
      <c r="B191" s="516">
        <v>1346600937</v>
      </c>
      <c r="C191" s="480">
        <v>937</v>
      </c>
      <c r="D191" s="480">
        <v>346600</v>
      </c>
      <c r="E191" s="480">
        <v>1</v>
      </c>
      <c r="F191" s="480" t="s">
        <v>185</v>
      </c>
      <c r="G191" s="58">
        <v>222000</v>
      </c>
      <c r="H191" s="59">
        <f>VLOOKUP(B191,'אומדן 28.11.2022'!C:Q,15,0)</f>
        <v>189000</v>
      </c>
      <c r="I191" s="58">
        <f>ROUND('רווחה '!H80,-3)</f>
        <v>177000</v>
      </c>
      <c r="J191" s="42" t="s">
        <v>118</v>
      </c>
    </row>
    <row r="192" spans="1:10">
      <c r="A192" s="480"/>
      <c r="B192" s="516">
        <v>1346600939</v>
      </c>
      <c r="C192" s="480">
        <v>939</v>
      </c>
      <c r="D192" s="480">
        <v>346600</v>
      </c>
      <c r="E192" s="480">
        <v>1</v>
      </c>
      <c r="F192" s="480" t="s">
        <v>186</v>
      </c>
      <c r="G192" s="58">
        <v>375000</v>
      </c>
      <c r="H192" s="59">
        <f>VLOOKUP(B192,'אומדן 28.11.2022'!C:Q,15,0)</f>
        <v>373000</v>
      </c>
      <c r="I192" s="58">
        <f>ROUND('רווחה '!H81,-3)</f>
        <v>322000</v>
      </c>
      <c r="J192" s="42" t="s">
        <v>118</v>
      </c>
    </row>
    <row r="193" spans="1:10">
      <c r="A193" s="480"/>
      <c r="B193" s="516">
        <v>1346700930</v>
      </c>
      <c r="C193" s="480">
        <v>930</v>
      </c>
      <c r="D193" s="480">
        <v>346700</v>
      </c>
      <c r="E193" s="480">
        <v>1</v>
      </c>
      <c r="F193" s="480" t="s">
        <v>187</v>
      </c>
      <c r="G193" s="58">
        <v>93000</v>
      </c>
      <c r="H193" s="59">
        <f>VLOOKUP(B193,'אומדן 28.11.2022'!C:Q,15,0)</f>
        <v>93000</v>
      </c>
      <c r="I193" s="58">
        <f>ROUND('רווחה '!H82,-3)</f>
        <v>94000</v>
      </c>
      <c r="J193" s="42" t="s">
        <v>118</v>
      </c>
    </row>
    <row r="194" spans="1:10">
      <c r="A194" s="480"/>
      <c r="B194" s="516">
        <v>1346700932</v>
      </c>
      <c r="C194" s="480">
        <v>932</v>
      </c>
      <c r="D194" s="480">
        <v>346700</v>
      </c>
      <c r="E194" s="480">
        <v>1</v>
      </c>
      <c r="F194" s="480" t="s">
        <v>188</v>
      </c>
      <c r="G194" s="58">
        <v>206000</v>
      </c>
      <c r="H194" s="59">
        <f>VLOOKUP(B194,'אומדן 28.11.2022'!C:Q,15,0)</f>
        <v>198000</v>
      </c>
      <c r="I194" s="58">
        <f>ROUND('רווחה '!H83,-3)</f>
        <v>214000</v>
      </c>
      <c r="J194" s="42" t="s">
        <v>118</v>
      </c>
    </row>
    <row r="195" spans="1:10">
      <c r="A195" s="480"/>
      <c r="B195" s="516">
        <v>1346700934</v>
      </c>
      <c r="C195" s="480">
        <v>934</v>
      </c>
      <c r="D195" s="480">
        <v>346700</v>
      </c>
      <c r="E195" s="480">
        <v>1</v>
      </c>
      <c r="F195" s="480" t="s">
        <v>189</v>
      </c>
      <c r="G195" s="58">
        <v>137000</v>
      </c>
      <c r="H195" s="59">
        <f>VLOOKUP(B195,'אומדן 28.11.2022'!C:Q,15,0)</f>
        <v>137000</v>
      </c>
      <c r="I195" s="58">
        <f>ROUND('רווחה '!H84,-3)</f>
        <v>187000</v>
      </c>
      <c r="J195" s="42" t="s">
        <v>118</v>
      </c>
    </row>
    <row r="196" spans="1:10">
      <c r="A196" s="480"/>
      <c r="B196" s="516">
        <v>1346800930</v>
      </c>
      <c r="C196" s="480">
        <v>930</v>
      </c>
      <c r="D196" s="480">
        <v>346800</v>
      </c>
      <c r="E196" s="480">
        <v>1</v>
      </c>
      <c r="F196" s="480" t="s">
        <v>190</v>
      </c>
      <c r="G196" s="58">
        <v>53000</v>
      </c>
      <c r="H196" s="59">
        <f>VLOOKUP(B196,'אומדן 28.11.2022'!C:Q,15,0)</f>
        <v>53000</v>
      </c>
      <c r="I196" s="58">
        <f>ROUND('רווחה '!H85,-3)</f>
        <v>54000</v>
      </c>
      <c r="J196" s="42" t="s">
        <v>118</v>
      </c>
    </row>
    <row r="197" spans="1:10">
      <c r="A197" s="480"/>
      <c r="B197" s="516">
        <v>1346800931</v>
      </c>
      <c r="C197" s="480">
        <v>931</v>
      </c>
      <c r="D197" s="480">
        <v>346800</v>
      </c>
      <c r="E197" s="480">
        <v>1</v>
      </c>
      <c r="F197" s="480" t="s">
        <v>191</v>
      </c>
      <c r="G197" s="58">
        <v>52000</v>
      </c>
      <c r="H197" s="59">
        <f>VLOOKUP(B197,'אומדן 28.11.2022'!C:Q,15,0)</f>
        <v>52000</v>
      </c>
      <c r="I197" s="58">
        <f>ROUND('רווחה '!H86,-3)</f>
        <v>70000</v>
      </c>
      <c r="J197" s="42" t="s">
        <v>118</v>
      </c>
    </row>
    <row r="198" spans="1:10">
      <c r="A198" s="480"/>
      <c r="B198" s="516">
        <v>1346800932</v>
      </c>
      <c r="C198" s="480">
        <v>932</v>
      </c>
      <c r="D198" s="480">
        <v>346800</v>
      </c>
      <c r="E198" s="480">
        <v>1</v>
      </c>
      <c r="F198" s="480" t="s">
        <v>192</v>
      </c>
      <c r="G198" s="58">
        <v>60000</v>
      </c>
      <c r="H198" s="59">
        <f>VLOOKUP(B198,'אומדן 28.11.2022'!C:Q,15,0)</f>
        <v>40000</v>
      </c>
      <c r="I198" s="58">
        <f>ROUND('רווחה '!H87,-3)</f>
        <v>37000</v>
      </c>
      <c r="J198" s="42" t="s">
        <v>118</v>
      </c>
    </row>
    <row r="199" spans="1:10">
      <c r="A199" s="480"/>
      <c r="B199" s="516">
        <v>1346800936</v>
      </c>
      <c r="C199" s="480">
        <v>936</v>
      </c>
      <c r="D199" s="480">
        <v>346800</v>
      </c>
      <c r="E199" s="480">
        <v>1</v>
      </c>
      <c r="F199" s="480" t="s">
        <v>193</v>
      </c>
      <c r="G199" s="58">
        <v>274000</v>
      </c>
      <c r="H199" s="59">
        <f>VLOOKUP(B199,'אומדן 28.11.2022'!C:Q,15,0)</f>
        <v>274000</v>
      </c>
      <c r="I199" s="58">
        <f>ROUND('רווחה '!H88,-3)</f>
        <v>233000</v>
      </c>
      <c r="J199" s="42" t="s">
        <v>118</v>
      </c>
    </row>
    <row r="200" spans="1:10" ht="15">
      <c r="A200" s="453" t="s">
        <v>194</v>
      </c>
      <c r="B200" s="453"/>
      <c r="C200" s="453">
        <v>999</v>
      </c>
      <c r="D200" s="453">
        <v>346000</v>
      </c>
      <c r="E200" s="453"/>
      <c r="F200" s="453"/>
      <c r="G200" s="60">
        <f>SUM(G178:G199)</f>
        <v>10999999.774999999</v>
      </c>
      <c r="H200" s="60">
        <f>SUM(H178:H199)</f>
        <v>10143000</v>
      </c>
      <c r="I200" s="60">
        <f>SUM(I178:I199)</f>
        <v>12391000</v>
      </c>
      <c r="J200" s="92"/>
    </row>
    <row r="201" spans="1:10">
      <c r="A201" s="480" t="s">
        <v>195</v>
      </c>
      <c r="B201" s="516">
        <v>1347100931</v>
      </c>
      <c r="C201" s="480">
        <v>931</v>
      </c>
      <c r="D201" s="480">
        <v>347100</v>
      </c>
      <c r="E201" s="480">
        <v>1</v>
      </c>
      <c r="F201" s="480" t="s">
        <v>196</v>
      </c>
      <c r="G201" s="58">
        <v>167000</v>
      </c>
      <c r="H201" s="59">
        <f>VLOOKUP(B201,'אומדן 28.11.2022'!C:Q,15,0)</f>
        <v>171000</v>
      </c>
      <c r="I201" s="58">
        <f>ROUND('רווחה '!H90,-3)</f>
        <v>176000</v>
      </c>
      <c r="J201" s="42" t="s">
        <v>118</v>
      </c>
    </row>
    <row r="202" spans="1:10">
      <c r="A202" s="480"/>
      <c r="B202" s="516">
        <v>1347100935</v>
      </c>
      <c r="C202" s="480">
        <v>935</v>
      </c>
      <c r="D202" s="480">
        <v>347100</v>
      </c>
      <c r="E202" s="480">
        <v>1</v>
      </c>
      <c r="F202" s="480" t="s">
        <v>197</v>
      </c>
      <c r="G202" s="58">
        <v>1062000</v>
      </c>
      <c r="H202" s="59">
        <f>VLOOKUP(B202,'אומדן 28.11.2022'!C:Q,15,0)</f>
        <v>613000</v>
      </c>
      <c r="I202" s="58">
        <f>ROUND('רווחה '!H91,-3)</f>
        <v>734000</v>
      </c>
      <c r="J202" s="42" t="s">
        <v>118</v>
      </c>
    </row>
    <row r="203" spans="1:10">
      <c r="A203" s="480"/>
      <c r="B203" s="516">
        <v>1347100936</v>
      </c>
      <c r="C203" s="480">
        <v>936</v>
      </c>
      <c r="D203" s="480">
        <v>347100</v>
      </c>
      <c r="E203" s="480">
        <v>1</v>
      </c>
      <c r="F203" s="480" t="s">
        <v>198</v>
      </c>
      <c r="G203" s="58">
        <v>64000</v>
      </c>
      <c r="H203" s="59">
        <f>VLOOKUP(B203,'אומדן 28.11.2022'!C:Q,15,0)</f>
        <v>64000</v>
      </c>
      <c r="I203" s="58">
        <f>ROUND('רווחה '!H92,-3)</f>
        <v>64000</v>
      </c>
      <c r="J203" s="42" t="s">
        <v>118</v>
      </c>
    </row>
    <row r="204" spans="1:10" s="233" customFormat="1">
      <c r="A204" s="480"/>
      <c r="B204" s="516">
        <v>1347110930</v>
      </c>
      <c r="C204" s="480">
        <v>930</v>
      </c>
      <c r="D204" s="480">
        <v>347110</v>
      </c>
      <c r="E204" s="480">
        <v>1</v>
      </c>
      <c r="F204" s="480" t="s">
        <v>2480</v>
      </c>
      <c r="G204" s="58">
        <v>82200</v>
      </c>
      <c r="H204" s="59">
        <f>VLOOKUP(B204,'אומדן 28.11.2022'!C:Q,15,0)</f>
        <v>0</v>
      </c>
      <c r="I204" s="58">
        <v>0</v>
      </c>
      <c r="J204" s="42" t="s">
        <v>118</v>
      </c>
    </row>
    <row r="205" spans="1:10">
      <c r="A205" s="480"/>
      <c r="B205" s="516">
        <v>1347300920</v>
      </c>
      <c r="C205" s="480">
        <v>920</v>
      </c>
      <c r="D205" s="480">
        <v>347300</v>
      </c>
      <c r="E205" s="480">
        <v>1</v>
      </c>
      <c r="F205" s="480" t="s">
        <v>199</v>
      </c>
      <c r="G205" s="58">
        <v>90000</v>
      </c>
      <c r="H205" s="59">
        <f>VLOOKUP(B205,'אומדן 28.11.2022'!C:Q,15,0)</f>
        <v>97000</v>
      </c>
      <c r="I205" s="58">
        <f>ROUND('רווחה '!H93,-3)</f>
        <v>90000</v>
      </c>
      <c r="J205" s="42" t="s">
        <v>118</v>
      </c>
    </row>
    <row r="206" spans="1:10">
      <c r="A206" s="480"/>
      <c r="B206" s="516">
        <v>1347300934</v>
      </c>
      <c r="C206" s="480">
        <v>934</v>
      </c>
      <c r="D206" s="480">
        <v>347300</v>
      </c>
      <c r="E206" s="480">
        <v>1</v>
      </c>
      <c r="F206" s="480" t="s">
        <v>200</v>
      </c>
      <c r="G206" s="58">
        <v>0</v>
      </c>
      <c r="H206" s="59">
        <f>VLOOKUP(B206,'אומדן 28.11.2022'!C:Q,15,0)</f>
        <v>462000</v>
      </c>
      <c r="I206" s="58">
        <v>0</v>
      </c>
      <c r="J206" s="42" t="s">
        <v>118</v>
      </c>
    </row>
    <row r="207" spans="1:10" s="43" customFormat="1">
      <c r="A207" s="480"/>
      <c r="B207" s="516">
        <v>1347300935</v>
      </c>
      <c r="C207" s="480">
        <v>935</v>
      </c>
      <c r="D207" s="480">
        <v>347300</v>
      </c>
      <c r="E207" s="480">
        <v>1</v>
      </c>
      <c r="F207" s="970" t="s">
        <v>2214</v>
      </c>
      <c r="G207" s="58">
        <v>180000</v>
      </c>
      <c r="H207" s="59">
        <f>VLOOKUP(B207,'אומדן 28.11.2022'!C:Q,15,0)</f>
        <v>180000</v>
      </c>
      <c r="I207" s="58">
        <f>ROUND('רווחה '!H94,-3)</f>
        <v>468000</v>
      </c>
      <c r="J207" s="42" t="s">
        <v>118</v>
      </c>
    </row>
    <row r="208" spans="1:10" s="8" customFormat="1">
      <c r="A208" s="480"/>
      <c r="B208" s="516">
        <v>1347300938</v>
      </c>
      <c r="C208" s="480">
        <v>938</v>
      </c>
      <c r="D208" s="480">
        <v>347300</v>
      </c>
      <c r="E208" s="480">
        <v>1</v>
      </c>
      <c r="F208" s="480" t="s">
        <v>201</v>
      </c>
      <c r="G208" s="58">
        <v>168000</v>
      </c>
      <c r="H208" s="59">
        <f>VLOOKUP(B208,'אומדן 28.11.2022'!C:Q,15,0)</f>
        <v>0</v>
      </c>
      <c r="I208" s="58">
        <f>ROUND('רווחה '!H95,-3)</f>
        <v>169000</v>
      </c>
      <c r="J208" s="42" t="s">
        <v>118</v>
      </c>
    </row>
    <row r="209" spans="1:10">
      <c r="A209" s="480"/>
      <c r="B209" s="516">
        <v>1347300939</v>
      </c>
      <c r="C209" s="480">
        <v>939</v>
      </c>
      <c r="D209" s="480">
        <v>347300</v>
      </c>
      <c r="E209" s="480">
        <v>1</v>
      </c>
      <c r="F209" s="480" t="s">
        <v>120</v>
      </c>
      <c r="G209" s="58">
        <v>167000</v>
      </c>
      <c r="H209" s="59">
        <f>VLOOKUP(B209,'אומדן 28.11.2022'!C:Q,15,0)</f>
        <v>105000</v>
      </c>
      <c r="I209" s="58">
        <v>0</v>
      </c>
      <c r="J209" s="42" t="s">
        <v>118</v>
      </c>
    </row>
    <row r="210" spans="1:10" s="43" customFormat="1">
      <c r="A210" s="480"/>
      <c r="B210" s="516">
        <v>1347400930</v>
      </c>
      <c r="C210" s="480">
        <v>930</v>
      </c>
      <c r="D210" s="480">
        <v>347400</v>
      </c>
      <c r="E210" s="480">
        <v>1</v>
      </c>
      <c r="F210" s="480" t="s">
        <v>2219</v>
      </c>
      <c r="G210" s="58">
        <v>118000</v>
      </c>
      <c r="H210" s="59">
        <f>VLOOKUP(B210,'אומדן 28.11.2022'!C:Q,15,0)</f>
        <v>0</v>
      </c>
      <c r="I210" s="58">
        <f>ROUND('רווחה '!H102,-3)</f>
        <v>203000</v>
      </c>
      <c r="J210" s="42" t="s">
        <v>118</v>
      </c>
    </row>
    <row r="211" spans="1:10" s="566" customFormat="1">
      <c r="A211" s="480"/>
      <c r="B211" s="516">
        <v>1347400934</v>
      </c>
      <c r="C211" s="480">
        <v>934</v>
      </c>
      <c r="D211" s="480">
        <v>347400</v>
      </c>
      <c r="E211" s="480">
        <v>1</v>
      </c>
      <c r="F211" s="480" t="str">
        <f>'רווחה '!E97</f>
        <v>איתור נוחם</v>
      </c>
      <c r="G211" s="58">
        <v>0</v>
      </c>
      <c r="H211" s="59">
        <f>VLOOKUP(B211,'אומדן 28.11.2022'!C:Q,15,0)</f>
        <v>0</v>
      </c>
      <c r="I211" s="58">
        <v>0</v>
      </c>
      <c r="J211" s="42" t="s">
        <v>118</v>
      </c>
    </row>
    <row r="212" spans="1:10">
      <c r="A212" s="480"/>
      <c r="B212" s="516">
        <v>1347400935</v>
      </c>
      <c r="C212" s="480">
        <v>935</v>
      </c>
      <c r="D212" s="480">
        <v>347400</v>
      </c>
      <c r="E212" s="480">
        <v>1</v>
      </c>
      <c r="F212" s="480" t="s">
        <v>202</v>
      </c>
      <c r="G212" s="58">
        <v>206000</v>
      </c>
      <c r="H212" s="59">
        <f>VLOOKUP(B212,'אומדן 28.11.2022'!C:Q,15,0)</f>
        <v>180000</v>
      </c>
      <c r="I212" s="58">
        <f>ROUND('רווחה '!H96,-3)</f>
        <v>218000</v>
      </c>
      <c r="J212" s="42" t="s">
        <v>118</v>
      </c>
    </row>
    <row r="213" spans="1:10" s="566" customFormat="1">
      <c r="A213" s="480"/>
      <c r="B213" s="516">
        <v>1347400936</v>
      </c>
      <c r="C213" s="480">
        <v>936</v>
      </c>
      <c r="D213" s="480">
        <v>347400</v>
      </c>
      <c r="E213" s="480">
        <v>1</v>
      </c>
      <c r="F213" s="480" t="s">
        <v>2480</v>
      </c>
      <c r="G213" s="58">
        <v>0</v>
      </c>
      <c r="H213" s="59">
        <f>VLOOKUP(B213,'אומדן 28.11.2022'!C:Q,15,0)</f>
        <v>0</v>
      </c>
      <c r="I213" s="58">
        <f>ROUND('רווחה '!H98,-3)</f>
        <v>121000</v>
      </c>
      <c r="J213" s="42" t="s">
        <v>118</v>
      </c>
    </row>
    <row r="214" spans="1:10">
      <c r="A214" s="480"/>
      <c r="B214" s="516">
        <v>1347400937</v>
      </c>
      <c r="C214" s="480">
        <v>937</v>
      </c>
      <c r="D214" s="480">
        <v>347400</v>
      </c>
      <c r="E214" s="480">
        <v>1</v>
      </c>
      <c r="F214" s="480" t="s">
        <v>203</v>
      </c>
      <c r="G214" s="58">
        <v>23000</v>
      </c>
      <c r="H214" s="59">
        <f>VLOOKUP(B214,'אומדן 28.11.2022'!C:Q,15,0)</f>
        <v>23000</v>
      </c>
      <c r="I214" s="58">
        <f>ROUND('רווחה '!H99,-3)</f>
        <v>26000</v>
      </c>
      <c r="J214" s="42" t="s">
        <v>118</v>
      </c>
    </row>
    <row r="215" spans="1:10">
      <c r="A215" s="480"/>
      <c r="B215" s="516">
        <v>1347400938</v>
      </c>
      <c r="C215" s="480">
        <v>938</v>
      </c>
      <c r="D215" s="480">
        <v>347400</v>
      </c>
      <c r="E215" s="480">
        <v>1</v>
      </c>
      <c r="F215" s="480" t="s">
        <v>204</v>
      </c>
      <c r="G215" s="58">
        <v>998000</v>
      </c>
      <c r="H215" s="59">
        <f>VLOOKUP(B215,'אומדן 28.11.2022'!C:Q,15,0)</f>
        <v>997000</v>
      </c>
      <c r="I215" s="58">
        <f>ROUND('רווחה '!H100,-3)</f>
        <v>1307000</v>
      </c>
      <c r="J215" s="42" t="s">
        <v>118</v>
      </c>
    </row>
    <row r="216" spans="1:10">
      <c r="A216" s="480"/>
      <c r="B216" s="516">
        <v>1347400939</v>
      </c>
      <c r="C216" s="480">
        <v>939</v>
      </c>
      <c r="D216" s="480">
        <v>347400</v>
      </c>
      <c r="E216" s="480">
        <v>1</v>
      </c>
      <c r="F216" s="480" t="s">
        <v>205</v>
      </c>
      <c r="G216" s="58">
        <v>151000</v>
      </c>
      <c r="H216" s="59">
        <f>VLOOKUP(B216,'אומדן 28.11.2022'!C:Q,15,0)</f>
        <v>150000</v>
      </c>
      <c r="I216" s="58">
        <f>ROUND('רווחה '!H101,-3)</f>
        <v>59000</v>
      </c>
      <c r="J216" s="42" t="s">
        <v>116</v>
      </c>
    </row>
    <row r="217" spans="1:10" s="43" customFormat="1">
      <c r="A217" s="480"/>
      <c r="B217" s="516">
        <v>1347500930</v>
      </c>
      <c r="C217" s="480">
        <v>930</v>
      </c>
      <c r="D217" s="480">
        <v>347500</v>
      </c>
      <c r="E217" s="480">
        <v>1</v>
      </c>
      <c r="F217" s="480" t="s">
        <v>2218</v>
      </c>
      <c r="G217" s="58">
        <v>148700</v>
      </c>
      <c r="H217" s="59">
        <f>VLOOKUP(B217,'אומדן 28.11.2022'!C:Q,15,0)</f>
        <v>0</v>
      </c>
      <c r="I217" s="58">
        <v>0</v>
      </c>
      <c r="J217" s="42"/>
    </row>
    <row r="218" spans="1:10">
      <c r="A218" s="480"/>
      <c r="B218" s="516">
        <v>1347600930</v>
      </c>
      <c r="C218" s="480">
        <v>930</v>
      </c>
      <c r="D218" s="480">
        <v>347600</v>
      </c>
      <c r="E218" s="480">
        <v>1</v>
      </c>
      <c r="F218" s="480" t="s">
        <v>206</v>
      </c>
      <c r="G218" s="58">
        <v>582000</v>
      </c>
      <c r="H218" s="59">
        <f>VLOOKUP(B218,'אומדן 28.11.2022'!C:Q,15,0)</f>
        <v>581000</v>
      </c>
      <c r="I218" s="58">
        <f>ROUND('רווחה '!H103,-3)</f>
        <v>740000</v>
      </c>
      <c r="J218" s="42" t="s">
        <v>118</v>
      </c>
    </row>
    <row r="219" spans="1:10">
      <c r="A219" s="480"/>
      <c r="B219" s="516">
        <v>1347800930</v>
      </c>
      <c r="C219" s="480">
        <v>930</v>
      </c>
      <c r="D219" s="480">
        <v>347800</v>
      </c>
      <c r="E219" s="480">
        <v>1</v>
      </c>
      <c r="F219" s="480" t="s">
        <v>207</v>
      </c>
      <c r="G219" s="58">
        <v>167000</v>
      </c>
      <c r="H219" s="59">
        <f>VLOOKUP(B219,'אומדן 28.11.2022'!C:Q,15,0)</f>
        <v>166000</v>
      </c>
      <c r="I219" s="58">
        <f>ROUND('רווחה '!H104,-3)</f>
        <v>176000</v>
      </c>
      <c r="J219" s="42" t="s">
        <v>118</v>
      </c>
    </row>
    <row r="220" spans="1:10">
      <c r="A220" s="480"/>
      <c r="B220" s="516">
        <v>1347800931</v>
      </c>
      <c r="C220" s="480">
        <v>931</v>
      </c>
      <c r="D220" s="480">
        <v>347800</v>
      </c>
      <c r="E220" s="480">
        <v>1</v>
      </c>
      <c r="F220" s="480" t="s">
        <v>208</v>
      </c>
      <c r="G220" s="58">
        <v>113000</v>
      </c>
      <c r="H220" s="59">
        <f>VLOOKUP(B220,'אומדן 28.11.2022'!C:Q,15,0)</f>
        <v>106000</v>
      </c>
      <c r="I220" s="58">
        <f>ROUND('רווחה '!H108,-3)</f>
        <v>113000</v>
      </c>
      <c r="J220" s="42" t="s">
        <v>118</v>
      </c>
    </row>
    <row r="221" spans="1:10">
      <c r="A221" s="480"/>
      <c r="B221" s="516">
        <v>1347800932</v>
      </c>
      <c r="C221" s="480">
        <v>932</v>
      </c>
      <c r="D221" s="480">
        <v>347800</v>
      </c>
      <c r="E221" s="480">
        <v>1</v>
      </c>
      <c r="F221" s="480" t="s">
        <v>209</v>
      </c>
      <c r="G221" s="58">
        <v>178000</v>
      </c>
      <c r="H221" s="59">
        <f>VLOOKUP(B221,'אומדן 28.11.2022'!C:Q,15,0)</f>
        <v>271000</v>
      </c>
      <c r="I221" s="58">
        <f>ROUND('רווחה '!H106,-3)</f>
        <v>308000</v>
      </c>
      <c r="J221" s="42" t="s">
        <v>118</v>
      </c>
    </row>
    <row r="222" spans="1:10">
      <c r="A222" s="480"/>
      <c r="B222" s="516">
        <v>1347900931</v>
      </c>
      <c r="C222" s="480">
        <v>931</v>
      </c>
      <c r="D222" s="480">
        <v>347900</v>
      </c>
      <c r="E222" s="480">
        <v>1</v>
      </c>
      <c r="F222" s="480" t="s">
        <v>210</v>
      </c>
      <c r="G222" s="58">
        <v>749000</v>
      </c>
      <c r="H222" s="59">
        <f>VLOOKUP(B222,'אומדן 28.11.2022'!C:Q,15,0)</f>
        <v>744000</v>
      </c>
      <c r="I222" s="58">
        <f>ROUND('רווחה '!H105,-3)</f>
        <v>1394000</v>
      </c>
      <c r="J222" s="42" t="s">
        <v>116</v>
      </c>
    </row>
    <row r="223" spans="1:10">
      <c r="A223" s="480"/>
      <c r="B223" s="516">
        <v>1347900934</v>
      </c>
      <c r="C223" s="480">
        <v>934</v>
      </c>
      <c r="D223" s="480">
        <v>347900</v>
      </c>
      <c r="E223" s="480">
        <v>1</v>
      </c>
      <c r="F223" s="480" t="s">
        <v>211</v>
      </c>
      <c r="G223" s="58">
        <v>65000</v>
      </c>
      <c r="H223" s="59">
        <f>VLOOKUP(B223,'אומדן 28.11.2022'!C:Q,15,0)</f>
        <v>73000</v>
      </c>
      <c r="I223" s="58">
        <f>ROUND('רווחה '!H107,-3)</f>
        <v>37000</v>
      </c>
      <c r="J223" s="42" t="s">
        <v>118</v>
      </c>
    </row>
    <row r="224" spans="1:10" s="566" customFormat="1">
      <c r="A224" s="480"/>
      <c r="B224" s="516">
        <v>1347900936</v>
      </c>
      <c r="C224" s="480">
        <v>936</v>
      </c>
      <c r="D224" s="480">
        <v>347900</v>
      </c>
      <c r="E224" s="480"/>
      <c r="F224" s="480" t="s">
        <v>3025</v>
      </c>
      <c r="G224" s="58">
        <v>0</v>
      </c>
      <c r="H224" s="59">
        <v>0</v>
      </c>
      <c r="I224" s="58">
        <f>ROUND('רווחה '!H110,-3)</f>
        <v>793000</v>
      </c>
      <c r="J224" s="42" t="s">
        <v>118</v>
      </c>
    </row>
    <row r="225" spans="1:10" ht="15">
      <c r="A225" s="453" t="s">
        <v>212</v>
      </c>
      <c r="B225" s="453"/>
      <c r="C225" s="453">
        <v>999</v>
      </c>
      <c r="D225" s="453">
        <v>347100</v>
      </c>
      <c r="E225" s="453"/>
      <c r="F225" s="453"/>
      <c r="G225" s="60">
        <f>SUM(G201:G224)</f>
        <v>5478900</v>
      </c>
      <c r="H225" s="60">
        <f>SUM(H201:H223)</f>
        <v>4983000</v>
      </c>
      <c r="I225" s="60">
        <f>SUM(I201:I224)</f>
        <v>7196000</v>
      </c>
      <c r="J225" s="92"/>
    </row>
    <row r="226" spans="1:10">
      <c r="A226" s="480" t="s">
        <v>213</v>
      </c>
      <c r="B226" s="516">
        <v>1348200930</v>
      </c>
      <c r="C226" s="480">
        <v>930</v>
      </c>
      <c r="D226" s="480">
        <v>348200</v>
      </c>
      <c r="E226" s="480">
        <v>1</v>
      </c>
      <c r="F226" s="480" t="s">
        <v>213</v>
      </c>
      <c r="G226" s="58">
        <v>22000</v>
      </c>
      <c r="H226" s="59">
        <f>VLOOKUP(B226,'אומדן 28.11.2022'!C:Q,15,0)</f>
        <v>7000</v>
      </c>
      <c r="I226" s="58">
        <f>ROUND('רווחה '!H112,-3)</f>
        <v>23000</v>
      </c>
      <c r="J226" s="42" t="s">
        <v>118</v>
      </c>
    </row>
    <row r="227" spans="1:10">
      <c r="A227" s="480"/>
      <c r="B227" s="516">
        <v>1348300933</v>
      </c>
      <c r="C227" s="480">
        <v>933</v>
      </c>
      <c r="D227" s="480">
        <v>348300</v>
      </c>
      <c r="E227" s="480">
        <v>1</v>
      </c>
      <c r="F227" s="480" t="s">
        <v>214</v>
      </c>
      <c r="G227" s="58">
        <v>38000</v>
      </c>
      <c r="H227" s="59">
        <f>VLOOKUP(B227,'אומדן 28.11.2022'!C:Q,15,0)</f>
        <v>8000</v>
      </c>
      <c r="I227" s="58">
        <f>ROUND('רווחה '!H113,-3)</f>
        <v>38000</v>
      </c>
      <c r="J227" s="42" t="s">
        <v>118</v>
      </c>
    </row>
    <row r="228" spans="1:10">
      <c r="A228" s="480"/>
      <c r="B228" s="516">
        <v>1348300934</v>
      </c>
      <c r="C228" s="480">
        <v>934</v>
      </c>
      <c r="D228" s="480">
        <v>348300</v>
      </c>
      <c r="E228" s="480">
        <v>1</v>
      </c>
      <c r="F228" s="480" t="s">
        <v>215</v>
      </c>
      <c r="G228" s="58">
        <v>11000</v>
      </c>
      <c r="H228" s="59">
        <f>VLOOKUP(B228,'אומדן 28.11.2022'!C:Q,15,0)</f>
        <v>8000</v>
      </c>
      <c r="I228" s="58">
        <f>ROUND('רווחה '!H114,-3)</f>
        <v>11000</v>
      </c>
      <c r="J228" s="42" t="s">
        <v>118</v>
      </c>
    </row>
    <row r="229" spans="1:10" ht="15">
      <c r="A229" s="453" t="s">
        <v>216</v>
      </c>
      <c r="B229" s="453"/>
      <c r="C229" s="453">
        <v>999</v>
      </c>
      <c r="D229" s="453">
        <v>348000</v>
      </c>
      <c r="E229" s="453"/>
      <c r="F229" s="453"/>
      <c r="G229" s="60">
        <f>SUM(G226:G228)</f>
        <v>71000</v>
      </c>
      <c r="H229" s="60">
        <f>SUM(H226:H228)</f>
        <v>23000</v>
      </c>
      <c r="I229" s="60">
        <f>SUM(I226:I228)</f>
        <v>72000</v>
      </c>
      <c r="J229" s="92"/>
    </row>
    <row r="230" spans="1:10">
      <c r="A230" s="480" t="s">
        <v>217</v>
      </c>
      <c r="B230" s="516">
        <v>1348500930</v>
      </c>
      <c r="C230" s="480">
        <v>930</v>
      </c>
      <c r="D230" s="480">
        <v>348500</v>
      </c>
      <c r="E230" s="480">
        <v>1</v>
      </c>
      <c r="F230" s="480" t="s">
        <v>218</v>
      </c>
      <c r="G230" s="58">
        <v>14000</v>
      </c>
      <c r="H230" s="59">
        <f>VLOOKUP(B230,'אומדן 28.11.2022'!C:Q,15,0)</f>
        <v>10000</v>
      </c>
      <c r="I230" s="58">
        <f>ROUND('רווחה '!H116,-3)</f>
        <v>14000</v>
      </c>
      <c r="J230" s="42" t="s">
        <v>118</v>
      </c>
    </row>
    <row r="231" spans="1:10" s="43" customFormat="1">
      <c r="A231" s="480"/>
      <c r="B231" s="516">
        <v>1348500934</v>
      </c>
      <c r="C231" s="480">
        <v>934</v>
      </c>
      <c r="D231" s="480">
        <v>348500</v>
      </c>
      <c r="E231" s="480">
        <v>1</v>
      </c>
      <c r="F231" s="480" t="s">
        <v>219</v>
      </c>
      <c r="G231" s="58">
        <v>30000</v>
      </c>
      <c r="H231" s="59">
        <f>VLOOKUP(B231,'אומדן 28.11.2022'!C:Q,15,0)</f>
        <v>12000</v>
      </c>
      <c r="I231" s="58">
        <f>ROUND('רווחה '!H117,-3)</f>
        <v>30000</v>
      </c>
      <c r="J231" s="42" t="s">
        <v>116</v>
      </c>
    </row>
    <row r="232" spans="1:10" ht="15">
      <c r="A232" s="453" t="s">
        <v>220</v>
      </c>
      <c r="B232" s="453"/>
      <c r="C232" s="453">
        <v>999</v>
      </c>
      <c r="D232" s="453">
        <v>348500</v>
      </c>
      <c r="E232" s="453"/>
      <c r="F232" s="453"/>
      <c r="G232" s="60">
        <f>SUM(G230:G231)</f>
        <v>44000</v>
      </c>
      <c r="H232" s="60">
        <f>SUM(H230:H231)</f>
        <v>22000</v>
      </c>
      <c r="I232" s="60">
        <f>SUM(I230:I231)</f>
        <v>44000</v>
      </c>
      <c r="J232" s="92"/>
    </row>
    <row r="233" spans="1:10">
      <c r="A233" s="480"/>
      <c r="B233" s="516">
        <v>1349000936</v>
      </c>
      <c r="C233" s="480">
        <v>936</v>
      </c>
      <c r="D233" s="480">
        <v>349000</v>
      </c>
      <c r="E233" s="480">
        <v>1</v>
      </c>
      <c r="F233" s="480" t="s">
        <v>221</v>
      </c>
      <c r="G233" s="58">
        <v>578000</v>
      </c>
      <c r="H233" s="59">
        <f>VLOOKUP(B233,'אומדן 28.11.2022'!C:Q,15,0)</f>
        <v>888000</v>
      </c>
      <c r="I233" s="58">
        <f>ROUND('רווחה '!H119,-3)</f>
        <v>921000</v>
      </c>
      <c r="J233" s="42" t="s">
        <v>118</v>
      </c>
    </row>
    <row r="234" spans="1:10">
      <c r="A234" s="480"/>
      <c r="B234" s="516">
        <v>1349000937</v>
      </c>
      <c r="C234" s="480">
        <v>937</v>
      </c>
      <c r="D234" s="480">
        <v>349000</v>
      </c>
      <c r="E234" s="480">
        <v>1</v>
      </c>
      <c r="F234" s="480" t="s">
        <v>222</v>
      </c>
      <c r="G234" s="58">
        <v>22000</v>
      </c>
      <c r="H234" s="59">
        <f>VLOOKUP(B234,'אומדן 28.11.2022'!C:Q,15,0)</f>
        <v>13000</v>
      </c>
      <c r="I234" s="58">
        <f>ROUND('רווחה '!H120,-3)</f>
        <v>14000</v>
      </c>
      <c r="J234" s="42" t="s">
        <v>118</v>
      </c>
    </row>
    <row r="235" spans="1:10">
      <c r="A235" s="480"/>
      <c r="B235" s="516">
        <v>1349100930</v>
      </c>
      <c r="C235" s="480">
        <v>930</v>
      </c>
      <c r="D235" s="480">
        <v>349100</v>
      </c>
      <c r="E235" s="480">
        <v>1</v>
      </c>
      <c r="F235" s="480" t="s">
        <v>223</v>
      </c>
      <c r="G235" s="58">
        <v>26000</v>
      </c>
      <c r="H235" s="59">
        <f>VLOOKUP(B235,'אומדן 28.11.2022'!C:Q,15,0)</f>
        <v>18000</v>
      </c>
      <c r="I235" s="58">
        <f>ROUND('רווחה '!H121,-3)</f>
        <v>21000</v>
      </c>
      <c r="J235" s="42" t="s">
        <v>118</v>
      </c>
    </row>
    <row r="236" spans="1:10" ht="15">
      <c r="A236" s="453" t="s">
        <v>224</v>
      </c>
      <c r="B236" s="453"/>
      <c r="C236" s="453">
        <v>999</v>
      </c>
      <c r="D236" s="453">
        <v>349000</v>
      </c>
      <c r="E236" s="453"/>
      <c r="F236" s="453"/>
      <c r="G236" s="60">
        <f>SUM(G233:G235)</f>
        <v>626000</v>
      </c>
      <c r="H236" s="60">
        <f>SUM(H233:H235)</f>
        <v>919000</v>
      </c>
      <c r="I236" s="60">
        <f>SUM(I233:I235)</f>
        <v>956000</v>
      </c>
      <c r="J236" s="92"/>
    </row>
    <row r="237" spans="1:10" ht="57">
      <c r="A237" s="480" t="s">
        <v>225</v>
      </c>
      <c r="B237" s="516">
        <v>1360000440</v>
      </c>
      <c r="C237" s="480">
        <v>440</v>
      </c>
      <c r="D237" s="480">
        <v>360000</v>
      </c>
      <c r="E237" s="480">
        <v>1</v>
      </c>
      <c r="F237" s="480" t="s">
        <v>226</v>
      </c>
      <c r="G237" s="58">
        <v>40000</v>
      </c>
      <c r="H237" s="59">
        <f>VLOOKUP(B237,'אומדן 28.11.2022'!C:Q,15,0)</f>
        <v>40000</v>
      </c>
      <c r="I237" s="58">
        <f>'כרמית '!H16</f>
        <v>40000</v>
      </c>
      <c r="J237" s="93" t="s">
        <v>2180</v>
      </c>
    </row>
    <row r="238" spans="1:10">
      <c r="A238" s="480"/>
      <c r="B238" s="516">
        <v>1360000950</v>
      </c>
      <c r="C238" s="480">
        <v>950</v>
      </c>
      <c r="D238" s="480">
        <v>360000</v>
      </c>
      <c r="E238" s="480">
        <v>1</v>
      </c>
      <c r="F238" s="480" t="s">
        <v>227</v>
      </c>
      <c r="G238" s="58">
        <v>661000</v>
      </c>
      <c r="H238" s="59">
        <f>VLOOKUP(B238,'אומדן 28.11.2022'!C:Q,15,0)</f>
        <v>662000</v>
      </c>
      <c r="I238" s="58">
        <f>'כרמית '!H17+280000</f>
        <v>941000</v>
      </c>
      <c r="J238" s="91"/>
    </row>
    <row r="239" spans="1:10" ht="15">
      <c r="A239" s="453" t="s">
        <v>228</v>
      </c>
      <c r="B239" s="453"/>
      <c r="C239" s="453">
        <v>999</v>
      </c>
      <c r="D239" s="453">
        <v>360000</v>
      </c>
      <c r="E239" s="453"/>
      <c r="F239" s="453"/>
      <c r="G239" s="60">
        <f>SUM(G237:G238)</f>
        <v>701000</v>
      </c>
      <c r="H239" s="60">
        <f>SUM(H237:H238)</f>
        <v>702000</v>
      </c>
      <c r="I239" s="60">
        <f>SUM(I237:I238)</f>
        <v>981000</v>
      </c>
      <c r="J239" s="92"/>
    </row>
    <row r="240" spans="1:10">
      <c r="A240" s="480" t="s">
        <v>229</v>
      </c>
      <c r="B240" s="516">
        <v>1379000690</v>
      </c>
      <c r="C240" s="480">
        <v>690</v>
      </c>
      <c r="D240" s="480">
        <v>379000</v>
      </c>
      <c r="E240" s="480">
        <v>1</v>
      </c>
      <c r="F240" s="480" t="s">
        <v>230</v>
      </c>
      <c r="G240" s="58">
        <v>500000</v>
      </c>
      <c r="H240" s="59">
        <f>VLOOKUP(B240,'אומדן 28.11.2022'!C:Q,15,0)</f>
        <v>201000</v>
      </c>
      <c r="I240" s="58">
        <f>אכיפה!E7</f>
        <v>400000</v>
      </c>
      <c r="J240" s="91"/>
    </row>
    <row r="241" spans="1:10" ht="15">
      <c r="A241" s="453" t="s">
        <v>231</v>
      </c>
      <c r="B241" s="453"/>
      <c r="C241" s="453">
        <v>999</v>
      </c>
      <c r="D241" s="453">
        <v>379000</v>
      </c>
      <c r="E241" s="453"/>
      <c r="F241" s="453" t="s">
        <v>230</v>
      </c>
      <c r="G241" s="60">
        <f>SUM(G240)</f>
        <v>500000</v>
      </c>
      <c r="H241" s="60">
        <f>SUM(H240)</f>
        <v>201000</v>
      </c>
      <c r="I241" s="60">
        <f>SUM(I240)</f>
        <v>400000</v>
      </c>
      <c r="J241" s="92"/>
    </row>
    <row r="242" spans="1:10">
      <c r="A242" s="480" t="s">
        <v>232</v>
      </c>
      <c r="B242" s="516">
        <v>1413100210</v>
      </c>
      <c r="C242" s="480">
        <v>210</v>
      </c>
      <c r="D242" s="480">
        <v>413100</v>
      </c>
      <c r="E242" s="480">
        <v>1</v>
      </c>
      <c r="F242" s="480" t="s">
        <v>233</v>
      </c>
      <c r="G242" s="58">
        <v>10000</v>
      </c>
      <c r="H242" s="59">
        <f>VLOOKUP(B242,'אומדן 28.11.2022'!C:Q,15,0)</f>
        <v>11000</v>
      </c>
      <c r="I242" s="58">
        <f>G242</f>
        <v>10000</v>
      </c>
      <c r="J242" s="91"/>
    </row>
    <row r="243" spans="1:10" ht="15">
      <c r="A243" s="453" t="s">
        <v>234</v>
      </c>
      <c r="B243" s="453"/>
      <c r="C243" s="453">
        <v>999</v>
      </c>
      <c r="D243" s="453">
        <v>413000</v>
      </c>
      <c r="E243" s="453"/>
      <c r="F243" s="453"/>
      <c r="G243" s="60">
        <f>SUM(G242:G242)</f>
        <v>10000</v>
      </c>
      <c r="H243" s="60">
        <f>SUM(H242:H242)</f>
        <v>11000</v>
      </c>
      <c r="I243" s="60">
        <f>SUM(I242:I242)</f>
        <v>10000</v>
      </c>
      <c r="J243" s="92"/>
    </row>
    <row r="244" spans="1:10">
      <c r="A244" s="480" t="s">
        <v>235</v>
      </c>
      <c r="B244" s="516">
        <v>1433000640</v>
      </c>
      <c r="C244" s="480">
        <v>640</v>
      </c>
      <c r="D244" s="480">
        <v>433000</v>
      </c>
      <c r="E244" s="480">
        <v>1</v>
      </c>
      <c r="F244" s="480" t="s">
        <v>236</v>
      </c>
      <c r="G244" s="58">
        <v>900000</v>
      </c>
      <c r="H244" s="59">
        <f>VLOOKUP(B244,'אומדן 28.11.2022'!C:Q,15,0)</f>
        <v>1101000</v>
      </c>
      <c r="I244" s="58">
        <f>1100000-100000</f>
        <v>1000000</v>
      </c>
      <c r="J244" s="91"/>
    </row>
    <row r="245" spans="1:10" ht="15">
      <c r="A245" s="453" t="s">
        <v>237</v>
      </c>
      <c r="B245" s="453"/>
      <c r="C245" s="453">
        <v>999</v>
      </c>
      <c r="D245" s="453">
        <v>433000</v>
      </c>
      <c r="E245" s="453"/>
      <c r="F245" s="453"/>
      <c r="G245" s="60">
        <f>SUM(G244)</f>
        <v>900000</v>
      </c>
      <c r="H245" s="60">
        <f>SUM(H244)</f>
        <v>1101000</v>
      </c>
      <c r="I245" s="60">
        <f>SUM(I244)</f>
        <v>1000000</v>
      </c>
      <c r="J245" s="92"/>
    </row>
    <row r="246" spans="1:10">
      <c r="A246" s="480" t="s">
        <v>238</v>
      </c>
      <c r="B246" s="516">
        <v>1437000220</v>
      </c>
      <c r="C246" s="480">
        <v>220</v>
      </c>
      <c r="D246" s="480">
        <v>437000</v>
      </c>
      <c r="E246" s="480">
        <v>1</v>
      </c>
      <c r="F246" s="480" t="s">
        <v>239</v>
      </c>
      <c r="G246" s="58">
        <v>120000</v>
      </c>
      <c r="H246" s="59">
        <f>VLOOKUP(B246,'אומדן 28.11.2022'!C:Q,15,0)</f>
        <v>22000</v>
      </c>
      <c r="I246" s="58">
        <v>50000</v>
      </c>
      <c r="J246" s="91"/>
    </row>
    <row r="247" spans="1:10" ht="15">
      <c r="A247" s="453" t="s">
        <v>240</v>
      </c>
      <c r="B247" s="453"/>
      <c r="C247" s="453">
        <v>999</v>
      </c>
      <c r="D247" s="453">
        <v>433000</v>
      </c>
      <c r="E247" s="453"/>
      <c r="F247" s="453"/>
      <c r="G247" s="60">
        <f>SUM(G246)</f>
        <v>120000</v>
      </c>
      <c r="H247" s="60">
        <f>SUM(H246)</f>
        <v>22000</v>
      </c>
      <c r="I247" s="60">
        <f>SUM(I246)</f>
        <v>50000</v>
      </c>
      <c r="J247" s="92"/>
    </row>
    <row r="248" spans="1:10">
      <c r="A248" s="480" t="s">
        <v>241</v>
      </c>
      <c r="B248" s="516">
        <v>1443200610</v>
      </c>
      <c r="C248" s="480">
        <v>610</v>
      </c>
      <c r="D248" s="480">
        <v>443200</v>
      </c>
      <c r="E248" s="480">
        <v>1</v>
      </c>
      <c r="F248" s="480" t="s">
        <v>242</v>
      </c>
      <c r="G248" s="58">
        <v>7500000</v>
      </c>
      <c r="H248" s="59">
        <f>VLOOKUP(B248,'אומדן 28.11.2022'!C:Q,15,0)</f>
        <v>7400000</v>
      </c>
      <c r="I248" s="58">
        <v>7800000</v>
      </c>
      <c r="J248" s="91" t="s">
        <v>4</v>
      </c>
    </row>
    <row r="249" spans="1:10" ht="15">
      <c r="A249" s="453" t="s">
        <v>243</v>
      </c>
      <c r="B249" s="453"/>
      <c r="C249" s="453">
        <v>999</v>
      </c>
      <c r="D249" s="453">
        <v>443200</v>
      </c>
      <c r="E249" s="453"/>
      <c r="F249" s="453"/>
      <c r="G249" s="60">
        <f>SUM(G248)</f>
        <v>7500000</v>
      </c>
      <c r="H249" s="60">
        <f>SUM(H248)</f>
        <v>7400000</v>
      </c>
      <c r="I249" s="60">
        <f>SUM(I248)</f>
        <v>7800000</v>
      </c>
      <c r="J249" s="92"/>
    </row>
    <row r="250" spans="1:10">
      <c r="A250" s="480" t="s">
        <v>244</v>
      </c>
      <c r="B250" s="516">
        <v>1472000210</v>
      </c>
      <c r="C250" s="480">
        <v>210</v>
      </c>
      <c r="D250" s="480">
        <v>472000</v>
      </c>
      <c r="E250" s="480">
        <v>1</v>
      </c>
      <c r="F250" s="480" t="s">
        <v>245</v>
      </c>
      <c r="G250" s="58">
        <v>10000</v>
      </c>
      <c r="H250" s="59">
        <f>VLOOKUP(B250,'אומדן 28.11.2022'!C:Q,15,0)</f>
        <v>28000</v>
      </c>
      <c r="I250" s="58">
        <v>20000</v>
      </c>
      <c r="J250" s="91"/>
    </row>
    <row r="251" spans="1:10" ht="15">
      <c r="A251" s="453" t="s">
        <v>246</v>
      </c>
      <c r="B251" s="453"/>
      <c r="C251" s="453">
        <v>999</v>
      </c>
      <c r="D251" s="453">
        <v>472000</v>
      </c>
      <c r="E251" s="453"/>
      <c r="F251" s="453"/>
      <c r="G251" s="60">
        <f>SUM(G250)</f>
        <v>10000</v>
      </c>
      <c r="H251" s="60">
        <f>SUM(H250)</f>
        <v>28000</v>
      </c>
      <c r="I251" s="60">
        <f>SUM(I250)</f>
        <v>20000</v>
      </c>
      <c r="J251" s="92"/>
    </row>
    <row r="252" spans="1:10">
      <c r="A252" s="480" t="s">
        <v>247</v>
      </c>
      <c r="B252" s="516">
        <v>1511000660</v>
      </c>
      <c r="C252" s="480">
        <v>660</v>
      </c>
      <c r="D252" s="480">
        <v>511000</v>
      </c>
      <c r="E252" s="480">
        <v>1</v>
      </c>
      <c r="F252" s="480" t="s">
        <v>248</v>
      </c>
      <c r="G252" s="58">
        <v>420000</v>
      </c>
      <c r="H252" s="59">
        <f>VLOOKUP(B252,'אומדן 28.11.2022'!C:Q,15,0)</f>
        <v>388000</v>
      </c>
      <c r="I252" s="58">
        <f>G252</f>
        <v>420000</v>
      </c>
      <c r="J252" s="91" t="s">
        <v>4</v>
      </c>
    </row>
    <row r="253" spans="1:10">
      <c r="A253" s="480"/>
      <c r="B253" s="516">
        <v>1513000690</v>
      </c>
      <c r="C253" s="480">
        <v>690</v>
      </c>
      <c r="D253" s="480">
        <v>513000</v>
      </c>
      <c r="E253" s="480">
        <v>1</v>
      </c>
      <c r="F253" s="480" t="s">
        <v>249</v>
      </c>
      <c r="G253" s="58">
        <v>100000</v>
      </c>
      <c r="H253" s="59">
        <f>VLOOKUP(B253,'אומדן 28.11.2022'!C:Q,15,0)</f>
        <v>0</v>
      </c>
      <c r="I253" s="58">
        <v>0</v>
      </c>
      <c r="J253" s="91"/>
    </row>
    <row r="254" spans="1:10" ht="15">
      <c r="A254" s="453" t="s">
        <v>250</v>
      </c>
      <c r="B254" s="453"/>
      <c r="C254" s="453">
        <v>999</v>
      </c>
      <c r="D254" s="453">
        <v>510000</v>
      </c>
      <c r="E254" s="453"/>
      <c r="F254" s="453"/>
      <c r="G254" s="60">
        <f>SUM(G252:G253)</f>
        <v>520000</v>
      </c>
      <c r="H254" s="60">
        <f>SUM(H252:H253)</f>
        <v>388000</v>
      </c>
      <c r="I254" s="60">
        <f>SUM(I252:I253)</f>
        <v>420000</v>
      </c>
      <c r="J254" s="92"/>
    </row>
    <row r="255" spans="1:10">
      <c r="A255" s="480" t="s">
        <v>251</v>
      </c>
      <c r="B255" s="516">
        <v>1591000540</v>
      </c>
      <c r="C255" s="480">
        <v>540</v>
      </c>
      <c r="D255" s="480">
        <v>591000</v>
      </c>
      <c r="E255" s="480">
        <v>1</v>
      </c>
      <c r="F255" s="480" t="s">
        <v>252</v>
      </c>
      <c r="G255" s="58">
        <v>400000</v>
      </c>
      <c r="H255" s="59">
        <f>VLOOKUP(B255,'אומדן 28.11.2022'!C:Q,15,0)</f>
        <v>434000</v>
      </c>
      <c r="I255" s="58">
        <f>G255+100000+160</f>
        <v>500160</v>
      </c>
      <c r="J255" s="91"/>
    </row>
    <row r="256" spans="1:10">
      <c r="A256" s="480"/>
      <c r="B256" s="516">
        <v>1591900540</v>
      </c>
      <c r="C256" s="480">
        <v>540</v>
      </c>
      <c r="D256" s="480">
        <v>591900</v>
      </c>
      <c r="E256" s="480">
        <v>1</v>
      </c>
      <c r="F256" s="480" t="s">
        <v>253</v>
      </c>
      <c r="G256" s="58">
        <v>50000</v>
      </c>
      <c r="H256" s="59">
        <f>VLOOKUP(B256,'אומדן 28.11.2022'!C:Q,15,0)</f>
        <v>3000</v>
      </c>
      <c r="I256" s="58">
        <f>G256</f>
        <v>50000</v>
      </c>
      <c r="J256" s="91"/>
    </row>
    <row r="257" spans="1:10" s="730" customFormat="1">
      <c r="A257" s="480"/>
      <c r="B257" s="516">
        <v>1591900590</v>
      </c>
      <c r="C257" s="480">
        <v>590</v>
      </c>
      <c r="D257" s="480">
        <v>591900</v>
      </c>
      <c r="E257" s="544">
        <v>1</v>
      </c>
      <c r="F257" s="480" t="s">
        <v>254</v>
      </c>
      <c r="G257" s="58">
        <v>34891000</v>
      </c>
      <c r="H257" s="59">
        <f>VLOOKUP(B257,'אומדן 28.11.2022'!C:Q,15,0)+33000</f>
        <v>28029000</v>
      </c>
      <c r="I257" s="58">
        <f>ROUND(I271,-3)+10000</f>
        <v>37003000</v>
      </c>
      <c r="J257" s="91"/>
    </row>
    <row r="258" spans="1:10">
      <c r="A258" s="480"/>
      <c r="B258" s="516">
        <v>1591900690</v>
      </c>
      <c r="C258" s="480">
        <v>690</v>
      </c>
      <c r="D258" s="480">
        <v>591900</v>
      </c>
      <c r="E258" s="480">
        <v>1</v>
      </c>
      <c r="F258" s="480" t="s">
        <v>255</v>
      </c>
      <c r="G258" s="58">
        <v>60000</v>
      </c>
      <c r="H258" s="59">
        <f>VLOOKUP(B258,'אומדן 28.11.2022'!C:Q,15,0)</f>
        <v>93000</v>
      </c>
      <c r="I258" s="58">
        <v>90000.4</v>
      </c>
      <c r="J258" s="91"/>
    </row>
    <row r="259" spans="1:10" s="566" customFormat="1">
      <c r="A259" s="480"/>
      <c r="B259" s="516">
        <v>1591900910</v>
      </c>
      <c r="C259" s="480">
        <v>910</v>
      </c>
      <c r="D259" s="480">
        <v>591900</v>
      </c>
      <c r="E259" s="480"/>
      <c r="F259" s="480" t="s">
        <v>3174</v>
      </c>
      <c r="G259" s="58">
        <v>0</v>
      </c>
      <c r="H259" s="59">
        <v>0</v>
      </c>
      <c r="I259" s="58">
        <v>400000</v>
      </c>
      <c r="J259" s="91"/>
    </row>
    <row r="260" spans="1:10">
      <c r="A260" s="480"/>
      <c r="B260" s="516">
        <v>1594000690</v>
      </c>
      <c r="C260" s="480">
        <v>690</v>
      </c>
      <c r="D260" s="480">
        <v>594000</v>
      </c>
      <c r="E260" s="480">
        <v>1</v>
      </c>
      <c r="F260" s="480" t="s">
        <v>256</v>
      </c>
      <c r="G260" s="58">
        <v>500000</v>
      </c>
      <c r="H260" s="59">
        <f>VLOOKUP(B260,'אומדן 28.11.2022'!C:Q,15,0)</f>
        <v>240000</v>
      </c>
      <c r="I260" s="58">
        <v>400000</v>
      </c>
      <c r="J260" s="91"/>
    </row>
    <row r="261" spans="1:10" s="566" customFormat="1">
      <c r="A261" s="480"/>
      <c r="B261" s="516">
        <v>1594000740</v>
      </c>
      <c r="C261" s="480">
        <v>740</v>
      </c>
      <c r="D261" s="480">
        <v>594000</v>
      </c>
      <c r="E261" s="480"/>
      <c r="F261" s="480" t="s">
        <v>47</v>
      </c>
      <c r="G261" s="58">
        <v>0</v>
      </c>
      <c r="H261" s="59">
        <v>0</v>
      </c>
      <c r="I261" s="58">
        <v>1600000</v>
      </c>
      <c r="J261" s="91" t="s">
        <v>3515</v>
      </c>
    </row>
    <row r="262" spans="1:10">
      <c r="A262" s="480"/>
      <c r="B262" s="516">
        <v>1599900910</v>
      </c>
      <c r="C262" s="480">
        <v>910</v>
      </c>
      <c r="D262" s="480">
        <v>599900</v>
      </c>
      <c r="E262" s="480">
        <v>1</v>
      </c>
      <c r="F262" s="480" t="s">
        <v>257</v>
      </c>
      <c r="G262" s="58">
        <v>6000000</v>
      </c>
      <c r="H262" s="59">
        <f>VLOOKUP(B262,'אומדן 28.11.2022'!C:Q,15,0)</f>
        <v>599000</v>
      </c>
      <c r="I262" s="58">
        <f>500000+150000</f>
        <v>650000</v>
      </c>
      <c r="J262" s="91"/>
    </row>
    <row r="263" spans="1:10" ht="15">
      <c r="A263" s="453" t="s">
        <v>258</v>
      </c>
      <c r="B263" s="453"/>
      <c r="C263" s="453">
        <v>999</v>
      </c>
      <c r="D263" s="453">
        <v>590000</v>
      </c>
      <c r="E263" s="453"/>
      <c r="F263" s="453"/>
      <c r="G263" s="60">
        <f>SUM(G255:G262)</f>
        <v>41901000</v>
      </c>
      <c r="H263" s="60">
        <f>SUM(H255:H262)</f>
        <v>29398000</v>
      </c>
      <c r="I263" s="60">
        <f>SUM(I255:I262)</f>
        <v>40693160.399999999</v>
      </c>
      <c r="J263" s="92"/>
    </row>
    <row r="264" spans="1:10" ht="15">
      <c r="A264" s="65"/>
      <c r="B264" s="65"/>
      <c r="C264" s="65">
        <v>0</v>
      </c>
      <c r="D264" s="65"/>
      <c r="E264" s="234">
        <v>1</v>
      </c>
      <c r="F264" s="65" t="s">
        <v>4</v>
      </c>
      <c r="G264" s="98">
        <f>SUM(G3:G263)</f>
        <v>1586263999.5500002</v>
      </c>
      <c r="H264" s="98">
        <f>SUM(H3:H263)</f>
        <v>1577414000</v>
      </c>
      <c r="I264" s="98">
        <f>SUM(I3:I263)</f>
        <v>1676119999.7569063</v>
      </c>
      <c r="J264" s="94"/>
    </row>
    <row r="265" spans="1:10" ht="18">
      <c r="A265" s="66" t="s">
        <v>259</v>
      </c>
      <c r="B265" s="66"/>
      <c r="C265" s="66">
        <v>999</v>
      </c>
      <c r="D265" s="66"/>
      <c r="E265" s="66"/>
      <c r="F265" s="66"/>
      <c r="G265" s="99">
        <f>+G264/2</f>
        <v>793131999.7750001</v>
      </c>
      <c r="H265" s="99">
        <f>+H264/2</f>
        <v>788707000</v>
      </c>
      <c r="I265" s="99">
        <f>+I264/2</f>
        <v>838059999.87845314</v>
      </c>
      <c r="J265" s="95"/>
    </row>
    <row r="266" spans="1:10" ht="18">
      <c r="A266" s="2" t="s">
        <v>260</v>
      </c>
      <c r="B266" s="2"/>
      <c r="C266" s="2"/>
      <c r="D266" s="2"/>
      <c r="E266" s="234">
        <v>1</v>
      </c>
      <c r="F266" s="2"/>
      <c r="G266" s="100">
        <f>+G265-'הוצאות '!G691</f>
        <v>1.5000104904174805E-2</v>
      </c>
      <c r="H266" s="100">
        <f>+H265-'הוצאות '!H691</f>
        <v>-1196700</v>
      </c>
      <c r="I266" s="100">
        <f>(+I265-'הוצאות '!I691)</f>
        <v>6.8452954292297363E-2</v>
      </c>
      <c r="J266" s="94"/>
    </row>
    <row r="267" spans="1:10">
      <c r="A267" s="1" t="s">
        <v>261</v>
      </c>
      <c r="B267" s="1"/>
      <c r="C267" s="1"/>
      <c r="D267" s="1"/>
      <c r="E267" s="234">
        <v>1</v>
      </c>
      <c r="F267" s="3"/>
      <c r="G267" s="41">
        <f>19082913-13</f>
        <v>19082900</v>
      </c>
      <c r="H267" s="5">
        <v>11271354</v>
      </c>
      <c r="I267" s="41">
        <f>מלוות!T550</f>
        <v>20078926.060000002</v>
      </c>
      <c r="J267" s="96"/>
    </row>
    <row r="268" spans="1:10">
      <c r="A268" s="1" t="s">
        <v>262</v>
      </c>
      <c r="B268" s="1"/>
      <c r="C268" s="1"/>
      <c r="D268" s="1"/>
      <c r="E268" s="234">
        <v>1</v>
      </c>
      <c r="F268" s="6"/>
      <c r="G268" s="4">
        <v>19294000</v>
      </c>
      <c r="H268" s="4">
        <f>+'הוצאות '!H175+'הוצאות '!H179+'הוצאות '!H182+'הוצאות '!H187+'הוצאות '!H190</f>
        <v>16410000</v>
      </c>
      <c r="I268" s="4">
        <f>'הוצאות '!I175+'הוצאות '!I179+'הוצאות '!I182+'הוצאות '!I187+'הוצאות '!I190</f>
        <v>20533813.199999999</v>
      </c>
      <c r="J268" s="96"/>
    </row>
    <row r="269" spans="1:10">
      <c r="A269" s="1" t="s">
        <v>263</v>
      </c>
      <c r="B269" s="1"/>
      <c r="C269" s="1"/>
      <c r="D269" s="1"/>
      <c r="E269" s="234">
        <v>1</v>
      </c>
      <c r="F269" s="7"/>
      <c r="G269" s="4">
        <f>+G268*0.15</f>
        <v>2894100</v>
      </c>
      <c r="H269" s="4">
        <f>+H268*0.15</f>
        <v>2461500</v>
      </c>
      <c r="I269" s="4">
        <f>+I268*0.15</f>
        <v>3080071.98</v>
      </c>
      <c r="J269" s="96"/>
    </row>
    <row r="270" spans="1:10">
      <c r="A270" s="1" t="s">
        <v>264</v>
      </c>
      <c r="B270" s="1"/>
      <c r="C270" s="1"/>
      <c r="D270" s="1"/>
      <c r="E270" s="234">
        <v>1</v>
      </c>
      <c r="F270" s="7"/>
      <c r="G270" s="4">
        <f>G25</f>
        <v>6380000</v>
      </c>
      <c r="H270" s="4">
        <f>+H25</f>
        <v>5607000</v>
      </c>
      <c r="I270" s="4">
        <f>I25</f>
        <v>6700000</v>
      </c>
      <c r="J270" s="96"/>
    </row>
    <row r="271" spans="1:10">
      <c r="A271" s="1" t="s">
        <v>265</v>
      </c>
      <c r="B271" s="1"/>
      <c r="C271" s="1"/>
      <c r="D271" s="1"/>
      <c r="E271" s="234">
        <v>1</v>
      </c>
      <c r="F271" s="7"/>
      <c r="G271" s="4">
        <f>+G267+G268+G269-G270</f>
        <v>34891000</v>
      </c>
      <c r="H271" s="4">
        <f>+H267+H268+H269-H270</f>
        <v>24535854</v>
      </c>
      <c r="I271" s="4">
        <f>+I267+I268+I269-I270</f>
        <v>36992811.240000002</v>
      </c>
      <c r="J271" s="96"/>
    </row>
    <row r="275" spans="2:10">
      <c r="B275"/>
      <c r="E275"/>
      <c r="F275" s="618"/>
      <c r="G275" s="622"/>
      <c r="H275" s="618"/>
      <c r="I275" s="618"/>
      <c r="J275"/>
    </row>
    <row r="276" spans="2:10">
      <c r="B276"/>
      <c r="E276"/>
      <c r="F276" s="618"/>
      <c r="G276" s="618"/>
      <c r="H276" s="618"/>
      <c r="I276" s="618"/>
      <c r="J276"/>
    </row>
    <row r="277" spans="2:10">
      <c r="B277"/>
      <c r="E277"/>
      <c r="F277" s="618"/>
      <c r="G277" s="622"/>
      <c r="H277" s="618"/>
      <c r="I277" s="618"/>
      <c r="J277"/>
    </row>
    <row r="278" spans="2:10">
      <c r="B278"/>
      <c r="E278"/>
      <c r="F278" s="618"/>
      <c r="G278" s="622"/>
      <c r="H278" s="1044"/>
      <c r="I278" s="618"/>
      <c r="J278"/>
    </row>
    <row r="279" spans="2:10">
      <c r="B279"/>
      <c r="E279"/>
      <c r="F279" s="618"/>
      <c r="G279" s="622"/>
      <c r="H279" s="618"/>
      <c r="I279" s="618"/>
      <c r="J279"/>
    </row>
    <row r="280" spans="2:10">
      <c r="B280"/>
      <c r="E280"/>
      <c r="F280" s="618"/>
      <c r="G280" s="618"/>
      <c r="H280" s="618"/>
      <c r="I280" s="618"/>
      <c r="J280"/>
    </row>
    <row r="281" spans="2:10">
      <c r="B281"/>
      <c r="E281"/>
      <c r="F281" s="618"/>
      <c r="G281" s="618"/>
      <c r="H281" s="618"/>
      <c r="I281" s="622"/>
      <c r="J281"/>
    </row>
  </sheetData>
  <autoFilter ref="A2:J271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86" firstPageNumber="8" fitToHeight="0" orientation="landscape" useFirstPageNumber="1" r:id="rId1"/>
  <headerFooter>
    <oddFooter>&amp;L&amp;P&amp;Cלאישור מועצת העיר</oddFooter>
  </headerFooter>
  <rowBreaks count="7" manualBreakCount="7">
    <brk id="38" max="9" man="1"/>
    <brk id="74" max="9" man="1"/>
    <brk id="106" max="9" man="1"/>
    <brk id="141" max="9" man="1"/>
    <brk id="177" max="9" man="1"/>
    <brk id="215" max="9" man="1"/>
    <brk id="247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FF"/>
    <pageSetUpPr fitToPage="1"/>
  </sheetPr>
  <dimension ref="A1:XER720"/>
  <sheetViews>
    <sheetView rightToLeft="1" view="pageBreakPreview" topLeftCell="A275" zoomScale="80" zoomScaleNormal="100" zoomScaleSheetLayoutView="80" workbookViewId="0">
      <selection activeCell="F295" sqref="F295"/>
    </sheetView>
  </sheetViews>
  <sheetFormatPr defaultRowHeight="14.25"/>
  <cols>
    <col min="1" max="1" width="21.5" customWidth="1"/>
    <col min="2" max="2" width="13.25" style="233" customWidth="1"/>
    <col min="3" max="3" width="5" hidden="1" customWidth="1"/>
    <col min="4" max="4" width="8.875" hidden="1" customWidth="1"/>
    <col min="5" max="5" width="5.625" style="233" hidden="1" customWidth="1"/>
    <col min="6" max="6" width="36" bestFit="1" customWidth="1"/>
    <col min="7" max="8" width="16.125" customWidth="1"/>
    <col min="9" max="9" width="19.625" style="41" bestFit="1" customWidth="1"/>
    <col min="10" max="10" width="36.25" customWidth="1"/>
    <col min="11" max="11" width="11.75" bestFit="1" customWidth="1"/>
    <col min="12" max="13" width="10.625" bestFit="1" customWidth="1"/>
    <col min="14" max="14" width="10.875" bestFit="1" customWidth="1"/>
  </cols>
  <sheetData>
    <row r="1" spans="1:14" s="267" customFormat="1" ht="23.25">
      <c r="A1" s="1109" t="s">
        <v>270</v>
      </c>
      <c r="B1" s="1110"/>
      <c r="C1" s="1110"/>
      <c r="D1" s="1110"/>
      <c r="E1" s="1110"/>
      <c r="F1" s="1110"/>
      <c r="G1" s="1110"/>
      <c r="H1" s="1110"/>
      <c r="I1" s="1110"/>
      <c r="J1" s="1111"/>
    </row>
    <row r="2" spans="1:14" s="267" customFormat="1" ht="23.25">
      <c r="A2" s="268" t="s">
        <v>1</v>
      </c>
      <c r="B2" s="275" t="s">
        <v>2</v>
      </c>
      <c r="C2" s="269" t="s">
        <v>2</v>
      </c>
      <c r="D2" s="269" t="s">
        <v>4</v>
      </c>
      <c r="E2" s="269"/>
      <c r="F2" s="270" t="s">
        <v>271</v>
      </c>
      <c r="G2" s="271" t="s">
        <v>2185</v>
      </c>
      <c r="H2" s="914" t="s">
        <v>3562</v>
      </c>
      <c r="I2" s="914" t="s">
        <v>3715</v>
      </c>
      <c r="J2" s="273" t="s">
        <v>5</v>
      </c>
    </row>
    <row r="3" spans="1:14" s="43" customFormat="1">
      <c r="A3" s="480" t="s">
        <v>272</v>
      </c>
      <c r="B3" s="516">
        <v>1611000110</v>
      </c>
      <c r="C3" s="480">
        <v>110</v>
      </c>
      <c r="D3" s="480">
        <v>611000</v>
      </c>
      <c r="E3" s="480">
        <v>1</v>
      </c>
      <c r="F3" s="480" t="s">
        <v>273</v>
      </c>
      <c r="G3" s="58">
        <v>3180000</v>
      </c>
      <c r="H3" s="63">
        <v>3607000</v>
      </c>
      <c r="I3" s="63">
        <v>3736000</v>
      </c>
      <c r="J3" s="42" t="s">
        <v>274</v>
      </c>
      <c r="K3" s="969"/>
      <c r="N3" s="478"/>
    </row>
    <row r="4" spans="1:14">
      <c r="A4" s="970"/>
      <c r="B4" s="1049">
        <v>1611000511</v>
      </c>
      <c r="C4" s="970">
        <v>511</v>
      </c>
      <c r="D4" s="970">
        <v>611000</v>
      </c>
      <c r="E4" s="970">
        <v>1</v>
      </c>
      <c r="F4" s="970" t="s">
        <v>275</v>
      </c>
      <c r="G4" s="67">
        <v>34000</v>
      </c>
      <c r="H4" s="915">
        <v>18000</v>
      </c>
      <c r="I4" s="915">
        <v>34000</v>
      </c>
      <c r="J4" s="230" t="s">
        <v>276</v>
      </c>
      <c r="K4" s="969"/>
      <c r="N4" s="478"/>
    </row>
    <row r="5" spans="1:14">
      <c r="A5" s="970"/>
      <c r="B5" s="1049">
        <v>1611000530</v>
      </c>
      <c r="C5" s="970">
        <v>530</v>
      </c>
      <c r="D5" s="970">
        <v>611000</v>
      </c>
      <c r="E5" s="970">
        <v>1</v>
      </c>
      <c r="F5" s="970" t="s">
        <v>277</v>
      </c>
      <c r="G5" s="67">
        <v>90000</v>
      </c>
      <c r="H5" s="915">
        <v>105000</v>
      </c>
      <c r="I5" s="915">
        <v>100000</v>
      </c>
      <c r="J5" s="230" t="s">
        <v>278</v>
      </c>
      <c r="K5" s="969"/>
      <c r="N5" s="478"/>
    </row>
    <row r="6" spans="1:14">
      <c r="A6" s="970"/>
      <c r="B6" s="1049">
        <v>1611000540</v>
      </c>
      <c r="C6" s="970">
        <v>540</v>
      </c>
      <c r="D6" s="970">
        <v>611000</v>
      </c>
      <c r="E6" s="970">
        <v>1</v>
      </c>
      <c r="F6" s="970" t="s">
        <v>279</v>
      </c>
      <c r="G6" s="67">
        <v>3000</v>
      </c>
      <c r="H6" s="915">
        <v>3000</v>
      </c>
      <c r="I6" s="915">
        <v>3000</v>
      </c>
      <c r="J6" s="230" t="s">
        <v>4</v>
      </c>
      <c r="K6" s="969"/>
      <c r="N6" s="478"/>
    </row>
    <row r="7" spans="1:14">
      <c r="A7" s="970"/>
      <c r="B7" s="1049">
        <v>1611000780</v>
      </c>
      <c r="C7" s="970">
        <v>780</v>
      </c>
      <c r="D7" s="970">
        <v>611000</v>
      </c>
      <c r="E7" s="970">
        <v>1</v>
      </c>
      <c r="F7" s="970" t="s">
        <v>280</v>
      </c>
      <c r="G7" s="67">
        <v>55000</v>
      </c>
      <c r="H7" s="915">
        <v>55000</v>
      </c>
      <c r="I7" s="915">
        <v>55000</v>
      </c>
      <c r="J7" s="230" t="s">
        <v>281</v>
      </c>
      <c r="K7" s="969"/>
      <c r="N7" s="478"/>
    </row>
    <row r="8" spans="1:14" ht="15">
      <c r="A8" s="68" t="s">
        <v>282</v>
      </c>
      <c r="B8" s="920"/>
      <c r="C8" s="68">
        <v>999</v>
      </c>
      <c r="D8" s="68">
        <v>611000</v>
      </c>
      <c r="E8" s="970">
        <v>1</v>
      </c>
      <c r="F8" s="68"/>
      <c r="G8" s="69">
        <v>3362000</v>
      </c>
      <c r="H8" s="945">
        <v>3788000</v>
      </c>
      <c r="I8" s="916">
        <v>3928000</v>
      </c>
      <c r="J8" s="1050"/>
      <c r="K8" s="969"/>
      <c r="N8" s="478"/>
    </row>
    <row r="9" spans="1:14" s="448" customFormat="1">
      <c r="A9" s="970" t="s">
        <v>283</v>
      </c>
      <c r="B9" s="516">
        <v>1611100110</v>
      </c>
      <c r="C9" s="970">
        <v>110</v>
      </c>
      <c r="D9" s="970">
        <v>611100</v>
      </c>
      <c r="E9" s="480">
        <v>1</v>
      </c>
      <c r="F9" s="970" t="s">
        <v>284</v>
      </c>
      <c r="G9" s="67">
        <v>4267000</v>
      </c>
      <c r="H9" s="915">
        <v>4481000</v>
      </c>
      <c r="I9" s="915">
        <v>3885000</v>
      </c>
      <c r="J9" s="230" t="s">
        <v>274</v>
      </c>
      <c r="K9" s="969"/>
      <c r="N9" s="478"/>
    </row>
    <row r="10" spans="1:14">
      <c r="A10" s="970"/>
      <c r="B10" s="1049">
        <v>1611100440</v>
      </c>
      <c r="C10" s="970">
        <v>440</v>
      </c>
      <c r="D10" s="970">
        <v>611100</v>
      </c>
      <c r="E10" s="970">
        <v>1</v>
      </c>
      <c r="F10" s="970" t="s">
        <v>285</v>
      </c>
      <c r="G10" s="67">
        <v>170000</v>
      </c>
      <c r="H10" s="915">
        <v>207000</v>
      </c>
      <c r="I10" s="915">
        <v>250000</v>
      </c>
      <c r="J10" s="230"/>
      <c r="K10" s="969"/>
      <c r="N10" s="478"/>
    </row>
    <row r="11" spans="1:14">
      <c r="A11" s="970"/>
      <c r="B11" s="1049">
        <v>1611100511</v>
      </c>
      <c r="C11" s="970">
        <v>511</v>
      </c>
      <c r="D11" s="970">
        <v>611100</v>
      </c>
      <c r="E11" s="970">
        <v>1</v>
      </c>
      <c r="F11" s="970" t="s">
        <v>275</v>
      </c>
      <c r="G11" s="67">
        <v>40000</v>
      </c>
      <c r="H11" s="915">
        <v>40000</v>
      </c>
      <c r="I11" s="915">
        <v>40000</v>
      </c>
      <c r="J11" s="230" t="s">
        <v>286</v>
      </c>
      <c r="K11" s="969"/>
      <c r="N11" s="478"/>
    </row>
    <row r="12" spans="1:14">
      <c r="A12" s="970"/>
      <c r="B12" s="1049">
        <v>1611100530</v>
      </c>
      <c r="C12" s="970">
        <v>530</v>
      </c>
      <c r="D12" s="970">
        <v>611100</v>
      </c>
      <c r="E12" s="970">
        <v>1</v>
      </c>
      <c r="F12" s="970" t="s">
        <v>277</v>
      </c>
      <c r="G12" s="67">
        <v>120000</v>
      </c>
      <c r="H12" s="915">
        <v>95000</v>
      </c>
      <c r="I12" s="915">
        <v>119999.6</v>
      </c>
      <c r="J12" s="230" t="s">
        <v>287</v>
      </c>
      <c r="K12" s="969"/>
      <c r="N12" s="478"/>
    </row>
    <row r="13" spans="1:14">
      <c r="A13" s="970"/>
      <c r="B13" s="1049">
        <v>1611100540</v>
      </c>
      <c r="C13" s="970">
        <v>540</v>
      </c>
      <c r="D13" s="970">
        <v>611100</v>
      </c>
      <c r="E13" s="970">
        <v>1</v>
      </c>
      <c r="F13" s="970" t="s">
        <v>279</v>
      </c>
      <c r="G13" s="67">
        <v>16000</v>
      </c>
      <c r="H13" s="915">
        <v>36000</v>
      </c>
      <c r="I13" s="915">
        <v>16000</v>
      </c>
      <c r="J13" s="230"/>
      <c r="K13" s="969"/>
      <c r="N13" s="478"/>
    </row>
    <row r="14" spans="1:14" s="43" customFormat="1">
      <c r="A14" s="970"/>
      <c r="B14" s="1049">
        <v>1611100750</v>
      </c>
      <c r="C14" s="970">
        <v>750</v>
      </c>
      <c r="D14" s="970">
        <v>611100</v>
      </c>
      <c r="E14" s="970">
        <v>1</v>
      </c>
      <c r="F14" s="970" t="s">
        <v>288</v>
      </c>
      <c r="G14" s="67">
        <v>300000</v>
      </c>
      <c r="H14" s="915">
        <v>295000</v>
      </c>
      <c r="I14" s="915">
        <v>500000</v>
      </c>
      <c r="J14" s="230" t="s">
        <v>3982</v>
      </c>
      <c r="K14" s="969"/>
      <c r="N14" s="478"/>
    </row>
    <row r="15" spans="1:14">
      <c r="A15" s="970"/>
      <c r="B15" s="1049">
        <v>1611100751</v>
      </c>
      <c r="C15" s="970">
        <v>751</v>
      </c>
      <c r="D15" s="970">
        <v>611100</v>
      </c>
      <c r="E15" s="970">
        <v>1</v>
      </c>
      <c r="F15" s="970" t="s">
        <v>289</v>
      </c>
      <c r="G15" s="67">
        <v>80000</v>
      </c>
      <c r="H15" s="915">
        <v>17000</v>
      </c>
      <c r="I15" s="915">
        <v>80000</v>
      </c>
      <c r="J15" s="230" t="s">
        <v>3726</v>
      </c>
      <c r="K15" s="969"/>
      <c r="N15" s="478"/>
    </row>
    <row r="16" spans="1:14">
      <c r="A16" s="970"/>
      <c r="B16" s="1049">
        <v>1611100752</v>
      </c>
      <c r="C16" s="970">
        <v>752</v>
      </c>
      <c r="D16" s="970">
        <v>611100</v>
      </c>
      <c r="E16" s="970">
        <v>1</v>
      </c>
      <c r="F16" s="970" t="s">
        <v>290</v>
      </c>
      <c r="G16" s="67">
        <v>25000</v>
      </c>
      <c r="H16" s="915">
        <v>0</v>
      </c>
      <c r="I16" s="915">
        <v>0</v>
      </c>
      <c r="J16" s="230"/>
      <c r="K16" s="969"/>
      <c r="N16" s="478"/>
    </row>
    <row r="17" spans="1:14" ht="28.5">
      <c r="A17" s="970"/>
      <c r="B17" s="1049">
        <v>1611100753</v>
      </c>
      <c r="C17" s="970">
        <v>753</v>
      </c>
      <c r="D17" s="970">
        <v>611100</v>
      </c>
      <c r="E17" s="970">
        <v>1</v>
      </c>
      <c r="F17" s="970" t="s">
        <v>3968</v>
      </c>
      <c r="G17" s="67">
        <v>210000</v>
      </c>
      <c r="H17" s="915">
        <v>210000</v>
      </c>
      <c r="I17" s="915">
        <v>210000</v>
      </c>
      <c r="J17" s="230" t="s">
        <v>3963</v>
      </c>
      <c r="K17" s="969"/>
      <c r="N17" s="478"/>
    </row>
    <row r="18" spans="1:14" ht="42.75">
      <c r="A18" s="970"/>
      <c r="B18" s="1049">
        <v>1611100754</v>
      </c>
      <c r="C18" s="970">
        <v>754</v>
      </c>
      <c r="D18" s="970">
        <v>611100</v>
      </c>
      <c r="E18" s="970">
        <v>1</v>
      </c>
      <c r="F18" s="970" t="s">
        <v>293</v>
      </c>
      <c r="G18" s="67">
        <v>200000</v>
      </c>
      <c r="H18" s="915">
        <v>316000</v>
      </c>
      <c r="I18" s="915">
        <v>200000</v>
      </c>
      <c r="J18" s="230" t="s">
        <v>2470</v>
      </c>
      <c r="K18" s="969"/>
      <c r="N18" s="478"/>
    </row>
    <row r="19" spans="1:14">
      <c r="A19" s="970"/>
      <c r="B19" s="1049">
        <v>1611100755</v>
      </c>
      <c r="C19" s="970">
        <v>755</v>
      </c>
      <c r="D19" s="970">
        <v>611100</v>
      </c>
      <c r="E19" s="970">
        <v>1</v>
      </c>
      <c r="F19" s="970" t="s">
        <v>294</v>
      </c>
      <c r="G19" s="67">
        <v>50000</v>
      </c>
      <c r="H19" s="915">
        <v>0</v>
      </c>
      <c r="I19" s="915">
        <v>50000</v>
      </c>
      <c r="J19" s="230" t="s">
        <v>2467</v>
      </c>
      <c r="K19" s="969"/>
      <c r="N19" s="478"/>
    </row>
    <row r="20" spans="1:14">
      <c r="A20" s="970"/>
      <c r="B20" s="1049">
        <v>1611100756</v>
      </c>
      <c r="C20" s="970">
        <v>756</v>
      </c>
      <c r="D20" s="970">
        <v>611100</v>
      </c>
      <c r="E20" s="970">
        <v>1</v>
      </c>
      <c r="F20" s="970" t="s">
        <v>295</v>
      </c>
      <c r="G20" s="67">
        <v>200000</v>
      </c>
      <c r="H20" s="915">
        <v>214000</v>
      </c>
      <c r="I20" s="915">
        <v>200000</v>
      </c>
      <c r="J20" s="230" t="s">
        <v>2468</v>
      </c>
      <c r="K20" s="969"/>
      <c r="N20" s="478"/>
    </row>
    <row r="21" spans="1:14">
      <c r="A21" s="970"/>
      <c r="B21" s="1049">
        <v>1611100757</v>
      </c>
      <c r="C21" s="970">
        <v>757</v>
      </c>
      <c r="D21" s="970">
        <v>611100</v>
      </c>
      <c r="E21" s="970">
        <v>1</v>
      </c>
      <c r="F21" s="970" t="s">
        <v>296</v>
      </c>
      <c r="G21" s="67">
        <v>30000</v>
      </c>
      <c r="H21" s="915">
        <v>0</v>
      </c>
      <c r="I21" s="915">
        <v>50000</v>
      </c>
      <c r="J21" s="230" t="s">
        <v>2469</v>
      </c>
      <c r="K21" s="969"/>
      <c r="N21" s="478"/>
    </row>
    <row r="22" spans="1:14" s="968" customFormat="1">
      <c r="A22" s="970"/>
      <c r="B22" s="1049">
        <v>1611100758</v>
      </c>
      <c r="C22" s="970">
        <v>758</v>
      </c>
      <c r="D22" s="970"/>
      <c r="E22" s="970"/>
      <c r="F22" s="970" t="s">
        <v>3964</v>
      </c>
      <c r="G22" s="67">
        <v>0</v>
      </c>
      <c r="H22" s="915">
        <v>0</v>
      </c>
      <c r="I22" s="915">
        <v>100000</v>
      </c>
      <c r="J22" s="230" t="s">
        <v>2469</v>
      </c>
      <c r="K22" s="969"/>
      <c r="N22" s="969"/>
    </row>
    <row r="23" spans="1:14">
      <c r="A23" s="970"/>
      <c r="B23" s="1049">
        <v>1611100780</v>
      </c>
      <c r="C23" s="970">
        <v>780</v>
      </c>
      <c r="D23" s="970">
        <v>611100</v>
      </c>
      <c r="E23" s="970">
        <v>1</v>
      </c>
      <c r="F23" s="970" t="s">
        <v>280</v>
      </c>
      <c r="G23" s="67">
        <v>130000</v>
      </c>
      <c r="H23" s="915">
        <v>130000</v>
      </c>
      <c r="I23" s="915">
        <v>130000</v>
      </c>
      <c r="J23" s="230" t="s">
        <v>297</v>
      </c>
      <c r="K23" s="969"/>
      <c r="N23" s="478"/>
    </row>
    <row r="24" spans="1:14">
      <c r="A24" s="970"/>
      <c r="B24" s="1049">
        <v>1611100781</v>
      </c>
      <c r="C24" s="970">
        <v>781</v>
      </c>
      <c r="D24" s="970">
        <v>611100</v>
      </c>
      <c r="E24" s="970">
        <v>1</v>
      </c>
      <c r="F24" s="970" t="s">
        <v>298</v>
      </c>
      <c r="G24" s="67">
        <v>70000</v>
      </c>
      <c r="H24" s="915">
        <v>44000</v>
      </c>
      <c r="I24" s="915">
        <v>0</v>
      </c>
      <c r="J24" s="230" t="s">
        <v>3547</v>
      </c>
      <c r="K24" s="969"/>
      <c r="N24" s="478"/>
    </row>
    <row r="25" spans="1:14" s="448" customFormat="1" ht="57.75" customHeight="1">
      <c r="A25" s="970"/>
      <c r="B25" s="1049">
        <v>1611100782</v>
      </c>
      <c r="C25" s="970">
        <v>782</v>
      </c>
      <c r="D25" s="970">
        <v>611100</v>
      </c>
      <c r="E25" s="970">
        <v>1</v>
      </c>
      <c r="F25" s="970" t="s">
        <v>299</v>
      </c>
      <c r="G25" s="67">
        <v>900000</v>
      </c>
      <c r="H25" s="915">
        <v>900000</v>
      </c>
      <c r="I25" s="915">
        <v>1300000</v>
      </c>
      <c r="J25" s="1042" t="s">
        <v>3972</v>
      </c>
      <c r="K25" s="969"/>
      <c r="N25" s="478"/>
    </row>
    <row r="26" spans="1:14" ht="28.5">
      <c r="A26" s="970"/>
      <c r="B26" s="1049">
        <v>1611100783</v>
      </c>
      <c r="C26" s="970">
        <v>783</v>
      </c>
      <c r="D26" s="970">
        <v>611100</v>
      </c>
      <c r="E26" s="970">
        <v>1</v>
      </c>
      <c r="F26" s="970" t="s">
        <v>300</v>
      </c>
      <c r="G26" s="67">
        <v>90000</v>
      </c>
      <c r="H26" s="915">
        <v>89000</v>
      </c>
      <c r="I26" s="915">
        <v>100000</v>
      </c>
      <c r="J26" s="230" t="s">
        <v>3523</v>
      </c>
      <c r="K26" s="969"/>
      <c r="N26" s="478"/>
    </row>
    <row r="27" spans="1:14" ht="15">
      <c r="A27" s="68" t="s">
        <v>301</v>
      </c>
      <c r="B27" s="920"/>
      <c r="C27" s="68">
        <v>999</v>
      </c>
      <c r="D27" s="68">
        <v>611100</v>
      </c>
      <c r="E27" s="970">
        <v>1</v>
      </c>
      <c r="F27" s="68"/>
      <c r="G27" s="69">
        <v>6898000</v>
      </c>
      <c r="H27" s="945">
        <v>7074000</v>
      </c>
      <c r="I27" s="916">
        <v>7230999.5999999996</v>
      </c>
      <c r="J27" s="1050"/>
      <c r="K27" s="969"/>
      <c r="N27" s="478"/>
    </row>
    <row r="28" spans="1:14" s="448" customFormat="1">
      <c r="A28" s="970" t="s">
        <v>302</v>
      </c>
      <c r="B28" s="516">
        <v>1612000110</v>
      </c>
      <c r="C28" s="970">
        <v>110</v>
      </c>
      <c r="D28" s="970">
        <v>612000</v>
      </c>
      <c r="E28" s="480">
        <v>1</v>
      </c>
      <c r="F28" s="970" t="s">
        <v>303</v>
      </c>
      <c r="G28" s="67">
        <v>899000</v>
      </c>
      <c r="H28" s="915">
        <v>912000</v>
      </c>
      <c r="I28" s="915">
        <v>946000</v>
      </c>
      <c r="J28" s="230" t="s">
        <v>274</v>
      </c>
      <c r="K28" s="969"/>
      <c r="N28" s="478"/>
    </row>
    <row r="29" spans="1:14">
      <c r="A29" s="970"/>
      <c r="B29" s="516">
        <v>1612000410</v>
      </c>
      <c r="C29" s="970">
        <v>410</v>
      </c>
      <c r="D29" s="970">
        <v>612000</v>
      </c>
      <c r="E29" s="970">
        <v>1</v>
      </c>
      <c r="F29" s="970" t="s">
        <v>304</v>
      </c>
      <c r="G29" s="67">
        <v>59000</v>
      </c>
      <c r="H29" s="915">
        <v>60000</v>
      </c>
      <c r="I29" s="915">
        <v>62000</v>
      </c>
      <c r="J29" s="230" t="s">
        <v>305</v>
      </c>
      <c r="K29" s="969"/>
      <c r="N29" s="478"/>
    </row>
    <row r="30" spans="1:14">
      <c r="A30" s="970"/>
      <c r="B30" s="516">
        <v>1612000540</v>
      </c>
      <c r="C30" s="970">
        <v>540</v>
      </c>
      <c r="D30" s="970">
        <v>612000</v>
      </c>
      <c r="E30" s="970">
        <v>1</v>
      </c>
      <c r="F30" s="970" t="s">
        <v>279</v>
      </c>
      <c r="G30" s="67">
        <v>1000</v>
      </c>
      <c r="H30" s="915">
        <v>0</v>
      </c>
      <c r="I30" s="915">
        <v>1000</v>
      </c>
      <c r="J30" s="230"/>
      <c r="K30" s="969"/>
      <c r="N30" s="478"/>
    </row>
    <row r="31" spans="1:14" s="448" customFormat="1">
      <c r="A31" s="970"/>
      <c r="B31" s="516">
        <v>1612000750</v>
      </c>
      <c r="C31" s="970">
        <v>750</v>
      </c>
      <c r="D31" s="970">
        <v>612000</v>
      </c>
      <c r="E31" s="970">
        <v>1</v>
      </c>
      <c r="F31" s="970" t="s">
        <v>306</v>
      </c>
      <c r="G31" s="67">
        <v>410000</v>
      </c>
      <c r="H31" s="915">
        <v>410000</v>
      </c>
      <c r="I31" s="915">
        <v>410000</v>
      </c>
      <c r="J31" s="1051" t="s">
        <v>307</v>
      </c>
      <c r="K31" s="969"/>
      <c r="N31" s="478"/>
    </row>
    <row r="32" spans="1:14">
      <c r="A32" s="970"/>
      <c r="B32" s="516">
        <v>1612000780</v>
      </c>
      <c r="C32" s="970">
        <v>780</v>
      </c>
      <c r="D32" s="970">
        <v>612000</v>
      </c>
      <c r="E32" s="970">
        <v>1</v>
      </c>
      <c r="F32" s="970" t="s">
        <v>280</v>
      </c>
      <c r="G32" s="67">
        <v>18000</v>
      </c>
      <c r="H32" s="915">
        <v>18000</v>
      </c>
      <c r="I32" s="915">
        <v>10000</v>
      </c>
      <c r="J32" s="230" t="s">
        <v>297</v>
      </c>
      <c r="K32" s="969"/>
      <c r="N32" s="478"/>
    </row>
    <row r="33" spans="1:14" ht="15">
      <c r="A33" s="68" t="s">
        <v>308</v>
      </c>
      <c r="B33" s="1052"/>
      <c r="C33" s="68">
        <v>999</v>
      </c>
      <c r="D33" s="68">
        <v>612000</v>
      </c>
      <c r="E33" s="970">
        <v>1</v>
      </c>
      <c r="F33" s="68"/>
      <c r="G33" s="69">
        <v>1387000</v>
      </c>
      <c r="H33" s="945">
        <v>1400000</v>
      </c>
      <c r="I33" s="916">
        <v>1429000</v>
      </c>
      <c r="J33" s="1053"/>
      <c r="K33" s="969"/>
      <c r="N33" s="478"/>
    </row>
    <row r="34" spans="1:14">
      <c r="A34" s="970" t="s">
        <v>309</v>
      </c>
      <c r="B34" s="516">
        <v>1613000110</v>
      </c>
      <c r="C34" s="970">
        <v>110</v>
      </c>
      <c r="D34" s="970">
        <v>613000</v>
      </c>
      <c r="E34" s="480">
        <v>1</v>
      </c>
      <c r="F34" s="970" t="s">
        <v>310</v>
      </c>
      <c r="G34" s="67">
        <v>2008000</v>
      </c>
      <c r="H34" s="915">
        <v>1891000</v>
      </c>
      <c r="I34" s="915">
        <v>2455000</v>
      </c>
      <c r="J34" s="230" t="s">
        <v>274</v>
      </c>
      <c r="K34" s="969"/>
      <c r="N34" s="478"/>
    </row>
    <row r="35" spans="1:14">
      <c r="A35" s="970"/>
      <c r="B35" s="516">
        <v>1613000430</v>
      </c>
      <c r="C35" s="970">
        <v>430</v>
      </c>
      <c r="D35" s="970">
        <v>613000</v>
      </c>
      <c r="E35" s="970">
        <v>1</v>
      </c>
      <c r="F35" s="970" t="s">
        <v>311</v>
      </c>
      <c r="G35" s="67">
        <v>4000</v>
      </c>
      <c r="H35" s="915">
        <v>6000</v>
      </c>
      <c r="I35" s="915">
        <v>4000</v>
      </c>
      <c r="J35" s="230" t="s">
        <v>312</v>
      </c>
      <c r="K35" s="969"/>
      <c r="N35" s="478"/>
    </row>
    <row r="36" spans="1:14">
      <c r="A36" s="970"/>
      <c r="B36" s="516">
        <v>1613000530</v>
      </c>
      <c r="C36" s="970">
        <v>530</v>
      </c>
      <c r="D36" s="970">
        <v>613000</v>
      </c>
      <c r="E36" s="970">
        <v>1</v>
      </c>
      <c r="F36" s="970" t="s">
        <v>277</v>
      </c>
      <c r="G36" s="67">
        <v>90000</v>
      </c>
      <c r="H36" s="915">
        <v>121000</v>
      </c>
      <c r="I36" s="915">
        <v>90000</v>
      </c>
      <c r="J36" s="230" t="s">
        <v>287</v>
      </c>
      <c r="K36" s="969"/>
      <c r="N36" s="478"/>
    </row>
    <row r="37" spans="1:14">
      <c r="A37" s="970"/>
      <c r="B37" s="516">
        <v>1613000540</v>
      </c>
      <c r="C37" s="970">
        <v>540</v>
      </c>
      <c r="D37" s="970">
        <v>613000</v>
      </c>
      <c r="E37" s="970">
        <v>1</v>
      </c>
      <c r="F37" s="970" t="s">
        <v>279</v>
      </c>
      <c r="G37" s="67">
        <v>4000</v>
      </c>
      <c r="H37" s="915">
        <v>4000</v>
      </c>
      <c r="I37" s="915">
        <v>4000</v>
      </c>
      <c r="J37" s="230"/>
      <c r="K37" s="969"/>
      <c r="N37" s="478"/>
    </row>
    <row r="38" spans="1:14">
      <c r="A38" s="970"/>
      <c r="B38" s="516">
        <v>1613000750</v>
      </c>
      <c r="C38" s="970">
        <v>750</v>
      </c>
      <c r="D38" s="970">
        <v>613000</v>
      </c>
      <c r="E38" s="970">
        <v>1</v>
      </c>
      <c r="F38" s="970" t="s">
        <v>288</v>
      </c>
      <c r="G38" s="67">
        <v>400000</v>
      </c>
      <c r="H38" s="915">
        <v>201000</v>
      </c>
      <c r="I38" s="915">
        <v>500000</v>
      </c>
      <c r="J38" s="1054"/>
      <c r="K38" s="969"/>
      <c r="N38" s="478"/>
    </row>
    <row r="39" spans="1:14">
      <c r="A39" s="970"/>
      <c r="B39" s="516">
        <v>1613000751</v>
      </c>
      <c r="C39" s="970">
        <v>751</v>
      </c>
      <c r="D39" s="970">
        <v>613000</v>
      </c>
      <c r="E39" s="970">
        <v>1</v>
      </c>
      <c r="F39" s="970" t="s">
        <v>868</v>
      </c>
      <c r="G39" s="67">
        <v>400000</v>
      </c>
      <c r="H39" s="915">
        <v>400000</v>
      </c>
      <c r="I39" s="915">
        <v>500000</v>
      </c>
      <c r="J39" s="1055"/>
      <c r="K39" s="969"/>
      <c r="N39" s="478"/>
    </row>
    <row r="40" spans="1:14">
      <c r="A40" s="970"/>
      <c r="B40" s="516">
        <v>1613000752</v>
      </c>
      <c r="C40" s="970">
        <v>752</v>
      </c>
      <c r="D40" s="970">
        <v>613000</v>
      </c>
      <c r="E40" s="970">
        <v>1</v>
      </c>
      <c r="F40" s="970" t="s">
        <v>313</v>
      </c>
      <c r="G40" s="67">
        <v>100000</v>
      </c>
      <c r="H40" s="915">
        <v>100000</v>
      </c>
      <c r="I40" s="915">
        <v>200000</v>
      </c>
      <c r="J40" s="230"/>
      <c r="K40" s="969"/>
      <c r="N40" s="478"/>
    </row>
    <row r="41" spans="1:14" s="566" customFormat="1">
      <c r="A41" s="970"/>
      <c r="B41" s="516">
        <v>1613000753</v>
      </c>
      <c r="C41" s="970">
        <v>753</v>
      </c>
      <c r="D41" s="970">
        <v>613000</v>
      </c>
      <c r="E41" s="970">
        <v>1</v>
      </c>
      <c r="F41" s="970" t="s">
        <v>3160</v>
      </c>
      <c r="G41" s="67">
        <v>0</v>
      </c>
      <c r="H41" s="915">
        <v>0</v>
      </c>
      <c r="I41" s="915">
        <v>150000</v>
      </c>
      <c r="J41" s="230" t="s">
        <v>3737</v>
      </c>
      <c r="K41" s="969"/>
      <c r="N41" s="478"/>
    </row>
    <row r="42" spans="1:14">
      <c r="A42" s="970"/>
      <c r="B42" s="516">
        <v>1613000780</v>
      </c>
      <c r="C42" s="970">
        <v>780</v>
      </c>
      <c r="D42" s="970">
        <v>613000</v>
      </c>
      <c r="E42" s="970">
        <v>1</v>
      </c>
      <c r="F42" s="970" t="s">
        <v>314</v>
      </c>
      <c r="G42" s="67">
        <v>200000</v>
      </c>
      <c r="H42" s="915">
        <v>202000</v>
      </c>
      <c r="I42" s="915">
        <v>300000</v>
      </c>
      <c r="J42" s="1055" t="s">
        <v>4</v>
      </c>
      <c r="K42" s="969"/>
      <c r="N42" s="478"/>
    </row>
    <row r="43" spans="1:14" s="566" customFormat="1">
      <c r="A43" s="970"/>
      <c r="B43" s="516">
        <v>1613000781</v>
      </c>
      <c r="C43" s="970">
        <v>781</v>
      </c>
      <c r="D43" s="970">
        <v>613000</v>
      </c>
      <c r="E43" s="970">
        <v>1</v>
      </c>
      <c r="F43" s="970" t="s">
        <v>543</v>
      </c>
      <c r="G43" s="67">
        <v>0</v>
      </c>
      <c r="H43" s="915">
        <v>0</v>
      </c>
      <c r="I43" s="915">
        <v>1600000</v>
      </c>
      <c r="J43" s="230" t="s">
        <v>3524</v>
      </c>
      <c r="K43" s="969"/>
      <c r="N43" s="478"/>
    </row>
    <row r="44" spans="1:14" ht="15">
      <c r="A44" s="68" t="s">
        <v>315</v>
      </c>
      <c r="B44" s="1052"/>
      <c r="C44" s="68">
        <v>999</v>
      </c>
      <c r="D44" s="68">
        <v>613000</v>
      </c>
      <c r="E44" s="970">
        <v>1</v>
      </c>
      <c r="F44" s="68"/>
      <c r="G44" s="69">
        <v>3206000</v>
      </c>
      <c r="H44" s="945">
        <v>2925000</v>
      </c>
      <c r="I44" s="916">
        <v>5803000</v>
      </c>
      <c r="J44" s="1050"/>
      <c r="K44" s="969"/>
      <c r="N44" s="478"/>
    </row>
    <row r="45" spans="1:14">
      <c r="A45" s="970" t="s">
        <v>316</v>
      </c>
      <c r="B45" s="516">
        <v>1614000110</v>
      </c>
      <c r="C45" s="970">
        <v>110</v>
      </c>
      <c r="D45" s="970">
        <v>614000</v>
      </c>
      <c r="E45" s="480">
        <v>1</v>
      </c>
      <c r="F45" s="970" t="s">
        <v>317</v>
      </c>
      <c r="G45" s="67">
        <v>335000</v>
      </c>
      <c r="H45" s="915">
        <v>275000</v>
      </c>
      <c r="I45" s="915">
        <v>380000</v>
      </c>
      <c r="J45" s="230" t="s">
        <v>274</v>
      </c>
      <c r="K45" s="969"/>
      <c r="N45" s="478"/>
    </row>
    <row r="46" spans="1:14">
      <c r="A46" s="970"/>
      <c r="B46" s="516">
        <v>1614000540</v>
      </c>
      <c r="C46" s="970">
        <v>540</v>
      </c>
      <c r="D46" s="970">
        <v>614000</v>
      </c>
      <c r="E46" s="970">
        <v>1</v>
      </c>
      <c r="F46" s="970" t="s">
        <v>279</v>
      </c>
      <c r="G46" s="67">
        <v>1000</v>
      </c>
      <c r="H46" s="915">
        <v>0</v>
      </c>
      <c r="I46" s="915">
        <v>1000</v>
      </c>
      <c r="J46" s="230"/>
      <c r="K46" s="969"/>
      <c r="N46" s="478"/>
    </row>
    <row r="47" spans="1:14">
      <c r="A47" s="970"/>
      <c r="B47" s="516">
        <v>1614000550</v>
      </c>
      <c r="C47" s="970">
        <v>550</v>
      </c>
      <c r="D47" s="970">
        <v>614000</v>
      </c>
      <c r="E47" s="970">
        <v>1</v>
      </c>
      <c r="F47" s="970" t="s">
        <v>318</v>
      </c>
      <c r="G47" s="67">
        <v>800000</v>
      </c>
      <c r="H47" s="915">
        <v>815000</v>
      </c>
      <c r="I47" s="915">
        <v>850000</v>
      </c>
      <c r="J47" s="1051" t="s">
        <v>319</v>
      </c>
      <c r="K47" s="969"/>
      <c r="N47" s="478"/>
    </row>
    <row r="48" spans="1:14">
      <c r="A48" s="970"/>
      <c r="B48" s="516">
        <v>1614000750</v>
      </c>
      <c r="C48" s="970">
        <v>750</v>
      </c>
      <c r="D48" s="970">
        <v>614000</v>
      </c>
      <c r="E48" s="970">
        <v>1</v>
      </c>
      <c r="F48" s="970" t="s">
        <v>288</v>
      </c>
      <c r="G48" s="67">
        <v>288000</v>
      </c>
      <c r="H48" s="915">
        <v>288000</v>
      </c>
      <c r="I48" s="915">
        <v>288000</v>
      </c>
      <c r="J48" s="1051" t="s">
        <v>320</v>
      </c>
      <c r="K48" s="969"/>
      <c r="N48" s="478"/>
    </row>
    <row r="49" spans="1:14" ht="28.5">
      <c r="A49" s="970"/>
      <c r="B49" s="516">
        <v>1614000751</v>
      </c>
      <c r="C49" s="970">
        <v>751</v>
      </c>
      <c r="D49" s="970">
        <v>614000</v>
      </c>
      <c r="E49" s="970">
        <v>1</v>
      </c>
      <c r="F49" s="970" t="s">
        <v>321</v>
      </c>
      <c r="G49" s="67">
        <v>200000</v>
      </c>
      <c r="H49" s="915">
        <v>201000</v>
      </c>
      <c r="I49" s="915">
        <v>850000</v>
      </c>
      <c r="J49" s="1056" t="s">
        <v>3983</v>
      </c>
      <c r="K49" s="969"/>
      <c r="N49" s="478"/>
    </row>
    <row r="50" spans="1:14">
      <c r="A50" s="970"/>
      <c r="B50" s="516">
        <v>1614000780</v>
      </c>
      <c r="C50" s="970">
        <v>780</v>
      </c>
      <c r="D50" s="970">
        <v>614000</v>
      </c>
      <c r="E50" s="970">
        <v>1</v>
      </c>
      <c r="F50" s="970" t="s">
        <v>280</v>
      </c>
      <c r="G50" s="67">
        <v>1000</v>
      </c>
      <c r="H50" s="915">
        <v>1000</v>
      </c>
      <c r="I50" s="915">
        <v>1000</v>
      </c>
      <c r="J50" s="230" t="s">
        <v>322</v>
      </c>
      <c r="K50" s="969"/>
      <c r="N50" s="478"/>
    </row>
    <row r="51" spans="1:14" ht="15">
      <c r="A51" s="68" t="s">
        <v>323</v>
      </c>
      <c r="B51" s="1052"/>
      <c r="C51" s="68">
        <v>999</v>
      </c>
      <c r="D51" s="68">
        <v>614000</v>
      </c>
      <c r="E51" s="970">
        <v>1</v>
      </c>
      <c r="F51" s="68"/>
      <c r="G51" s="69">
        <v>1625000</v>
      </c>
      <c r="H51" s="945">
        <v>1580000</v>
      </c>
      <c r="I51" s="916">
        <v>2370000</v>
      </c>
      <c r="J51" s="1053"/>
      <c r="K51" s="969"/>
      <c r="N51" s="478"/>
    </row>
    <row r="52" spans="1:14">
      <c r="A52" s="970" t="s">
        <v>324</v>
      </c>
      <c r="B52" s="516">
        <v>1615000110</v>
      </c>
      <c r="C52" s="970">
        <v>110</v>
      </c>
      <c r="D52" s="970">
        <v>615000</v>
      </c>
      <c r="E52" s="480">
        <v>1</v>
      </c>
      <c r="F52" s="970" t="s">
        <v>325</v>
      </c>
      <c r="G52" s="67">
        <v>3267000</v>
      </c>
      <c r="H52" s="915">
        <v>3060000</v>
      </c>
      <c r="I52" s="915">
        <v>3338000</v>
      </c>
      <c r="J52" s="230" t="s">
        <v>274</v>
      </c>
      <c r="K52" s="969"/>
      <c r="N52" s="478"/>
    </row>
    <row r="53" spans="1:14">
      <c r="A53" s="970"/>
      <c r="B53" s="516">
        <v>1615000410</v>
      </c>
      <c r="C53" s="970">
        <v>410</v>
      </c>
      <c r="D53" s="970">
        <v>615000</v>
      </c>
      <c r="E53" s="970">
        <v>1</v>
      </c>
      <c r="F53" s="970" t="s">
        <v>304</v>
      </c>
      <c r="G53" s="67">
        <v>338000</v>
      </c>
      <c r="H53" s="915">
        <v>284000</v>
      </c>
      <c r="I53" s="915">
        <v>374000</v>
      </c>
      <c r="J53" s="230" t="s">
        <v>305</v>
      </c>
      <c r="K53" s="969"/>
      <c r="N53" s="478"/>
    </row>
    <row r="54" spans="1:14" s="448" customFormat="1" ht="42.75">
      <c r="A54" s="970"/>
      <c r="B54" s="516">
        <v>1615000521</v>
      </c>
      <c r="C54" s="970">
        <v>521</v>
      </c>
      <c r="D54" s="970">
        <v>615000</v>
      </c>
      <c r="E54" s="970">
        <v>1</v>
      </c>
      <c r="F54" s="970" t="s">
        <v>326</v>
      </c>
      <c r="G54" s="67">
        <v>250000</v>
      </c>
      <c r="H54" s="915">
        <v>249000</v>
      </c>
      <c r="I54" s="915">
        <v>300000</v>
      </c>
      <c r="J54" s="1057" t="s">
        <v>3984</v>
      </c>
      <c r="K54" s="969"/>
      <c r="N54" s="478"/>
    </row>
    <row r="55" spans="1:14">
      <c r="A55" s="970"/>
      <c r="B55" s="516">
        <v>1615000522</v>
      </c>
      <c r="C55" s="970">
        <v>522</v>
      </c>
      <c r="D55" s="970">
        <v>615000</v>
      </c>
      <c r="E55" s="970">
        <v>1</v>
      </c>
      <c r="F55" s="970" t="s">
        <v>327</v>
      </c>
      <c r="G55" s="67">
        <v>30000</v>
      </c>
      <c r="H55" s="915">
        <v>17000</v>
      </c>
      <c r="I55" s="915">
        <v>15000</v>
      </c>
      <c r="J55" s="230" t="s">
        <v>328</v>
      </c>
      <c r="K55" s="969"/>
      <c r="N55" s="478"/>
    </row>
    <row r="56" spans="1:14">
      <c r="A56" s="970"/>
      <c r="B56" s="516">
        <v>1615000530</v>
      </c>
      <c r="C56" s="970">
        <v>530</v>
      </c>
      <c r="D56" s="970">
        <v>615000</v>
      </c>
      <c r="E56" s="970">
        <v>1</v>
      </c>
      <c r="F56" s="970" t="s">
        <v>277</v>
      </c>
      <c r="G56" s="67">
        <v>55000</v>
      </c>
      <c r="H56" s="915">
        <v>54000</v>
      </c>
      <c r="I56" s="915">
        <v>55000</v>
      </c>
      <c r="J56" s="230" t="s">
        <v>287</v>
      </c>
      <c r="K56" s="969"/>
      <c r="N56" s="478"/>
    </row>
    <row r="57" spans="1:14">
      <c r="A57" s="970"/>
      <c r="B57" s="516">
        <v>1615000540</v>
      </c>
      <c r="C57" s="970">
        <v>540</v>
      </c>
      <c r="D57" s="970">
        <v>615000</v>
      </c>
      <c r="E57" s="970">
        <v>1</v>
      </c>
      <c r="F57" s="970" t="s">
        <v>279</v>
      </c>
      <c r="G57" s="67">
        <v>4000</v>
      </c>
      <c r="H57" s="915">
        <v>9000</v>
      </c>
      <c r="I57" s="915">
        <v>4000</v>
      </c>
      <c r="J57" s="230"/>
      <c r="K57" s="969"/>
      <c r="N57" s="478"/>
    </row>
    <row r="58" spans="1:14" ht="42.75">
      <c r="A58" s="970"/>
      <c r="B58" s="516">
        <v>1615000750</v>
      </c>
      <c r="C58" s="970">
        <v>750</v>
      </c>
      <c r="D58" s="970">
        <v>615000</v>
      </c>
      <c r="E58" s="970">
        <v>1</v>
      </c>
      <c r="F58" s="970" t="s">
        <v>288</v>
      </c>
      <c r="G58" s="67">
        <v>300000</v>
      </c>
      <c r="H58" s="915">
        <v>253000</v>
      </c>
      <c r="I58" s="915">
        <v>300000</v>
      </c>
      <c r="J58" s="230" t="s">
        <v>870</v>
      </c>
      <c r="K58" s="969"/>
      <c r="N58" s="478"/>
    </row>
    <row r="59" spans="1:14" ht="57">
      <c r="A59" s="516"/>
      <c r="B59" s="516">
        <v>1615000751</v>
      </c>
      <c r="C59" s="970">
        <v>751</v>
      </c>
      <c r="D59" s="970">
        <v>615000</v>
      </c>
      <c r="E59" s="970">
        <v>1</v>
      </c>
      <c r="F59" s="970" t="s">
        <v>329</v>
      </c>
      <c r="G59" s="67">
        <v>3000000</v>
      </c>
      <c r="H59" s="915">
        <v>3000000</v>
      </c>
      <c r="I59" s="915">
        <v>500000</v>
      </c>
      <c r="J59" s="1055" t="s">
        <v>3993</v>
      </c>
      <c r="K59" s="969"/>
      <c r="N59" s="478"/>
    </row>
    <row r="60" spans="1:14">
      <c r="A60" s="970"/>
      <c r="B60" s="516">
        <v>1615000780</v>
      </c>
      <c r="C60" s="970">
        <v>780</v>
      </c>
      <c r="D60" s="970">
        <v>615000</v>
      </c>
      <c r="E60" s="970">
        <v>1</v>
      </c>
      <c r="F60" s="970" t="s">
        <v>280</v>
      </c>
      <c r="G60" s="67">
        <v>12000</v>
      </c>
      <c r="H60" s="915">
        <v>12000</v>
      </c>
      <c r="I60" s="915">
        <v>12000</v>
      </c>
      <c r="J60" s="230" t="s">
        <v>297</v>
      </c>
      <c r="K60" s="969"/>
      <c r="N60" s="478"/>
    </row>
    <row r="61" spans="1:14">
      <c r="A61" s="970"/>
      <c r="B61" s="516">
        <v>1615100110</v>
      </c>
      <c r="C61" s="970">
        <v>110</v>
      </c>
      <c r="D61" s="970">
        <v>615100</v>
      </c>
      <c r="E61" s="480">
        <v>1</v>
      </c>
      <c r="F61" s="970" t="s">
        <v>330</v>
      </c>
      <c r="G61" s="67">
        <v>115000</v>
      </c>
      <c r="H61" s="915">
        <v>339000</v>
      </c>
      <c r="I61" s="915">
        <v>255000</v>
      </c>
      <c r="J61" s="230" t="s">
        <v>274</v>
      </c>
      <c r="K61" s="969"/>
      <c r="N61" s="478"/>
    </row>
    <row r="62" spans="1:14" ht="15">
      <c r="A62" s="68" t="s">
        <v>331</v>
      </c>
      <c r="B62" s="1052"/>
      <c r="C62" s="68">
        <v>999</v>
      </c>
      <c r="D62" s="68">
        <v>615000</v>
      </c>
      <c r="E62" s="970">
        <v>1</v>
      </c>
      <c r="F62" s="68"/>
      <c r="G62" s="69">
        <v>7371000</v>
      </c>
      <c r="H62" s="945">
        <v>7277000</v>
      </c>
      <c r="I62" s="916">
        <v>5153000</v>
      </c>
      <c r="J62" s="1053"/>
      <c r="K62" s="969"/>
      <c r="N62" s="478"/>
    </row>
    <row r="63" spans="1:14" s="448" customFormat="1">
      <c r="A63" s="970" t="s">
        <v>2238</v>
      </c>
      <c r="B63" s="516">
        <v>1616000110</v>
      </c>
      <c r="C63" s="970">
        <v>110</v>
      </c>
      <c r="D63" s="970">
        <v>616000</v>
      </c>
      <c r="E63" s="480">
        <v>1</v>
      </c>
      <c r="F63" s="970" t="s">
        <v>3162</v>
      </c>
      <c r="G63" s="67">
        <v>518000</v>
      </c>
      <c r="H63" s="915">
        <v>67000</v>
      </c>
      <c r="I63" s="915">
        <v>518000</v>
      </c>
      <c r="J63" s="230" t="s">
        <v>274</v>
      </c>
      <c r="K63" s="969"/>
      <c r="N63" s="478"/>
    </row>
    <row r="64" spans="1:14" s="448" customFormat="1">
      <c r="A64" s="970" t="s">
        <v>3716</v>
      </c>
      <c r="B64" s="516">
        <v>1616100110</v>
      </c>
      <c r="C64" s="970">
        <v>110</v>
      </c>
      <c r="D64" s="970">
        <v>616100</v>
      </c>
      <c r="E64" s="480">
        <v>1</v>
      </c>
      <c r="F64" s="970" t="s">
        <v>3163</v>
      </c>
      <c r="G64" s="67">
        <v>0</v>
      </c>
      <c r="H64" s="915">
        <v>0</v>
      </c>
      <c r="I64" s="915">
        <v>860000</v>
      </c>
      <c r="J64" s="230" t="s">
        <v>3736</v>
      </c>
      <c r="K64" s="969"/>
      <c r="N64" s="478"/>
    </row>
    <row r="65" spans="1:14" s="448" customFormat="1">
      <c r="A65" s="970"/>
      <c r="B65" s="516">
        <v>1616000750</v>
      </c>
      <c r="C65" s="970">
        <v>750</v>
      </c>
      <c r="D65" s="970">
        <v>616000</v>
      </c>
      <c r="E65" s="970">
        <v>1</v>
      </c>
      <c r="F65" s="970" t="s">
        <v>288</v>
      </c>
      <c r="G65" s="67">
        <v>200000</v>
      </c>
      <c r="H65" s="915">
        <v>0</v>
      </c>
      <c r="I65" s="915">
        <v>200000</v>
      </c>
      <c r="J65" s="230" t="s">
        <v>4</v>
      </c>
      <c r="K65" s="969"/>
      <c r="N65" s="478"/>
    </row>
    <row r="66" spans="1:14" s="43" customFormat="1" ht="15">
      <c r="A66" s="68" t="s">
        <v>2239</v>
      </c>
      <c r="B66" s="1052"/>
      <c r="C66" s="68">
        <v>999</v>
      </c>
      <c r="D66" s="68">
        <v>616000</v>
      </c>
      <c r="E66" s="970">
        <v>1</v>
      </c>
      <c r="F66" s="68"/>
      <c r="G66" s="69">
        <v>718000</v>
      </c>
      <c r="H66" s="945">
        <v>67000</v>
      </c>
      <c r="I66" s="916">
        <v>1578000</v>
      </c>
      <c r="J66" s="1053"/>
      <c r="K66" s="969"/>
      <c r="N66" s="478"/>
    </row>
    <row r="67" spans="1:14">
      <c r="A67" s="970" t="s">
        <v>332</v>
      </c>
      <c r="B67" s="516">
        <v>1617000110</v>
      </c>
      <c r="C67" s="970">
        <v>110</v>
      </c>
      <c r="D67" s="970">
        <v>617000</v>
      </c>
      <c r="E67" s="480">
        <v>1</v>
      </c>
      <c r="F67" s="970" t="s">
        <v>333</v>
      </c>
      <c r="G67" s="67">
        <v>3129000</v>
      </c>
      <c r="H67" s="915">
        <v>3391000</v>
      </c>
      <c r="I67" s="915">
        <v>3390000</v>
      </c>
      <c r="J67" s="230" t="s">
        <v>274</v>
      </c>
      <c r="K67" s="969"/>
      <c r="N67" s="478"/>
    </row>
    <row r="68" spans="1:14">
      <c r="A68" s="970"/>
      <c r="B68" s="516">
        <v>1617000410</v>
      </c>
      <c r="C68" s="970">
        <v>410</v>
      </c>
      <c r="D68" s="970">
        <v>617000</v>
      </c>
      <c r="E68" s="970">
        <v>1</v>
      </c>
      <c r="F68" s="970" t="s">
        <v>304</v>
      </c>
      <c r="G68" s="67">
        <v>385000</v>
      </c>
      <c r="H68" s="915">
        <v>365000</v>
      </c>
      <c r="I68" s="915">
        <v>421000</v>
      </c>
      <c r="J68" s="230" t="s">
        <v>305</v>
      </c>
      <c r="K68" s="969"/>
      <c r="N68" s="478"/>
    </row>
    <row r="69" spans="1:14">
      <c r="A69" s="970"/>
      <c r="B69" s="516">
        <v>1617000522</v>
      </c>
      <c r="C69" s="970">
        <v>522</v>
      </c>
      <c r="D69" s="970">
        <v>617000</v>
      </c>
      <c r="E69" s="970">
        <v>1</v>
      </c>
      <c r="F69" s="970" t="s">
        <v>327</v>
      </c>
      <c r="G69" s="67">
        <v>10000</v>
      </c>
      <c r="H69" s="915">
        <v>6000</v>
      </c>
      <c r="I69" s="915">
        <v>10000</v>
      </c>
      <c r="J69" s="230" t="s">
        <v>334</v>
      </c>
      <c r="K69" s="969"/>
      <c r="N69" s="478"/>
    </row>
    <row r="70" spans="1:14">
      <c r="A70" s="970"/>
      <c r="B70" s="516">
        <v>1617000530</v>
      </c>
      <c r="C70" s="970">
        <v>530</v>
      </c>
      <c r="D70" s="970">
        <v>617000</v>
      </c>
      <c r="E70" s="970">
        <v>1</v>
      </c>
      <c r="F70" s="970" t="s">
        <v>277</v>
      </c>
      <c r="G70" s="67">
        <v>65000</v>
      </c>
      <c r="H70" s="915">
        <v>65000</v>
      </c>
      <c r="I70" s="915">
        <v>65000</v>
      </c>
      <c r="J70" s="230" t="s">
        <v>287</v>
      </c>
      <c r="K70" s="969"/>
      <c r="N70" s="478"/>
    </row>
    <row r="71" spans="1:14">
      <c r="A71" s="970"/>
      <c r="B71" s="516">
        <v>1617000540</v>
      </c>
      <c r="C71" s="970">
        <v>540</v>
      </c>
      <c r="D71" s="970">
        <v>617000</v>
      </c>
      <c r="E71" s="970">
        <v>1</v>
      </c>
      <c r="F71" s="970" t="s">
        <v>279</v>
      </c>
      <c r="G71" s="67">
        <v>2000</v>
      </c>
      <c r="H71" s="915">
        <v>2000</v>
      </c>
      <c r="I71" s="915">
        <v>2000</v>
      </c>
      <c r="J71" s="230"/>
      <c r="K71" s="969"/>
      <c r="N71" s="478"/>
    </row>
    <row r="72" spans="1:14">
      <c r="A72" s="970"/>
      <c r="B72" s="516">
        <v>1617000581</v>
      </c>
      <c r="C72" s="970">
        <v>581</v>
      </c>
      <c r="D72" s="970">
        <v>617000</v>
      </c>
      <c r="E72" s="970">
        <v>1</v>
      </c>
      <c r="F72" s="970" t="s">
        <v>335</v>
      </c>
      <c r="G72" s="67">
        <v>450000</v>
      </c>
      <c r="H72" s="915">
        <v>103000</v>
      </c>
      <c r="I72" s="915">
        <v>150000</v>
      </c>
      <c r="J72" s="230" t="s">
        <v>336</v>
      </c>
      <c r="K72" s="969"/>
      <c r="N72" s="478"/>
    </row>
    <row r="73" spans="1:14">
      <c r="A73" s="970"/>
      <c r="B73" s="516">
        <v>1617000750</v>
      </c>
      <c r="C73" s="970">
        <v>750</v>
      </c>
      <c r="D73" s="970">
        <v>617000</v>
      </c>
      <c r="E73" s="970">
        <v>1</v>
      </c>
      <c r="F73" s="970" t="s">
        <v>337</v>
      </c>
      <c r="G73" s="67">
        <v>1200000</v>
      </c>
      <c r="H73" s="915">
        <v>989000</v>
      </c>
      <c r="I73" s="915">
        <v>800000</v>
      </c>
      <c r="J73" s="230" t="s">
        <v>2918</v>
      </c>
      <c r="K73" s="969"/>
      <c r="N73" s="478"/>
    </row>
    <row r="74" spans="1:14" ht="28.5">
      <c r="A74" s="970"/>
      <c r="B74" s="516">
        <v>1617000780</v>
      </c>
      <c r="C74" s="970">
        <v>780</v>
      </c>
      <c r="D74" s="970">
        <v>617000</v>
      </c>
      <c r="E74" s="970">
        <v>1</v>
      </c>
      <c r="F74" s="970" t="s">
        <v>280</v>
      </c>
      <c r="G74" s="67">
        <v>65000</v>
      </c>
      <c r="H74" s="915">
        <v>52000</v>
      </c>
      <c r="I74" s="915">
        <v>85000</v>
      </c>
      <c r="J74" s="230" t="s">
        <v>3525</v>
      </c>
      <c r="K74" s="969"/>
      <c r="N74" s="478"/>
    </row>
    <row r="75" spans="1:14" ht="15">
      <c r="A75" s="68" t="s">
        <v>338</v>
      </c>
      <c r="B75" s="1052"/>
      <c r="C75" s="68">
        <v>999</v>
      </c>
      <c r="D75" s="68">
        <v>617000</v>
      </c>
      <c r="E75" s="970">
        <v>1</v>
      </c>
      <c r="F75" s="68"/>
      <c r="G75" s="69">
        <v>5306000</v>
      </c>
      <c r="H75" s="945">
        <v>4973000</v>
      </c>
      <c r="I75" s="916">
        <v>4923000</v>
      </c>
      <c r="J75" s="1050"/>
      <c r="K75" s="969"/>
      <c r="N75" s="478"/>
    </row>
    <row r="76" spans="1:14">
      <c r="A76" s="970" t="s">
        <v>339</v>
      </c>
      <c r="B76" s="516">
        <v>1618000110</v>
      </c>
      <c r="C76" s="970">
        <v>110</v>
      </c>
      <c r="D76" s="970">
        <v>618000</v>
      </c>
      <c r="E76" s="480">
        <v>1</v>
      </c>
      <c r="F76" s="970" t="s">
        <v>340</v>
      </c>
      <c r="G76" s="67">
        <v>547000</v>
      </c>
      <c r="H76" s="915">
        <v>496000</v>
      </c>
      <c r="I76" s="915">
        <v>738000</v>
      </c>
      <c r="J76" s="230" t="s">
        <v>274</v>
      </c>
      <c r="K76" s="969"/>
      <c r="N76" s="478"/>
    </row>
    <row r="77" spans="1:14">
      <c r="A77" s="970"/>
      <c r="B77" s="516">
        <v>1618000530</v>
      </c>
      <c r="C77" s="970">
        <v>530</v>
      </c>
      <c r="D77" s="970">
        <v>618000</v>
      </c>
      <c r="E77" s="970">
        <v>1</v>
      </c>
      <c r="F77" s="970" t="s">
        <v>277</v>
      </c>
      <c r="G77" s="67">
        <v>37000</v>
      </c>
      <c r="H77" s="915">
        <v>34000</v>
      </c>
      <c r="I77" s="915">
        <v>37000</v>
      </c>
      <c r="J77" s="230" t="s">
        <v>287</v>
      </c>
      <c r="K77" s="969"/>
      <c r="N77" s="478"/>
    </row>
    <row r="78" spans="1:14">
      <c r="A78" s="970"/>
      <c r="B78" s="516">
        <v>1618000540</v>
      </c>
      <c r="C78" s="970">
        <v>540</v>
      </c>
      <c r="D78" s="970">
        <v>618000</v>
      </c>
      <c r="E78" s="970">
        <v>1</v>
      </c>
      <c r="F78" s="970" t="s">
        <v>279</v>
      </c>
      <c r="G78" s="67">
        <v>2000</v>
      </c>
      <c r="H78" s="915">
        <v>3000</v>
      </c>
      <c r="I78" s="915">
        <v>2000</v>
      </c>
      <c r="J78" s="230"/>
      <c r="K78" s="969"/>
      <c r="N78" s="478"/>
    </row>
    <row r="79" spans="1:14" ht="57">
      <c r="A79" s="970"/>
      <c r="B79" s="516">
        <v>1618000570</v>
      </c>
      <c r="C79" s="970">
        <v>570</v>
      </c>
      <c r="D79" s="970">
        <v>618000</v>
      </c>
      <c r="E79" s="970">
        <v>1</v>
      </c>
      <c r="F79" s="970" t="s">
        <v>341</v>
      </c>
      <c r="G79" s="67">
        <v>4000000</v>
      </c>
      <c r="H79" s="915">
        <v>4244000</v>
      </c>
      <c r="I79" s="915">
        <v>4200000</v>
      </c>
      <c r="J79" s="230" t="s">
        <v>3526</v>
      </c>
      <c r="K79" s="969"/>
      <c r="N79" s="478"/>
    </row>
    <row r="80" spans="1:14" ht="28.5">
      <c r="A80" s="970"/>
      <c r="B80" s="516">
        <v>1618000750</v>
      </c>
      <c r="C80" s="970">
        <v>750</v>
      </c>
      <c r="D80" s="970">
        <v>618000</v>
      </c>
      <c r="E80" s="970">
        <v>1</v>
      </c>
      <c r="F80" s="970" t="s">
        <v>288</v>
      </c>
      <c r="G80" s="67">
        <v>500000</v>
      </c>
      <c r="H80" s="915">
        <v>353000</v>
      </c>
      <c r="I80" s="915">
        <v>673000</v>
      </c>
      <c r="J80" s="230" t="s">
        <v>873</v>
      </c>
      <c r="K80" s="969"/>
      <c r="N80" s="478"/>
    </row>
    <row r="81" spans="1:14">
      <c r="A81" s="970"/>
      <c r="B81" s="516">
        <v>1618000780</v>
      </c>
      <c r="C81" s="970">
        <v>780</v>
      </c>
      <c r="D81" s="970">
        <v>618000</v>
      </c>
      <c r="E81" s="970">
        <v>1</v>
      </c>
      <c r="F81" s="970" t="s">
        <v>280</v>
      </c>
      <c r="G81" s="67">
        <v>200000</v>
      </c>
      <c r="H81" s="915">
        <v>200000</v>
      </c>
      <c r="I81" s="915">
        <v>200000</v>
      </c>
      <c r="J81" s="230" t="s">
        <v>342</v>
      </c>
      <c r="K81" s="969"/>
      <c r="N81" s="478"/>
    </row>
    <row r="82" spans="1:14" ht="15">
      <c r="A82" s="68" t="s">
        <v>343</v>
      </c>
      <c r="B82" s="1052"/>
      <c r="C82" s="68">
        <v>999</v>
      </c>
      <c r="D82" s="68">
        <v>618000</v>
      </c>
      <c r="E82" s="970">
        <v>1</v>
      </c>
      <c r="F82" s="68"/>
      <c r="G82" s="70">
        <v>5286000</v>
      </c>
      <c r="H82" s="945">
        <v>5330000</v>
      </c>
      <c r="I82" s="916">
        <v>5850000</v>
      </c>
      <c r="J82" s="1050"/>
      <c r="K82" s="969"/>
      <c r="N82" s="478"/>
    </row>
    <row r="83" spans="1:14" s="566" customFormat="1">
      <c r="A83" s="970" t="s">
        <v>3717</v>
      </c>
      <c r="B83" s="516">
        <v>1619000110</v>
      </c>
      <c r="C83" s="970">
        <v>110</v>
      </c>
      <c r="D83" s="970">
        <v>619000</v>
      </c>
      <c r="E83" s="970">
        <v>1</v>
      </c>
      <c r="F83" s="970" t="s">
        <v>3177</v>
      </c>
      <c r="G83" s="67">
        <v>0</v>
      </c>
      <c r="H83" s="915">
        <v>0</v>
      </c>
      <c r="I83" s="915">
        <v>50000</v>
      </c>
      <c r="J83" s="970" t="s">
        <v>3176</v>
      </c>
      <c r="K83" s="969"/>
      <c r="N83" s="478"/>
    </row>
    <row r="84" spans="1:14" s="566" customFormat="1">
      <c r="A84" s="970"/>
      <c r="B84" s="516">
        <v>1619000780</v>
      </c>
      <c r="C84" s="970">
        <v>780</v>
      </c>
      <c r="D84" s="970">
        <v>619000</v>
      </c>
      <c r="E84" s="970">
        <v>1</v>
      </c>
      <c r="F84" s="970" t="s">
        <v>3176</v>
      </c>
      <c r="G84" s="67">
        <v>0</v>
      </c>
      <c r="H84" s="915">
        <v>0</v>
      </c>
      <c r="I84" s="915">
        <v>800000</v>
      </c>
      <c r="J84" s="970" t="s">
        <v>3176</v>
      </c>
      <c r="K84" s="969"/>
      <c r="N84" s="478"/>
    </row>
    <row r="85" spans="1:14" s="566" customFormat="1" ht="15">
      <c r="A85" s="68" t="s">
        <v>3175</v>
      </c>
      <c r="B85" s="1052"/>
      <c r="C85" s="68">
        <v>999</v>
      </c>
      <c r="D85" s="68">
        <v>619000</v>
      </c>
      <c r="E85" s="970">
        <v>1</v>
      </c>
      <c r="F85" s="68"/>
      <c r="G85" s="70">
        <v>0</v>
      </c>
      <c r="H85" s="945">
        <v>0</v>
      </c>
      <c r="I85" s="916">
        <v>850000</v>
      </c>
      <c r="J85" s="1050"/>
      <c r="K85" s="969"/>
      <c r="N85" s="478"/>
    </row>
    <row r="86" spans="1:14">
      <c r="A86" s="970" t="s">
        <v>344</v>
      </c>
      <c r="B86" s="516">
        <v>1621000110</v>
      </c>
      <c r="C86" s="970">
        <v>110</v>
      </c>
      <c r="D86" s="970">
        <v>621000</v>
      </c>
      <c r="E86" s="480">
        <v>1</v>
      </c>
      <c r="F86" s="970" t="s">
        <v>345</v>
      </c>
      <c r="G86" s="67">
        <v>1705000</v>
      </c>
      <c r="H86" s="915">
        <v>1708000</v>
      </c>
      <c r="I86" s="915">
        <v>1692000</v>
      </c>
      <c r="J86" s="230" t="s">
        <v>346</v>
      </c>
      <c r="K86" s="969"/>
      <c r="N86" s="478"/>
    </row>
    <row r="87" spans="1:14">
      <c r="A87" s="970"/>
      <c r="B87" s="516">
        <v>1621000530</v>
      </c>
      <c r="C87" s="970">
        <v>530</v>
      </c>
      <c r="D87" s="970">
        <v>621000</v>
      </c>
      <c r="E87" s="970">
        <v>1</v>
      </c>
      <c r="F87" s="970" t="s">
        <v>277</v>
      </c>
      <c r="G87" s="67">
        <v>70000</v>
      </c>
      <c r="H87" s="915">
        <v>71000</v>
      </c>
      <c r="I87" s="915">
        <v>140000</v>
      </c>
      <c r="J87" s="230" t="s">
        <v>287</v>
      </c>
      <c r="K87" s="969"/>
      <c r="N87" s="478"/>
    </row>
    <row r="88" spans="1:14">
      <c r="A88" s="970"/>
      <c r="B88" s="516">
        <v>1621000540</v>
      </c>
      <c r="C88" s="970">
        <v>540</v>
      </c>
      <c r="D88" s="970">
        <v>621000</v>
      </c>
      <c r="E88" s="970">
        <v>1</v>
      </c>
      <c r="F88" s="970" t="s">
        <v>279</v>
      </c>
      <c r="G88" s="67">
        <v>15000</v>
      </c>
      <c r="H88" s="915">
        <v>11000</v>
      </c>
      <c r="I88" s="915">
        <v>15000</v>
      </c>
      <c r="J88" s="230" t="s">
        <v>347</v>
      </c>
      <c r="K88" s="969"/>
      <c r="N88" s="478"/>
    </row>
    <row r="89" spans="1:14">
      <c r="A89" s="970"/>
      <c r="B89" s="516">
        <v>1621000750</v>
      </c>
      <c r="C89" s="970">
        <v>750</v>
      </c>
      <c r="D89" s="970">
        <v>621000</v>
      </c>
      <c r="E89" s="970">
        <v>1</v>
      </c>
      <c r="F89" s="970" t="s">
        <v>288</v>
      </c>
      <c r="G89" s="67">
        <v>75000</v>
      </c>
      <c r="H89" s="915">
        <v>75000</v>
      </c>
      <c r="I89" s="915">
        <v>75000</v>
      </c>
      <c r="J89" s="230" t="s">
        <v>3527</v>
      </c>
      <c r="K89" s="969"/>
      <c r="N89" s="478"/>
    </row>
    <row r="90" spans="1:14">
      <c r="A90" s="970"/>
      <c r="B90" s="516">
        <v>1621000780</v>
      </c>
      <c r="C90" s="970">
        <v>780</v>
      </c>
      <c r="D90" s="970">
        <v>621000</v>
      </c>
      <c r="E90" s="970">
        <v>1</v>
      </c>
      <c r="F90" s="970" t="s">
        <v>280</v>
      </c>
      <c r="G90" s="67">
        <v>50000</v>
      </c>
      <c r="H90" s="915">
        <v>53000</v>
      </c>
      <c r="I90" s="915">
        <v>55000</v>
      </c>
      <c r="J90" s="230" t="s">
        <v>3528</v>
      </c>
      <c r="K90" s="969"/>
      <c r="N90" s="478"/>
    </row>
    <row r="91" spans="1:14" ht="15">
      <c r="A91" s="68" t="s">
        <v>350</v>
      </c>
      <c r="B91" s="1052"/>
      <c r="C91" s="68">
        <v>999</v>
      </c>
      <c r="D91" s="68">
        <v>621000</v>
      </c>
      <c r="E91" s="970">
        <v>1</v>
      </c>
      <c r="F91" s="68"/>
      <c r="G91" s="69">
        <v>1915000</v>
      </c>
      <c r="H91" s="945">
        <v>1918000</v>
      </c>
      <c r="I91" s="916">
        <v>1977000</v>
      </c>
      <c r="J91" s="1050"/>
      <c r="K91" s="969"/>
      <c r="N91" s="478"/>
    </row>
    <row r="92" spans="1:14">
      <c r="A92" s="970" t="s">
        <v>351</v>
      </c>
      <c r="B92" s="516">
        <v>1621300110</v>
      </c>
      <c r="C92" s="970">
        <v>110</v>
      </c>
      <c r="D92" s="970">
        <v>621300</v>
      </c>
      <c r="E92" s="480">
        <v>1</v>
      </c>
      <c r="F92" s="970" t="s">
        <v>352</v>
      </c>
      <c r="G92" s="67">
        <v>2948000</v>
      </c>
      <c r="H92" s="915">
        <v>2788000</v>
      </c>
      <c r="I92" s="915">
        <v>3087000</v>
      </c>
      <c r="J92" s="230" t="s">
        <v>274</v>
      </c>
      <c r="K92" s="969"/>
      <c r="N92" s="478"/>
    </row>
    <row r="93" spans="1:14" s="566" customFormat="1">
      <c r="A93" s="970"/>
      <c r="B93" s="516">
        <v>1621300410</v>
      </c>
      <c r="C93" s="970">
        <v>410</v>
      </c>
      <c r="D93" s="970">
        <v>621300</v>
      </c>
      <c r="E93" s="480">
        <v>1</v>
      </c>
      <c r="F93" s="970" t="s">
        <v>304</v>
      </c>
      <c r="G93" s="67">
        <v>0</v>
      </c>
      <c r="H93" s="915">
        <v>0</v>
      </c>
      <c r="I93" s="915">
        <v>79000</v>
      </c>
      <c r="J93" s="230"/>
      <c r="K93" s="969"/>
      <c r="N93" s="478"/>
    </row>
    <row r="94" spans="1:14">
      <c r="A94" s="970"/>
      <c r="B94" s="516">
        <v>1621300540</v>
      </c>
      <c r="C94" s="970">
        <v>540</v>
      </c>
      <c r="D94" s="970">
        <v>621300</v>
      </c>
      <c r="E94" s="970">
        <v>1</v>
      </c>
      <c r="F94" s="970" t="s">
        <v>279</v>
      </c>
      <c r="G94" s="67">
        <v>2000</v>
      </c>
      <c r="H94" s="915">
        <v>1000</v>
      </c>
      <c r="I94" s="915">
        <v>2000</v>
      </c>
      <c r="J94" s="230" t="s">
        <v>4</v>
      </c>
      <c r="K94" s="969"/>
      <c r="N94" s="478"/>
    </row>
    <row r="95" spans="1:14" ht="28.5">
      <c r="A95" s="970"/>
      <c r="B95" s="516">
        <v>1621300750</v>
      </c>
      <c r="C95" s="970">
        <v>750</v>
      </c>
      <c r="D95" s="970">
        <v>621300</v>
      </c>
      <c r="E95" s="970">
        <v>1</v>
      </c>
      <c r="F95" s="970" t="s">
        <v>288</v>
      </c>
      <c r="G95" s="67">
        <v>230000</v>
      </c>
      <c r="H95" s="915">
        <v>206000</v>
      </c>
      <c r="I95" s="915">
        <v>330000</v>
      </c>
      <c r="J95" s="230" t="s">
        <v>2407</v>
      </c>
      <c r="K95" s="969"/>
      <c r="N95" s="478"/>
    </row>
    <row r="96" spans="1:14" ht="28.5">
      <c r="A96" s="970"/>
      <c r="B96" s="516">
        <v>1621300780</v>
      </c>
      <c r="C96" s="970">
        <v>780</v>
      </c>
      <c r="D96" s="970">
        <v>621300</v>
      </c>
      <c r="E96" s="970">
        <v>1</v>
      </c>
      <c r="F96" s="970" t="s">
        <v>280</v>
      </c>
      <c r="G96" s="67">
        <v>90000</v>
      </c>
      <c r="H96" s="915">
        <v>98000</v>
      </c>
      <c r="I96" s="915">
        <v>90000</v>
      </c>
      <c r="J96" s="230" t="s">
        <v>3529</v>
      </c>
      <c r="K96" s="969"/>
      <c r="N96" s="478"/>
    </row>
    <row r="97" spans="1:14" ht="15">
      <c r="A97" s="68" t="s">
        <v>354</v>
      </c>
      <c r="B97" s="1052"/>
      <c r="C97" s="68">
        <v>999</v>
      </c>
      <c r="D97" s="68">
        <v>621300</v>
      </c>
      <c r="E97" s="970">
        <v>1</v>
      </c>
      <c r="F97" s="68"/>
      <c r="G97" s="69">
        <v>3270000</v>
      </c>
      <c r="H97" s="945">
        <v>3093000</v>
      </c>
      <c r="I97" s="916">
        <v>3588000</v>
      </c>
      <c r="J97" s="1050"/>
      <c r="K97" s="969"/>
      <c r="N97" s="478"/>
    </row>
    <row r="98" spans="1:14">
      <c r="A98" s="970" t="s">
        <v>355</v>
      </c>
      <c r="B98" s="516">
        <v>1623000110</v>
      </c>
      <c r="C98" s="970">
        <v>110</v>
      </c>
      <c r="D98" s="970">
        <v>623000</v>
      </c>
      <c r="E98" s="480">
        <v>1</v>
      </c>
      <c r="F98" s="970" t="s">
        <v>356</v>
      </c>
      <c r="G98" s="67">
        <v>4695000</v>
      </c>
      <c r="H98" s="915">
        <v>4848000</v>
      </c>
      <c r="I98" s="915">
        <v>5115000</v>
      </c>
      <c r="J98" s="230" t="s">
        <v>274</v>
      </c>
      <c r="K98" s="969"/>
      <c r="N98" s="478"/>
    </row>
    <row r="99" spans="1:14">
      <c r="A99" s="970"/>
      <c r="B99" s="516">
        <v>1623000530</v>
      </c>
      <c r="C99" s="970">
        <v>530</v>
      </c>
      <c r="D99" s="970">
        <v>623000</v>
      </c>
      <c r="E99" s="970">
        <v>1</v>
      </c>
      <c r="F99" s="970" t="s">
        <v>277</v>
      </c>
      <c r="G99" s="67">
        <v>95000</v>
      </c>
      <c r="H99" s="915">
        <v>115000</v>
      </c>
      <c r="I99" s="915">
        <v>95000</v>
      </c>
      <c r="J99" s="230" t="s">
        <v>287</v>
      </c>
      <c r="K99" s="969"/>
      <c r="N99" s="478"/>
    </row>
    <row r="100" spans="1:14">
      <c r="A100" s="970"/>
      <c r="B100" s="516">
        <v>1623000540</v>
      </c>
      <c r="C100" s="970">
        <v>540</v>
      </c>
      <c r="D100" s="970">
        <v>623000</v>
      </c>
      <c r="E100" s="970">
        <v>1</v>
      </c>
      <c r="F100" s="970" t="s">
        <v>279</v>
      </c>
      <c r="G100" s="67">
        <v>330000</v>
      </c>
      <c r="H100" s="915">
        <v>259000</v>
      </c>
      <c r="I100" s="915">
        <v>300000</v>
      </c>
      <c r="J100" s="230" t="s">
        <v>3530</v>
      </c>
      <c r="K100" s="969"/>
      <c r="N100" s="478"/>
    </row>
    <row r="101" spans="1:14">
      <c r="A101" s="970"/>
      <c r="B101" s="516">
        <v>1623000750</v>
      </c>
      <c r="C101" s="970">
        <v>750</v>
      </c>
      <c r="D101" s="970">
        <v>623000</v>
      </c>
      <c r="E101" s="970">
        <v>1</v>
      </c>
      <c r="F101" s="970" t="s">
        <v>288</v>
      </c>
      <c r="G101" s="67">
        <v>2500000</v>
      </c>
      <c r="H101" s="915">
        <v>4029000</v>
      </c>
      <c r="I101" s="915">
        <v>3000000</v>
      </c>
      <c r="J101" s="230" t="s">
        <v>358</v>
      </c>
      <c r="K101" s="969"/>
      <c r="N101" s="478"/>
    </row>
    <row r="102" spans="1:14">
      <c r="A102" s="970"/>
      <c r="B102" s="516">
        <v>1623000751</v>
      </c>
      <c r="C102" s="970">
        <v>751</v>
      </c>
      <c r="D102" s="970">
        <v>623000</v>
      </c>
      <c r="E102" s="970">
        <v>1</v>
      </c>
      <c r="F102" s="970" t="s">
        <v>359</v>
      </c>
      <c r="G102" s="67">
        <v>200000</v>
      </c>
      <c r="H102" s="915">
        <v>200000</v>
      </c>
      <c r="I102" s="915">
        <v>170000</v>
      </c>
      <c r="J102" s="230" t="s">
        <v>874</v>
      </c>
      <c r="K102" s="969"/>
      <c r="N102" s="478"/>
    </row>
    <row r="103" spans="1:14">
      <c r="A103" s="970"/>
      <c r="B103" s="516">
        <v>1623000780</v>
      </c>
      <c r="C103" s="970">
        <v>780</v>
      </c>
      <c r="D103" s="970">
        <v>623000</v>
      </c>
      <c r="E103" s="970">
        <v>1</v>
      </c>
      <c r="F103" s="970" t="s">
        <v>280</v>
      </c>
      <c r="G103" s="67">
        <v>60000</v>
      </c>
      <c r="H103" s="915">
        <v>63000</v>
      </c>
      <c r="I103" s="915">
        <v>60000</v>
      </c>
      <c r="J103" s="230" t="s">
        <v>297</v>
      </c>
      <c r="K103" s="969"/>
      <c r="N103" s="478"/>
    </row>
    <row r="104" spans="1:14" ht="15">
      <c r="A104" s="68" t="s">
        <v>360</v>
      </c>
      <c r="B104" s="1052"/>
      <c r="C104" s="68">
        <v>999</v>
      </c>
      <c r="D104" s="68">
        <v>623000</v>
      </c>
      <c r="E104" s="970">
        <v>1</v>
      </c>
      <c r="F104" s="68"/>
      <c r="G104" s="69">
        <v>7880000</v>
      </c>
      <c r="H104" s="945">
        <v>9514000</v>
      </c>
      <c r="I104" s="916">
        <v>8740000</v>
      </c>
      <c r="J104" s="1050"/>
      <c r="K104" s="969"/>
      <c r="N104" s="478"/>
    </row>
    <row r="105" spans="1:14">
      <c r="A105" s="970" t="s">
        <v>361</v>
      </c>
      <c r="B105" s="516">
        <v>1631000610</v>
      </c>
      <c r="C105" s="970">
        <v>610</v>
      </c>
      <c r="D105" s="970">
        <v>631000</v>
      </c>
      <c r="E105" s="970">
        <v>1</v>
      </c>
      <c r="F105" s="970" t="s">
        <v>362</v>
      </c>
      <c r="G105" s="67">
        <v>550000</v>
      </c>
      <c r="H105" s="915">
        <v>659000</v>
      </c>
      <c r="I105" s="915">
        <v>600000</v>
      </c>
      <c r="J105" s="230" t="s">
        <v>363</v>
      </c>
      <c r="K105" s="969"/>
      <c r="N105" s="478"/>
    </row>
    <row r="106" spans="1:14">
      <c r="A106" s="970"/>
      <c r="B106" s="516">
        <v>1631100620</v>
      </c>
      <c r="C106" s="970">
        <v>620</v>
      </c>
      <c r="D106" s="970">
        <v>631100</v>
      </c>
      <c r="E106" s="970">
        <v>1</v>
      </c>
      <c r="F106" s="970" t="s">
        <v>364</v>
      </c>
      <c r="G106" s="67">
        <v>900000</v>
      </c>
      <c r="H106" s="915">
        <v>1051000</v>
      </c>
      <c r="I106" s="915">
        <v>1000000</v>
      </c>
      <c r="J106" s="230" t="s">
        <v>365</v>
      </c>
      <c r="K106" s="969"/>
      <c r="N106" s="478"/>
    </row>
    <row r="107" spans="1:14">
      <c r="A107" s="970"/>
      <c r="B107" s="516">
        <v>1632000620</v>
      </c>
      <c r="C107" s="970">
        <v>620</v>
      </c>
      <c r="D107" s="970">
        <v>632000</v>
      </c>
      <c r="E107" s="970">
        <v>1</v>
      </c>
      <c r="F107" s="970" t="s">
        <v>366</v>
      </c>
      <c r="G107" s="67">
        <v>200000</v>
      </c>
      <c r="H107" s="915">
        <v>201000</v>
      </c>
      <c r="I107" s="915">
        <v>200000</v>
      </c>
      <c r="J107" s="230" t="s">
        <v>367</v>
      </c>
      <c r="K107" s="969"/>
      <c r="N107" s="478"/>
    </row>
    <row r="108" spans="1:14" ht="15">
      <c r="A108" s="68" t="s">
        <v>368</v>
      </c>
      <c r="B108" s="1052"/>
      <c r="C108" s="68">
        <v>999</v>
      </c>
      <c r="D108" s="68">
        <v>630000</v>
      </c>
      <c r="E108" s="970">
        <v>1</v>
      </c>
      <c r="F108" s="68"/>
      <c r="G108" s="69">
        <v>1650000</v>
      </c>
      <c r="H108" s="945">
        <v>1911000</v>
      </c>
      <c r="I108" s="916">
        <v>1800000</v>
      </c>
      <c r="J108" s="1050"/>
      <c r="K108" s="969"/>
      <c r="N108" s="478"/>
    </row>
    <row r="109" spans="1:14">
      <c r="A109" s="970" t="s">
        <v>369</v>
      </c>
      <c r="B109" s="516">
        <v>1649100691</v>
      </c>
      <c r="C109" s="970">
        <v>691</v>
      </c>
      <c r="D109" s="970">
        <v>649100</v>
      </c>
      <c r="E109" s="970">
        <v>1</v>
      </c>
      <c r="F109" s="970" t="s">
        <v>370</v>
      </c>
      <c r="G109" s="71">
        <v>24687000</v>
      </c>
      <c r="H109" s="915">
        <v>25170000</v>
      </c>
      <c r="I109" s="915">
        <v>25097000.390000001</v>
      </c>
      <c r="J109" s="230" t="s">
        <v>371</v>
      </c>
      <c r="K109" s="969"/>
      <c r="N109" s="478"/>
    </row>
    <row r="110" spans="1:14">
      <c r="A110" s="970"/>
      <c r="B110" s="516">
        <v>1649100692</v>
      </c>
      <c r="C110" s="970">
        <v>692</v>
      </c>
      <c r="D110" s="970">
        <v>649100</v>
      </c>
      <c r="E110" s="970">
        <v>1</v>
      </c>
      <c r="F110" s="970" t="s">
        <v>372</v>
      </c>
      <c r="G110" s="71">
        <v>3959000</v>
      </c>
      <c r="H110" s="915">
        <v>4960000</v>
      </c>
      <c r="I110" s="915">
        <v>5000000.3</v>
      </c>
      <c r="J110" s="230" t="s">
        <v>373</v>
      </c>
      <c r="K110" s="969"/>
      <c r="N110" s="478"/>
    </row>
    <row r="111" spans="1:14">
      <c r="A111" s="970"/>
      <c r="B111" s="516">
        <v>1649100693</v>
      </c>
      <c r="C111" s="970">
        <v>693</v>
      </c>
      <c r="D111" s="970">
        <v>649100</v>
      </c>
      <c r="E111" s="970">
        <v>1</v>
      </c>
      <c r="F111" s="970" t="s">
        <v>374</v>
      </c>
      <c r="G111" s="71">
        <v>191000</v>
      </c>
      <c r="H111" s="915">
        <v>160000</v>
      </c>
      <c r="I111" s="915">
        <v>189999.50000000003</v>
      </c>
      <c r="J111" s="230" t="s">
        <v>375</v>
      </c>
      <c r="K111" s="969"/>
      <c r="N111" s="478"/>
    </row>
    <row r="112" spans="1:14">
      <c r="A112" s="970"/>
      <c r="B112" s="516">
        <v>1649100694</v>
      </c>
      <c r="C112" s="970">
        <v>694</v>
      </c>
      <c r="D112" s="970">
        <v>649100</v>
      </c>
      <c r="E112" s="970">
        <v>1</v>
      </c>
      <c r="F112" s="970" t="s">
        <v>376</v>
      </c>
      <c r="G112" s="71">
        <v>786000</v>
      </c>
      <c r="H112" s="915">
        <v>787000</v>
      </c>
      <c r="I112" s="915">
        <v>889999.52</v>
      </c>
      <c r="J112" s="230" t="s">
        <v>377</v>
      </c>
      <c r="K112" s="969"/>
      <c r="N112" s="478"/>
    </row>
    <row r="113" spans="1:14" ht="15">
      <c r="A113" s="68" t="s">
        <v>378</v>
      </c>
      <c r="B113" s="1052"/>
      <c r="C113" s="68">
        <v>999</v>
      </c>
      <c r="D113" s="68">
        <v>649100</v>
      </c>
      <c r="E113" s="970">
        <v>1</v>
      </c>
      <c r="F113" s="68"/>
      <c r="G113" s="69">
        <v>29623000</v>
      </c>
      <c r="H113" s="945">
        <v>31077000</v>
      </c>
      <c r="I113" s="916">
        <v>31176999.710000001</v>
      </c>
      <c r="J113" s="1050"/>
      <c r="K113" s="969"/>
      <c r="N113" s="478"/>
    </row>
    <row r="114" spans="1:14">
      <c r="A114" s="970" t="s">
        <v>380</v>
      </c>
      <c r="B114" s="516">
        <v>1710000110</v>
      </c>
      <c r="C114" s="970">
        <v>110</v>
      </c>
      <c r="D114" s="970">
        <v>710000</v>
      </c>
      <c r="E114" s="480">
        <v>1</v>
      </c>
      <c r="F114" s="970" t="s">
        <v>381</v>
      </c>
      <c r="G114" s="67">
        <v>2130000</v>
      </c>
      <c r="H114" s="915">
        <v>2135000</v>
      </c>
      <c r="I114" s="915">
        <v>2155000</v>
      </c>
      <c r="J114" s="230" t="s">
        <v>274</v>
      </c>
      <c r="K114" s="969"/>
      <c r="N114" s="478"/>
    </row>
    <row r="115" spans="1:14">
      <c r="A115" s="970"/>
      <c r="B115" s="516">
        <v>1710000410</v>
      </c>
      <c r="C115" s="970">
        <v>410</v>
      </c>
      <c r="D115" s="970">
        <v>710000</v>
      </c>
      <c r="E115" s="970">
        <v>1</v>
      </c>
      <c r="F115" s="970" t="s">
        <v>304</v>
      </c>
      <c r="G115" s="67">
        <v>440000</v>
      </c>
      <c r="H115" s="915">
        <v>444000</v>
      </c>
      <c r="I115" s="915">
        <v>440000</v>
      </c>
      <c r="J115" s="230" t="s">
        <v>305</v>
      </c>
      <c r="K115" s="969"/>
      <c r="N115" s="478"/>
    </row>
    <row r="116" spans="1:14">
      <c r="A116" s="970"/>
      <c r="B116" s="516">
        <v>1710000430</v>
      </c>
      <c r="C116" s="970">
        <v>430</v>
      </c>
      <c r="D116" s="970">
        <v>710000</v>
      </c>
      <c r="E116" s="970">
        <v>1</v>
      </c>
      <c r="F116" s="970" t="s">
        <v>311</v>
      </c>
      <c r="G116" s="67">
        <v>40000</v>
      </c>
      <c r="H116" s="915">
        <v>40000</v>
      </c>
      <c r="I116" s="915">
        <v>40000</v>
      </c>
      <c r="J116" s="230" t="s">
        <v>382</v>
      </c>
      <c r="K116" s="969"/>
      <c r="N116" s="478"/>
    </row>
    <row r="117" spans="1:14">
      <c r="A117" s="970"/>
      <c r="B117" s="516">
        <v>1710000530</v>
      </c>
      <c r="C117" s="970">
        <v>530</v>
      </c>
      <c r="D117" s="970">
        <v>710000</v>
      </c>
      <c r="E117" s="970">
        <v>1</v>
      </c>
      <c r="F117" s="970" t="s">
        <v>277</v>
      </c>
      <c r="G117" s="67">
        <v>140000</v>
      </c>
      <c r="H117" s="915">
        <v>150000</v>
      </c>
      <c r="I117" s="915">
        <v>160000</v>
      </c>
      <c r="J117" s="230" t="s">
        <v>287</v>
      </c>
      <c r="K117" s="969"/>
      <c r="N117" s="478"/>
    </row>
    <row r="118" spans="1:14">
      <c r="A118" s="970"/>
      <c r="B118" s="516">
        <v>1710000540</v>
      </c>
      <c r="C118" s="970">
        <v>540</v>
      </c>
      <c r="D118" s="970">
        <v>710000</v>
      </c>
      <c r="E118" s="970">
        <v>1</v>
      </c>
      <c r="F118" s="970" t="s">
        <v>279</v>
      </c>
      <c r="G118" s="67">
        <v>4000</v>
      </c>
      <c r="H118" s="915">
        <v>4000</v>
      </c>
      <c r="I118" s="915">
        <v>4000</v>
      </c>
      <c r="J118" s="230"/>
      <c r="K118" s="969"/>
      <c r="N118" s="478"/>
    </row>
    <row r="119" spans="1:14">
      <c r="A119" s="970"/>
      <c r="B119" s="516">
        <v>1710000750</v>
      </c>
      <c r="C119" s="970">
        <v>750</v>
      </c>
      <c r="D119" s="970">
        <v>710000</v>
      </c>
      <c r="E119" s="970">
        <v>1</v>
      </c>
      <c r="F119" s="970" t="s">
        <v>288</v>
      </c>
      <c r="G119" s="67">
        <v>520000</v>
      </c>
      <c r="H119" s="915">
        <v>520000</v>
      </c>
      <c r="I119" s="915">
        <v>450000</v>
      </c>
      <c r="J119" s="1042" t="s">
        <v>3969</v>
      </c>
      <c r="K119" s="969"/>
      <c r="N119" s="478"/>
    </row>
    <row r="120" spans="1:14">
      <c r="A120" s="970"/>
      <c r="B120" s="516">
        <v>1710000780</v>
      </c>
      <c r="C120" s="970">
        <v>780</v>
      </c>
      <c r="D120" s="970">
        <v>710000</v>
      </c>
      <c r="E120" s="970">
        <v>1</v>
      </c>
      <c r="F120" s="970" t="s">
        <v>379</v>
      </c>
      <c r="G120" s="67">
        <v>50000</v>
      </c>
      <c r="H120" s="915">
        <v>50000</v>
      </c>
      <c r="I120" s="915">
        <v>50000</v>
      </c>
      <c r="J120" s="230"/>
      <c r="K120" s="969"/>
      <c r="N120" s="478"/>
    </row>
    <row r="121" spans="1:14" ht="15">
      <c r="A121" s="68" t="s">
        <v>383</v>
      </c>
      <c r="B121" s="1052"/>
      <c r="C121" s="68">
        <v>999</v>
      </c>
      <c r="D121" s="68">
        <v>710000</v>
      </c>
      <c r="E121" s="970">
        <v>1</v>
      </c>
      <c r="F121" s="68"/>
      <c r="G121" s="69">
        <v>3324000</v>
      </c>
      <c r="H121" s="945">
        <v>3343000</v>
      </c>
      <c r="I121" s="916">
        <v>3299000</v>
      </c>
      <c r="J121" s="1050"/>
      <c r="K121" s="969"/>
      <c r="N121" s="478"/>
    </row>
    <row r="122" spans="1:14">
      <c r="A122" s="970" t="s">
        <v>384</v>
      </c>
      <c r="B122" s="516">
        <v>1711000110</v>
      </c>
      <c r="C122" s="970">
        <v>110</v>
      </c>
      <c r="D122" s="970">
        <v>711000</v>
      </c>
      <c r="E122" s="480">
        <v>1</v>
      </c>
      <c r="F122" s="970" t="s">
        <v>385</v>
      </c>
      <c r="G122" s="67">
        <v>746000</v>
      </c>
      <c r="H122" s="915">
        <v>786000</v>
      </c>
      <c r="I122" s="915">
        <v>798000</v>
      </c>
      <c r="J122" s="230" t="s">
        <v>274</v>
      </c>
      <c r="K122" s="969"/>
      <c r="N122" s="478"/>
    </row>
    <row r="123" spans="1:14">
      <c r="A123" s="970"/>
      <c r="B123" s="516">
        <v>1711000530</v>
      </c>
      <c r="C123" s="970">
        <v>530</v>
      </c>
      <c r="D123" s="970">
        <v>711000</v>
      </c>
      <c r="E123" s="970">
        <v>1</v>
      </c>
      <c r="F123" s="970" t="s">
        <v>277</v>
      </c>
      <c r="G123" s="67">
        <v>130000</v>
      </c>
      <c r="H123" s="915">
        <v>127000</v>
      </c>
      <c r="I123" s="915">
        <v>140000</v>
      </c>
      <c r="J123" s="230" t="s">
        <v>287</v>
      </c>
      <c r="K123" s="969"/>
      <c r="N123" s="478"/>
    </row>
    <row r="124" spans="1:14">
      <c r="A124" s="970"/>
      <c r="B124" s="516">
        <v>1711000540</v>
      </c>
      <c r="C124" s="970">
        <v>540</v>
      </c>
      <c r="D124" s="970">
        <v>711000</v>
      </c>
      <c r="E124" s="970">
        <v>1</v>
      </c>
      <c r="F124" s="970" t="s">
        <v>279</v>
      </c>
      <c r="G124" s="67">
        <v>6000</v>
      </c>
      <c r="H124" s="915">
        <v>9000</v>
      </c>
      <c r="I124" s="915">
        <v>6000</v>
      </c>
      <c r="J124" s="230" t="s">
        <v>386</v>
      </c>
      <c r="K124" s="969"/>
      <c r="N124" s="478"/>
    </row>
    <row r="125" spans="1:14" ht="15">
      <c r="A125" s="68" t="s">
        <v>387</v>
      </c>
      <c r="B125" s="1052"/>
      <c r="C125" s="68">
        <v>999</v>
      </c>
      <c r="D125" s="68">
        <v>711000</v>
      </c>
      <c r="E125" s="970">
        <v>1</v>
      </c>
      <c r="F125" s="68"/>
      <c r="G125" s="69">
        <v>882000</v>
      </c>
      <c r="H125" s="945">
        <v>922000</v>
      </c>
      <c r="I125" s="916">
        <v>944000</v>
      </c>
      <c r="J125" s="1050"/>
      <c r="K125" s="969"/>
      <c r="N125" s="478"/>
    </row>
    <row r="126" spans="1:14" ht="42.75">
      <c r="A126" s="970" t="s">
        <v>388</v>
      </c>
      <c r="B126" s="516">
        <v>1712200750</v>
      </c>
      <c r="C126" s="970">
        <v>750</v>
      </c>
      <c r="D126" s="970">
        <v>712200</v>
      </c>
      <c r="E126" s="970">
        <v>1</v>
      </c>
      <c r="F126" s="970" t="s">
        <v>288</v>
      </c>
      <c r="G126" s="67">
        <v>18195200</v>
      </c>
      <c r="H126" s="915">
        <v>23000000</v>
      </c>
      <c r="I126" s="915">
        <v>22000000</v>
      </c>
      <c r="J126" s="1057" t="s">
        <v>3977</v>
      </c>
      <c r="K126" s="969"/>
      <c r="N126" s="478"/>
    </row>
    <row r="127" spans="1:14" ht="15">
      <c r="A127" s="68" t="s">
        <v>389</v>
      </c>
      <c r="B127" s="1052"/>
      <c r="C127" s="68">
        <v>999</v>
      </c>
      <c r="D127" s="68">
        <v>712200</v>
      </c>
      <c r="E127" s="970">
        <v>1</v>
      </c>
      <c r="F127" s="68"/>
      <c r="G127" s="69">
        <v>18195200</v>
      </c>
      <c r="H127" s="945">
        <v>23000000</v>
      </c>
      <c r="I127" s="916">
        <v>22000000</v>
      </c>
      <c r="J127" s="69"/>
      <c r="K127" s="969"/>
      <c r="N127" s="478"/>
    </row>
    <row r="128" spans="1:14" ht="42.75">
      <c r="A128" s="970" t="s">
        <v>390</v>
      </c>
      <c r="B128" s="516">
        <v>1712300750</v>
      </c>
      <c r="C128" s="970">
        <v>750</v>
      </c>
      <c r="D128" s="970">
        <v>712300</v>
      </c>
      <c r="E128" s="970">
        <v>1</v>
      </c>
      <c r="F128" s="970" t="s">
        <v>390</v>
      </c>
      <c r="G128" s="67">
        <v>47341800</v>
      </c>
      <c r="H128" s="915">
        <v>48600000</v>
      </c>
      <c r="I128" s="915">
        <v>48700000</v>
      </c>
      <c r="J128" s="1057" t="s">
        <v>3531</v>
      </c>
      <c r="K128" s="969"/>
      <c r="N128" s="478"/>
    </row>
    <row r="129" spans="1:14">
      <c r="A129" s="970"/>
      <c r="B129" s="516">
        <v>1712300751</v>
      </c>
      <c r="C129" s="970">
        <v>751</v>
      </c>
      <c r="D129" s="970">
        <v>712300</v>
      </c>
      <c r="E129" s="970">
        <v>1</v>
      </c>
      <c r="F129" s="970" t="s">
        <v>391</v>
      </c>
      <c r="G129" s="67">
        <v>630000</v>
      </c>
      <c r="H129" s="915">
        <v>560000</v>
      </c>
      <c r="I129" s="915">
        <v>560000</v>
      </c>
      <c r="J129" s="230" t="s">
        <v>3514</v>
      </c>
      <c r="K129" s="969"/>
      <c r="N129" s="478"/>
    </row>
    <row r="130" spans="1:14" ht="15">
      <c r="A130" s="68" t="s">
        <v>392</v>
      </c>
      <c r="B130" s="1052"/>
      <c r="C130" s="68">
        <v>999</v>
      </c>
      <c r="D130" s="68">
        <v>712300</v>
      </c>
      <c r="E130" s="970">
        <v>1</v>
      </c>
      <c r="F130" s="68"/>
      <c r="G130" s="69">
        <v>47971800</v>
      </c>
      <c r="H130" s="945">
        <v>49160000</v>
      </c>
      <c r="I130" s="916">
        <v>49260000</v>
      </c>
      <c r="J130" s="1050"/>
      <c r="K130" s="969"/>
      <c r="N130" s="478"/>
    </row>
    <row r="131" spans="1:14">
      <c r="A131" s="970" t="s">
        <v>393</v>
      </c>
      <c r="B131" s="516">
        <v>1713000110</v>
      </c>
      <c r="C131" s="970">
        <v>110</v>
      </c>
      <c r="D131" s="970">
        <v>713000</v>
      </c>
      <c r="E131" s="480">
        <v>1</v>
      </c>
      <c r="F131" s="970" t="s">
        <v>394</v>
      </c>
      <c r="G131" s="67">
        <v>5522000</v>
      </c>
      <c r="H131" s="915">
        <v>5122000</v>
      </c>
      <c r="I131" s="915">
        <v>5838000</v>
      </c>
      <c r="J131" s="230" t="s">
        <v>274</v>
      </c>
      <c r="K131" s="969"/>
      <c r="N131" s="478"/>
    </row>
    <row r="132" spans="1:14">
      <c r="A132" s="970"/>
      <c r="B132" s="516">
        <v>1713000530</v>
      </c>
      <c r="C132" s="970">
        <v>530</v>
      </c>
      <c r="D132" s="970">
        <v>713000</v>
      </c>
      <c r="E132" s="970">
        <v>1</v>
      </c>
      <c r="F132" s="970" t="s">
        <v>277</v>
      </c>
      <c r="G132" s="67">
        <v>480000</v>
      </c>
      <c r="H132" s="915">
        <v>488000</v>
      </c>
      <c r="I132" s="915">
        <v>580000</v>
      </c>
      <c r="J132" s="230" t="s">
        <v>287</v>
      </c>
      <c r="K132" s="969"/>
      <c r="N132" s="478"/>
    </row>
    <row r="133" spans="1:14">
      <c r="A133" s="970"/>
      <c r="B133" s="516">
        <v>1713000540</v>
      </c>
      <c r="C133" s="970">
        <v>540</v>
      </c>
      <c r="D133" s="970">
        <v>713000</v>
      </c>
      <c r="E133" s="970">
        <v>1</v>
      </c>
      <c r="F133" s="970" t="s">
        <v>279</v>
      </c>
      <c r="G133" s="67">
        <v>12000</v>
      </c>
      <c r="H133" s="915">
        <v>19000</v>
      </c>
      <c r="I133" s="915">
        <v>12000</v>
      </c>
      <c r="J133" s="230"/>
      <c r="K133" s="969"/>
      <c r="N133" s="478"/>
    </row>
    <row r="134" spans="1:14">
      <c r="A134" s="970"/>
      <c r="B134" s="516">
        <v>1713000750</v>
      </c>
      <c r="C134" s="970">
        <v>750</v>
      </c>
      <c r="D134" s="970">
        <v>713000</v>
      </c>
      <c r="E134" s="970">
        <v>1</v>
      </c>
      <c r="F134" s="970" t="s">
        <v>395</v>
      </c>
      <c r="G134" s="67">
        <v>200000</v>
      </c>
      <c r="H134" s="915">
        <v>201000</v>
      </c>
      <c r="I134" s="915">
        <v>200000</v>
      </c>
      <c r="J134" s="1054" t="s">
        <v>4</v>
      </c>
      <c r="K134" s="969"/>
      <c r="N134" s="478"/>
    </row>
    <row r="135" spans="1:14" ht="15">
      <c r="A135" s="68" t="s">
        <v>396</v>
      </c>
      <c r="B135" s="1052"/>
      <c r="C135" s="68">
        <v>999</v>
      </c>
      <c r="D135" s="68">
        <v>713000</v>
      </c>
      <c r="E135" s="970">
        <v>1</v>
      </c>
      <c r="F135" s="68"/>
      <c r="G135" s="70">
        <v>6214000</v>
      </c>
      <c r="H135" s="945">
        <v>5830000</v>
      </c>
      <c r="I135" s="916">
        <v>6630000</v>
      </c>
      <c r="J135" s="1050"/>
      <c r="K135" s="969"/>
      <c r="N135" s="478"/>
    </row>
    <row r="136" spans="1:14">
      <c r="A136" s="970" t="s">
        <v>397</v>
      </c>
      <c r="B136" s="516">
        <v>1714200110</v>
      </c>
      <c r="C136" s="970">
        <v>110</v>
      </c>
      <c r="D136" s="970">
        <v>714200</v>
      </c>
      <c r="E136" s="480">
        <v>1</v>
      </c>
      <c r="F136" s="970" t="s">
        <v>398</v>
      </c>
      <c r="G136" s="67">
        <v>1538000</v>
      </c>
      <c r="H136" s="915">
        <v>1478000</v>
      </c>
      <c r="I136" s="915">
        <v>1679000</v>
      </c>
      <c r="J136" s="230" t="s">
        <v>274</v>
      </c>
      <c r="K136" s="969"/>
      <c r="N136" s="478"/>
    </row>
    <row r="137" spans="1:14">
      <c r="A137" s="970"/>
      <c r="B137" s="516">
        <v>1714200430</v>
      </c>
      <c r="C137" s="970">
        <v>430</v>
      </c>
      <c r="D137" s="970">
        <v>714200</v>
      </c>
      <c r="E137" s="970">
        <v>1</v>
      </c>
      <c r="F137" s="970" t="s">
        <v>311</v>
      </c>
      <c r="G137" s="67">
        <v>5000</v>
      </c>
      <c r="H137" s="915">
        <v>6000</v>
      </c>
      <c r="I137" s="915">
        <v>5000</v>
      </c>
      <c r="J137" s="230" t="s">
        <v>399</v>
      </c>
      <c r="K137" s="969"/>
      <c r="N137" s="478"/>
    </row>
    <row r="138" spans="1:14">
      <c r="A138" s="970"/>
      <c r="B138" s="516">
        <v>1714200530</v>
      </c>
      <c r="C138" s="970">
        <v>530</v>
      </c>
      <c r="D138" s="970">
        <v>714200</v>
      </c>
      <c r="E138" s="970">
        <v>1</v>
      </c>
      <c r="F138" s="970" t="s">
        <v>277</v>
      </c>
      <c r="G138" s="67">
        <v>200000</v>
      </c>
      <c r="H138" s="915">
        <v>217000</v>
      </c>
      <c r="I138" s="915">
        <v>150000</v>
      </c>
      <c r="J138" s="230" t="s">
        <v>287</v>
      </c>
      <c r="K138" s="969"/>
      <c r="N138" s="478"/>
    </row>
    <row r="139" spans="1:14">
      <c r="A139" s="970"/>
      <c r="B139" s="516">
        <v>1714200540</v>
      </c>
      <c r="C139" s="970">
        <v>540</v>
      </c>
      <c r="D139" s="970">
        <v>714200</v>
      </c>
      <c r="E139" s="970">
        <v>1</v>
      </c>
      <c r="F139" s="970" t="s">
        <v>279</v>
      </c>
      <c r="G139" s="67">
        <v>3000</v>
      </c>
      <c r="H139" s="915">
        <v>3000</v>
      </c>
      <c r="I139" s="915">
        <v>3000</v>
      </c>
      <c r="J139" s="230"/>
      <c r="K139" s="969"/>
      <c r="N139" s="478"/>
    </row>
    <row r="140" spans="1:14">
      <c r="A140" s="970"/>
      <c r="B140" s="516">
        <v>1714200720</v>
      </c>
      <c r="C140" s="970">
        <v>720</v>
      </c>
      <c r="D140" s="970">
        <v>714200</v>
      </c>
      <c r="E140" s="970">
        <v>1</v>
      </c>
      <c r="F140" s="970" t="s">
        <v>400</v>
      </c>
      <c r="G140" s="67">
        <v>30000</v>
      </c>
      <c r="H140" s="915">
        <v>30000</v>
      </c>
      <c r="I140" s="915">
        <v>30000</v>
      </c>
      <c r="J140" s="1059" t="s">
        <v>401</v>
      </c>
      <c r="K140" s="969"/>
      <c r="N140" s="478"/>
    </row>
    <row r="141" spans="1:14" ht="28.5">
      <c r="A141" s="970"/>
      <c r="B141" s="516">
        <v>1714200750</v>
      </c>
      <c r="C141" s="970">
        <v>750</v>
      </c>
      <c r="D141" s="970">
        <v>714200</v>
      </c>
      <c r="E141" s="970">
        <v>1</v>
      </c>
      <c r="F141" s="970" t="s">
        <v>288</v>
      </c>
      <c r="G141" s="67">
        <v>150000</v>
      </c>
      <c r="H141" s="915">
        <v>151000</v>
      </c>
      <c r="I141" s="915">
        <v>150000</v>
      </c>
      <c r="J141" s="1060" t="s">
        <v>2234</v>
      </c>
      <c r="K141" s="969"/>
      <c r="N141" s="478"/>
    </row>
    <row r="142" spans="1:14" s="448" customFormat="1" ht="42.75">
      <c r="A142" s="970"/>
      <c r="B142" s="516">
        <v>1714200780</v>
      </c>
      <c r="C142" s="970">
        <v>780</v>
      </c>
      <c r="D142" s="970">
        <v>714200</v>
      </c>
      <c r="E142" s="970">
        <v>1</v>
      </c>
      <c r="F142" s="970" t="s">
        <v>280</v>
      </c>
      <c r="G142" s="67">
        <v>360000</v>
      </c>
      <c r="H142" s="915">
        <v>160000</v>
      </c>
      <c r="I142" s="915">
        <v>150000</v>
      </c>
      <c r="J142" s="1060" t="s">
        <v>3727</v>
      </c>
      <c r="K142" s="969"/>
      <c r="N142" s="478"/>
    </row>
    <row r="143" spans="1:14" ht="15">
      <c r="A143" s="68" t="s">
        <v>402</v>
      </c>
      <c r="B143" s="1052"/>
      <c r="C143" s="68">
        <v>999</v>
      </c>
      <c r="D143" s="68">
        <v>714200</v>
      </c>
      <c r="E143" s="970">
        <v>1</v>
      </c>
      <c r="F143" s="68"/>
      <c r="G143" s="69">
        <v>2286000</v>
      </c>
      <c r="H143" s="945">
        <v>2045000</v>
      </c>
      <c r="I143" s="916">
        <v>2167000</v>
      </c>
      <c r="J143" s="1050"/>
      <c r="K143" s="969"/>
      <c r="N143" s="478"/>
    </row>
    <row r="144" spans="1:14" ht="28.5">
      <c r="A144" s="970"/>
      <c r="B144" s="516">
        <v>1715200751</v>
      </c>
      <c r="C144" s="970">
        <v>751</v>
      </c>
      <c r="D144" s="970">
        <v>715200</v>
      </c>
      <c r="E144" s="970">
        <v>1</v>
      </c>
      <c r="F144" s="970" t="s">
        <v>403</v>
      </c>
      <c r="G144" s="67">
        <v>390000</v>
      </c>
      <c r="H144" s="915">
        <v>389000</v>
      </c>
      <c r="I144" s="915">
        <v>390000</v>
      </c>
      <c r="J144" s="230" t="s">
        <v>404</v>
      </c>
      <c r="K144" s="969"/>
      <c r="N144" s="478"/>
    </row>
    <row r="145" spans="1:14" ht="15">
      <c r="A145" s="68" t="s">
        <v>405</v>
      </c>
      <c r="B145" s="1052"/>
      <c r="C145" s="68">
        <v>999</v>
      </c>
      <c r="D145" s="68">
        <v>715200</v>
      </c>
      <c r="E145" s="970">
        <v>1</v>
      </c>
      <c r="F145" s="68"/>
      <c r="G145" s="69">
        <v>390000</v>
      </c>
      <c r="H145" s="945">
        <v>389000</v>
      </c>
      <c r="I145" s="916">
        <v>390000</v>
      </c>
      <c r="J145" s="1050"/>
      <c r="K145" s="969"/>
      <c r="N145" s="478"/>
    </row>
    <row r="146" spans="1:14">
      <c r="A146" s="970" t="s">
        <v>406</v>
      </c>
      <c r="B146" s="516">
        <v>1722000110</v>
      </c>
      <c r="C146" s="970">
        <v>110</v>
      </c>
      <c r="D146" s="970">
        <v>722000</v>
      </c>
      <c r="E146" s="480">
        <v>1</v>
      </c>
      <c r="F146" s="970" t="s">
        <v>407</v>
      </c>
      <c r="G146" s="67">
        <v>1767000</v>
      </c>
      <c r="H146" s="915">
        <v>1695000</v>
      </c>
      <c r="I146" s="915">
        <v>2135000</v>
      </c>
      <c r="J146" s="230" t="s">
        <v>274</v>
      </c>
      <c r="K146" s="969"/>
      <c r="N146" s="478"/>
    </row>
    <row r="147" spans="1:14">
      <c r="A147" s="970"/>
      <c r="B147" s="516">
        <v>1722000530</v>
      </c>
      <c r="C147" s="970">
        <v>530</v>
      </c>
      <c r="D147" s="970">
        <v>722000</v>
      </c>
      <c r="E147" s="970">
        <v>1</v>
      </c>
      <c r="F147" s="970" t="s">
        <v>277</v>
      </c>
      <c r="G147" s="67">
        <v>165000</v>
      </c>
      <c r="H147" s="915">
        <v>135000</v>
      </c>
      <c r="I147" s="915">
        <v>215000</v>
      </c>
      <c r="J147" s="230" t="s">
        <v>287</v>
      </c>
      <c r="K147" s="969"/>
      <c r="N147" s="478"/>
    </row>
    <row r="148" spans="1:14">
      <c r="A148" s="970"/>
      <c r="B148" s="516">
        <v>1722000540</v>
      </c>
      <c r="C148" s="970">
        <v>540</v>
      </c>
      <c r="D148" s="970">
        <v>722000</v>
      </c>
      <c r="E148" s="970">
        <v>1</v>
      </c>
      <c r="F148" s="970" t="s">
        <v>279</v>
      </c>
      <c r="G148" s="67">
        <v>0</v>
      </c>
      <c r="H148" s="915">
        <v>5000</v>
      </c>
      <c r="I148" s="915">
        <v>5000</v>
      </c>
      <c r="J148" s="230"/>
      <c r="K148" s="969"/>
      <c r="N148" s="478"/>
    </row>
    <row r="149" spans="1:14" ht="28.5">
      <c r="A149" s="970"/>
      <c r="B149" s="516">
        <v>1722000780</v>
      </c>
      <c r="C149" s="970">
        <v>780</v>
      </c>
      <c r="D149" s="970">
        <v>722000</v>
      </c>
      <c r="E149" s="970">
        <v>1</v>
      </c>
      <c r="F149" s="970" t="s">
        <v>280</v>
      </c>
      <c r="G149" s="67">
        <v>140000</v>
      </c>
      <c r="H149" s="915">
        <v>110000</v>
      </c>
      <c r="I149" s="915">
        <v>80000</v>
      </c>
      <c r="J149" s="230" t="s">
        <v>3728</v>
      </c>
      <c r="K149" s="969"/>
      <c r="N149" s="478"/>
    </row>
    <row r="150" spans="1:14" ht="15">
      <c r="A150" s="68" t="s">
        <v>408</v>
      </c>
      <c r="B150" s="1052"/>
      <c r="C150" s="68">
        <v>999</v>
      </c>
      <c r="D150" s="68">
        <v>722000</v>
      </c>
      <c r="E150" s="970">
        <v>1</v>
      </c>
      <c r="F150" s="68"/>
      <c r="G150" s="69">
        <v>2072000</v>
      </c>
      <c r="H150" s="945">
        <v>1945000</v>
      </c>
      <c r="I150" s="916">
        <v>2435000</v>
      </c>
      <c r="J150" s="1050"/>
      <c r="K150" s="969"/>
      <c r="N150" s="478"/>
    </row>
    <row r="151" spans="1:14">
      <c r="A151" s="970" t="s">
        <v>409</v>
      </c>
      <c r="B151" s="516">
        <v>1722100430</v>
      </c>
      <c r="C151" s="970">
        <v>430</v>
      </c>
      <c r="D151" s="970">
        <v>722100</v>
      </c>
      <c r="E151" s="970">
        <v>1</v>
      </c>
      <c r="F151" s="970" t="s">
        <v>311</v>
      </c>
      <c r="G151" s="67">
        <v>2000</v>
      </c>
      <c r="H151" s="915">
        <v>3000</v>
      </c>
      <c r="I151" s="915">
        <v>2000</v>
      </c>
      <c r="J151" s="230" t="s">
        <v>410</v>
      </c>
      <c r="K151" s="969"/>
      <c r="N151" s="478"/>
    </row>
    <row r="152" spans="1:14">
      <c r="A152" s="970"/>
      <c r="B152" s="516">
        <v>1722100750</v>
      </c>
      <c r="C152" s="970">
        <v>750</v>
      </c>
      <c r="D152" s="970">
        <v>722100</v>
      </c>
      <c r="E152" s="970">
        <v>1</v>
      </c>
      <c r="F152" s="970" t="s">
        <v>288</v>
      </c>
      <c r="G152" s="67">
        <v>3000</v>
      </c>
      <c r="H152" s="915">
        <v>0</v>
      </c>
      <c r="I152" s="915">
        <v>3000</v>
      </c>
      <c r="J152" s="230" t="s">
        <v>411</v>
      </c>
      <c r="K152" s="969"/>
      <c r="N152" s="478"/>
    </row>
    <row r="153" spans="1:14" ht="28.5">
      <c r="A153" s="970"/>
      <c r="B153" s="516">
        <v>1722100780</v>
      </c>
      <c r="C153" s="970">
        <v>780</v>
      </c>
      <c r="D153" s="970">
        <v>722100</v>
      </c>
      <c r="E153" s="970">
        <v>1</v>
      </c>
      <c r="F153" s="970" t="s">
        <v>280</v>
      </c>
      <c r="G153" s="67">
        <v>23000</v>
      </c>
      <c r="H153" s="915">
        <v>20000</v>
      </c>
      <c r="I153" s="915">
        <v>23000</v>
      </c>
      <c r="J153" s="230" t="s">
        <v>412</v>
      </c>
      <c r="K153" s="969"/>
      <c r="N153" s="478"/>
    </row>
    <row r="154" spans="1:14" ht="15">
      <c r="A154" s="68" t="s">
        <v>413</v>
      </c>
      <c r="B154" s="1052"/>
      <c r="C154" s="68">
        <v>999</v>
      </c>
      <c r="D154" s="68">
        <v>722100</v>
      </c>
      <c r="E154" s="970">
        <v>1</v>
      </c>
      <c r="F154" s="68"/>
      <c r="G154" s="69">
        <v>28000</v>
      </c>
      <c r="H154" s="945">
        <v>23000</v>
      </c>
      <c r="I154" s="916">
        <v>28000</v>
      </c>
      <c r="J154" s="1050"/>
      <c r="K154" s="969"/>
      <c r="N154" s="478"/>
    </row>
    <row r="155" spans="1:14">
      <c r="A155" s="970" t="s">
        <v>414</v>
      </c>
      <c r="B155" s="516">
        <v>1722300110</v>
      </c>
      <c r="C155" s="970">
        <v>110</v>
      </c>
      <c r="D155" s="970">
        <v>722300</v>
      </c>
      <c r="E155" s="480">
        <v>1</v>
      </c>
      <c r="F155" s="970" t="s">
        <v>415</v>
      </c>
      <c r="G155" s="67">
        <v>2210000</v>
      </c>
      <c r="H155" s="915">
        <v>1815000</v>
      </c>
      <c r="I155" s="915">
        <v>2568000</v>
      </c>
      <c r="J155" s="230" t="s">
        <v>274</v>
      </c>
      <c r="K155" s="969"/>
      <c r="N155" s="478"/>
    </row>
    <row r="156" spans="1:14">
      <c r="A156" s="970"/>
      <c r="B156" s="516">
        <v>1722300530</v>
      </c>
      <c r="C156" s="970">
        <v>530</v>
      </c>
      <c r="D156" s="970">
        <v>722300</v>
      </c>
      <c r="E156" s="970">
        <v>1</v>
      </c>
      <c r="F156" s="970" t="s">
        <v>277</v>
      </c>
      <c r="G156" s="67">
        <v>175000</v>
      </c>
      <c r="H156" s="915">
        <v>132000</v>
      </c>
      <c r="I156" s="915">
        <v>175000</v>
      </c>
      <c r="J156" s="230" t="s">
        <v>287</v>
      </c>
      <c r="K156" s="969"/>
      <c r="N156" s="478"/>
    </row>
    <row r="157" spans="1:14">
      <c r="A157" s="970"/>
      <c r="B157" s="516">
        <v>1722300540</v>
      </c>
      <c r="C157" s="970">
        <v>540</v>
      </c>
      <c r="D157" s="970">
        <v>722300</v>
      </c>
      <c r="E157" s="970">
        <v>1</v>
      </c>
      <c r="F157" s="970" t="s">
        <v>279</v>
      </c>
      <c r="G157" s="67">
        <v>5000</v>
      </c>
      <c r="H157" s="915">
        <v>2000</v>
      </c>
      <c r="I157" s="915">
        <v>4000</v>
      </c>
      <c r="J157" s="230"/>
      <c r="K157" s="969"/>
      <c r="N157" s="478"/>
    </row>
    <row r="158" spans="1:14">
      <c r="A158" s="970"/>
      <c r="B158" s="516">
        <v>1722300780</v>
      </c>
      <c r="C158" s="970">
        <v>780</v>
      </c>
      <c r="D158" s="970">
        <v>722300</v>
      </c>
      <c r="E158" s="970">
        <v>1</v>
      </c>
      <c r="F158" s="970" t="s">
        <v>280</v>
      </c>
      <c r="G158" s="67">
        <v>100000</v>
      </c>
      <c r="H158" s="915">
        <v>100000</v>
      </c>
      <c r="I158" s="915">
        <v>100000</v>
      </c>
      <c r="J158" s="230" t="s">
        <v>3154</v>
      </c>
      <c r="K158" s="969"/>
      <c r="N158" s="478"/>
    </row>
    <row r="159" spans="1:14" ht="15">
      <c r="A159" s="68" t="s">
        <v>2658</v>
      </c>
      <c r="B159" s="1052"/>
      <c r="C159" s="68">
        <v>999</v>
      </c>
      <c r="D159" s="68">
        <v>722300</v>
      </c>
      <c r="E159" s="970">
        <v>1</v>
      </c>
      <c r="F159" s="68"/>
      <c r="G159" s="69">
        <v>2490000</v>
      </c>
      <c r="H159" s="945">
        <v>2049000</v>
      </c>
      <c r="I159" s="916">
        <v>2847000</v>
      </c>
      <c r="J159" s="1050"/>
      <c r="K159" s="969"/>
      <c r="N159" s="478"/>
    </row>
    <row r="160" spans="1:14">
      <c r="A160" s="970" t="s">
        <v>416</v>
      </c>
      <c r="B160" s="516">
        <v>1722400110</v>
      </c>
      <c r="C160" s="970">
        <v>110</v>
      </c>
      <c r="D160" s="970">
        <v>722400</v>
      </c>
      <c r="E160" s="480">
        <v>1</v>
      </c>
      <c r="F160" s="970" t="s">
        <v>417</v>
      </c>
      <c r="G160" s="67">
        <v>595000</v>
      </c>
      <c r="H160" s="915">
        <v>771000</v>
      </c>
      <c r="I160" s="915">
        <v>457000</v>
      </c>
      <c r="J160" s="230" t="s">
        <v>274</v>
      </c>
      <c r="K160" s="969"/>
      <c r="N160" s="478"/>
    </row>
    <row r="161" spans="1:14" ht="15">
      <c r="A161" s="68" t="s">
        <v>418</v>
      </c>
      <c r="B161" s="1052"/>
      <c r="C161" s="68">
        <v>999</v>
      </c>
      <c r="D161" s="68">
        <v>722400</v>
      </c>
      <c r="E161" s="970">
        <v>1</v>
      </c>
      <c r="F161" s="68"/>
      <c r="G161" s="69">
        <v>595000</v>
      </c>
      <c r="H161" s="945">
        <v>771000</v>
      </c>
      <c r="I161" s="916">
        <v>457000</v>
      </c>
      <c r="J161" s="1050"/>
      <c r="K161" s="969"/>
      <c r="N161" s="478"/>
    </row>
    <row r="162" spans="1:14">
      <c r="A162" s="970" t="s">
        <v>419</v>
      </c>
      <c r="B162" s="516">
        <v>1723000110</v>
      </c>
      <c r="C162" s="970">
        <v>110</v>
      </c>
      <c r="D162" s="970">
        <v>723000</v>
      </c>
      <c r="E162" s="480">
        <v>1</v>
      </c>
      <c r="F162" s="970" t="s">
        <v>420</v>
      </c>
      <c r="G162" s="67">
        <v>520000</v>
      </c>
      <c r="H162" s="915">
        <v>562000</v>
      </c>
      <c r="I162" s="915">
        <v>531000</v>
      </c>
      <c r="J162" s="230" t="s">
        <v>274</v>
      </c>
      <c r="K162" s="969"/>
      <c r="N162" s="478"/>
    </row>
    <row r="163" spans="1:14">
      <c r="A163" s="970" t="s">
        <v>4</v>
      </c>
      <c r="B163" s="516">
        <v>1723000420</v>
      </c>
      <c r="C163" s="970">
        <v>420</v>
      </c>
      <c r="D163" s="970">
        <v>723000</v>
      </c>
      <c r="E163" s="970">
        <v>1</v>
      </c>
      <c r="F163" s="970" t="s">
        <v>421</v>
      </c>
      <c r="G163" s="67">
        <v>70000</v>
      </c>
      <c r="H163" s="915">
        <v>45000</v>
      </c>
      <c r="I163" s="915">
        <v>70000</v>
      </c>
      <c r="J163" s="230" t="s">
        <v>422</v>
      </c>
      <c r="K163" s="969"/>
      <c r="N163" s="478"/>
    </row>
    <row r="164" spans="1:14">
      <c r="A164" s="970"/>
      <c r="B164" s="516">
        <v>1723000430</v>
      </c>
      <c r="C164" s="970">
        <v>430</v>
      </c>
      <c r="D164" s="970">
        <v>723000</v>
      </c>
      <c r="E164" s="970">
        <v>1</v>
      </c>
      <c r="F164" s="970" t="s">
        <v>311</v>
      </c>
      <c r="G164" s="67">
        <v>45000</v>
      </c>
      <c r="H164" s="915">
        <v>45000</v>
      </c>
      <c r="I164" s="915">
        <v>190000</v>
      </c>
      <c r="J164" s="230" t="s">
        <v>423</v>
      </c>
      <c r="K164" s="969"/>
      <c r="N164" s="478"/>
    </row>
    <row r="165" spans="1:14" ht="28.5">
      <c r="A165" s="970"/>
      <c r="B165" s="516">
        <v>1723000830</v>
      </c>
      <c r="C165" s="970">
        <v>830</v>
      </c>
      <c r="D165" s="970">
        <v>723000</v>
      </c>
      <c r="E165" s="970">
        <v>1</v>
      </c>
      <c r="F165" s="970" t="s">
        <v>424</v>
      </c>
      <c r="G165" s="67">
        <v>654000</v>
      </c>
      <c r="H165" s="915">
        <v>654000</v>
      </c>
      <c r="I165" s="915">
        <v>664000</v>
      </c>
      <c r="J165" s="230" t="s">
        <v>425</v>
      </c>
      <c r="K165" s="969"/>
      <c r="N165" s="478"/>
    </row>
    <row r="166" spans="1:14" ht="15">
      <c r="A166" s="68" t="s">
        <v>426</v>
      </c>
      <c r="B166" s="1052"/>
      <c r="C166" s="68">
        <v>999</v>
      </c>
      <c r="D166" s="68">
        <v>723000</v>
      </c>
      <c r="E166" s="970">
        <v>1</v>
      </c>
      <c r="F166" s="68"/>
      <c r="G166" s="69">
        <v>1289000</v>
      </c>
      <c r="H166" s="945">
        <v>1306000</v>
      </c>
      <c r="I166" s="916">
        <v>1455000</v>
      </c>
      <c r="J166" s="1050"/>
      <c r="K166" s="969"/>
      <c r="N166" s="478"/>
    </row>
    <row r="167" spans="1:14">
      <c r="A167" s="970" t="s">
        <v>427</v>
      </c>
      <c r="B167" s="516">
        <v>1731000110</v>
      </c>
      <c r="C167" s="970">
        <v>110</v>
      </c>
      <c r="D167" s="970">
        <v>731000</v>
      </c>
      <c r="E167" s="480">
        <v>1</v>
      </c>
      <c r="F167" s="970" t="s">
        <v>428</v>
      </c>
      <c r="G167" s="67">
        <v>7206000</v>
      </c>
      <c r="H167" s="915">
        <v>6548000</v>
      </c>
      <c r="I167" s="915">
        <v>7427000</v>
      </c>
      <c r="J167" s="230" t="s">
        <v>274</v>
      </c>
      <c r="K167" s="969"/>
      <c r="N167" s="478"/>
    </row>
    <row r="168" spans="1:14">
      <c r="A168" s="970"/>
      <c r="B168" s="516">
        <v>1731000410</v>
      </c>
      <c r="C168" s="970">
        <v>410</v>
      </c>
      <c r="D168" s="970">
        <v>731000</v>
      </c>
      <c r="E168" s="970">
        <v>1</v>
      </c>
      <c r="F168" s="970" t="s">
        <v>304</v>
      </c>
      <c r="G168" s="67">
        <v>83000</v>
      </c>
      <c r="H168" s="915">
        <v>83000</v>
      </c>
      <c r="I168" s="915">
        <v>292813.2</v>
      </c>
      <c r="J168" s="230" t="s">
        <v>429</v>
      </c>
      <c r="K168" s="969"/>
      <c r="N168" s="478"/>
    </row>
    <row r="169" spans="1:14">
      <c r="A169" s="970"/>
      <c r="B169" s="516">
        <v>1731000430</v>
      </c>
      <c r="C169" s="970">
        <v>430</v>
      </c>
      <c r="D169" s="970">
        <v>731000</v>
      </c>
      <c r="E169" s="970">
        <v>1</v>
      </c>
      <c r="F169" s="970" t="s">
        <v>311</v>
      </c>
      <c r="G169" s="67">
        <v>6000</v>
      </c>
      <c r="H169" s="915">
        <v>8000</v>
      </c>
      <c r="I169" s="915">
        <v>4000</v>
      </c>
      <c r="J169" s="230" t="s">
        <v>1333</v>
      </c>
      <c r="K169" s="969"/>
      <c r="N169" s="478"/>
    </row>
    <row r="170" spans="1:14">
      <c r="A170" s="970"/>
      <c r="B170" s="516">
        <v>1731000522</v>
      </c>
      <c r="C170" s="970">
        <v>522</v>
      </c>
      <c r="D170" s="970">
        <v>731000</v>
      </c>
      <c r="E170" s="970">
        <v>1</v>
      </c>
      <c r="F170" s="970" t="s">
        <v>327</v>
      </c>
      <c r="G170" s="67">
        <v>6000</v>
      </c>
      <c r="H170" s="915">
        <v>5000</v>
      </c>
      <c r="I170" s="915">
        <v>6000</v>
      </c>
      <c r="J170" s="230" t="s">
        <v>430</v>
      </c>
      <c r="K170" s="969"/>
      <c r="N170" s="478"/>
    </row>
    <row r="171" spans="1:14" ht="28.5">
      <c r="A171" s="970"/>
      <c r="B171" s="516">
        <v>1731000530</v>
      </c>
      <c r="C171" s="970">
        <v>530</v>
      </c>
      <c r="D171" s="970">
        <v>731000</v>
      </c>
      <c r="E171" s="970">
        <v>1</v>
      </c>
      <c r="F171" s="970" t="s">
        <v>277</v>
      </c>
      <c r="G171" s="67">
        <v>160000</v>
      </c>
      <c r="H171" s="915">
        <v>140000</v>
      </c>
      <c r="I171" s="915">
        <v>125000</v>
      </c>
      <c r="J171" s="230" t="s">
        <v>3532</v>
      </c>
      <c r="K171" s="969"/>
      <c r="N171" s="478"/>
    </row>
    <row r="172" spans="1:14">
      <c r="A172" s="970"/>
      <c r="B172" s="516">
        <v>1731000540</v>
      </c>
      <c r="C172" s="970">
        <v>540</v>
      </c>
      <c r="D172" s="970">
        <v>731000</v>
      </c>
      <c r="E172" s="970">
        <v>1</v>
      </c>
      <c r="F172" s="970" t="s">
        <v>279</v>
      </c>
      <c r="G172" s="67">
        <v>6000</v>
      </c>
      <c r="H172" s="915">
        <v>7000</v>
      </c>
      <c r="I172" s="915">
        <v>6000</v>
      </c>
      <c r="J172" s="230"/>
      <c r="K172" s="969"/>
      <c r="N172" s="478"/>
    </row>
    <row r="173" spans="1:14" s="43" customFormat="1" ht="36" customHeight="1">
      <c r="A173" s="970"/>
      <c r="B173" s="516">
        <v>1731000750</v>
      </c>
      <c r="C173" s="970">
        <v>750</v>
      </c>
      <c r="D173" s="970">
        <v>731000</v>
      </c>
      <c r="E173" s="970">
        <v>1</v>
      </c>
      <c r="F173" s="970" t="s">
        <v>288</v>
      </c>
      <c r="G173" s="67">
        <v>500000</v>
      </c>
      <c r="H173" s="915">
        <v>0</v>
      </c>
      <c r="I173" s="915">
        <v>565000</v>
      </c>
      <c r="J173" s="1061" t="s">
        <v>2897</v>
      </c>
      <c r="K173" s="969"/>
      <c r="N173" s="478"/>
    </row>
    <row r="174" spans="1:14" ht="57">
      <c r="A174" s="970"/>
      <c r="B174" s="516">
        <v>1731000780</v>
      </c>
      <c r="C174" s="970">
        <v>780</v>
      </c>
      <c r="D174" s="970">
        <v>731000</v>
      </c>
      <c r="E174" s="970">
        <v>1</v>
      </c>
      <c r="F174" s="970" t="s">
        <v>280</v>
      </c>
      <c r="G174" s="67">
        <v>642000</v>
      </c>
      <c r="H174" s="915">
        <v>501000</v>
      </c>
      <c r="I174" s="915">
        <v>325000</v>
      </c>
      <c r="J174" s="230" t="s">
        <v>2193</v>
      </c>
      <c r="K174" s="969"/>
      <c r="N174" s="478"/>
    </row>
    <row r="175" spans="1:14" ht="15">
      <c r="A175" s="68" t="s">
        <v>431</v>
      </c>
      <c r="B175" s="1052"/>
      <c r="C175" s="68">
        <v>999</v>
      </c>
      <c r="D175" s="68">
        <v>731000</v>
      </c>
      <c r="E175" s="970">
        <v>1</v>
      </c>
      <c r="F175" s="68"/>
      <c r="G175" s="69">
        <v>8609000</v>
      </c>
      <c r="H175" s="945">
        <v>7292000</v>
      </c>
      <c r="I175" s="916">
        <v>8750813.1999999993</v>
      </c>
      <c r="J175" s="1050"/>
      <c r="K175" s="969"/>
      <c r="N175" s="478"/>
    </row>
    <row r="176" spans="1:14">
      <c r="A176" s="970" t="s">
        <v>432</v>
      </c>
      <c r="B176" s="516">
        <v>1732000110</v>
      </c>
      <c r="C176" s="970">
        <v>110</v>
      </c>
      <c r="D176" s="970">
        <v>732000</v>
      </c>
      <c r="E176" s="480">
        <v>1</v>
      </c>
      <c r="F176" s="970" t="s">
        <v>433</v>
      </c>
      <c r="G176" s="67">
        <v>2612000</v>
      </c>
      <c r="H176" s="915">
        <v>2386000</v>
      </c>
      <c r="I176" s="915">
        <v>2852000</v>
      </c>
      <c r="J176" s="230" t="s">
        <v>434</v>
      </c>
      <c r="K176" s="969"/>
      <c r="N176" s="478"/>
    </row>
    <row r="177" spans="1:14" s="566" customFormat="1">
      <c r="A177" s="970"/>
      <c r="B177" s="516">
        <v>1732000530</v>
      </c>
      <c r="C177" s="970">
        <v>530</v>
      </c>
      <c r="D177" s="970">
        <v>732000</v>
      </c>
      <c r="E177" s="480">
        <v>1</v>
      </c>
      <c r="F177" s="970" t="s">
        <v>277</v>
      </c>
      <c r="G177" s="67">
        <v>0</v>
      </c>
      <c r="H177" s="915">
        <v>0</v>
      </c>
      <c r="I177" s="915">
        <v>75000</v>
      </c>
      <c r="J177" s="230" t="s">
        <v>287</v>
      </c>
      <c r="K177" s="969"/>
      <c r="N177" s="478"/>
    </row>
    <row r="178" spans="1:14" ht="28.5">
      <c r="A178" s="970"/>
      <c r="B178" s="516">
        <v>1732000750</v>
      </c>
      <c r="C178" s="970">
        <v>750</v>
      </c>
      <c r="D178" s="970">
        <v>732000</v>
      </c>
      <c r="E178" s="970">
        <v>1</v>
      </c>
      <c r="F178" s="970" t="s">
        <v>288</v>
      </c>
      <c r="G178" s="67">
        <v>225000</v>
      </c>
      <c r="H178" s="915">
        <v>226000</v>
      </c>
      <c r="I178" s="915">
        <v>350000</v>
      </c>
      <c r="J178" s="230" t="s">
        <v>2194</v>
      </c>
      <c r="K178" s="969"/>
      <c r="N178" s="478"/>
    </row>
    <row r="179" spans="1:14" ht="15">
      <c r="A179" s="68" t="s">
        <v>435</v>
      </c>
      <c r="B179" s="1052"/>
      <c r="C179" s="68">
        <v>999</v>
      </c>
      <c r="D179" s="68">
        <v>732000</v>
      </c>
      <c r="E179" s="970">
        <v>1</v>
      </c>
      <c r="F179" s="68"/>
      <c r="G179" s="946">
        <v>2837000</v>
      </c>
      <c r="H179" s="945">
        <v>2612000</v>
      </c>
      <c r="I179" s="916">
        <v>3277000</v>
      </c>
      <c r="J179" s="1050"/>
      <c r="K179" s="969"/>
      <c r="N179" s="478"/>
    </row>
    <row r="180" spans="1:14">
      <c r="A180" s="970" t="s">
        <v>436</v>
      </c>
      <c r="B180" s="516">
        <v>1733000110</v>
      </c>
      <c r="C180" s="970">
        <v>110</v>
      </c>
      <c r="D180" s="970">
        <v>733000</v>
      </c>
      <c r="E180" s="480">
        <v>1</v>
      </c>
      <c r="F180" s="970" t="s">
        <v>437</v>
      </c>
      <c r="G180" s="67">
        <v>2148000</v>
      </c>
      <c r="H180" s="915">
        <v>2268000</v>
      </c>
      <c r="I180" s="915">
        <v>2253000</v>
      </c>
      <c r="J180" s="230" t="s">
        <v>274</v>
      </c>
      <c r="K180" s="969"/>
      <c r="N180" s="478"/>
    </row>
    <row r="181" spans="1:14" s="566" customFormat="1">
      <c r="A181" s="970"/>
      <c r="B181" s="516">
        <v>1733000530</v>
      </c>
      <c r="C181" s="970">
        <v>530</v>
      </c>
      <c r="D181" s="970">
        <v>733000</v>
      </c>
      <c r="E181" s="480">
        <v>1</v>
      </c>
      <c r="F181" s="970" t="s">
        <v>277</v>
      </c>
      <c r="G181" s="67">
        <v>0</v>
      </c>
      <c r="H181" s="915">
        <v>0</v>
      </c>
      <c r="I181" s="915">
        <v>75000</v>
      </c>
      <c r="J181" s="230" t="s">
        <v>287</v>
      </c>
      <c r="K181" s="969"/>
      <c r="N181" s="478"/>
    </row>
    <row r="182" spans="1:14" ht="15">
      <c r="A182" s="68" t="s">
        <v>438</v>
      </c>
      <c r="B182" s="1052"/>
      <c r="C182" s="68">
        <v>999</v>
      </c>
      <c r="D182" s="68">
        <v>733000</v>
      </c>
      <c r="E182" s="970">
        <v>1</v>
      </c>
      <c r="F182" s="68"/>
      <c r="G182" s="69">
        <v>2148000</v>
      </c>
      <c r="H182" s="945">
        <v>2268000</v>
      </c>
      <c r="I182" s="916">
        <v>2328000</v>
      </c>
      <c r="J182" s="1050"/>
      <c r="K182" s="969"/>
      <c r="N182" s="478"/>
    </row>
    <row r="183" spans="1:14">
      <c r="A183" s="970" t="s">
        <v>439</v>
      </c>
      <c r="B183" s="516">
        <v>1734000110</v>
      </c>
      <c r="C183" s="970">
        <v>110</v>
      </c>
      <c r="D183" s="970">
        <v>734000</v>
      </c>
      <c r="E183" s="480">
        <v>1</v>
      </c>
      <c r="F183" s="970" t="s">
        <v>440</v>
      </c>
      <c r="G183" s="67">
        <v>1535000</v>
      </c>
      <c r="H183" s="915">
        <v>1177000</v>
      </c>
      <c r="I183" s="915">
        <v>1651000</v>
      </c>
      <c r="J183" s="230" t="s">
        <v>274</v>
      </c>
      <c r="K183" s="969"/>
      <c r="N183" s="478"/>
    </row>
    <row r="184" spans="1:14">
      <c r="A184" s="970"/>
      <c r="B184" s="516">
        <v>1734000410</v>
      </c>
      <c r="C184" s="970">
        <v>410</v>
      </c>
      <c r="D184" s="970">
        <v>734000</v>
      </c>
      <c r="E184" s="970">
        <v>1</v>
      </c>
      <c r="F184" s="970" t="s">
        <v>304</v>
      </c>
      <c r="G184" s="67">
        <v>490000</v>
      </c>
      <c r="H184" s="915">
        <v>371000</v>
      </c>
      <c r="I184" s="915">
        <v>401000</v>
      </c>
      <c r="J184" s="230" t="s">
        <v>2919</v>
      </c>
      <c r="K184" s="969"/>
      <c r="N184" s="478"/>
    </row>
    <row r="185" spans="1:14">
      <c r="A185" s="970"/>
      <c r="B185" s="516">
        <v>1734000530</v>
      </c>
      <c r="C185" s="970">
        <v>530</v>
      </c>
      <c r="D185" s="970">
        <v>734000</v>
      </c>
      <c r="E185" s="970">
        <v>1</v>
      </c>
      <c r="F185" s="970" t="s">
        <v>277</v>
      </c>
      <c r="G185" s="67">
        <v>65000</v>
      </c>
      <c r="H185" s="915">
        <v>65000</v>
      </c>
      <c r="I185" s="915">
        <v>75000</v>
      </c>
      <c r="J185" s="230" t="s">
        <v>287</v>
      </c>
      <c r="K185" s="969"/>
      <c r="N185" s="478"/>
    </row>
    <row r="186" spans="1:14" ht="57">
      <c r="A186" s="970"/>
      <c r="B186" s="516">
        <v>1734000750</v>
      </c>
      <c r="C186" s="970">
        <v>750</v>
      </c>
      <c r="D186" s="970">
        <v>734000</v>
      </c>
      <c r="E186" s="970">
        <v>1</v>
      </c>
      <c r="F186" s="970" t="s">
        <v>288</v>
      </c>
      <c r="G186" s="67">
        <v>2278000</v>
      </c>
      <c r="H186" s="915">
        <v>1723000</v>
      </c>
      <c r="I186" s="915">
        <v>2610000</v>
      </c>
      <c r="J186" s="230" t="s">
        <v>3155</v>
      </c>
      <c r="K186" s="969"/>
      <c r="N186" s="478"/>
    </row>
    <row r="187" spans="1:14" ht="15">
      <c r="A187" s="68" t="s">
        <v>441</v>
      </c>
      <c r="B187" s="1052"/>
      <c r="C187" s="68">
        <v>999</v>
      </c>
      <c r="D187" s="68">
        <v>734000</v>
      </c>
      <c r="E187" s="970">
        <v>1</v>
      </c>
      <c r="F187" s="68"/>
      <c r="G187" s="69">
        <v>4368000</v>
      </c>
      <c r="H187" s="945">
        <v>3336000</v>
      </c>
      <c r="I187" s="916">
        <v>4737000</v>
      </c>
      <c r="J187" s="1050"/>
      <c r="K187" s="969"/>
      <c r="N187" s="478"/>
    </row>
    <row r="188" spans="1:14">
      <c r="A188" s="970" t="s">
        <v>442</v>
      </c>
      <c r="B188" s="516">
        <v>1735000110</v>
      </c>
      <c r="C188" s="970">
        <v>110</v>
      </c>
      <c r="D188" s="970">
        <v>735000</v>
      </c>
      <c r="E188" s="480">
        <v>1</v>
      </c>
      <c r="F188" s="970" t="s">
        <v>443</v>
      </c>
      <c r="G188" s="67">
        <v>1122000</v>
      </c>
      <c r="H188" s="915">
        <v>893000</v>
      </c>
      <c r="I188" s="915">
        <v>1431000</v>
      </c>
      <c r="J188" s="230" t="s">
        <v>274</v>
      </c>
      <c r="K188" s="969"/>
      <c r="N188" s="478"/>
    </row>
    <row r="189" spans="1:14">
      <c r="A189" s="970" t="s">
        <v>4</v>
      </c>
      <c r="B189" s="516">
        <v>1735000780</v>
      </c>
      <c r="C189" s="970">
        <v>780</v>
      </c>
      <c r="D189" s="970">
        <v>735000</v>
      </c>
      <c r="E189" s="970">
        <v>1</v>
      </c>
      <c r="F189" s="970" t="s">
        <v>280</v>
      </c>
      <c r="G189" s="67">
        <v>10000</v>
      </c>
      <c r="H189" s="915">
        <v>9000</v>
      </c>
      <c r="I189" s="915">
        <v>10000</v>
      </c>
      <c r="J189" s="230" t="s">
        <v>4</v>
      </c>
      <c r="K189" s="969"/>
      <c r="N189" s="478"/>
    </row>
    <row r="190" spans="1:14" ht="15">
      <c r="A190" s="68" t="s">
        <v>444</v>
      </c>
      <c r="B190" s="1052"/>
      <c r="C190" s="68">
        <v>999</v>
      </c>
      <c r="D190" s="68">
        <v>735000</v>
      </c>
      <c r="E190" s="970">
        <v>1</v>
      </c>
      <c r="F190" s="68"/>
      <c r="G190" s="69">
        <v>1132000</v>
      </c>
      <c r="H190" s="945">
        <v>902000</v>
      </c>
      <c r="I190" s="916">
        <v>1441000</v>
      </c>
      <c r="J190" s="1050"/>
      <c r="K190" s="969"/>
      <c r="N190" s="478"/>
    </row>
    <row r="191" spans="1:14">
      <c r="A191" s="970" t="s">
        <v>445</v>
      </c>
      <c r="B191" s="516">
        <v>1742000110</v>
      </c>
      <c r="C191" s="970">
        <v>110</v>
      </c>
      <c r="D191" s="970">
        <v>742000</v>
      </c>
      <c r="E191" s="480">
        <v>1</v>
      </c>
      <c r="F191" s="970" t="s">
        <v>446</v>
      </c>
      <c r="G191" s="67">
        <v>1839000</v>
      </c>
      <c r="H191" s="915">
        <v>1288000</v>
      </c>
      <c r="I191" s="915">
        <v>1884000</v>
      </c>
      <c r="J191" s="230" t="s">
        <v>274</v>
      </c>
      <c r="K191" s="969"/>
      <c r="N191" s="478"/>
    </row>
    <row r="192" spans="1:14">
      <c r="A192" s="970"/>
      <c r="B192" s="516">
        <v>1742000530</v>
      </c>
      <c r="C192" s="970">
        <v>530</v>
      </c>
      <c r="D192" s="970">
        <v>742000</v>
      </c>
      <c r="E192" s="970">
        <v>1</v>
      </c>
      <c r="F192" s="970" t="s">
        <v>277</v>
      </c>
      <c r="G192" s="67">
        <v>170000</v>
      </c>
      <c r="H192" s="915">
        <v>149000</v>
      </c>
      <c r="I192" s="915">
        <v>150000</v>
      </c>
      <c r="J192" s="230" t="s">
        <v>287</v>
      </c>
      <c r="K192" s="969"/>
      <c r="N192" s="478"/>
    </row>
    <row r="193" spans="1:14">
      <c r="A193" s="970"/>
      <c r="B193" s="516">
        <v>1742000540</v>
      </c>
      <c r="C193" s="970">
        <v>540</v>
      </c>
      <c r="D193" s="970">
        <v>742000</v>
      </c>
      <c r="E193" s="970">
        <v>1</v>
      </c>
      <c r="F193" s="970" t="s">
        <v>279</v>
      </c>
      <c r="G193" s="67">
        <v>2000</v>
      </c>
      <c r="H193" s="915">
        <v>2000</v>
      </c>
      <c r="I193" s="915">
        <v>2000</v>
      </c>
      <c r="J193" s="230"/>
      <c r="K193" s="969"/>
      <c r="N193" s="478"/>
    </row>
    <row r="194" spans="1:14" ht="28.5">
      <c r="A194" s="970"/>
      <c r="B194" s="516">
        <v>1742000750</v>
      </c>
      <c r="C194" s="970">
        <v>750</v>
      </c>
      <c r="D194" s="970">
        <v>742000</v>
      </c>
      <c r="E194" s="970">
        <v>1</v>
      </c>
      <c r="F194" s="970" t="s">
        <v>288</v>
      </c>
      <c r="G194" s="67">
        <v>500000</v>
      </c>
      <c r="H194" s="915">
        <v>315000</v>
      </c>
      <c r="I194" s="915">
        <v>400000</v>
      </c>
      <c r="J194" s="230" t="s">
        <v>3989</v>
      </c>
      <c r="K194" s="969"/>
      <c r="N194" s="478"/>
    </row>
    <row r="195" spans="1:14" ht="15">
      <c r="A195" s="68" t="s">
        <v>447</v>
      </c>
      <c r="B195" s="1052"/>
      <c r="C195" s="68">
        <v>999</v>
      </c>
      <c r="D195" s="68">
        <v>742000</v>
      </c>
      <c r="E195" s="970">
        <v>1</v>
      </c>
      <c r="F195" s="68"/>
      <c r="G195" s="69">
        <v>2511000</v>
      </c>
      <c r="H195" s="945">
        <v>1754000</v>
      </c>
      <c r="I195" s="916">
        <v>2436000</v>
      </c>
      <c r="J195" s="1050"/>
      <c r="K195" s="969"/>
      <c r="N195" s="478"/>
    </row>
    <row r="196" spans="1:14">
      <c r="A196" s="970" t="s">
        <v>448</v>
      </c>
      <c r="B196" s="516">
        <v>1743000110</v>
      </c>
      <c r="C196" s="970">
        <v>110</v>
      </c>
      <c r="D196" s="970">
        <v>743000</v>
      </c>
      <c r="E196" s="480">
        <v>1</v>
      </c>
      <c r="F196" s="970" t="s">
        <v>449</v>
      </c>
      <c r="G196" s="67">
        <v>3259000</v>
      </c>
      <c r="H196" s="915">
        <v>3530000</v>
      </c>
      <c r="I196" s="915">
        <v>3509000</v>
      </c>
      <c r="J196" s="230" t="s">
        <v>274</v>
      </c>
      <c r="K196" s="969"/>
      <c r="N196" s="478"/>
    </row>
    <row r="197" spans="1:14">
      <c r="A197" s="970"/>
      <c r="B197" s="516">
        <v>1743000530</v>
      </c>
      <c r="C197" s="970">
        <v>530</v>
      </c>
      <c r="D197" s="970">
        <v>743000</v>
      </c>
      <c r="E197" s="970">
        <v>1</v>
      </c>
      <c r="F197" s="970" t="s">
        <v>277</v>
      </c>
      <c r="G197" s="67">
        <v>360000</v>
      </c>
      <c r="H197" s="915">
        <v>320000</v>
      </c>
      <c r="I197" s="915">
        <v>320000</v>
      </c>
      <c r="J197" s="230" t="s">
        <v>287</v>
      </c>
      <c r="K197" s="969"/>
      <c r="N197" s="478"/>
    </row>
    <row r="198" spans="1:14">
      <c r="A198" s="970"/>
      <c r="B198" s="516">
        <v>1743000540</v>
      </c>
      <c r="C198" s="970">
        <v>540</v>
      </c>
      <c r="D198" s="970">
        <v>743000</v>
      </c>
      <c r="E198" s="970">
        <v>1</v>
      </c>
      <c r="F198" s="970" t="s">
        <v>279</v>
      </c>
      <c r="G198" s="67">
        <v>5000</v>
      </c>
      <c r="H198" s="915">
        <v>2000</v>
      </c>
      <c r="I198" s="915">
        <v>5000</v>
      </c>
      <c r="J198" s="230"/>
      <c r="K198" s="969"/>
      <c r="N198" s="478"/>
    </row>
    <row r="199" spans="1:14">
      <c r="A199" s="970"/>
      <c r="B199" s="516">
        <v>1743000720</v>
      </c>
      <c r="C199" s="970">
        <v>720</v>
      </c>
      <c r="D199" s="970">
        <v>743000</v>
      </c>
      <c r="E199" s="970">
        <v>1</v>
      </c>
      <c r="F199" s="970" t="s">
        <v>400</v>
      </c>
      <c r="G199" s="67">
        <v>15000</v>
      </c>
      <c r="H199" s="915">
        <v>15000</v>
      </c>
      <c r="I199" s="915">
        <v>10000</v>
      </c>
      <c r="J199" s="67" t="s">
        <v>450</v>
      </c>
      <c r="K199" s="969"/>
      <c r="N199" s="478"/>
    </row>
    <row r="200" spans="1:14">
      <c r="A200" s="970"/>
      <c r="B200" s="516">
        <v>1743000740</v>
      </c>
      <c r="C200" s="970">
        <v>740</v>
      </c>
      <c r="D200" s="970">
        <v>743000</v>
      </c>
      <c r="E200" s="970">
        <v>1</v>
      </c>
      <c r="F200" s="970" t="s">
        <v>451</v>
      </c>
      <c r="G200" s="67">
        <v>55000</v>
      </c>
      <c r="H200" s="915">
        <v>55000</v>
      </c>
      <c r="I200" s="915">
        <v>20000</v>
      </c>
      <c r="J200" s="230" t="s">
        <v>452</v>
      </c>
      <c r="K200" s="969"/>
      <c r="N200" s="478"/>
    </row>
    <row r="201" spans="1:14" s="448" customFormat="1" ht="28.5">
      <c r="A201" s="970"/>
      <c r="B201" s="516">
        <v>1743000760</v>
      </c>
      <c r="C201" s="970">
        <v>760</v>
      </c>
      <c r="D201" s="970">
        <v>743000</v>
      </c>
      <c r="E201" s="970">
        <v>1</v>
      </c>
      <c r="F201" s="970" t="s">
        <v>453</v>
      </c>
      <c r="G201" s="67">
        <v>4100000</v>
      </c>
      <c r="H201" s="915">
        <v>4100000</v>
      </c>
      <c r="I201" s="915">
        <v>4100000</v>
      </c>
      <c r="J201" s="230" t="s">
        <v>875</v>
      </c>
      <c r="K201" s="969"/>
      <c r="N201" s="478"/>
    </row>
    <row r="202" spans="1:14" ht="42.75">
      <c r="A202" s="970"/>
      <c r="B202" s="516">
        <v>1743000780</v>
      </c>
      <c r="C202" s="970">
        <v>780</v>
      </c>
      <c r="D202" s="970">
        <v>743000</v>
      </c>
      <c r="E202" s="970">
        <v>1</v>
      </c>
      <c r="F202" s="970" t="s">
        <v>454</v>
      </c>
      <c r="G202" s="67">
        <v>75000</v>
      </c>
      <c r="H202" s="915">
        <v>75000</v>
      </c>
      <c r="I202" s="915">
        <v>50000</v>
      </c>
      <c r="J202" s="230" t="s">
        <v>1530</v>
      </c>
      <c r="K202" s="969"/>
      <c r="N202" s="478"/>
    </row>
    <row r="203" spans="1:14" ht="15">
      <c r="A203" s="68" t="s">
        <v>455</v>
      </c>
      <c r="B203" s="1052"/>
      <c r="C203" s="68">
        <v>999</v>
      </c>
      <c r="D203" s="68">
        <v>743000</v>
      </c>
      <c r="E203" s="970">
        <v>1</v>
      </c>
      <c r="F203" s="68"/>
      <c r="G203" s="69">
        <v>7869000</v>
      </c>
      <c r="H203" s="945">
        <v>8097000</v>
      </c>
      <c r="I203" s="916">
        <v>8014000</v>
      </c>
      <c r="J203" s="1050"/>
      <c r="K203" s="969"/>
      <c r="N203" s="478"/>
    </row>
    <row r="204" spans="1:14">
      <c r="A204" s="970" t="s">
        <v>456</v>
      </c>
      <c r="B204" s="516">
        <v>1744000110</v>
      </c>
      <c r="C204" s="970">
        <v>110</v>
      </c>
      <c r="D204" s="970">
        <v>744000</v>
      </c>
      <c r="E204" s="480">
        <v>1</v>
      </c>
      <c r="F204" s="970" t="s">
        <v>457</v>
      </c>
      <c r="G204" s="67">
        <v>352000</v>
      </c>
      <c r="H204" s="915">
        <v>373000</v>
      </c>
      <c r="I204" s="915">
        <v>370000</v>
      </c>
      <c r="J204" s="230" t="s">
        <v>274</v>
      </c>
      <c r="K204" s="969"/>
      <c r="N204" s="478"/>
    </row>
    <row r="205" spans="1:14" ht="28.5">
      <c r="A205" s="970"/>
      <c r="B205" s="516">
        <v>1744000781</v>
      </c>
      <c r="C205" s="970">
        <v>781</v>
      </c>
      <c r="D205" s="970">
        <v>744000</v>
      </c>
      <c r="E205" s="970">
        <v>1</v>
      </c>
      <c r="F205" s="970" t="s">
        <v>458</v>
      </c>
      <c r="G205" s="67">
        <v>203000</v>
      </c>
      <c r="H205" s="915">
        <v>216000</v>
      </c>
      <c r="I205" s="915">
        <v>292000</v>
      </c>
      <c r="J205" s="230" t="s">
        <v>3533</v>
      </c>
      <c r="K205" s="969"/>
      <c r="N205" s="478"/>
    </row>
    <row r="206" spans="1:14" ht="15">
      <c r="A206" s="68" t="s">
        <v>459</v>
      </c>
      <c r="B206" s="1052"/>
      <c r="C206" s="68">
        <v>999</v>
      </c>
      <c r="D206" s="68">
        <v>744000</v>
      </c>
      <c r="E206" s="970">
        <v>1</v>
      </c>
      <c r="F206" s="68"/>
      <c r="G206" s="69">
        <v>555000</v>
      </c>
      <c r="H206" s="945">
        <v>589000</v>
      </c>
      <c r="I206" s="916">
        <v>662000</v>
      </c>
      <c r="J206" s="1050"/>
      <c r="K206" s="969"/>
      <c r="N206" s="478"/>
    </row>
    <row r="207" spans="1:14">
      <c r="A207" s="970" t="s">
        <v>460</v>
      </c>
      <c r="B207" s="516">
        <v>1746000110</v>
      </c>
      <c r="C207" s="970">
        <v>110</v>
      </c>
      <c r="D207" s="970">
        <v>746000</v>
      </c>
      <c r="E207" s="480">
        <v>1</v>
      </c>
      <c r="F207" s="970" t="s">
        <v>461</v>
      </c>
      <c r="G207" s="67">
        <v>1612000</v>
      </c>
      <c r="H207" s="915">
        <v>1777000</v>
      </c>
      <c r="I207" s="915">
        <v>1945000</v>
      </c>
      <c r="J207" s="230" t="s">
        <v>274</v>
      </c>
      <c r="K207" s="969"/>
      <c r="N207" s="478"/>
    </row>
    <row r="208" spans="1:14" s="448" customFormat="1">
      <c r="A208" s="970"/>
      <c r="B208" s="516">
        <v>1746000432</v>
      </c>
      <c r="C208" s="970">
        <v>432</v>
      </c>
      <c r="D208" s="970">
        <v>746000</v>
      </c>
      <c r="E208" s="970">
        <v>1</v>
      </c>
      <c r="F208" s="970" t="s">
        <v>462</v>
      </c>
      <c r="G208" s="67">
        <v>3500000</v>
      </c>
      <c r="H208" s="915">
        <v>3500000</v>
      </c>
      <c r="I208" s="915">
        <v>3500000</v>
      </c>
      <c r="J208" s="230" t="s">
        <v>463</v>
      </c>
      <c r="K208" s="969"/>
      <c r="N208" s="478"/>
    </row>
    <row r="209" spans="1:14">
      <c r="A209" s="970"/>
      <c r="B209" s="516">
        <v>1746000530</v>
      </c>
      <c r="C209" s="970">
        <v>530</v>
      </c>
      <c r="D209" s="970">
        <v>746000</v>
      </c>
      <c r="E209" s="970">
        <v>1</v>
      </c>
      <c r="F209" s="970" t="s">
        <v>277</v>
      </c>
      <c r="G209" s="67">
        <v>100000</v>
      </c>
      <c r="H209" s="915">
        <v>100000</v>
      </c>
      <c r="I209" s="915">
        <v>100000</v>
      </c>
      <c r="J209" s="230" t="s">
        <v>287</v>
      </c>
      <c r="K209" s="969"/>
      <c r="N209" s="478"/>
    </row>
    <row r="210" spans="1:14">
      <c r="A210" s="970"/>
      <c r="B210" s="516">
        <v>1746000540</v>
      </c>
      <c r="C210" s="970">
        <v>540</v>
      </c>
      <c r="D210" s="970">
        <v>746000</v>
      </c>
      <c r="E210" s="970">
        <v>1</v>
      </c>
      <c r="F210" s="970" t="s">
        <v>279</v>
      </c>
      <c r="G210" s="67">
        <v>7000</v>
      </c>
      <c r="H210" s="915">
        <v>9000</v>
      </c>
      <c r="I210" s="915">
        <v>7000</v>
      </c>
      <c r="J210" s="230"/>
      <c r="K210" s="969"/>
      <c r="N210" s="478"/>
    </row>
    <row r="211" spans="1:14">
      <c r="A211" s="970"/>
      <c r="B211" s="516">
        <v>1746000750</v>
      </c>
      <c r="C211" s="970">
        <v>750</v>
      </c>
      <c r="D211" s="970">
        <v>746000</v>
      </c>
      <c r="E211" s="970">
        <v>1</v>
      </c>
      <c r="F211" s="970" t="s">
        <v>288</v>
      </c>
      <c r="G211" s="67">
        <v>6543840</v>
      </c>
      <c r="H211" s="915">
        <v>7500000</v>
      </c>
      <c r="I211" s="915">
        <v>4900000</v>
      </c>
      <c r="J211" s="1058" t="s">
        <v>3453</v>
      </c>
      <c r="K211" s="969"/>
      <c r="N211" s="478"/>
    </row>
    <row r="212" spans="1:14" ht="42.75">
      <c r="A212" s="970"/>
      <c r="B212" s="516">
        <v>1746000751</v>
      </c>
      <c r="C212" s="970">
        <v>751</v>
      </c>
      <c r="D212" s="970">
        <v>746000</v>
      </c>
      <c r="E212" s="970">
        <v>1</v>
      </c>
      <c r="F212" s="970" t="s">
        <v>464</v>
      </c>
      <c r="G212" s="67">
        <v>500000</v>
      </c>
      <c r="H212" s="915">
        <v>300000</v>
      </c>
      <c r="I212" s="915">
        <v>650000</v>
      </c>
      <c r="J212" s="1057" t="s">
        <v>3970</v>
      </c>
      <c r="K212" s="969"/>
      <c r="N212" s="478"/>
    </row>
    <row r="213" spans="1:14" ht="28.5">
      <c r="A213" s="970"/>
      <c r="B213" s="516">
        <v>1746000752</v>
      </c>
      <c r="C213" s="970">
        <v>752</v>
      </c>
      <c r="D213" s="970">
        <v>746000</v>
      </c>
      <c r="E213" s="970">
        <v>1</v>
      </c>
      <c r="F213" s="970" t="s">
        <v>465</v>
      </c>
      <c r="G213" s="67">
        <v>700000</v>
      </c>
      <c r="H213" s="915">
        <v>401000</v>
      </c>
      <c r="I213" s="915">
        <v>700000</v>
      </c>
      <c r="J213" s="230" t="s">
        <v>466</v>
      </c>
      <c r="K213" s="969"/>
      <c r="N213" s="478"/>
    </row>
    <row r="214" spans="1:14" ht="28.5">
      <c r="A214" s="970"/>
      <c r="B214" s="516">
        <v>1746000753</v>
      </c>
      <c r="C214" s="970">
        <v>753</v>
      </c>
      <c r="D214" s="970">
        <v>746000</v>
      </c>
      <c r="E214" s="970">
        <v>1</v>
      </c>
      <c r="F214" s="970" t="s">
        <v>467</v>
      </c>
      <c r="G214" s="67">
        <v>390000</v>
      </c>
      <c r="H214" s="915">
        <v>390000</v>
      </c>
      <c r="I214" s="915">
        <v>300000</v>
      </c>
      <c r="J214" s="230" t="s">
        <v>2235</v>
      </c>
      <c r="K214" s="969"/>
      <c r="N214" s="478"/>
    </row>
    <row r="215" spans="1:14" ht="28.5">
      <c r="A215" s="970"/>
      <c r="B215" s="516">
        <v>1746000754</v>
      </c>
      <c r="C215" s="970">
        <v>754</v>
      </c>
      <c r="D215" s="970">
        <v>746000</v>
      </c>
      <c r="E215" s="970">
        <v>1</v>
      </c>
      <c r="F215" s="970" t="s">
        <v>468</v>
      </c>
      <c r="G215" s="67">
        <v>391000</v>
      </c>
      <c r="H215" s="915">
        <v>391000</v>
      </c>
      <c r="I215" s="915">
        <v>391000</v>
      </c>
      <c r="J215" s="230" t="s">
        <v>2236</v>
      </c>
      <c r="K215" s="969"/>
      <c r="N215" s="478"/>
    </row>
    <row r="216" spans="1:14">
      <c r="A216" s="970"/>
      <c r="B216" s="516">
        <v>1746000755</v>
      </c>
      <c r="C216" s="970">
        <v>755</v>
      </c>
      <c r="D216" s="970">
        <v>746000</v>
      </c>
      <c r="E216" s="970">
        <v>1</v>
      </c>
      <c r="F216" s="970" t="s">
        <v>469</v>
      </c>
      <c r="G216" s="67">
        <v>600000</v>
      </c>
      <c r="H216" s="915">
        <v>726000</v>
      </c>
      <c r="I216" s="915">
        <v>600000</v>
      </c>
      <c r="J216" s="1055" t="s">
        <v>2408</v>
      </c>
      <c r="K216" s="969"/>
      <c r="N216" s="478"/>
    </row>
    <row r="217" spans="1:14" ht="15">
      <c r="A217" s="68" t="s">
        <v>470</v>
      </c>
      <c r="B217" s="1052"/>
      <c r="C217" s="68">
        <v>999</v>
      </c>
      <c r="D217" s="68">
        <v>746000</v>
      </c>
      <c r="E217" s="970">
        <v>1</v>
      </c>
      <c r="F217" s="68"/>
      <c r="G217" s="69">
        <v>14343840</v>
      </c>
      <c r="H217" s="945">
        <v>15094000</v>
      </c>
      <c r="I217" s="916">
        <v>13093000</v>
      </c>
      <c r="J217" s="1050"/>
      <c r="K217" s="969"/>
      <c r="N217" s="478"/>
    </row>
    <row r="218" spans="1:14">
      <c r="A218" s="970" t="s">
        <v>471</v>
      </c>
      <c r="B218" s="516">
        <v>1747000110</v>
      </c>
      <c r="C218" s="970">
        <v>110</v>
      </c>
      <c r="D218" s="970">
        <v>747000</v>
      </c>
      <c r="E218" s="480">
        <v>1</v>
      </c>
      <c r="F218" s="970" t="s">
        <v>472</v>
      </c>
      <c r="G218" s="67">
        <v>9400000</v>
      </c>
      <c r="H218" s="915">
        <v>9635000</v>
      </c>
      <c r="I218" s="915">
        <v>9778000</v>
      </c>
      <c r="J218" s="230" t="s">
        <v>274</v>
      </c>
      <c r="K218" s="969"/>
      <c r="N218" s="478"/>
    </row>
    <row r="219" spans="1:14">
      <c r="A219" s="970"/>
      <c r="B219" s="516">
        <v>1747000430</v>
      </c>
      <c r="C219" s="970">
        <v>430</v>
      </c>
      <c r="D219" s="970">
        <v>747000</v>
      </c>
      <c r="E219" s="970">
        <v>1</v>
      </c>
      <c r="F219" s="970" t="s">
        <v>311</v>
      </c>
      <c r="G219" s="67">
        <v>30000</v>
      </c>
      <c r="H219" s="915">
        <v>21000</v>
      </c>
      <c r="I219" s="915">
        <v>30000</v>
      </c>
      <c r="J219" s="230" t="s">
        <v>473</v>
      </c>
      <c r="K219" s="969"/>
      <c r="N219" s="478"/>
    </row>
    <row r="220" spans="1:14">
      <c r="A220" s="970"/>
      <c r="B220" s="516">
        <v>1747000530</v>
      </c>
      <c r="C220" s="970">
        <v>530</v>
      </c>
      <c r="D220" s="970">
        <v>747000</v>
      </c>
      <c r="E220" s="970">
        <v>1</v>
      </c>
      <c r="F220" s="970" t="s">
        <v>277</v>
      </c>
      <c r="G220" s="67">
        <v>260000</v>
      </c>
      <c r="H220" s="915">
        <v>270000</v>
      </c>
      <c r="I220" s="915">
        <v>260000</v>
      </c>
      <c r="J220" s="230" t="s">
        <v>287</v>
      </c>
      <c r="K220" s="969"/>
      <c r="N220" s="478"/>
    </row>
    <row r="221" spans="1:14">
      <c r="A221" s="970"/>
      <c r="B221" s="516">
        <v>1747000540</v>
      </c>
      <c r="C221" s="970">
        <v>540</v>
      </c>
      <c r="D221" s="970">
        <v>747000</v>
      </c>
      <c r="E221" s="970">
        <v>1</v>
      </c>
      <c r="F221" s="970" t="s">
        <v>279</v>
      </c>
      <c r="G221" s="67">
        <v>5000</v>
      </c>
      <c r="H221" s="915">
        <v>6000</v>
      </c>
      <c r="I221" s="915">
        <v>5000</v>
      </c>
      <c r="J221" s="230"/>
      <c r="K221" s="969"/>
      <c r="N221" s="478"/>
    </row>
    <row r="222" spans="1:14" ht="28.5">
      <c r="A222" s="970"/>
      <c r="B222" s="516">
        <v>1747000750</v>
      </c>
      <c r="C222" s="970">
        <v>750</v>
      </c>
      <c r="D222" s="970">
        <v>747000</v>
      </c>
      <c r="E222" s="970">
        <v>1</v>
      </c>
      <c r="F222" s="970" t="s">
        <v>288</v>
      </c>
      <c r="G222" s="67">
        <v>650000</v>
      </c>
      <c r="H222" s="915">
        <v>651000</v>
      </c>
      <c r="I222" s="915">
        <v>600000</v>
      </c>
      <c r="J222" s="230" t="s">
        <v>2704</v>
      </c>
      <c r="K222" s="969"/>
      <c r="N222" s="478"/>
    </row>
    <row r="223" spans="1:14" ht="42.75">
      <c r="A223" s="970"/>
      <c r="B223" s="516">
        <v>1747000751</v>
      </c>
      <c r="C223" s="970">
        <v>751</v>
      </c>
      <c r="D223" s="970">
        <v>747000</v>
      </c>
      <c r="E223" s="970">
        <v>1</v>
      </c>
      <c r="F223" s="970" t="s">
        <v>2369</v>
      </c>
      <c r="G223" s="67">
        <v>700000</v>
      </c>
      <c r="H223" s="915">
        <v>600000</v>
      </c>
      <c r="I223" s="915">
        <v>800000</v>
      </c>
      <c r="J223" s="1057" t="s">
        <v>2490</v>
      </c>
      <c r="K223" s="969"/>
      <c r="N223" s="478"/>
    </row>
    <row r="224" spans="1:14">
      <c r="A224" s="970"/>
      <c r="B224" s="516">
        <v>1747000752</v>
      </c>
      <c r="C224" s="970">
        <v>752</v>
      </c>
      <c r="D224" s="970">
        <v>747000</v>
      </c>
      <c r="E224" s="970">
        <v>1</v>
      </c>
      <c r="F224" s="970" t="s">
        <v>2368</v>
      </c>
      <c r="G224" s="67">
        <v>192000</v>
      </c>
      <c r="H224" s="915">
        <v>195000</v>
      </c>
      <c r="I224" s="915">
        <v>242000</v>
      </c>
      <c r="J224" s="230" t="s">
        <v>2367</v>
      </c>
      <c r="K224" s="969"/>
      <c r="N224" s="478"/>
    </row>
    <row r="225" spans="1:14">
      <c r="A225" s="970"/>
      <c r="B225" s="516">
        <v>1747000810</v>
      </c>
      <c r="C225" s="970">
        <v>810</v>
      </c>
      <c r="D225" s="970">
        <v>747000</v>
      </c>
      <c r="E225" s="970">
        <v>1</v>
      </c>
      <c r="F225" s="970" t="s">
        <v>474</v>
      </c>
      <c r="G225" s="67">
        <v>800000</v>
      </c>
      <c r="H225" s="915">
        <v>617000</v>
      </c>
      <c r="I225" s="915">
        <v>650000</v>
      </c>
      <c r="J225" s="230" t="s">
        <v>475</v>
      </c>
      <c r="K225" s="969"/>
      <c r="N225" s="478"/>
    </row>
    <row r="226" spans="1:14" ht="15">
      <c r="A226" s="68" t="s">
        <v>476</v>
      </c>
      <c r="B226" s="1052"/>
      <c r="C226" s="68">
        <v>999</v>
      </c>
      <c r="D226" s="68">
        <v>747000</v>
      </c>
      <c r="E226" s="970">
        <v>1</v>
      </c>
      <c r="F226" s="68"/>
      <c r="G226" s="69">
        <v>12037000</v>
      </c>
      <c r="H226" s="945">
        <v>11995000</v>
      </c>
      <c r="I226" s="916">
        <v>12365000</v>
      </c>
      <c r="J226" s="1050"/>
      <c r="K226" s="969"/>
      <c r="N226" s="478"/>
    </row>
    <row r="227" spans="1:14">
      <c r="A227" s="970" t="s">
        <v>477</v>
      </c>
      <c r="B227" s="516">
        <v>1749000110</v>
      </c>
      <c r="C227" s="970">
        <v>110</v>
      </c>
      <c r="D227" s="970">
        <v>749000</v>
      </c>
      <c r="E227" s="480">
        <v>1</v>
      </c>
      <c r="F227" s="970" t="s">
        <v>478</v>
      </c>
      <c r="G227" s="67">
        <v>2199000</v>
      </c>
      <c r="H227" s="915">
        <v>2140000</v>
      </c>
      <c r="I227" s="915">
        <v>2187000</v>
      </c>
      <c r="J227" s="230" t="s">
        <v>274</v>
      </c>
      <c r="K227" s="969"/>
      <c r="N227" s="478"/>
    </row>
    <row r="228" spans="1:14">
      <c r="A228" s="970"/>
      <c r="B228" s="516">
        <v>1749000410</v>
      </c>
      <c r="C228" s="970">
        <v>410</v>
      </c>
      <c r="D228" s="970">
        <v>749000</v>
      </c>
      <c r="E228" s="970">
        <v>1</v>
      </c>
      <c r="F228" s="970" t="s">
        <v>304</v>
      </c>
      <c r="G228" s="67">
        <v>241000.08</v>
      </c>
      <c r="H228" s="915">
        <v>241000</v>
      </c>
      <c r="I228" s="915">
        <v>253000</v>
      </c>
      <c r="J228" s="230" t="s">
        <v>305</v>
      </c>
      <c r="K228" s="969"/>
      <c r="N228" s="478"/>
    </row>
    <row r="229" spans="1:14">
      <c r="A229" s="970"/>
      <c r="B229" s="516">
        <v>1749000430</v>
      </c>
      <c r="C229" s="970">
        <v>430</v>
      </c>
      <c r="D229" s="970">
        <v>749000</v>
      </c>
      <c r="E229" s="970">
        <v>1</v>
      </c>
      <c r="F229" s="970" t="s">
        <v>311</v>
      </c>
      <c r="G229" s="67">
        <v>350000</v>
      </c>
      <c r="H229" s="915">
        <v>360000</v>
      </c>
      <c r="I229" s="915">
        <v>350000</v>
      </c>
      <c r="J229" s="230" t="s">
        <v>479</v>
      </c>
      <c r="K229" s="969"/>
      <c r="N229" s="478"/>
    </row>
    <row r="230" spans="1:14">
      <c r="A230" s="970"/>
      <c r="B230" s="516">
        <v>1749000432</v>
      </c>
      <c r="C230" s="970">
        <v>432</v>
      </c>
      <c r="D230" s="970">
        <v>749000</v>
      </c>
      <c r="E230" s="970">
        <v>1</v>
      </c>
      <c r="F230" s="970" t="s">
        <v>462</v>
      </c>
      <c r="G230" s="67">
        <v>1000000</v>
      </c>
      <c r="H230" s="915">
        <v>1001000</v>
      </c>
      <c r="I230" s="915">
        <v>1400000</v>
      </c>
      <c r="J230" s="230" t="s">
        <v>480</v>
      </c>
      <c r="K230" s="969"/>
      <c r="N230" s="478"/>
    </row>
    <row r="231" spans="1:14" ht="28.5">
      <c r="A231" s="970"/>
      <c r="B231" s="516">
        <v>1749000440</v>
      </c>
      <c r="C231" s="970">
        <v>440</v>
      </c>
      <c r="D231" s="970">
        <v>749000</v>
      </c>
      <c r="E231" s="970">
        <v>1</v>
      </c>
      <c r="F231" s="970" t="s">
        <v>481</v>
      </c>
      <c r="G231" s="67">
        <v>5600000</v>
      </c>
      <c r="H231" s="915">
        <v>4003000</v>
      </c>
      <c r="I231" s="915">
        <v>5600000</v>
      </c>
      <c r="J231" s="230" t="s">
        <v>482</v>
      </c>
      <c r="K231" s="969"/>
      <c r="N231" s="478"/>
    </row>
    <row r="232" spans="1:14">
      <c r="A232" s="970"/>
      <c r="B232" s="516">
        <v>1749000450</v>
      </c>
      <c r="C232" s="970">
        <v>450</v>
      </c>
      <c r="D232" s="970">
        <v>749000</v>
      </c>
      <c r="E232" s="970">
        <v>1</v>
      </c>
      <c r="F232" s="970" t="s">
        <v>483</v>
      </c>
      <c r="G232" s="67">
        <v>10000</v>
      </c>
      <c r="H232" s="915">
        <v>7000</v>
      </c>
      <c r="I232" s="915">
        <v>10000</v>
      </c>
      <c r="J232" s="230" t="s">
        <v>484</v>
      </c>
      <c r="K232" s="969"/>
      <c r="N232" s="478"/>
    </row>
    <row r="233" spans="1:14">
      <c r="A233" s="970"/>
      <c r="B233" s="516">
        <v>1749000540</v>
      </c>
      <c r="C233" s="970">
        <v>540</v>
      </c>
      <c r="D233" s="970">
        <v>749000</v>
      </c>
      <c r="E233" s="970">
        <v>1</v>
      </c>
      <c r="F233" s="970" t="s">
        <v>279</v>
      </c>
      <c r="G233" s="67">
        <v>450000</v>
      </c>
      <c r="H233" s="915">
        <v>467000</v>
      </c>
      <c r="I233" s="915">
        <v>450000</v>
      </c>
      <c r="J233" s="230" t="s">
        <v>485</v>
      </c>
      <c r="K233" s="969"/>
      <c r="N233" s="478"/>
    </row>
    <row r="234" spans="1:14">
      <c r="A234" s="970"/>
      <c r="B234" s="516">
        <v>1749000560</v>
      </c>
      <c r="C234" s="970">
        <v>560</v>
      </c>
      <c r="D234" s="970">
        <v>749000</v>
      </c>
      <c r="E234" s="970">
        <v>1</v>
      </c>
      <c r="F234" s="970" t="s">
        <v>486</v>
      </c>
      <c r="G234" s="67">
        <v>90000</v>
      </c>
      <c r="H234" s="915">
        <v>89000</v>
      </c>
      <c r="I234" s="915">
        <v>90000</v>
      </c>
      <c r="J234" s="230" t="s">
        <v>487</v>
      </c>
      <c r="K234" s="969"/>
      <c r="N234" s="478"/>
    </row>
    <row r="235" spans="1:14">
      <c r="A235" s="970"/>
      <c r="B235" s="516">
        <v>1749000720</v>
      </c>
      <c r="C235" s="970">
        <v>720</v>
      </c>
      <c r="D235" s="970">
        <v>749000</v>
      </c>
      <c r="E235" s="970">
        <v>1</v>
      </c>
      <c r="F235" s="970" t="s">
        <v>400</v>
      </c>
      <c r="G235" s="67">
        <v>65000</v>
      </c>
      <c r="H235" s="915">
        <v>65000</v>
      </c>
      <c r="I235" s="915">
        <v>65000</v>
      </c>
      <c r="J235" s="230" t="s">
        <v>488</v>
      </c>
      <c r="K235" s="969"/>
      <c r="N235" s="478"/>
    </row>
    <row r="236" spans="1:14">
      <c r="A236" s="970"/>
      <c r="B236" s="516">
        <v>1749000750</v>
      </c>
      <c r="C236" s="970">
        <v>750</v>
      </c>
      <c r="D236" s="970">
        <v>749000</v>
      </c>
      <c r="E236" s="970">
        <v>1</v>
      </c>
      <c r="F236" s="970" t="s">
        <v>288</v>
      </c>
      <c r="G236" s="67">
        <v>100000</v>
      </c>
      <c r="H236" s="915">
        <v>92000</v>
      </c>
      <c r="I236" s="915">
        <v>100000</v>
      </c>
      <c r="J236" s="230" t="s">
        <v>876</v>
      </c>
      <c r="K236" s="969"/>
      <c r="N236" s="478"/>
    </row>
    <row r="237" spans="1:14">
      <c r="A237" s="970"/>
      <c r="B237" s="516">
        <v>1749000780</v>
      </c>
      <c r="C237" s="970">
        <v>780</v>
      </c>
      <c r="D237" s="970">
        <v>749000</v>
      </c>
      <c r="E237" s="970">
        <v>1</v>
      </c>
      <c r="F237" s="970" t="s">
        <v>280</v>
      </c>
      <c r="G237" s="67">
        <v>20000</v>
      </c>
      <c r="H237" s="915">
        <v>12000</v>
      </c>
      <c r="I237" s="915">
        <v>20000</v>
      </c>
      <c r="J237" s="230" t="s">
        <v>489</v>
      </c>
      <c r="K237" s="969"/>
      <c r="N237" s="478"/>
    </row>
    <row r="238" spans="1:14" ht="15">
      <c r="A238" s="68" t="s">
        <v>490</v>
      </c>
      <c r="B238" s="1052"/>
      <c r="C238" s="68">
        <v>999</v>
      </c>
      <c r="D238" s="68">
        <v>749000</v>
      </c>
      <c r="E238" s="970">
        <v>1</v>
      </c>
      <c r="F238" s="68"/>
      <c r="G238" s="69">
        <v>10125000.08</v>
      </c>
      <c r="H238" s="945">
        <v>8477000</v>
      </c>
      <c r="I238" s="916">
        <v>10525000</v>
      </c>
      <c r="J238" s="1050"/>
      <c r="K238" s="969"/>
      <c r="N238" s="478"/>
    </row>
    <row r="239" spans="1:14">
      <c r="A239" s="970" t="s">
        <v>491</v>
      </c>
      <c r="B239" s="516">
        <v>1752000110</v>
      </c>
      <c r="C239" s="970">
        <v>110</v>
      </c>
      <c r="D239" s="970">
        <v>752000</v>
      </c>
      <c r="E239" s="480">
        <v>1</v>
      </c>
      <c r="F239" s="970" t="s">
        <v>492</v>
      </c>
      <c r="G239" s="67">
        <v>8001000</v>
      </c>
      <c r="H239" s="915">
        <v>7934000</v>
      </c>
      <c r="I239" s="915">
        <v>7831000</v>
      </c>
      <c r="J239" s="230" t="s">
        <v>434</v>
      </c>
      <c r="K239" s="969"/>
      <c r="N239" s="478"/>
    </row>
    <row r="240" spans="1:14" s="566" customFormat="1">
      <c r="A240" s="970"/>
      <c r="B240" s="516">
        <v>1752100110</v>
      </c>
      <c r="C240" s="970">
        <v>110</v>
      </c>
      <c r="D240" s="970">
        <v>752100</v>
      </c>
      <c r="E240" s="480">
        <v>1</v>
      </c>
      <c r="F240" s="970" t="s">
        <v>3159</v>
      </c>
      <c r="G240" s="67">
        <v>0</v>
      </c>
      <c r="H240" s="915">
        <v>0</v>
      </c>
      <c r="I240" s="915">
        <v>818000</v>
      </c>
      <c r="J240" s="230" t="s">
        <v>434</v>
      </c>
      <c r="K240" s="969"/>
      <c r="N240" s="478"/>
    </row>
    <row r="241" spans="1:14">
      <c r="A241" s="970"/>
      <c r="B241" s="516">
        <v>1752000530</v>
      </c>
      <c r="C241" s="970">
        <v>530</v>
      </c>
      <c r="D241" s="970">
        <v>752000</v>
      </c>
      <c r="E241" s="970">
        <v>1</v>
      </c>
      <c r="F241" s="970" t="s">
        <v>277</v>
      </c>
      <c r="G241" s="67">
        <v>450000</v>
      </c>
      <c r="H241" s="915">
        <v>424000</v>
      </c>
      <c r="I241" s="915">
        <v>450000</v>
      </c>
      <c r="J241" s="230" t="s">
        <v>278</v>
      </c>
      <c r="K241" s="969"/>
      <c r="N241" s="478"/>
    </row>
    <row r="242" spans="1:14">
      <c r="A242" s="970"/>
      <c r="B242" s="516">
        <v>1752000540</v>
      </c>
      <c r="C242" s="970">
        <v>540</v>
      </c>
      <c r="D242" s="970">
        <v>752000</v>
      </c>
      <c r="E242" s="970">
        <v>1</v>
      </c>
      <c r="F242" s="970" t="s">
        <v>279</v>
      </c>
      <c r="G242" s="67">
        <v>2000</v>
      </c>
      <c r="H242" s="915">
        <v>4000</v>
      </c>
      <c r="I242" s="915">
        <v>2000</v>
      </c>
      <c r="J242" s="230"/>
      <c r="K242" s="969"/>
      <c r="N242" s="478"/>
    </row>
    <row r="243" spans="1:14" ht="28.5">
      <c r="A243" s="970"/>
      <c r="B243" s="516">
        <v>1752000750</v>
      </c>
      <c r="C243" s="970">
        <v>750</v>
      </c>
      <c r="D243" s="970">
        <v>752000</v>
      </c>
      <c r="E243" s="970">
        <v>1</v>
      </c>
      <c r="F243" s="970" t="s">
        <v>288</v>
      </c>
      <c r="G243" s="67">
        <v>700000</v>
      </c>
      <c r="H243" s="915">
        <v>1256000</v>
      </c>
      <c r="I243" s="915">
        <v>1200000</v>
      </c>
      <c r="J243" s="230" t="s">
        <v>877</v>
      </c>
      <c r="K243" s="969"/>
      <c r="N243" s="478"/>
    </row>
    <row r="244" spans="1:14" s="43" customFormat="1">
      <c r="A244" s="970"/>
      <c r="B244" s="516">
        <v>1752000751</v>
      </c>
      <c r="C244" s="970">
        <v>751</v>
      </c>
      <c r="D244" s="970">
        <v>752000</v>
      </c>
      <c r="E244" s="970">
        <v>1</v>
      </c>
      <c r="F244" s="970" t="s">
        <v>2337</v>
      </c>
      <c r="G244" s="67">
        <v>700000</v>
      </c>
      <c r="H244" s="915">
        <v>711000</v>
      </c>
      <c r="I244" s="915">
        <v>700000</v>
      </c>
      <c r="J244" s="230"/>
      <c r="K244" s="969"/>
      <c r="N244" s="478"/>
    </row>
    <row r="245" spans="1:14" ht="28.5">
      <c r="A245" s="970"/>
      <c r="B245" s="516">
        <v>1752000780</v>
      </c>
      <c r="C245" s="970">
        <v>780</v>
      </c>
      <c r="D245" s="970">
        <v>752000</v>
      </c>
      <c r="E245" s="970">
        <v>1</v>
      </c>
      <c r="F245" s="970" t="s">
        <v>280</v>
      </c>
      <c r="G245" s="67">
        <v>200000</v>
      </c>
      <c r="H245" s="915">
        <v>149000</v>
      </c>
      <c r="I245" s="915">
        <v>250000</v>
      </c>
      <c r="J245" s="1057" t="s">
        <v>2492</v>
      </c>
      <c r="K245" s="969"/>
      <c r="N245" s="478"/>
    </row>
    <row r="246" spans="1:14" ht="15">
      <c r="A246" s="68" t="s">
        <v>493</v>
      </c>
      <c r="B246" s="1052"/>
      <c r="C246" s="68">
        <v>999</v>
      </c>
      <c r="D246" s="68">
        <v>752000</v>
      </c>
      <c r="E246" s="970">
        <v>1</v>
      </c>
      <c r="F246" s="68"/>
      <c r="G246" s="69">
        <v>10053000</v>
      </c>
      <c r="H246" s="945">
        <v>10478000</v>
      </c>
      <c r="I246" s="916">
        <v>11251000</v>
      </c>
      <c r="J246" s="1050"/>
      <c r="K246" s="969"/>
      <c r="N246" s="478"/>
    </row>
    <row r="247" spans="1:14">
      <c r="A247" s="970" t="s">
        <v>494</v>
      </c>
      <c r="B247" s="516">
        <v>1761000110</v>
      </c>
      <c r="C247" s="970">
        <v>110</v>
      </c>
      <c r="D247" s="970">
        <v>761000</v>
      </c>
      <c r="E247" s="480">
        <v>1</v>
      </c>
      <c r="F247" s="970" t="s">
        <v>495</v>
      </c>
      <c r="G247" s="67">
        <v>2020000</v>
      </c>
      <c r="H247" s="915">
        <v>2040000</v>
      </c>
      <c r="I247" s="915">
        <v>2240000</v>
      </c>
      <c r="J247" s="230" t="s">
        <v>274</v>
      </c>
      <c r="K247" s="969"/>
      <c r="N247" s="478"/>
    </row>
    <row r="248" spans="1:14">
      <c r="A248" s="970"/>
      <c r="B248" s="516">
        <v>1761000540</v>
      </c>
      <c r="C248" s="970">
        <v>540</v>
      </c>
      <c r="D248" s="970">
        <v>761000</v>
      </c>
      <c r="E248" s="970">
        <v>1</v>
      </c>
      <c r="F248" s="970" t="s">
        <v>279</v>
      </c>
      <c r="G248" s="67">
        <v>200000</v>
      </c>
      <c r="H248" s="915">
        <v>244000</v>
      </c>
      <c r="I248" s="915">
        <v>250000</v>
      </c>
      <c r="J248" s="230"/>
      <c r="K248" s="969"/>
      <c r="N248" s="478"/>
    </row>
    <row r="249" spans="1:14" ht="28.5">
      <c r="A249" s="970"/>
      <c r="B249" s="516">
        <v>1761000750</v>
      </c>
      <c r="C249" s="970">
        <v>750</v>
      </c>
      <c r="D249" s="970">
        <v>761000</v>
      </c>
      <c r="E249" s="970">
        <v>1</v>
      </c>
      <c r="F249" s="970" t="s">
        <v>288</v>
      </c>
      <c r="G249" s="67">
        <v>40000</v>
      </c>
      <c r="H249" s="915">
        <v>24000</v>
      </c>
      <c r="I249" s="915">
        <v>40000</v>
      </c>
      <c r="J249" s="230" t="s">
        <v>1505</v>
      </c>
      <c r="K249" s="969"/>
      <c r="N249" s="478"/>
    </row>
    <row r="250" spans="1:14">
      <c r="A250" s="970"/>
      <c r="B250" s="516">
        <v>1761000780</v>
      </c>
      <c r="C250" s="970">
        <v>780</v>
      </c>
      <c r="D250" s="970">
        <v>761000</v>
      </c>
      <c r="E250" s="970">
        <v>1</v>
      </c>
      <c r="F250" s="970" t="s">
        <v>280</v>
      </c>
      <c r="G250" s="67">
        <v>7000</v>
      </c>
      <c r="H250" s="915">
        <v>7000</v>
      </c>
      <c r="I250" s="915">
        <v>7000</v>
      </c>
      <c r="J250" s="230" t="s">
        <v>297</v>
      </c>
      <c r="K250" s="969"/>
      <c r="N250" s="478"/>
    </row>
    <row r="251" spans="1:14" ht="15">
      <c r="A251" s="68" t="s">
        <v>496</v>
      </c>
      <c r="B251" s="1052"/>
      <c r="C251" s="68">
        <v>999</v>
      </c>
      <c r="D251" s="68">
        <v>761000</v>
      </c>
      <c r="E251" s="970">
        <v>1</v>
      </c>
      <c r="F251" s="68"/>
      <c r="G251" s="69">
        <v>2267000</v>
      </c>
      <c r="H251" s="945">
        <v>2315000</v>
      </c>
      <c r="I251" s="916">
        <v>2537000</v>
      </c>
      <c r="J251" s="1050"/>
      <c r="K251" s="969"/>
      <c r="N251" s="478"/>
    </row>
    <row r="252" spans="1:14">
      <c r="A252" s="970" t="s">
        <v>497</v>
      </c>
      <c r="B252" s="516">
        <v>1764000110</v>
      </c>
      <c r="C252" s="970">
        <v>110</v>
      </c>
      <c r="D252" s="970">
        <v>764000</v>
      </c>
      <c r="E252" s="480">
        <v>1</v>
      </c>
      <c r="F252" s="970" t="s">
        <v>498</v>
      </c>
      <c r="G252" s="67">
        <v>317000</v>
      </c>
      <c r="H252" s="915">
        <v>347000</v>
      </c>
      <c r="I252" s="915">
        <v>355000</v>
      </c>
      <c r="J252" s="230" t="s">
        <v>274</v>
      </c>
      <c r="K252" s="969"/>
      <c r="N252" s="478"/>
    </row>
    <row r="253" spans="1:14">
      <c r="A253" s="970"/>
      <c r="B253" s="516">
        <v>1764000540</v>
      </c>
      <c r="C253" s="970">
        <v>540</v>
      </c>
      <c r="D253" s="970">
        <v>764000</v>
      </c>
      <c r="E253" s="970">
        <v>1</v>
      </c>
      <c r="F253" s="970" t="s">
        <v>279</v>
      </c>
      <c r="G253" s="67">
        <v>3000</v>
      </c>
      <c r="H253" s="915">
        <v>3000</v>
      </c>
      <c r="I253" s="915">
        <v>3000</v>
      </c>
      <c r="J253" s="230"/>
      <c r="K253" s="969"/>
      <c r="N253" s="478"/>
    </row>
    <row r="254" spans="1:14">
      <c r="A254" s="970"/>
      <c r="B254" s="516">
        <v>1764000780</v>
      </c>
      <c r="C254" s="970">
        <v>780</v>
      </c>
      <c r="D254" s="970">
        <v>764000</v>
      </c>
      <c r="E254" s="970">
        <v>1</v>
      </c>
      <c r="F254" s="970" t="s">
        <v>280</v>
      </c>
      <c r="G254" s="67">
        <v>5000</v>
      </c>
      <c r="H254" s="915">
        <v>5000</v>
      </c>
      <c r="I254" s="915">
        <v>12000</v>
      </c>
      <c r="J254" s="230" t="s">
        <v>499</v>
      </c>
      <c r="K254" s="969"/>
      <c r="N254" s="478"/>
    </row>
    <row r="255" spans="1:14" ht="15">
      <c r="A255" s="68" t="s">
        <v>500</v>
      </c>
      <c r="B255" s="1052"/>
      <c r="C255" s="68">
        <v>999</v>
      </c>
      <c r="D255" s="68">
        <v>764000</v>
      </c>
      <c r="E255" s="970">
        <v>1</v>
      </c>
      <c r="F255" s="68"/>
      <c r="G255" s="69">
        <v>325000</v>
      </c>
      <c r="H255" s="945">
        <v>355000</v>
      </c>
      <c r="I255" s="916">
        <v>370000</v>
      </c>
      <c r="J255" s="1050"/>
      <c r="K255" s="969"/>
      <c r="N255" s="478"/>
    </row>
    <row r="256" spans="1:14">
      <c r="A256" s="970" t="s">
        <v>501</v>
      </c>
      <c r="B256" s="516">
        <v>1765000811</v>
      </c>
      <c r="C256" s="970">
        <v>811</v>
      </c>
      <c r="D256" s="970">
        <v>765000</v>
      </c>
      <c r="E256" s="970">
        <v>1</v>
      </c>
      <c r="F256" s="970" t="s">
        <v>502</v>
      </c>
      <c r="G256" s="67">
        <v>280000</v>
      </c>
      <c r="H256" s="915">
        <v>280000</v>
      </c>
      <c r="I256" s="915">
        <v>280000</v>
      </c>
      <c r="J256" s="230" t="s">
        <v>503</v>
      </c>
      <c r="K256" s="969"/>
      <c r="N256" s="478"/>
    </row>
    <row r="257" spans="1:14">
      <c r="A257" s="970"/>
      <c r="B257" s="516">
        <v>1765000812</v>
      </c>
      <c r="C257" s="970">
        <v>812</v>
      </c>
      <c r="D257" s="970">
        <v>765000</v>
      </c>
      <c r="E257" s="970">
        <v>1</v>
      </c>
      <c r="F257" s="970" t="s">
        <v>504</v>
      </c>
      <c r="G257" s="67">
        <v>776000</v>
      </c>
      <c r="H257" s="915">
        <v>776000</v>
      </c>
      <c r="I257" s="915">
        <v>792000</v>
      </c>
      <c r="J257" s="230" t="s">
        <v>503</v>
      </c>
      <c r="K257" s="969"/>
      <c r="N257" s="478"/>
    </row>
    <row r="258" spans="1:14">
      <c r="A258" s="970"/>
      <c r="B258" s="516">
        <v>1765000813</v>
      </c>
      <c r="C258" s="970">
        <v>813</v>
      </c>
      <c r="D258" s="970">
        <v>765000</v>
      </c>
      <c r="E258" s="970">
        <v>1</v>
      </c>
      <c r="F258" s="970" t="s">
        <v>505</v>
      </c>
      <c r="G258" s="67">
        <v>300000</v>
      </c>
      <c r="H258" s="915">
        <v>301000</v>
      </c>
      <c r="I258" s="915">
        <v>300000</v>
      </c>
      <c r="J258" s="230" t="s">
        <v>506</v>
      </c>
      <c r="K258" s="969"/>
      <c r="N258" s="478"/>
    </row>
    <row r="259" spans="1:14" ht="28.5">
      <c r="A259" s="970"/>
      <c r="B259" s="516">
        <v>1765000820</v>
      </c>
      <c r="C259" s="970">
        <v>820</v>
      </c>
      <c r="D259" s="970">
        <v>765000</v>
      </c>
      <c r="E259" s="970">
        <v>1</v>
      </c>
      <c r="F259" s="970" t="s">
        <v>507</v>
      </c>
      <c r="G259" s="67">
        <v>5755000</v>
      </c>
      <c r="H259" s="915">
        <v>5755000</v>
      </c>
      <c r="I259" s="915">
        <v>5500000</v>
      </c>
      <c r="J259" s="1055" t="s">
        <v>2357</v>
      </c>
      <c r="K259" s="969"/>
      <c r="N259" s="478"/>
    </row>
    <row r="260" spans="1:14">
      <c r="A260" s="970"/>
      <c r="B260" s="516">
        <v>1765000830</v>
      </c>
      <c r="C260" s="970">
        <v>830</v>
      </c>
      <c r="D260" s="970">
        <v>765000</v>
      </c>
      <c r="E260" s="970">
        <v>1</v>
      </c>
      <c r="F260" s="970" t="s">
        <v>508</v>
      </c>
      <c r="G260" s="67">
        <v>290000</v>
      </c>
      <c r="H260" s="915">
        <v>270000</v>
      </c>
      <c r="I260" s="915">
        <v>290000</v>
      </c>
      <c r="J260" s="230" t="s">
        <v>503</v>
      </c>
      <c r="K260" s="969"/>
      <c r="N260" s="478"/>
    </row>
    <row r="261" spans="1:14" ht="15">
      <c r="A261" s="68" t="s">
        <v>509</v>
      </c>
      <c r="B261" s="1052"/>
      <c r="C261" s="68">
        <v>999</v>
      </c>
      <c r="D261" s="68">
        <v>765000</v>
      </c>
      <c r="E261" s="970">
        <v>1</v>
      </c>
      <c r="F261" s="68"/>
      <c r="G261" s="69">
        <v>7401000</v>
      </c>
      <c r="H261" s="945">
        <v>7382000</v>
      </c>
      <c r="I261" s="916">
        <v>7162000</v>
      </c>
      <c r="J261" s="1050"/>
      <c r="K261" s="969"/>
      <c r="N261" s="478"/>
    </row>
    <row r="262" spans="1:14">
      <c r="A262" s="970" t="s">
        <v>510</v>
      </c>
      <c r="B262" s="516">
        <v>1766000110</v>
      </c>
      <c r="C262" s="970">
        <v>110</v>
      </c>
      <c r="D262" s="970">
        <v>766000</v>
      </c>
      <c r="E262" s="480">
        <v>1</v>
      </c>
      <c r="F262" s="970" t="s">
        <v>511</v>
      </c>
      <c r="G262" s="67">
        <v>460000</v>
      </c>
      <c r="H262" s="915">
        <v>341000</v>
      </c>
      <c r="I262" s="915">
        <v>175000</v>
      </c>
      <c r="J262" s="230" t="s">
        <v>274</v>
      </c>
      <c r="K262" s="969"/>
      <c r="N262" s="478"/>
    </row>
    <row r="263" spans="1:14" s="968" customFormat="1" ht="57">
      <c r="A263" s="970"/>
      <c r="B263" s="516">
        <v>1766000780</v>
      </c>
      <c r="C263" s="970">
        <v>780</v>
      </c>
      <c r="D263" s="970">
        <v>766000</v>
      </c>
      <c r="E263" s="480">
        <v>1</v>
      </c>
      <c r="F263" s="970" t="s">
        <v>3991</v>
      </c>
      <c r="G263" s="67">
        <v>0</v>
      </c>
      <c r="H263" s="915">
        <v>0</v>
      </c>
      <c r="I263" s="915">
        <v>2000000</v>
      </c>
      <c r="J263" s="1058" t="s">
        <v>3992</v>
      </c>
      <c r="K263" s="969"/>
      <c r="N263" s="969"/>
    </row>
    <row r="264" spans="1:14" ht="15">
      <c r="A264" s="68" t="s">
        <v>512</v>
      </c>
      <c r="B264" s="1052"/>
      <c r="C264" s="68">
        <v>999</v>
      </c>
      <c r="D264" s="68">
        <v>766000</v>
      </c>
      <c r="E264" s="970">
        <v>1</v>
      </c>
      <c r="F264" s="68"/>
      <c r="G264" s="916">
        <v>460000</v>
      </c>
      <c r="H264" s="916">
        <v>341000</v>
      </c>
      <c r="I264" s="916">
        <v>2175000</v>
      </c>
      <c r="J264" s="1050"/>
      <c r="K264" s="969"/>
      <c r="N264" s="478"/>
    </row>
    <row r="265" spans="1:14" s="448" customFormat="1">
      <c r="A265" s="970" t="s">
        <v>513</v>
      </c>
      <c r="B265" s="516">
        <v>1771000550</v>
      </c>
      <c r="C265" s="970">
        <v>550</v>
      </c>
      <c r="D265" s="970">
        <v>771000</v>
      </c>
      <c r="E265" s="970">
        <v>1</v>
      </c>
      <c r="F265" s="970" t="s">
        <v>2406</v>
      </c>
      <c r="G265" s="67">
        <v>300000</v>
      </c>
      <c r="H265" s="915">
        <v>300000</v>
      </c>
      <c r="I265" s="915">
        <v>0</v>
      </c>
      <c r="J265" s="230" t="s">
        <v>3729</v>
      </c>
      <c r="K265" s="969"/>
      <c r="N265" s="478"/>
    </row>
    <row r="266" spans="1:14" s="448" customFormat="1">
      <c r="A266" s="1062"/>
      <c r="B266" s="516">
        <v>1771000750</v>
      </c>
      <c r="C266" s="970">
        <v>750</v>
      </c>
      <c r="D266" s="970">
        <v>771000</v>
      </c>
      <c r="E266" s="970">
        <v>1</v>
      </c>
      <c r="F266" s="970" t="s">
        <v>288</v>
      </c>
      <c r="G266" s="67">
        <v>130000</v>
      </c>
      <c r="H266" s="915">
        <v>130000</v>
      </c>
      <c r="I266" s="915">
        <v>130000</v>
      </c>
      <c r="J266" s="230" t="s">
        <v>2475</v>
      </c>
      <c r="K266" s="969"/>
      <c r="N266" s="478"/>
    </row>
    <row r="267" spans="1:14" s="448" customFormat="1">
      <c r="A267" s="970" t="s">
        <v>4</v>
      </c>
      <c r="B267" s="516">
        <v>1771000780</v>
      </c>
      <c r="C267" s="970">
        <v>780</v>
      </c>
      <c r="D267" s="970">
        <v>771000</v>
      </c>
      <c r="E267" s="970">
        <v>1</v>
      </c>
      <c r="F267" s="970" t="s">
        <v>514</v>
      </c>
      <c r="G267" s="67">
        <v>2277500</v>
      </c>
      <c r="H267" s="915">
        <v>1730000</v>
      </c>
      <c r="I267" s="915">
        <v>0</v>
      </c>
      <c r="J267" s="230" t="s">
        <v>3730</v>
      </c>
      <c r="K267" s="969"/>
      <c r="N267" s="478"/>
    </row>
    <row r="268" spans="1:14" s="448" customFormat="1" ht="28.5">
      <c r="A268" s="970" t="s">
        <v>4</v>
      </c>
      <c r="B268" s="516">
        <v>1771000810</v>
      </c>
      <c r="C268" s="970">
        <v>810</v>
      </c>
      <c r="D268" s="970">
        <v>771000</v>
      </c>
      <c r="E268" s="970">
        <v>1</v>
      </c>
      <c r="F268" s="970" t="s">
        <v>2336</v>
      </c>
      <c r="G268" s="67">
        <v>2300000</v>
      </c>
      <c r="H268" s="915">
        <v>1402000</v>
      </c>
      <c r="I268" s="915">
        <v>1300000</v>
      </c>
      <c r="J268" s="1042" t="s">
        <v>3851</v>
      </c>
      <c r="K268" s="969"/>
      <c r="N268" s="478"/>
    </row>
    <row r="269" spans="1:14" ht="15">
      <c r="A269" s="68" t="s">
        <v>515</v>
      </c>
      <c r="B269" s="1052"/>
      <c r="C269" s="68">
        <v>999</v>
      </c>
      <c r="D269" s="68">
        <v>771000</v>
      </c>
      <c r="E269" s="970">
        <v>1</v>
      </c>
      <c r="F269" s="68"/>
      <c r="G269" s="69">
        <v>5007500</v>
      </c>
      <c r="H269" s="945">
        <v>3562000</v>
      </c>
      <c r="I269" s="916">
        <v>1430000</v>
      </c>
      <c r="J269" s="1050"/>
      <c r="K269" s="969"/>
      <c r="N269" s="478"/>
    </row>
    <row r="270" spans="1:14">
      <c r="A270" s="970" t="s">
        <v>516</v>
      </c>
      <c r="B270" s="516">
        <v>1772000110</v>
      </c>
      <c r="C270" s="970">
        <v>110</v>
      </c>
      <c r="D270" s="970">
        <v>772000</v>
      </c>
      <c r="E270" s="480">
        <v>1</v>
      </c>
      <c r="F270" s="970" t="s">
        <v>517</v>
      </c>
      <c r="G270" s="67">
        <v>1368000</v>
      </c>
      <c r="H270" s="915">
        <v>1219000</v>
      </c>
      <c r="I270" s="915">
        <v>1402000</v>
      </c>
      <c r="J270" s="230" t="s">
        <v>274</v>
      </c>
      <c r="K270" s="969"/>
      <c r="N270" s="478"/>
    </row>
    <row r="271" spans="1:14">
      <c r="A271" s="970"/>
      <c r="B271" s="516">
        <v>1772000530</v>
      </c>
      <c r="C271" s="970">
        <v>530</v>
      </c>
      <c r="D271" s="970">
        <v>772000</v>
      </c>
      <c r="E271" s="970">
        <v>1</v>
      </c>
      <c r="F271" s="970" t="s">
        <v>277</v>
      </c>
      <c r="G271" s="67">
        <v>160000</v>
      </c>
      <c r="H271" s="915">
        <v>136000</v>
      </c>
      <c r="I271" s="915">
        <v>135000</v>
      </c>
      <c r="J271" s="230" t="s">
        <v>287</v>
      </c>
      <c r="K271" s="969"/>
      <c r="N271" s="478"/>
    </row>
    <row r="272" spans="1:14" s="448" customFormat="1">
      <c r="A272" s="970"/>
      <c r="B272" s="516">
        <v>1772000780</v>
      </c>
      <c r="C272" s="970">
        <v>780</v>
      </c>
      <c r="D272" s="970">
        <v>772000</v>
      </c>
      <c r="E272" s="970">
        <v>1</v>
      </c>
      <c r="F272" s="970" t="s">
        <v>518</v>
      </c>
      <c r="G272" s="67">
        <v>300000</v>
      </c>
      <c r="H272" s="915">
        <v>300000</v>
      </c>
      <c r="I272" s="915">
        <v>300000</v>
      </c>
      <c r="J272" s="230" t="s">
        <v>519</v>
      </c>
      <c r="K272" s="969"/>
      <c r="N272" s="478"/>
    </row>
    <row r="273" spans="1:14" ht="15">
      <c r="A273" s="68" t="s">
        <v>520</v>
      </c>
      <c r="B273" s="1052"/>
      <c r="C273" s="68">
        <v>999</v>
      </c>
      <c r="D273" s="68">
        <v>772000</v>
      </c>
      <c r="E273" s="970">
        <v>1</v>
      </c>
      <c r="F273" s="68"/>
      <c r="G273" s="69">
        <v>1828000</v>
      </c>
      <c r="H273" s="945">
        <v>1655000</v>
      </c>
      <c r="I273" s="916">
        <v>1837000</v>
      </c>
      <c r="J273" s="1050"/>
      <c r="K273" s="969"/>
      <c r="N273" s="478"/>
    </row>
    <row r="274" spans="1:14">
      <c r="A274" s="970" t="s">
        <v>521</v>
      </c>
      <c r="B274" s="516">
        <v>1780000110</v>
      </c>
      <c r="C274" s="970">
        <v>110</v>
      </c>
      <c r="D274" s="970">
        <v>780000</v>
      </c>
      <c r="E274" s="480">
        <v>1</v>
      </c>
      <c r="F274" s="970" t="s">
        <v>522</v>
      </c>
      <c r="G274" s="67">
        <v>1155000</v>
      </c>
      <c r="H274" s="915">
        <v>1078000</v>
      </c>
      <c r="I274" s="915">
        <v>1255000</v>
      </c>
      <c r="J274" s="230" t="s">
        <v>274</v>
      </c>
      <c r="K274" s="969"/>
      <c r="N274" s="478"/>
    </row>
    <row r="275" spans="1:14" s="566" customFormat="1">
      <c r="A275" s="970"/>
      <c r="B275" s="948">
        <v>1780000410</v>
      </c>
      <c r="C275" s="948">
        <v>410</v>
      </c>
      <c r="D275" s="1063">
        <v>95000</v>
      </c>
      <c r="E275" s="480"/>
      <c r="F275" s="948" t="s">
        <v>2648</v>
      </c>
      <c r="G275" s="67">
        <v>95000</v>
      </c>
      <c r="H275" s="915">
        <v>0</v>
      </c>
      <c r="I275" s="915">
        <v>0</v>
      </c>
      <c r="J275" s="230"/>
      <c r="K275" s="969"/>
      <c r="N275" s="478"/>
    </row>
    <row r="276" spans="1:14">
      <c r="A276" s="970"/>
      <c r="B276" s="516">
        <v>1780000430</v>
      </c>
      <c r="C276" s="970">
        <v>430</v>
      </c>
      <c r="D276" s="970">
        <v>780000</v>
      </c>
      <c r="E276" s="970">
        <v>1</v>
      </c>
      <c r="F276" s="970" t="s">
        <v>311</v>
      </c>
      <c r="G276" s="67">
        <v>70000</v>
      </c>
      <c r="H276" s="915">
        <v>78000</v>
      </c>
      <c r="I276" s="915">
        <v>100000</v>
      </c>
      <c r="J276" s="230" t="s">
        <v>523</v>
      </c>
      <c r="K276" s="969"/>
      <c r="N276" s="478"/>
    </row>
    <row r="277" spans="1:14">
      <c r="A277" s="970"/>
      <c r="B277" s="516">
        <v>1780000530</v>
      </c>
      <c r="C277" s="970">
        <v>530</v>
      </c>
      <c r="D277" s="970">
        <v>780000</v>
      </c>
      <c r="E277" s="970">
        <v>1</v>
      </c>
      <c r="F277" s="970" t="s">
        <v>277</v>
      </c>
      <c r="G277" s="67">
        <v>152000</v>
      </c>
      <c r="H277" s="915">
        <v>167000</v>
      </c>
      <c r="I277" s="915">
        <v>205000</v>
      </c>
      <c r="J277" s="1055" t="s">
        <v>2195</v>
      </c>
      <c r="K277" s="969"/>
      <c r="N277" s="478"/>
    </row>
    <row r="278" spans="1:14">
      <c r="A278" s="970"/>
      <c r="B278" s="516">
        <v>1780000540</v>
      </c>
      <c r="C278" s="970">
        <v>540</v>
      </c>
      <c r="D278" s="970">
        <v>780000</v>
      </c>
      <c r="E278" s="970">
        <v>1</v>
      </c>
      <c r="F278" s="970" t="s">
        <v>279</v>
      </c>
      <c r="G278" s="67">
        <v>10000</v>
      </c>
      <c r="H278" s="915">
        <v>13000</v>
      </c>
      <c r="I278" s="915">
        <v>15000</v>
      </c>
      <c r="J278" s="230"/>
      <c r="K278" s="969"/>
      <c r="N278" s="478"/>
    </row>
    <row r="279" spans="1:14" ht="57">
      <c r="A279" s="970"/>
      <c r="B279" s="516">
        <v>1780000780</v>
      </c>
      <c r="C279" s="970">
        <v>780</v>
      </c>
      <c r="D279" s="970">
        <v>780000</v>
      </c>
      <c r="E279" s="970">
        <v>1</v>
      </c>
      <c r="F279" s="970" t="s">
        <v>280</v>
      </c>
      <c r="G279" s="67">
        <v>430000</v>
      </c>
      <c r="H279" s="915">
        <v>294000</v>
      </c>
      <c r="I279" s="915">
        <v>300000</v>
      </c>
      <c r="J279" s="1064" t="s">
        <v>3534</v>
      </c>
      <c r="K279" s="969"/>
      <c r="N279" s="478"/>
    </row>
    <row r="280" spans="1:14" ht="15">
      <c r="A280" s="68" t="s">
        <v>524</v>
      </c>
      <c r="B280" s="1052"/>
      <c r="C280" s="68">
        <v>999</v>
      </c>
      <c r="D280" s="68">
        <v>780000</v>
      </c>
      <c r="E280" s="970">
        <v>1</v>
      </c>
      <c r="F280" s="68"/>
      <c r="G280" s="69">
        <v>1912000</v>
      </c>
      <c r="H280" s="945">
        <v>1630000</v>
      </c>
      <c r="I280" s="916">
        <v>1875000</v>
      </c>
      <c r="J280" s="1050"/>
      <c r="K280" s="969"/>
      <c r="N280" s="478"/>
    </row>
    <row r="281" spans="1:14">
      <c r="A281" s="970" t="s">
        <v>36</v>
      </c>
      <c r="B281" s="516">
        <v>1781000110</v>
      </c>
      <c r="C281" s="970">
        <v>110</v>
      </c>
      <c r="D281" s="970">
        <v>781000</v>
      </c>
      <c r="E281" s="480">
        <v>1</v>
      </c>
      <c r="F281" s="970" t="s">
        <v>525</v>
      </c>
      <c r="G281" s="67">
        <v>4358000</v>
      </c>
      <c r="H281" s="915">
        <v>4067000</v>
      </c>
      <c r="I281" s="915">
        <v>5261000</v>
      </c>
      <c r="J281" s="230" t="s">
        <v>346</v>
      </c>
      <c r="K281" s="969"/>
      <c r="N281" s="478"/>
    </row>
    <row r="282" spans="1:14">
      <c r="A282" s="970"/>
      <c r="B282" s="516">
        <v>1781000530</v>
      </c>
      <c r="C282" s="970">
        <v>530</v>
      </c>
      <c r="D282" s="970">
        <v>781000</v>
      </c>
      <c r="E282" s="970">
        <v>1</v>
      </c>
      <c r="F282" s="970" t="s">
        <v>277</v>
      </c>
      <c r="G282" s="67">
        <v>520000</v>
      </c>
      <c r="H282" s="915">
        <v>430000</v>
      </c>
      <c r="I282" s="915">
        <v>470000</v>
      </c>
      <c r="J282" s="230" t="s">
        <v>287</v>
      </c>
      <c r="K282" s="969"/>
      <c r="N282" s="478"/>
    </row>
    <row r="283" spans="1:14">
      <c r="A283" s="970"/>
      <c r="B283" s="516">
        <v>1781000540</v>
      </c>
      <c r="C283" s="970">
        <v>540</v>
      </c>
      <c r="D283" s="970">
        <v>781000</v>
      </c>
      <c r="E283" s="970">
        <v>1</v>
      </c>
      <c r="F283" s="970" t="s">
        <v>279</v>
      </c>
      <c r="G283" s="67">
        <v>30000</v>
      </c>
      <c r="H283" s="915">
        <v>21000</v>
      </c>
      <c r="I283" s="915">
        <v>30000</v>
      </c>
      <c r="J283" s="230"/>
      <c r="K283" s="969"/>
      <c r="N283" s="478"/>
    </row>
    <row r="284" spans="1:14">
      <c r="A284" s="970"/>
      <c r="B284" s="516">
        <v>1781000750</v>
      </c>
      <c r="C284" s="970">
        <v>750</v>
      </c>
      <c r="D284" s="970">
        <v>781000</v>
      </c>
      <c r="E284" s="970">
        <v>1</v>
      </c>
      <c r="F284" s="970" t="s">
        <v>288</v>
      </c>
      <c r="G284" s="67">
        <v>535000</v>
      </c>
      <c r="H284" s="915">
        <v>292000</v>
      </c>
      <c r="I284" s="915">
        <v>150000</v>
      </c>
      <c r="J284" s="230" t="s">
        <v>3731</v>
      </c>
      <c r="K284" s="969"/>
      <c r="N284" s="478"/>
    </row>
    <row r="285" spans="1:14">
      <c r="A285" s="970"/>
      <c r="B285" s="516">
        <v>1781000751</v>
      </c>
      <c r="C285" s="970">
        <v>751</v>
      </c>
      <c r="D285" s="970">
        <v>781000</v>
      </c>
      <c r="E285" s="970">
        <v>1</v>
      </c>
      <c r="F285" s="970" t="s">
        <v>526</v>
      </c>
      <c r="G285" s="67">
        <v>2850000</v>
      </c>
      <c r="H285" s="915">
        <v>2598000</v>
      </c>
      <c r="I285" s="915">
        <v>2450000</v>
      </c>
      <c r="J285" s="230" t="s">
        <v>1504</v>
      </c>
      <c r="K285" s="969"/>
      <c r="N285" s="478"/>
    </row>
    <row r="286" spans="1:14" s="448" customFormat="1">
      <c r="A286" s="970"/>
      <c r="B286" s="516">
        <v>1781000752</v>
      </c>
      <c r="C286" s="970">
        <v>752</v>
      </c>
      <c r="D286" s="970">
        <v>781000</v>
      </c>
      <c r="E286" s="970">
        <v>1</v>
      </c>
      <c r="F286" s="970" t="s">
        <v>2186</v>
      </c>
      <c r="G286" s="67">
        <v>120000</v>
      </c>
      <c r="H286" s="915">
        <v>0</v>
      </c>
      <c r="I286" s="915">
        <v>120000</v>
      </c>
      <c r="J286" s="230" t="s">
        <v>2356</v>
      </c>
      <c r="K286" s="969"/>
      <c r="N286" s="478"/>
    </row>
    <row r="287" spans="1:14" ht="15">
      <c r="A287" s="68" t="s">
        <v>43</v>
      </c>
      <c r="B287" s="1052"/>
      <c r="C287" s="68">
        <v>999</v>
      </c>
      <c r="D287" s="68">
        <v>781000</v>
      </c>
      <c r="E287" s="970">
        <v>1</v>
      </c>
      <c r="F287" s="68"/>
      <c r="G287" s="69">
        <v>8413000</v>
      </c>
      <c r="H287" s="945">
        <v>7408000</v>
      </c>
      <c r="I287" s="916">
        <v>8481000</v>
      </c>
      <c r="J287" s="1050" t="s">
        <v>4</v>
      </c>
      <c r="K287" s="969"/>
      <c r="N287" s="478"/>
    </row>
    <row r="288" spans="1:14">
      <c r="A288" s="970" t="s">
        <v>527</v>
      </c>
      <c r="B288" s="516">
        <v>1782000110</v>
      </c>
      <c r="C288" s="970">
        <v>110</v>
      </c>
      <c r="D288" s="970">
        <v>782000</v>
      </c>
      <c r="E288" s="480">
        <v>1</v>
      </c>
      <c r="F288" s="970" t="s">
        <v>528</v>
      </c>
      <c r="G288" s="67">
        <v>634000</v>
      </c>
      <c r="H288" s="915">
        <v>658000</v>
      </c>
      <c r="I288" s="915">
        <v>655000</v>
      </c>
      <c r="J288" s="230" t="s">
        <v>274</v>
      </c>
      <c r="K288" s="969"/>
      <c r="N288" s="478"/>
    </row>
    <row r="289" spans="1:14">
      <c r="A289" s="970"/>
      <c r="B289" s="516">
        <v>1782000410</v>
      </c>
      <c r="C289" s="970">
        <v>410</v>
      </c>
      <c r="D289" s="970">
        <v>782000</v>
      </c>
      <c r="E289" s="970">
        <v>1</v>
      </c>
      <c r="F289" s="970" t="s">
        <v>304</v>
      </c>
      <c r="G289" s="67">
        <v>113000</v>
      </c>
      <c r="H289" s="915">
        <v>0</v>
      </c>
      <c r="I289" s="915">
        <v>113000</v>
      </c>
      <c r="J289" s="230" t="s">
        <v>305</v>
      </c>
      <c r="K289" s="969"/>
      <c r="N289" s="478"/>
    </row>
    <row r="290" spans="1:14">
      <c r="A290" s="970"/>
      <c r="B290" s="516">
        <v>1782000540</v>
      </c>
      <c r="C290" s="970">
        <v>540</v>
      </c>
      <c r="D290" s="970">
        <v>782000</v>
      </c>
      <c r="E290" s="970">
        <v>1</v>
      </c>
      <c r="F290" s="970" t="s">
        <v>279</v>
      </c>
      <c r="G290" s="67">
        <v>3000</v>
      </c>
      <c r="H290" s="915">
        <v>3000</v>
      </c>
      <c r="I290" s="915">
        <v>3000</v>
      </c>
      <c r="J290" s="230"/>
      <c r="K290" s="969"/>
      <c r="N290" s="478"/>
    </row>
    <row r="291" spans="1:14">
      <c r="A291" s="970"/>
      <c r="B291" s="516">
        <v>1782000750</v>
      </c>
      <c r="C291" s="970">
        <v>750</v>
      </c>
      <c r="D291" s="970">
        <v>782000</v>
      </c>
      <c r="E291" s="970">
        <v>1</v>
      </c>
      <c r="F291" s="970" t="s">
        <v>530</v>
      </c>
      <c r="G291" s="67">
        <v>300000</v>
      </c>
      <c r="H291" s="915">
        <v>261000</v>
      </c>
      <c r="I291" s="915">
        <v>300000</v>
      </c>
      <c r="J291" s="230" t="s">
        <v>531</v>
      </c>
      <c r="K291" s="969"/>
      <c r="N291" s="478"/>
    </row>
    <row r="292" spans="1:14">
      <c r="A292" s="970"/>
      <c r="B292" s="516">
        <v>1782000780</v>
      </c>
      <c r="C292" s="970">
        <v>780</v>
      </c>
      <c r="D292" s="970">
        <v>782000</v>
      </c>
      <c r="E292" s="970">
        <v>1</v>
      </c>
      <c r="F292" s="970" t="s">
        <v>280</v>
      </c>
      <c r="G292" s="67">
        <v>5000</v>
      </c>
      <c r="H292" s="915">
        <v>2000</v>
      </c>
      <c r="I292" s="915">
        <v>5000</v>
      </c>
      <c r="J292" s="1065" t="s">
        <v>532</v>
      </c>
      <c r="K292" s="969"/>
      <c r="N292" s="478"/>
    </row>
    <row r="293" spans="1:14" ht="15">
      <c r="A293" s="68" t="s">
        <v>533</v>
      </c>
      <c r="B293" s="1052"/>
      <c r="C293" s="68">
        <v>999</v>
      </c>
      <c r="D293" s="68">
        <v>782000</v>
      </c>
      <c r="E293" s="970">
        <v>1</v>
      </c>
      <c r="F293" s="68"/>
      <c r="G293" s="69">
        <v>1055000</v>
      </c>
      <c r="H293" s="945">
        <v>924000</v>
      </c>
      <c r="I293" s="916">
        <v>1076000</v>
      </c>
      <c r="J293" s="1050"/>
      <c r="K293" s="969"/>
      <c r="N293" s="478"/>
    </row>
    <row r="294" spans="1:14">
      <c r="A294" s="1066" t="s">
        <v>44</v>
      </c>
      <c r="B294" s="516">
        <v>1783000110</v>
      </c>
      <c r="C294" s="970">
        <v>110</v>
      </c>
      <c r="D294" s="970">
        <v>783000</v>
      </c>
      <c r="E294" s="480">
        <v>1</v>
      </c>
      <c r="F294" s="970" t="s">
        <v>534</v>
      </c>
      <c r="G294" s="67">
        <v>1372000</v>
      </c>
      <c r="H294" s="915">
        <v>1416000</v>
      </c>
      <c r="I294" s="915">
        <v>1371000</v>
      </c>
      <c r="J294" s="230" t="s">
        <v>274</v>
      </c>
      <c r="K294" s="969"/>
      <c r="N294" s="478"/>
    </row>
    <row r="295" spans="1:14" s="448" customFormat="1">
      <c r="A295" s="1066"/>
      <c r="B295" s="516">
        <v>1783000750</v>
      </c>
      <c r="C295" s="970">
        <v>750</v>
      </c>
      <c r="D295" s="970">
        <v>783000</v>
      </c>
      <c r="E295" s="480">
        <v>1</v>
      </c>
      <c r="F295" s="970" t="s">
        <v>530</v>
      </c>
      <c r="G295" s="67">
        <v>0</v>
      </c>
      <c r="H295" s="915">
        <v>0</v>
      </c>
      <c r="I295" s="915">
        <v>200000</v>
      </c>
      <c r="J295" s="230" t="s">
        <v>3169</v>
      </c>
      <c r="K295" s="969"/>
      <c r="N295" s="478"/>
    </row>
    <row r="296" spans="1:14" ht="15">
      <c r="A296" s="1067" t="s">
        <v>46</v>
      </c>
      <c r="B296" s="1052"/>
      <c r="C296" s="68">
        <v>999</v>
      </c>
      <c r="D296" s="68">
        <v>782000</v>
      </c>
      <c r="E296" s="970">
        <v>1</v>
      </c>
      <c r="F296" s="68"/>
      <c r="G296" s="69">
        <v>1372000</v>
      </c>
      <c r="H296" s="945">
        <v>1416000</v>
      </c>
      <c r="I296" s="916">
        <v>1571000</v>
      </c>
      <c r="J296" s="69"/>
      <c r="K296" s="969"/>
      <c r="N296" s="478"/>
    </row>
    <row r="297" spans="1:14" s="448" customFormat="1">
      <c r="A297" s="970" t="s">
        <v>541</v>
      </c>
      <c r="B297" s="516">
        <v>1784000110</v>
      </c>
      <c r="C297" s="970">
        <v>110</v>
      </c>
      <c r="D297" s="970">
        <v>178400</v>
      </c>
      <c r="E297" s="480">
        <v>1</v>
      </c>
      <c r="F297" s="970" t="s">
        <v>3157</v>
      </c>
      <c r="G297" s="67">
        <v>0</v>
      </c>
      <c r="H297" s="915">
        <v>0</v>
      </c>
      <c r="I297" s="915">
        <v>1405000</v>
      </c>
      <c r="J297" s="230" t="s">
        <v>274</v>
      </c>
      <c r="K297" s="969"/>
      <c r="N297" s="478"/>
    </row>
    <row r="298" spans="1:14" s="448" customFormat="1">
      <c r="A298" s="970"/>
      <c r="B298" s="516">
        <v>1784000540</v>
      </c>
      <c r="C298" s="970">
        <v>540</v>
      </c>
      <c r="D298" s="970">
        <v>178400</v>
      </c>
      <c r="E298" s="970">
        <v>1</v>
      </c>
      <c r="F298" s="970" t="s">
        <v>279</v>
      </c>
      <c r="G298" s="67">
        <v>0</v>
      </c>
      <c r="H298" s="915">
        <v>0</v>
      </c>
      <c r="I298" s="915">
        <v>1000</v>
      </c>
      <c r="J298" s="230"/>
      <c r="K298" s="969"/>
      <c r="N298" s="478"/>
    </row>
    <row r="299" spans="1:14" s="448" customFormat="1">
      <c r="A299" s="970"/>
      <c r="B299" s="516">
        <v>1784000751</v>
      </c>
      <c r="C299" s="970">
        <v>751</v>
      </c>
      <c r="D299" s="970">
        <v>178400</v>
      </c>
      <c r="E299" s="970">
        <v>1</v>
      </c>
      <c r="F299" s="970" t="s">
        <v>541</v>
      </c>
      <c r="G299" s="67">
        <v>0</v>
      </c>
      <c r="H299" s="915">
        <v>0</v>
      </c>
      <c r="I299" s="915">
        <v>73000</v>
      </c>
      <c r="J299" s="230" t="s">
        <v>1506</v>
      </c>
      <c r="K299" s="969"/>
      <c r="N299" s="478"/>
    </row>
    <row r="300" spans="1:14" s="448" customFormat="1">
      <c r="A300" s="970"/>
      <c r="B300" s="516">
        <v>1784000752</v>
      </c>
      <c r="C300" s="970">
        <v>752</v>
      </c>
      <c r="D300" s="970">
        <v>178400</v>
      </c>
      <c r="E300" s="970">
        <v>1</v>
      </c>
      <c r="F300" s="970" t="s">
        <v>542</v>
      </c>
      <c r="G300" s="67">
        <v>0</v>
      </c>
      <c r="H300" s="915">
        <v>0</v>
      </c>
      <c r="I300" s="915">
        <v>196000</v>
      </c>
      <c r="J300" s="230" t="s">
        <v>1507</v>
      </c>
      <c r="K300" s="969"/>
      <c r="N300" s="478"/>
    </row>
    <row r="301" spans="1:14" s="566" customFormat="1" ht="15">
      <c r="A301" s="68" t="s">
        <v>3161</v>
      </c>
      <c r="B301" s="1052"/>
      <c r="C301" s="68">
        <v>999</v>
      </c>
      <c r="D301" s="68">
        <v>784000</v>
      </c>
      <c r="E301" s="970"/>
      <c r="F301" s="68"/>
      <c r="G301" s="69">
        <v>0</v>
      </c>
      <c r="H301" s="916">
        <v>0</v>
      </c>
      <c r="I301" s="916">
        <v>1675000</v>
      </c>
      <c r="J301" s="1050"/>
      <c r="K301" s="969"/>
      <c r="N301" s="478"/>
    </row>
    <row r="302" spans="1:14" ht="28.5">
      <c r="A302" s="970" t="s">
        <v>538</v>
      </c>
      <c r="B302" s="516">
        <v>1800000110</v>
      </c>
      <c r="C302" s="970">
        <v>110</v>
      </c>
      <c r="D302" s="970">
        <v>180000</v>
      </c>
      <c r="E302" s="480">
        <v>1</v>
      </c>
      <c r="F302" s="970" t="s">
        <v>3712</v>
      </c>
      <c r="G302" s="67">
        <v>3621000</v>
      </c>
      <c r="H302" s="915">
        <v>2780000</v>
      </c>
      <c r="I302" s="915">
        <v>0</v>
      </c>
      <c r="J302" s="230" t="s">
        <v>3555</v>
      </c>
      <c r="K302" s="969"/>
      <c r="N302" s="478"/>
    </row>
    <row r="303" spans="1:14">
      <c r="A303" s="970"/>
      <c r="B303" s="516">
        <v>1800000530</v>
      </c>
      <c r="C303" s="970">
        <v>530</v>
      </c>
      <c r="D303" s="970">
        <v>180000</v>
      </c>
      <c r="E303" s="970">
        <v>1</v>
      </c>
      <c r="F303" s="970" t="s">
        <v>277</v>
      </c>
      <c r="G303" s="67">
        <v>125000</v>
      </c>
      <c r="H303" s="915">
        <v>95000</v>
      </c>
      <c r="I303" s="915">
        <v>0</v>
      </c>
      <c r="J303" s="230" t="s">
        <v>3556</v>
      </c>
      <c r="K303" s="969"/>
      <c r="N303" s="478"/>
    </row>
    <row r="304" spans="1:14">
      <c r="A304" s="970"/>
      <c r="B304" s="516">
        <v>1800000540</v>
      </c>
      <c r="C304" s="970">
        <v>540</v>
      </c>
      <c r="D304" s="970">
        <v>180000</v>
      </c>
      <c r="E304" s="970">
        <v>1</v>
      </c>
      <c r="F304" s="970" t="s">
        <v>279</v>
      </c>
      <c r="G304" s="67">
        <v>1000</v>
      </c>
      <c r="H304" s="915">
        <v>2000</v>
      </c>
      <c r="I304" s="915">
        <v>0</v>
      </c>
      <c r="J304" s="1051" t="s">
        <v>3557</v>
      </c>
      <c r="K304" s="969"/>
      <c r="N304" s="478"/>
    </row>
    <row r="305" spans="1:14">
      <c r="A305" s="970"/>
      <c r="B305" s="516">
        <v>1800000550</v>
      </c>
      <c r="C305" s="970">
        <v>550</v>
      </c>
      <c r="D305" s="970">
        <v>180000</v>
      </c>
      <c r="E305" s="970">
        <v>1</v>
      </c>
      <c r="F305" s="970" t="s">
        <v>318</v>
      </c>
      <c r="G305" s="67">
        <v>350000</v>
      </c>
      <c r="H305" s="915">
        <v>297000</v>
      </c>
      <c r="I305" s="915">
        <v>0</v>
      </c>
      <c r="J305" s="1051" t="s">
        <v>3558</v>
      </c>
      <c r="K305" s="969"/>
      <c r="N305" s="478"/>
    </row>
    <row r="306" spans="1:14">
      <c r="A306" s="970"/>
      <c r="B306" s="516">
        <v>1800000750</v>
      </c>
      <c r="C306" s="970">
        <v>750</v>
      </c>
      <c r="D306" s="970">
        <v>180000</v>
      </c>
      <c r="E306" s="970">
        <v>1</v>
      </c>
      <c r="F306" s="970" t="s">
        <v>530</v>
      </c>
      <c r="G306" s="67">
        <v>132000</v>
      </c>
      <c r="H306" s="915">
        <v>130000</v>
      </c>
      <c r="I306" s="915">
        <v>0</v>
      </c>
      <c r="J306" s="948" t="s">
        <v>3557</v>
      </c>
      <c r="K306" s="969"/>
      <c r="N306" s="478"/>
    </row>
    <row r="307" spans="1:14">
      <c r="A307" s="970"/>
      <c r="B307" s="516">
        <v>1800000751</v>
      </c>
      <c r="C307" s="970">
        <v>751</v>
      </c>
      <c r="D307" s="970">
        <v>180000</v>
      </c>
      <c r="E307" s="970">
        <v>1</v>
      </c>
      <c r="F307" s="970" t="s">
        <v>541</v>
      </c>
      <c r="G307" s="67">
        <v>922000</v>
      </c>
      <c r="H307" s="915">
        <v>153000</v>
      </c>
      <c r="I307" s="915">
        <v>0</v>
      </c>
      <c r="J307" s="230" t="s">
        <v>3553</v>
      </c>
      <c r="K307" s="969"/>
      <c r="N307" s="478"/>
    </row>
    <row r="308" spans="1:14">
      <c r="A308" s="970"/>
      <c r="B308" s="516">
        <v>1800000752</v>
      </c>
      <c r="C308" s="970">
        <v>752</v>
      </c>
      <c r="D308" s="970">
        <v>180000</v>
      </c>
      <c r="E308" s="970">
        <v>1</v>
      </c>
      <c r="F308" s="970" t="s">
        <v>542</v>
      </c>
      <c r="G308" s="67">
        <v>311215</v>
      </c>
      <c r="H308" s="915">
        <v>311000</v>
      </c>
      <c r="I308" s="915">
        <v>0</v>
      </c>
      <c r="J308" s="230" t="s">
        <v>3554</v>
      </c>
      <c r="K308" s="969"/>
      <c r="N308" s="478"/>
    </row>
    <row r="309" spans="1:14" s="448" customFormat="1" ht="57">
      <c r="A309" s="970"/>
      <c r="B309" s="516">
        <v>1800000753</v>
      </c>
      <c r="C309" s="970">
        <v>753</v>
      </c>
      <c r="D309" s="970">
        <v>800000</v>
      </c>
      <c r="E309" s="970">
        <v>1</v>
      </c>
      <c r="F309" s="970" t="s">
        <v>2465</v>
      </c>
      <c r="G309" s="67">
        <v>850000</v>
      </c>
      <c r="H309" s="915">
        <v>423000</v>
      </c>
      <c r="I309" s="915">
        <v>0</v>
      </c>
      <c r="J309" s="1068" t="s">
        <v>3559</v>
      </c>
      <c r="K309" s="969"/>
      <c r="N309" s="478"/>
    </row>
    <row r="310" spans="1:14" s="448" customFormat="1" ht="42.75" customHeight="1">
      <c r="A310" s="970"/>
      <c r="B310" s="516">
        <v>1800000780</v>
      </c>
      <c r="C310" s="970">
        <v>780</v>
      </c>
      <c r="D310" s="970">
        <v>800000</v>
      </c>
      <c r="E310" s="970">
        <v>1</v>
      </c>
      <c r="F310" s="970" t="s">
        <v>379</v>
      </c>
      <c r="G310" s="67">
        <v>350000</v>
      </c>
      <c r="H310" s="915">
        <v>351000</v>
      </c>
      <c r="I310" s="915">
        <v>0</v>
      </c>
      <c r="J310" s="230" t="s">
        <v>3560</v>
      </c>
      <c r="K310" s="969"/>
      <c r="N310" s="478"/>
    </row>
    <row r="311" spans="1:14" s="448" customFormat="1">
      <c r="A311" s="970"/>
      <c r="B311" s="516">
        <v>1800000781</v>
      </c>
      <c r="C311" s="970">
        <v>781</v>
      </c>
      <c r="D311" s="970">
        <v>800000</v>
      </c>
      <c r="E311" s="970">
        <v>1</v>
      </c>
      <c r="F311" s="970" t="s">
        <v>543</v>
      </c>
      <c r="G311" s="67">
        <v>1000000</v>
      </c>
      <c r="H311" s="915">
        <v>1000000</v>
      </c>
      <c r="I311" s="915">
        <v>0</v>
      </c>
      <c r="J311" s="230" t="s">
        <v>1508</v>
      </c>
      <c r="K311" s="969"/>
      <c r="N311" s="478"/>
    </row>
    <row r="312" spans="1:14" s="566" customFormat="1" ht="15">
      <c r="A312" s="68" t="s">
        <v>3552</v>
      </c>
      <c r="B312" s="1052"/>
      <c r="C312" s="68">
        <v>999</v>
      </c>
      <c r="D312" s="68">
        <v>800000</v>
      </c>
      <c r="E312" s="970"/>
      <c r="F312" s="68"/>
      <c r="G312" s="69">
        <v>7662215</v>
      </c>
      <c r="H312" s="945">
        <v>5542000</v>
      </c>
      <c r="I312" s="916">
        <v>0</v>
      </c>
      <c r="J312" s="1050"/>
      <c r="K312" s="969"/>
      <c r="N312" s="478"/>
    </row>
    <row r="313" spans="1:14">
      <c r="A313" s="970" t="s">
        <v>535</v>
      </c>
      <c r="B313" s="516">
        <v>1791000110</v>
      </c>
      <c r="C313" s="970">
        <v>110</v>
      </c>
      <c r="D313" s="970">
        <v>791000</v>
      </c>
      <c r="E313" s="480">
        <v>1</v>
      </c>
      <c r="F313" s="970" t="s">
        <v>536</v>
      </c>
      <c r="G313" s="67">
        <v>340000</v>
      </c>
      <c r="H313" s="915">
        <v>392000</v>
      </c>
      <c r="I313" s="915">
        <v>396000</v>
      </c>
      <c r="J313" s="230" t="s">
        <v>274</v>
      </c>
      <c r="K313" s="969"/>
      <c r="N313" s="478"/>
    </row>
    <row r="314" spans="1:14">
      <c r="A314" s="970"/>
      <c r="B314" s="516">
        <v>1791000530</v>
      </c>
      <c r="C314" s="970">
        <v>530</v>
      </c>
      <c r="D314" s="970">
        <v>791000</v>
      </c>
      <c r="E314" s="970">
        <v>1</v>
      </c>
      <c r="F314" s="970" t="s">
        <v>277</v>
      </c>
      <c r="G314" s="67">
        <v>90000</v>
      </c>
      <c r="H314" s="915">
        <v>103000</v>
      </c>
      <c r="I314" s="915">
        <v>80000</v>
      </c>
      <c r="J314" s="230" t="s">
        <v>287</v>
      </c>
      <c r="K314" s="969"/>
      <c r="N314" s="478"/>
    </row>
    <row r="315" spans="1:14">
      <c r="A315" s="970"/>
      <c r="B315" s="516">
        <v>1791000540</v>
      </c>
      <c r="C315" s="970">
        <v>540</v>
      </c>
      <c r="D315" s="970">
        <v>791000</v>
      </c>
      <c r="E315" s="970">
        <v>1</v>
      </c>
      <c r="F315" s="970" t="s">
        <v>279</v>
      </c>
      <c r="G315" s="67">
        <v>4000</v>
      </c>
      <c r="H315" s="915">
        <v>2000</v>
      </c>
      <c r="I315" s="915">
        <v>4000</v>
      </c>
      <c r="J315" s="230"/>
      <c r="K315" s="969"/>
      <c r="N315" s="478"/>
    </row>
    <row r="316" spans="1:14">
      <c r="A316" s="970"/>
      <c r="B316" s="516">
        <v>1791000780</v>
      </c>
      <c r="C316" s="970">
        <v>780</v>
      </c>
      <c r="D316" s="970">
        <v>791000</v>
      </c>
      <c r="E316" s="970">
        <v>1</v>
      </c>
      <c r="F316" s="970" t="s">
        <v>280</v>
      </c>
      <c r="G316" s="67">
        <v>2000</v>
      </c>
      <c r="H316" s="915">
        <v>1000</v>
      </c>
      <c r="I316" s="915">
        <v>3000</v>
      </c>
      <c r="J316" s="1065" t="s">
        <v>532</v>
      </c>
      <c r="K316" s="969"/>
      <c r="N316" s="478"/>
    </row>
    <row r="317" spans="1:14" ht="15">
      <c r="A317" s="68" t="s">
        <v>537</v>
      </c>
      <c r="B317" s="1052"/>
      <c r="C317" s="68">
        <v>999</v>
      </c>
      <c r="D317" s="68">
        <v>791000</v>
      </c>
      <c r="E317" s="970">
        <v>1</v>
      </c>
      <c r="F317" s="68"/>
      <c r="G317" s="69">
        <v>436000</v>
      </c>
      <c r="H317" s="945">
        <v>498000</v>
      </c>
      <c r="I317" s="916">
        <v>483000</v>
      </c>
      <c r="J317" s="1050"/>
      <c r="K317" s="969"/>
      <c r="N317" s="478"/>
    </row>
    <row r="318" spans="1:14" ht="28.5">
      <c r="A318" s="970" t="s">
        <v>544</v>
      </c>
      <c r="B318" s="516">
        <v>1811000110</v>
      </c>
      <c r="C318" s="970">
        <v>110</v>
      </c>
      <c r="D318" s="970">
        <v>811000</v>
      </c>
      <c r="E318" s="480">
        <v>1</v>
      </c>
      <c r="F318" s="970" t="s">
        <v>545</v>
      </c>
      <c r="G318" s="67">
        <v>11245000</v>
      </c>
      <c r="H318" s="915">
        <v>10539000</v>
      </c>
      <c r="I318" s="915">
        <v>12532000</v>
      </c>
      <c r="J318" s="1057" t="s">
        <v>3803</v>
      </c>
      <c r="K318" s="969"/>
      <c r="N318" s="478"/>
    </row>
    <row r="319" spans="1:14">
      <c r="A319" s="970"/>
      <c r="B319" s="516">
        <v>1811000410</v>
      </c>
      <c r="C319" s="970">
        <v>410</v>
      </c>
      <c r="D319" s="970">
        <v>811000</v>
      </c>
      <c r="E319" s="970">
        <v>1</v>
      </c>
      <c r="F319" s="970" t="s">
        <v>304</v>
      </c>
      <c r="G319" s="67">
        <v>966000</v>
      </c>
      <c r="H319" s="915">
        <v>950000</v>
      </c>
      <c r="I319" s="915">
        <v>1040000</v>
      </c>
      <c r="J319" s="230" t="s">
        <v>305</v>
      </c>
      <c r="K319" s="969"/>
      <c r="N319" s="478"/>
    </row>
    <row r="320" spans="1:14">
      <c r="A320" s="970"/>
      <c r="B320" s="516">
        <v>1811000430</v>
      </c>
      <c r="C320" s="970">
        <v>430</v>
      </c>
      <c r="D320" s="970">
        <v>811000</v>
      </c>
      <c r="E320" s="970">
        <v>1</v>
      </c>
      <c r="F320" s="970" t="s">
        <v>311</v>
      </c>
      <c r="G320" s="67">
        <v>140000</v>
      </c>
      <c r="H320" s="915">
        <v>140000</v>
      </c>
      <c r="I320" s="915">
        <v>152000</v>
      </c>
      <c r="J320" s="230" t="s">
        <v>2231</v>
      </c>
      <c r="K320" s="969"/>
      <c r="N320" s="478"/>
    </row>
    <row r="321" spans="1:16372">
      <c r="A321" s="970"/>
      <c r="B321" s="516">
        <v>1811000530</v>
      </c>
      <c r="C321" s="970">
        <v>530</v>
      </c>
      <c r="D321" s="970">
        <v>811000</v>
      </c>
      <c r="E321" s="970">
        <v>1</v>
      </c>
      <c r="F321" s="970" t="s">
        <v>277</v>
      </c>
      <c r="G321" s="67">
        <v>270000</v>
      </c>
      <c r="H321" s="915">
        <v>276000</v>
      </c>
      <c r="I321" s="915">
        <v>270000</v>
      </c>
      <c r="J321" s="230" t="s">
        <v>287</v>
      </c>
      <c r="K321" s="969"/>
      <c r="N321" s="478"/>
    </row>
    <row r="322" spans="1:16372" s="448" customFormat="1" ht="28.5">
      <c r="A322" s="970"/>
      <c r="B322" s="516">
        <v>1811000540</v>
      </c>
      <c r="C322" s="970">
        <v>540</v>
      </c>
      <c r="D322" s="970">
        <v>811000</v>
      </c>
      <c r="E322" s="970">
        <v>1</v>
      </c>
      <c r="F322" s="970" t="s">
        <v>279</v>
      </c>
      <c r="G322" s="67">
        <v>40000</v>
      </c>
      <c r="H322" s="915">
        <v>161000</v>
      </c>
      <c r="I322" s="915">
        <v>120000</v>
      </c>
      <c r="J322" s="528" t="s">
        <v>2623</v>
      </c>
      <c r="K322" s="969"/>
      <c r="N322" s="478"/>
    </row>
    <row r="323" spans="1:16372">
      <c r="A323" s="970"/>
      <c r="B323" s="516">
        <v>1811000750</v>
      </c>
      <c r="C323" s="970">
        <v>750</v>
      </c>
      <c r="D323" s="970">
        <v>811000</v>
      </c>
      <c r="E323" s="970">
        <v>1</v>
      </c>
      <c r="F323" s="970" t="s">
        <v>546</v>
      </c>
      <c r="G323" s="67">
        <v>300000</v>
      </c>
      <c r="H323" s="915">
        <v>200000</v>
      </c>
      <c r="I323" s="915">
        <v>200000</v>
      </c>
      <c r="J323" s="230" t="s">
        <v>3457</v>
      </c>
      <c r="K323" s="969"/>
      <c r="N323" s="478"/>
    </row>
    <row r="324" spans="1:16372">
      <c r="A324" s="970"/>
      <c r="B324" s="516">
        <v>1811000751</v>
      </c>
      <c r="C324" s="970">
        <v>751</v>
      </c>
      <c r="D324" s="970">
        <v>811000</v>
      </c>
      <c r="E324" s="970">
        <v>1</v>
      </c>
      <c r="F324" s="970" t="s">
        <v>547</v>
      </c>
      <c r="G324" s="67">
        <v>250000</v>
      </c>
      <c r="H324" s="915">
        <v>250000</v>
      </c>
      <c r="I324" s="915">
        <v>250000</v>
      </c>
      <c r="J324" s="230" t="s">
        <v>2624</v>
      </c>
      <c r="K324" s="969"/>
      <c r="N324" s="478"/>
    </row>
    <row r="325" spans="1:16372">
      <c r="A325" s="970"/>
      <c r="B325" s="516">
        <v>1811000752</v>
      </c>
      <c r="C325" s="970">
        <v>752</v>
      </c>
      <c r="D325" s="970">
        <v>811000</v>
      </c>
      <c r="E325" s="970">
        <v>1</v>
      </c>
      <c r="F325" s="970" t="s">
        <v>548</v>
      </c>
      <c r="G325" s="67">
        <v>0</v>
      </c>
      <c r="H325" s="915">
        <v>850000</v>
      </c>
      <c r="I325" s="915">
        <v>850000</v>
      </c>
      <c r="J325" s="1068" t="s">
        <v>3849</v>
      </c>
      <c r="K325" s="969"/>
      <c r="N325" s="478"/>
    </row>
    <row r="326" spans="1:16372">
      <c r="A326" s="970"/>
      <c r="B326" s="516">
        <v>1811000755</v>
      </c>
      <c r="C326" s="970">
        <v>755</v>
      </c>
      <c r="D326" s="970">
        <v>811000</v>
      </c>
      <c r="E326" s="970">
        <v>1</v>
      </c>
      <c r="F326" s="970" t="s">
        <v>1527</v>
      </c>
      <c r="G326" s="67">
        <v>400000</v>
      </c>
      <c r="H326" s="915">
        <v>349000</v>
      </c>
      <c r="I326" s="915">
        <v>400000</v>
      </c>
      <c r="J326" s="230" t="s">
        <v>2404</v>
      </c>
      <c r="K326" s="969"/>
      <c r="N326" s="478"/>
    </row>
    <row r="327" spans="1:16372" s="43" customFormat="1">
      <c r="A327" s="970"/>
      <c r="B327" s="516">
        <v>1811000756</v>
      </c>
      <c r="C327" s="970">
        <v>756</v>
      </c>
      <c r="D327" s="970">
        <v>811000</v>
      </c>
      <c r="E327" s="970">
        <v>1</v>
      </c>
      <c r="F327" s="485" t="s">
        <v>2220</v>
      </c>
      <c r="G327" s="67">
        <v>120000</v>
      </c>
      <c r="H327" s="917">
        <v>348000</v>
      </c>
      <c r="I327" s="917">
        <v>248000</v>
      </c>
      <c r="J327" s="1062" t="s">
        <v>2221</v>
      </c>
      <c r="K327" s="969"/>
      <c r="N327" s="478"/>
    </row>
    <row r="328" spans="1:16372">
      <c r="A328" s="71"/>
      <c r="B328" s="516">
        <v>1811000780</v>
      </c>
      <c r="C328" s="970">
        <v>780</v>
      </c>
      <c r="D328" s="970">
        <v>811000</v>
      </c>
      <c r="E328" s="970">
        <v>1</v>
      </c>
      <c r="F328" s="970" t="s">
        <v>379</v>
      </c>
      <c r="G328" s="67">
        <v>250000</v>
      </c>
      <c r="H328" s="915">
        <v>250000</v>
      </c>
      <c r="I328" s="915">
        <v>250000</v>
      </c>
      <c r="J328" s="948"/>
      <c r="K328" s="969"/>
      <c r="N328" s="478"/>
    </row>
    <row r="329" spans="1:16372" ht="28.5">
      <c r="A329" s="970"/>
      <c r="B329" s="516">
        <v>1811000781</v>
      </c>
      <c r="C329" s="970">
        <v>781</v>
      </c>
      <c r="D329" s="970">
        <v>811000</v>
      </c>
      <c r="E329" s="970">
        <v>1</v>
      </c>
      <c r="F329" s="970" t="s">
        <v>549</v>
      </c>
      <c r="G329" s="67">
        <v>1176000</v>
      </c>
      <c r="H329" s="915">
        <v>1429000</v>
      </c>
      <c r="I329" s="915">
        <v>1656000</v>
      </c>
      <c r="J329" s="230" t="s">
        <v>3535</v>
      </c>
      <c r="K329" s="969"/>
      <c r="N329" s="478"/>
    </row>
    <row r="330" spans="1:16372" ht="28.5" customHeight="1">
      <c r="A330" s="970"/>
      <c r="B330" s="516">
        <v>1811000782</v>
      </c>
      <c r="C330" s="970">
        <v>782</v>
      </c>
      <c r="D330" s="970">
        <v>811000</v>
      </c>
      <c r="E330" s="970">
        <v>1</v>
      </c>
      <c r="F330" s="970" t="s">
        <v>280</v>
      </c>
      <c r="G330" s="67">
        <v>0</v>
      </c>
      <c r="H330" s="915">
        <v>0</v>
      </c>
      <c r="I330" s="915">
        <v>190000</v>
      </c>
      <c r="J330" s="230" t="s">
        <v>3732</v>
      </c>
      <c r="K330" s="969"/>
      <c r="N330" s="478"/>
    </row>
    <row r="331" spans="1:16372" ht="15">
      <c r="A331" s="68" t="s">
        <v>551</v>
      </c>
      <c r="B331" s="1052"/>
      <c r="C331" s="68">
        <v>999</v>
      </c>
      <c r="D331" s="68">
        <v>811000</v>
      </c>
      <c r="E331" s="970">
        <v>1</v>
      </c>
      <c r="F331" s="68"/>
      <c r="G331" s="69">
        <v>15157000</v>
      </c>
      <c r="H331" s="945">
        <v>15742000</v>
      </c>
      <c r="I331" s="916">
        <v>18158000</v>
      </c>
      <c r="J331" s="1050"/>
      <c r="K331" s="969"/>
      <c r="N331" s="478"/>
    </row>
    <row r="332" spans="1:16372">
      <c r="A332" s="970" t="s">
        <v>552</v>
      </c>
      <c r="B332" s="516">
        <v>1812000110</v>
      </c>
      <c r="C332" s="970">
        <v>110</v>
      </c>
      <c r="D332" s="970">
        <v>812000</v>
      </c>
      <c r="E332" s="480">
        <v>1</v>
      </c>
      <c r="F332" s="970" t="s">
        <v>553</v>
      </c>
      <c r="G332" s="67">
        <v>20000</v>
      </c>
      <c r="H332" s="915">
        <v>26000</v>
      </c>
      <c r="I332" s="915">
        <v>117000</v>
      </c>
      <c r="J332" s="230" t="s">
        <v>554</v>
      </c>
      <c r="K332" s="969"/>
      <c r="N332" s="478"/>
    </row>
    <row r="333" spans="1:16372">
      <c r="A333" s="970" t="s">
        <v>4</v>
      </c>
      <c r="B333" s="516">
        <v>1812100110</v>
      </c>
      <c r="C333" s="970">
        <v>110</v>
      </c>
      <c r="D333" s="970">
        <v>812100</v>
      </c>
      <c r="E333" s="480">
        <v>1</v>
      </c>
      <c r="F333" s="970" t="s">
        <v>555</v>
      </c>
      <c r="G333" s="67">
        <v>27633000</v>
      </c>
      <c r="H333" s="915">
        <v>28081000</v>
      </c>
      <c r="I333" s="915">
        <v>31005000</v>
      </c>
      <c r="J333" s="230" t="s">
        <v>274</v>
      </c>
      <c r="K333" s="969"/>
      <c r="N333" s="478"/>
    </row>
    <row r="334" spans="1:16372" s="566" customFormat="1">
      <c r="A334" s="1049"/>
      <c r="B334" s="1049">
        <v>1812000750</v>
      </c>
      <c r="C334" s="1049">
        <v>750</v>
      </c>
      <c r="D334" s="970">
        <v>812100</v>
      </c>
      <c r="E334" s="1049">
        <v>1</v>
      </c>
      <c r="F334" s="1049" t="s">
        <v>3986</v>
      </c>
      <c r="G334" s="67">
        <v>0</v>
      </c>
      <c r="H334" s="915">
        <v>0</v>
      </c>
      <c r="I334" s="915">
        <v>600000</v>
      </c>
      <c r="J334" s="1049" t="s">
        <v>3519</v>
      </c>
      <c r="K334" s="969"/>
      <c r="L334" s="559"/>
      <c r="M334" s="559"/>
      <c r="N334" s="478"/>
      <c r="O334" s="559"/>
      <c r="P334" s="559"/>
      <c r="Q334" s="559"/>
      <c r="R334" s="559"/>
      <c r="S334" s="559"/>
      <c r="T334" s="559"/>
      <c r="U334" s="559"/>
      <c r="V334" s="559"/>
      <c r="W334" s="559"/>
      <c r="X334" s="559"/>
      <c r="Y334" s="559"/>
      <c r="Z334" s="559"/>
      <c r="AA334" s="559"/>
      <c r="AB334" s="559"/>
      <c r="AC334" s="559"/>
      <c r="AD334" s="559"/>
      <c r="AE334" s="559"/>
      <c r="AF334" s="559"/>
      <c r="AG334" s="559"/>
      <c r="AH334" s="559"/>
      <c r="AI334" s="559"/>
      <c r="AJ334" s="559"/>
      <c r="AK334" s="559"/>
      <c r="AL334" s="559"/>
      <c r="AM334" s="559"/>
      <c r="AN334" s="559"/>
      <c r="AO334" s="559"/>
      <c r="AP334" s="559"/>
      <c r="AQ334" s="559"/>
      <c r="AR334" s="559"/>
      <c r="AS334" s="559"/>
      <c r="AT334" s="559"/>
      <c r="AU334" s="559"/>
      <c r="AV334" s="559"/>
      <c r="AW334" s="559"/>
      <c r="AX334" s="559"/>
      <c r="AY334" s="559"/>
      <c r="AZ334" s="559"/>
      <c r="BA334" s="559"/>
      <c r="BB334" s="559"/>
      <c r="BC334" s="559"/>
      <c r="BD334" s="559"/>
      <c r="BE334" s="559"/>
      <c r="BF334" s="559"/>
      <c r="BG334" s="559"/>
      <c r="BH334" s="559"/>
      <c r="BI334" s="559"/>
      <c r="BJ334" s="559"/>
      <c r="BK334" s="559"/>
      <c r="BL334" s="559"/>
      <c r="BM334" s="559"/>
      <c r="BN334" s="559"/>
      <c r="BO334" s="559"/>
      <c r="BP334" s="559"/>
      <c r="BQ334" s="559"/>
      <c r="BR334" s="559"/>
      <c r="BS334" s="559"/>
      <c r="BT334" s="559"/>
      <c r="BU334" s="559"/>
      <c r="BV334" s="559"/>
      <c r="BW334" s="559"/>
      <c r="BX334" s="559"/>
      <c r="BY334" s="559"/>
      <c r="BZ334" s="559"/>
      <c r="CA334" s="559"/>
      <c r="CB334" s="559"/>
      <c r="CC334" s="559"/>
      <c r="CD334" s="559"/>
      <c r="CE334" s="559"/>
      <c r="CF334" s="559"/>
      <c r="CG334" s="559"/>
      <c r="CH334" s="559"/>
      <c r="CI334" s="559"/>
      <c r="CJ334" s="559"/>
      <c r="CK334" s="559"/>
      <c r="CL334" s="559"/>
      <c r="CM334" s="559"/>
      <c r="CN334" s="559"/>
      <c r="CO334" s="559"/>
      <c r="CP334" s="559"/>
      <c r="CQ334" s="559"/>
      <c r="CR334" s="559"/>
      <c r="CS334" s="559"/>
      <c r="CT334" s="559"/>
      <c r="CU334" s="559"/>
      <c r="CV334" s="559"/>
      <c r="CW334" s="559"/>
      <c r="CX334" s="559"/>
      <c r="CY334" s="559"/>
      <c r="CZ334" s="559"/>
      <c r="DA334" s="559"/>
      <c r="DB334" s="559"/>
      <c r="DC334" s="559"/>
      <c r="DD334" s="559"/>
      <c r="DE334" s="559"/>
      <c r="DF334" s="559"/>
      <c r="DG334" s="559"/>
      <c r="DH334" s="559"/>
      <c r="DI334" s="559"/>
      <c r="DJ334" s="559"/>
      <c r="DK334" s="559"/>
      <c r="DL334" s="559"/>
      <c r="DM334" s="559"/>
      <c r="DN334" s="559"/>
      <c r="DO334" s="559"/>
      <c r="DP334" s="559"/>
      <c r="DQ334" s="559"/>
      <c r="DR334" s="559"/>
      <c r="DS334" s="559"/>
      <c r="DT334" s="559"/>
      <c r="DU334" s="559"/>
      <c r="DV334" s="559"/>
      <c r="DW334" s="559"/>
      <c r="DX334" s="559"/>
      <c r="DY334" s="559"/>
      <c r="DZ334" s="559"/>
      <c r="EA334" s="559"/>
      <c r="EB334" s="559"/>
      <c r="EC334" s="559"/>
      <c r="ED334" s="559"/>
      <c r="EE334" s="559"/>
      <c r="EF334" s="559"/>
      <c r="EG334" s="559"/>
      <c r="EH334" s="559"/>
      <c r="EI334" s="559"/>
      <c r="EJ334" s="559"/>
      <c r="EK334" s="559"/>
      <c r="EL334" s="559"/>
      <c r="EM334" s="559"/>
      <c r="EN334" s="559"/>
      <c r="EO334" s="559"/>
      <c r="EP334" s="559"/>
      <c r="EQ334" s="559"/>
      <c r="ER334" s="559"/>
      <c r="ES334" s="559"/>
      <c r="ET334" s="559"/>
      <c r="EU334" s="559"/>
      <c r="EV334" s="559"/>
      <c r="EW334" s="559"/>
      <c r="EX334" s="559"/>
      <c r="EY334" s="559"/>
      <c r="EZ334" s="559"/>
      <c r="FA334" s="559"/>
      <c r="FB334" s="559"/>
      <c r="FC334" s="559"/>
      <c r="FD334" s="559"/>
      <c r="FE334" s="559"/>
      <c r="FF334" s="559"/>
      <c r="FG334" s="559"/>
      <c r="FH334" s="559"/>
      <c r="FI334" s="559"/>
      <c r="FJ334" s="559"/>
      <c r="FK334" s="559"/>
      <c r="FL334" s="559"/>
      <c r="FM334" s="559"/>
      <c r="FN334" s="559"/>
      <c r="FO334" s="559"/>
      <c r="FP334" s="559"/>
      <c r="FQ334" s="559"/>
      <c r="FR334" s="559"/>
      <c r="FS334" s="559"/>
      <c r="FT334" s="559"/>
      <c r="FU334" s="559"/>
      <c r="FV334" s="559"/>
      <c r="FW334" s="559"/>
      <c r="FX334" s="559"/>
      <c r="FY334" s="559"/>
      <c r="FZ334" s="559"/>
      <c r="GA334" s="559"/>
      <c r="GB334" s="559"/>
      <c r="GC334" s="559"/>
      <c r="GD334" s="559"/>
      <c r="GE334" s="559"/>
      <c r="GF334" s="559"/>
      <c r="GG334" s="559"/>
      <c r="GH334" s="559"/>
      <c r="GI334" s="559"/>
      <c r="GJ334" s="559"/>
      <c r="GK334" s="559"/>
      <c r="GL334" s="559"/>
      <c r="GM334" s="559"/>
      <c r="GN334" s="559"/>
      <c r="GO334" s="559"/>
      <c r="GP334" s="559"/>
      <c r="GQ334" s="559"/>
      <c r="GR334" s="559"/>
      <c r="GS334" s="559"/>
      <c r="GT334" s="559"/>
      <c r="GU334" s="559"/>
      <c r="GV334" s="559"/>
      <c r="GW334" s="559"/>
      <c r="GX334" s="559"/>
      <c r="GY334" s="559"/>
      <c r="GZ334" s="559"/>
      <c r="HA334" s="559"/>
      <c r="HB334" s="559"/>
      <c r="HC334" s="559"/>
      <c r="HD334" s="559"/>
      <c r="HE334" s="559"/>
      <c r="HF334" s="559"/>
      <c r="HG334" s="559"/>
      <c r="HH334" s="559"/>
      <c r="HI334" s="559"/>
      <c r="HJ334" s="559"/>
      <c r="HK334" s="559"/>
      <c r="HL334" s="559"/>
      <c r="HM334" s="559"/>
      <c r="HN334" s="559"/>
      <c r="HO334" s="559"/>
      <c r="HP334" s="559"/>
      <c r="HQ334" s="559"/>
      <c r="HR334" s="559"/>
      <c r="HS334" s="559"/>
      <c r="HT334" s="559"/>
      <c r="HU334" s="559"/>
      <c r="HV334" s="559"/>
      <c r="HW334" s="559"/>
      <c r="HX334" s="559"/>
      <c r="HY334" s="559"/>
      <c r="HZ334" s="559"/>
      <c r="IA334" s="559"/>
      <c r="IB334" s="559"/>
      <c r="IC334" s="559"/>
      <c r="ID334" s="559"/>
      <c r="IE334" s="559"/>
      <c r="IF334" s="559"/>
      <c r="IG334" s="559"/>
      <c r="IH334" s="559"/>
      <c r="II334" s="559"/>
      <c r="IJ334" s="559"/>
      <c r="IK334" s="559"/>
      <c r="IL334" s="559"/>
      <c r="IM334" s="559"/>
      <c r="IN334" s="559"/>
      <c r="IO334" s="559"/>
      <c r="IP334" s="559"/>
      <c r="IQ334" s="559"/>
      <c r="IR334" s="559"/>
      <c r="IS334" s="559"/>
      <c r="IT334" s="559"/>
      <c r="IU334" s="559"/>
      <c r="IV334" s="559"/>
      <c r="IW334" s="559"/>
      <c r="IX334" s="559"/>
      <c r="IY334" s="559"/>
      <c r="IZ334" s="559"/>
      <c r="JA334" s="559"/>
      <c r="JB334" s="559"/>
      <c r="JC334" s="559"/>
      <c r="JD334" s="559"/>
      <c r="JE334" s="559"/>
      <c r="JF334" s="559"/>
      <c r="JG334" s="559"/>
      <c r="JH334" s="559"/>
      <c r="JI334" s="559"/>
      <c r="JJ334" s="559"/>
      <c r="JK334" s="559"/>
      <c r="JL334" s="559"/>
      <c r="JM334" s="559"/>
      <c r="JN334" s="559"/>
      <c r="JO334" s="559"/>
      <c r="JP334" s="559"/>
      <c r="JQ334" s="559"/>
      <c r="JR334" s="559"/>
      <c r="JS334" s="559"/>
      <c r="JT334" s="559"/>
      <c r="JU334" s="559"/>
      <c r="JV334" s="559"/>
      <c r="JW334" s="559"/>
      <c r="JX334" s="559"/>
      <c r="JY334" s="559"/>
      <c r="JZ334" s="559"/>
      <c r="KA334" s="559"/>
      <c r="KB334" s="559"/>
      <c r="KC334" s="559"/>
      <c r="KD334" s="559"/>
      <c r="KE334" s="559"/>
      <c r="KF334" s="559"/>
      <c r="KG334" s="559"/>
      <c r="KH334" s="559"/>
      <c r="KI334" s="559"/>
      <c r="KJ334" s="559"/>
      <c r="KK334" s="559"/>
      <c r="KL334" s="559"/>
      <c r="KM334" s="559"/>
      <c r="KN334" s="559"/>
      <c r="KO334" s="559"/>
      <c r="KP334" s="559"/>
      <c r="KQ334" s="559"/>
      <c r="KR334" s="559"/>
      <c r="KS334" s="559"/>
      <c r="KT334" s="559"/>
      <c r="KU334" s="559"/>
      <c r="KV334" s="559"/>
      <c r="KW334" s="559"/>
      <c r="KX334" s="559"/>
      <c r="KY334" s="559"/>
      <c r="KZ334" s="559"/>
      <c r="LA334" s="559"/>
      <c r="LB334" s="559"/>
      <c r="LC334" s="559"/>
      <c r="LD334" s="559"/>
      <c r="LE334" s="559"/>
      <c r="LF334" s="559"/>
      <c r="LG334" s="559"/>
      <c r="LH334" s="559"/>
      <c r="LI334" s="559"/>
      <c r="LJ334" s="559"/>
      <c r="LK334" s="559"/>
      <c r="LL334" s="559"/>
      <c r="LM334" s="559"/>
      <c r="LN334" s="559"/>
      <c r="LO334" s="559"/>
      <c r="LP334" s="559"/>
      <c r="LQ334" s="559"/>
      <c r="LR334" s="559"/>
      <c r="LS334" s="559"/>
      <c r="LT334" s="559"/>
      <c r="LU334" s="559"/>
      <c r="LV334" s="559"/>
      <c r="LW334" s="559"/>
      <c r="LX334" s="559"/>
      <c r="LY334" s="559"/>
      <c r="LZ334" s="559"/>
      <c r="MA334" s="559"/>
      <c r="MB334" s="559"/>
      <c r="MC334" s="559"/>
      <c r="MD334" s="559"/>
      <c r="ME334" s="559"/>
      <c r="MF334" s="559"/>
      <c r="MG334" s="559"/>
      <c r="MH334" s="559"/>
      <c r="MI334" s="559"/>
      <c r="MJ334" s="559"/>
      <c r="MK334" s="559"/>
      <c r="ML334" s="559"/>
      <c r="MM334" s="559"/>
      <c r="MN334" s="559"/>
      <c r="MO334" s="559"/>
      <c r="MP334" s="559"/>
      <c r="MQ334" s="559"/>
      <c r="MR334" s="559"/>
      <c r="MS334" s="559"/>
      <c r="MT334" s="559"/>
      <c r="MU334" s="559"/>
      <c r="MV334" s="559"/>
      <c r="MW334" s="559"/>
      <c r="MX334" s="559"/>
      <c r="MY334" s="559"/>
      <c r="MZ334" s="559"/>
      <c r="NA334" s="559"/>
      <c r="NB334" s="559"/>
      <c r="NC334" s="559"/>
      <c r="ND334" s="559"/>
      <c r="NE334" s="559"/>
      <c r="NF334" s="559"/>
      <c r="NG334" s="559"/>
      <c r="NH334" s="559"/>
      <c r="NI334" s="559"/>
      <c r="NJ334" s="559"/>
      <c r="NK334" s="559"/>
      <c r="NL334" s="559"/>
      <c r="NM334" s="559"/>
      <c r="NN334" s="559"/>
      <c r="NO334" s="559"/>
      <c r="NP334" s="559"/>
      <c r="NQ334" s="559"/>
      <c r="NR334" s="559"/>
      <c r="NS334" s="559"/>
      <c r="NT334" s="559"/>
      <c r="NU334" s="559"/>
      <c r="NV334" s="559"/>
      <c r="NW334" s="559"/>
      <c r="NX334" s="559"/>
      <c r="NY334" s="559"/>
      <c r="NZ334" s="559"/>
      <c r="OA334" s="559"/>
      <c r="OB334" s="559"/>
      <c r="OC334" s="559"/>
      <c r="OD334" s="559"/>
      <c r="OE334" s="559"/>
      <c r="OF334" s="559"/>
      <c r="OG334" s="559"/>
      <c r="OH334" s="559"/>
      <c r="OI334" s="559"/>
      <c r="OJ334" s="559"/>
      <c r="OK334" s="559"/>
      <c r="OL334" s="559"/>
      <c r="OM334" s="559"/>
      <c r="ON334" s="559"/>
      <c r="OO334" s="559"/>
      <c r="OP334" s="559"/>
      <c r="OQ334" s="559"/>
      <c r="OR334" s="559"/>
      <c r="OS334" s="559"/>
      <c r="OT334" s="559"/>
      <c r="OU334" s="559"/>
      <c r="OV334" s="559"/>
      <c r="OW334" s="559"/>
      <c r="OX334" s="559"/>
      <c r="OY334" s="559"/>
      <c r="OZ334" s="559"/>
      <c r="PA334" s="559"/>
      <c r="PB334" s="559"/>
      <c r="PC334" s="559"/>
      <c r="PD334" s="559"/>
      <c r="PE334" s="559"/>
      <c r="PF334" s="559"/>
      <c r="PG334" s="559"/>
      <c r="PH334" s="559"/>
      <c r="PI334" s="559"/>
      <c r="PJ334" s="559"/>
      <c r="PK334" s="559"/>
      <c r="PL334" s="559"/>
      <c r="PM334" s="559"/>
      <c r="PN334" s="559"/>
      <c r="PO334" s="559"/>
      <c r="PP334" s="559"/>
      <c r="PQ334" s="559"/>
      <c r="PR334" s="559"/>
      <c r="PS334" s="559"/>
      <c r="PT334" s="559"/>
      <c r="PU334" s="559"/>
      <c r="PV334" s="559"/>
      <c r="PW334" s="559"/>
      <c r="PX334" s="559"/>
      <c r="PY334" s="559"/>
      <c r="PZ334" s="559"/>
      <c r="QA334" s="559"/>
      <c r="QB334" s="559"/>
      <c r="QC334" s="559"/>
      <c r="QD334" s="559"/>
      <c r="QE334" s="559"/>
      <c r="QF334" s="559"/>
      <c r="QG334" s="559"/>
      <c r="QH334" s="559"/>
      <c r="QI334" s="559"/>
      <c r="QJ334" s="559"/>
      <c r="QK334" s="559"/>
      <c r="QL334" s="559"/>
      <c r="QM334" s="559"/>
      <c r="QN334" s="559"/>
      <c r="QO334" s="559"/>
      <c r="QP334" s="559"/>
      <c r="QQ334" s="559"/>
      <c r="QR334" s="559"/>
      <c r="QS334" s="559"/>
      <c r="QT334" s="559"/>
      <c r="QU334" s="559"/>
      <c r="QV334" s="559"/>
      <c r="QW334" s="559"/>
      <c r="QX334" s="559"/>
      <c r="QY334" s="559"/>
      <c r="QZ334" s="559"/>
      <c r="RA334" s="559"/>
      <c r="RB334" s="559"/>
      <c r="RC334" s="559"/>
      <c r="RD334" s="559"/>
      <c r="RE334" s="559"/>
      <c r="RF334" s="559"/>
      <c r="RG334" s="559"/>
      <c r="RH334" s="559"/>
      <c r="RI334" s="559"/>
      <c r="RJ334" s="559"/>
      <c r="RK334" s="559"/>
      <c r="RL334" s="559"/>
      <c r="RM334" s="559"/>
      <c r="RN334" s="559"/>
      <c r="RO334" s="559"/>
      <c r="RP334" s="559"/>
      <c r="RQ334" s="559"/>
      <c r="RR334" s="559"/>
      <c r="RS334" s="559"/>
      <c r="RT334" s="559"/>
      <c r="RU334" s="559"/>
      <c r="RV334" s="559"/>
      <c r="RW334" s="559"/>
      <c r="RX334" s="559"/>
      <c r="RY334" s="559"/>
      <c r="RZ334" s="559"/>
      <c r="SA334" s="559"/>
      <c r="SB334" s="559"/>
      <c r="SC334" s="559"/>
      <c r="SD334" s="559"/>
      <c r="SE334" s="559"/>
      <c r="SF334" s="559"/>
      <c r="SG334" s="559"/>
      <c r="SH334" s="559"/>
      <c r="SI334" s="559"/>
      <c r="SJ334" s="559"/>
      <c r="SK334" s="559"/>
      <c r="SL334" s="559"/>
      <c r="SM334" s="559"/>
      <c r="SN334" s="559"/>
      <c r="SO334" s="559"/>
      <c r="SP334" s="559"/>
      <c r="SQ334" s="559"/>
      <c r="SR334" s="559"/>
      <c r="SS334" s="559"/>
      <c r="ST334" s="559"/>
      <c r="SU334" s="559"/>
      <c r="SV334" s="559"/>
      <c r="SW334" s="559"/>
      <c r="SX334" s="559"/>
      <c r="SY334" s="559"/>
      <c r="SZ334" s="559"/>
      <c r="TA334" s="559"/>
      <c r="TB334" s="559"/>
      <c r="TC334" s="559"/>
      <c r="TD334" s="559"/>
      <c r="TE334" s="559"/>
      <c r="TF334" s="559"/>
      <c r="TG334" s="559"/>
      <c r="TH334" s="559"/>
      <c r="TI334" s="559"/>
      <c r="TJ334" s="559"/>
      <c r="TK334" s="559"/>
      <c r="TL334" s="559"/>
      <c r="TM334" s="559"/>
      <c r="TN334" s="559"/>
      <c r="TO334" s="559"/>
      <c r="TP334" s="559"/>
      <c r="TQ334" s="559"/>
      <c r="TR334" s="559"/>
      <c r="TS334" s="559"/>
      <c r="TT334" s="559"/>
      <c r="TU334" s="559"/>
      <c r="TV334" s="559"/>
      <c r="TW334" s="559"/>
      <c r="TX334" s="559"/>
      <c r="TY334" s="559"/>
      <c r="TZ334" s="559"/>
      <c r="UA334" s="559"/>
      <c r="UB334" s="559"/>
      <c r="UC334" s="559"/>
      <c r="UD334" s="559"/>
      <c r="UE334" s="559"/>
      <c r="UF334" s="559"/>
      <c r="UG334" s="559"/>
      <c r="UH334" s="559"/>
      <c r="UI334" s="559"/>
      <c r="UJ334" s="559"/>
      <c r="UK334" s="559"/>
      <c r="UL334" s="559"/>
      <c r="UM334" s="559"/>
      <c r="UN334" s="559"/>
      <c r="UO334" s="559"/>
      <c r="UP334" s="559"/>
      <c r="UQ334" s="559"/>
      <c r="UR334" s="559"/>
      <c r="US334" s="559"/>
      <c r="UT334" s="559"/>
      <c r="UU334" s="559"/>
      <c r="UV334" s="559"/>
      <c r="UW334" s="559"/>
      <c r="UX334" s="559"/>
      <c r="UY334" s="559"/>
      <c r="UZ334" s="559"/>
      <c r="VA334" s="559"/>
      <c r="VB334" s="559"/>
      <c r="VC334" s="559"/>
      <c r="VD334" s="559"/>
      <c r="VE334" s="559"/>
      <c r="VF334" s="559"/>
      <c r="VG334" s="559"/>
      <c r="VH334" s="559"/>
      <c r="VI334" s="559"/>
      <c r="VJ334" s="559"/>
      <c r="VK334" s="559"/>
      <c r="VL334" s="559"/>
      <c r="VM334" s="559"/>
      <c r="VN334" s="559"/>
      <c r="VO334" s="559"/>
      <c r="VP334" s="559"/>
      <c r="VQ334" s="559"/>
      <c r="VR334" s="559"/>
      <c r="VS334" s="559"/>
      <c r="VT334" s="559"/>
      <c r="VU334" s="559"/>
      <c r="VV334" s="559"/>
      <c r="VW334" s="559"/>
      <c r="VX334" s="559"/>
      <c r="VY334" s="559"/>
      <c r="VZ334" s="559"/>
      <c r="WA334" s="559"/>
      <c r="WB334" s="559"/>
      <c r="WC334" s="559"/>
      <c r="WD334" s="559"/>
      <c r="WE334" s="559"/>
      <c r="WF334" s="559"/>
      <c r="WG334" s="559"/>
      <c r="WH334" s="559"/>
      <c r="WI334" s="559"/>
      <c r="WJ334" s="559"/>
      <c r="WK334" s="559"/>
      <c r="WL334" s="559"/>
      <c r="WM334" s="559"/>
      <c r="WN334" s="559"/>
      <c r="WO334" s="559"/>
      <c r="WP334" s="559"/>
      <c r="WQ334" s="559"/>
      <c r="WR334" s="559"/>
      <c r="WS334" s="559"/>
      <c r="WT334" s="559"/>
      <c r="WU334" s="559"/>
      <c r="WV334" s="559"/>
      <c r="WW334" s="559"/>
      <c r="WX334" s="559"/>
      <c r="WY334" s="559"/>
      <c r="WZ334" s="559"/>
      <c r="XA334" s="559"/>
      <c r="XB334" s="559"/>
      <c r="XC334" s="559"/>
      <c r="XD334" s="559"/>
      <c r="XE334" s="559"/>
      <c r="XF334" s="559"/>
      <c r="XG334" s="559"/>
      <c r="XH334" s="559"/>
      <c r="XI334" s="559"/>
      <c r="XJ334" s="559"/>
      <c r="XK334" s="559"/>
      <c r="XL334" s="559"/>
      <c r="XM334" s="559"/>
      <c r="XN334" s="559"/>
      <c r="XO334" s="559"/>
      <c r="XP334" s="559"/>
      <c r="XQ334" s="559"/>
      <c r="XR334" s="559"/>
      <c r="XS334" s="559"/>
      <c r="XT334" s="559"/>
      <c r="XU334" s="559"/>
      <c r="XV334" s="559"/>
      <c r="XW334" s="559"/>
      <c r="XX334" s="559"/>
      <c r="XY334" s="559"/>
      <c r="XZ334" s="559"/>
      <c r="YA334" s="559"/>
      <c r="YB334" s="559"/>
      <c r="YC334" s="559"/>
      <c r="YD334" s="559"/>
      <c r="YE334" s="559"/>
      <c r="YF334" s="559"/>
      <c r="YG334" s="559"/>
      <c r="YH334" s="559"/>
      <c r="YI334" s="559"/>
      <c r="YJ334" s="559"/>
      <c r="YK334" s="559"/>
      <c r="YL334" s="559"/>
      <c r="YM334" s="559"/>
      <c r="YN334" s="559"/>
      <c r="YO334" s="559"/>
      <c r="YP334" s="559"/>
      <c r="YQ334" s="559"/>
      <c r="YR334" s="559"/>
      <c r="YS334" s="559"/>
      <c r="YT334" s="559"/>
      <c r="YU334" s="559"/>
      <c r="YV334" s="559"/>
      <c r="YW334" s="559"/>
      <c r="YX334" s="559"/>
      <c r="YY334" s="559"/>
      <c r="YZ334" s="559"/>
      <c r="ZA334" s="559"/>
      <c r="ZB334" s="559"/>
      <c r="ZC334" s="559"/>
      <c r="ZD334" s="559"/>
      <c r="ZE334" s="559"/>
      <c r="ZF334" s="559"/>
      <c r="ZG334" s="559"/>
      <c r="ZH334" s="559"/>
      <c r="ZI334" s="559"/>
      <c r="ZJ334" s="559"/>
      <c r="ZK334" s="559"/>
      <c r="ZL334" s="559"/>
      <c r="ZM334" s="559"/>
      <c r="ZN334" s="559"/>
      <c r="ZO334" s="559"/>
      <c r="ZP334" s="559"/>
      <c r="ZQ334" s="559"/>
      <c r="ZR334" s="559"/>
      <c r="ZS334" s="559"/>
      <c r="ZT334" s="559"/>
      <c r="ZU334" s="559"/>
      <c r="ZV334" s="559"/>
      <c r="ZW334" s="559"/>
      <c r="ZX334" s="559"/>
      <c r="ZY334" s="559"/>
      <c r="ZZ334" s="559"/>
      <c r="AAA334" s="559"/>
      <c r="AAB334" s="559"/>
      <c r="AAC334" s="559"/>
      <c r="AAD334" s="559"/>
      <c r="AAE334" s="559"/>
      <c r="AAF334" s="559"/>
      <c r="AAG334" s="559"/>
      <c r="AAH334" s="559"/>
      <c r="AAI334" s="559"/>
      <c r="AAJ334" s="559"/>
      <c r="AAK334" s="559"/>
      <c r="AAL334" s="559"/>
      <c r="AAM334" s="559"/>
      <c r="AAN334" s="559"/>
      <c r="AAO334" s="559"/>
      <c r="AAP334" s="559"/>
      <c r="AAQ334" s="559"/>
      <c r="AAR334" s="559"/>
      <c r="AAS334" s="559"/>
      <c r="AAT334" s="559"/>
      <c r="AAU334" s="559"/>
      <c r="AAV334" s="559"/>
      <c r="AAW334" s="559"/>
      <c r="AAX334" s="559"/>
      <c r="AAY334" s="559"/>
      <c r="AAZ334" s="559"/>
      <c r="ABA334" s="559"/>
      <c r="ABB334" s="559"/>
      <c r="ABC334" s="559"/>
      <c r="ABD334" s="559"/>
      <c r="ABE334" s="559"/>
      <c r="ABF334" s="559"/>
      <c r="ABG334" s="559"/>
      <c r="ABH334" s="559"/>
      <c r="ABI334" s="559"/>
      <c r="ABJ334" s="559"/>
      <c r="ABK334" s="559"/>
      <c r="ABL334" s="559"/>
      <c r="ABM334" s="559"/>
      <c r="ABN334" s="559"/>
      <c r="ABO334" s="559"/>
      <c r="ABP334" s="559"/>
      <c r="ABQ334" s="559"/>
      <c r="ABR334" s="559"/>
      <c r="ABS334" s="559"/>
      <c r="ABT334" s="559"/>
      <c r="ABU334" s="559"/>
      <c r="ABV334" s="559"/>
      <c r="ABW334" s="559"/>
      <c r="ABX334" s="559"/>
      <c r="ABY334" s="559"/>
      <c r="ABZ334" s="559"/>
      <c r="ACA334" s="559"/>
      <c r="ACB334" s="559"/>
      <c r="ACC334" s="559"/>
      <c r="ACD334" s="559"/>
      <c r="ACE334" s="559"/>
      <c r="ACF334" s="559"/>
      <c r="ACG334" s="559"/>
      <c r="ACH334" s="559"/>
      <c r="ACI334" s="559"/>
      <c r="ACJ334" s="559"/>
      <c r="ACK334" s="559"/>
      <c r="ACL334" s="559"/>
      <c r="ACM334" s="559"/>
      <c r="ACN334" s="559"/>
      <c r="ACO334" s="559"/>
      <c r="ACP334" s="559"/>
      <c r="ACQ334" s="559"/>
      <c r="ACR334" s="559"/>
      <c r="ACS334" s="559"/>
      <c r="ACT334" s="559"/>
      <c r="ACU334" s="559"/>
      <c r="ACV334" s="559"/>
      <c r="ACW334" s="559"/>
      <c r="ACX334" s="559"/>
      <c r="ACY334" s="559"/>
      <c r="ACZ334" s="559"/>
      <c r="ADA334" s="559"/>
      <c r="ADB334" s="559"/>
      <c r="ADC334" s="559"/>
      <c r="ADD334" s="559"/>
      <c r="ADE334" s="559"/>
      <c r="ADF334" s="559"/>
      <c r="ADG334" s="559"/>
      <c r="ADH334" s="559"/>
      <c r="ADI334" s="559"/>
      <c r="ADJ334" s="559"/>
      <c r="ADK334" s="559"/>
      <c r="ADL334" s="559"/>
      <c r="ADM334" s="559"/>
      <c r="ADN334" s="559"/>
      <c r="ADO334" s="559"/>
      <c r="ADP334" s="559"/>
      <c r="ADQ334" s="559"/>
      <c r="ADR334" s="559"/>
      <c r="ADS334" s="559"/>
      <c r="ADT334" s="559"/>
      <c r="ADU334" s="559"/>
      <c r="ADV334" s="559"/>
      <c r="ADW334" s="559"/>
      <c r="ADX334" s="559"/>
      <c r="ADY334" s="559"/>
      <c r="ADZ334" s="559"/>
      <c r="AEA334" s="559"/>
      <c r="AEB334" s="559"/>
      <c r="AEC334" s="559"/>
      <c r="AED334" s="559"/>
      <c r="AEE334" s="559"/>
      <c r="AEF334" s="559"/>
      <c r="AEG334" s="559"/>
      <c r="AEH334" s="559"/>
      <c r="AEI334" s="559"/>
      <c r="AEJ334" s="559"/>
      <c r="AEK334" s="559"/>
      <c r="AEL334" s="559"/>
      <c r="AEM334" s="559"/>
      <c r="AEN334" s="559"/>
      <c r="AEO334" s="559"/>
      <c r="AEP334" s="559"/>
      <c r="AEQ334" s="559"/>
      <c r="AER334" s="559"/>
      <c r="AES334" s="559"/>
      <c r="AET334" s="559"/>
      <c r="AEU334" s="559"/>
      <c r="AEV334" s="559"/>
      <c r="AEW334" s="559"/>
      <c r="AEX334" s="559"/>
      <c r="AEY334" s="559"/>
      <c r="AEZ334" s="559"/>
      <c r="AFA334" s="559"/>
      <c r="AFB334" s="559"/>
      <c r="AFC334" s="559"/>
      <c r="AFD334" s="559"/>
      <c r="AFE334" s="559"/>
      <c r="AFF334" s="559"/>
      <c r="AFG334" s="559"/>
      <c r="AFH334" s="559"/>
      <c r="AFI334" s="559"/>
      <c r="AFJ334" s="559"/>
      <c r="AFK334" s="559"/>
      <c r="AFL334" s="559"/>
      <c r="AFM334" s="559"/>
      <c r="AFN334" s="559"/>
      <c r="AFO334" s="559"/>
      <c r="AFP334" s="559"/>
      <c r="AFQ334" s="559"/>
      <c r="AFR334" s="559"/>
      <c r="AFS334" s="559"/>
      <c r="AFT334" s="559"/>
      <c r="AFU334" s="559"/>
      <c r="AFV334" s="559"/>
      <c r="AFW334" s="559"/>
      <c r="AFX334" s="559"/>
      <c r="AFY334" s="559"/>
      <c r="AFZ334" s="559"/>
      <c r="AGA334" s="559"/>
      <c r="AGB334" s="559"/>
      <c r="AGC334" s="559"/>
      <c r="AGD334" s="559"/>
      <c r="AGE334" s="559"/>
      <c r="AGF334" s="559"/>
      <c r="AGG334" s="559"/>
      <c r="AGH334" s="559"/>
      <c r="AGI334" s="559"/>
      <c r="AGJ334" s="559"/>
      <c r="AGK334" s="559"/>
      <c r="AGL334" s="559"/>
      <c r="AGM334" s="559"/>
      <c r="AGN334" s="559"/>
      <c r="AGO334" s="559"/>
      <c r="AGP334" s="559"/>
      <c r="AGQ334" s="559"/>
      <c r="AGR334" s="559"/>
      <c r="AGS334" s="559"/>
      <c r="AGT334" s="559"/>
      <c r="AGU334" s="559"/>
      <c r="AGV334" s="559"/>
      <c r="AGW334" s="559"/>
      <c r="AGX334" s="559"/>
      <c r="AGY334" s="559"/>
      <c r="AGZ334" s="559"/>
      <c r="AHA334" s="559"/>
      <c r="AHB334" s="559"/>
      <c r="AHC334" s="559"/>
      <c r="AHD334" s="559"/>
      <c r="AHE334" s="559"/>
      <c r="AHF334" s="559"/>
      <c r="AHG334" s="559"/>
      <c r="AHH334" s="559"/>
      <c r="AHI334" s="559"/>
      <c r="AHJ334" s="559"/>
      <c r="AHK334" s="559"/>
      <c r="AHL334" s="559"/>
      <c r="AHM334" s="559"/>
      <c r="AHN334" s="559"/>
      <c r="AHO334" s="559"/>
      <c r="AHP334" s="559"/>
      <c r="AHQ334" s="559"/>
      <c r="AHR334" s="559"/>
      <c r="AHS334" s="559"/>
      <c r="AHT334" s="559"/>
      <c r="AHU334" s="559"/>
      <c r="AHV334" s="559"/>
      <c r="AHW334" s="559"/>
      <c r="AHX334" s="559"/>
      <c r="AHY334" s="559"/>
      <c r="AHZ334" s="559"/>
      <c r="AIA334" s="559"/>
      <c r="AIB334" s="559"/>
      <c r="AIC334" s="559"/>
      <c r="AID334" s="559"/>
      <c r="AIE334" s="559"/>
      <c r="AIF334" s="559"/>
      <c r="AIG334" s="559"/>
      <c r="AIH334" s="559"/>
      <c r="AII334" s="559"/>
      <c r="AIJ334" s="559"/>
      <c r="AIK334" s="559"/>
      <c r="AIL334" s="559"/>
      <c r="AIM334" s="559"/>
      <c r="AIN334" s="559"/>
      <c r="AIO334" s="559"/>
      <c r="AIP334" s="559"/>
      <c r="AIQ334" s="559"/>
      <c r="AIR334" s="559"/>
      <c r="AIS334" s="559"/>
      <c r="AIT334" s="559"/>
      <c r="AIU334" s="559"/>
      <c r="AIV334" s="559"/>
      <c r="AIW334" s="559"/>
      <c r="AIX334" s="559"/>
      <c r="AIY334" s="559"/>
      <c r="AIZ334" s="559"/>
      <c r="AJA334" s="559"/>
      <c r="AJB334" s="559"/>
      <c r="AJC334" s="559"/>
      <c r="AJD334" s="559"/>
      <c r="AJE334" s="559"/>
      <c r="AJF334" s="559"/>
      <c r="AJG334" s="559"/>
      <c r="AJH334" s="559"/>
      <c r="AJI334" s="559"/>
      <c r="AJJ334" s="559"/>
      <c r="AJK334" s="559"/>
      <c r="AJL334" s="559"/>
      <c r="AJM334" s="559"/>
      <c r="AJN334" s="559"/>
      <c r="AJO334" s="559"/>
      <c r="AJP334" s="559"/>
      <c r="AJQ334" s="559"/>
      <c r="AJR334" s="559"/>
      <c r="AJS334" s="559"/>
      <c r="AJT334" s="559"/>
      <c r="AJU334" s="559"/>
      <c r="AJV334" s="559"/>
      <c r="AJW334" s="559"/>
      <c r="AJX334" s="559"/>
      <c r="AJY334" s="559"/>
      <c r="AJZ334" s="559"/>
      <c r="AKA334" s="559"/>
      <c r="AKB334" s="559"/>
      <c r="AKC334" s="559"/>
      <c r="AKD334" s="559"/>
      <c r="AKE334" s="559"/>
      <c r="AKF334" s="559"/>
      <c r="AKG334" s="559"/>
      <c r="AKH334" s="559"/>
      <c r="AKI334" s="559"/>
      <c r="AKJ334" s="559"/>
      <c r="AKK334" s="559"/>
      <c r="AKL334" s="559"/>
      <c r="AKM334" s="559"/>
      <c r="AKN334" s="559"/>
      <c r="AKO334" s="559"/>
      <c r="AKP334" s="559"/>
      <c r="AKQ334" s="559"/>
      <c r="AKR334" s="559"/>
      <c r="AKS334" s="559"/>
      <c r="AKT334" s="559"/>
      <c r="AKU334" s="559"/>
      <c r="AKV334" s="559"/>
      <c r="AKW334" s="559"/>
      <c r="AKX334" s="559"/>
      <c r="AKY334" s="559"/>
      <c r="AKZ334" s="559"/>
      <c r="ALA334" s="559"/>
      <c r="ALB334" s="559"/>
      <c r="ALC334" s="559"/>
      <c r="ALD334" s="559"/>
      <c r="ALE334" s="559"/>
      <c r="ALF334" s="559"/>
      <c r="ALG334" s="559"/>
      <c r="ALH334" s="559"/>
      <c r="ALI334" s="559"/>
      <c r="ALJ334" s="559"/>
      <c r="ALK334" s="559"/>
      <c r="ALL334" s="559"/>
      <c r="ALM334" s="559"/>
      <c r="ALN334" s="559"/>
      <c r="ALO334" s="559"/>
      <c r="ALP334" s="559"/>
      <c r="ALQ334" s="559"/>
      <c r="ALR334" s="559"/>
      <c r="ALS334" s="559"/>
      <c r="ALT334" s="559"/>
      <c r="ALU334" s="559"/>
      <c r="ALV334" s="559"/>
      <c r="ALW334" s="559"/>
      <c r="ALX334" s="559"/>
      <c r="ALY334" s="559"/>
      <c r="ALZ334" s="559"/>
      <c r="AMA334" s="559"/>
      <c r="AMB334" s="559"/>
      <c r="AMC334" s="559"/>
      <c r="AMD334" s="559"/>
      <c r="AME334" s="559"/>
      <c r="AMF334" s="559"/>
      <c r="AMG334" s="559"/>
      <c r="AMH334" s="559"/>
      <c r="AMI334" s="559"/>
      <c r="AMJ334" s="559"/>
      <c r="AMK334" s="559"/>
      <c r="AML334" s="559"/>
      <c r="AMM334" s="559"/>
      <c r="AMN334" s="559"/>
      <c r="AMO334" s="559"/>
      <c r="AMP334" s="559"/>
      <c r="AMQ334" s="559"/>
      <c r="AMR334" s="559"/>
      <c r="AMS334" s="559"/>
      <c r="AMT334" s="559"/>
      <c r="AMU334" s="559"/>
      <c r="AMV334" s="559"/>
      <c r="AMW334" s="559"/>
      <c r="AMX334" s="559"/>
      <c r="AMY334" s="559"/>
      <c r="AMZ334" s="559"/>
      <c r="ANA334" s="559"/>
      <c r="ANB334" s="559"/>
      <c r="ANC334" s="559"/>
      <c r="AND334" s="559"/>
      <c r="ANE334" s="559"/>
      <c r="ANF334" s="559"/>
      <c r="ANG334" s="559"/>
      <c r="ANH334" s="559"/>
      <c r="ANI334" s="559"/>
      <c r="ANJ334" s="559"/>
      <c r="ANK334" s="559"/>
      <c r="ANL334" s="559"/>
      <c r="ANM334" s="559"/>
      <c r="ANN334" s="559"/>
      <c r="ANO334" s="559"/>
      <c r="ANP334" s="559"/>
      <c r="ANQ334" s="559"/>
      <c r="ANR334" s="559"/>
      <c r="ANS334" s="559"/>
      <c r="ANT334" s="559"/>
      <c r="ANU334" s="559"/>
      <c r="ANV334" s="559"/>
      <c r="ANW334" s="559"/>
      <c r="ANX334" s="559"/>
      <c r="ANY334" s="559"/>
      <c r="ANZ334" s="559"/>
      <c r="AOA334" s="559"/>
      <c r="AOB334" s="559"/>
      <c r="AOC334" s="559"/>
      <c r="AOD334" s="559"/>
      <c r="AOE334" s="559"/>
      <c r="AOF334" s="559"/>
      <c r="AOG334" s="559"/>
      <c r="AOH334" s="559"/>
      <c r="AOI334" s="559"/>
      <c r="AOJ334" s="559"/>
      <c r="AOK334" s="559"/>
      <c r="AOL334" s="559"/>
      <c r="AOM334" s="559"/>
      <c r="AON334" s="559"/>
      <c r="AOO334" s="559"/>
      <c r="AOP334" s="559"/>
      <c r="AOQ334" s="559"/>
      <c r="AOR334" s="559"/>
      <c r="AOS334" s="559"/>
      <c r="AOT334" s="559"/>
      <c r="AOU334" s="559"/>
      <c r="AOV334" s="559"/>
      <c r="AOW334" s="559"/>
      <c r="AOX334" s="559"/>
      <c r="AOY334" s="559"/>
      <c r="AOZ334" s="559"/>
      <c r="APA334" s="559"/>
      <c r="APB334" s="559"/>
      <c r="APC334" s="559"/>
      <c r="APD334" s="559"/>
      <c r="APE334" s="559"/>
      <c r="APF334" s="559"/>
      <c r="APG334" s="559"/>
      <c r="APH334" s="559"/>
      <c r="API334" s="559"/>
      <c r="APJ334" s="559"/>
      <c r="APK334" s="559"/>
      <c r="APL334" s="559"/>
      <c r="APM334" s="559"/>
      <c r="APN334" s="559"/>
      <c r="APO334" s="559"/>
      <c r="APP334" s="559"/>
      <c r="APQ334" s="559"/>
      <c r="APR334" s="559"/>
      <c r="APS334" s="559"/>
      <c r="APT334" s="559"/>
      <c r="APU334" s="559"/>
      <c r="APV334" s="559"/>
      <c r="APW334" s="559"/>
      <c r="APX334" s="559"/>
      <c r="APY334" s="559"/>
      <c r="APZ334" s="559"/>
      <c r="AQA334" s="559"/>
      <c r="AQB334" s="559"/>
      <c r="AQC334" s="559"/>
      <c r="AQD334" s="559"/>
      <c r="AQE334" s="559"/>
      <c r="AQF334" s="559"/>
      <c r="AQG334" s="559"/>
      <c r="AQH334" s="559"/>
      <c r="AQI334" s="559"/>
      <c r="AQJ334" s="559"/>
      <c r="AQK334" s="559"/>
      <c r="AQL334" s="559"/>
      <c r="AQM334" s="559"/>
      <c r="AQN334" s="559"/>
      <c r="AQO334" s="559"/>
      <c r="AQP334" s="559"/>
      <c r="AQQ334" s="559"/>
      <c r="AQR334" s="559"/>
      <c r="AQS334" s="559"/>
      <c r="AQT334" s="559"/>
      <c r="AQU334" s="559"/>
      <c r="AQV334" s="559"/>
      <c r="AQW334" s="559"/>
      <c r="AQX334" s="559"/>
      <c r="AQY334" s="559"/>
      <c r="AQZ334" s="559"/>
      <c r="ARA334" s="559"/>
      <c r="ARB334" s="559"/>
      <c r="ARC334" s="559"/>
      <c r="ARD334" s="559"/>
      <c r="ARE334" s="559"/>
      <c r="ARF334" s="559"/>
      <c r="ARG334" s="559"/>
      <c r="ARH334" s="559"/>
      <c r="ARI334" s="559"/>
      <c r="ARJ334" s="559"/>
      <c r="ARK334" s="559"/>
      <c r="ARL334" s="559"/>
      <c r="ARM334" s="559"/>
      <c r="ARN334" s="559"/>
      <c r="ARO334" s="559"/>
      <c r="ARP334" s="559"/>
      <c r="ARQ334" s="559"/>
      <c r="ARR334" s="559"/>
      <c r="ARS334" s="559"/>
      <c r="ART334" s="559"/>
      <c r="ARU334" s="559"/>
      <c r="ARV334" s="559"/>
      <c r="ARW334" s="559"/>
      <c r="ARX334" s="559"/>
      <c r="ARY334" s="559"/>
      <c r="ARZ334" s="559"/>
      <c r="ASA334" s="559"/>
      <c r="ASB334" s="559"/>
      <c r="ASC334" s="559"/>
      <c r="ASD334" s="559"/>
      <c r="ASE334" s="559"/>
      <c r="ASF334" s="559"/>
      <c r="ASG334" s="559"/>
      <c r="ASH334" s="559"/>
      <c r="ASI334" s="559"/>
      <c r="ASJ334" s="559"/>
      <c r="ASK334" s="559"/>
      <c r="ASL334" s="559"/>
      <c r="ASM334" s="559"/>
      <c r="ASN334" s="559"/>
      <c r="ASO334" s="559"/>
      <c r="ASP334" s="559"/>
      <c r="ASQ334" s="559"/>
      <c r="ASR334" s="559"/>
      <c r="ASS334" s="559"/>
      <c r="AST334" s="559"/>
      <c r="ASU334" s="559"/>
      <c r="ASV334" s="559"/>
      <c r="ASW334" s="559"/>
      <c r="ASX334" s="559"/>
      <c r="ASY334" s="559"/>
      <c r="ASZ334" s="559"/>
      <c r="ATA334" s="559"/>
      <c r="ATB334" s="559"/>
      <c r="ATC334" s="559"/>
      <c r="ATD334" s="559"/>
      <c r="ATE334" s="559"/>
      <c r="ATF334" s="559"/>
      <c r="ATG334" s="559"/>
      <c r="ATH334" s="559"/>
      <c r="ATI334" s="559"/>
      <c r="ATJ334" s="559"/>
      <c r="ATK334" s="559"/>
      <c r="ATL334" s="559"/>
      <c r="ATM334" s="559"/>
      <c r="ATN334" s="559"/>
      <c r="ATO334" s="559"/>
      <c r="ATP334" s="559"/>
      <c r="ATQ334" s="559"/>
      <c r="ATR334" s="559"/>
      <c r="ATS334" s="559"/>
      <c r="ATT334" s="559"/>
      <c r="ATU334" s="559"/>
      <c r="ATV334" s="559"/>
      <c r="ATW334" s="559"/>
      <c r="ATX334" s="559"/>
      <c r="ATY334" s="559"/>
      <c r="ATZ334" s="559"/>
      <c r="AUA334" s="559"/>
      <c r="AUB334" s="559"/>
      <c r="AUC334" s="559"/>
      <c r="AUD334" s="559"/>
      <c r="AUE334" s="559"/>
      <c r="AUF334" s="559"/>
      <c r="AUG334" s="559"/>
      <c r="AUH334" s="559"/>
      <c r="AUI334" s="559"/>
      <c r="AUJ334" s="559"/>
      <c r="AUK334" s="559"/>
      <c r="AUL334" s="559"/>
      <c r="AUM334" s="559"/>
      <c r="AUN334" s="559"/>
      <c r="AUO334" s="559"/>
      <c r="AUP334" s="559"/>
      <c r="AUQ334" s="559"/>
      <c r="AUR334" s="559"/>
      <c r="AUS334" s="559"/>
      <c r="AUT334" s="559"/>
      <c r="AUU334" s="559"/>
      <c r="AUV334" s="559"/>
      <c r="AUW334" s="559"/>
      <c r="AUX334" s="559"/>
      <c r="AUY334" s="559"/>
      <c r="AUZ334" s="559"/>
      <c r="AVA334" s="559"/>
      <c r="AVB334" s="559"/>
      <c r="AVC334" s="559"/>
      <c r="AVD334" s="559"/>
      <c r="AVE334" s="559"/>
      <c r="AVF334" s="559"/>
      <c r="AVG334" s="559"/>
      <c r="AVH334" s="559"/>
      <c r="AVI334" s="559"/>
      <c r="AVJ334" s="559"/>
      <c r="AVK334" s="559"/>
      <c r="AVL334" s="559"/>
      <c r="AVM334" s="559"/>
      <c r="AVN334" s="559"/>
      <c r="AVO334" s="559"/>
      <c r="AVP334" s="559"/>
      <c r="AVQ334" s="559"/>
      <c r="AVR334" s="559"/>
      <c r="AVS334" s="559"/>
      <c r="AVT334" s="559"/>
      <c r="AVU334" s="559"/>
      <c r="AVV334" s="559"/>
      <c r="AVW334" s="559"/>
      <c r="AVX334" s="559"/>
      <c r="AVY334" s="559"/>
      <c r="AVZ334" s="559"/>
      <c r="AWA334" s="559"/>
      <c r="AWB334" s="559"/>
      <c r="AWC334" s="559"/>
      <c r="AWD334" s="559"/>
      <c r="AWE334" s="559"/>
      <c r="AWF334" s="559"/>
      <c r="AWG334" s="559"/>
      <c r="AWH334" s="559"/>
      <c r="AWI334" s="559"/>
      <c r="AWJ334" s="559"/>
      <c r="AWK334" s="559"/>
      <c r="AWL334" s="559"/>
      <c r="AWM334" s="559"/>
      <c r="AWN334" s="559"/>
      <c r="AWO334" s="559"/>
      <c r="AWP334" s="559"/>
      <c r="AWQ334" s="559"/>
      <c r="AWR334" s="559"/>
      <c r="AWS334" s="559"/>
      <c r="AWT334" s="559"/>
      <c r="AWU334" s="559"/>
      <c r="AWV334" s="559"/>
      <c r="AWW334" s="559"/>
      <c r="AWX334" s="559"/>
      <c r="AWY334" s="559"/>
      <c r="AWZ334" s="559"/>
      <c r="AXA334" s="559"/>
      <c r="AXB334" s="559"/>
      <c r="AXC334" s="559"/>
      <c r="AXD334" s="559"/>
      <c r="AXE334" s="559"/>
      <c r="AXF334" s="559"/>
      <c r="AXG334" s="559"/>
      <c r="AXH334" s="559"/>
      <c r="AXI334" s="559"/>
      <c r="AXJ334" s="559"/>
      <c r="AXK334" s="559"/>
      <c r="AXL334" s="559"/>
      <c r="AXM334" s="559"/>
      <c r="AXN334" s="559"/>
      <c r="AXO334" s="559"/>
      <c r="AXP334" s="559"/>
      <c r="AXQ334" s="559"/>
      <c r="AXR334" s="559"/>
      <c r="AXS334" s="559"/>
      <c r="AXT334" s="559"/>
      <c r="AXU334" s="559"/>
      <c r="AXV334" s="559"/>
      <c r="AXW334" s="559"/>
      <c r="AXX334" s="559"/>
      <c r="AXY334" s="559"/>
      <c r="AXZ334" s="559"/>
      <c r="AYA334" s="559"/>
      <c r="AYB334" s="559"/>
      <c r="AYC334" s="559"/>
      <c r="AYD334" s="559"/>
      <c r="AYE334" s="559"/>
      <c r="AYF334" s="559"/>
      <c r="AYG334" s="559"/>
      <c r="AYH334" s="559"/>
      <c r="AYI334" s="559"/>
      <c r="AYJ334" s="559"/>
      <c r="AYK334" s="559"/>
      <c r="AYL334" s="559"/>
      <c r="AYM334" s="559"/>
      <c r="AYN334" s="559"/>
      <c r="AYO334" s="559"/>
      <c r="AYP334" s="559"/>
      <c r="AYQ334" s="559"/>
      <c r="AYR334" s="559"/>
      <c r="AYS334" s="559"/>
      <c r="AYT334" s="559"/>
      <c r="AYU334" s="559"/>
      <c r="AYV334" s="559"/>
      <c r="AYW334" s="559"/>
      <c r="AYX334" s="559"/>
      <c r="AYY334" s="559"/>
      <c r="AYZ334" s="559"/>
      <c r="AZA334" s="559"/>
      <c r="AZB334" s="559"/>
      <c r="AZC334" s="559"/>
      <c r="AZD334" s="559"/>
      <c r="AZE334" s="559"/>
      <c r="AZF334" s="559"/>
      <c r="AZG334" s="559"/>
      <c r="AZH334" s="559"/>
      <c r="AZI334" s="559"/>
      <c r="AZJ334" s="559"/>
      <c r="AZK334" s="559"/>
      <c r="AZL334" s="559"/>
      <c r="AZM334" s="559"/>
      <c r="AZN334" s="559"/>
      <c r="AZO334" s="559"/>
      <c r="AZP334" s="559"/>
      <c r="AZQ334" s="559"/>
      <c r="AZR334" s="559"/>
      <c r="AZS334" s="559"/>
      <c r="AZT334" s="559"/>
      <c r="AZU334" s="559"/>
      <c r="AZV334" s="559"/>
      <c r="AZW334" s="559"/>
      <c r="AZX334" s="559"/>
      <c r="AZY334" s="559"/>
      <c r="AZZ334" s="559"/>
      <c r="BAA334" s="559"/>
      <c r="BAB334" s="559"/>
      <c r="BAC334" s="559"/>
      <c r="BAD334" s="559"/>
      <c r="BAE334" s="559"/>
      <c r="BAF334" s="559"/>
      <c r="BAG334" s="559"/>
      <c r="BAH334" s="559"/>
      <c r="BAI334" s="559"/>
      <c r="BAJ334" s="559"/>
      <c r="BAK334" s="559"/>
      <c r="BAL334" s="559"/>
      <c r="BAM334" s="559"/>
      <c r="BAN334" s="559"/>
      <c r="BAO334" s="559"/>
      <c r="BAP334" s="559"/>
      <c r="BAQ334" s="559"/>
      <c r="BAR334" s="559"/>
      <c r="BAS334" s="559"/>
      <c r="BAT334" s="559"/>
      <c r="BAU334" s="559"/>
      <c r="BAV334" s="559"/>
      <c r="BAW334" s="559"/>
      <c r="BAX334" s="559"/>
      <c r="BAY334" s="559"/>
      <c r="BAZ334" s="559"/>
      <c r="BBA334" s="559"/>
      <c r="BBB334" s="559"/>
      <c r="BBC334" s="559"/>
      <c r="BBD334" s="559"/>
      <c r="BBE334" s="559"/>
      <c r="BBF334" s="559"/>
      <c r="BBG334" s="559"/>
      <c r="BBH334" s="559"/>
      <c r="BBI334" s="559"/>
      <c r="BBJ334" s="559"/>
      <c r="BBK334" s="559"/>
      <c r="BBL334" s="559"/>
      <c r="BBM334" s="559"/>
      <c r="BBN334" s="559"/>
      <c r="BBO334" s="559"/>
      <c r="BBP334" s="559"/>
      <c r="BBQ334" s="559"/>
      <c r="BBR334" s="559"/>
      <c r="BBS334" s="559"/>
      <c r="BBT334" s="559"/>
      <c r="BBU334" s="559"/>
      <c r="BBV334" s="559"/>
      <c r="BBW334" s="559"/>
      <c r="BBX334" s="559"/>
      <c r="BBY334" s="559"/>
      <c r="BBZ334" s="559"/>
      <c r="BCA334" s="559"/>
      <c r="BCB334" s="559"/>
      <c r="BCC334" s="559"/>
      <c r="BCD334" s="559"/>
      <c r="BCE334" s="559"/>
      <c r="BCF334" s="559"/>
      <c r="BCG334" s="559"/>
      <c r="BCH334" s="559"/>
      <c r="BCI334" s="559"/>
      <c r="BCJ334" s="559"/>
      <c r="BCK334" s="559"/>
      <c r="BCL334" s="559"/>
      <c r="BCM334" s="559"/>
      <c r="BCN334" s="559"/>
      <c r="BCO334" s="559"/>
      <c r="BCP334" s="559"/>
      <c r="BCQ334" s="559"/>
      <c r="BCR334" s="559"/>
      <c r="BCS334" s="559"/>
      <c r="BCT334" s="559"/>
      <c r="BCU334" s="559"/>
      <c r="BCV334" s="559"/>
      <c r="BCW334" s="559"/>
      <c r="BCX334" s="559"/>
      <c r="BCY334" s="559"/>
      <c r="BCZ334" s="559"/>
      <c r="BDA334" s="559"/>
      <c r="BDB334" s="559"/>
      <c r="BDC334" s="559"/>
      <c r="BDD334" s="559"/>
      <c r="BDE334" s="559"/>
      <c r="BDF334" s="559"/>
      <c r="BDG334" s="559"/>
      <c r="BDH334" s="559"/>
      <c r="BDI334" s="559"/>
      <c r="BDJ334" s="559"/>
      <c r="BDK334" s="559"/>
      <c r="BDL334" s="559"/>
      <c r="BDM334" s="559"/>
      <c r="BDN334" s="559"/>
      <c r="BDO334" s="559"/>
      <c r="BDP334" s="559"/>
      <c r="BDQ334" s="559"/>
      <c r="BDR334" s="559"/>
      <c r="BDS334" s="559"/>
      <c r="BDT334" s="559"/>
      <c r="BDU334" s="559"/>
      <c r="BDV334" s="559"/>
      <c r="BDW334" s="559"/>
      <c r="BDX334" s="559"/>
      <c r="BDY334" s="559"/>
      <c r="BDZ334" s="559"/>
      <c r="BEA334" s="559"/>
      <c r="BEB334" s="559"/>
      <c r="BEC334" s="559"/>
      <c r="BED334" s="559"/>
      <c r="BEE334" s="559"/>
      <c r="BEF334" s="559"/>
      <c r="BEG334" s="559"/>
      <c r="BEH334" s="559"/>
      <c r="BEI334" s="559"/>
      <c r="BEJ334" s="559"/>
      <c r="BEK334" s="559"/>
      <c r="BEL334" s="559"/>
      <c r="BEM334" s="559"/>
      <c r="BEN334" s="559"/>
      <c r="BEO334" s="559"/>
      <c r="BEP334" s="559"/>
      <c r="BEQ334" s="559"/>
      <c r="BER334" s="559"/>
      <c r="BES334" s="559"/>
      <c r="BET334" s="559"/>
      <c r="BEU334" s="559"/>
      <c r="BEV334" s="559"/>
      <c r="BEW334" s="559"/>
      <c r="BEX334" s="559"/>
      <c r="BEY334" s="559"/>
      <c r="BEZ334" s="559"/>
      <c r="BFA334" s="559"/>
      <c r="BFB334" s="559"/>
      <c r="BFC334" s="559"/>
      <c r="BFD334" s="559"/>
      <c r="BFE334" s="559"/>
      <c r="BFF334" s="559"/>
      <c r="BFG334" s="559"/>
      <c r="BFH334" s="559"/>
      <c r="BFI334" s="559"/>
      <c r="BFJ334" s="559"/>
      <c r="BFK334" s="559"/>
      <c r="BFL334" s="559"/>
      <c r="BFM334" s="559"/>
      <c r="BFN334" s="559"/>
      <c r="BFO334" s="559"/>
      <c r="BFP334" s="559"/>
      <c r="BFQ334" s="559"/>
      <c r="BFR334" s="559"/>
      <c r="BFS334" s="559"/>
      <c r="BFT334" s="559"/>
      <c r="BFU334" s="559"/>
      <c r="BFV334" s="559"/>
      <c r="BFW334" s="559"/>
      <c r="BFX334" s="559"/>
      <c r="BFY334" s="559"/>
      <c r="BFZ334" s="559"/>
      <c r="BGA334" s="559"/>
      <c r="BGB334" s="559"/>
      <c r="BGC334" s="559"/>
      <c r="BGD334" s="559"/>
      <c r="BGE334" s="559"/>
      <c r="BGF334" s="559"/>
      <c r="BGG334" s="559"/>
      <c r="BGH334" s="559"/>
      <c r="BGI334" s="559"/>
      <c r="BGJ334" s="559"/>
      <c r="BGK334" s="559"/>
      <c r="BGL334" s="559"/>
      <c r="BGM334" s="559"/>
      <c r="BGN334" s="559"/>
      <c r="BGO334" s="559"/>
      <c r="BGP334" s="559"/>
      <c r="BGQ334" s="559"/>
      <c r="BGR334" s="559"/>
      <c r="BGS334" s="559"/>
      <c r="BGT334" s="559"/>
      <c r="BGU334" s="559"/>
      <c r="BGV334" s="559"/>
      <c r="BGW334" s="559"/>
      <c r="BGX334" s="559"/>
      <c r="BGY334" s="559"/>
      <c r="BGZ334" s="559"/>
      <c r="BHA334" s="559"/>
      <c r="BHB334" s="559"/>
      <c r="BHC334" s="559"/>
      <c r="BHD334" s="559"/>
      <c r="BHE334" s="559"/>
      <c r="BHF334" s="559"/>
      <c r="BHG334" s="559"/>
      <c r="BHH334" s="559"/>
      <c r="BHI334" s="559"/>
      <c r="BHJ334" s="559"/>
      <c r="BHK334" s="559"/>
      <c r="BHL334" s="559"/>
      <c r="BHM334" s="559"/>
      <c r="BHN334" s="559"/>
      <c r="BHO334" s="559"/>
      <c r="BHP334" s="559"/>
      <c r="BHQ334" s="559"/>
      <c r="BHR334" s="559"/>
      <c r="BHS334" s="559"/>
      <c r="BHT334" s="559"/>
      <c r="BHU334" s="559"/>
      <c r="BHV334" s="559"/>
      <c r="BHW334" s="559"/>
      <c r="BHX334" s="559"/>
      <c r="BHY334" s="559"/>
      <c r="BHZ334" s="559"/>
      <c r="BIA334" s="559"/>
      <c r="BIB334" s="559"/>
      <c r="BIC334" s="559"/>
      <c r="BID334" s="559"/>
      <c r="BIE334" s="559"/>
      <c r="BIF334" s="559"/>
      <c r="BIG334" s="559"/>
      <c r="BIH334" s="559"/>
      <c r="BII334" s="559"/>
      <c r="BIJ334" s="559"/>
      <c r="BIK334" s="559"/>
      <c r="BIL334" s="559"/>
      <c r="BIM334" s="559"/>
      <c r="BIN334" s="559"/>
      <c r="BIO334" s="559"/>
      <c r="BIP334" s="559"/>
      <c r="BIQ334" s="559"/>
      <c r="BIR334" s="559"/>
      <c r="BIS334" s="559"/>
      <c r="BIT334" s="559"/>
      <c r="BIU334" s="559"/>
      <c r="BIV334" s="559"/>
      <c r="BIW334" s="559"/>
      <c r="BIX334" s="559"/>
      <c r="BIY334" s="559"/>
      <c r="BIZ334" s="559"/>
      <c r="BJA334" s="559"/>
      <c r="BJB334" s="559"/>
      <c r="BJC334" s="559"/>
      <c r="BJD334" s="559"/>
      <c r="BJE334" s="559"/>
      <c r="BJF334" s="559"/>
      <c r="BJG334" s="559"/>
      <c r="BJH334" s="559"/>
      <c r="BJI334" s="559"/>
      <c r="BJJ334" s="559"/>
      <c r="BJK334" s="559"/>
      <c r="BJL334" s="559"/>
      <c r="BJM334" s="559"/>
      <c r="BJN334" s="559"/>
      <c r="BJO334" s="559"/>
      <c r="BJP334" s="559"/>
      <c r="BJQ334" s="559"/>
      <c r="BJR334" s="559"/>
      <c r="BJS334" s="559"/>
      <c r="BJT334" s="559"/>
      <c r="BJU334" s="559"/>
      <c r="BJV334" s="559"/>
      <c r="BJW334" s="559"/>
      <c r="BJX334" s="559"/>
      <c r="BJY334" s="559"/>
      <c r="BJZ334" s="559"/>
      <c r="BKA334" s="559"/>
      <c r="BKB334" s="559"/>
      <c r="BKC334" s="559"/>
      <c r="BKD334" s="559"/>
      <c r="BKE334" s="559"/>
      <c r="BKF334" s="559"/>
      <c r="BKG334" s="559"/>
      <c r="BKH334" s="559"/>
      <c r="BKI334" s="559"/>
      <c r="BKJ334" s="559"/>
      <c r="BKK334" s="559"/>
      <c r="BKL334" s="559"/>
      <c r="BKM334" s="559"/>
      <c r="BKN334" s="559"/>
      <c r="BKO334" s="559"/>
      <c r="BKP334" s="559"/>
      <c r="BKQ334" s="559"/>
      <c r="BKR334" s="559"/>
      <c r="BKS334" s="559"/>
      <c r="BKT334" s="559"/>
      <c r="BKU334" s="559"/>
      <c r="BKV334" s="559"/>
      <c r="BKW334" s="559"/>
      <c r="BKX334" s="559"/>
      <c r="BKY334" s="559"/>
      <c r="BKZ334" s="559"/>
      <c r="BLA334" s="559"/>
      <c r="BLB334" s="559"/>
      <c r="BLC334" s="559"/>
      <c r="BLD334" s="559"/>
      <c r="BLE334" s="559"/>
      <c r="BLF334" s="559"/>
      <c r="BLG334" s="559"/>
      <c r="BLH334" s="559"/>
      <c r="BLI334" s="559"/>
      <c r="BLJ334" s="559"/>
      <c r="BLK334" s="559"/>
      <c r="BLL334" s="559"/>
      <c r="BLM334" s="559"/>
      <c r="BLN334" s="559"/>
      <c r="BLO334" s="559"/>
      <c r="BLP334" s="559"/>
      <c r="BLQ334" s="559"/>
      <c r="BLR334" s="559"/>
      <c r="BLS334" s="559"/>
      <c r="BLT334" s="559"/>
      <c r="BLU334" s="559"/>
      <c r="BLV334" s="559"/>
      <c r="BLW334" s="559"/>
      <c r="BLX334" s="559"/>
      <c r="BLY334" s="559"/>
      <c r="BLZ334" s="559"/>
      <c r="BMA334" s="559"/>
      <c r="BMB334" s="559"/>
      <c r="BMC334" s="559"/>
      <c r="BMD334" s="559"/>
      <c r="BME334" s="559"/>
      <c r="BMF334" s="559"/>
      <c r="BMG334" s="559"/>
      <c r="BMH334" s="559"/>
      <c r="BMI334" s="559"/>
      <c r="BMJ334" s="559"/>
      <c r="BMK334" s="559"/>
      <c r="BML334" s="559"/>
      <c r="BMM334" s="559"/>
      <c r="BMN334" s="559"/>
      <c r="BMO334" s="559"/>
      <c r="BMP334" s="559"/>
      <c r="BMQ334" s="559"/>
      <c r="BMR334" s="559"/>
      <c r="BMS334" s="559"/>
      <c r="BMT334" s="559"/>
      <c r="BMU334" s="559"/>
      <c r="BMV334" s="559"/>
      <c r="BMW334" s="559"/>
      <c r="BMX334" s="559"/>
      <c r="BMY334" s="559"/>
      <c r="BMZ334" s="559"/>
      <c r="BNA334" s="559"/>
      <c r="BNB334" s="559"/>
      <c r="BNC334" s="559"/>
      <c r="BND334" s="559"/>
      <c r="BNE334" s="559"/>
      <c r="BNF334" s="559"/>
      <c r="BNG334" s="559"/>
      <c r="BNH334" s="559"/>
      <c r="BNI334" s="559"/>
      <c r="BNJ334" s="559"/>
      <c r="BNK334" s="559"/>
      <c r="BNL334" s="559"/>
      <c r="BNM334" s="559"/>
      <c r="BNN334" s="559"/>
      <c r="BNO334" s="559"/>
      <c r="BNP334" s="559"/>
      <c r="BNQ334" s="559"/>
      <c r="BNR334" s="559"/>
      <c r="BNS334" s="559"/>
      <c r="BNT334" s="559"/>
      <c r="BNU334" s="559"/>
      <c r="BNV334" s="559"/>
      <c r="BNW334" s="559"/>
      <c r="BNX334" s="559"/>
      <c r="BNY334" s="559"/>
      <c r="BNZ334" s="559"/>
      <c r="BOA334" s="559"/>
      <c r="BOB334" s="559"/>
      <c r="BOC334" s="559"/>
      <c r="BOD334" s="559"/>
      <c r="BOE334" s="559"/>
      <c r="BOF334" s="559"/>
      <c r="BOG334" s="559"/>
      <c r="BOH334" s="559"/>
      <c r="BOI334" s="559"/>
      <c r="BOJ334" s="559"/>
      <c r="BOK334" s="559"/>
      <c r="BOL334" s="559"/>
      <c r="BOM334" s="559"/>
      <c r="BON334" s="559"/>
      <c r="BOO334" s="559"/>
      <c r="BOP334" s="559"/>
      <c r="BOQ334" s="559"/>
      <c r="BOR334" s="559"/>
      <c r="BOS334" s="559"/>
      <c r="BOT334" s="559"/>
      <c r="BOU334" s="559"/>
      <c r="BOV334" s="559"/>
      <c r="BOW334" s="559"/>
      <c r="BOX334" s="559"/>
      <c r="BOY334" s="559"/>
      <c r="BOZ334" s="559"/>
      <c r="BPA334" s="559"/>
      <c r="BPB334" s="559"/>
      <c r="BPC334" s="559"/>
      <c r="BPD334" s="559"/>
      <c r="BPE334" s="559"/>
      <c r="BPF334" s="559"/>
      <c r="BPG334" s="559"/>
      <c r="BPH334" s="559"/>
      <c r="BPI334" s="559"/>
      <c r="BPJ334" s="559"/>
      <c r="BPK334" s="559"/>
      <c r="BPL334" s="559"/>
      <c r="BPM334" s="559"/>
      <c r="BPN334" s="559"/>
      <c r="BPO334" s="559"/>
      <c r="BPP334" s="559"/>
      <c r="BPQ334" s="559"/>
      <c r="BPR334" s="559"/>
      <c r="BPS334" s="559"/>
      <c r="BPT334" s="559"/>
      <c r="BPU334" s="559"/>
      <c r="BPV334" s="559"/>
      <c r="BPW334" s="559"/>
      <c r="BPX334" s="559"/>
      <c r="BPY334" s="559"/>
      <c r="BPZ334" s="559"/>
      <c r="BQA334" s="559"/>
      <c r="BQB334" s="559"/>
      <c r="BQC334" s="559"/>
      <c r="BQD334" s="559"/>
      <c r="BQE334" s="559"/>
      <c r="BQF334" s="559"/>
      <c r="BQG334" s="559"/>
      <c r="BQH334" s="559"/>
      <c r="BQI334" s="559"/>
      <c r="BQJ334" s="559"/>
      <c r="BQK334" s="559"/>
      <c r="BQL334" s="559"/>
      <c r="BQM334" s="559"/>
      <c r="BQN334" s="559"/>
      <c r="BQO334" s="559"/>
      <c r="BQP334" s="559"/>
      <c r="BQQ334" s="559"/>
      <c r="BQR334" s="559"/>
      <c r="BQS334" s="559"/>
      <c r="BQT334" s="559"/>
      <c r="BQU334" s="559"/>
      <c r="BQV334" s="559"/>
      <c r="BQW334" s="559"/>
      <c r="BQX334" s="559"/>
      <c r="BQY334" s="559"/>
      <c r="BQZ334" s="559"/>
      <c r="BRA334" s="559"/>
      <c r="BRB334" s="559"/>
      <c r="BRC334" s="559"/>
      <c r="BRD334" s="559"/>
      <c r="BRE334" s="559"/>
      <c r="BRF334" s="559"/>
      <c r="BRG334" s="559"/>
      <c r="BRH334" s="559"/>
      <c r="BRI334" s="559"/>
      <c r="BRJ334" s="559"/>
      <c r="BRK334" s="559"/>
      <c r="BRL334" s="559"/>
      <c r="BRM334" s="559"/>
      <c r="BRN334" s="559"/>
      <c r="BRO334" s="559"/>
      <c r="BRP334" s="559"/>
      <c r="BRQ334" s="559"/>
      <c r="BRR334" s="559"/>
      <c r="BRS334" s="559"/>
      <c r="BRT334" s="559"/>
      <c r="BRU334" s="559"/>
      <c r="BRV334" s="559"/>
      <c r="BRW334" s="559"/>
      <c r="BRX334" s="559"/>
      <c r="BRY334" s="559"/>
      <c r="BRZ334" s="559"/>
      <c r="BSA334" s="559"/>
      <c r="BSB334" s="559"/>
      <c r="BSC334" s="559"/>
      <c r="BSD334" s="559"/>
      <c r="BSE334" s="559"/>
      <c r="BSF334" s="559"/>
      <c r="BSG334" s="559"/>
      <c r="BSH334" s="559"/>
      <c r="BSI334" s="559"/>
      <c r="BSJ334" s="559"/>
      <c r="BSK334" s="559"/>
      <c r="BSL334" s="559"/>
      <c r="BSM334" s="559"/>
      <c r="BSN334" s="559"/>
      <c r="BSO334" s="559"/>
      <c r="BSP334" s="559"/>
      <c r="BSQ334" s="559"/>
      <c r="BSR334" s="559"/>
      <c r="BSS334" s="559"/>
      <c r="BST334" s="559"/>
      <c r="BSU334" s="559"/>
      <c r="BSV334" s="559"/>
      <c r="BSW334" s="559"/>
      <c r="BSX334" s="559"/>
      <c r="BSY334" s="559"/>
      <c r="BSZ334" s="559"/>
      <c r="BTA334" s="559"/>
      <c r="BTB334" s="559"/>
      <c r="BTC334" s="559"/>
      <c r="BTD334" s="559"/>
      <c r="BTE334" s="559"/>
      <c r="BTF334" s="559"/>
      <c r="BTG334" s="559"/>
      <c r="BTH334" s="559"/>
      <c r="BTI334" s="559"/>
      <c r="BTJ334" s="559"/>
      <c r="BTK334" s="559"/>
      <c r="BTL334" s="559"/>
      <c r="BTM334" s="559"/>
      <c r="BTN334" s="559"/>
      <c r="BTO334" s="559"/>
      <c r="BTP334" s="559"/>
      <c r="BTQ334" s="559"/>
      <c r="BTR334" s="559"/>
      <c r="BTS334" s="559"/>
      <c r="BTT334" s="559"/>
      <c r="BTU334" s="559"/>
      <c r="BTV334" s="559"/>
      <c r="BTW334" s="559"/>
      <c r="BTX334" s="559"/>
      <c r="BTY334" s="559"/>
      <c r="BTZ334" s="559"/>
      <c r="BUA334" s="559"/>
      <c r="BUB334" s="559"/>
      <c r="BUC334" s="559"/>
      <c r="BUD334" s="559"/>
      <c r="BUE334" s="559"/>
      <c r="BUF334" s="559"/>
      <c r="BUG334" s="559"/>
      <c r="BUH334" s="559"/>
      <c r="BUI334" s="559"/>
      <c r="BUJ334" s="559"/>
      <c r="BUK334" s="559"/>
      <c r="BUL334" s="559"/>
      <c r="BUM334" s="559"/>
      <c r="BUN334" s="559"/>
      <c r="BUO334" s="559"/>
      <c r="BUP334" s="559"/>
      <c r="BUQ334" s="559"/>
      <c r="BUR334" s="559"/>
      <c r="BUS334" s="559"/>
      <c r="BUT334" s="559"/>
      <c r="BUU334" s="559"/>
      <c r="BUV334" s="559"/>
      <c r="BUW334" s="559"/>
      <c r="BUX334" s="559"/>
      <c r="BUY334" s="559"/>
      <c r="BUZ334" s="559"/>
      <c r="BVA334" s="559"/>
      <c r="BVB334" s="559"/>
      <c r="BVC334" s="559"/>
      <c r="BVD334" s="559"/>
      <c r="BVE334" s="559"/>
      <c r="BVF334" s="559"/>
      <c r="BVG334" s="559"/>
      <c r="BVH334" s="559"/>
      <c r="BVI334" s="559"/>
      <c r="BVJ334" s="559"/>
      <c r="BVK334" s="559"/>
      <c r="BVL334" s="559"/>
      <c r="BVM334" s="559"/>
      <c r="BVN334" s="559"/>
      <c r="BVO334" s="559"/>
      <c r="BVP334" s="559"/>
      <c r="BVQ334" s="559"/>
      <c r="BVR334" s="559"/>
      <c r="BVS334" s="559"/>
      <c r="BVT334" s="559"/>
      <c r="BVU334" s="559"/>
      <c r="BVV334" s="559"/>
      <c r="BVW334" s="559"/>
      <c r="BVX334" s="559"/>
      <c r="BVY334" s="559"/>
      <c r="BVZ334" s="559"/>
      <c r="BWA334" s="559"/>
      <c r="BWB334" s="559"/>
      <c r="BWC334" s="559"/>
      <c r="BWD334" s="559"/>
      <c r="BWE334" s="559"/>
      <c r="BWF334" s="559"/>
      <c r="BWG334" s="559"/>
      <c r="BWH334" s="559"/>
      <c r="BWI334" s="559"/>
      <c r="BWJ334" s="559"/>
      <c r="BWK334" s="559"/>
      <c r="BWL334" s="559"/>
      <c r="BWM334" s="559"/>
      <c r="BWN334" s="559"/>
      <c r="BWO334" s="559"/>
      <c r="BWP334" s="559"/>
      <c r="BWQ334" s="559"/>
      <c r="BWR334" s="559"/>
      <c r="BWS334" s="559"/>
      <c r="BWT334" s="559"/>
      <c r="BWU334" s="559"/>
      <c r="BWV334" s="559"/>
      <c r="BWW334" s="559"/>
      <c r="BWX334" s="559"/>
      <c r="BWY334" s="559"/>
      <c r="BWZ334" s="559"/>
      <c r="BXA334" s="559"/>
      <c r="BXB334" s="559"/>
      <c r="BXC334" s="559"/>
      <c r="BXD334" s="559"/>
      <c r="BXE334" s="559"/>
      <c r="BXF334" s="559"/>
      <c r="BXG334" s="559"/>
      <c r="BXH334" s="559"/>
      <c r="BXI334" s="559"/>
      <c r="BXJ334" s="559"/>
      <c r="BXK334" s="559"/>
      <c r="BXL334" s="559"/>
      <c r="BXM334" s="559"/>
      <c r="BXN334" s="559"/>
      <c r="BXO334" s="559"/>
      <c r="BXP334" s="559"/>
      <c r="BXQ334" s="559"/>
      <c r="BXR334" s="559"/>
      <c r="BXS334" s="559"/>
      <c r="BXT334" s="559"/>
      <c r="BXU334" s="559"/>
      <c r="BXV334" s="559"/>
      <c r="BXW334" s="559"/>
      <c r="BXX334" s="559"/>
      <c r="BXY334" s="559"/>
      <c r="BXZ334" s="559"/>
      <c r="BYA334" s="559"/>
      <c r="BYB334" s="559"/>
      <c r="BYC334" s="559"/>
      <c r="BYD334" s="559"/>
      <c r="BYE334" s="559"/>
      <c r="BYF334" s="559"/>
      <c r="BYG334" s="559"/>
      <c r="BYH334" s="559"/>
      <c r="BYI334" s="559"/>
      <c r="BYJ334" s="559"/>
      <c r="BYK334" s="559"/>
      <c r="BYL334" s="559"/>
      <c r="BYM334" s="559"/>
      <c r="BYN334" s="559"/>
      <c r="BYO334" s="559"/>
      <c r="BYP334" s="559"/>
      <c r="BYQ334" s="559"/>
      <c r="BYR334" s="559"/>
      <c r="BYS334" s="559"/>
      <c r="BYT334" s="559"/>
      <c r="BYU334" s="559"/>
      <c r="BYV334" s="559"/>
      <c r="BYW334" s="559"/>
      <c r="BYX334" s="559"/>
      <c r="BYY334" s="559"/>
      <c r="BYZ334" s="559"/>
      <c r="BZA334" s="559"/>
      <c r="BZB334" s="559"/>
      <c r="BZC334" s="559"/>
      <c r="BZD334" s="559"/>
      <c r="BZE334" s="559"/>
      <c r="BZF334" s="559"/>
      <c r="BZG334" s="559"/>
      <c r="BZH334" s="559"/>
      <c r="BZI334" s="559"/>
      <c r="BZJ334" s="559"/>
      <c r="BZK334" s="559"/>
      <c r="BZL334" s="559"/>
      <c r="BZM334" s="559"/>
      <c r="BZN334" s="559"/>
      <c r="BZO334" s="559"/>
      <c r="BZP334" s="559"/>
      <c r="BZQ334" s="559"/>
      <c r="BZR334" s="559"/>
      <c r="BZS334" s="559"/>
      <c r="BZT334" s="559"/>
      <c r="BZU334" s="559"/>
      <c r="BZV334" s="559"/>
      <c r="BZW334" s="559"/>
      <c r="BZX334" s="559"/>
      <c r="BZY334" s="559"/>
      <c r="BZZ334" s="559"/>
      <c r="CAA334" s="559"/>
      <c r="CAB334" s="559"/>
      <c r="CAC334" s="559"/>
      <c r="CAD334" s="559"/>
      <c r="CAE334" s="559"/>
      <c r="CAF334" s="559"/>
      <c r="CAG334" s="559"/>
      <c r="CAH334" s="559"/>
      <c r="CAI334" s="559"/>
      <c r="CAJ334" s="559"/>
      <c r="CAK334" s="559"/>
      <c r="CAL334" s="559"/>
      <c r="CAM334" s="559"/>
      <c r="CAN334" s="559"/>
      <c r="CAO334" s="559"/>
      <c r="CAP334" s="559"/>
      <c r="CAQ334" s="559"/>
      <c r="CAR334" s="559"/>
      <c r="CAS334" s="559"/>
      <c r="CAT334" s="559"/>
      <c r="CAU334" s="559"/>
      <c r="CAV334" s="559"/>
      <c r="CAW334" s="559"/>
      <c r="CAX334" s="559"/>
      <c r="CAY334" s="559"/>
      <c r="CAZ334" s="559"/>
      <c r="CBA334" s="559"/>
      <c r="CBB334" s="559"/>
      <c r="CBC334" s="559"/>
      <c r="CBD334" s="559"/>
      <c r="CBE334" s="559"/>
      <c r="CBF334" s="559"/>
      <c r="CBG334" s="559"/>
      <c r="CBH334" s="559"/>
      <c r="CBI334" s="559"/>
      <c r="CBJ334" s="559"/>
      <c r="CBK334" s="559"/>
      <c r="CBL334" s="559"/>
      <c r="CBM334" s="559"/>
      <c r="CBN334" s="559"/>
      <c r="CBO334" s="559"/>
      <c r="CBP334" s="559"/>
      <c r="CBQ334" s="559"/>
      <c r="CBR334" s="559"/>
      <c r="CBS334" s="559"/>
      <c r="CBT334" s="559"/>
      <c r="CBU334" s="559"/>
      <c r="CBV334" s="559"/>
      <c r="CBW334" s="559"/>
      <c r="CBX334" s="559"/>
      <c r="CBY334" s="559"/>
      <c r="CBZ334" s="559"/>
      <c r="CCA334" s="559"/>
      <c r="CCB334" s="559"/>
      <c r="CCC334" s="559"/>
      <c r="CCD334" s="559"/>
      <c r="CCE334" s="559"/>
      <c r="CCF334" s="559"/>
      <c r="CCG334" s="559"/>
      <c r="CCH334" s="559"/>
      <c r="CCI334" s="559"/>
      <c r="CCJ334" s="559"/>
      <c r="CCK334" s="559"/>
      <c r="CCL334" s="559"/>
      <c r="CCM334" s="559"/>
      <c r="CCN334" s="559"/>
      <c r="CCO334" s="559"/>
      <c r="CCP334" s="559"/>
      <c r="CCQ334" s="559"/>
      <c r="CCR334" s="559"/>
      <c r="CCS334" s="559"/>
      <c r="CCT334" s="559"/>
      <c r="CCU334" s="559"/>
      <c r="CCV334" s="559"/>
      <c r="CCW334" s="559"/>
      <c r="CCX334" s="559"/>
      <c r="CCY334" s="559"/>
      <c r="CCZ334" s="559"/>
      <c r="CDA334" s="559"/>
      <c r="CDB334" s="559"/>
      <c r="CDC334" s="559"/>
      <c r="CDD334" s="559"/>
      <c r="CDE334" s="559"/>
      <c r="CDF334" s="559"/>
      <c r="CDG334" s="559"/>
      <c r="CDH334" s="559"/>
      <c r="CDI334" s="559"/>
      <c r="CDJ334" s="559"/>
      <c r="CDK334" s="559"/>
      <c r="CDL334" s="559"/>
      <c r="CDM334" s="559"/>
      <c r="CDN334" s="559"/>
      <c r="CDO334" s="559"/>
      <c r="CDP334" s="559"/>
      <c r="CDQ334" s="559"/>
      <c r="CDR334" s="559"/>
      <c r="CDS334" s="559"/>
      <c r="CDT334" s="559"/>
      <c r="CDU334" s="559"/>
      <c r="CDV334" s="559"/>
      <c r="CDW334" s="559"/>
      <c r="CDX334" s="559"/>
      <c r="CDY334" s="559"/>
      <c r="CDZ334" s="559"/>
      <c r="CEA334" s="559"/>
      <c r="CEB334" s="559"/>
      <c r="CEC334" s="559"/>
      <c r="CED334" s="559"/>
      <c r="CEE334" s="559"/>
      <c r="CEF334" s="559"/>
      <c r="CEG334" s="559"/>
      <c r="CEH334" s="559"/>
      <c r="CEI334" s="559"/>
      <c r="CEJ334" s="559"/>
      <c r="CEK334" s="559"/>
      <c r="CEL334" s="559"/>
      <c r="CEM334" s="559"/>
      <c r="CEN334" s="559"/>
      <c r="CEO334" s="559"/>
      <c r="CEP334" s="559"/>
      <c r="CEQ334" s="559"/>
      <c r="CER334" s="559"/>
      <c r="CES334" s="559"/>
      <c r="CET334" s="559"/>
      <c r="CEU334" s="559"/>
      <c r="CEV334" s="559"/>
      <c r="CEW334" s="559"/>
      <c r="CEX334" s="559"/>
      <c r="CEY334" s="559"/>
      <c r="CEZ334" s="559"/>
      <c r="CFA334" s="559"/>
      <c r="CFB334" s="559"/>
      <c r="CFC334" s="559"/>
      <c r="CFD334" s="559"/>
      <c r="CFE334" s="559"/>
      <c r="CFF334" s="559"/>
      <c r="CFG334" s="559"/>
      <c r="CFH334" s="559"/>
      <c r="CFI334" s="559"/>
      <c r="CFJ334" s="559"/>
      <c r="CFK334" s="559"/>
      <c r="CFL334" s="559"/>
      <c r="CFM334" s="559"/>
      <c r="CFN334" s="559"/>
      <c r="CFO334" s="559"/>
      <c r="CFP334" s="559"/>
      <c r="CFQ334" s="559"/>
      <c r="CFR334" s="559"/>
      <c r="CFS334" s="559"/>
      <c r="CFT334" s="559"/>
      <c r="CFU334" s="559"/>
      <c r="CFV334" s="559"/>
      <c r="CFW334" s="559"/>
      <c r="CFX334" s="559"/>
      <c r="CFY334" s="559"/>
      <c r="CFZ334" s="559"/>
      <c r="CGA334" s="559"/>
      <c r="CGB334" s="559"/>
      <c r="CGC334" s="559"/>
      <c r="CGD334" s="559"/>
      <c r="CGE334" s="559"/>
      <c r="CGF334" s="559"/>
      <c r="CGG334" s="559"/>
      <c r="CGH334" s="559"/>
      <c r="CGI334" s="559"/>
      <c r="CGJ334" s="559"/>
      <c r="CGK334" s="559"/>
      <c r="CGL334" s="559"/>
      <c r="CGM334" s="559"/>
      <c r="CGN334" s="559"/>
      <c r="CGO334" s="559"/>
      <c r="CGP334" s="559"/>
      <c r="CGQ334" s="559"/>
      <c r="CGR334" s="559"/>
      <c r="CGS334" s="559"/>
      <c r="CGT334" s="559"/>
      <c r="CGU334" s="559"/>
      <c r="CGV334" s="559"/>
      <c r="CGW334" s="559"/>
      <c r="CGX334" s="559"/>
      <c r="CGY334" s="559"/>
      <c r="CGZ334" s="559"/>
      <c r="CHA334" s="559"/>
      <c r="CHB334" s="559"/>
      <c r="CHC334" s="559"/>
      <c r="CHD334" s="559"/>
      <c r="CHE334" s="559"/>
      <c r="CHF334" s="559"/>
      <c r="CHG334" s="559"/>
      <c r="CHH334" s="559"/>
      <c r="CHI334" s="559"/>
      <c r="CHJ334" s="559"/>
      <c r="CHK334" s="559"/>
      <c r="CHL334" s="559"/>
      <c r="CHM334" s="559"/>
      <c r="CHN334" s="559"/>
      <c r="CHO334" s="559"/>
      <c r="CHP334" s="559"/>
      <c r="CHQ334" s="559"/>
      <c r="CHR334" s="559"/>
      <c r="CHS334" s="559"/>
      <c r="CHT334" s="559"/>
      <c r="CHU334" s="559"/>
      <c r="CHV334" s="559"/>
      <c r="CHW334" s="559"/>
      <c r="CHX334" s="559"/>
      <c r="CHY334" s="559"/>
      <c r="CHZ334" s="559"/>
      <c r="CIA334" s="559"/>
      <c r="CIB334" s="559"/>
      <c r="CIC334" s="559"/>
      <c r="CID334" s="559"/>
      <c r="CIE334" s="559"/>
      <c r="CIF334" s="559"/>
      <c r="CIG334" s="559"/>
      <c r="CIH334" s="559"/>
      <c r="CII334" s="559"/>
      <c r="CIJ334" s="559"/>
      <c r="CIK334" s="559"/>
      <c r="CIL334" s="559"/>
      <c r="CIM334" s="559"/>
      <c r="CIN334" s="559"/>
      <c r="CIO334" s="559"/>
      <c r="CIP334" s="559"/>
      <c r="CIQ334" s="559"/>
      <c r="CIR334" s="559"/>
      <c r="CIS334" s="559"/>
      <c r="CIT334" s="559"/>
      <c r="CIU334" s="559"/>
      <c r="CIV334" s="559"/>
      <c r="CIW334" s="559"/>
      <c r="CIX334" s="559"/>
      <c r="CIY334" s="559"/>
      <c r="CIZ334" s="559"/>
      <c r="CJA334" s="559"/>
      <c r="CJB334" s="559"/>
      <c r="CJC334" s="559"/>
      <c r="CJD334" s="559"/>
      <c r="CJE334" s="559"/>
      <c r="CJF334" s="559"/>
      <c r="CJG334" s="559"/>
      <c r="CJH334" s="559"/>
      <c r="CJI334" s="559"/>
      <c r="CJJ334" s="559"/>
      <c r="CJK334" s="559"/>
      <c r="CJL334" s="559"/>
      <c r="CJM334" s="559"/>
      <c r="CJN334" s="559"/>
      <c r="CJO334" s="559"/>
      <c r="CJP334" s="559"/>
      <c r="CJQ334" s="559"/>
      <c r="CJR334" s="559"/>
      <c r="CJS334" s="559"/>
      <c r="CJT334" s="559"/>
      <c r="CJU334" s="559"/>
      <c r="CJV334" s="559"/>
      <c r="CJW334" s="559"/>
      <c r="CJX334" s="559"/>
      <c r="CJY334" s="559"/>
      <c r="CJZ334" s="559"/>
      <c r="CKA334" s="559"/>
      <c r="CKB334" s="559"/>
      <c r="CKC334" s="559"/>
      <c r="CKD334" s="559"/>
      <c r="CKE334" s="559"/>
      <c r="CKF334" s="559"/>
      <c r="CKG334" s="559"/>
      <c r="CKH334" s="559"/>
      <c r="CKI334" s="559"/>
      <c r="CKJ334" s="559"/>
      <c r="CKK334" s="559"/>
      <c r="CKL334" s="559"/>
      <c r="CKM334" s="559"/>
      <c r="CKN334" s="559"/>
      <c r="CKO334" s="559"/>
      <c r="CKP334" s="559"/>
      <c r="CKQ334" s="559"/>
      <c r="CKR334" s="559"/>
      <c r="CKS334" s="559"/>
      <c r="CKT334" s="559"/>
      <c r="CKU334" s="559"/>
      <c r="CKV334" s="559"/>
      <c r="CKW334" s="559"/>
      <c r="CKX334" s="559"/>
      <c r="CKY334" s="559"/>
      <c r="CKZ334" s="559"/>
      <c r="CLA334" s="559"/>
      <c r="CLB334" s="559"/>
      <c r="CLC334" s="559"/>
      <c r="CLD334" s="559"/>
      <c r="CLE334" s="559"/>
      <c r="CLF334" s="559"/>
      <c r="CLG334" s="559"/>
      <c r="CLH334" s="559"/>
      <c r="CLI334" s="559"/>
      <c r="CLJ334" s="559"/>
      <c r="CLK334" s="559"/>
      <c r="CLL334" s="559"/>
      <c r="CLM334" s="559"/>
      <c r="CLN334" s="559"/>
      <c r="CLO334" s="559"/>
      <c r="CLP334" s="559"/>
      <c r="CLQ334" s="559"/>
      <c r="CLR334" s="559"/>
      <c r="CLS334" s="559"/>
      <c r="CLT334" s="559"/>
      <c r="CLU334" s="559"/>
      <c r="CLV334" s="559"/>
      <c r="CLW334" s="559"/>
      <c r="CLX334" s="559"/>
      <c r="CLY334" s="559"/>
      <c r="CLZ334" s="559"/>
      <c r="CMA334" s="559"/>
      <c r="CMB334" s="559"/>
      <c r="CMC334" s="559"/>
      <c r="CMD334" s="559"/>
      <c r="CME334" s="559"/>
      <c r="CMF334" s="559"/>
      <c r="CMG334" s="559"/>
      <c r="CMH334" s="559"/>
      <c r="CMI334" s="559"/>
      <c r="CMJ334" s="559"/>
      <c r="CMK334" s="559"/>
      <c r="CML334" s="559"/>
      <c r="CMM334" s="559"/>
      <c r="CMN334" s="559"/>
      <c r="CMO334" s="559"/>
      <c r="CMP334" s="559"/>
      <c r="CMQ334" s="559"/>
      <c r="CMR334" s="559"/>
      <c r="CMS334" s="559"/>
      <c r="CMT334" s="559"/>
      <c r="CMU334" s="559"/>
      <c r="CMV334" s="559"/>
      <c r="CMW334" s="559"/>
      <c r="CMX334" s="559"/>
      <c r="CMY334" s="559"/>
      <c r="CMZ334" s="559"/>
      <c r="CNA334" s="559"/>
      <c r="CNB334" s="559"/>
      <c r="CNC334" s="559"/>
      <c r="CND334" s="559"/>
      <c r="CNE334" s="559"/>
      <c r="CNF334" s="559"/>
      <c r="CNG334" s="559"/>
      <c r="CNH334" s="559"/>
      <c r="CNI334" s="559"/>
      <c r="CNJ334" s="559"/>
      <c r="CNK334" s="559"/>
      <c r="CNL334" s="559"/>
      <c r="CNM334" s="559"/>
      <c r="CNN334" s="559"/>
      <c r="CNO334" s="559"/>
      <c r="CNP334" s="559"/>
      <c r="CNQ334" s="559"/>
      <c r="CNR334" s="559"/>
      <c r="CNS334" s="559"/>
      <c r="CNT334" s="559"/>
      <c r="CNU334" s="559"/>
      <c r="CNV334" s="559"/>
      <c r="CNW334" s="559"/>
      <c r="CNX334" s="559"/>
      <c r="CNY334" s="559"/>
      <c r="CNZ334" s="559"/>
      <c r="COA334" s="559"/>
      <c r="COB334" s="559"/>
      <c r="COC334" s="559"/>
      <c r="COD334" s="559"/>
      <c r="COE334" s="559"/>
      <c r="COF334" s="559"/>
      <c r="COG334" s="559"/>
      <c r="COH334" s="559"/>
      <c r="COI334" s="559"/>
      <c r="COJ334" s="559"/>
      <c r="COK334" s="559"/>
      <c r="COL334" s="559"/>
      <c r="COM334" s="559"/>
      <c r="CON334" s="559"/>
      <c r="COO334" s="559"/>
      <c r="COP334" s="559"/>
      <c r="COQ334" s="559"/>
      <c r="COR334" s="559"/>
      <c r="COS334" s="559"/>
      <c r="COT334" s="559"/>
      <c r="COU334" s="559"/>
      <c r="COV334" s="559"/>
      <c r="COW334" s="559"/>
      <c r="COX334" s="559"/>
      <c r="COY334" s="559"/>
      <c r="COZ334" s="559"/>
      <c r="CPA334" s="559"/>
      <c r="CPB334" s="559"/>
      <c r="CPC334" s="559"/>
      <c r="CPD334" s="559"/>
      <c r="CPE334" s="559"/>
      <c r="CPF334" s="559"/>
      <c r="CPG334" s="559"/>
      <c r="CPH334" s="559"/>
      <c r="CPI334" s="559"/>
      <c r="CPJ334" s="559"/>
      <c r="CPK334" s="559"/>
      <c r="CPL334" s="559"/>
      <c r="CPM334" s="559"/>
      <c r="CPN334" s="559"/>
      <c r="CPO334" s="559"/>
      <c r="CPP334" s="559"/>
      <c r="CPQ334" s="559"/>
      <c r="CPR334" s="559"/>
      <c r="CPS334" s="559"/>
      <c r="CPT334" s="559"/>
      <c r="CPU334" s="559"/>
      <c r="CPV334" s="559"/>
      <c r="CPW334" s="559"/>
      <c r="CPX334" s="559"/>
      <c r="CPY334" s="559"/>
      <c r="CPZ334" s="559"/>
      <c r="CQA334" s="559"/>
      <c r="CQB334" s="559"/>
      <c r="CQC334" s="559"/>
      <c r="CQD334" s="559"/>
      <c r="CQE334" s="559"/>
      <c r="CQF334" s="559"/>
      <c r="CQG334" s="559"/>
      <c r="CQH334" s="559"/>
      <c r="CQI334" s="559"/>
      <c r="CQJ334" s="559"/>
      <c r="CQK334" s="559"/>
      <c r="CQL334" s="559"/>
      <c r="CQM334" s="559"/>
      <c r="CQN334" s="559"/>
      <c r="CQO334" s="559"/>
      <c r="CQP334" s="559"/>
      <c r="CQQ334" s="559"/>
      <c r="CQR334" s="559"/>
      <c r="CQS334" s="559"/>
      <c r="CQT334" s="559"/>
      <c r="CQU334" s="559"/>
      <c r="CQV334" s="559"/>
      <c r="CQW334" s="559"/>
      <c r="CQX334" s="559"/>
      <c r="CQY334" s="559"/>
      <c r="CQZ334" s="559"/>
      <c r="CRA334" s="559"/>
      <c r="CRB334" s="559"/>
      <c r="CRC334" s="559"/>
      <c r="CRD334" s="559"/>
      <c r="CRE334" s="559"/>
      <c r="CRF334" s="559"/>
      <c r="CRG334" s="559"/>
      <c r="CRH334" s="559"/>
      <c r="CRI334" s="559"/>
      <c r="CRJ334" s="559"/>
      <c r="CRK334" s="559"/>
      <c r="CRL334" s="559"/>
      <c r="CRM334" s="559"/>
      <c r="CRN334" s="559"/>
      <c r="CRO334" s="559"/>
      <c r="CRP334" s="559"/>
      <c r="CRQ334" s="559"/>
      <c r="CRR334" s="559"/>
      <c r="CRS334" s="559"/>
      <c r="CRT334" s="559"/>
      <c r="CRU334" s="559"/>
      <c r="CRV334" s="559"/>
      <c r="CRW334" s="559"/>
      <c r="CRX334" s="559"/>
      <c r="CRY334" s="559"/>
      <c r="CRZ334" s="559"/>
      <c r="CSA334" s="559"/>
      <c r="CSB334" s="559"/>
      <c r="CSC334" s="559"/>
      <c r="CSD334" s="559"/>
      <c r="CSE334" s="559"/>
      <c r="CSF334" s="559"/>
      <c r="CSG334" s="559"/>
      <c r="CSH334" s="559"/>
      <c r="CSI334" s="559"/>
      <c r="CSJ334" s="559"/>
      <c r="CSK334" s="559"/>
      <c r="CSL334" s="559"/>
      <c r="CSM334" s="559"/>
      <c r="CSN334" s="559"/>
      <c r="CSO334" s="559"/>
      <c r="CSP334" s="559"/>
      <c r="CSQ334" s="559"/>
      <c r="CSR334" s="559"/>
      <c r="CSS334" s="559"/>
      <c r="CST334" s="559"/>
      <c r="CSU334" s="559"/>
      <c r="CSV334" s="559"/>
      <c r="CSW334" s="559"/>
      <c r="CSX334" s="559"/>
      <c r="CSY334" s="559"/>
      <c r="CSZ334" s="559"/>
      <c r="CTA334" s="559"/>
      <c r="CTB334" s="559"/>
      <c r="CTC334" s="559"/>
      <c r="CTD334" s="559"/>
      <c r="CTE334" s="559"/>
      <c r="CTF334" s="559"/>
      <c r="CTG334" s="559"/>
      <c r="CTH334" s="559"/>
      <c r="CTI334" s="559"/>
      <c r="CTJ334" s="559"/>
      <c r="CTK334" s="559"/>
      <c r="CTL334" s="559"/>
      <c r="CTM334" s="559"/>
      <c r="CTN334" s="559"/>
      <c r="CTO334" s="559"/>
      <c r="CTP334" s="559"/>
      <c r="CTQ334" s="559"/>
      <c r="CTR334" s="559"/>
      <c r="CTS334" s="559"/>
      <c r="CTT334" s="559"/>
      <c r="CTU334" s="559"/>
      <c r="CTV334" s="559"/>
      <c r="CTW334" s="559"/>
      <c r="CTX334" s="559"/>
      <c r="CTY334" s="559"/>
      <c r="CTZ334" s="559"/>
      <c r="CUA334" s="559"/>
      <c r="CUB334" s="559"/>
      <c r="CUC334" s="559"/>
      <c r="CUD334" s="559"/>
      <c r="CUE334" s="559"/>
      <c r="CUF334" s="559"/>
      <c r="CUG334" s="559"/>
      <c r="CUH334" s="559"/>
      <c r="CUI334" s="559"/>
      <c r="CUJ334" s="559"/>
      <c r="CUK334" s="559"/>
      <c r="CUL334" s="559"/>
      <c r="CUM334" s="559"/>
      <c r="CUN334" s="559"/>
      <c r="CUO334" s="559"/>
      <c r="CUP334" s="559"/>
      <c r="CUQ334" s="559"/>
      <c r="CUR334" s="559"/>
      <c r="CUS334" s="559"/>
      <c r="CUT334" s="559"/>
      <c r="CUU334" s="559"/>
      <c r="CUV334" s="559"/>
      <c r="CUW334" s="559"/>
      <c r="CUX334" s="559"/>
      <c r="CUY334" s="559"/>
      <c r="CUZ334" s="559"/>
      <c r="CVA334" s="559"/>
      <c r="CVB334" s="559"/>
      <c r="CVC334" s="559"/>
      <c r="CVD334" s="559"/>
      <c r="CVE334" s="559"/>
      <c r="CVF334" s="559"/>
      <c r="CVG334" s="559"/>
      <c r="CVH334" s="559"/>
      <c r="CVI334" s="559"/>
      <c r="CVJ334" s="559"/>
      <c r="CVK334" s="559"/>
      <c r="CVL334" s="559"/>
      <c r="CVM334" s="559"/>
      <c r="CVN334" s="559"/>
      <c r="CVO334" s="559"/>
      <c r="CVP334" s="559"/>
      <c r="CVQ334" s="559"/>
      <c r="CVR334" s="559"/>
      <c r="CVS334" s="559"/>
      <c r="CVT334" s="559"/>
      <c r="CVU334" s="559"/>
      <c r="CVV334" s="559"/>
      <c r="CVW334" s="559"/>
      <c r="CVX334" s="559"/>
      <c r="CVY334" s="559"/>
      <c r="CVZ334" s="559"/>
      <c r="CWA334" s="559"/>
      <c r="CWB334" s="559"/>
      <c r="CWC334" s="559"/>
      <c r="CWD334" s="559"/>
      <c r="CWE334" s="559"/>
      <c r="CWF334" s="559"/>
      <c r="CWG334" s="559"/>
      <c r="CWH334" s="559"/>
      <c r="CWI334" s="559"/>
      <c r="CWJ334" s="559"/>
      <c r="CWK334" s="559"/>
      <c r="CWL334" s="559"/>
      <c r="CWM334" s="559"/>
      <c r="CWN334" s="559"/>
      <c r="CWO334" s="559"/>
      <c r="CWP334" s="559"/>
      <c r="CWQ334" s="559"/>
      <c r="CWR334" s="559"/>
      <c r="CWS334" s="559"/>
      <c r="CWT334" s="559"/>
      <c r="CWU334" s="559"/>
      <c r="CWV334" s="559"/>
      <c r="CWW334" s="559"/>
      <c r="CWX334" s="559"/>
      <c r="CWY334" s="559"/>
      <c r="CWZ334" s="559"/>
      <c r="CXA334" s="559"/>
      <c r="CXB334" s="559"/>
      <c r="CXC334" s="559"/>
      <c r="CXD334" s="559"/>
      <c r="CXE334" s="559"/>
      <c r="CXF334" s="559"/>
      <c r="CXG334" s="559"/>
      <c r="CXH334" s="559"/>
      <c r="CXI334" s="559"/>
      <c r="CXJ334" s="559"/>
      <c r="CXK334" s="559"/>
      <c r="CXL334" s="559"/>
      <c r="CXM334" s="559"/>
      <c r="CXN334" s="559"/>
      <c r="CXO334" s="559"/>
      <c r="CXP334" s="559"/>
      <c r="CXQ334" s="559"/>
      <c r="CXR334" s="559"/>
      <c r="CXS334" s="559"/>
      <c r="CXT334" s="559"/>
      <c r="CXU334" s="559"/>
      <c r="CXV334" s="559"/>
      <c r="CXW334" s="559"/>
      <c r="CXX334" s="559"/>
      <c r="CXY334" s="559"/>
      <c r="CXZ334" s="559"/>
      <c r="CYA334" s="559"/>
      <c r="CYB334" s="559"/>
      <c r="CYC334" s="559"/>
      <c r="CYD334" s="559"/>
      <c r="CYE334" s="559"/>
      <c r="CYF334" s="559"/>
      <c r="CYG334" s="559"/>
      <c r="CYH334" s="559"/>
      <c r="CYI334" s="559"/>
      <c r="CYJ334" s="559"/>
      <c r="CYK334" s="559"/>
      <c r="CYL334" s="559"/>
      <c r="CYM334" s="559"/>
      <c r="CYN334" s="559"/>
      <c r="CYO334" s="559"/>
      <c r="CYP334" s="559"/>
      <c r="CYQ334" s="559"/>
      <c r="CYR334" s="559"/>
      <c r="CYS334" s="559"/>
      <c r="CYT334" s="559"/>
      <c r="CYU334" s="559"/>
      <c r="CYV334" s="559"/>
      <c r="CYW334" s="559"/>
      <c r="CYX334" s="559"/>
      <c r="CYY334" s="559"/>
      <c r="CYZ334" s="559"/>
      <c r="CZA334" s="559"/>
      <c r="CZB334" s="559"/>
      <c r="CZC334" s="559"/>
      <c r="CZD334" s="559"/>
      <c r="CZE334" s="559"/>
      <c r="CZF334" s="559"/>
      <c r="CZG334" s="559"/>
      <c r="CZH334" s="559"/>
      <c r="CZI334" s="559"/>
      <c r="CZJ334" s="559"/>
      <c r="CZK334" s="559"/>
      <c r="CZL334" s="559"/>
      <c r="CZM334" s="559"/>
      <c r="CZN334" s="559"/>
      <c r="CZO334" s="559"/>
      <c r="CZP334" s="559"/>
      <c r="CZQ334" s="559"/>
      <c r="CZR334" s="559"/>
      <c r="CZS334" s="559"/>
      <c r="CZT334" s="559"/>
      <c r="CZU334" s="559"/>
      <c r="CZV334" s="559"/>
      <c r="CZW334" s="559"/>
      <c r="CZX334" s="559"/>
      <c r="CZY334" s="559"/>
      <c r="CZZ334" s="559"/>
      <c r="DAA334" s="559"/>
      <c r="DAB334" s="559"/>
      <c r="DAC334" s="559"/>
      <c r="DAD334" s="559"/>
      <c r="DAE334" s="559"/>
      <c r="DAF334" s="559"/>
      <c r="DAG334" s="559"/>
      <c r="DAH334" s="559"/>
      <c r="DAI334" s="559"/>
      <c r="DAJ334" s="559"/>
      <c r="DAK334" s="559"/>
      <c r="DAL334" s="559"/>
      <c r="DAM334" s="559"/>
      <c r="DAN334" s="559"/>
      <c r="DAO334" s="559"/>
      <c r="DAP334" s="559"/>
      <c r="DAQ334" s="559"/>
      <c r="DAR334" s="559"/>
      <c r="DAS334" s="559"/>
      <c r="DAT334" s="559"/>
      <c r="DAU334" s="559"/>
      <c r="DAV334" s="559"/>
      <c r="DAW334" s="559"/>
      <c r="DAX334" s="559"/>
      <c r="DAY334" s="559"/>
      <c r="DAZ334" s="559"/>
      <c r="DBA334" s="559"/>
      <c r="DBB334" s="559"/>
      <c r="DBC334" s="559"/>
      <c r="DBD334" s="559"/>
      <c r="DBE334" s="559"/>
      <c r="DBF334" s="559"/>
      <c r="DBG334" s="559"/>
      <c r="DBH334" s="559"/>
      <c r="DBI334" s="559"/>
      <c r="DBJ334" s="559"/>
      <c r="DBK334" s="559"/>
      <c r="DBL334" s="559"/>
      <c r="DBM334" s="559"/>
      <c r="DBN334" s="559"/>
      <c r="DBO334" s="559"/>
      <c r="DBP334" s="559"/>
      <c r="DBQ334" s="559"/>
      <c r="DBR334" s="559"/>
      <c r="DBS334" s="559"/>
      <c r="DBT334" s="559"/>
      <c r="DBU334" s="559"/>
      <c r="DBV334" s="559"/>
      <c r="DBW334" s="559"/>
      <c r="DBX334" s="559"/>
      <c r="DBY334" s="559"/>
      <c r="DBZ334" s="559"/>
      <c r="DCA334" s="559"/>
      <c r="DCB334" s="559"/>
      <c r="DCC334" s="559"/>
      <c r="DCD334" s="559"/>
      <c r="DCE334" s="559"/>
      <c r="DCF334" s="559"/>
      <c r="DCG334" s="559"/>
      <c r="DCH334" s="559"/>
      <c r="DCI334" s="559"/>
      <c r="DCJ334" s="559"/>
      <c r="DCK334" s="559"/>
      <c r="DCL334" s="559"/>
      <c r="DCM334" s="559"/>
      <c r="DCN334" s="559"/>
      <c r="DCO334" s="559"/>
      <c r="DCP334" s="559"/>
      <c r="DCQ334" s="559"/>
      <c r="DCR334" s="559"/>
      <c r="DCS334" s="559"/>
      <c r="DCT334" s="559"/>
      <c r="DCU334" s="559"/>
      <c r="DCV334" s="559"/>
      <c r="DCW334" s="559"/>
      <c r="DCX334" s="559"/>
      <c r="DCY334" s="559"/>
      <c r="DCZ334" s="559"/>
      <c r="DDA334" s="559"/>
      <c r="DDB334" s="559"/>
      <c r="DDC334" s="559"/>
      <c r="DDD334" s="559"/>
      <c r="DDE334" s="559"/>
      <c r="DDF334" s="559"/>
      <c r="DDG334" s="559"/>
      <c r="DDH334" s="559"/>
      <c r="DDI334" s="559"/>
      <c r="DDJ334" s="559"/>
      <c r="DDK334" s="559"/>
      <c r="DDL334" s="559"/>
      <c r="DDM334" s="559"/>
      <c r="DDN334" s="559"/>
      <c r="DDO334" s="559"/>
      <c r="DDP334" s="559"/>
      <c r="DDQ334" s="559"/>
      <c r="DDR334" s="559"/>
      <c r="DDS334" s="559"/>
      <c r="DDT334" s="559"/>
      <c r="DDU334" s="559"/>
      <c r="DDV334" s="559"/>
      <c r="DDW334" s="559"/>
      <c r="DDX334" s="559"/>
      <c r="DDY334" s="559"/>
      <c r="DDZ334" s="559"/>
      <c r="DEA334" s="559"/>
      <c r="DEB334" s="559"/>
      <c r="DEC334" s="559"/>
      <c r="DED334" s="559"/>
      <c r="DEE334" s="559"/>
      <c r="DEF334" s="559"/>
      <c r="DEG334" s="559"/>
      <c r="DEH334" s="559"/>
      <c r="DEI334" s="559"/>
      <c r="DEJ334" s="559"/>
      <c r="DEK334" s="559"/>
      <c r="DEL334" s="559"/>
      <c r="DEM334" s="559"/>
      <c r="DEN334" s="559"/>
      <c r="DEO334" s="559"/>
      <c r="DEP334" s="559"/>
      <c r="DEQ334" s="559"/>
      <c r="DER334" s="559"/>
      <c r="DES334" s="559"/>
      <c r="DET334" s="559"/>
      <c r="DEU334" s="559"/>
      <c r="DEV334" s="559"/>
      <c r="DEW334" s="559"/>
      <c r="DEX334" s="559"/>
      <c r="DEY334" s="559"/>
      <c r="DEZ334" s="559"/>
      <c r="DFA334" s="559"/>
      <c r="DFB334" s="559"/>
      <c r="DFC334" s="559"/>
      <c r="DFD334" s="559"/>
      <c r="DFE334" s="559"/>
      <c r="DFF334" s="559"/>
      <c r="DFG334" s="559"/>
      <c r="DFH334" s="559"/>
      <c r="DFI334" s="559"/>
      <c r="DFJ334" s="559"/>
      <c r="DFK334" s="559"/>
      <c r="DFL334" s="559"/>
      <c r="DFM334" s="559"/>
      <c r="DFN334" s="559"/>
      <c r="DFO334" s="559"/>
      <c r="DFP334" s="559"/>
      <c r="DFQ334" s="559"/>
      <c r="DFR334" s="559"/>
      <c r="DFS334" s="559"/>
      <c r="DFT334" s="559"/>
      <c r="DFU334" s="559"/>
      <c r="DFV334" s="559"/>
      <c r="DFW334" s="559"/>
      <c r="DFX334" s="559"/>
      <c r="DFY334" s="559"/>
      <c r="DFZ334" s="559"/>
      <c r="DGA334" s="559"/>
      <c r="DGB334" s="559"/>
      <c r="DGC334" s="559"/>
      <c r="DGD334" s="559"/>
      <c r="DGE334" s="559"/>
      <c r="DGF334" s="559"/>
      <c r="DGG334" s="559"/>
      <c r="DGH334" s="559"/>
      <c r="DGI334" s="559"/>
      <c r="DGJ334" s="559"/>
      <c r="DGK334" s="559"/>
      <c r="DGL334" s="559"/>
      <c r="DGM334" s="559"/>
      <c r="DGN334" s="559"/>
      <c r="DGO334" s="559"/>
      <c r="DGP334" s="559"/>
      <c r="DGQ334" s="559"/>
      <c r="DGR334" s="559"/>
      <c r="DGS334" s="559"/>
      <c r="DGT334" s="559"/>
      <c r="DGU334" s="559"/>
      <c r="DGV334" s="559"/>
      <c r="DGW334" s="559"/>
      <c r="DGX334" s="559"/>
      <c r="DGY334" s="559"/>
      <c r="DGZ334" s="559"/>
      <c r="DHA334" s="559"/>
      <c r="DHB334" s="559"/>
      <c r="DHC334" s="559"/>
      <c r="DHD334" s="559"/>
      <c r="DHE334" s="559"/>
      <c r="DHF334" s="559"/>
      <c r="DHG334" s="559"/>
      <c r="DHH334" s="559"/>
      <c r="DHI334" s="559"/>
      <c r="DHJ334" s="559"/>
      <c r="DHK334" s="559"/>
      <c r="DHL334" s="559"/>
      <c r="DHM334" s="559"/>
      <c r="DHN334" s="559"/>
      <c r="DHO334" s="559"/>
      <c r="DHP334" s="559"/>
      <c r="DHQ334" s="559"/>
      <c r="DHR334" s="559"/>
      <c r="DHS334" s="559"/>
      <c r="DHT334" s="559"/>
      <c r="DHU334" s="559"/>
      <c r="DHV334" s="559"/>
      <c r="DHW334" s="559"/>
      <c r="DHX334" s="559"/>
      <c r="DHY334" s="559"/>
      <c r="DHZ334" s="559"/>
      <c r="DIA334" s="559"/>
      <c r="DIB334" s="559"/>
      <c r="DIC334" s="559"/>
      <c r="DID334" s="559"/>
      <c r="DIE334" s="559"/>
      <c r="DIF334" s="559"/>
      <c r="DIG334" s="559"/>
      <c r="DIH334" s="559"/>
      <c r="DII334" s="559"/>
      <c r="DIJ334" s="559"/>
      <c r="DIK334" s="559"/>
      <c r="DIL334" s="559"/>
      <c r="DIM334" s="559"/>
      <c r="DIN334" s="559"/>
      <c r="DIO334" s="559"/>
      <c r="DIP334" s="559"/>
      <c r="DIQ334" s="559"/>
      <c r="DIR334" s="559"/>
      <c r="DIS334" s="559"/>
      <c r="DIT334" s="559"/>
      <c r="DIU334" s="559"/>
      <c r="DIV334" s="559"/>
      <c r="DIW334" s="559"/>
      <c r="DIX334" s="559"/>
      <c r="DIY334" s="559"/>
      <c r="DIZ334" s="559"/>
      <c r="DJA334" s="559"/>
      <c r="DJB334" s="559"/>
      <c r="DJC334" s="559"/>
      <c r="DJD334" s="559"/>
      <c r="DJE334" s="559"/>
      <c r="DJF334" s="559"/>
      <c r="DJG334" s="559"/>
      <c r="DJH334" s="559"/>
      <c r="DJI334" s="559"/>
      <c r="DJJ334" s="559"/>
      <c r="DJK334" s="559"/>
      <c r="DJL334" s="559"/>
      <c r="DJM334" s="559"/>
      <c r="DJN334" s="559"/>
      <c r="DJO334" s="559"/>
      <c r="DJP334" s="559"/>
      <c r="DJQ334" s="559"/>
      <c r="DJR334" s="559"/>
      <c r="DJS334" s="559"/>
      <c r="DJT334" s="559"/>
      <c r="DJU334" s="559"/>
      <c r="DJV334" s="559"/>
      <c r="DJW334" s="559"/>
      <c r="DJX334" s="559"/>
      <c r="DJY334" s="559"/>
      <c r="DJZ334" s="559"/>
      <c r="DKA334" s="559"/>
      <c r="DKB334" s="559"/>
      <c r="DKC334" s="559"/>
      <c r="DKD334" s="559"/>
      <c r="DKE334" s="559"/>
      <c r="DKF334" s="559"/>
      <c r="DKG334" s="559"/>
      <c r="DKH334" s="559"/>
      <c r="DKI334" s="559"/>
      <c r="DKJ334" s="559"/>
      <c r="DKK334" s="559"/>
      <c r="DKL334" s="559"/>
      <c r="DKM334" s="559"/>
      <c r="DKN334" s="559"/>
      <c r="DKO334" s="559"/>
      <c r="DKP334" s="559"/>
      <c r="DKQ334" s="559"/>
      <c r="DKR334" s="559"/>
      <c r="DKS334" s="559"/>
      <c r="DKT334" s="559"/>
      <c r="DKU334" s="559"/>
      <c r="DKV334" s="559"/>
      <c r="DKW334" s="559"/>
      <c r="DKX334" s="559"/>
      <c r="DKY334" s="559"/>
      <c r="DKZ334" s="559"/>
      <c r="DLA334" s="559"/>
      <c r="DLB334" s="559"/>
      <c r="DLC334" s="559"/>
      <c r="DLD334" s="559"/>
      <c r="DLE334" s="559"/>
      <c r="DLF334" s="559"/>
      <c r="DLG334" s="559"/>
      <c r="DLH334" s="559"/>
      <c r="DLI334" s="559"/>
      <c r="DLJ334" s="559"/>
      <c r="DLK334" s="559"/>
      <c r="DLL334" s="559"/>
      <c r="DLM334" s="559"/>
      <c r="DLN334" s="559"/>
      <c r="DLO334" s="559"/>
      <c r="DLP334" s="559"/>
      <c r="DLQ334" s="559"/>
      <c r="DLR334" s="559"/>
      <c r="DLS334" s="559"/>
      <c r="DLT334" s="559"/>
      <c r="DLU334" s="559"/>
      <c r="DLV334" s="559"/>
      <c r="DLW334" s="559"/>
      <c r="DLX334" s="559"/>
      <c r="DLY334" s="559"/>
      <c r="DLZ334" s="559"/>
      <c r="DMA334" s="559"/>
      <c r="DMB334" s="559"/>
      <c r="DMC334" s="559"/>
      <c r="DMD334" s="559"/>
      <c r="DME334" s="559"/>
      <c r="DMF334" s="559"/>
      <c r="DMG334" s="559"/>
      <c r="DMH334" s="559"/>
      <c r="DMI334" s="559"/>
      <c r="DMJ334" s="559"/>
      <c r="DMK334" s="559"/>
      <c r="DML334" s="559"/>
      <c r="DMM334" s="559"/>
      <c r="DMN334" s="559"/>
      <c r="DMO334" s="559"/>
      <c r="DMP334" s="559"/>
      <c r="DMQ334" s="559"/>
      <c r="DMR334" s="559"/>
      <c r="DMS334" s="559"/>
      <c r="DMT334" s="559"/>
      <c r="DMU334" s="559"/>
      <c r="DMV334" s="559"/>
      <c r="DMW334" s="559"/>
      <c r="DMX334" s="559"/>
      <c r="DMY334" s="559"/>
      <c r="DMZ334" s="559"/>
      <c r="DNA334" s="559"/>
      <c r="DNB334" s="559"/>
      <c r="DNC334" s="559"/>
      <c r="DND334" s="559"/>
      <c r="DNE334" s="559"/>
      <c r="DNF334" s="559"/>
      <c r="DNG334" s="559"/>
      <c r="DNH334" s="559"/>
      <c r="DNI334" s="559"/>
      <c r="DNJ334" s="559"/>
      <c r="DNK334" s="559"/>
      <c r="DNL334" s="559"/>
      <c r="DNM334" s="559"/>
      <c r="DNN334" s="559"/>
      <c r="DNO334" s="559"/>
      <c r="DNP334" s="559"/>
      <c r="DNQ334" s="559"/>
      <c r="DNR334" s="559"/>
      <c r="DNS334" s="559"/>
      <c r="DNT334" s="559"/>
      <c r="DNU334" s="559"/>
      <c r="DNV334" s="559"/>
      <c r="DNW334" s="559"/>
      <c r="DNX334" s="559"/>
      <c r="DNY334" s="559"/>
      <c r="DNZ334" s="559"/>
      <c r="DOA334" s="559"/>
      <c r="DOB334" s="559"/>
      <c r="DOC334" s="559"/>
      <c r="DOD334" s="559"/>
      <c r="DOE334" s="559"/>
      <c r="DOF334" s="559"/>
      <c r="DOG334" s="559"/>
      <c r="DOH334" s="559"/>
      <c r="DOI334" s="559"/>
      <c r="DOJ334" s="559"/>
      <c r="DOK334" s="559"/>
      <c r="DOL334" s="559"/>
      <c r="DOM334" s="559"/>
      <c r="DON334" s="559"/>
      <c r="DOO334" s="559"/>
      <c r="DOP334" s="559"/>
      <c r="DOQ334" s="559"/>
      <c r="DOR334" s="559"/>
      <c r="DOS334" s="559"/>
      <c r="DOT334" s="559"/>
      <c r="DOU334" s="559"/>
      <c r="DOV334" s="559"/>
      <c r="DOW334" s="559"/>
      <c r="DOX334" s="559"/>
      <c r="DOY334" s="559"/>
      <c r="DOZ334" s="559"/>
      <c r="DPA334" s="559"/>
      <c r="DPB334" s="559"/>
      <c r="DPC334" s="559"/>
      <c r="DPD334" s="559"/>
      <c r="DPE334" s="559"/>
      <c r="DPF334" s="559"/>
      <c r="DPG334" s="559"/>
      <c r="DPH334" s="559"/>
      <c r="DPI334" s="559"/>
      <c r="DPJ334" s="559"/>
      <c r="DPK334" s="559"/>
      <c r="DPL334" s="559"/>
      <c r="DPM334" s="559"/>
      <c r="DPN334" s="559"/>
      <c r="DPO334" s="559"/>
      <c r="DPP334" s="559"/>
      <c r="DPQ334" s="559"/>
      <c r="DPR334" s="559"/>
      <c r="DPS334" s="559"/>
      <c r="DPT334" s="559"/>
      <c r="DPU334" s="559"/>
      <c r="DPV334" s="559"/>
      <c r="DPW334" s="559"/>
      <c r="DPX334" s="559"/>
      <c r="DPY334" s="559"/>
      <c r="DPZ334" s="559"/>
      <c r="DQA334" s="559"/>
      <c r="DQB334" s="559"/>
      <c r="DQC334" s="559"/>
      <c r="DQD334" s="559"/>
      <c r="DQE334" s="559"/>
      <c r="DQF334" s="559"/>
      <c r="DQG334" s="559"/>
      <c r="DQH334" s="559"/>
      <c r="DQI334" s="559"/>
      <c r="DQJ334" s="559"/>
      <c r="DQK334" s="559"/>
      <c r="DQL334" s="559"/>
      <c r="DQM334" s="559"/>
      <c r="DQN334" s="559"/>
      <c r="DQO334" s="559"/>
      <c r="DQP334" s="559"/>
      <c r="DQQ334" s="559"/>
      <c r="DQR334" s="559"/>
      <c r="DQS334" s="559"/>
      <c r="DQT334" s="559"/>
      <c r="DQU334" s="559"/>
      <c r="DQV334" s="559"/>
      <c r="DQW334" s="559"/>
      <c r="DQX334" s="559"/>
      <c r="DQY334" s="559"/>
      <c r="DQZ334" s="559"/>
      <c r="DRA334" s="559"/>
      <c r="DRB334" s="559"/>
      <c r="DRC334" s="559"/>
      <c r="DRD334" s="559"/>
      <c r="DRE334" s="559"/>
      <c r="DRF334" s="559"/>
      <c r="DRG334" s="559"/>
      <c r="DRH334" s="559"/>
      <c r="DRI334" s="559"/>
      <c r="DRJ334" s="559"/>
      <c r="DRK334" s="559"/>
      <c r="DRL334" s="559"/>
      <c r="DRM334" s="559"/>
      <c r="DRN334" s="559"/>
      <c r="DRO334" s="559"/>
      <c r="DRP334" s="559"/>
      <c r="DRQ334" s="559"/>
      <c r="DRR334" s="559"/>
      <c r="DRS334" s="559"/>
      <c r="DRT334" s="559"/>
      <c r="DRU334" s="559"/>
      <c r="DRV334" s="559"/>
      <c r="DRW334" s="559"/>
      <c r="DRX334" s="559"/>
      <c r="DRY334" s="559"/>
      <c r="DRZ334" s="559"/>
      <c r="DSA334" s="559"/>
      <c r="DSB334" s="559"/>
      <c r="DSC334" s="559"/>
      <c r="DSD334" s="559"/>
      <c r="DSE334" s="559"/>
      <c r="DSF334" s="559"/>
      <c r="DSG334" s="559"/>
      <c r="DSH334" s="559"/>
      <c r="DSI334" s="559"/>
      <c r="DSJ334" s="559"/>
      <c r="DSK334" s="559"/>
      <c r="DSL334" s="559"/>
      <c r="DSM334" s="559"/>
      <c r="DSN334" s="559"/>
      <c r="DSO334" s="559"/>
      <c r="DSP334" s="559"/>
      <c r="DSQ334" s="559"/>
      <c r="DSR334" s="559"/>
      <c r="DSS334" s="559"/>
      <c r="DST334" s="559"/>
      <c r="DSU334" s="559"/>
      <c r="DSV334" s="559"/>
      <c r="DSW334" s="559"/>
      <c r="DSX334" s="559"/>
      <c r="DSY334" s="559"/>
      <c r="DSZ334" s="559"/>
      <c r="DTA334" s="559"/>
      <c r="DTB334" s="559"/>
      <c r="DTC334" s="559"/>
      <c r="DTD334" s="559"/>
      <c r="DTE334" s="559"/>
      <c r="DTF334" s="559"/>
      <c r="DTG334" s="559"/>
      <c r="DTH334" s="559"/>
      <c r="DTI334" s="559"/>
      <c r="DTJ334" s="559"/>
      <c r="DTK334" s="559"/>
      <c r="DTL334" s="559"/>
      <c r="DTM334" s="559"/>
      <c r="DTN334" s="559"/>
      <c r="DTO334" s="559"/>
      <c r="DTP334" s="559"/>
      <c r="DTQ334" s="559"/>
      <c r="DTR334" s="559"/>
      <c r="DTS334" s="559"/>
      <c r="DTT334" s="559"/>
      <c r="DTU334" s="559"/>
      <c r="DTV334" s="559"/>
      <c r="DTW334" s="559"/>
      <c r="DTX334" s="559"/>
      <c r="DTY334" s="559"/>
      <c r="DTZ334" s="559"/>
      <c r="DUA334" s="559"/>
      <c r="DUB334" s="559"/>
      <c r="DUC334" s="559"/>
      <c r="DUD334" s="559"/>
      <c r="DUE334" s="559"/>
      <c r="DUF334" s="559"/>
      <c r="DUG334" s="559"/>
      <c r="DUH334" s="559"/>
      <c r="DUI334" s="559"/>
      <c r="DUJ334" s="559"/>
      <c r="DUK334" s="559"/>
      <c r="DUL334" s="559"/>
      <c r="DUM334" s="559"/>
      <c r="DUN334" s="559"/>
      <c r="DUO334" s="559"/>
      <c r="DUP334" s="559"/>
      <c r="DUQ334" s="559"/>
      <c r="DUR334" s="559"/>
      <c r="DUS334" s="559"/>
      <c r="DUT334" s="559"/>
      <c r="DUU334" s="559"/>
      <c r="DUV334" s="559"/>
      <c r="DUW334" s="559"/>
      <c r="DUX334" s="559"/>
      <c r="DUY334" s="559"/>
      <c r="DUZ334" s="559"/>
      <c r="DVA334" s="559"/>
      <c r="DVB334" s="559"/>
      <c r="DVC334" s="559"/>
      <c r="DVD334" s="559"/>
      <c r="DVE334" s="559"/>
      <c r="DVF334" s="559"/>
      <c r="DVG334" s="559"/>
      <c r="DVH334" s="559"/>
      <c r="DVI334" s="559"/>
      <c r="DVJ334" s="559"/>
      <c r="DVK334" s="559"/>
      <c r="DVL334" s="559"/>
      <c r="DVM334" s="559"/>
      <c r="DVN334" s="559"/>
      <c r="DVO334" s="559"/>
      <c r="DVP334" s="559"/>
      <c r="DVQ334" s="559"/>
      <c r="DVR334" s="559"/>
      <c r="DVS334" s="559"/>
      <c r="DVT334" s="559"/>
      <c r="DVU334" s="559"/>
      <c r="DVV334" s="559"/>
      <c r="DVW334" s="559"/>
      <c r="DVX334" s="559"/>
      <c r="DVY334" s="559"/>
      <c r="DVZ334" s="559"/>
      <c r="DWA334" s="559"/>
      <c r="DWB334" s="559"/>
      <c r="DWC334" s="559"/>
      <c r="DWD334" s="559"/>
      <c r="DWE334" s="559"/>
      <c r="DWF334" s="559"/>
      <c r="DWG334" s="559"/>
      <c r="DWH334" s="559"/>
      <c r="DWI334" s="559"/>
      <c r="DWJ334" s="559"/>
      <c r="DWK334" s="559"/>
      <c r="DWL334" s="559"/>
      <c r="DWM334" s="559"/>
      <c r="DWN334" s="559"/>
      <c r="DWO334" s="559"/>
      <c r="DWP334" s="559"/>
      <c r="DWQ334" s="559"/>
      <c r="DWR334" s="559"/>
      <c r="DWS334" s="559"/>
      <c r="DWT334" s="559"/>
      <c r="DWU334" s="559"/>
      <c r="DWV334" s="559"/>
      <c r="DWW334" s="559"/>
      <c r="DWX334" s="559"/>
      <c r="DWY334" s="559"/>
      <c r="DWZ334" s="559"/>
      <c r="DXA334" s="559"/>
      <c r="DXB334" s="559"/>
      <c r="DXC334" s="559"/>
      <c r="DXD334" s="559"/>
      <c r="DXE334" s="559"/>
      <c r="DXF334" s="559"/>
      <c r="DXG334" s="559"/>
      <c r="DXH334" s="559"/>
      <c r="DXI334" s="559"/>
      <c r="DXJ334" s="559"/>
      <c r="DXK334" s="559"/>
      <c r="DXL334" s="559"/>
      <c r="DXM334" s="559"/>
      <c r="DXN334" s="559"/>
      <c r="DXO334" s="559"/>
      <c r="DXP334" s="559"/>
      <c r="DXQ334" s="559"/>
      <c r="DXR334" s="559"/>
      <c r="DXS334" s="559"/>
      <c r="DXT334" s="559"/>
      <c r="DXU334" s="559"/>
      <c r="DXV334" s="559"/>
      <c r="DXW334" s="559"/>
      <c r="DXX334" s="559"/>
      <c r="DXY334" s="559"/>
      <c r="DXZ334" s="559"/>
      <c r="DYA334" s="559"/>
      <c r="DYB334" s="559"/>
      <c r="DYC334" s="559"/>
      <c r="DYD334" s="559"/>
      <c r="DYE334" s="559"/>
      <c r="DYF334" s="559"/>
      <c r="DYG334" s="559"/>
      <c r="DYH334" s="559"/>
      <c r="DYI334" s="559"/>
      <c r="DYJ334" s="559"/>
      <c r="DYK334" s="559"/>
      <c r="DYL334" s="559"/>
      <c r="DYM334" s="559"/>
      <c r="DYN334" s="559"/>
      <c r="DYO334" s="559"/>
      <c r="DYP334" s="559"/>
      <c r="DYQ334" s="559"/>
      <c r="DYR334" s="559"/>
      <c r="DYS334" s="559"/>
      <c r="DYT334" s="559"/>
      <c r="DYU334" s="559"/>
      <c r="DYV334" s="559"/>
      <c r="DYW334" s="559"/>
      <c r="DYX334" s="559"/>
      <c r="DYY334" s="559"/>
      <c r="DYZ334" s="559"/>
      <c r="DZA334" s="559"/>
      <c r="DZB334" s="559"/>
      <c r="DZC334" s="559"/>
      <c r="DZD334" s="559"/>
      <c r="DZE334" s="559"/>
      <c r="DZF334" s="559"/>
      <c r="DZG334" s="559"/>
      <c r="DZH334" s="559"/>
      <c r="DZI334" s="559"/>
      <c r="DZJ334" s="559"/>
      <c r="DZK334" s="559"/>
      <c r="DZL334" s="559"/>
      <c r="DZM334" s="559"/>
      <c r="DZN334" s="559"/>
      <c r="DZO334" s="559"/>
      <c r="DZP334" s="559"/>
      <c r="DZQ334" s="559"/>
      <c r="DZR334" s="559"/>
      <c r="DZS334" s="559"/>
      <c r="DZT334" s="559"/>
      <c r="DZU334" s="559"/>
      <c r="DZV334" s="559"/>
      <c r="DZW334" s="559"/>
      <c r="DZX334" s="559"/>
      <c r="DZY334" s="559"/>
      <c r="DZZ334" s="559"/>
      <c r="EAA334" s="559"/>
      <c r="EAB334" s="559"/>
      <c r="EAC334" s="559"/>
      <c r="EAD334" s="559"/>
      <c r="EAE334" s="559"/>
      <c r="EAF334" s="559"/>
      <c r="EAG334" s="559"/>
      <c r="EAH334" s="559"/>
      <c r="EAI334" s="559"/>
      <c r="EAJ334" s="559"/>
      <c r="EAK334" s="559"/>
      <c r="EAL334" s="559"/>
      <c r="EAM334" s="559"/>
      <c r="EAN334" s="559"/>
      <c r="EAO334" s="559"/>
      <c r="EAP334" s="559"/>
      <c r="EAQ334" s="559"/>
      <c r="EAR334" s="559"/>
      <c r="EAS334" s="559"/>
      <c r="EAT334" s="559"/>
      <c r="EAU334" s="559"/>
      <c r="EAV334" s="559"/>
      <c r="EAW334" s="559"/>
      <c r="EAX334" s="559"/>
      <c r="EAY334" s="559"/>
      <c r="EAZ334" s="559"/>
      <c r="EBA334" s="559"/>
      <c r="EBB334" s="559"/>
      <c r="EBC334" s="559"/>
      <c r="EBD334" s="559"/>
      <c r="EBE334" s="559"/>
      <c r="EBF334" s="559"/>
      <c r="EBG334" s="559"/>
      <c r="EBH334" s="559"/>
      <c r="EBI334" s="559"/>
      <c r="EBJ334" s="559"/>
      <c r="EBK334" s="559"/>
      <c r="EBL334" s="559"/>
      <c r="EBM334" s="559"/>
      <c r="EBN334" s="559"/>
      <c r="EBO334" s="559"/>
      <c r="EBP334" s="559"/>
      <c r="EBQ334" s="559"/>
      <c r="EBR334" s="559"/>
      <c r="EBS334" s="559"/>
      <c r="EBT334" s="559"/>
      <c r="EBU334" s="559"/>
      <c r="EBV334" s="559"/>
      <c r="EBW334" s="559"/>
      <c r="EBX334" s="559"/>
      <c r="EBY334" s="559"/>
      <c r="EBZ334" s="559"/>
      <c r="ECA334" s="559"/>
      <c r="ECB334" s="559"/>
      <c r="ECC334" s="559"/>
      <c r="ECD334" s="559"/>
      <c r="ECE334" s="559"/>
      <c r="ECF334" s="559"/>
      <c r="ECG334" s="559"/>
      <c r="ECH334" s="559"/>
      <c r="ECI334" s="559"/>
      <c r="ECJ334" s="559"/>
      <c r="ECK334" s="559"/>
      <c r="ECL334" s="559"/>
      <c r="ECM334" s="559"/>
      <c r="ECN334" s="559"/>
      <c r="ECO334" s="559"/>
      <c r="ECP334" s="559"/>
      <c r="ECQ334" s="559"/>
      <c r="ECR334" s="559"/>
      <c r="ECS334" s="559"/>
      <c r="ECT334" s="559"/>
      <c r="ECU334" s="559"/>
      <c r="ECV334" s="559"/>
      <c r="ECW334" s="559"/>
      <c r="ECX334" s="559"/>
      <c r="ECY334" s="559"/>
      <c r="ECZ334" s="559"/>
      <c r="EDA334" s="559"/>
      <c r="EDB334" s="559"/>
      <c r="EDC334" s="559"/>
      <c r="EDD334" s="559"/>
      <c r="EDE334" s="559"/>
      <c r="EDF334" s="559"/>
      <c r="EDG334" s="559"/>
      <c r="EDH334" s="559"/>
      <c r="EDI334" s="559"/>
      <c r="EDJ334" s="559"/>
      <c r="EDK334" s="559"/>
      <c r="EDL334" s="559"/>
      <c r="EDM334" s="559"/>
      <c r="EDN334" s="559"/>
      <c r="EDO334" s="559"/>
      <c r="EDP334" s="559"/>
      <c r="EDQ334" s="559"/>
      <c r="EDR334" s="559"/>
      <c r="EDS334" s="559"/>
      <c r="EDT334" s="559"/>
      <c r="EDU334" s="559"/>
      <c r="EDV334" s="559"/>
      <c r="EDW334" s="559"/>
      <c r="EDX334" s="559"/>
      <c r="EDY334" s="559"/>
      <c r="EDZ334" s="559"/>
      <c r="EEA334" s="559"/>
      <c r="EEB334" s="559"/>
      <c r="EEC334" s="559"/>
      <c r="EED334" s="559"/>
      <c r="EEE334" s="559"/>
      <c r="EEF334" s="559"/>
      <c r="EEG334" s="559"/>
      <c r="EEH334" s="559"/>
      <c r="EEI334" s="559"/>
      <c r="EEJ334" s="559"/>
      <c r="EEK334" s="559"/>
      <c r="EEL334" s="559"/>
      <c r="EEM334" s="559"/>
      <c r="EEN334" s="559"/>
      <c r="EEO334" s="559"/>
      <c r="EEP334" s="559"/>
      <c r="EEQ334" s="559"/>
      <c r="EER334" s="559"/>
      <c r="EES334" s="559"/>
      <c r="EET334" s="559"/>
      <c r="EEU334" s="559"/>
      <c r="EEV334" s="559"/>
      <c r="EEW334" s="559"/>
      <c r="EEX334" s="559"/>
      <c r="EEY334" s="559"/>
      <c r="EEZ334" s="559"/>
      <c r="EFA334" s="559"/>
      <c r="EFB334" s="559"/>
      <c r="EFC334" s="559"/>
      <c r="EFD334" s="559"/>
      <c r="EFE334" s="559"/>
      <c r="EFF334" s="559"/>
      <c r="EFG334" s="559"/>
      <c r="EFH334" s="559"/>
      <c r="EFI334" s="559"/>
      <c r="EFJ334" s="559"/>
      <c r="EFK334" s="559"/>
      <c r="EFL334" s="559"/>
      <c r="EFM334" s="559"/>
      <c r="EFN334" s="559"/>
      <c r="EFO334" s="559"/>
      <c r="EFP334" s="559"/>
      <c r="EFQ334" s="559"/>
      <c r="EFR334" s="559"/>
      <c r="EFS334" s="559"/>
      <c r="EFT334" s="559"/>
      <c r="EFU334" s="559"/>
      <c r="EFV334" s="559"/>
      <c r="EFW334" s="559"/>
      <c r="EFX334" s="559"/>
      <c r="EFY334" s="559"/>
      <c r="EFZ334" s="559"/>
      <c r="EGA334" s="559"/>
      <c r="EGB334" s="559"/>
      <c r="EGC334" s="559"/>
      <c r="EGD334" s="559"/>
      <c r="EGE334" s="559"/>
      <c r="EGF334" s="559"/>
      <c r="EGG334" s="559"/>
      <c r="EGH334" s="559"/>
      <c r="EGI334" s="559"/>
      <c r="EGJ334" s="559"/>
      <c r="EGK334" s="559"/>
      <c r="EGL334" s="559"/>
      <c r="EGM334" s="559"/>
      <c r="EGN334" s="559"/>
      <c r="EGO334" s="559"/>
      <c r="EGP334" s="559"/>
      <c r="EGQ334" s="559"/>
      <c r="EGR334" s="559"/>
      <c r="EGS334" s="559"/>
      <c r="EGT334" s="559"/>
      <c r="EGU334" s="559"/>
      <c r="EGV334" s="559"/>
      <c r="EGW334" s="559"/>
      <c r="EGX334" s="559"/>
      <c r="EGY334" s="559"/>
      <c r="EGZ334" s="559"/>
      <c r="EHA334" s="559"/>
      <c r="EHB334" s="559"/>
      <c r="EHC334" s="559"/>
      <c r="EHD334" s="559"/>
      <c r="EHE334" s="559"/>
      <c r="EHF334" s="559"/>
      <c r="EHG334" s="559"/>
      <c r="EHH334" s="559"/>
      <c r="EHI334" s="559"/>
      <c r="EHJ334" s="559"/>
      <c r="EHK334" s="559"/>
      <c r="EHL334" s="559"/>
      <c r="EHM334" s="559"/>
      <c r="EHN334" s="559"/>
      <c r="EHO334" s="559"/>
      <c r="EHP334" s="559"/>
      <c r="EHQ334" s="559"/>
      <c r="EHR334" s="559"/>
      <c r="EHS334" s="559"/>
      <c r="EHT334" s="559"/>
      <c r="EHU334" s="559"/>
      <c r="EHV334" s="559"/>
      <c r="EHW334" s="559"/>
      <c r="EHX334" s="559"/>
      <c r="EHY334" s="559"/>
      <c r="EHZ334" s="559"/>
      <c r="EIA334" s="559"/>
      <c r="EIB334" s="559"/>
      <c r="EIC334" s="559"/>
      <c r="EID334" s="559"/>
      <c r="EIE334" s="559"/>
      <c r="EIF334" s="559"/>
      <c r="EIG334" s="559"/>
      <c r="EIH334" s="559"/>
      <c r="EII334" s="559"/>
      <c r="EIJ334" s="559"/>
      <c r="EIK334" s="559"/>
      <c r="EIL334" s="559"/>
      <c r="EIM334" s="559"/>
      <c r="EIN334" s="559"/>
      <c r="EIO334" s="559"/>
      <c r="EIP334" s="559"/>
      <c r="EIQ334" s="559"/>
      <c r="EIR334" s="559"/>
      <c r="EIS334" s="559"/>
      <c r="EIT334" s="559"/>
      <c r="EIU334" s="559"/>
      <c r="EIV334" s="559"/>
      <c r="EIW334" s="559"/>
      <c r="EIX334" s="559"/>
      <c r="EIY334" s="559"/>
      <c r="EIZ334" s="559"/>
      <c r="EJA334" s="559"/>
      <c r="EJB334" s="559"/>
      <c r="EJC334" s="559"/>
      <c r="EJD334" s="559"/>
      <c r="EJE334" s="559"/>
      <c r="EJF334" s="559"/>
      <c r="EJG334" s="559"/>
      <c r="EJH334" s="559"/>
      <c r="EJI334" s="559"/>
      <c r="EJJ334" s="559"/>
      <c r="EJK334" s="559"/>
      <c r="EJL334" s="559"/>
      <c r="EJM334" s="559"/>
      <c r="EJN334" s="559"/>
      <c r="EJO334" s="559"/>
      <c r="EJP334" s="559"/>
      <c r="EJQ334" s="559"/>
      <c r="EJR334" s="559"/>
      <c r="EJS334" s="559"/>
      <c r="EJT334" s="559"/>
      <c r="EJU334" s="559"/>
      <c r="EJV334" s="559"/>
      <c r="EJW334" s="559"/>
      <c r="EJX334" s="559"/>
      <c r="EJY334" s="559"/>
      <c r="EJZ334" s="559"/>
      <c r="EKA334" s="559"/>
      <c r="EKB334" s="559"/>
      <c r="EKC334" s="559"/>
      <c r="EKD334" s="559"/>
      <c r="EKE334" s="559"/>
      <c r="EKF334" s="559"/>
      <c r="EKG334" s="559"/>
      <c r="EKH334" s="559"/>
      <c r="EKI334" s="559"/>
      <c r="EKJ334" s="559"/>
      <c r="EKK334" s="559"/>
      <c r="EKL334" s="559"/>
      <c r="EKM334" s="559"/>
      <c r="EKN334" s="559"/>
      <c r="EKO334" s="559"/>
      <c r="EKP334" s="559"/>
      <c r="EKQ334" s="559"/>
      <c r="EKR334" s="559"/>
      <c r="EKS334" s="559"/>
      <c r="EKT334" s="559"/>
      <c r="EKU334" s="559"/>
      <c r="EKV334" s="559"/>
      <c r="EKW334" s="559"/>
      <c r="EKX334" s="559"/>
      <c r="EKY334" s="559"/>
      <c r="EKZ334" s="559"/>
      <c r="ELA334" s="559"/>
      <c r="ELB334" s="559"/>
      <c r="ELC334" s="559"/>
      <c r="ELD334" s="559"/>
      <c r="ELE334" s="559"/>
      <c r="ELF334" s="559"/>
      <c r="ELG334" s="559"/>
      <c r="ELH334" s="559"/>
      <c r="ELI334" s="559"/>
      <c r="ELJ334" s="559"/>
      <c r="ELK334" s="559"/>
      <c r="ELL334" s="559"/>
      <c r="ELM334" s="559"/>
      <c r="ELN334" s="559"/>
      <c r="ELO334" s="559"/>
      <c r="ELP334" s="559"/>
      <c r="ELQ334" s="559"/>
      <c r="ELR334" s="559"/>
      <c r="ELS334" s="559"/>
      <c r="ELT334" s="559"/>
      <c r="ELU334" s="559"/>
      <c r="ELV334" s="559"/>
      <c r="ELW334" s="559"/>
      <c r="ELX334" s="559"/>
      <c r="ELY334" s="559"/>
      <c r="ELZ334" s="559"/>
      <c r="EMA334" s="559"/>
      <c r="EMB334" s="559"/>
      <c r="EMC334" s="559"/>
      <c r="EMD334" s="559"/>
      <c r="EME334" s="559"/>
      <c r="EMF334" s="559"/>
      <c r="EMG334" s="559"/>
      <c r="EMH334" s="559"/>
      <c r="EMI334" s="559"/>
      <c r="EMJ334" s="559"/>
      <c r="EMK334" s="559"/>
      <c r="EML334" s="559"/>
      <c r="EMM334" s="559"/>
      <c r="EMN334" s="559"/>
      <c r="EMO334" s="559"/>
      <c r="EMP334" s="559"/>
      <c r="EMQ334" s="559"/>
      <c r="EMR334" s="559"/>
      <c r="EMS334" s="559"/>
      <c r="EMT334" s="559"/>
      <c r="EMU334" s="559"/>
      <c r="EMV334" s="559"/>
      <c r="EMW334" s="559"/>
      <c r="EMX334" s="559"/>
      <c r="EMY334" s="559"/>
      <c r="EMZ334" s="559"/>
      <c r="ENA334" s="559"/>
      <c r="ENB334" s="559"/>
      <c r="ENC334" s="559"/>
      <c r="END334" s="559"/>
      <c r="ENE334" s="559"/>
      <c r="ENF334" s="559"/>
      <c r="ENG334" s="559"/>
      <c r="ENH334" s="559"/>
      <c r="ENI334" s="559"/>
      <c r="ENJ334" s="559"/>
      <c r="ENK334" s="559"/>
      <c r="ENL334" s="559"/>
      <c r="ENM334" s="559"/>
      <c r="ENN334" s="559"/>
      <c r="ENO334" s="559"/>
      <c r="ENP334" s="559"/>
      <c r="ENQ334" s="559"/>
      <c r="ENR334" s="559"/>
      <c r="ENS334" s="559"/>
      <c r="ENT334" s="559"/>
      <c r="ENU334" s="559"/>
      <c r="ENV334" s="559"/>
      <c r="ENW334" s="559"/>
      <c r="ENX334" s="559"/>
      <c r="ENY334" s="559"/>
      <c r="ENZ334" s="559"/>
      <c r="EOA334" s="559"/>
      <c r="EOB334" s="559"/>
      <c r="EOC334" s="559"/>
      <c r="EOD334" s="559"/>
      <c r="EOE334" s="559"/>
      <c r="EOF334" s="559"/>
      <c r="EOG334" s="559"/>
      <c r="EOH334" s="559"/>
      <c r="EOI334" s="559"/>
      <c r="EOJ334" s="559"/>
      <c r="EOK334" s="559"/>
      <c r="EOL334" s="559"/>
      <c r="EOM334" s="559"/>
      <c r="EON334" s="559"/>
      <c r="EOO334" s="559"/>
      <c r="EOP334" s="559"/>
      <c r="EOQ334" s="559"/>
      <c r="EOR334" s="559"/>
      <c r="EOS334" s="559"/>
      <c r="EOT334" s="559"/>
      <c r="EOU334" s="559"/>
      <c r="EOV334" s="559"/>
      <c r="EOW334" s="559"/>
      <c r="EOX334" s="559"/>
      <c r="EOY334" s="559"/>
      <c r="EOZ334" s="559"/>
      <c r="EPA334" s="559"/>
      <c r="EPB334" s="559"/>
      <c r="EPC334" s="559"/>
      <c r="EPD334" s="559"/>
      <c r="EPE334" s="559"/>
      <c r="EPF334" s="559"/>
      <c r="EPG334" s="559"/>
      <c r="EPH334" s="559"/>
      <c r="EPI334" s="559"/>
      <c r="EPJ334" s="559"/>
      <c r="EPK334" s="559"/>
      <c r="EPL334" s="559"/>
      <c r="EPM334" s="559"/>
      <c r="EPN334" s="559"/>
      <c r="EPO334" s="559"/>
      <c r="EPP334" s="559"/>
      <c r="EPQ334" s="559"/>
      <c r="EPR334" s="559"/>
      <c r="EPS334" s="559"/>
      <c r="EPT334" s="559"/>
      <c r="EPU334" s="559"/>
      <c r="EPV334" s="559"/>
      <c r="EPW334" s="559"/>
      <c r="EPX334" s="559"/>
      <c r="EPY334" s="559"/>
      <c r="EPZ334" s="559"/>
      <c r="EQA334" s="559"/>
      <c r="EQB334" s="559"/>
      <c r="EQC334" s="559"/>
      <c r="EQD334" s="559"/>
      <c r="EQE334" s="559"/>
      <c r="EQF334" s="559"/>
      <c r="EQG334" s="559"/>
      <c r="EQH334" s="559"/>
      <c r="EQI334" s="559"/>
      <c r="EQJ334" s="559"/>
      <c r="EQK334" s="559"/>
      <c r="EQL334" s="559"/>
      <c r="EQM334" s="559"/>
      <c r="EQN334" s="559"/>
      <c r="EQO334" s="559"/>
      <c r="EQP334" s="559"/>
      <c r="EQQ334" s="559"/>
      <c r="EQR334" s="559"/>
      <c r="EQS334" s="559"/>
      <c r="EQT334" s="559"/>
      <c r="EQU334" s="559"/>
      <c r="EQV334" s="559"/>
      <c r="EQW334" s="559"/>
      <c r="EQX334" s="559"/>
      <c r="EQY334" s="559"/>
      <c r="EQZ334" s="559"/>
      <c r="ERA334" s="559"/>
      <c r="ERB334" s="559"/>
      <c r="ERC334" s="559"/>
      <c r="ERD334" s="559"/>
      <c r="ERE334" s="559"/>
      <c r="ERF334" s="559"/>
      <c r="ERG334" s="559"/>
      <c r="ERH334" s="559"/>
      <c r="ERI334" s="559"/>
      <c r="ERJ334" s="559"/>
      <c r="ERK334" s="559"/>
      <c r="ERL334" s="559"/>
      <c r="ERM334" s="559"/>
      <c r="ERN334" s="559"/>
      <c r="ERO334" s="559"/>
      <c r="ERP334" s="559"/>
      <c r="ERQ334" s="559"/>
      <c r="ERR334" s="559"/>
      <c r="ERS334" s="559"/>
      <c r="ERT334" s="559"/>
      <c r="ERU334" s="559"/>
      <c r="ERV334" s="559"/>
      <c r="ERW334" s="559"/>
      <c r="ERX334" s="559"/>
      <c r="ERY334" s="559"/>
      <c r="ERZ334" s="559"/>
      <c r="ESA334" s="559"/>
      <c r="ESB334" s="559"/>
      <c r="ESC334" s="559"/>
      <c r="ESD334" s="559"/>
      <c r="ESE334" s="559"/>
      <c r="ESF334" s="559"/>
      <c r="ESG334" s="559"/>
      <c r="ESH334" s="559"/>
      <c r="ESI334" s="559"/>
      <c r="ESJ334" s="559"/>
      <c r="ESK334" s="559"/>
      <c r="ESL334" s="559"/>
      <c r="ESM334" s="559"/>
      <c r="ESN334" s="559"/>
      <c r="ESO334" s="559"/>
      <c r="ESP334" s="559"/>
      <c r="ESQ334" s="559"/>
      <c r="ESR334" s="559"/>
      <c r="ESS334" s="559"/>
      <c r="EST334" s="559"/>
      <c r="ESU334" s="559"/>
      <c r="ESV334" s="559"/>
      <c r="ESW334" s="559"/>
      <c r="ESX334" s="559"/>
      <c r="ESY334" s="559"/>
      <c r="ESZ334" s="559"/>
      <c r="ETA334" s="559"/>
      <c r="ETB334" s="559"/>
      <c r="ETC334" s="559"/>
      <c r="ETD334" s="559"/>
      <c r="ETE334" s="559"/>
      <c r="ETF334" s="559"/>
      <c r="ETG334" s="559"/>
      <c r="ETH334" s="559"/>
      <c r="ETI334" s="559"/>
      <c r="ETJ334" s="559"/>
      <c r="ETK334" s="559"/>
      <c r="ETL334" s="559"/>
      <c r="ETM334" s="559"/>
      <c r="ETN334" s="559"/>
      <c r="ETO334" s="559"/>
      <c r="ETP334" s="559"/>
      <c r="ETQ334" s="559"/>
      <c r="ETR334" s="559"/>
      <c r="ETS334" s="559"/>
      <c r="ETT334" s="559"/>
      <c r="ETU334" s="559"/>
      <c r="ETV334" s="559"/>
      <c r="ETW334" s="559"/>
      <c r="ETX334" s="559"/>
      <c r="ETY334" s="559"/>
      <c r="ETZ334" s="559"/>
      <c r="EUA334" s="559"/>
      <c r="EUB334" s="559"/>
      <c r="EUC334" s="559"/>
      <c r="EUD334" s="559"/>
      <c r="EUE334" s="559"/>
      <c r="EUF334" s="559"/>
      <c r="EUG334" s="559"/>
      <c r="EUH334" s="559"/>
      <c r="EUI334" s="559"/>
      <c r="EUJ334" s="559"/>
      <c r="EUK334" s="559"/>
      <c r="EUL334" s="559"/>
      <c r="EUM334" s="559"/>
      <c r="EUN334" s="559"/>
      <c r="EUO334" s="559"/>
      <c r="EUP334" s="559"/>
      <c r="EUQ334" s="559"/>
      <c r="EUR334" s="559"/>
      <c r="EUS334" s="559"/>
      <c r="EUT334" s="559"/>
      <c r="EUU334" s="559"/>
      <c r="EUV334" s="559"/>
      <c r="EUW334" s="559"/>
      <c r="EUX334" s="559"/>
      <c r="EUY334" s="559"/>
      <c r="EUZ334" s="559"/>
      <c r="EVA334" s="559"/>
      <c r="EVB334" s="559"/>
      <c r="EVC334" s="559"/>
      <c r="EVD334" s="559"/>
      <c r="EVE334" s="559"/>
      <c r="EVF334" s="559"/>
      <c r="EVG334" s="559"/>
      <c r="EVH334" s="559"/>
      <c r="EVI334" s="559"/>
      <c r="EVJ334" s="559"/>
      <c r="EVK334" s="559"/>
      <c r="EVL334" s="559"/>
      <c r="EVM334" s="559"/>
      <c r="EVN334" s="559"/>
      <c r="EVO334" s="559"/>
      <c r="EVP334" s="559"/>
      <c r="EVQ334" s="559"/>
      <c r="EVR334" s="559"/>
      <c r="EVS334" s="559"/>
      <c r="EVT334" s="559"/>
      <c r="EVU334" s="559"/>
      <c r="EVV334" s="559"/>
      <c r="EVW334" s="559"/>
      <c r="EVX334" s="559"/>
      <c r="EVY334" s="559"/>
      <c r="EVZ334" s="559"/>
      <c r="EWA334" s="559"/>
      <c r="EWB334" s="559"/>
      <c r="EWC334" s="559"/>
      <c r="EWD334" s="559"/>
      <c r="EWE334" s="559"/>
      <c r="EWF334" s="559"/>
      <c r="EWG334" s="559"/>
      <c r="EWH334" s="559"/>
      <c r="EWI334" s="559"/>
      <c r="EWJ334" s="559"/>
      <c r="EWK334" s="559"/>
      <c r="EWL334" s="559"/>
      <c r="EWM334" s="559"/>
      <c r="EWN334" s="559"/>
      <c r="EWO334" s="559"/>
      <c r="EWP334" s="559"/>
      <c r="EWQ334" s="559"/>
      <c r="EWR334" s="559"/>
      <c r="EWS334" s="559"/>
      <c r="EWT334" s="559"/>
      <c r="EWU334" s="559"/>
      <c r="EWV334" s="559"/>
      <c r="EWW334" s="559"/>
      <c r="EWX334" s="559"/>
      <c r="EWY334" s="559"/>
      <c r="EWZ334" s="559"/>
      <c r="EXA334" s="559"/>
      <c r="EXB334" s="559"/>
      <c r="EXC334" s="559"/>
      <c r="EXD334" s="559"/>
      <c r="EXE334" s="559"/>
      <c r="EXF334" s="559"/>
      <c r="EXG334" s="559"/>
      <c r="EXH334" s="559"/>
      <c r="EXI334" s="559"/>
      <c r="EXJ334" s="559"/>
      <c r="EXK334" s="559"/>
      <c r="EXL334" s="559"/>
      <c r="EXM334" s="559"/>
      <c r="EXN334" s="559"/>
      <c r="EXO334" s="559"/>
      <c r="EXP334" s="559"/>
      <c r="EXQ334" s="559"/>
      <c r="EXR334" s="559"/>
      <c r="EXS334" s="559"/>
      <c r="EXT334" s="559"/>
      <c r="EXU334" s="559"/>
      <c r="EXV334" s="559"/>
      <c r="EXW334" s="559"/>
      <c r="EXX334" s="559"/>
      <c r="EXY334" s="559"/>
      <c r="EXZ334" s="559"/>
      <c r="EYA334" s="559"/>
      <c r="EYB334" s="559"/>
      <c r="EYC334" s="559"/>
      <c r="EYD334" s="559"/>
      <c r="EYE334" s="559"/>
      <c r="EYF334" s="559"/>
      <c r="EYG334" s="559"/>
      <c r="EYH334" s="559"/>
      <c r="EYI334" s="559"/>
      <c r="EYJ334" s="559"/>
      <c r="EYK334" s="559"/>
      <c r="EYL334" s="559"/>
      <c r="EYM334" s="559"/>
      <c r="EYN334" s="559"/>
      <c r="EYO334" s="559"/>
      <c r="EYP334" s="559"/>
      <c r="EYQ334" s="559"/>
      <c r="EYR334" s="559"/>
      <c r="EYS334" s="559"/>
      <c r="EYT334" s="559"/>
      <c r="EYU334" s="559"/>
      <c r="EYV334" s="559"/>
      <c r="EYW334" s="559"/>
      <c r="EYX334" s="559"/>
      <c r="EYY334" s="559"/>
      <c r="EYZ334" s="559"/>
      <c r="EZA334" s="559"/>
      <c r="EZB334" s="559"/>
      <c r="EZC334" s="559"/>
      <c r="EZD334" s="559"/>
      <c r="EZE334" s="559"/>
      <c r="EZF334" s="559"/>
      <c r="EZG334" s="559"/>
      <c r="EZH334" s="559"/>
      <c r="EZI334" s="559"/>
      <c r="EZJ334" s="559"/>
      <c r="EZK334" s="559"/>
      <c r="EZL334" s="559"/>
      <c r="EZM334" s="559"/>
      <c r="EZN334" s="559"/>
      <c r="EZO334" s="559"/>
      <c r="EZP334" s="559"/>
      <c r="EZQ334" s="559"/>
      <c r="EZR334" s="559"/>
      <c r="EZS334" s="559"/>
      <c r="EZT334" s="559"/>
      <c r="EZU334" s="559"/>
      <c r="EZV334" s="559"/>
      <c r="EZW334" s="559"/>
      <c r="EZX334" s="559"/>
      <c r="EZY334" s="559"/>
      <c r="EZZ334" s="559"/>
      <c r="FAA334" s="559"/>
      <c r="FAB334" s="559"/>
      <c r="FAC334" s="559"/>
      <c r="FAD334" s="559"/>
      <c r="FAE334" s="559"/>
      <c r="FAF334" s="559"/>
      <c r="FAG334" s="559"/>
      <c r="FAH334" s="559"/>
      <c r="FAI334" s="559"/>
      <c r="FAJ334" s="559"/>
      <c r="FAK334" s="559"/>
      <c r="FAL334" s="559"/>
      <c r="FAM334" s="559"/>
      <c r="FAN334" s="559"/>
      <c r="FAO334" s="559"/>
      <c r="FAP334" s="559"/>
      <c r="FAQ334" s="559"/>
      <c r="FAR334" s="559"/>
      <c r="FAS334" s="559"/>
      <c r="FAT334" s="559"/>
      <c r="FAU334" s="559"/>
      <c r="FAV334" s="559"/>
      <c r="FAW334" s="559"/>
      <c r="FAX334" s="559"/>
      <c r="FAY334" s="559"/>
      <c r="FAZ334" s="559"/>
      <c r="FBA334" s="559"/>
      <c r="FBB334" s="559"/>
      <c r="FBC334" s="559"/>
      <c r="FBD334" s="559"/>
      <c r="FBE334" s="559"/>
      <c r="FBF334" s="559"/>
      <c r="FBG334" s="559"/>
      <c r="FBH334" s="559"/>
      <c r="FBI334" s="559"/>
      <c r="FBJ334" s="559"/>
      <c r="FBK334" s="559"/>
      <c r="FBL334" s="559"/>
      <c r="FBM334" s="559"/>
      <c r="FBN334" s="559"/>
      <c r="FBO334" s="559"/>
      <c r="FBP334" s="559"/>
      <c r="FBQ334" s="559"/>
      <c r="FBR334" s="559"/>
      <c r="FBS334" s="559"/>
      <c r="FBT334" s="559"/>
      <c r="FBU334" s="559"/>
      <c r="FBV334" s="559"/>
      <c r="FBW334" s="559"/>
      <c r="FBX334" s="559"/>
      <c r="FBY334" s="559"/>
      <c r="FBZ334" s="559"/>
      <c r="FCA334" s="559"/>
      <c r="FCB334" s="559"/>
      <c r="FCC334" s="559"/>
      <c r="FCD334" s="559"/>
      <c r="FCE334" s="559"/>
      <c r="FCF334" s="559"/>
      <c r="FCG334" s="559"/>
      <c r="FCH334" s="559"/>
      <c r="FCI334" s="559"/>
      <c r="FCJ334" s="559"/>
      <c r="FCK334" s="559"/>
      <c r="FCL334" s="559"/>
      <c r="FCM334" s="559"/>
      <c r="FCN334" s="559"/>
      <c r="FCO334" s="559"/>
      <c r="FCP334" s="559"/>
      <c r="FCQ334" s="559"/>
      <c r="FCR334" s="559"/>
      <c r="FCS334" s="559"/>
      <c r="FCT334" s="559"/>
      <c r="FCU334" s="559"/>
      <c r="FCV334" s="559"/>
      <c r="FCW334" s="559"/>
      <c r="FCX334" s="559"/>
      <c r="FCY334" s="559"/>
      <c r="FCZ334" s="559"/>
      <c r="FDA334" s="559"/>
      <c r="FDB334" s="559"/>
      <c r="FDC334" s="559"/>
      <c r="FDD334" s="559"/>
      <c r="FDE334" s="559"/>
      <c r="FDF334" s="559"/>
      <c r="FDG334" s="559"/>
      <c r="FDH334" s="559"/>
      <c r="FDI334" s="559"/>
      <c r="FDJ334" s="559"/>
      <c r="FDK334" s="559"/>
      <c r="FDL334" s="559"/>
      <c r="FDM334" s="559"/>
      <c r="FDN334" s="559"/>
      <c r="FDO334" s="559"/>
      <c r="FDP334" s="559"/>
      <c r="FDQ334" s="559"/>
      <c r="FDR334" s="559"/>
      <c r="FDS334" s="559"/>
      <c r="FDT334" s="559"/>
      <c r="FDU334" s="559"/>
      <c r="FDV334" s="559"/>
      <c r="FDW334" s="559"/>
      <c r="FDX334" s="559"/>
      <c r="FDY334" s="559"/>
      <c r="FDZ334" s="559"/>
      <c r="FEA334" s="559"/>
      <c r="FEB334" s="559"/>
      <c r="FEC334" s="559"/>
      <c r="FED334" s="559"/>
      <c r="FEE334" s="559"/>
      <c r="FEF334" s="559"/>
      <c r="FEG334" s="559"/>
      <c r="FEH334" s="559"/>
      <c r="FEI334" s="559"/>
      <c r="FEJ334" s="559"/>
      <c r="FEK334" s="559"/>
      <c r="FEL334" s="559"/>
      <c r="FEM334" s="559"/>
      <c r="FEN334" s="559"/>
      <c r="FEO334" s="559"/>
      <c r="FEP334" s="559"/>
      <c r="FEQ334" s="559"/>
      <c r="FER334" s="559"/>
      <c r="FES334" s="559"/>
      <c r="FET334" s="559"/>
      <c r="FEU334" s="559"/>
      <c r="FEV334" s="559"/>
      <c r="FEW334" s="559"/>
      <c r="FEX334" s="559"/>
      <c r="FEY334" s="559"/>
      <c r="FEZ334" s="559"/>
      <c r="FFA334" s="559"/>
      <c r="FFB334" s="559"/>
      <c r="FFC334" s="559"/>
      <c r="FFD334" s="559"/>
      <c r="FFE334" s="559"/>
      <c r="FFF334" s="559"/>
      <c r="FFG334" s="559"/>
      <c r="FFH334" s="559"/>
      <c r="FFI334" s="559"/>
      <c r="FFJ334" s="559"/>
      <c r="FFK334" s="559"/>
      <c r="FFL334" s="559"/>
      <c r="FFM334" s="559"/>
      <c r="FFN334" s="559"/>
      <c r="FFO334" s="559"/>
      <c r="FFP334" s="559"/>
      <c r="FFQ334" s="559"/>
      <c r="FFR334" s="559"/>
      <c r="FFS334" s="559"/>
      <c r="FFT334" s="559"/>
      <c r="FFU334" s="559"/>
      <c r="FFV334" s="559"/>
      <c r="FFW334" s="559"/>
      <c r="FFX334" s="559"/>
      <c r="FFY334" s="559"/>
      <c r="FFZ334" s="559"/>
      <c r="FGA334" s="559"/>
      <c r="FGB334" s="559"/>
      <c r="FGC334" s="559"/>
      <c r="FGD334" s="559"/>
      <c r="FGE334" s="559"/>
      <c r="FGF334" s="559"/>
      <c r="FGG334" s="559"/>
      <c r="FGH334" s="559"/>
      <c r="FGI334" s="559"/>
      <c r="FGJ334" s="559"/>
      <c r="FGK334" s="559"/>
      <c r="FGL334" s="559"/>
      <c r="FGM334" s="559"/>
      <c r="FGN334" s="559"/>
      <c r="FGO334" s="559"/>
      <c r="FGP334" s="559"/>
      <c r="FGQ334" s="559"/>
      <c r="FGR334" s="559"/>
      <c r="FGS334" s="559"/>
      <c r="FGT334" s="559"/>
      <c r="FGU334" s="559"/>
      <c r="FGV334" s="559"/>
      <c r="FGW334" s="559"/>
      <c r="FGX334" s="559"/>
      <c r="FGY334" s="559"/>
      <c r="FGZ334" s="559"/>
      <c r="FHA334" s="559"/>
      <c r="FHB334" s="559"/>
      <c r="FHC334" s="559"/>
      <c r="FHD334" s="559"/>
      <c r="FHE334" s="559"/>
      <c r="FHF334" s="559"/>
      <c r="FHG334" s="559"/>
      <c r="FHH334" s="559"/>
      <c r="FHI334" s="559"/>
      <c r="FHJ334" s="559"/>
      <c r="FHK334" s="559"/>
      <c r="FHL334" s="559"/>
      <c r="FHM334" s="559"/>
      <c r="FHN334" s="559"/>
      <c r="FHO334" s="559"/>
      <c r="FHP334" s="559"/>
      <c r="FHQ334" s="559"/>
      <c r="FHR334" s="559"/>
      <c r="FHS334" s="559"/>
      <c r="FHT334" s="559"/>
      <c r="FHU334" s="559"/>
      <c r="FHV334" s="559"/>
      <c r="FHW334" s="559"/>
      <c r="FHX334" s="559"/>
      <c r="FHY334" s="559"/>
      <c r="FHZ334" s="559"/>
      <c r="FIA334" s="559"/>
      <c r="FIB334" s="559"/>
      <c r="FIC334" s="559"/>
      <c r="FID334" s="559"/>
      <c r="FIE334" s="559"/>
      <c r="FIF334" s="559"/>
      <c r="FIG334" s="559"/>
      <c r="FIH334" s="559"/>
      <c r="FII334" s="559"/>
      <c r="FIJ334" s="559"/>
      <c r="FIK334" s="559"/>
      <c r="FIL334" s="559"/>
      <c r="FIM334" s="559"/>
      <c r="FIN334" s="559"/>
      <c r="FIO334" s="559"/>
      <c r="FIP334" s="559"/>
      <c r="FIQ334" s="559"/>
      <c r="FIR334" s="559"/>
      <c r="FIS334" s="559"/>
      <c r="FIT334" s="559"/>
      <c r="FIU334" s="559"/>
      <c r="FIV334" s="559"/>
      <c r="FIW334" s="559"/>
      <c r="FIX334" s="559"/>
      <c r="FIY334" s="559"/>
      <c r="FIZ334" s="559"/>
      <c r="FJA334" s="559"/>
      <c r="FJB334" s="559"/>
      <c r="FJC334" s="559"/>
      <c r="FJD334" s="559"/>
      <c r="FJE334" s="559"/>
      <c r="FJF334" s="559"/>
      <c r="FJG334" s="559"/>
      <c r="FJH334" s="559"/>
      <c r="FJI334" s="559"/>
      <c r="FJJ334" s="559"/>
      <c r="FJK334" s="559"/>
      <c r="FJL334" s="559"/>
      <c r="FJM334" s="559"/>
      <c r="FJN334" s="559"/>
      <c r="FJO334" s="559"/>
      <c r="FJP334" s="559"/>
      <c r="FJQ334" s="559"/>
      <c r="FJR334" s="559"/>
      <c r="FJS334" s="559"/>
      <c r="FJT334" s="559"/>
      <c r="FJU334" s="559"/>
      <c r="FJV334" s="559"/>
      <c r="FJW334" s="559"/>
      <c r="FJX334" s="559"/>
      <c r="FJY334" s="559"/>
      <c r="FJZ334" s="559"/>
      <c r="FKA334" s="559"/>
      <c r="FKB334" s="559"/>
      <c r="FKC334" s="559"/>
      <c r="FKD334" s="559"/>
      <c r="FKE334" s="559"/>
      <c r="FKF334" s="559"/>
      <c r="FKG334" s="559"/>
      <c r="FKH334" s="559"/>
      <c r="FKI334" s="559"/>
      <c r="FKJ334" s="559"/>
      <c r="FKK334" s="559"/>
      <c r="FKL334" s="559"/>
      <c r="FKM334" s="559"/>
      <c r="FKN334" s="559"/>
      <c r="FKO334" s="559"/>
      <c r="FKP334" s="559"/>
      <c r="FKQ334" s="559"/>
      <c r="FKR334" s="559"/>
      <c r="FKS334" s="559"/>
      <c r="FKT334" s="559"/>
      <c r="FKU334" s="559"/>
      <c r="FKV334" s="559"/>
      <c r="FKW334" s="559"/>
      <c r="FKX334" s="559"/>
      <c r="FKY334" s="559"/>
      <c r="FKZ334" s="559"/>
      <c r="FLA334" s="559"/>
      <c r="FLB334" s="559"/>
      <c r="FLC334" s="559"/>
      <c r="FLD334" s="559"/>
      <c r="FLE334" s="559"/>
      <c r="FLF334" s="559"/>
      <c r="FLG334" s="559"/>
      <c r="FLH334" s="559"/>
      <c r="FLI334" s="559"/>
      <c r="FLJ334" s="559"/>
      <c r="FLK334" s="559"/>
      <c r="FLL334" s="559"/>
      <c r="FLM334" s="559"/>
      <c r="FLN334" s="559"/>
      <c r="FLO334" s="559"/>
      <c r="FLP334" s="559"/>
      <c r="FLQ334" s="559"/>
      <c r="FLR334" s="559"/>
      <c r="FLS334" s="559"/>
      <c r="FLT334" s="559"/>
      <c r="FLU334" s="559"/>
      <c r="FLV334" s="559"/>
      <c r="FLW334" s="559"/>
      <c r="FLX334" s="559"/>
      <c r="FLY334" s="559"/>
      <c r="FLZ334" s="559"/>
      <c r="FMA334" s="559"/>
      <c r="FMB334" s="559"/>
      <c r="FMC334" s="559"/>
      <c r="FMD334" s="559"/>
      <c r="FME334" s="559"/>
      <c r="FMF334" s="559"/>
      <c r="FMG334" s="559"/>
      <c r="FMH334" s="559"/>
      <c r="FMI334" s="559"/>
      <c r="FMJ334" s="559"/>
      <c r="FMK334" s="559"/>
      <c r="FML334" s="559"/>
      <c r="FMM334" s="559"/>
      <c r="FMN334" s="559"/>
      <c r="FMO334" s="559"/>
      <c r="FMP334" s="559"/>
      <c r="FMQ334" s="559"/>
      <c r="FMR334" s="559"/>
      <c r="FMS334" s="559"/>
      <c r="FMT334" s="559"/>
      <c r="FMU334" s="559"/>
      <c r="FMV334" s="559"/>
      <c r="FMW334" s="559"/>
      <c r="FMX334" s="559"/>
      <c r="FMY334" s="559"/>
      <c r="FMZ334" s="559"/>
      <c r="FNA334" s="559"/>
      <c r="FNB334" s="559"/>
      <c r="FNC334" s="559"/>
      <c r="FND334" s="559"/>
      <c r="FNE334" s="559"/>
      <c r="FNF334" s="559"/>
      <c r="FNG334" s="559"/>
      <c r="FNH334" s="559"/>
      <c r="FNI334" s="559"/>
      <c r="FNJ334" s="559"/>
      <c r="FNK334" s="559"/>
      <c r="FNL334" s="559"/>
      <c r="FNM334" s="559"/>
      <c r="FNN334" s="559"/>
      <c r="FNO334" s="559"/>
      <c r="FNP334" s="559"/>
      <c r="FNQ334" s="559"/>
      <c r="FNR334" s="559"/>
      <c r="FNS334" s="559"/>
      <c r="FNT334" s="559"/>
      <c r="FNU334" s="559"/>
      <c r="FNV334" s="559"/>
      <c r="FNW334" s="559"/>
      <c r="FNX334" s="559"/>
      <c r="FNY334" s="559"/>
      <c r="FNZ334" s="559"/>
      <c r="FOA334" s="559"/>
      <c r="FOB334" s="559"/>
      <c r="FOC334" s="559"/>
      <c r="FOD334" s="559"/>
      <c r="FOE334" s="559"/>
      <c r="FOF334" s="559"/>
      <c r="FOG334" s="559"/>
      <c r="FOH334" s="559"/>
      <c r="FOI334" s="559"/>
      <c r="FOJ334" s="559"/>
      <c r="FOK334" s="559"/>
      <c r="FOL334" s="559"/>
      <c r="FOM334" s="559"/>
      <c r="FON334" s="559"/>
      <c r="FOO334" s="559"/>
      <c r="FOP334" s="559"/>
      <c r="FOQ334" s="559"/>
      <c r="FOR334" s="559"/>
      <c r="FOS334" s="559"/>
      <c r="FOT334" s="559"/>
      <c r="FOU334" s="559"/>
      <c r="FOV334" s="559"/>
      <c r="FOW334" s="559"/>
      <c r="FOX334" s="559"/>
      <c r="FOY334" s="559"/>
      <c r="FOZ334" s="559"/>
      <c r="FPA334" s="559"/>
      <c r="FPB334" s="559"/>
      <c r="FPC334" s="559"/>
      <c r="FPD334" s="559"/>
      <c r="FPE334" s="559"/>
      <c r="FPF334" s="559"/>
      <c r="FPG334" s="559"/>
      <c r="FPH334" s="559"/>
      <c r="FPI334" s="559"/>
      <c r="FPJ334" s="559"/>
      <c r="FPK334" s="559"/>
      <c r="FPL334" s="559"/>
      <c r="FPM334" s="559"/>
      <c r="FPN334" s="559"/>
      <c r="FPO334" s="559"/>
      <c r="FPP334" s="559"/>
      <c r="FPQ334" s="559"/>
      <c r="FPR334" s="559"/>
      <c r="FPS334" s="559"/>
      <c r="FPT334" s="559"/>
      <c r="FPU334" s="559"/>
      <c r="FPV334" s="559"/>
      <c r="FPW334" s="559"/>
      <c r="FPX334" s="559"/>
      <c r="FPY334" s="559"/>
      <c r="FPZ334" s="559"/>
      <c r="FQA334" s="559"/>
      <c r="FQB334" s="559"/>
      <c r="FQC334" s="559"/>
      <c r="FQD334" s="559"/>
      <c r="FQE334" s="559"/>
      <c r="FQF334" s="559"/>
      <c r="FQG334" s="559"/>
      <c r="FQH334" s="559"/>
      <c r="FQI334" s="559"/>
      <c r="FQJ334" s="559"/>
      <c r="FQK334" s="559"/>
      <c r="FQL334" s="559"/>
      <c r="FQM334" s="559"/>
      <c r="FQN334" s="559"/>
      <c r="FQO334" s="559"/>
      <c r="FQP334" s="559"/>
      <c r="FQQ334" s="559"/>
      <c r="FQR334" s="559"/>
      <c r="FQS334" s="559"/>
      <c r="FQT334" s="559"/>
      <c r="FQU334" s="559"/>
      <c r="FQV334" s="559"/>
      <c r="FQW334" s="559"/>
      <c r="FQX334" s="559"/>
      <c r="FQY334" s="559"/>
      <c r="FQZ334" s="559"/>
      <c r="FRA334" s="559"/>
      <c r="FRB334" s="559"/>
      <c r="FRC334" s="559"/>
      <c r="FRD334" s="559"/>
      <c r="FRE334" s="559"/>
      <c r="FRF334" s="559"/>
      <c r="FRG334" s="559"/>
      <c r="FRH334" s="559"/>
      <c r="FRI334" s="559"/>
      <c r="FRJ334" s="559"/>
      <c r="FRK334" s="559"/>
      <c r="FRL334" s="559"/>
      <c r="FRM334" s="559"/>
      <c r="FRN334" s="559"/>
      <c r="FRO334" s="559"/>
      <c r="FRP334" s="559"/>
      <c r="FRQ334" s="559"/>
      <c r="FRR334" s="559"/>
      <c r="FRS334" s="559"/>
      <c r="FRT334" s="559"/>
      <c r="FRU334" s="559"/>
      <c r="FRV334" s="559"/>
      <c r="FRW334" s="559"/>
      <c r="FRX334" s="559"/>
      <c r="FRY334" s="559"/>
      <c r="FRZ334" s="559"/>
      <c r="FSA334" s="559"/>
      <c r="FSB334" s="559"/>
      <c r="FSC334" s="559"/>
      <c r="FSD334" s="559"/>
      <c r="FSE334" s="559"/>
      <c r="FSF334" s="559"/>
      <c r="FSG334" s="559"/>
      <c r="FSH334" s="559"/>
      <c r="FSI334" s="559"/>
      <c r="FSJ334" s="559"/>
      <c r="FSK334" s="559"/>
      <c r="FSL334" s="559"/>
      <c r="FSM334" s="559"/>
      <c r="FSN334" s="559"/>
      <c r="FSO334" s="559"/>
      <c r="FSP334" s="559"/>
      <c r="FSQ334" s="559"/>
      <c r="FSR334" s="559"/>
      <c r="FSS334" s="559"/>
      <c r="FST334" s="559"/>
      <c r="FSU334" s="559"/>
      <c r="FSV334" s="559"/>
      <c r="FSW334" s="559"/>
      <c r="FSX334" s="559"/>
      <c r="FSY334" s="559"/>
      <c r="FSZ334" s="559"/>
      <c r="FTA334" s="559"/>
      <c r="FTB334" s="559"/>
      <c r="FTC334" s="559"/>
      <c r="FTD334" s="559"/>
      <c r="FTE334" s="559"/>
      <c r="FTF334" s="559"/>
      <c r="FTG334" s="559"/>
      <c r="FTH334" s="559"/>
      <c r="FTI334" s="559"/>
      <c r="FTJ334" s="559"/>
      <c r="FTK334" s="559"/>
      <c r="FTL334" s="559"/>
      <c r="FTM334" s="559"/>
      <c r="FTN334" s="559"/>
      <c r="FTO334" s="559"/>
      <c r="FTP334" s="559"/>
      <c r="FTQ334" s="559"/>
      <c r="FTR334" s="559"/>
      <c r="FTS334" s="559"/>
      <c r="FTT334" s="559"/>
      <c r="FTU334" s="559"/>
      <c r="FTV334" s="559"/>
      <c r="FTW334" s="559"/>
      <c r="FTX334" s="559"/>
      <c r="FTY334" s="559"/>
      <c r="FTZ334" s="559"/>
      <c r="FUA334" s="559"/>
      <c r="FUB334" s="559"/>
      <c r="FUC334" s="559"/>
      <c r="FUD334" s="559"/>
      <c r="FUE334" s="559"/>
      <c r="FUF334" s="559"/>
      <c r="FUG334" s="559"/>
      <c r="FUH334" s="559"/>
      <c r="FUI334" s="559"/>
      <c r="FUJ334" s="559"/>
      <c r="FUK334" s="559"/>
      <c r="FUL334" s="559"/>
      <c r="FUM334" s="559"/>
      <c r="FUN334" s="559"/>
      <c r="FUO334" s="559"/>
      <c r="FUP334" s="559"/>
      <c r="FUQ334" s="559"/>
      <c r="FUR334" s="559"/>
      <c r="FUS334" s="559"/>
      <c r="FUT334" s="559"/>
      <c r="FUU334" s="559"/>
      <c r="FUV334" s="559"/>
      <c r="FUW334" s="559"/>
      <c r="FUX334" s="559"/>
      <c r="FUY334" s="559"/>
      <c r="FUZ334" s="559"/>
      <c r="FVA334" s="559"/>
      <c r="FVB334" s="559"/>
      <c r="FVC334" s="559"/>
      <c r="FVD334" s="559"/>
      <c r="FVE334" s="559"/>
      <c r="FVF334" s="559"/>
      <c r="FVG334" s="559"/>
      <c r="FVH334" s="559"/>
      <c r="FVI334" s="559"/>
      <c r="FVJ334" s="559"/>
      <c r="FVK334" s="559"/>
      <c r="FVL334" s="559"/>
      <c r="FVM334" s="559"/>
      <c r="FVN334" s="559"/>
      <c r="FVO334" s="559"/>
      <c r="FVP334" s="559"/>
      <c r="FVQ334" s="559"/>
      <c r="FVR334" s="559"/>
      <c r="FVS334" s="559"/>
      <c r="FVT334" s="559"/>
      <c r="FVU334" s="559"/>
      <c r="FVV334" s="559"/>
      <c r="FVW334" s="559"/>
      <c r="FVX334" s="559"/>
      <c r="FVY334" s="559"/>
      <c r="FVZ334" s="559"/>
      <c r="FWA334" s="559"/>
      <c r="FWB334" s="559"/>
      <c r="FWC334" s="559"/>
      <c r="FWD334" s="559"/>
      <c r="FWE334" s="559"/>
      <c r="FWF334" s="559"/>
      <c r="FWG334" s="559"/>
      <c r="FWH334" s="559"/>
      <c r="FWI334" s="559"/>
      <c r="FWJ334" s="559"/>
      <c r="FWK334" s="559"/>
      <c r="FWL334" s="559"/>
      <c r="FWM334" s="559"/>
      <c r="FWN334" s="559"/>
      <c r="FWO334" s="559"/>
      <c r="FWP334" s="559"/>
      <c r="FWQ334" s="559"/>
      <c r="FWR334" s="559"/>
      <c r="FWS334" s="559"/>
      <c r="FWT334" s="559"/>
      <c r="FWU334" s="559"/>
      <c r="FWV334" s="559"/>
      <c r="FWW334" s="559"/>
      <c r="FWX334" s="559"/>
      <c r="FWY334" s="559"/>
      <c r="FWZ334" s="559"/>
      <c r="FXA334" s="559"/>
      <c r="FXB334" s="559"/>
      <c r="FXC334" s="559"/>
      <c r="FXD334" s="559"/>
      <c r="FXE334" s="559"/>
      <c r="FXF334" s="559"/>
      <c r="FXG334" s="559"/>
      <c r="FXH334" s="559"/>
      <c r="FXI334" s="559"/>
      <c r="FXJ334" s="559"/>
      <c r="FXK334" s="559"/>
      <c r="FXL334" s="559"/>
      <c r="FXM334" s="559"/>
      <c r="FXN334" s="559"/>
      <c r="FXO334" s="559"/>
      <c r="FXP334" s="559"/>
      <c r="FXQ334" s="559"/>
      <c r="FXR334" s="559"/>
      <c r="FXS334" s="559"/>
      <c r="FXT334" s="559"/>
      <c r="FXU334" s="559"/>
      <c r="FXV334" s="559"/>
      <c r="FXW334" s="559"/>
      <c r="FXX334" s="559"/>
      <c r="FXY334" s="559"/>
      <c r="FXZ334" s="559"/>
      <c r="FYA334" s="559"/>
      <c r="FYB334" s="559"/>
      <c r="FYC334" s="559"/>
      <c r="FYD334" s="559"/>
      <c r="FYE334" s="559"/>
      <c r="FYF334" s="559"/>
      <c r="FYG334" s="559"/>
      <c r="FYH334" s="559"/>
      <c r="FYI334" s="559"/>
      <c r="FYJ334" s="559"/>
      <c r="FYK334" s="559"/>
      <c r="FYL334" s="559"/>
      <c r="FYM334" s="559"/>
      <c r="FYN334" s="559"/>
      <c r="FYO334" s="559"/>
      <c r="FYP334" s="559"/>
      <c r="FYQ334" s="559"/>
      <c r="FYR334" s="559"/>
      <c r="FYS334" s="559"/>
      <c r="FYT334" s="559"/>
      <c r="FYU334" s="559"/>
      <c r="FYV334" s="559"/>
      <c r="FYW334" s="559"/>
      <c r="FYX334" s="559"/>
      <c r="FYY334" s="559"/>
      <c r="FYZ334" s="559"/>
      <c r="FZA334" s="559"/>
      <c r="FZB334" s="559"/>
      <c r="FZC334" s="559"/>
      <c r="FZD334" s="559"/>
      <c r="FZE334" s="559"/>
      <c r="FZF334" s="559"/>
      <c r="FZG334" s="559"/>
      <c r="FZH334" s="559"/>
      <c r="FZI334" s="559"/>
      <c r="FZJ334" s="559"/>
      <c r="FZK334" s="559"/>
      <c r="FZL334" s="559"/>
      <c r="FZM334" s="559"/>
      <c r="FZN334" s="559"/>
      <c r="FZO334" s="559"/>
      <c r="FZP334" s="559"/>
      <c r="FZQ334" s="559"/>
      <c r="FZR334" s="559"/>
      <c r="FZS334" s="559"/>
      <c r="FZT334" s="559"/>
      <c r="FZU334" s="559"/>
      <c r="FZV334" s="559"/>
      <c r="FZW334" s="559"/>
      <c r="FZX334" s="559"/>
      <c r="FZY334" s="559"/>
      <c r="FZZ334" s="559"/>
      <c r="GAA334" s="559"/>
      <c r="GAB334" s="559"/>
      <c r="GAC334" s="559"/>
      <c r="GAD334" s="559"/>
      <c r="GAE334" s="559"/>
      <c r="GAF334" s="559"/>
      <c r="GAG334" s="559"/>
      <c r="GAH334" s="559"/>
      <c r="GAI334" s="559"/>
      <c r="GAJ334" s="559"/>
      <c r="GAK334" s="559"/>
      <c r="GAL334" s="559"/>
      <c r="GAM334" s="559"/>
      <c r="GAN334" s="559"/>
      <c r="GAO334" s="559"/>
      <c r="GAP334" s="559"/>
      <c r="GAQ334" s="559"/>
      <c r="GAR334" s="559"/>
      <c r="GAS334" s="559"/>
      <c r="GAT334" s="559"/>
      <c r="GAU334" s="559"/>
      <c r="GAV334" s="559"/>
      <c r="GAW334" s="559"/>
      <c r="GAX334" s="559"/>
      <c r="GAY334" s="559"/>
      <c r="GAZ334" s="559"/>
      <c r="GBA334" s="559"/>
      <c r="GBB334" s="559"/>
      <c r="GBC334" s="559"/>
      <c r="GBD334" s="559"/>
      <c r="GBE334" s="559"/>
      <c r="GBF334" s="559"/>
      <c r="GBG334" s="559"/>
      <c r="GBH334" s="559"/>
      <c r="GBI334" s="559"/>
      <c r="GBJ334" s="559"/>
      <c r="GBK334" s="559"/>
      <c r="GBL334" s="559"/>
      <c r="GBM334" s="559"/>
      <c r="GBN334" s="559"/>
      <c r="GBO334" s="559"/>
      <c r="GBP334" s="559"/>
      <c r="GBQ334" s="559"/>
      <c r="GBR334" s="559"/>
      <c r="GBS334" s="559"/>
      <c r="GBT334" s="559"/>
      <c r="GBU334" s="559"/>
      <c r="GBV334" s="559"/>
      <c r="GBW334" s="559"/>
      <c r="GBX334" s="559"/>
      <c r="GBY334" s="559"/>
      <c r="GBZ334" s="559"/>
      <c r="GCA334" s="559"/>
      <c r="GCB334" s="559"/>
      <c r="GCC334" s="559"/>
      <c r="GCD334" s="559"/>
      <c r="GCE334" s="559"/>
      <c r="GCF334" s="559"/>
      <c r="GCG334" s="559"/>
      <c r="GCH334" s="559"/>
      <c r="GCI334" s="559"/>
      <c r="GCJ334" s="559"/>
      <c r="GCK334" s="559"/>
      <c r="GCL334" s="559"/>
      <c r="GCM334" s="559"/>
      <c r="GCN334" s="559"/>
      <c r="GCO334" s="559"/>
      <c r="GCP334" s="559"/>
      <c r="GCQ334" s="559"/>
      <c r="GCR334" s="559"/>
      <c r="GCS334" s="559"/>
      <c r="GCT334" s="559"/>
      <c r="GCU334" s="559"/>
      <c r="GCV334" s="559"/>
      <c r="GCW334" s="559"/>
      <c r="GCX334" s="559"/>
      <c r="GCY334" s="559"/>
      <c r="GCZ334" s="559"/>
      <c r="GDA334" s="559"/>
      <c r="GDB334" s="559"/>
      <c r="GDC334" s="559"/>
      <c r="GDD334" s="559"/>
      <c r="GDE334" s="559"/>
      <c r="GDF334" s="559"/>
      <c r="GDG334" s="559"/>
      <c r="GDH334" s="559"/>
      <c r="GDI334" s="559"/>
      <c r="GDJ334" s="559"/>
      <c r="GDK334" s="559"/>
      <c r="GDL334" s="559"/>
      <c r="GDM334" s="559"/>
      <c r="GDN334" s="559"/>
      <c r="GDO334" s="559"/>
      <c r="GDP334" s="559"/>
      <c r="GDQ334" s="559"/>
      <c r="GDR334" s="559"/>
      <c r="GDS334" s="559"/>
      <c r="GDT334" s="559"/>
      <c r="GDU334" s="559"/>
      <c r="GDV334" s="559"/>
      <c r="GDW334" s="559"/>
      <c r="GDX334" s="559"/>
      <c r="GDY334" s="559"/>
      <c r="GDZ334" s="559"/>
      <c r="GEA334" s="559"/>
      <c r="GEB334" s="559"/>
      <c r="GEC334" s="559"/>
      <c r="GED334" s="559"/>
      <c r="GEE334" s="559"/>
      <c r="GEF334" s="559"/>
      <c r="GEG334" s="559"/>
      <c r="GEH334" s="559"/>
      <c r="GEI334" s="559"/>
      <c r="GEJ334" s="559"/>
      <c r="GEK334" s="559"/>
      <c r="GEL334" s="559"/>
      <c r="GEM334" s="559"/>
      <c r="GEN334" s="559"/>
      <c r="GEO334" s="559"/>
      <c r="GEP334" s="559"/>
      <c r="GEQ334" s="559"/>
      <c r="GER334" s="559"/>
      <c r="GES334" s="559"/>
      <c r="GET334" s="559"/>
      <c r="GEU334" s="559"/>
      <c r="GEV334" s="559"/>
      <c r="GEW334" s="559"/>
      <c r="GEX334" s="559"/>
      <c r="GEY334" s="559"/>
      <c r="GEZ334" s="559"/>
      <c r="GFA334" s="559"/>
      <c r="GFB334" s="559"/>
      <c r="GFC334" s="559"/>
      <c r="GFD334" s="559"/>
      <c r="GFE334" s="559"/>
      <c r="GFF334" s="559"/>
      <c r="GFG334" s="559"/>
      <c r="GFH334" s="559"/>
      <c r="GFI334" s="559"/>
      <c r="GFJ334" s="559"/>
      <c r="GFK334" s="559"/>
      <c r="GFL334" s="559"/>
      <c r="GFM334" s="559"/>
      <c r="GFN334" s="559"/>
      <c r="GFO334" s="559"/>
      <c r="GFP334" s="559"/>
      <c r="GFQ334" s="559"/>
      <c r="GFR334" s="559"/>
      <c r="GFS334" s="559"/>
      <c r="GFT334" s="559"/>
      <c r="GFU334" s="559"/>
      <c r="GFV334" s="559"/>
      <c r="GFW334" s="559"/>
      <c r="GFX334" s="559"/>
      <c r="GFY334" s="559"/>
      <c r="GFZ334" s="559"/>
      <c r="GGA334" s="559"/>
      <c r="GGB334" s="559"/>
      <c r="GGC334" s="559"/>
      <c r="GGD334" s="559"/>
      <c r="GGE334" s="559"/>
      <c r="GGF334" s="559"/>
      <c r="GGG334" s="559"/>
      <c r="GGH334" s="559"/>
      <c r="GGI334" s="559"/>
      <c r="GGJ334" s="559"/>
      <c r="GGK334" s="559"/>
      <c r="GGL334" s="559"/>
      <c r="GGM334" s="559"/>
      <c r="GGN334" s="559"/>
      <c r="GGO334" s="559"/>
      <c r="GGP334" s="559"/>
      <c r="GGQ334" s="559"/>
      <c r="GGR334" s="559"/>
      <c r="GGS334" s="559"/>
      <c r="GGT334" s="559"/>
      <c r="GGU334" s="559"/>
      <c r="GGV334" s="559"/>
      <c r="GGW334" s="559"/>
      <c r="GGX334" s="559"/>
      <c r="GGY334" s="559"/>
      <c r="GGZ334" s="559"/>
      <c r="GHA334" s="559"/>
      <c r="GHB334" s="559"/>
      <c r="GHC334" s="559"/>
      <c r="GHD334" s="559"/>
      <c r="GHE334" s="559"/>
      <c r="GHF334" s="559"/>
      <c r="GHG334" s="559"/>
      <c r="GHH334" s="559"/>
      <c r="GHI334" s="559"/>
      <c r="GHJ334" s="559"/>
      <c r="GHK334" s="559"/>
      <c r="GHL334" s="559"/>
      <c r="GHM334" s="559"/>
      <c r="GHN334" s="559"/>
      <c r="GHO334" s="559"/>
      <c r="GHP334" s="559"/>
      <c r="GHQ334" s="559"/>
      <c r="GHR334" s="559"/>
      <c r="GHS334" s="559"/>
      <c r="GHT334" s="559"/>
      <c r="GHU334" s="559"/>
      <c r="GHV334" s="559"/>
      <c r="GHW334" s="559"/>
      <c r="GHX334" s="559"/>
      <c r="GHY334" s="559"/>
      <c r="GHZ334" s="559"/>
      <c r="GIA334" s="559"/>
      <c r="GIB334" s="559"/>
      <c r="GIC334" s="559"/>
      <c r="GID334" s="559"/>
      <c r="GIE334" s="559"/>
      <c r="GIF334" s="559"/>
      <c r="GIG334" s="559"/>
      <c r="GIH334" s="559"/>
      <c r="GII334" s="559"/>
      <c r="GIJ334" s="559"/>
      <c r="GIK334" s="559"/>
      <c r="GIL334" s="559"/>
      <c r="GIM334" s="559"/>
      <c r="GIN334" s="559"/>
      <c r="GIO334" s="559"/>
      <c r="GIP334" s="559"/>
      <c r="GIQ334" s="559"/>
      <c r="GIR334" s="559"/>
      <c r="GIS334" s="559"/>
      <c r="GIT334" s="559"/>
      <c r="GIU334" s="559"/>
      <c r="GIV334" s="559"/>
      <c r="GIW334" s="559"/>
      <c r="GIX334" s="559"/>
      <c r="GIY334" s="559"/>
      <c r="GIZ334" s="559"/>
      <c r="GJA334" s="559"/>
      <c r="GJB334" s="559"/>
      <c r="GJC334" s="559"/>
      <c r="GJD334" s="559"/>
      <c r="GJE334" s="559"/>
      <c r="GJF334" s="559"/>
      <c r="GJG334" s="559"/>
      <c r="GJH334" s="559"/>
      <c r="GJI334" s="559"/>
      <c r="GJJ334" s="559"/>
      <c r="GJK334" s="559"/>
      <c r="GJL334" s="559"/>
      <c r="GJM334" s="559"/>
      <c r="GJN334" s="559"/>
      <c r="GJO334" s="559"/>
      <c r="GJP334" s="559"/>
      <c r="GJQ334" s="559"/>
      <c r="GJR334" s="559"/>
      <c r="GJS334" s="559"/>
      <c r="GJT334" s="559"/>
      <c r="GJU334" s="559"/>
      <c r="GJV334" s="559"/>
      <c r="GJW334" s="559"/>
      <c r="GJX334" s="559"/>
      <c r="GJY334" s="559"/>
      <c r="GJZ334" s="559"/>
      <c r="GKA334" s="559"/>
      <c r="GKB334" s="559"/>
      <c r="GKC334" s="559"/>
      <c r="GKD334" s="559"/>
      <c r="GKE334" s="559"/>
      <c r="GKF334" s="559"/>
      <c r="GKG334" s="559"/>
      <c r="GKH334" s="559"/>
      <c r="GKI334" s="559"/>
      <c r="GKJ334" s="559"/>
      <c r="GKK334" s="559"/>
      <c r="GKL334" s="559"/>
      <c r="GKM334" s="559"/>
      <c r="GKN334" s="559"/>
      <c r="GKO334" s="559"/>
      <c r="GKP334" s="559"/>
      <c r="GKQ334" s="559"/>
      <c r="GKR334" s="559"/>
      <c r="GKS334" s="559"/>
      <c r="GKT334" s="559"/>
      <c r="GKU334" s="559"/>
      <c r="GKV334" s="559"/>
      <c r="GKW334" s="559"/>
      <c r="GKX334" s="559"/>
      <c r="GKY334" s="559"/>
      <c r="GKZ334" s="559"/>
      <c r="GLA334" s="559"/>
      <c r="GLB334" s="559"/>
      <c r="GLC334" s="559"/>
      <c r="GLD334" s="559"/>
      <c r="GLE334" s="559"/>
      <c r="GLF334" s="559"/>
      <c r="GLG334" s="559"/>
      <c r="GLH334" s="559"/>
      <c r="GLI334" s="559"/>
      <c r="GLJ334" s="559"/>
      <c r="GLK334" s="559"/>
      <c r="GLL334" s="559"/>
      <c r="GLM334" s="559"/>
      <c r="GLN334" s="559"/>
      <c r="GLO334" s="559"/>
      <c r="GLP334" s="559"/>
      <c r="GLQ334" s="559"/>
      <c r="GLR334" s="559"/>
      <c r="GLS334" s="559"/>
      <c r="GLT334" s="559"/>
      <c r="GLU334" s="559"/>
      <c r="GLV334" s="559"/>
      <c r="GLW334" s="559"/>
      <c r="GLX334" s="559"/>
      <c r="GLY334" s="559"/>
      <c r="GLZ334" s="559"/>
      <c r="GMA334" s="559"/>
      <c r="GMB334" s="559"/>
      <c r="GMC334" s="559"/>
      <c r="GMD334" s="559"/>
      <c r="GME334" s="559"/>
      <c r="GMF334" s="559"/>
      <c r="GMG334" s="559"/>
      <c r="GMH334" s="559"/>
      <c r="GMI334" s="559"/>
      <c r="GMJ334" s="559"/>
      <c r="GMK334" s="559"/>
      <c r="GML334" s="559"/>
      <c r="GMM334" s="559"/>
      <c r="GMN334" s="559"/>
      <c r="GMO334" s="559"/>
      <c r="GMP334" s="559"/>
      <c r="GMQ334" s="559"/>
      <c r="GMR334" s="559"/>
      <c r="GMS334" s="559"/>
      <c r="GMT334" s="559"/>
      <c r="GMU334" s="559"/>
      <c r="GMV334" s="559"/>
      <c r="GMW334" s="559"/>
      <c r="GMX334" s="559"/>
      <c r="GMY334" s="559"/>
      <c r="GMZ334" s="559"/>
      <c r="GNA334" s="559"/>
      <c r="GNB334" s="559"/>
      <c r="GNC334" s="559"/>
      <c r="GND334" s="559"/>
      <c r="GNE334" s="559"/>
      <c r="GNF334" s="559"/>
      <c r="GNG334" s="559"/>
      <c r="GNH334" s="559"/>
      <c r="GNI334" s="559"/>
      <c r="GNJ334" s="559"/>
      <c r="GNK334" s="559"/>
      <c r="GNL334" s="559"/>
      <c r="GNM334" s="559"/>
      <c r="GNN334" s="559"/>
      <c r="GNO334" s="559"/>
      <c r="GNP334" s="559"/>
      <c r="GNQ334" s="559"/>
      <c r="GNR334" s="559"/>
      <c r="GNS334" s="559"/>
      <c r="GNT334" s="559"/>
      <c r="GNU334" s="559"/>
      <c r="GNV334" s="559"/>
      <c r="GNW334" s="559"/>
      <c r="GNX334" s="559"/>
      <c r="GNY334" s="559"/>
      <c r="GNZ334" s="559"/>
      <c r="GOA334" s="559"/>
      <c r="GOB334" s="559"/>
      <c r="GOC334" s="559"/>
      <c r="GOD334" s="559"/>
      <c r="GOE334" s="559"/>
      <c r="GOF334" s="559"/>
      <c r="GOG334" s="559"/>
      <c r="GOH334" s="559"/>
      <c r="GOI334" s="559"/>
      <c r="GOJ334" s="559"/>
      <c r="GOK334" s="559"/>
      <c r="GOL334" s="559"/>
      <c r="GOM334" s="559"/>
      <c r="GON334" s="559"/>
      <c r="GOO334" s="559"/>
      <c r="GOP334" s="559"/>
      <c r="GOQ334" s="559"/>
      <c r="GOR334" s="559"/>
      <c r="GOS334" s="559"/>
      <c r="GOT334" s="559"/>
      <c r="GOU334" s="559"/>
      <c r="GOV334" s="559"/>
      <c r="GOW334" s="559"/>
      <c r="GOX334" s="559"/>
      <c r="GOY334" s="559"/>
      <c r="GOZ334" s="559"/>
      <c r="GPA334" s="559"/>
      <c r="GPB334" s="559"/>
      <c r="GPC334" s="559"/>
      <c r="GPD334" s="559"/>
      <c r="GPE334" s="559"/>
      <c r="GPF334" s="559"/>
      <c r="GPG334" s="559"/>
      <c r="GPH334" s="559"/>
      <c r="GPI334" s="559"/>
      <c r="GPJ334" s="559"/>
      <c r="GPK334" s="559"/>
      <c r="GPL334" s="559"/>
      <c r="GPM334" s="559"/>
      <c r="GPN334" s="559"/>
      <c r="GPO334" s="559"/>
      <c r="GPP334" s="559"/>
      <c r="GPQ334" s="559"/>
      <c r="GPR334" s="559"/>
      <c r="GPS334" s="559"/>
      <c r="GPT334" s="559"/>
      <c r="GPU334" s="559"/>
      <c r="GPV334" s="559"/>
      <c r="GPW334" s="559"/>
      <c r="GPX334" s="559"/>
      <c r="GPY334" s="559"/>
      <c r="GPZ334" s="559"/>
      <c r="GQA334" s="559"/>
      <c r="GQB334" s="559"/>
      <c r="GQC334" s="559"/>
      <c r="GQD334" s="559"/>
      <c r="GQE334" s="559"/>
      <c r="GQF334" s="559"/>
      <c r="GQG334" s="559"/>
      <c r="GQH334" s="559"/>
      <c r="GQI334" s="559"/>
      <c r="GQJ334" s="559"/>
      <c r="GQK334" s="559"/>
      <c r="GQL334" s="559"/>
      <c r="GQM334" s="559"/>
      <c r="GQN334" s="559"/>
      <c r="GQO334" s="559"/>
      <c r="GQP334" s="559"/>
      <c r="GQQ334" s="559"/>
      <c r="GQR334" s="559"/>
      <c r="GQS334" s="559"/>
      <c r="GQT334" s="559"/>
      <c r="GQU334" s="559"/>
      <c r="GQV334" s="559"/>
      <c r="GQW334" s="559"/>
      <c r="GQX334" s="559"/>
      <c r="GQY334" s="559"/>
      <c r="GQZ334" s="559"/>
      <c r="GRA334" s="559"/>
      <c r="GRB334" s="559"/>
      <c r="GRC334" s="559"/>
      <c r="GRD334" s="559"/>
      <c r="GRE334" s="559"/>
      <c r="GRF334" s="559"/>
      <c r="GRG334" s="559"/>
      <c r="GRH334" s="559"/>
      <c r="GRI334" s="559"/>
      <c r="GRJ334" s="559"/>
      <c r="GRK334" s="559"/>
      <c r="GRL334" s="559"/>
      <c r="GRM334" s="559"/>
      <c r="GRN334" s="559"/>
      <c r="GRO334" s="559"/>
      <c r="GRP334" s="559"/>
      <c r="GRQ334" s="559"/>
      <c r="GRR334" s="559"/>
      <c r="GRS334" s="559"/>
      <c r="GRT334" s="559"/>
      <c r="GRU334" s="559"/>
      <c r="GRV334" s="559"/>
      <c r="GRW334" s="559"/>
      <c r="GRX334" s="559"/>
      <c r="GRY334" s="559"/>
      <c r="GRZ334" s="559"/>
      <c r="GSA334" s="559"/>
      <c r="GSB334" s="559"/>
      <c r="GSC334" s="559"/>
      <c r="GSD334" s="559"/>
      <c r="GSE334" s="559"/>
      <c r="GSF334" s="559"/>
      <c r="GSG334" s="559"/>
      <c r="GSH334" s="559"/>
      <c r="GSI334" s="559"/>
      <c r="GSJ334" s="559"/>
      <c r="GSK334" s="559"/>
      <c r="GSL334" s="559"/>
      <c r="GSM334" s="559"/>
      <c r="GSN334" s="559"/>
      <c r="GSO334" s="559"/>
      <c r="GSP334" s="559"/>
      <c r="GSQ334" s="559"/>
      <c r="GSR334" s="559"/>
      <c r="GSS334" s="559"/>
      <c r="GST334" s="559"/>
      <c r="GSU334" s="559"/>
      <c r="GSV334" s="559"/>
      <c r="GSW334" s="559"/>
      <c r="GSX334" s="559"/>
      <c r="GSY334" s="559"/>
      <c r="GSZ334" s="559"/>
      <c r="GTA334" s="559"/>
      <c r="GTB334" s="559"/>
      <c r="GTC334" s="559"/>
      <c r="GTD334" s="559"/>
      <c r="GTE334" s="559"/>
      <c r="GTF334" s="559"/>
      <c r="GTG334" s="559"/>
      <c r="GTH334" s="559"/>
      <c r="GTI334" s="559"/>
      <c r="GTJ334" s="559"/>
      <c r="GTK334" s="559"/>
      <c r="GTL334" s="559"/>
      <c r="GTM334" s="559"/>
      <c r="GTN334" s="559"/>
      <c r="GTO334" s="559"/>
      <c r="GTP334" s="559"/>
      <c r="GTQ334" s="559"/>
      <c r="GTR334" s="559"/>
      <c r="GTS334" s="559"/>
      <c r="GTT334" s="559"/>
      <c r="GTU334" s="559"/>
      <c r="GTV334" s="559"/>
      <c r="GTW334" s="559"/>
      <c r="GTX334" s="559"/>
      <c r="GTY334" s="559"/>
      <c r="GTZ334" s="559"/>
      <c r="GUA334" s="559"/>
      <c r="GUB334" s="559"/>
      <c r="GUC334" s="559"/>
      <c r="GUD334" s="559"/>
      <c r="GUE334" s="559"/>
      <c r="GUF334" s="559"/>
      <c r="GUG334" s="559"/>
      <c r="GUH334" s="559"/>
      <c r="GUI334" s="559"/>
      <c r="GUJ334" s="559"/>
      <c r="GUK334" s="559"/>
      <c r="GUL334" s="559"/>
      <c r="GUM334" s="559"/>
      <c r="GUN334" s="559"/>
      <c r="GUO334" s="559"/>
      <c r="GUP334" s="559"/>
      <c r="GUQ334" s="559"/>
      <c r="GUR334" s="559"/>
      <c r="GUS334" s="559"/>
      <c r="GUT334" s="559"/>
      <c r="GUU334" s="559"/>
      <c r="GUV334" s="559"/>
      <c r="GUW334" s="559"/>
      <c r="GUX334" s="559"/>
      <c r="GUY334" s="559"/>
      <c r="GUZ334" s="559"/>
      <c r="GVA334" s="559"/>
      <c r="GVB334" s="559"/>
      <c r="GVC334" s="559"/>
      <c r="GVD334" s="559"/>
      <c r="GVE334" s="559"/>
      <c r="GVF334" s="559"/>
      <c r="GVG334" s="559"/>
      <c r="GVH334" s="559"/>
      <c r="GVI334" s="559"/>
      <c r="GVJ334" s="559"/>
      <c r="GVK334" s="559"/>
      <c r="GVL334" s="559"/>
      <c r="GVM334" s="559"/>
      <c r="GVN334" s="559"/>
      <c r="GVO334" s="559"/>
      <c r="GVP334" s="559"/>
      <c r="GVQ334" s="559"/>
      <c r="GVR334" s="559"/>
      <c r="GVS334" s="559"/>
      <c r="GVT334" s="559"/>
      <c r="GVU334" s="559"/>
      <c r="GVV334" s="559"/>
      <c r="GVW334" s="559"/>
      <c r="GVX334" s="559"/>
      <c r="GVY334" s="559"/>
      <c r="GVZ334" s="559"/>
      <c r="GWA334" s="559"/>
      <c r="GWB334" s="559"/>
      <c r="GWC334" s="559"/>
      <c r="GWD334" s="559"/>
      <c r="GWE334" s="559"/>
      <c r="GWF334" s="559"/>
      <c r="GWG334" s="559"/>
      <c r="GWH334" s="559"/>
      <c r="GWI334" s="559"/>
      <c r="GWJ334" s="559"/>
      <c r="GWK334" s="559"/>
      <c r="GWL334" s="559"/>
      <c r="GWM334" s="559"/>
      <c r="GWN334" s="559"/>
      <c r="GWO334" s="559"/>
      <c r="GWP334" s="559"/>
      <c r="GWQ334" s="559"/>
      <c r="GWR334" s="559"/>
      <c r="GWS334" s="559"/>
      <c r="GWT334" s="559"/>
      <c r="GWU334" s="559"/>
      <c r="GWV334" s="559"/>
      <c r="GWW334" s="559"/>
      <c r="GWX334" s="559"/>
      <c r="GWY334" s="559"/>
      <c r="GWZ334" s="559"/>
      <c r="GXA334" s="559"/>
      <c r="GXB334" s="559"/>
      <c r="GXC334" s="559"/>
      <c r="GXD334" s="559"/>
      <c r="GXE334" s="559"/>
      <c r="GXF334" s="559"/>
      <c r="GXG334" s="559"/>
      <c r="GXH334" s="559"/>
      <c r="GXI334" s="559"/>
      <c r="GXJ334" s="559"/>
      <c r="GXK334" s="559"/>
      <c r="GXL334" s="559"/>
      <c r="GXM334" s="559"/>
      <c r="GXN334" s="559"/>
      <c r="GXO334" s="559"/>
      <c r="GXP334" s="559"/>
      <c r="GXQ334" s="559"/>
      <c r="GXR334" s="559"/>
      <c r="GXS334" s="559"/>
      <c r="GXT334" s="559"/>
      <c r="GXU334" s="559"/>
      <c r="GXV334" s="559"/>
      <c r="GXW334" s="559"/>
      <c r="GXX334" s="559"/>
      <c r="GXY334" s="559"/>
      <c r="GXZ334" s="559"/>
      <c r="GYA334" s="559"/>
      <c r="GYB334" s="559"/>
      <c r="GYC334" s="559"/>
      <c r="GYD334" s="559"/>
      <c r="GYE334" s="559"/>
      <c r="GYF334" s="559"/>
      <c r="GYG334" s="559"/>
      <c r="GYH334" s="559"/>
      <c r="GYI334" s="559"/>
      <c r="GYJ334" s="559"/>
      <c r="GYK334" s="559"/>
      <c r="GYL334" s="559"/>
      <c r="GYM334" s="559"/>
      <c r="GYN334" s="559"/>
      <c r="GYO334" s="559"/>
      <c r="GYP334" s="559"/>
      <c r="GYQ334" s="559"/>
      <c r="GYR334" s="559"/>
      <c r="GYS334" s="559"/>
      <c r="GYT334" s="559"/>
      <c r="GYU334" s="559"/>
      <c r="GYV334" s="559"/>
      <c r="GYW334" s="559"/>
      <c r="GYX334" s="559"/>
      <c r="GYY334" s="559"/>
      <c r="GYZ334" s="559"/>
      <c r="GZA334" s="559"/>
      <c r="GZB334" s="559"/>
      <c r="GZC334" s="559"/>
      <c r="GZD334" s="559"/>
      <c r="GZE334" s="559"/>
      <c r="GZF334" s="559"/>
      <c r="GZG334" s="559"/>
      <c r="GZH334" s="559"/>
      <c r="GZI334" s="559"/>
      <c r="GZJ334" s="559"/>
      <c r="GZK334" s="559"/>
      <c r="GZL334" s="559"/>
      <c r="GZM334" s="559"/>
      <c r="GZN334" s="559"/>
      <c r="GZO334" s="559"/>
      <c r="GZP334" s="559"/>
      <c r="GZQ334" s="559"/>
      <c r="GZR334" s="559"/>
      <c r="GZS334" s="559"/>
      <c r="GZT334" s="559"/>
      <c r="GZU334" s="559"/>
      <c r="GZV334" s="559"/>
      <c r="GZW334" s="559"/>
      <c r="GZX334" s="559"/>
      <c r="GZY334" s="559"/>
      <c r="GZZ334" s="559"/>
      <c r="HAA334" s="559"/>
      <c r="HAB334" s="559"/>
      <c r="HAC334" s="559"/>
      <c r="HAD334" s="559"/>
      <c r="HAE334" s="559"/>
      <c r="HAF334" s="559"/>
      <c r="HAG334" s="559"/>
      <c r="HAH334" s="559"/>
      <c r="HAI334" s="559"/>
      <c r="HAJ334" s="559"/>
      <c r="HAK334" s="559"/>
      <c r="HAL334" s="559"/>
      <c r="HAM334" s="559"/>
      <c r="HAN334" s="559"/>
      <c r="HAO334" s="559"/>
      <c r="HAP334" s="559"/>
      <c r="HAQ334" s="559"/>
      <c r="HAR334" s="559"/>
      <c r="HAS334" s="559"/>
      <c r="HAT334" s="559"/>
      <c r="HAU334" s="559"/>
      <c r="HAV334" s="559"/>
      <c r="HAW334" s="559"/>
      <c r="HAX334" s="559"/>
      <c r="HAY334" s="559"/>
      <c r="HAZ334" s="559"/>
      <c r="HBA334" s="559"/>
      <c r="HBB334" s="559"/>
      <c r="HBC334" s="559"/>
      <c r="HBD334" s="559"/>
      <c r="HBE334" s="559"/>
      <c r="HBF334" s="559"/>
      <c r="HBG334" s="559"/>
      <c r="HBH334" s="559"/>
      <c r="HBI334" s="559"/>
      <c r="HBJ334" s="559"/>
      <c r="HBK334" s="559"/>
      <c r="HBL334" s="559"/>
      <c r="HBM334" s="559"/>
      <c r="HBN334" s="559"/>
      <c r="HBO334" s="559"/>
      <c r="HBP334" s="559"/>
      <c r="HBQ334" s="559"/>
      <c r="HBR334" s="559"/>
      <c r="HBS334" s="559"/>
      <c r="HBT334" s="559"/>
      <c r="HBU334" s="559"/>
      <c r="HBV334" s="559"/>
      <c r="HBW334" s="559"/>
      <c r="HBX334" s="559"/>
      <c r="HBY334" s="559"/>
      <c r="HBZ334" s="559"/>
      <c r="HCA334" s="559"/>
      <c r="HCB334" s="559"/>
      <c r="HCC334" s="559"/>
      <c r="HCD334" s="559"/>
      <c r="HCE334" s="559"/>
      <c r="HCF334" s="559"/>
      <c r="HCG334" s="559"/>
      <c r="HCH334" s="559"/>
      <c r="HCI334" s="559"/>
      <c r="HCJ334" s="559"/>
      <c r="HCK334" s="559"/>
      <c r="HCL334" s="559"/>
      <c r="HCM334" s="559"/>
      <c r="HCN334" s="559"/>
      <c r="HCO334" s="559"/>
      <c r="HCP334" s="559"/>
      <c r="HCQ334" s="559"/>
      <c r="HCR334" s="559"/>
      <c r="HCS334" s="559"/>
      <c r="HCT334" s="559"/>
      <c r="HCU334" s="559"/>
      <c r="HCV334" s="559"/>
      <c r="HCW334" s="559"/>
      <c r="HCX334" s="559"/>
      <c r="HCY334" s="559"/>
      <c r="HCZ334" s="559"/>
      <c r="HDA334" s="559"/>
      <c r="HDB334" s="559"/>
      <c r="HDC334" s="559"/>
      <c r="HDD334" s="559"/>
      <c r="HDE334" s="559"/>
      <c r="HDF334" s="559"/>
      <c r="HDG334" s="559"/>
      <c r="HDH334" s="559"/>
      <c r="HDI334" s="559"/>
      <c r="HDJ334" s="559"/>
      <c r="HDK334" s="559"/>
      <c r="HDL334" s="559"/>
      <c r="HDM334" s="559"/>
      <c r="HDN334" s="559"/>
      <c r="HDO334" s="559"/>
      <c r="HDP334" s="559"/>
      <c r="HDQ334" s="559"/>
      <c r="HDR334" s="559"/>
      <c r="HDS334" s="559"/>
      <c r="HDT334" s="559"/>
      <c r="HDU334" s="559"/>
      <c r="HDV334" s="559"/>
      <c r="HDW334" s="559"/>
      <c r="HDX334" s="559"/>
      <c r="HDY334" s="559"/>
      <c r="HDZ334" s="559"/>
      <c r="HEA334" s="559"/>
      <c r="HEB334" s="559"/>
      <c r="HEC334" s="559"/>
      <c r="HED334" s="559"/>
      <c r="HEE334" s="559"/>
      <c r="HEF334" s="559"/>
      <c r="HEG334" s="559"/>
      <c r="HEH334" s="559"/>
      <c r="HEI334" s="559"/>
      <c r="HEJ334" s="559"/>
      <c r="HEK334" s="559"/>
      <c r="HEL334" s="559"/>
      <c r="HEM334" s="559"/>
      <c r="HEN334" s="559"/>
      <c r="HEO334" s="559"/>
      <c r="HEP334" s="559"/>
      <c r="HEQ334" s="559"/>
      <c r="HER334" s="559"/>
      <c r="HES334" s="559"/>
      <c r="HET334" s="559"/>
      <c r="HEU334" s="559"/>
      <c r="HEV334" s="559"/>
      <c r="HEW334" s="559"/>
      <c r="HEX334" s="559"/>
      <c r="HEY334" s="559"/>
      <c r="HEZ334" s="559"/>
      <c r="HFA334" s="559"/>
      <c r="HFB334" s="559"/>
      <c r="HFC334" s="559"/>
      <c r="HFD334" s="559"/>
      <c r="HFE334" s="559"/>
      <c r="HFF334" s="559"/>
      <c r="HFG334" s="559"/>
      <c r="HFH334" s="559"/>
      <c r="HFI334" s="559"/>
      <c r="HFJ334" s="559"/>
      <c r="HFK334" s="559"/>
      <c r="HFL334" s="559"/>
      <c r="HFM334" s="559"/>
      <c r="HFN334" s="559"/>
      <c r="HFO334" s="559"/>
      <c r="HFP334" s="559"/>
      <c r="HFQ334" s="559"/>
      <c r="HFR334" s="559"/>
      <c r="HFS334" s="559"/>
      <c r="HFT334" s="559"/>
      <c r="HFU334" s="559"/>
      <c r="HFV334" s="559"/>
      <c r="HFW334" s="559"/>
      <c r="HFX334" s="559"/>
      <c r="HFY334" s="559"/>
      <c r="HFZ334" s="559"/>
      <c r="HGA334" s="559"/>
      <c r="HGB334" s="559"/>
      <c r="HGC334" s="559"/>
      <c r="HGD334" s="559"/>
      <c r="HGE334" s="559"/>
      <c r="HGF334" s="559"/>
      <c r="HGG334" s="559"/>
      <c r="HGH334" s="559"/>
      <c r="HGI334" s="559"/>
      <c r="HGJ334" s="559"/>
      <c r="HGK334" s="559"/>
      <c r="HGL334" s="559"/>
      <c r="HGM334" s="559"/>
      <c r="HGN334" s="559"/>
      <c r="HGO334" s="559"/>
      <c r="HGP334" s="559"/>
      <c r="HGQ334" s="559"/>
      <c r="HGR334" s="559"/>
      <c r="HGS334" s="559"/>
      <c r="HGT334" s="559"/>
      <c r="HGU334" s="559"/>
      <c r="HGV334" s="559"/>
      <c r="HGW334" s="559"/>
      <c r="HGX334" s="559"/>
      <c r="HGY334" s="559"/>
      <c r="HGZ334" s="559"/>
      <c r="HHA334" s="559"/>
      <c r="HHB334" s="559"/>
      <c r="HHC334" s="559"/>
      <c r="HHD334" s="559"/>
      <c r="HHE334" s="559"/>
      <c r="HHF334" s="559"/>
      <c r="HHG334" s="559"/>
      <c r="HHH334" s="559"/>
      <c r="HHI334" s="559"/>
      <c r="HHJ334" s="559"/>
      <c r="HHK334" s="559"/>
      <c r="HHL334" s="559"/>
      <c r="HHM334" s="559"/>
      <c r="HHN334" s="559"/>
      <c r="HHO334" s="559"/>
      <c r="HHP334" s="559"/>
      <c r="HHQ334" s="559"/>
      <c r="HHR334" s="559"/>
      <c r="HHS334" s="559"/>
      <c r="HHT334" s="559"/>
      <c r="HHU334" s="559"/>
      <c r="HHV334" s="559"/>
      <c r="HHW334" s="559"/>
      <c r="HHX334" s="559"/>
      <c r="HHY334" s="559"/>
      <c r="HHZ334" s="559"/>
      <c r="HIA334" s="559"/>
      <c r="HIB334" s="559"/>
      <c r="HIC334" s="559"/>
      <c r="HID334" s="559"/>
      <c r="HIE334" s="559"/>
      <c r="HIF334" s="559"/>
      <c r="HIG334" s="559"/>
      <c r="HIH334" s="559"/>
      <c r="HII334" s="559"/>
      <c r="HIJ334" s="559"/>
      <c r="HIK334" s="559"/>
      <c r="HIL334" s="559"/>
      <c r="HIM334" s="559"/>
      <c r="HIN334" s="559"/>
      <c r="HIO334" s="559"/>
      <c r="HIP334" s="559"/>
      <c r="HIQ334" s="559"/>
      <c r="HIR334" s="559"/>
      <c r="HIS334" s="559"/>
      <c r="HIT334" s="559"/>
      <c r="HIU334" s="559"/>
      <c r="HIV334" s="559"/>
      <c r="HIW334" s="559"/>
      <c r="HIX334" s="559"/>
      <c r="HIY334" s="559"/>
      <c r="HIZ334" s="559"/>
      <c r="HJA334" s="559"/>
      <c r="HJB334" s="559"/>
      <c r="HJC334" s="559"/>
      <c r="HJD334" s="559"/>
      <c r="HJE334" s="559"/>
      <c r="HJF334" s="559"/>
      <c r="HJG334" s="559"/>
      <c r="HJH334" s="559"/>
      <c r="HJI334" s="559"/>
      <c r="HJJ334" s="559"/>
      <c r="HJK334" s="559"/>
      <c r="HJL334" s="559"/>
      <c r="HJM334" s="559"/>
      <c r="HJN334" s="559"/>
      <c r="HJO334" s="559"/>
      <c r="HJP334" s="559"/>
      <c r="HJQ334" s="559"/>
      <c r="HJR334" s="559"/>
      <c r="HJS334" s="559"/>
      <c r="HJT334" s="559"/>
      <c r="HJU334" s="559"/>
      <c r="HJV334" s="559"/>
      <c r="HJW334" s="559"/>
      <c r="HJX334" s="559"/>
      <c r="HJY334" s="559"/>
      <c r="HJZ334" s="559"/>
      <c r="HKA334" s="559"/>
      <c r="HKB334" s="559"/>
      <c r="HKC334" s="559"/>
      <c r="HKD334" s="559"/>
      <c r="HKE334" s="559"/>
      <c r="HKF334" s="559"/>
      <c r="HKG334" s="559"/>
      <c r="HKH334" s="559"/>
      <c r="HKI334" s="559"/>
      <c r="HKJ334" s="559"/>
      <c r="HKK334" s="559"/>
      <c r="HKL334" s="559"/>
      <c r="HKM334" s="559"/>
      <c r="HKN334" s="559"/>
      <c r="HKO334" s="559"/>
      <c r="HKP334" s="559"/>
      <c r="HKQ334" s="559"/>
      <c r="HKR334" s="559"/>
      <c r="HKS334" s="559"/>
      <c r="HKT334" s="559"/>
      <c r="HKU334" s="559"/>
      <c r="HKV334" s="559"/>
      <c r="HKW334" s="559"/>
      <c r="HKX334" s="559"/>
      <c r="HKY334" s="559"/>
      <c r="HKZ334" s="559"/>
      <c r="HLA334" s="559"/>
      <c r="HLB334" s="559"/>
      <c r="HLC334" s="559"/>
      <c r="HLD334" s="559"/>
      <c r="HLE334" s="559"/>
      <c r="HLF334" s="559"/>
      <c r="HLG334" s="559"/>
      <c r="HLH334" s="559"/>
      <c r="HLI334" s="559"/>
      <c r="HLJ334" s="559"/>
      <c r="HLK334" s="559"/>
      <c r="HLL334" s="559"/>
      <c r="HLM334" s="559"/>
      <c r="HLN334" s="559"/>
      <c r="HLO334" s="559"/>
      <c r="HLP334" s="559"/>
      <c r="HLQ334" s="559"/>
      <c r="HLR334" s="559"/>
      <c r="HLS334" s="559"/>
      <c r="HLT334" s="559"/>
      <c r="HLU334" s="559"/>
      <c r="HLV334" s="559"/>
      <c r="HLW334" s="559"/>
      <c r="HLX334" s="559"/>
      <c r="HLY334" s="559"/>
      <c r="HLZ334" s="559"/>
      <c r="HMA334" s="559"/>
      <c r="HMB334" s="559"/>
      <c r="HMC334" s="559"/>
      <c r="HMD334" s="559"/>
      <c r="HME334" s="559"/>
      <c r="HMF334" s="559"/>
      <c r="HMG334" s="559"/>
      <c r="HMH334" s="559"/>
      <c r="HMI334" s="559"/>
      <c r="HMJ334" s="559"/>
      <c r="HMK334" s="559"/>
      <c r="HML334" s="559"/>
      <c r="HMM334" s="559"/>
      <c r="HMN334" s="559"/>
      <c r="HMO334" s="559"/>
      <c r="HMP334" s="559"/>
      <c r="HMQ334" s="559"/>
      <c r="HMR334" s="559"/>
      <c r="HMS334" s="559"/>
      <c r="HMT334" s="559"/>
      <c r="HMU334" s="559"/>
      <c r="HMV334" s="559"/>
      <c r="HMW334" s="559"/>
      <c r="HMX334" s="559"/>
      <c r="HMY334" s="559"/>
      <c r="HMZ334" s="559"/>
      <c r="HNA334" s="559"/>
      <c r="HNB334" s="559"/>
      <c r="HNC334" s="559"/>
      <c r="HND334" s="559"/>
      <c r="HNE334" s="559"/>
      <c r="HNF334" s="559"/>
      <c r="HNG334" s="559"/>
      <c r="HNH334" s="559"/>
      <c r="HNI334" s="559"/>
      <c r="HNJ334" s="559"/>
      <c r="HNK334" s="559"/>
      <c r="HNL334" s="559"/>
      <c r="HNM334" s="559"/>
      <c r="HNN334" s="559"/>
      <c r="HNO334" s="559"/>
      <c r="HNP334" s="559"/>
      <c r="HNQ334" s="559"/>
      <c r="HNR334" s="559"/>
      <c r="HNS334" s="559"/>
      <c r="HNT334" s="559"/>
      <c r="HNU334" s="559"/>
      <c r="HNV334" s="559"/>
      <c r="HNW334" s="559"/>
      <c r="HNX334" s="559"/>
      <c r="HNY334" s="559"/>
      <c r="HNZ334" s="559"/>
      <c r="HOA334" s="559"/>
      <c r="HOB334" s="559"/>
      <c r="HOC334" s="559"/>
      <c r="HOD334" s="559"/>
      <c r="HOE334" s="559"/>
      <c r="HOF334" s="559"/>
      <c r="HOG334" s="559"/>
      <c r="HOH334" s="559"/>
      <c r="HOI334" s="559"/>
      <c r="HOJ334" s="559"/>
      <c r="HOK334" s="559"/>
      <c r="HOL334" s="559"/>
      <c r="HOM334" s="559"/>
      <c r="HON334" s="559"/>
      <c r="HOO334" s="559"/>
      <c r="HOP334" s="559"/>
      <c r="HOQ334" s="559"/>
      <c r="HOR334" s="559"/>
      <c r="HOS334" s="559"/>
      <c r="HOT334" s="559"/>
      <c r="HOU334" s="559"/>
      <c r="HOV334" s="559"/>
      <c r="HOW334" s="559"/>
      <c r="HOX334" s="559"/>
      <c r="HOY334" s="559"/>
      <c r="HOZ334" s="559"/>
      <c r="HPA334" s="559"/>
      <c r="HPB334" s="559"/>
      <c r="HPC334" s="559"/>
      <c r="HPD334" s="559"/>
      <c r="HPE334" s="559"/>
      <c r="HPF334" s="559"/>
      <c r="HPG334" s="559"/>
      <c r="HPH334" s="559"/>
      <c r="HPI334" s="559"/>
      <c r="HPJ334" s="559"/>
      <c r="HPK334" s="559"/>
      <c r="HPL334" s="559"/>
      <c r="HPM334" s="559"/>
      <c r="HPN334" s="559"/>
      <c r="HPO334" s="559"/>
      <c r="HPP334" s="559"/>
      <c r="HPQ334" s="559"/>
      <c r="HPR334" s="559"/>
      <c r="HPS334" s="559"/>
      <c r="HPT334" s="559"/>
      <c r="HPU334" s="559"/>
      <c r="HPV334" s="559"/>
      <c r="HPW334" s="559"/>
      <c r="HPX334" s="559"/>
      <c r="HPY334" s="559"/>
      <c r="HPZ334" s="559"/>
      <c r="HQA334" s="559"/>
      <c r="HQB334" s="559"/>
      <c r="HQC334" s="559"/>
      <c r="HQD334" s="559"/>
      <c r="HQE334" s="559"/>
      <c r="HQF334" s="559"/>
      <c r="HQG334" s="559"/>
      <c r="HQH334" s="559"/>
      <c r="HQI334" s="559"/>
      <c r="HQJ334" s="559"/>
      <c r="HQK334" s="559"/>
      <c r="HQL334" s="559"/>
      <c r="HQM334" s="559"/>
      <c r="HQN334" s="559"/>
      <c r="HQO334" s="559"/>
      <c r="HQP334" s="559"/>
      <c r="HQQ334" s="559"/>
      <c r="HQR334" s="559"/>
      <c r="HQS334" s="559"/>
      <c r="HQT334" s="559"/>
      <c r="HQU334" s="559"/>
      <c r="HQV334" s="559"/>
      <c r="HQW334" s="559"/>
      <c r="HQX334" s="559"/>
      <c r="HQY334" s="559"/>
      <c r="HQZ334" s="559"/>
      <c r="HRA334" s="559"/>
      <c r="HRB334" s="559"/>
      <c r="HRC334" s="559"/>
      <c r="HRD334" s="559"/>
      <c r="HRE334" s="559"/>
      <c r="HRF334" s="559"/>
      <c r="HRG334" s="559"/>
      <c r="HRH334" s="559"/>
      <c r="HRI334" s="559"/>
      <c r="HRJ334" s="559"/>
      <c r="HRK334" s="559"/>
      <c r="HRL334" s="559"/>
      <c r="HRM334" s="559"/>
      <c r="HRN334" s="559"/>
      <c r="HRO334" s="559"/>
      <c r="HRP334" s="559"/>
      <c r="HRQ334" s="559"/>
      <c r="HRR334" s="559"/>
      <c r="HRS334" s="559"/>
      <c r="HRT334" s="559"/>
      <c r="HRU334" s="559"/>
      <c r="HRV334" s="559"/>
      <c r="HRW334" s="559"/>
      <c r="HRX334" s="559"/>
      <c r="HRY334" s="559"/>
      <c r="HRZ334" s="559"/>
      <c r="HSA334" s="559"/>
      <c r="HSB334" s="559"/>
      <c r="HSC334" s="559"/>
      <c r="HSD334" s="559"/>
      <c r="HSE334" s="559"/>
      <c r="HSF334" s="559"/>
      <c r="HSG334" s="559"/>
      <c r="HSH334" s="559"/>
      <c r="HSI334" s="559"/>
      <c r="HSJ334" s="559"/>
      <c r="HSK334" s="559"/>
      <c r="HSL334" s="559"/>
      <c r="HSM334" s="559"/>
      <c r="HSN334" s="559"/>
      <c r="HSO334" s="559"/>
      <c r="HSP334" s="559"/>
      <c r="HSQ334" s="559"/>
      <c r="HSR334" s="559"/>
      <c r="HSS334" s="559"/>
      <c r="HST334" s="559"/>
      <c r="HSU334" s="559"/>
      <c r="HSV334" s="559"/>
      <c r="HSW334" s="559"/>
      <c r="HSX334" s="559"/>
      <c r="HSY334" s="559"/>
      <c r="HSZ334" s="559"/>
      <c r="HTA334" s="559"/>
      <c r="HTB334" s="559"/>
      <c r="HTC334" s="559"/>
      <c r="HTD334" s="559"/>
      <c r="HTE334" s="559"/>
      <c r="HTF334" s="559"/>
      <c r="HTG334" s="559"/>
      <c r="HTH334" s="559"/>
      <c r="HTI334" s="559"/>
      <c r="HTJ334" s="559"/>
      <c r="HTK334" s="559"/>
      <c r="HTL334" s="559"/>
      <c r="HTM334" s="559"/>
      <c r="HTN334" s="559"/>
      <c r="HTO334" s="559"/>
      <c r="HTP334" s="559"/>
      <c r="HTQ334" s="559"/>
      <c r="HTR334" s="559"/>
      <c r="HTS334" s="559"/>
      <c r="HTT334" s="559"/>
      <c r="HTU334" s="559"/>
      <c r="HTV334" s="559"/>
      <c r="HTW334" s="559"/>
      <c r="HTX334" s="559"/>
      <c r="HTY334" s="559"/>
      <c r="HTZ334" s="559"/>
      <c r="HUA334" s="559"/>
      <c r="HUB334" s="559"/>
      <c r="HUC334" s="559"/>
      <c r="HUD334" s="559"/>
      <c r="HUE334" s="559"/>
      <c r="HUF334" s="559"/>
      <c r="HUG334" s="559"/>
      <c r="HUH334" s="559"/>
      <c r="HUI334" s="559"/>
      <c r="HUJ334" s="559"/>
      <c r="HUK334" s="559"/>
      <c r="HUL334" s="559"/>
      <c r="HUM334" s="559"/>
      <c r="HUN334" s="559"/>
      <c r="HUO334" s="559"/>
      <c r="HUP334" s="559"/>
      <c r="HUQ334" s="559"/>
      <c r="HUR334" s="559"/>
      <c r="HUS334" s="559"/>
      <c r="HUT334" s="559"/>
      <c r="HUU334" s="559"/>
      <c r="HUV334" s="559"/>
      <c r="HUW334" s="559"/>
      <c r="HUX334" s="559"/>
      <c r="HUY334" s="559"/>
      <c r="HUZ334" s="559"/>
      <c r="HVA334" s="559"/>
      <c r="HVB334" s="559"/>
      <c r="HVC334" s="559"/>
      <c r="HVD334" s="559"/>
      <c r="HVE334" s="559"/>
      <c r="HVF334" s="559"/>
      <c r="HVG334" s="559"/>
      <c r="HVH334" s="559"/>
      <c r="HVI334" s="559"/>
      <c r="HVJ334" s="559"/>
      <c r="HVK334" s="559"/>
      <c r="HVL334" s="559"/>
      <c r="HVM334" s="559"/>
      <c r="HVN334" s="559"/>
      <c r="HVO334" s="559"/>
      <c r="HVP334" s="559"/>
      <c r="HVQ334" s="559"/>
      <c r="HVR334" s="559"/>
      <c r="HVS334" s="559"/>
      <c r="HVT334" s="559"/>
      <c r="HVU334" s="559"/>
      <c r="HVV334" s="559"/>
      <c r="HVW334" s="559"/>
      <c r="HVX334" s="559"/>
      <c r="HVY334" s="559"/>
      <c r="HVZ334" s="559"/>
      <c r="HWA334" s="559"/>
      <c r="HWB334" s="559"/>
      <c r="HWC334" s="559"/>
      <c r="HWD334" s="559"/>
      <c r="HWE334" s="559"/>
      <c r="HWF334" s="559"/>
      <c r="HWG334" s="559"/>
      <c r="HWH334" s="559"/>
      <c r="HWI334" s="559"/>
      <c r="HWJ334" s="559"/>
      <c r="HWK334" s="559"/>
      <c r="HWL334" s="559"/>
      <c r="HWM334" s="559"/>
      <c r="HWN334" s="559"/>
      <c r="HWO334" s="559"/>
      <c r="HWP334" s="559"/>
      <c r="HWQ334" s="559"/>
      <c r="HWR334" s="559"/>
      <c r="HWS334" s="559"/>
      <c r="HWT334" s="559"/>
      <c r="HWU334" s="559"/>
      <c r="HWV334" s="559"/>
      <c r="HWW334" s="559"/>
      <c r="HWX334" s="559"/>
      <c r="HWY334" s="559"/>
      <c r="HWZ334" s="559"/>
      <c r="HXA334" s="559"/>
      <c r="HXB334" s="559"/>
      <c r="HXC334" s="559"/>
      <c r="HXD334" s="559"/>
      <c r="HXE334" s="559"/>
      <c r="HXF334" s="559"/>
      <c r="HXG334" s="559"/>
      <c r="HXH334" s="559"/>
      <c r="HXI334" s="559"/>
      <c r="HXJ334" s="559"/>
      <c r="HXK334" s="559"/>
      <c r="HXL334" s="559"/>
      <c r="HXM334" s="559"/>
      <c r="HXN334" s="559"/>
      <c r="HXO334" s="559"/>
      <c r="HXP334" s="559"/>
      <c r="HXQ334" s="559"/>
      <c r="HXR334" s="559"/>
      <c r="HXS334" s="559"/>
      <c r="HXT334" s="559"/>
      <c r="HXU334" s="559"/>
      <c r="HXV334" s="559"/>
      <c r="HXW334" s="559"/>
      <c r="HXX334" s="559"/>
      <c r="HXY334" s="559"/>
      <c r="HXZ334" s="559"/>
      <c r="HYA334" s="559"/>
      <c r="HYB334" s="559"/>
      <c r="HYC334" s="559"/>
      <c r="HYD334" s="559"/>
      <c r="HYE334" s="559"/>
      <c r="HYF334" s="559"/>
      <c r="HYG334" s="559"/>
      <c r="HYH334" s="559"/>
      <c r="HYI334" s="559"/>
      <c r="HYJ334" s="559"/>
      <c r="HYK334" s="559"/>
      <c r="HYL334" s="559"/>
      <c r="HYM334" s="559"/>
      <c r="HYN334" s="559"/>
      <c r="HYO334" s="559"/>
      <c r="HYP334" s="559"/>
      <c r="HYQ334" s="559"/>
      <c r="HYR334" s="559"/>
      <c r="HYS334" s="559"/>
      <c r="HYT334" s="559"/>
      <c r="HYU334" s="559"/>
      <c r="HYV334" s="559"/>
      <c r="HYW334" s="559"/>
      <c r="HYX334" s="559"/>
      <c r="HYY334" s="559"/>
      <c r="HYZ334" s="559"/>
      <c r="HZA334" s="559"/>
      <c r="HZB334" s="559"/>
      <c r="HZC334" s="559"/>
      <c r="HZD334" s="559"/>
      <c r="HZE334" s="559"/>
      <c r="HZF334" s="559"/>
      <c r="HZG334" s="559"/>
      <c r="HZH334" s="559"/>
      <c r="HZI334" s="559"/>
      <c r="HZJ334" s="559"/>
      <c r="HZK334" s="559"/>
      <c r="HZL334" s="559"/>
      <c r="HZM334" s="559"/>
      <c r="HZN334" s="559"/>
      <c r="HZO334" s="559"/>
      <c r="HZP334" s="559"/>
      <c r="HZQ334" s="559"/>
      <c r="HZR334" s="559"/>
      <c r="HZS334" s="559"/>
      <c r="HZT334" s="559"/>
      <c r="HZU334" s="559"/>
      <c r="HZV334" s="559"/>
      <c r="HZW334" s="559"/>
      <c r="HZX334" s="559"/>
      <c r="HZY334" s="559"/>
      <c r="HZZ334" s="559"/>
      <c r="IAA334" s="559"/>
      <c r="IAB334" s="559"/>
      <c r="IAC334" s="559"/>
      <c r="IAD334" s="559"/>
      <c r="IAE334" s="559"/>
      <c r="IAF334" s="559"/>
      <c r="IAG334" s="559"/>
      <c r="IAH334" s="559"/>
      <c r="IAI334" s="559"/>
      <c r="IAJ334" s="559"/>
      <c r="IAK334" s="559"/>
      <c r="IAL334" s="559"/>
      <c r="IAM334" s="559"/>
      <c r="IAN334" s="559"/>
      <c r="IAO334" s="559"/>
      <c r="IAP334" s="559"/>
      <c r="IAQ334" s="559"/>
      <c r="IAR334" s="559"/>
      <c r="IAS334" s="559"/>
      <c r="IAT334" s="559"/>
      <c r="IAU334" s="559"/>
      <c r="IAV334" s="559"/>
      <c r="IAW334" s="559"/>
      <c r="IAX334" s="559"/>
      <c r="IAY334" s="559"/>
      <c r="IAZ334" s="559"/>
      <c r="IBA334" s="559"/>
      <c r="IBB334" s="559"/>
      <c r="IBC334" s="559"/>
      <c r="IBD334" s="559"/>
      <c r="IBE334" s="559"/>
      <c r="IBF334" s="559"/>
      <c r="IBG334" s="559"/>
      <c r="IBH334" s="559"/>
      <c r="IBI334" s="559"/>
      <c r="IBJ334" s="559"/>
      <c r="IBK334" s="559"/>
      <c r="IBL334" s="559"/>
      <c r="IBM334" s="559"/>
      <c r="IBN334" s="559"/>
      <c r="IBO334" s="559"/>
      <c r="IBP334" s="559"/>
      <c r="IBQ334" s="559"/>
      <c r="IBR334" s="559"/>
      <c r="IBS334" s="559"/>
      <c r="IBT334" s="559"/>
      <c r="IBU334" s="559"/>
      <c r="IBV334" s="559"/>
      <c r="IBW334" s="559"/>
      <c r="IBX334" s="559"/>
      <c r="IBY334" s="559"/>
      <c r="IBZ334" s="559"/>
      <c r="ICA334" s="559"/>
      <c r="ICB334" s="559"/>
      <c r="ICC334" s="559"/>
      <c r="ICD334" s="559"/>
      <c r="ICE334" s="559"/>
      <c r="ICF334" s="559"/>
      <c r="ICG334" s="559"/>
      <c r="ICH334" s="559"/>
      <c r="ICI334" s="559"/>
      <c r="ICJ334" s="559"/>
      <c r="ICK334" s="559"/>
      <c r="ICL334" s="559"/>
      <c r="ICM334" s="559"/>
      <c r="ICN334" s="559"/>
      <c r="ICO334" s="559"/>
      <c r="ICP334" s="559"/>
      <c r="ICQ334" s="559"/>
      <c r="ICR334" s="559"/>
      <c r="ICS334" s="559"/>
      <c r="ICT334" s="559"/>
      <c r="ICU334" s="559"/>
      <c r="ICV334" s="559"/>
      <c r="ICW334" s="559"/>
      <c r="ICX334" s="559"/>
      <c r="ICY334" s="559"/>
      <c r="ICZ334" s="559"/>
      <c r="IDA334" s="559"/>
      <c r="IDB334" s="559"/>
      <c r="IDC334" s="559"/>
      <c r="IDD334" s="559"/>
      <c r="IDE334" s="559"/>
      <c r="IDF334" s="559"/>
      <c r="IDG334" s="559"/>
      <c r="IDH334" s="559"/>
      <c r="IDI334" s="559"/>
      <c r="IDJ334" s="559"/>
      <c r="IDK334" s="559"/>
      <c r="IDL334" s="559"/>
      <c r="IDM334" s="559"/>
      <c r="IDN334" s="559"/>
      <c r="IDO334" s="559"/>
      <c r="IDP334" s="559"/>
      <c r="IDQ334" s="559"/>
      <c r="IDR334" s="559"/>
      <c r="IDS334" s="559"/>
      <c r="IDT334" s="559"/>
      <c r="IDU334" s="559"/>
      <c r="IDV334" s="559"/>
      <c r="IDW334" s="559"/>
      <c r="IDX334" s="559"/>
      <c r="IDY334" s="559"/>
      <c r="IDZ334" s="559"/>
      <c r="IEA334" s="559"/>
      <c r="IEB334" s="559"/>
      <c r="IEC334" s="559"/>
      <c r="IED334" s="559"/>
      <c r="IEE334" s="559"/>
      <c r="IEF334" s="559"/>
      <c r="IEG334" s="559"/>
      <c r="IEH334" s="559"/>
      <c r="IEI334" s="559"/>
      <c r="IEJ334" s="559"/>
      <c r="IEK334" s="559"/>
      <c r="IEL334" s="559"/>
      <c r="IEM334" s="559"/>
      <c r="IEN334" s="559"/>
      <c r="IEO334" s="559"/>
      <c r="IEP334" s="559"/>
      <c r="IEQ334" s="559"/>
      <c r="IER334" s="559"/>
      <c r="IES334" s="559"/>
      <c r="IET334" s="559"/>
      <c r="IEU334" s="559"/>
      <c r="IEV334" s="559"/>
      <c r="IEW334" s="559"/>
      <c r="IEX334" s="559"/>
      <c r="IEY334" s="559"/>
      <c r="IEZ334" s="559"/>
      <c r="IFA334" s="559"/>
      <c r="IFB334" s="559"/>
      <c r="IFC334" s="559"/>
      <c r="IFD334" s="559"/>
      <c r="IFE334" s="559"/>
      <c r="IFF334" s="559"/>
      <c r="IFG334" s="559"/>
      <c r="IFH334" s="559"/>
      <c r="IFI334" s="559"/>
      <c r="IFJ334" s="559"/>
      <c r="IFK334" s="559"/>
      <c r="IFL334" s="559"/>
      <c r="IFM334" s="559"/>
      <c r="IFN334" s="559"/>
      <c r="IFO334" s="559"/>
      <c r="IFP334" s="559"/>
      <c r="IFQ334" s="559"/>
      <c r="IFR334" s="559"/>
      <c r="IFS334" s="559"/>
      <c r="IFT334" s="559"/>
      <c r="IFU334" s="559"/>
      <c r="IFV334" s="559"/>
      <c r="IFW334" s="559"/>
      <c r="IFX334" s="559"/>
      <c r="IFY334" s="559"/>
      <c r="IFZ334" s="559"/>
      <c r="IGA334" s="559"/>
      <c r="IGB334" s="559"/>
      <c r="IGC334" s="559"/>
      <c r="IGD334" s="559"/>
      <c r="IGE334" s="559"/>
      <c r="IGF334" s="559"/>
      <c r="IGG334" s="559"/>
      <c r="IGH334" s="559"/>
      <c r="IGI334" s="559"/>
      <c r="IGJ334" s="559"/>
      <c r="IGK334" s="559"/>
      <c r="IGL334" s="559"/>
      <c r="IGM334" s="559"/>
      <c r="IGN334" s="559"/>
      <c r="IGO334" s="559"/>
      <c r="IGP334" s="559"/>
      <c r="IGQ334" s="559"/>
      <c r="IGR334" s="559"/>
      <c r="IGS334" s="559"/>
      <c r="IGT334" s="559"/>
      <c r="IGU334" s="559"/>
      <c r="IGV334" s="559"/>
      <c r="IGW334" s="559"/>
      <c r="IGX334" s="559"/>
      <c r="IGY334" s="559"/>
      <c r="IGZ334" s="559"/>
      <c r="IHA334" s="559"/>
      <c r="IHB334" s="559"/>
      <c r="IHC334" s="559"/>
      <c r="IHD334" s="559"/>
      <c r="IHE334" s="559"/>
      <c r="IHF334" s="559"/>
      <c r="IHG334" s="559"/>
      <c r="IHH334" s="559"/>
      <c r="IHI334" s="559"/>
      <c r="IHJ334" s="559"/>
      <c r="IHK334" s="559"/>
      <c r="IHL334" s="559"/>
      <c r="IHM334" s="559"/>
      <c r="IHN334" s="559"/>
      <c r="IHO334" s="559"/>
      <c r="IHP334" s="559"/>
      <c r="IHQ334" s="559"/>
      <c r="IHR334" s="559"/>
      <c r="IHS334" s="559"/>
      <c r="IHT334" s="559"/>
      <c r="IHU334" s="559"/>
      <c r="IHV334" s="559"/>
      <c r="IHW334" s="559"/>
      <c r="IHX334" s="559"/>
      <c r="IHY334" s="559"/>
      <c r="IHZ334" s="559"/>
      <c r="IIA334" s="559"/>
      <c r="IIB334" s="559"/>
      <c r="IIC334" s="559"/>
      <c r="IID334" s="559"/>
      <c r="IIE334" s="559"/>
      <c r="IIF334" s="559"/>
      <c r="IIG334" s="559"/>
      <c r="IIH334" s="559"/>
      <c r="III334" s="559"/>
      <c r="IIJ334" s="559"/>
      <c r="IIK334" s="559"/>
      <c r="IIL334" s="559"/>
      <c r="IIM334" s="559"/>
      <c r="IIN334" s="559"/>
      <c r="IIO334" s="559"/>
      <c r="IIP334" s="559"/>
      <c r="IIQ334" s="559"/>
      <c r="IIR334" s="559"/>
      <c r="IIS334" s="559"/>
      <c r="IIT334" s="559"/>
      <c r="IIU334" s="559"/>
      <c r="IIV334" s="559"/>
      <c r="IIW334" s="559"/>
      <c r="IIX334" s="559"/>
      <c r="IIY334" s="559"/>
      <c r="IIZ334" s="559"/>
      <c r="IJA334" s="559"/>
      <c r="IJB334" s="559"/>
      <c r="IJC334" s="559"/>
      <c r="IJD334" s="559"/>
      <c r="IJE334" s="559"/>
      <c r="IJF334" s="559"/>
      <c r="IJG334" s="559"/>
      <c r="IJH334" s="559"/>
      <c r="IJI334" s="559"/>
      <c r="IJJ334" s="559"/>
      <c r="IJK334" s="559"/>
      <c r="IJL334" s="559"/>
      <c r="IJM334" s="559"/>
      <c r="IJN334" s="559"/>
      <c r="IJO334" s="559"/>
      <c r="IJP334" s="559"/>
      <c r="IJQ334" s="559"/>
      <c r="IJR334" s="559"/>
      <c r="IJS334" s="559"/>
      <c r="IJT334" s="559"/>
      <c r="IJU334" s="559"/>
      <c r="IJV334" s="559"/>
      <c r="IJW334" s="559"/>
      <c r="IJX334" s="559"/>
      <c r="IJY334" s="559"/>
      <c r="IJZ334" s="559"/>
      <c r="IKA334" s="559"/>
      <c r="IKB334" s="559"/>
      <c r="IKC334" s="559"/>
      <c r="IKD334" s="559"/>
      <c r="IKE334" s="559"/>
      <c r="IKF334" s="559"/>
      <c r="IKG334" s="559"/>
      <c r="IKH334" s="559"/>
      <c r="IKI334" s="559"/>
      <c r="IKJ334" s="559"/>
      <c r="IKK334" s="559"/>
      <c r="IKL334" s="559"/>
      <c r="IKM334" s="559"/>
      <c r="IKN334" s="559"/>
      <c r="IKO334" s="559"/>
      <c r="IKP334" s="559"/>
      <c r="IKQ334" s="559"/>
      <c r="IKR334" s="559"/>
      <c r="IKS334" s="559"/>
      <c r="IKT334" s="559"/>
      <c r="IKU334" s="559"/>
      <c r="IKV334" s="559"/>
      <c r="IKW334" s="559"/>
      <c r="IKX334" s="559"/>
      <c r="IKY334" s="559"/>
      <c r="IKZ334" s="559"/>
      <c r="ILA334" s="559"/>
      <c r="ILB334" s="559"/>
      <c r="ILC334" s="559"/>
      <c r="ILD334" s="559"/>
      <c r="ILE334" s="559"/>
      <c r="ILF334" s="559"/>
      <c r="ILG334" s="559"/>
      <c r="ILH334" s="559"/>
      <c r="ILI334" s="559"/>
      <c r="ILJ334" s="559"/>
      <c r="ILK334" s="559"/>
      <c r="ILL334" s="559"/>
      <c r="ILM334" s="559"/>
      <c r="ILN334" s="559"/>
      <c r="ILO334" s="559"/>
      <c r="ILP334" s="559"/>
      <c r="ILQ334" s="559"/>
      <c r="ILR334" s="559"/>
      <c r="ILS334" s="559"/>
      <c r="ILT334" s="559"/>
      <c r="ILU334" s="559"/>
      <c r="ILV334" s="559"/>
      <c r="ILW334" s="559"/>
      <c r="ILX334" s="559"/>
      <c r="ILY334" s="559"/>
      <c r="ILZ334" s="559"/>
      <c r="IMA334" s="559"/>
      <c r="IMB334" s="559"/>
      <c r="IMC334" s="559"/>
      <c r="IMD334" s="559"/>
      <c r="IME334" s="559"/>
      <c r="IMF334" s="559"/>
      <c r="IMG334" s="559"/>
      <c r="IMH334" s="559"/>
      <c r="IMI334" s="559"/>
      <c r="IMJ334" s="559"/>
      <c r="IMK334" s="559"/>
      <c r="IML334" s="559"/>
      <c r="IMM334" s="559"/>
      <c r="IMN334" s="559"/>
      <c r="IMO334" s="559"/>
      <c r="IMP334" s="559"/>
      <c r="IMQ334" s="559"/>
      <c r="IMR334" s="559"/>
      <c r="IMS334" s="559"/>
      <c r="IMT334" s="559"/>
      <c r="IMU334" s="559"/>
      <c r="IMV334" s="559"/>
      <c r="IMW334" s="559"/>
      <c r="IMX334" s="559"/>
      <c r="IMY334" s="559"/>
      <c r="IMZ334" s="559"/>
      <c r="INA334" s="559"/>
      <c r="INB334" s="559"/>
      <c r="INC334" s="559"/>
      <c r="IND334" s="559"/>
      <c r="INE334" s="559"/>
      <c r="INF334" s="559"/>
      <c r="ING334" s="559"/>
      <c r="INH334" s="559"/>
      <c r="INI334" s="559"/>
      <c r="INJ334" s="559"/>
      <c r="INK334" s="559"/>
      <c r="INL334" s="559"/>
      <c r="INM334" s="559"/>
      <c r="INN334" s="559"/>
      <c r="INO334" s="559"/>
      <c r="INP334" s="559"/>
      <c r="INQ334" s="559"/>
      <c r="INR334" s="559"/>
      <c r="INS334" s="559"/>
      <c r="INT334" s="559"/>
      <c r="INU334" s="559"/>
      <c r="INV334" s="559"/>
      <c r="INW334" s="559"/>
      <c r="INX334" s="559"/>
      <c r="INY334" s="559"/>
      <c r="INZ334" s="559"/>
      <c r="IOA334" s="559"/>
      <c r="IOB334" s="559"/>
      <c r="IOC334" s="559"/>
      <c r="IOD334" s="559"/>
      <c r="IOE334" s="559"/>
      <c r="IOF334" s="559"/>
      <c r="IOG334" s="559"/>
      <c r="IOH334" s="559"/>
      <c r="IOI334" s="559"/>
      <c r="IOJ334" s="559"/>
      <c r="IOK334" s="559"/>
      <c r="IOL334" s="559"/>
      <c r="IOM334" s="559"/>
      <c r="ION334" s="559"/>
      <c r="IOO334" s="559"/>
      <c r="IOP334" s="559"/>
      <c r="IOQ334" s="559"/>
      <c r="IOR334" s="559"/>
      <c r="IOS334" s="559"/>
      <c r="IOT334" s="559"/>
      <c r="IOU334" s="559"/>
      <c r="IOV334" s="559"/>
      <c r="IOW334" s="559"/>
      <c r="IOX334" s="559"/>
      <c r="IOY334" s="559"/>
      <c r="IOZ334" s="559"/>
      <c r="IPA334" s="559"/>
      <c r="IPB334" s="559"/>
      <c r="IPC334" s="559"/>
      <c r="IPD334" s="559"/>
      <c r="IPE334" s="559"/>
      <c r="IPF334" s="559"/>
      <c r="IPG334" s="559"/>
      <c r="IPH334" s="559"/>
      <c r="IPI334" s="559"/>
      <c r="IPJ334" s="559"/>
      <c r="IPK334" s="559"/>
      <c r="IPL334" s="559"/>
      <c r="IPM334" s="559"/>
      <c r="IPN334" s="559"/>
      <c r="IPO334" s="559"/>
      <c r="IPP334" s="559"/>
      <c r="IPQ334" s="559"/>
      <c r="IPR334" s="559"/>
      <c r="IPS334" s="559"/>
      <c r="IPT334" s="559"/>
      <c r="IPU334" s="559"/>
      <c r="IPV334" s="559"/>
      <c r="IPW334" s="559"/>
      <c r="IPX334" s="559"/>
      <c r="IPY334" s="559"/>
      <c r="IPZ334" s="559"/>
      <c r="IQA334" s="559"/>
      <c r="IQB334" s="559"/>
      <c r="IQC334" s="559"/>
      <c r="IQD334" s="559"/>
      <c r="IQE334" s="559"/>
      <c r="IQF334" s="559"/>
      <c r="IQG334" s="559"/>
      <c r="IQH334" s="559"/>
      <c r="IQI334" s="559"/>
      <c r="IQJ334" s="559"/>
      <c r="IQK334" s="559"/>
      <c r="IQL334" s="559"/>
      <c r="IQM334" s="559"/>
      <c r="IQN334" s="559"/>
      <c r="IQO334" s="559"/>
      <c r="IQP334" s="559"/>
      <c r="IQQ334" s="559"/>
      <c r="IQR334" s="559"/>
      <c r="IQS334" s="559"/>
      <c r="IQT334" s="559"/>
      <c r="IQU334" s="559"/>
      <c r="IQV334" s="559"/>
      <c r="IQW334" s="559"/>
      <c r="IQX334" s="559"/>
      <c r="IQY334" s="559"/>
      <c r="IQZ334" s="559"/>
      <c r="IRA334" s="559"/>
      <c r="IRB334" s="559"/>
      <c r="IRC334" s="559"/>
      <c r="IRD334" s="559"/>
      <c r="IRE334" s="559"/>
      <c r="IRF334" s="559"/>
      <c r="IRG334" s="559"/>
      <c r="IRH334" s="559"/>
      <c r="IRI334" s="559"/>
      <c r="IRJ334" s="559"/>
      <c r="IRK334" s="559"/>
      <c r="IRL334" s="559"/>
      <c r="IRM334" s="559"/>
      <c r="IRN334" s="559"/>
      <c r="IRO334" s="559"/>
      <c r="IRP334" s="559"/>
      <c r="IRQ334" s="559"/>
      <c r="IRR334" s="559"/>
      <c r="IRS334" s="559"/>
      <c r="IRT334" s="559"/>
      <c r="IRU334" s="559"/>
      <c r="IRV334" s="559"/>
      <c r="IRW334" s="559"/>
      <c r="IRX334" s="559"/>
      <c r="IRY334" s="559"/>
      <c r="IRZ334" s="559"/>
      <c r="ISA334" s="559"/>
      <c r="ISB334" s="559"/>
      <c r="ISC334" s="559"/>
      <c r="ISD334" s="559"/>
      <c r="ISE334" s="559"/>
      <c r="ISF334" s="559"/>
      <c r="ISG334" s="559"/>
      <c r="ISH334" s="559"/>
      <c r="ISI334" s="559"/>
      <c r="ISJ334" s="559"/>
      <c r="ISK334" s="559"/>
      <c r="ISL334" s="559"/>
      <c r="ISM334" s="559"/>
      <c r="ISN334" s="559"/>
      <c r="ISO334" s="559"/>
      <c r="ISP334" s="559"/>
      <c r="ISQ334" s="559"/>
      <c r="ISR334" s="559"/>
      <c r="ISS334" s="559"/>
      <c r="IST334" s="559"/>
      <c r="ISU334" s="559"/>
      <c r="ISV334" s="559"/>
      <c r="ISW334" s="559"/>
      <c r="ISX334" s="559"/>
      <c r="ISY334" s="559"/>
      <c r="ISZ334" s="559"/>
      <c r="ITA334" s="559"/>
      <c r="ITB334" s="559"/>
      <c r="ITC334" s="559"/>
      <c r="ITD334" s="559"/>
      <c r="ITE334" s="559"/>
      <c r="ITF334" s="559"/>
      <c r="ITG334" s="559"/>
      <c r="ITH334" s="559"/>
      <c r="ITI334" s="559"/>
      <c r="ITJ334" s="559"/>
      <c r="ITK334" s="559"/>
      <c r="ITL334" s="559"/>
      <c r="ITM334" s="559"/>
      <c r="ITN334" s="559"/>
      <c r="ITO334" s="559"/>
      <c r="ITP334" s="559"/>
      <c r="ITQ334" s="559"/>
      <c r="ITR334" s="559"/>
      <c r="ITS334" s="559"/>
      <c r="ITT334" s="559"/>
      <c r="ITU334" s="559"/>
      <c r="ITV334" s="559"/>
      <c r="ITW334" s="559"/>
      <c r="ITX334" s="559"/>
      <c r="ITY334" s="559"/>
      <c r="ITZ334" s="559"/>
      <c r="IUA334" s="559"/>
      <c r="IUB334" s="559"/>
      <c r="IUC334" s="559"/>
      <c r="IUD334" s="559"/>
      <c r="IUE334" s="559"/>
      <c r="IUF334" s="559"/>
      <c r="IUG334" s="559"/>
      <c r="IUH334" s="559"/>
      <c r="IUI334" s="559"/>
      <c r="IUJ334" s="559"/>
      <c r="IUK334" s="559"/>
      <c r="IUL334" s="559"/>
      <c r="IUM334" s="559"/>
      <c r="IUN334" s="559"/>
      <c r="IUO334" s="559"/>
      <c r="IUP334" s="559"/>
      <c r="IUQ334" s="559"/>
      <c r="IUR334" s="559"/>
      <c r="IUS334" s="559"/>
      <c r="IUT334" s="559"/>
      <c r="IUU334" s="559"/>
      <c r="IUV334" s="559"/>
      <c r="IUW334" s="559"/>
      <c r="IUX334" s="559"/>
      <c r="IUY334" s="559"/>
      <c r="IUZ334" s="559"/>
      <c r="IVA334" s="559"/>
      <c r="IVB334" s="559"/>
      <c r="IVC334" s="559"/>
      <c r="IVD334" s="559"/>
      <c r="IVE334" s="559"/>
      <c r="IVF334" s="559"/>
      <c r="IVG334" s="559"/>
      <c r="IVH334" s="559"/>
      <c r="IVI334" s="559"/>
      <c r="IVJ334" s="559"/>
      <c r="IVK334" s="559"/>
      <c r="IVL334" s="559"/>
      <c r="IVM334" s="559"/>
      <c r="IVN334" s="559"/>
      <c r="IVO334" s="559"/>
      <c r="IVP334" s="559"/>
      <c r="IVQ334" s="559"/>
      <c r="IVR334" s="559"/>
      <c r="IVS334" s="559"/>
      <c r="IVT334" s="559"/>
      <c r="IVU334" s="559"/>
      <c r="IVV334" s="559"/>
      <c r="IVW334" s="559"/>
      <c r="IVX334" s="559"/>
      <c r="IVY334" s="559"/>
      <c r="IVZ334" s="559"/>
      <c r="IWA334" s="559"/>
      <c r="IWB334" s="559"/>
      <c r="IWC334" s="559"/>
      <c r="IWD334" s="559"/>
      <c r="IWE334" s="559"/>
      <c r="IWF334" s="559"/>
      <c r="IWG334" s="559"/>
      <c r="IWH334" s="559"/>
      <c r="IWI334" s="559"/>
      <c r="IWJ334" s="559"/>
      <c r="IWK334" s="559"/>
      <c r="IWL334" s="559"/>
      <c r="IWM334" s="559"/>
      <c r="IWN334" s="559"/>
      <c r="IWO334" s="559"/>
      <c r="IWP334" s="559"/>
      <c r="IWQ334" s="559"/>
      <c r="IWR334" s="559"/>
      <c r="IWS334" s="559"/>
      <c r="IWT334" s="559"/>
      <c r="IWU334" s="559"/>
      <c r="IWV334" s="559"/>
      <c r="IWW334" s="559"/>
      <c r="IWX334" s="559"/>
      <c r="IWY334" s="559"/>
      <c r="IWZ334" s="559"/>
      <c r="IXA334" s="559"/>
      <c r="IXB334" s="559"/>
      <c r="IXC334" s="559"/>
      <c r="IXD334" s="559"/>
      <c r="IXE334" s="559"/>
      <c r="IXF334" s="559"/>
      <c r="IXG334" s="559"/>
      <c r="IXH334" s="559"/>
      <c r="IXI334" s="559"/>
      <c r="IXJ334" s="559"/>
      <c r="IXK334" s="559"/>
      <c r="IXL334" s="559"/>
      <c r="IXM334" s="559"/>
      <c r="IXN334" s="559"/>
      <c r="IXO334" s="559"/>
      <c r="IXP334" s="559"/>
      <c r="IXQ334" s="559"/>
      <c r="IXR334" s="559"/>
      <c r="IXS334" s="559"/>
      <c r="IXT334" s="559"/>
      <c r="IXU334" s="559"/>
      <c r="IXV334" s="559"/>
      <c r="IXW334" s="559"/>
      <c r="IXX334" s="559"/>
      <c r="IXY334" s="559"/>
      <c r="IXZ334" s="559"/>
      <c r="IYA334" s="559"/>
      <c r="IYB334" s="559"/>
      <c r="IYC334" s="559"/>
      <c r="IYD334" s="559"/>
      <c r="IYE334" s="559"/>
      <c r="IYF334" s="559"/>
      <c r="IYG334" s="559"/>
      <c r="IYH334" s="559"/>
      <c r="IYI334" s="559"/>
      <c r="IYJ334" s="559"/>
      <c r="IYK334" s="559"/>
      <c r="IYL334" s="559"/>
      <c r="IYM334" s="559"/>
      <c r="IYN334" s="559"/>
      <c r="IYO334" s="559"/>
      <c r="IYP334" s="559"/>
      <c r="IYQ334" s="559"/>
      <c r="IYR334" s="559"/>
      <c r="IYS334" s="559"/>
      <c r="IYT334" s="559"/>
      <c r="IYU334" s="559"/>
      <c r="IYV334" s="559"/>
      <c r="IYW334" s="559"/>
      <c r="IYX334" s="559"/>
      <c r="IYY334" s="559"/>
      <c r="IYZ334" s="559"/>
      <c r="IZA334" s="559"/>
      <c r="IZB334" s="559"/>
      <c r="IZC334" s="559"/>
      <c r="IZD334" s="559"/>
      <c r="IZE334" s="559"/>
      <c r="IZF334" s="559"/>
      <c r="IZG334" s="559"/>
      <c r="IZH334" s="559"/>
      <c r="IZI334" s="559"/>
      <c r="IZJ334" s="559"/>
      <c r="IZK334" s="559"/>
      <c r="IZL334" s="559"/>
      <c r="IZM334" s="559"/>
      <c r="IZN334" s="559"/>
      <c r="IZO334" s="559"/>
      <c r="IZP334" s="559"/>
      <c r="IZQ334" s="559"/>
      <c r="IZR334" s="559"/>
      <c r="IZS334" s="559"/>
      <c r="IZT334" s="559"/>
      <c r="IZU334" s="559"/>
      <c r="IZV334" s="559"/>
      <c r="IZW334" s="559"/>
      <c r="IZX334" s="559"/>
      <c r="IZY334" s="559"/>
      <c r="IZZ334" s="559"/>
      <c r="JAA334" s="559"/>
      <c r="JAB334" s="559"/>
      <c r="JAC334" s="559"/>
      <c r="JAD334" s="559"/>
      <c r="JAE334" s="559"/>
      <c r="JAF334" s="559"/>
      <c r="JAG334" s="559"/>
      <c r="JAH334" s="559"/>
      <c r="JAI334" s="559"/>
      <c r="JAJ334" s="559"/>
      <c r="JAK334" s="559"/>
      <c r="JAL334" s="559"/>
      <c r="JAM334" s="559"/>
      <c r="JAN334" s="559"/>
      <c r="JAO334" s="559"/>
      <c r="JAP334" s="559"/>
      <c r="JAQ334" s="559"/>
      <c r="JAR334" s="559"/>
      <c r="JAS334" s="559"/>
      <c r="JAT334" s="559"/>
      <c r="JAU334" s="559"/>
      <c r="JAV334" s="559"/>
      <c r="JAW334" s="559"/>
      <c r="JAX334" s="559"/>
      <c r="JAY334" s="559"/>
      <c r="JAZ334" s="559"/>
      <c r="JBA334" s="559"/>
      <c r="JBB334" s="559"/>
      <c r="JBC334" s="559"/>
      <c r="JBD334" s="559"/>
      <c r="JBE334" s="559"/>
      <c r="JBF334" s="559"/>
      <c r="JBG334" s="559"/>
      <c r="JBH334" s="559"/>
      <c r="JBI334" s="559"/>
      <c r="JBJ334" s="559"/>
      <c r="JBK334" s="559"/>
      <c r="JBL334" s="559"/>
      <c r="JBM334" s="559"/>
      <c r="JBN334" s="559"/>
      <c r="JBO334" s="559"/>
      <c r="JBP334" s="559"/>
      <c r="JBQ334" s="559"/>
      <c r="JBR334" s="559"/>
      <c r="JBS334" s="559"/>
      <c r="JBT334" s="559"/>
      <c r="JBU334" s="559"/>
      <c r="JBV334" s="559"/>
      <c r="JBW334" s="559"/>
      <c r="JBX334" s="559"/>
      <c r="JBY334" s="559"/>
      <c r="JBZ334" s="559"/>
      <c r="JCA334" s="559"/>
      <c r="JCB334" s="559"/>
      <c r="JCC334" s="559"/>
      <c r="JCD334" s="559"/>
      <c r="JCE334" s="559"/>
      <c r="JCF334" s="559"/>
      <c r="JCG334" s="559"/>
      <c r="JCH334" s="559"/>
      <c r="JCI334" s="559"/>
      <c r="JCJ334" s="559"/>
      <c r="JCK334" s="559"/>
      <c r="JCL334" s="559"/>
      <c r="JCM334" s="559"/>
      <c r="JCN334" s="559"/>
      <c r="JCO334" s="559"/>
      <c r="JCP334" s="559"/>
      <c r="JCQ334" s="559"/>
      <c r="JCR334" s="559"/>
      <c r="JCS334" s="559"/>
      <c r="JCT334" s="559"/>
      <c r="JCU334" s="559"/>
      <c r="JCV334" s="559"/>
      <c r="JCW334" s="559"/>
      <c r="JCX334" s="559"/>
      <c r="JCY334" s="559"/>
      <c r="JCZ334" s="559"/>
      <c r="JDA334" s="559"/>
      <c r="JDB334" s="559"/>
      <c r="JDC334" s="559"/>
      <c r="JDD334" s="559"/>
      <c r="JDE334" s="559"/>
      <c r="JDF334" s="559"/>
      <c r="JDG334" s="559"/>
      <c r="JDH334" s="559"/>
      <c r="JDI334" s="559"/>
      <c r="JDJ334" s="559"/>
      <c r="JDK334" s="559"/>
      <c r="JDL334" s="559"/>
      <c r="JDM334" s="559"/>
      <c r="JDN334" s="559"/>
      <c r="JDO334" s="559"/>
      <c r="JDP334" s="559"/>
      <c r="JDQ334" s="559"/>
      <c r="JDR334" s="559"/>
      <c r="JDS334" s="559"/>
      <c r="JDT334" s="559"/>
      <c r="JDU334" s="559"/>
      <c r="JDV334" s="559"/>
      <c r="JDW334" s="559"/>
      <c r="JDX334" s="559"/>
      <c r="JDY334" s="559"/>
      <c r="JDZ334" s="559"/>
      <c r="JEA334" s="559"/>
      <c r="JEB334" s="559"/>
      <c r="JEC334" s="559"/>
      <c r="JED334" s="559"/>
      <c r="JEE334" s="559"/>
      <c r="JEF334" s="559"/>
      <c r="JEG334" s="559"/>
      <c r="JEH334" s="559"/>
      <c r="JEI334" s="559"/>
      <c r="JEJ334" s="559"/>
      <c r="JEK334" s="559"/>
      <c r="JEL334" s="559"/>
      <c r="JEM334" s="559"/>
      <c r="JEN334" s="559"/>
      <c r="JEO334" s="559"/>
      <c r="JEP334" s="559"/>
      <c r="JEQ334" s="559"/>
      <c r="JER334" s="559"/>
      <c r="JES334" s="559"/>
      <c r="JET334" s="559"/>
      <c r="JEU334" s="559"/>
      <c r="JEV334" s="559"/>
      <c r="JEW334" s="559"/>
      <c r="JEX334" s="559"/>
      <c r="JEY334" s="559"/>
      <c r="JEZ334" s="559"/>
      <c r="JFA334" s="559"/>
      <c r="JFB334" s="559"/>
      <c r="JFC334" s="559"/>
      <c r="JFD334" s="559"/>
      <c r="JFE334" s="559"/>
      <c r="JFF334" s="559"/>
      <c r="JFG334" s="559"/>
      <c r="JFH334" s="559"/>
      <c r="JFI334" s="559"/>
      <c r="JFJ334" s="559"/>
      <c r="JFK334" s="559"/>
      <c r="JFL334" s="559"/>
      <c r="JFM334" s="559"/>
      <c r="JFN334" s="559"/>
      <c r="JFO334" s="559"/>
      <c r="JFP334" s="559"/>
      <c r="JFQ334" s="559"/>
      <c r="JFR334" s="559"/>
      <c r="JFS334" s="559"/>
      <c r="JFT334" s="559"/>
      <c r="JFU334" s="559"/>
      <c r="JFV334" s="559"/>
      <c r="JFW334" s="559"/>
      <c r="JFX334" s="559"/>
      <c r="JFY334" s="559"/>
      <c r="JFZ334" s="559"/>
      <c r="JGA334" s="559"/>
      <c r="JGB334" s="559"/>
      <c r="JGC334" s="559"/>
      <c r="JGD334" s="559"/>
      <c r="JGE334" s="559"/>
      <c r="JGF334" s="559"/>
      <c r="JGG334" s="559"/>
      <c r="JGH334" s="559"/>
      <c r="JGI334" s="559"/>
      <c r="JGJ334" s="559"/>
      <c r="JGK334" s="559"/>
      <c r="JGL334" s="559"/>
      <c r="JGM334" s="559"/>
      <c r="JGN334" s="559"/>
      <c r="JGO334" s="559"/>
      <c r="JGP334" s="559"/>
      <c r="JGQ334" s="559"/>
      <c r="JGR334" s="559"/>
      <c r="JGS334" s="559"/>
      <c r="JGT334" s="559"/>
      <c r="JGU334" s="559"/>
      <c r="JGV334" s="559"/>
      <c r="JGW334" s="559"/>
      <c r="JGX334" s="559"/>
      <c r="JGY334" s="559"/>
      <c r="JGZ334" s="559"/>
      <c r="JHA334" s="559"/>
      <c r="JHB334" s="559"/>
      <c r="JHC334" s="559"/>
      <c r="JHD334" s="559"/>
      <c r="JHE334" s="559"/>
      <c r="JHF334" s="559"/>
      <c r="JHG334" s="559"/>
      <c r="JHH334" s="559"/>
      <c r="JHI334" s="559"/>
      <c r="JHJ334" s="559"/>
      <c r="JHK334" s="559"/>
      <c r="JHL334" s="559"/>
      <c r="JHM334" s="559"/>
      <c r="JHN334" s="559"/>
      <c r="JHO334" s="559"/>
      <c r="JHP334" s="559"/>
      <c r="JHQ334" s="559"/>
      <c r="JHR334" s="559"/>
      <c r="JHS334" s="559"/>
      <c r="JHT334" s="559"/>
      <c r="JHU334" s="559"/>
      <c r="JHV334" s="559"/>
      <c r="JHW334" s="559"/>
      <c r="JHX334" s="559"/>
      <c r="JHY334" s="559"/>
      <c r="JHZ334" s="559"/>
      <c r="JIA334" s="559"/>
      <c r="JIB334" s="559"/>
      <c r="JIC334" s="559"/>
      <c r="JID334" s="559"/>
      <c r="JIE334" s="559"/>
      <c r="JIF334" s="559"/>
      <c r="JIG334" s="559"/>
      <c r="JIH334" s="559"/>
      <c r="JII334" s="559"/>
      <c r="JIJ334" s="559"/>
      <c r="JIK334" s="559"/>
      <c r="JIL334" s="559"/>
      <c r="JIM334" s="559"/>
      <c r="JIN334" s="559"/>
      <c r="JIO334" s="559"/>
      <c r="JIP334" s="559"/>
      <c r="JIQ334" s="559"/>
      <c r="JIR334" s="559"/>
      <c r="JIS334" s="559"/>
      <c r="JIT334" s="559"/>
      <c r="JIU334" s="559"/>
      <c r="JIV334" s="559"/>
      <c r="JIW334" s="559"/>
      <c r="JIX334" s="559"/>
      <c r="JIY334" s="559"/>
      <c r="JIZ334" s="559"/>
      <c r="JJA334" s="559"/>
      <c r="JJB334" s="559"/>
      <c r="JJC334" s="559"/>
      <c r="JJD334" s="559"/>
      <c r="JJE334" s="559"/>
      <c r="JJF334" s="559"/>
      <c r="JJG334" s="559"/>
      <c r="JJH334" s="559"/>
      <c r="JJI334" s="559"/>
      <c r="JJJ334" s="559"/>
      <c r="JJK334" s="559"/>
      <c r="JJL334" s="559"/>
      <c r="JJM334" s="559"/>
      <c r="JJN334" s="559"/>
      <c r="JJO334" s="559"/>
      <c r="JJP334" s="559"/>
      <c r="JJQ334" s="559"/>
      <c r="JJR334" s="559"/>
      <c r="JJS334" s="559"/>
      <c r="JJT334" s="559"/>
      <c r="JJU334" s="559"/>
      <c r="JJV334" s="559"/>
      <c r="JJW334" s="559"/>
      <c r="JJX334" s="559"/>
      <c r="JJY334" s="559"/>
      <c r="JJZ334" s="559"/>
      <c r="JKA334" s="559"/>
      <c r="JKB334" s="559"/>
      <c r="JKC334" s="559"/>
      <c r="JKD334" s="559"/>
      <c r="JKE334" s="559"/>
      <c r="JKF334" s="559"/>
      <c r="JKG334" s="559"/>
      <c r="JKH334" s="559"/>
      <c r="JKI334" s="559"/>
      <c r="JKJ334" s="559"/>
      <c r="JKK334" s="559"/>
      <c r="JKL334" s="559"/>
      <c r="JKM334" s="559"/>
      <c r="JKN334" s="559"/>
      <c r="JKO334" s="559"/>
      <c r="JKP334" s="559"/>
      <c r="JKQ334" s="559"/>
      <c r="JKR334" s="559"/>
      <c r="JKS334" s="559"/>
      <c r="JKT334" s="559"/>
      <c r="JKU334" s="559"/>
      <c r="JKV334" s="559"/>
      <c r="JKW334" s="559"/>
      <c r="JKX334" s="559"/>
      <c r="JKY334" s="559"/>
      <c r="JKZ334" s="559"/>
      <c r="JLA334" s="559"/>
      <c r="JLB334" s="559"/>
      <c r="JLC334" s="559"/>
      <c r="JLD334" s="559"/>
      <c r="JLE334" s="559"/>
      <c r="JLF334" s="559"/>
      <c r="JLG334" s="559"/>
      <c r="JLH334" s="559"/>
      <c r="JLI334" s="559"/>
      <c r="JLJ334" s="559"/>
      <c r="JLK334" s="559"/>
      <c r="JLL334" s="559"/>
      <c r="JLM334" s="559"/>
      <c r="JLN334" s="559"/>
      <c r="JLO334" s="559"/>
      <c r="JLP334" s="559"/>
      <c r="JLQ334" s="559"/>
      <c r="JLR334" s="559"/>
      <c r="JLS334" s="559"/>
      <c r="JLT334" s="559"/>
      <c r="JLU334" s="559"/>
      <c r="JLV334" s="559"/>
      <c r="JLW334" s="559"/>
      <c r="JLX334" s="559"/>
      <c r="JLY334" s="559"/>
      <c r="JLZ334" s="559"/>
      <c r="JMA334" s="559"/>
      <c r="JMB334" s="559"/>
      <c r="JMC334" s="559"/>
      <c r="JMD334" s="559"/>
      <c r="JME334" s="559"/>
      <c r="JMF334" s="559"/>
      <c r="JMG334" s="559"/>
      <c r="JMH334" s="559"/>
      <c r="JMI334" s="559"/>
      <c r="JMJ334" s="559"/>
      <c r="JMK334" s="559"/>
      <c r="JML334" s="559"/>
      <c r="JMM334" s="559"/>
      <c r="JMN334" s="559"/>
      <c r="JMO334" s="559"/>
      <c r="JMP334" s="559"/>
      <c r="JMQ334" s="559"/>
      <c r="JMR334" s="559"/>
      <c r="JMS334" s="559"/>
      <c r="JMT334" s="559"/>
      <c r="JMU334" s="559"/>
      <c r="JMV334" s="559"/>
      <c r="JMW334" s="559"/>
      <c r="JMX334" s="559"/>
      <c r="JMY334" s="559"/>
      <c r="JMZ334" s="559"/>
      <c r="JNA334" s="559"/>
      <c r="JNB334" s="559"/>
      <c r="JNC334" s="559"/>
      <c r="JND334" s="559"/>
      <c r="JNE334" s="559"/>
      <c r="JNF334" s="559"/>
      <c r="JNG334" s="559"/>
      <c r="JNH334" s="559"/>
      <c r="JNI334" s="559"/>
      <c r="JNJ334" s="559"/>
      <c r="JNK334" s="559"/>
      <c r="JNL334" s="559"/>
      <c r="JNM334" s="559"/>
      <c r="JNN334" s="559"/>
      <c r="JNO334" s="559"/>
      <c r="JNP334" s="559"/>
      <c r="JNQ334" s="559"/>
      <c r="JNR334" s="559"/>
      <c r="JNS334" s="559"/>
      <c r="JNT334" s="559"/>
      <c r="JNU334" s="559"/>
      <c r="JNV334" s="559"/>
      <c r="JNW334" s="559"/>
      <c r="JNX334" s="559"/>
      <c r="JNY334" s="559"/>
      <c r="JNZ334" s="559"/>
      <c r="JOA334" s="559"/>
      <c r="JOB334" s="559"/>
      <c r="JOC334" s="559"/>
      <c r="JOD334" s="559"/>
      <c r="JOE334" s="559"/>
      <c r="JOF334" s="559"/>
      <c r="JOG334" s="559"/>
      <c r="JOH334" s="559"/>
      <c r="JOI334" s="559"/>
      <c r="JOJ334" s="559"/>
      <c r="JOK334" s="559"/>
      <c r="JOL334" s="559"/>
      <c r="JOM334" s="559"/>
      <c r="JON334" s="559"/>
      <c r="JOO334" s="559"/>
      <c r="JOP334" s="559"/>
      <c r="JOQ334" s="559"/>
      <c r="JOR334" s="559"/>
      <c r="JOS334" s="559"/>
      <c r="JOT334" s="559"/>
      <c r="JOU334" s="559"/>
      <c r="JOV334" s="559"/>
      <c r="JOW334" s="559"/>
      <c r="JOX334" s="559"/>
      <c r="JOY334" s="559"/>
      <c r="JOZ334" s="559"/>
      <c r="JPA334" s="559"/>
      <c r="JPB334" s="559"/>
      <c r="JPC334" s="559"/>
      <c r="JPD334" s="559"/>
      <c r="JPE334" s="559"/>
      <c r="JPF334" s="559"/>
      <c r="JPG334" s="559"/>
      <c r="JPH334" s="559"/>
      <c r="JPI334" s="559"/>
      <c r="JPJ334" s="559"/>
      <c r="JPK334" s="559"/>
      <c r="JPL334" s="559"/>
      <c r="JPM334" s="559"/>
      <c r="JPN334" s="559"/>
      <c r="JPO334" s="559"/>
      <c r="JPP334" s="559"/>
      <c r="JPQ334" s="559"/>
      <c r="JPR334" s="559"/>
      <c r="JPS334" s="559"/>
      <c r="JPT334" s="559"/>
      <c r="JPU334" s="559"/>
      <c r="JPV334" s="559"/>
      <c r="JPW334" s="559"/>
      <c r="JPX334" s="559"/>
      <c r="JPY334" s="559"/>
      <c r="JPZ334" s="559"/>
      <c r="JQA334" s="559"/>
      <c r="JQB334" s="559"/>
      <c r="JQC334" s="559"/>
      <c r="JQD334" s="559"/>
      <c r="JQE334" s="559"/>
      <c r="JQF334" s="559"/>
      <c r="JQG334" s="559"/>
      <c r="JQH334" s="559"/>
      <c r="JQI334" s="559"/>
      <c r="JQJ334" s="559"/>
      <c r="JQK334" s="559"/>
      <c r="JQL334" s="559"/>
      <c r="JQM334" s="559"/>
      <c r="JQN334" s="559"/>
      <c r="JQO334" s="559"/>
      <c r="JQP334" s="559"/>
      <c r="JQQ334" s="559"/>
      <c r="JQR334" s="559"/>
      <c r="JQS334" s="559"/>
      <c r="JQT334" s="559"/>
      <c r="JQU334" s="559"/>
      <c r="JQV334" s="559"/>
      <c r="JQW334" s="559"/>
      <c r="JQX334" s="559"/>
      <c r="JQY334" s="559"/>
      <c r="JQZ334" s="559"/>
      <c r="JRA334" s="559"/>
      <c r="JRB334" s="559"/>
      <c r="JRC334" s="559"/>
      <c r="JRD334" s="559"/>
      <c r="JRE334" s="559"/>
      <c r="JRF334" s="559"/>
      <c r="JRG334" s="559"/>
      <c r="JRH334" s="559"/>
      <c r="JRI334" s="559"/>
      <c r="JRJ334" s="559"/>
      <c r="JRK334" s="559"/>
      <c r="JRL334" s="559"/>
      <c r="JRM334" s="559"/>
      <c r="JRN334" s="559"/>
      <c r="JRO334" s="559"/>
      <c r="JRP334" s="559"/>
      <c r="JRQ334" s="559"/>
      <c r="JRR334" s="559"/>
      <c r="JRS334" s="559"/>
      <c r="JRT334" s="559"/>
      <c r="JRU334" s="559"/>
      <c r="JRV334" s="559"/>
      <c r="JRW334" s="559"/>
      <c r="JRX334" s="559"/>
      <c r="JRY334" s="559"/>
      <c r="JRZ334" s="559"/>
      <c r="JSA334" s="559"/>
      <c r="JSB334" s="559"/>
      <c r="JSC334" s="559"/>
      <c r="JSD334" s="559"/>
      <c r="JSE334" s="559"/>
      <c r="JSF334" s="559"/>
      <c r="JSG334" s="559"/>
      <c r="JSH334" s="559"/>
      <c r="JSI334" s="559"/>
      <c r="JSJ334" s="559"/>
      <c r="JSK334" s="559"/>
      <c r="JSL334" s="559"/>
      <c r="JSM334" s="559"/>
      <c r="JSN334" s="559"/>
      <c r="JSO334" s="559"/>
      <c r="JSP334" s="559"/>
      <c r="JSQ334" s="559"/>
      <c r="JSR334" s="559"/>
      <c r="JSS334" s="559"/>
      <c r="JST334" s="559"/>
      <c r="JSU334" s="559"/>
      <c r="JSV334" s="559"/>
      <c r="JSW334" s="559"/>
      <c r="JSX334" s="559"/>
      <c r="JSY334" s="559"/>
      <c r="JSZ334" s="559"/>
      <c r="JTA334" s="559"/>
      <c r="JTB334" s="559"/>
      <c r="JTC334" s="559"/>
      <c r="JTD334" s="559"/>
      <c r="JTE334" s="559"/>
      <c r="JTF334" s="559"/>
      <c r="JTG334" s="559"/>
      <c r="JTH334" s="559"/>
      <c r="JTI334" s="559"/>
      <c r="JTJ334" s="559"/>
      <c r="JTK334" s="559"/>
      <c r="JTL334" s="559"/>
      <c r="JTM334" s="559"/>
      <c r="JTN334" s="559"/>
      <c r="JTO334" s="559"/>
      <c r="JTP334" s="559"/>
      <c r="JTQ334" s="559"/>
      <c r="JTR334" s="559"/>
      <c r="JTS334" s="559"/>
      <c r="JTT334" s="559"/>
      <c r="JTU334" s="559"/>
      <c r="JTV334" s="559"/>
      <c r="JTW334" s="559"/>
      <c r="JTX334" s="559"/>
      <c r="JTY334" s="559"/>
      <c r="JTZ334" s="559"/>
      <c r="JUA334" s="559"/>
      <c r="JUB334" s="559"/>
      <c r="JUC334" s="559"/>
      <c r="JUD334" s="559"/>
      <c r="JUE334" s="559"/>
      <c r="JUF334" s="559"/>
      <c r="JUG334" s="559"/>
      <c r="JUH334" s="559"/>
      <c r="JUI334" s="559"/>
      <c r="JUJ334" s="559"/>
      <c r="JUK334" s="559"/>
      <c r="JUL334" s="559"/>
      <c r="JUM334" s="559"/>
      <c r="JUN334" s="559"/>
      <c r="JUO334" s="559"/>
      <c r="JUP334" s="559"/>
      <c r="JUQ334" s="559"/>
      <c r="JUR334" s="559"/>
      <c r="JUS334" s="559"/>
      <c r="JUT334" s="559"/>
      <c r="JUU334" s="559"/>
      <c r="JUV334" s="559"/>
      <c r="JUW334" s="559"/>
      <c r="JUX334" s="559"/>
      <c r="JUY334" s="559"/>
      <c r="JUZ334" s="559"/>
      <c r="JVA334" s="559"/>
      <c r="JVB334" s="559"/>
      <c r="JVC334" s="559"/>
      <c r="JVD334" s="559"/>
      <c r="JVE334" s="559"/>
      <c r="JVF334" s="559"/>
      <c r="JVG334" s="559"/>
      <c r="JVH334" s="559"/>
      <c r="JVI334" s="559"/>
      <c r="JVJ334" s="559"/>
      <c r="JVK334" s="559"/>
      <c r="JVL334" s="559"/>
      <c r="JVM334" s="559"/>
      <c r="JVN334" s="559"/>
      <c r="JVO334" s="559"/>
      <c r="JVP334" s="559"/>
      <c r="JVQ334" s="559"/>
      <c r="JVR334" s="559"/>
      <c r="JVS334" s="559"/>
      <c r="JVT334" s="559"/>
      <c r="JVU334" s="559"/>
      <c r="JVV334" s="559"/>
      <c r="JVW334" s="559"/>
      <c r="JVX334" s="559"/>
      <c r="JVY334" s="559"/>
      <c r="JVZ334" s="559"/>
      <c r="JWA334" s="559"/>
      <c r="JWB334" s="559"/>
      <c r="JWC334" s="559"/>
      <c r="JWD334" s="559"/>
      <c r="JWE334" s="559"/>
      <c r="JWF334" s="559"/>
      <c r="JWG334" s="559"/>
      <c r="JWH334" s="559"/>
      <c r="JWI334" s="559"/>
      <c r="JWJ334" s="559"/>
      <c r="JWK334" s="559"/>
      <c r="JWL334" s="559"/>
      <c r="JWM334" s="559"/>
      <c r="JWN334" s="559"/>
      <c r="JWO334" s="559"/>
      <c r="JWP334" s="559"/>
      <c r="JWQ334" s="559"/>
      <c r="JWR334" s="559"/>
      <c r="JWS334" s="559"/>
      <c r="JWT334" s="559"/>
      <c r="JWU334" s="559"/>
      <c r="JWV334" s="559"/>
      <c r="JWW334" s="559"/>
      <c r="JWX334" s="559"/>
      <c r="JWY334" s="559"/>
      <c r="JWZ334" s="559"/>
      <c r="JXA334" s="559"/>
      <c r="JXB334" s="559"/>
      <c r="JXC334" s="559"/>
      <c r="JXD334" s="559"/>
      <c r="JXE334" s="559"/>
      <c r="JXF334" s="559"/>
      <c r="JXG334" s="559"/>
      <c r="JXH334" s="559"/>
      <c r="JXI334" s="559"/>
      <c r="JXJ334" s="559"/>
      <c r="JXK334" s="559"/>
      <c r="JXL334" s="559"/>
      <c r="JXM334" s="559"/>
      <c r="JXN334" s="559"/>
      <c r="JXO334" s="559"/>
      <c r="JXP334" s="559"/>
      <c r="JXQ334" s="559"/>
      <c r="JXR334" s="559"/>
      <c r="JXS334" s="559"/>
      <c r="JXT334" s="559"/>
      <c r="JXU334" s="559"/>
      <c r="JXV334" s="559"/>
      <c r="JXW334" s="559"/>
      <c r="JXX334" s="559"/>
      <c r="JXY334" s="559"/>
      <c r="JXZ334" s="559"/>
      <c r="JYA334" s="559"/>
      <c r="JYB334" s="559"/>
      <c r="JYC334" s="559"/>
      <c r="JYD334" s="559"/>
      <c r="JYE334" s="559"/>
      <c r="JYF334" s="559"/>
      <c r="JYG334" s="559"/>
      <c r="JYH334" s="559"/>
      <c r="JYI334" s="559"/>
      <c r="JYJ334" s="559"/>
      <c r="JYK334" s="559"/>
      <c r="JYL334" s="559"/>
      <c r="JYM334" s="559"/>
      <c r="JYN334" s="559"/>
      <c r="JYO334" s="559"/>
      <c r="JYP334" s="559"/>
      <c r="JYQ334" s="559"/>
      <c r="JYR334" s="559"/>
      <c r="JYS334" s="559"/>
      <c r="JYT334" s="559"/>
      <c r="JYU334" s="559"/>
      <c r="JYV334" s="559"/>
      <c r="JYW334" s="559"/>
      <c r="JYX334" s="559"/>
      <c r="JYY334" s="559"/>
      <c r="JYZ334" s="559"/>
      <c r="JZA334" s="559"/>
      <c r="JZB334" s="559"/>
      <c r="JZC334" s="559"/>
      <c r="JZD334" s="559"/>
      <c r="JZE334" s="559"/>
      <c r="JZF334" s="559"/>
      <c r="JZG334" s="559"/>
      <c r="JZH334" s="559"/>
      <c r="JZI334" s="559"/>
      <c r="JZJ334" s="559"/>
      <c r="JZK334" s="559"/>
      <c r="JZL334" s="559"/>
      <c r="JZM334" s="559"/>
      <c r="JZN334" s="559"/>
      <c r="JZO334" s="559"/>
      <c r="JZP334" s="559"/>
      <c r="JZQ334" s="559"/>
      <c r="JZR334" s="559"/>
      <c r="JZS334" s="559"/>
      <c r="JZT334" s="559"/>
      <c r="JZU334" s="559"/>
      <c r="JZV334" s="559"/>
      <c r="JZW334" s="559"/>
      <c r="JZX334" s="559"/>
      <c r="JZY334" s="559"/>
      <c r="JZZ334" s="559"/>
      <c r="KAA334" s="559"/>
      <c r="KAB334" s="559"/>
      <c r="KAC334" s="559"/>
      <c r="KAD334" s="559"/>
      <c r="KAE334" s="559"/>
      <c r="KAF334" s="559"/>
      <c r="KAG334" s="559"/>
      <c r="KAH334" s="559"/>
      <c r="KAI334" s="559"/>
      <c r="KAJ334" s="559"/>
      <c r="KAK334" s="559"/>
      <c r="KAL334" s="559"/>
      <c r="KAM334" s="559"/>
      <c r="KAN334" s="559"/>
      <c r="KAO334" s="559"/>
      <c r="KAP334" s="559"/>
      <c r="KAQ334" s="559"/>
      <c r="KAR334" s="559"/>
      <c r="KAS334" s="559"/>
      <c r="KAT334" s="559"/>
      <c r="KAU334" s="559"/>
      <c r="KAV334" s="559"/>
      <c r="KAW334" s="559"/>
      <c r="KAX334" s="559"/>
      <c r="KAY334" s="559"/>
      <c r="KAZ334" s="559"/>
      <c r="KBA334" s="559"/>
      <c r="KBB334" s="559"/>
      <c r="KBC334" s="559"/>
      <c r="KBD334" s="559"/>
      <c r="KBE334" s="559"/>
      <c r="KBF334" s="559"/>
      <c r="KBG334" s="559"/>
      <c r="KBH334" s="559"/>
      <c r="KBI334" s="559"/>
      <c r="KBJ334" s="559"/>
      <c r="KBK334" s="559"/>
      <c r="KBL334" s="559"/>
      <c r="KBM334" s="559"/>
      <c r="KBN334" s="559"/>
      <c r="KBO334" s="559"/>
      <c r="KBP334" s="559"/>
      <c r="KBQ334" s="559"/>
      <c r="KBR334" s="559"/>
      <c r="KBS334" s="559"/>
      <c r="KBT334" s="559"/>
      <c r="KBU334" s="559"/>
      <c r="KBV334" s="559"/>
      <c r="KBW334" s="559"/>
      <c r="KBX334" s="559"/>
      <c r="KBY334" s="559"/>
      <c r="KBZ334" s="559"/>
      <c r="KCA334" s="559"/>
      <c r="KCB334" s="559"/>
      <c r="KCC334" s="559"/>
      <c r="KCD334" s="559"/>
      <c r="KCE334" s="559"/>
      <c r="KCF334" s="559"/>
      <c r="KCG334" s="559"/>
      <c r="KCH334" s="559"/>
      <c r="KCI334" s="559"/>
      <c r="KCJ334" s="559"/>
      <c r="KCK334" s="559"/>
      <c r="KCL334" s="559"/>
      <c r="KCM334" s="559"/>
      <c r="KCN334" s="559"/>
      <c r="KCO334" s="559"/>
      <c r="KCP334" s="559"/>
      <c r="KCQ334" s="559"/>
      <c r="KCR334" s="559"/>
      <c r="KCS334" s="559"/>
      <c r="KCT334" s="559"/>
      <c r="KCU334" s="559"/>
      <c r="KCV334" s="559"/>
      <c r="KCW334" s="559"/>
      <c r="KCX334" s="559"/>
      <c r="KCY334" s="559"/>
      <c r="KCZ334" s="559"/>
      <c r="KDA334" s="559"/>
      <c r="KDB334" s="559"/>
      <c r="KDC334" s="559"/>
      <c r="KDD334" s="559"/>
      <c r="KDE334" s="559"/>
      <c r="KDF334" s="559"/>
      <c r="KDG334" s="559"/>
      <c r="KDH334" s="559"/>
      <c r="KDI334" s="559"/>
      <c r="KDJ334" s="559"/>
      <c r="KDK334" s="559"/>
      <c r="KDL334" s="559"/>
      <c r="KDM334" s="559"/>
      <c r="KDN334" s="559"/>
      <c r="KDO334" s="559"/>
      <c r="KDP334" s="559"/>
      <c r="KDQ334" s="559"/>
      <c r="KDR334" s="559"/>
      <c r="KDS334" s="559"/>
      <c r="KDT334" s="559"/>
      <c r="KDU334" s="559"/>
      <c r="KDV334" s="559"/>
      <c r="KDW334" s="559"/>
      <c r="KDX334" s="559"/>
      <c r="KDY334" s="559"/>
      <c r="KDZ334" s="559"/>
      <c r="KEA334" s="559"/>
      <c r="KEB334" s="559"/>
      <c r="KEC334" s="559"/>
      <c r="KED334" s="559"/>
      <c r="KEE334" s="559"/>
      <c r="KEF334" s="559"/>
      <c r="KEG334" s="559"/>
      <c r="KEH334" s="559"/>
      <c r="KEI334" s="559"/>
      <c r="KEJ334" s="559"/>
      <c r="KEK334" s="559"/>
      <c r="KEL334" s="559"/>
      <c r="KEM334" s="559"/>
      <c r="KEN334" s="559"/>
      <c r="KEO334" s="559"/>
      <c r="KEP334" s="559"/>
      <c r="KEQ334" s="559"/>
      <c r="KER334" s="559"/>
      <c r="KES334" s="559"/>
      <c r="KET334" s="559"/>
      <c r="KEU334" s="559"/>
      <c r="KEV334" s="559"/>
      <c r="KEW334" s="559"/>
      <c r="KEX334" s="559"/>
      <c r="KEY334" s="559"/>
      <c r="KEZ334" s="559"/>
      <c r="KFA334" s="559"/>
      <c r="KFB334" s="559"/>
      <c r="KFC334" s="559"/>
      <c r="KFD334" s="559"/>
      <c r="KFE334" s="559"/>
      <c r="KFF334" s="559"/>
      <c r="KFG334" s="559"/>
      <c r="KFH334" s="559"/>
      <c r="KFI334" s="559"/>
      <c r="KFJ334" s="559"/>
      <c r="KFK334" s="559"/>
      <c r="KFL334" s="559"/>
      <c r="KFM334" s="559"/>
      <c r="KFN334" s="559"/>
      <c r="KFO334" s="559"/>
      <c r="KFP334" s="559"/>
      <c r="KFQ334" s="559"/>
      <c r="KFR334" s="559"/>
      <c r="KFS334" s="559"/>
      <c r="KFT334" s="559"/>
      <c r="KFU334" s="559"/>
      <c r="KFV334" s="559"/>
      <c r="KFW334" s="559"/>
      <c r="KFX334" s="559"/>
      <c r="KFY334" s="559"/>
      <c r="KFZ334" s="559"/>
      <c r="KGA334" s="559"/>
      <c r="KGB334" s="559"/>
      <c r="KGC334" s="559"/>
      <c r="KGD334" s="559"/>
      <c r="KGE334" s="559"/>
      <c r="KGF334" s="559"/>
      <c r="KGG334" s="559"/>
      <c r="KGH334" s="559"/>
      <c r="KGI334" s="559"/>
      <c r="KGJ334" s="559"/>
      <c r="KGK334" s="559"/>
      <c r="KGL334" s="559"/>
      <c r="KGM334" s="559"/>
      <c r="KGN334" s="559"/>
      <c r="KGO334" s="559"/>
      <c r="KGP334" s="559"/>
      <c r="KGQ334" s="559"/>
      <c r="KGR334" s="559"/>
      <c r="KGS334" s="559"/>
      <c r="KGT334" s="559"/>
      <c r="KGU334" s="559"/>
      <c r="KGV334" s="559"/>
      <c r="KGW334" s="559"/>
      <c r="KGX334" s="559"/>
      <c r="KGY334" s="559"/>
      <c r="KGZ334" s="559"/>
      <c r="KHA334" s="559"/>
      <c r="KHB334" s="559"/>
      <c r="KHC334" s="559"/>
      <c r="KHD334" s="559"/>
      <c r="KHE334" s="559"/>
      <c r="KHF334" s="559"/>
      <c r="KHG334" s="559"/>
      <c r="KHH334" s="559"/>
      <c r="KHI334" s="559"/>
      <c r="KHJ334" s="559"/>
      <c r="KHK334" s="559"/>
      <c r="KHL334" s="559"/>
      <c r="KHM334" s="559"/>
      <c r="KHN334" s="559"/>
      <c r="KHO334" s="559"/>
      <c r="KHP334" s="559"/>
      <c r="KHQ334" s="559"/>
      <c r="KHR334" s="559"/>
      <c r="KHS334" s="559"/>
      <c r="KHT334" s="559"/>
      <c r="KHU334" s="559"/>
      <c r="KHV334" s="559"/>
      <c r="KHW334" s="559"/>
      <c r="KHX334" s="559"/>
      <c r="KHY334" s="559"/>
      <c r="KHZ334" s="559"/>
      <c r="KIA334" s="559"/>
      <c r="KIB334" s="559"/>
      <c r="KIC334" s="559"/>
      <c r="KID334" s="559"/>
      <c r="KIE334" s="559"/>
      <c r="KIF334" s="559"/>
      <c r="KIG334" s="559"/>
      <c r="KIH334" s="559"/>
      <c r="KII334" s="559"/>
      <c r="KIJ334" s="559"/>
      <c r="KIK334" s="559"/>
      <c r="KIL334" s="559"/>
      <c r="KIM334" s="559"/>
      <c r="KIN334" s="559"/>
      <c r="KIO334" s="559"/>
      <c r="KIP334" s="559"/>
      <c r="KIQ334" s="559"/>
      <c r="KIR334" s="559"/>
      <c r="KIS334" s="559"/>
      <c r="KIT334" s="559"/>
      <c r="KIU334" s="559"/>
      <c r="KIV334" s="559"/>
      <c r="KIW334" s="559"/>
      <c r="KIX334" s="559"/>
      <c r="KIY334" s="559"/>
      <c r="KIZ334" s="559"/>
      <c r="KJA334" s="559"/>
      <c r="KJB334" s="559"/>
      <c r="KJC334" s="559"/>
      <c r="KJD334" s="559"/>
      <c r="KJE334" s="559"/>
      <c r="KJF334" s="559"/>
      <c r="KJG334" s="559"/>
      <c r="KJH334" s="559"/>
      <c r="KJI334" s="559"/>
      <c r="KJJ334" s="559"/>
      <c r="KJK334" s="559"/>
      <c r="KJL334" s="559"/>
      <c r="KJM334" s="559"/>
      <c r="KJN334" s="559"/>
      <c r="KJO334" s="559"/>
      <c r="KJP334" s="559"/>
      <c r="KJQ334" s="559"/>
      <c r="KJR334" s="559"/>
      <c r="KJS334" s="559"/>
      <c r="KJT334" s="559"/>
      <c r="KJU334" s="559"/>
      <c r="KJV334" s="559"/>
      <c r="KJW334" s="559"/>
      <c r="KJX334" s="559"/>
      <c r="KJY334" s="559"/>
      <c r="KJZ334" s="559"/>
      <c r="KKA334" s="559"/>
      <c r="KKB334" s="559"/>
      <c r="KKC334" s="559"/>
      <c r="KKD334" s="559"/>
      <c r="KKE334" s="559"/>
      <c r="KKF334" s="559"/>
      <c r="KKG334" s="559"/>
      <c r="KKH334" s="559"/>
      <c r="KKI334" s="559"/>
      <c r="KKJ334" s="559"/>
      <c r="KKK334" s="559"/>
      <c r="KKL334" s="559"/>
      <c r="KKM334" s="559"/>
      <c r="KKN334" s="559"/>
      <c r="KKO334" s="559"/>
      <c r="KKP334" s="559"/>
      <c r="KKQ334" s="559"/>
      <c r="KKR334" s="559"/>
      <c r="KKS334" s="559"/>
      <c r="KKT334" s="559"/>
      <c r="KKU334" s="559"/>
      <c r="KKV334" s="559"/>
      <c r="KKW334" s="559"/>
      <c r="KKX334" s="559"/>
      <c r="KKY334" s="559"/>
      <c r="KKZ334" s="559"/>
      <c r="KLA334" s="559"/>
      <c r="KLB334" s="559"/>
      <c r="KLC334" s="559"/>
      <c r="KLD334" s="559"/>
      <c r="KLE334" s="559"/>
      <c r="KLF334" s="559"/>
      <c r="KLG334" s="559"/>
      <c r="KLH334" s="559"/>
      <c r="KLI334" s="559"/>
      <c r="KLJ334" s="559"/>
      <c r="KLK334" s="559"/>
      <c r="KLL334" s="559"/>
      <c r="KLM334" s="559"/>
      <c r="KLN334" s="559"/>
      <c r="KLO334" s="559"/>
      <c r="KLP334" s="559"/>
      <c r="KLQ334" s="559"/>
      <c r="KLR334" s="559"/>
      <c r="KLS334" s="559"/>
      <c r="KLT334" s="559"/>
      <c r="KLU334" s="559"/>
      <c r="KLV334" s="559"/>
      <c r="KLW334" s="559"/>
      <c r="KLX334" s="559"/>
      <c r="KLY334" s="559"/>
      <c r="KLZ334" s="559"/>
      <c r="KMA334" s="559"/>
      <c r="KMB334" s="559"/>
      <c r="KMC334" s="559"/>
      <c r="KMD334" s="559"/>
      <c r="KME334" s="559"/>
      <c r="KMF334" s="559"/>
      <c r="KMG334" s="559"/>
      <c r="KMH334" s="559"/>
      <c r="KMI334" s="559"/>
      <c r="KMJ334" s="559"/>
      <c r="KMK334" s="559"/>
      <c r="KML334" s="559"/>
      <c r="KMM334" s="559"/>
      <c r="KMN334" s="559"/>
      <c r="KMO334" s="559"/>
      <c r="KMP334" s="559"/>
      <c r="KMQ334" s="559"/>
      <c r="KMR334" s="559"/>
      <c r="KMS334" s="559"/>
      <c r="KMT334" s="559"/>
      <c r="KMU334" s="559"/>
      <c r="KMV334" s="559"/>
      <c r="KMW334" s="559"/>
      <c r="KMX334" s="559"/>
      <c r="KMY334" s="559"/>
      <c r="KMZ334" s="559"/>
      <c r="KNA334" s="559"/>
      <c r="KNB334" s="559"/>
      <c r="KNC334" s="559"/>
      <c r="KND334" s="559"/>
      <c r="KNE334" s="559"/>
      <c r="KNF334" s="559"/>
      <c r="KNG334" s="559"/>
      <c r="KNH334" s="559"/>
      <c r="KNI334" s="559"/>
      <c r="KNJ334" s="559"/>
      <c r="KNK334" s="559"/>
      <c r="KNL334" s="559"/>
      <c r="KNM334" s="559"/>
      <c r="KNN334" s="559"/>
      <c r="KNO334" s="559"/>
      <c r="KNP334" s="559"/>
      <c r="KNQ334" s="559"/>
      <c r="KNR334" s="559"/>
      <c r="KNS334" s="559"/>
      <c r="KNT334" s="559"/>
      <c r="KNU334" s="559"/>
      <c r="KNV334" s="559"/>
      <c r="KNW334" s="559"/>
      <c r="KNX334" s="559"/>
      <c r="KNY334" s="559"/>
      <c r="KNZ334" s="559"/>
      <c r="KOA334" s="559"/>
      <c r="KOB334" s="559"/>
      <c r="KOC334" s="559"/>
      <c r="KOD334" s="559"/>
      <c r="KOE334" s="559"/>
      <c r="KOF334" s="559"/>
      <c r="KOG334" s="559"/>
      <c r="KOH334" s="559"/>
      <c r="KOI334" s="559"/>
      <c r="KOJ334" s="559"/>
      <c r="KOK334" s="559"/>
      <c r="KOL334" s="559"/>
      <c r="KOM334" s="559"/>
      <c r="KON334" s="559"/>
      <c r="KOO334" s="559"/>
      <c r="KOP334" s="559"/>
      <c r="KOQ334" s="559"/>
      <c r="KOR334" s="559"/>
      <c r="KOS334" s="559"/>
      <c r="KOT334" s="559"/>
      <c r="KOU334" s="559"/>
      <c r="KOV334" s="559"/>
      <c r="KOW334" s="559"/>
      <c r="KOX334" s="559"/>
      <c r="KOY334" s="559"/>
      <c r="KOZ334" s="559"/>
      <c r="KPA334" s="559"/>
      <c r="KPB334" s="559"/>
      <c r="KPC334" s="559"/>
      <c r="KPD334" s="559"/>
      <c r="KPE334" s="559"/>
      <c r="KPF334" s="559"/>
      <c r="KPG334" s="559"/>
      <c r="KPH334" s="559"/>
      <c r="KPI334" s="559"/>
      <c r="KPJ334" s="559"/>
      <c r="KPK334" s="559"/>
      <c r="KPL334" s="559"/>
      <c r="KPM334" s="559"/>
      <c r="KPN334" s="559"/>
      <c r="KPO334" s="559"/>
      <c r="KPP334" s="559"/>
      <c r="KPQ334" s="559"/>
      <c r="KPR334" s="559"/>
      <c r="KPS334" s="559"/>
      <c r="KPT334" s="559"/>
      <c r="KPU334" s="559"/>
      <c r="KPV334" s="559"/>
      <c r="KPW334" s="559"/>
      <c r="KPX334" s="559"/>
      <c r="KPY334" s="559"/>
      <c r="KPZ334" s="559"/>
      <c r="KQA334" s="559"/>
      <c r="KQB334" s="559"/>
      <c r="KQC334" s="559"/>
      <c r="KQD334" s="559"/>
      <c r="KQE334" s="559"/>
      <c r="KQF334" s="559"/>
      <c r="KQG334" s="559"/>
      <c r="KQH334" s="559"/>
      <c r="KQI334" s="559"/>
      <c r="KQJ334" s="559"/>
      <c r="KQK334" s="559"/>
      <c r="KQL334" s="559"/>
      <c r="KQM334" s="559"/>
      <c r="KQN334" s="559"/>
      <c r="KQO334" s="559"/>
      <c r="KQP334" s="559"/>
      <c r="KQQ334" s="559"/>
      <c r="KQR334" s="559"/>
      <c r="KQS334" s="559"/>
      <c r="KQT334" s="559"/>
      <c r="KQU334" s="559"/>
      <c r="KQV334" s="559"/>
      <c r="KQW334" s="559"/>
      <c r="KQX334" s="559"/>
      <c r="KQY334" s="559"/>
      <c r="KQZ334" s="559"/>
      <c r="KRA334" s="559"/>
      <c r="KRB334" s="559"/>
      <c r="KRC334" s="559"/>
      <c r="KRD334" s="559"/>
      <c r="KRE334" s="559"/>
      <c r="KRF334" s="559"/>
      <c r="KRG334" s="559"/>
      <c r="KRH334" s="559"/>
      <c r="KRI334" s="559"/>
      <c r="KRJ334" s="559"/>
      <c r="KRK334" s="559"/>
      <c r="KRL334" s="559"/>
      <c r="KRM334" s="559"/>
      <c r="KRN334" s="559"/>
      <c r="KRO334" s="559"/>
      <c r="KRP334" s="559"/>
      <c r="KRQ334" s="559"/>
      <c r="KRR334" s="559"/>
      <c r="KRS334" s="559"/>
      <c r="KRT334" s="559"/>
      <c r="KRU334" s="559"/>
      <c r="KRV334" s="559"/>
      <c r="KRW334" s="559"/>
      <c r="KRX334" s="559"/>
      <c r="KRY334" s="559"/>
      <c r="KRZ334" s="559"/>
      <c r="KSA334" s="559"/>
      <c r="KSB334" s="559"/>
      <c r="KSC334" s="559"/>
      <c r="KSD334" s="559"/>
      <c r="KSE334" s="559"/>
      <c r="KSF334" s="559"/>
      <c r="KSG334" s="559"/>
      <c r="KSH334" s="559"/>
      <c r="KSI334" s="559"/>
      <c r="KSJ334" s="559"/>
      <c r="KSK334" s="559"/>
      <c r="KSL334" s="559"/>
      <c r="KSM334" s="559"/>
      <c r="KSN334" s="559"/>
      <c r="KSO334" s="559"/>
      <c r="KSP334" s="559"/>
      <c r="KSQ334" s="559"/>
      <c r="KSR334" s="559"/>
      <c r="KSS334" s="559"/>
      <c r="KST334" s="559"/>
      <c r="KSU334" s="559"/>
      <c r="KSV334" s="559"/>
      <c r="KSW334" s="559"/>
      <c r="KSX334" s="559"/>
      <c r="KSY334" s="559"/>
      <c r="KSZ334" s="559"/>
      <c r="KTA334" s="559"/>
      <c r="KTB334" s="559"/>
      <c r="KTC334" s="559"/>
      <c r="KTD334" s="559"/>
      <c r="KTE334" s="559"/>
      <c r="KTF334" s="559"/>
      <c r="KTG334" s="559"/>
      <c r="KTH334" s="559"/>
      <c r="KTI334" s="559"/>
      <c r="KTJ334" s="559"/>
      <c r="KTK334" s="559"/>
      <c r="KTL334" s="559"/>
      <c r="KTM334" s="559"/>
      <c r="KTN334" s="559"/>
      <c r="KTO334" s="559"/>
      <c r="KTP334" s="559"/>
      <c r="KTQ334" s="559"/>
      <c r="KTR334" s="559"/>
      <c r="KTS334" s="559"/>
      <c r="KTT334" s="559"/>
      <c r="KTU334" s="559"/>
      <c r="KTV334" s="559"/>
      <c r="KTW334" s="559"/>
      <c r="KTX334" s="559"/>
      <c r="KTY334" s="559"/>
      <c r="KTZ334" s="559"/>
      <c r="KUA334" s="559"/>
      <c r="KUB334" s="559"/>
      <c r="KUC334" s="559"/>
      <c r="KUD334" s="559"/>
      <c r="KUE334" s="559"/>
      <c r="KUF334" s="559"/>
      <c r="KUG334" s="559"/>
      <c r="KUH334" s="559"/>
      <c r="KUI334" s="559"/>
      <c r="KUJ334" s="559"/>
      <c r="KUK334" s="559"/>
      <c r="KUL334" s="559"/>
      <c r="KUM334" s="559"/>
      <c r="KUN334" s="559"/>
      <c r="KUO334" s="559"/>
      <c r="KUP334" s="559"/>
      <c r="KUQ334" s="559"/>
      <c r="KUR334" s="559"/>
      <c r="KUS334" s="559"/>
      <c r="KUT334" s="559"/>
      <c r="KUU334" s="559"/>
      <c r="KUV334" s="559"/>
      <c r="KUW334" s="559"/>
      <c r="KUX334" s="559"/>
      <c r="KUY334" s="559"/>
      <c r="KUZ334" s="559"/>
      <c r="KVA334" s="559"/>
      <c r="KVB334" s="559"/>
      <c r="KVC334" s="559"/>
      <c r="KVD334" s="559"/>
      <c r="KVE334" s="559"/>
      <c r="KVF334" s="559"/>
      <c r="KVG334" s="559"/>
      <c r="KVH334" s="559"/>
      <c r="KVI334" s="559"/>
      <c r="KVJ334" s="559"/>
      <c r="KVK334" s="559"/>
      <c r="KVL334" s="559"/>
      <c r="KVM334" s="559"/>
      <c r="KVN334" s="559"/>
      <c r="KVO334" s="559"/>
      <c r="KVP334" s="559"/>
      <c r="KVQ334" s="559"/>
      <c r="KVR334" s="559"/>
      <c r="KVS334" s="559"/>
      <c r="KVT334" s="559"/>
      <c r="KVU334" s="559"/>
      <c r="KVV334" s="559"/>
      <c r="KVW334" s="559"/>
      <c r="KVX334" s="559"/>
      <c r="KVY334" s="559"/>
      <c r="KVZ334" s="559"/>
      <c r="KWA334" s="559"/>
      <c r="KWB334" s="559"/>
      <c r="KWC334" s="559"/>
      <c r="KWD334" s="559"/>
      <c r="KWE334" s="559"/>
      <c r="KWF334" s="559"/>
      <c r="KWG334" s="559"/>
      <c r="KWH334" s="559"/>
      <c r="KWI334" s="559"/>
      <c r="KWJ334" s="559"/>
      <c r="KWK334" s="559"/>
      <c r="KWL334" s="559"/>
      <c r="KWM334" s="559"/>
      <c r="KWN334" s="559"/>
      <c r="KWO334" s="559"/>
      <c r="KWP334" s="559"/>
      <c r="KWQ334" s="559"/>
      <c r="KWR334" s="559"/>
      <c r="KWS334" s="559"/>
      <c r="KWT334" s="559"/>
      <c r="KWU334" s="559"/>
      <c r="KWV334" s="559"/>
      <c r="KWW334" s="559"/>
      <c r="KWX334" s="559"/>
      <c r="KWY334" s="559"/>
      <c r="KWZ334" s="559"/>
      <c r="KXA334" s="559"/>
      <c r="KXB334" s="559"/>
      <c r="KXC334" s="559"/>
      <c r="KXD334" s="559"/>
      <c r="KXE334" s="559"/>
      <c r="KXF334" s="559"/>
      <c r="KXG334" s="559"/>
      <c r="KXH334" s="559"/>
      <c r="KXI334" s="559"/>
      <c r="KXJ334" s="559"/>
      <c r="KXK334" s="559"/>
      <c r="KXL334" s="559"/>
      <c r="KXM334" s="559"/>
      <c r="KXN334" s="559"/>
      <c r="KXO334" s="559"/>
      <c r="KXP334" s="559"/>
      <c r="KXQ334" s="559"/>
      <c r="KXR334" s="559"/>
      <c r="KXS334" s="559"/>
      <c r="KXT334" s="559"/>
      <c r="KXU334" s="559"/>
      <c r="KXV334" s="559"/>
      <c r="KXW334" s="559"/>
      <c r="KXX334" s="559"/>
      <c r="KXY334" s="559"/>
      <c r="KXZ334" s="559"/>
      <c r="KYA334" s="559"/>
      <c r="KYB334" s="559"/>
      <c r="KYC334" s="559"/>
      <c r="KYD334" s="559"/>
      <c r="KYE334" s="559"/>
      <c r="KYF334" s="559"/>
      <c r="KYG334" s="559"/>
      <c r="KYH334" s="559"/>
      <c r="KYI334" s="559"/>
      <c r="KYJ334" s="559"/>
      <c r="KYK334" s="559"/>
      <c r="KYL334" s="559"/>
      <c r="KYM334" s="559"/>
      <c r="KYN334" s="559"/>
      <c r="KYO334" s="559"/>
      <c r="KYP334" s="559"/>
      <c r="KYQ334" s="559"/>
      <c r="KYR334" s="559"/>
      <c r="KYS334" s="559"/>
      <c r="KYT334" s="559"/>
      <c r="KYU334" s="559"/>
      <c r="KYV334" s="559"/>
      <c r="KYW334" s="559"/>
      <c r="KYX334" s="559"/>
      <c r="KYY334" s="559"/>
      <c r="KYZ334" s="559"/>
      <c r="KZA334" s="559"/>
      <c r="KZB334" s="559"/>
      <c r="KZC334" s="559"/>
      <c r="KZD334" s="559"/>
      <c r="KZE334" s="559"/>
      <c r="KZF334" s="559"/>
      <c r="KZG334" s="559"/>
      <c r="KZH334" s="559"/>
      <c r="KZI334" s="559"/>
      <c r="KZJ334" s="559"/>
      <c r="KZK334" s="559"/>
      <c r="KZL334" s="559"/>
      <c r="KZM334" s="559"/>
      <c r="KZN334" s="559"/>
      <c r="KZO334" s="559"/>
      <c r="KZP334" s="559"/>
      <c r="KZQ334" s="559"/>
      <c r="KZR334" s="559"/>
      <c r="KZS334" s="559"/>
      <c r="KZT334" s="559"/>
      <c r="KZU334" s="559"/>
      <c r="KZV334" s="559"/>
      <c r="KZW334" s="559"/>
      <c r="KZX334" s="559"/>
      <c r="KZY334" s="559"/>
      <c r="KZZ334" s="559"/>
      <c r="LAA334" s="559"/>
      <c r="LAB334" s="559"/>
      <c r="LAC334" s="559"/>
      <c r="LAD334" s="559"/>
      <c r="LAE334" s="559"/>
      <c r="LAF334" s="559"/>
      <c r="LAG334" s="559"/>
      <c r="LAH334" s="559"/>
      <c r="LAI334" s="559"/>
      <c r="LAJ334" s="559"/>
      <c r="LAK334" s="559"/>
      <c r="LAL334" s="559"/>
      <c r="LAM334" s="559"/>
      <c r="LAN334" s="559"/>
      <c r="LAO334" s="559"/>
      <c r="LAP334" s="559"/>
      <c r="LAQ334" s="559"/>
      <c r="LAR334" s="559"/>
      <c r="LAS334" s="559"/>
      <c r="LAT334" s="559"/>
      <c r="LAU334" s="559"/>
      <c r="LAV334" s="559"/>
      <c r="LAW334" s="559"/>
      <c r="LAX334" s="559"/>
      <c r="LAY334" s="559"/>
      <c r="LAZ334" s="559"/>
      <c r="LBA334" s="559"/>
      <c r="LBB334" s="559"/>
      <c r="LBC334" s="559"/>
      <c r="LBD334" s="559"/>
      <c r="LBE334" s="559"/>
      <c r="LBF334" s="559"/>
      <c r="LBG334" s="559"/>
      <c r="LBH334" s="559"/>
      <c r="LBI334" s="559"/>
      <c r="LBJ334" s="559"/>
      <c r="LBK334" s="559"/>
      <c r="LBL334" s="559"/>
      <c r="LBM334" s="559"/>
      <c r="LBN334" s="559"/>
      <c r="LBO334" s="559"/>
      <c r="LBP334" s="559"/>
      <c r="LBQ334" s="559"/>
      <c r="LBR334" s="559"/>
      <c r="LBS334" s="559"/>
      <c r="LBT334" s="559"/>
      <c r="LBU334" s="559"/>
      <c r="LBV334" s="559"/>
      <c r="LBW334" s="559"/>
      <c r="LBX334" s="559"/>
      <c r="LBY334" s="559"/>
      <c r="LBZ334" s="559"/>
      <c r="LCA334" s="559"/>
      <c r="LCB334" s="559"/>
      <c r="LCC334" s="559"/>
      <c r="LCD334" s="559"/>
      <c r="LCE334" s="559"/>
      <c r="LCF334" s="559"/>
      <c r="LCG334" s="559"/>
      <c r="LCH334" s="559"/>
      <c r="LCI334" s="559"/>
      <c r="LCJ334" s="559"/>
      <c r="LCK334" s="559"/>
      <c r="LCL334" s="559"/>
      <c r="LCM334" s="559"/>
      <c r="LCN334" s="559"/>
      <c r="LCO334" s="559"/>
      <c r="LCP334" s="559"/>
      <c r="LCQ334" s="559"/>
      <c r="LCR334" s="559"/>
      <c r="LCS334" s="559"/>
      <c r="LCT334" s="559"/>
      <c r="LCU334" s="559"/>
      <c r="LCV334" s="559"/>
      <c r="LCW334" s="559"/>
      <c r="LCX334" s="559"/>
      <c r="LCY334" s="559"/>
      <c r="LCZ334" s="559"/>
      <c r="LDA334" s="559"/>
      <c r="LDB334" s="559"/>
      <c r="LDC334" s="559"/>
      <c r="LDD334" s="559"/>
      <c r="LDE334" s="559"/>
      <c r="LDF334" s="559"/>
      <c r="LDG334" s="559"/>
      <c r="LDH334" s="559"/>
      <c r="LDI334" s="559"/>
      <c r="LDJ334" s="559"/>
      <c r="LDK334" s="559"/>
      <c r="LDL334" s="559"/>
      <c r="LDM334" s="559"/>
      <c r="LDN334" s="559"/>
      <c r="LDO334" s="559"/>
      <c r="LDP334" s="559"/>
      <c r="LDQ334" s="559"/>
      <c r="LDR334" s="559"/>
      <c r="LDS334" s="559"/>
      <c r="LDT334" s="559"/>
      <c r="LDU334" s="559"/>
      <c r="LDV334" s="559"/>
      <c r="LDW334" s="559"/>
      <c r="LDX334" s="559"/>
      <c r="LDY334" s="559"/>
      <c r="LDZ334" s="559"/>
      <c r="LEA334" s="559"/>
      <c r="LEB334" s="559"/>
      <c r="LEC334" s="559"/>
      <c r="LED334" s="559"/>
      <c r="LEE334" s="559"/>
      <c r="LEF334" s="559"/>
      <c r="LEG334" s="559"/>
      <c r="LEH334" s="559"/>
      <c r="LEI334" s="559"/>
      <c r="LEJ334" s="559"/>
      <c r="LEK334" s="559"/>
      <c r="LEL334" s="559"/>
      <c r="LEM334" s="559"/>
      <c r="LEN334" s="559"/>
      <c r="LEO334" s="559"/>
      <c r="LEP334" s="559"/>
      <c r="LEQ334" s="559"/>
      <c r="LER334" s="559"/>
      <c r="LES334" s="559"/>
      <c r="LET334" s="559"/>
      <c r="LEU334" s="559"/>
      <c r="LEV334" s="559"/>
      <c r="LEW334" s="559"/>
      <c r="LEX334" s="559"/>
      <c r="LEY334" s="559"/>
      <c r="LEZ334" s="559"/>
      <c r="LFA334" s="559"/>
      <c r="LFB334" s="559"/>
      <c r="LFC334" s="559"/>
      <c r="LFD334" s="559"/>
      <c r="LFE334" s="559"/>
      <c r="LFF334" s="559"/>
      <c r="LFG334" s="559"/>
      <c r="LFH334" s="559"/>
      <c r="LFI334" s="559"/>
      <c r="LFJ334" s="559"/>
      <c r="LFK334" s="559"/>
      <c r="LFL334" s="559"/>
      <c r="LFM334" s="559"/>
      <c r="LFN334" s="559"/>
      <c r="LFO334" s="559"/>
      <c r="LFP334" s="559"/>
      <c r="LFQ334" s="559"/>
      <c r="LFR334" s="559"/>
      <c r="LFS334" s="559"/>
      <c r="LFT334" s="559"/>
      <c r="LFU334" s="559"/>
      <c r="LFV334" s="559"/>
      <c r="LFW334" s="559"/>
      <c r="LFX334" s="559"/>
      <c r="LFY334" s="559"/>
      <c r="LFZ334" s="559"/>
      <c r="LGA334" s="559"/>
      <c r="LGB334" s="559"/>
      <c r="LGC334" s="559"/>
      <c r="LGD334" s="559"/>
      <c r="LGE334" s="559"/>
      <c r="LGF334" s="559"/>
      <c r="LGG334" s="559"/>
      <c r="LGH334" s="559"/>
      <c r="LGI334" s="559"/>
      <c r="LGJ334" s="559"/>
      <c r="LGK334" s="559"/>
      <c r="LGL334" s="559"/>
      <c r="LGM334" s="559"/>
      <c r="LGN334" s="559"/>
      <c r="LGO334" s="559"/>
      <c r="LGP334" s="559"/>
      <c r="LGQ334" s="559"/>
      <c r="LGR334" s="559"/>
      <c r="LGS334" s="559"/>
      <c r="LGT334" s="559"/>
      <c r="LGU334" s="559"/>
      <c r="LGV334" s="559"/>
      <c r="LGW334" s="559"/>
      <c r="LGX334" s="559"/>
      <c r="LGY334" s="559"/>
      <c r="LGZ334" s="559"/>
      <c r="LHA334" s="559"/>
      <c r="LHB334" s="559"/>
      <c r="LHC334" s="559"/>
      <c r="LHD334" s="559"/>
      <c r="LHE334" s="559"/>
      <c r="LHF334" s="559"/>
      <c r="LHG334" s="559"/>
      <c r="LHH334" s="559"/>
      <c r="LHI334" s="559"/>
      <c r="LHJ334" s="559"/>
      <c r="LHK334" s="559"/>
      <c r="LHL334" s="559"/>
      <c r="LHM334" s="559"/>
      <c r="LHN334" s="559"/>
      <c r="LHO334" s="559"/>
      <c r="LHP334" s="559"/>
      <c r="LHQ334" s="559"/>
      <c r="LHR334" s="559"/>
      <c r="LHS334" s="559"/>
      <c r="LHT334" s="559"/>
      <c r="LHU334" s="559"/>
      <c r="LHV334" s="559"/>
      <c r="LHW334" s="559"/>
      <c r="LHX334" s="559"/>
      <c r="LHY334" s="559"/>
      <c r="LHZ334" s="559"/>
      <c r="LIA334" s="559"/>
      <c r="LIB334" s="559"/>
      <c r="LIC334" s="559"/>
      <c r="LID334" s="559"/>
      <c r="LIE334" s="559"/>
      <c r="LIF334" s="559"/>
      <c r="LIG334" s="559"/>
      <c r="LIH334" s="559"/>
      <c r="LII334" s="559"/>
      <c r="LIJ334" s="559"/>
      <c r="LIK334" s="559"/>
      <c r="LIL334" s="559"/>
      <c r="LIM334" s="559"/>
      <c r="LIN334" s="559"/>
      <c r="LIO334" s="559"/>
      <c r="LIP334" s="559"/>
      <c r="LIQ334" s="559"/>
      <c r="LIR334" s="559"/>
      <c r="LIS334" s="559"/>
      <c r="LIT334" s="559"/>
      <c r="LIU334" s="559"/>
      <c r="LIV334" s="559"/>
      <c r="LIW334" s="559"/>
      <c r="LIX334" s="559"/>
      <c r="LIY334" s="559"/>
      <c r="LIZ334" s="559"/>
      <c r="LJA334" s="559"/>
      <c r="LJB334" s="559"/>
      <c r="LJC334" s="559"/>
      <c r="LJD334" s="559"/>
      <c r="LJE334" s="559"/>
      <c r="LJF334" s="559"/>
      <c r="LJG334" s="559"/>
      <c r="LJH334" s="559"/>
      <c r="LJI334" s="559"/>
      <c r="LJJ334" s="559"/>
      <c r="LJK334" s="559"/>
      <c r="LJL334" s="559"/>
      <c r="LJM334" s="559"/>
      <c r="LJN334" s="559"/>
      <c r="LJO334" s="559"/>
      <c r="LJP334" s="559"/>
      <c r="LJQ334" s="559"/>
      <c r="LJR334" s="559"/>
      <c r="LJS334" s="559"/>
      <c r="LJT334" s="559"/>
      <c r="LJU334" s="559"/>
      <c r="LJV334" s="559"/>
      <c r="LJW334" s="559"/>
      <c r="LJX334" s="559"/>
      <c r="LJY334" s="559"/>
      <c r="LJZ334" s="559"/>
      <c r="LKA334" s="559"/>
      <c r="LKB334" s="559"/>
      <c r="LKC334" s="559"/>
      <c r="LKD334" s="559"/>
      <c r="LKE334" s="559"/>
      <c r="LKF334" s="559"/>
      <c r="LKG334" s="559"/>
      <c r="LKH334" s="559"/>
      <c r="LKI334" s="559"/>
      <c r="LKJ334" s="559"/>
      <c r="LKK334" s="559"/>
      <c r="LKL334" s="559"/>
      <c r="LKM334" s="559"/>
      <c r="LKN334" s="559"/>
      <c r="LKO334" s="559"/>
      <c r="LKP334" s="559"/>
      <c r="LKQ334" s="559"/>
      <c r="LKR334" s="559"/>
      <c r="LKS334" s="559"/>
      <c r="LKT334" s="559"/>
      <c r="LKU334" s="559"/>
      <c r="LKV334" s="559"/>
      <c r="LKW334" s="559"/>
      <c r="LKX334" s="559"/>
      <c r="LKY334" s="559"/>
      <c r="LKZ334" s="559"/>
      <c r="LLA334" s="559"/>
      <c r="LLB334" s="559"/>
      <c r="LLC334" s="559"/>
      <c r="LLD334" s="559"/>
      <c r="LLE334" s="559"/>
      <c r="LLF334" s="559"/>
      <c r="LLG334" s="559"/>
      <c r="LLH334" s="559"/>
      <c r="LLI334" s="559"/>
      <c r="LLJ334" s="559"/>
      <c r="LLK334" s="559"/>
      <c r="LLL334" s="559"/>
      <c r="LLM334" s="559"/>
      <c r="LLN334" s="559"/>
      <c r="LLO334" s="559"/>
      <c r="LLP334" s="559"/>
      <c r="LLQ334" s="559"/>
      <c r="LLR334" s="559"/>
      <c r="LLS334" s="559"/>
      <c r="LLT334" s="559"/>
      <c r="LLU334" s="559"/>
      <c r="LLV334" s="559"/>
      <c r="LLW334" s="559"/>
      <c r="LLX334" s="559"/>
      <c r="LLY334" s="559"/>
      <c r="LLZ334" s="559"/>
      <c r="LMA334" s="559"/>
      <c r="LMB334" s="559"/>
      <c r="LMC334" s="559"/>
      <c r="LMD334" s="559"/>
      <c r="LME334" s="559"/>
      <c r="LMF334" s="559"/>
      <c r="LMG334" s="559"/>
      <c r="LMH334" s="559"/>
      <c r="LMI334" s="559"/>
      <c r="LMJ334" s="559"/>
      <c r="LMK334" s="559"/>
      <c r="LML334" s="559"/>
      <c r="LMM334" s="559"/>
      <c r="LMN334" s="559"/>
      <c r="LMO334" s="559"/>
      <c r="LMP334" s="559"/>
      <c r="LMQ334" s="559"/>
      <c r="LMR334" s="559"/>
      <c r="LMS334" s="559"/>
      <c r="LMT334" s="559"/>
      <c r="LMU334" s="559"/>
      <c r="LMV334" s="559"/>
      <c r="LMW334" s="559"/>
      <c r="LMX334" s="559"/>
      <c r="LMY334" s="559"/>
      <c r="LMZ334" s="559"/>
      <c r="LNA334" s="559"/>
      <c r="LNB334" s="559"/>
      <c r="LNC334" s="559"/>
      <c r="LND334" s="559"/>
      <c r="LNE334" s="559"/>
      <c r="LNF334" s="559"/>
      <c r="LNG334" s="559"/>
      <c r="LNH334" s="559"/>
      <c r="LNI334" s="559"/>
      <c r="LNJ334" s="559"/>
      <c r="LNK334" s="559"/>
      <c r="LNL334" s="559"/>
      <c r="LNM334" s="559"/>
      <c r="LNN334" s="559"/>
      <c r="LNO334" s="559"/>
      <c r="LNP334" s="559"/>
      <c r="LNQ334" s="559"/>
      <c r="LNR334" s="559"/>
      <c r="LNS334" s="559"/>
      <c r="LNT334" s="559"/>
      <c r="LNU334" s="559"/>
      <c r="LNV334" s="559"/>
      <c r="LNW334" s="559"/>
      <c r="LNX334" s="559"/>
      <c r="LNY334" s="559"/>
      <c r="LNZ334" s="559"/>
      <c r="LOA334" s="559"/>
      <c r="LOB334" s="559"/>
      <c r="LOC334" s="559"/>
      <c r="LOD334" s="559"/>
      <c r="LOE334" s="559"/>
      <c r="LOF334" s="559"/>
      <c r="LOG334" s="559"/>
      <c r="LOH334" s="559"/>
      <c r="LOI334" s="559"/>
      <c r="LOJ334" s="559"/>
      <c r="LOK334" s="559"/>
      <c r="LOL334" s="559"/>
      <c r="LOM334" s="559"/>
      <c r="LON334" s="559"/>
      <c r="LOO334" s="559"/>
      <c r="LOP334" s="559"/>
      <c r="LOQ334" s="559"/>
      <c r="LOR334" s="559"/>
      <c r="LOS334" s="559"/>
      <c r="LOT334" s="559"/>
      <c r="LOU334" s="559"/>
      <c r="LOV334" s="559"/>
      <c r="LOW334" s="559"/>
      <c r="LOX334" s="559"/>
      <c r="LOY334" s="559"/>
      <c r="LOZ334" s="559"/>
      <c r="LPA334" s="559"/>
      <c r="LPB334" s="559"/>
      <c r="LPC334" s="559"/>
      <c r="LPD334" s="559"/>
      <c r="LPE334" s="559"/>
      <c r="LPF334" s="559"/>
      <c r="LPG334" s="559"/>
      <c r="LPH334" s="559"/>
      <c r="LPI334" s="559"/>
      <c r="LPJ334" s="559"/>
      <c r="LPK334" s="559"/>
      <c r="LPL334" s="559"/>
      <c r="LPM334" s="559"/>
      <c r="LPN334" s="559"/>
      <c r="LPO334" s="559"/>
      <c r="LPP334" s="559"/>
      <c r="LPQ334" s="559"/>
      <c r="LPR334" s="559"/>
      <c r="LPS334" s="559"/>
      <c r="LPT334" s="559"/>
      <c r="LPU334" s="559"/>
      <c r="LPV334" s="559"/>
      <c r="LPW334" s="559"/>
      <c r="LPX334" s="559"/>
      <c r="LPY334" s="559"/>
      <c r="LPZ334" s="559"/>
      <c r="LQA334" s="559"/>
      <c r="LQB334" s="559"/>
      <c r="LQC334" s="559"/>
      <c r="LQD334" s="559"/>
      <c r="LQE334" s="559"/>
      <c r="LQF334" s="559"/>
      <c r="LQG334" s="559"/>
      <c r="LQH334" s="559"/>
      <c r="LQI334" s="559"/>
      <c r="LQJ334" s="559"/>
      <c r="LQK334" s="559"/>
      <c r="LQL334" s="559"/>
      <c r="LQM334" s="559"/>
      <c r="LQN334" s="559"/>
      <c r="LQO334" s="559"/>
      <c r="LQP334" s="559"/>
      <c r="LQQ334" s="559"/>
      <c r="LQR334" s="559"/>
      <c r="LQS334" s="559"/>
      <c r="LQT334" s="559"/>
      <c r="LQU334" s="559"/>
      <c r="LQV334" s="559"/>
      <c r="LQW334" s="559"/>
      <c r="LQX334" s="559"/>
      <c r="LQY334" s="559"/>
      <c r="LQZ334" s="559"/>
      <c r="LRA334" s="559"/>
      <c r="LRB334" s="559"/>
      <c r="LRC334" s="559"/>
      <c r="LRD334" s="559"/>
      <c r="LRE334" s="559"/>
      <c r="LRF334" s="559"/>
      <c r="LRG334" s="559"/>
      <c r="LRH334" s="559"/>
      <c r="LRI334" s="559"/>
      <c r="LRJ334" s="559"/>
      <c r="LRK334" s="559"/>
      <c r="LRL334" s="559"/>
      <c r="LRM334" s="559"/>
      <c r="LRN334" s="559"/>
      <c r="LRO334" s="559"/>
      <c r="LRP334" s="559"/>
      <c r="LRQ334" s="559"/>
      <c r="LRR334" s="559"/>
      <c r="LRS334" s="559"/>
      <c r="LRT334" s="559"/>
      <c r="LRU334" s="559"/>
      <c r="LRV334" s="559"/>
      <c r="LRW334" s="559"/>
      <c r="LRX334" s="559"/>
      <c r="LRY334" s="559"/>
      <c r="LRZ334" s="559"/>
      <c r="LSA334" s="559"/>
      <c r="LSB334" s="559"/>
      <c r="LSC334" s="559"/>
      <c r="LSD334" s="559"/>
      <c r="LSE334" s="559"/>
      <c r="LSF334" s="559"/>
      <c r="LSG334" s="559"/>
      <c r="LSH334" s="559"/>
      <c r="LSI334" s="559"/>
      <c r="LSJ334" s="559"/>
      <c r="LSK334" s="559"/>
      <c r="LSL334" s="559"/>
      <c r="LSM334" s="559"/>
      <c r="LSN334" s="559"/>
      <c r="LSO334" s="559"/>
      <c r="LSP334" s="559"/>
      <c r="LSQ334" s="559"/>
      <c r="LSR334" s="559"/>
      <c r="LSS334" s="559"/>
      <c r="LST334" s="559"/>
      <c r="LSU334" s="559"/>
      <c r="LSV334" s="559"/>
      <c r="LSW334" s="559"/>
      <c r="LSX334" s="559"/>
      <c r="LSY334" s="559"/>
      <c r="LSZ334" s="559"/>
      <c r="LTA334" s="559"/>
      <c r="LTB334" s="559"/>
      <c r="LTC334" s="559"/>
      <c r="LTD334" s="559"/>
      <c r="LTE334" s="559"/>
      <c r="LTF334" s="559"/>
      <c r="LTG334" s="559"/>
      <c r="LTH334" s="559"/>
      <c r="LTI334" s="559"/>
      <c r="LTJ334" s="559"/>
      <c r="LTK334" s="559"/>
      <c r="LTL334" s="559"/>
      <c r="LTM334" s="559"/>
      <c r="LTN334" s="559"/>
      <c r="LTO334" s="559"/>
      <c r="LTP334" s="559"/>
      <c r="LTQ334" s="559"/>
      <c r="LTR334" s="559"/>
      <c r="LTS334" s="559"/>
      <c r="LTT334" s="559"/>
      <c r="LTU334" s="559"/>
      <c r="LTV334" s="559"/>
      <c r="LTW334" s="559"/>
      <c r="LTX334" s="559"/>
      <c r="LTY334" s="559"/>
      <c r="LTZ334" s="559"/>
      <c r="LUA334" s="559"/>
      <c r="LUB334" s="559"/>
      <c r="LUC334" s="559"/>
      <c r="LUD334" s="559"/>
      <c r="LUE334" s="559"/>
      <c r="LUF334" s="559"/>
      <c r="LUG334" s="559"/>
      <c r="LUH334" s="559"/>
      <c r="LUI334" s="559"/>
      <c r="LUJ334" s="559"/>
      <c r="LUK334" s="559"/>
      <c r="LUL334" s="559"/>
      <c r="LUM334" s="559"/>
      <c r="LUN334" s="559"/>
      <c r="LUO334" s="559"/>
      <c r="LUP334" s="559"/>
      <c r="LUQ334" s="559"/>
      <c r="LUR334" s="559"/>
      <c r="LUS334" s="559"/>
      <c r="LUT334" s="559"/>
      <c r="LUU334" s="559"/>
      <c r="LUV334" s="559"/>
      <c r="LUW334" s="559"/>
      <c r="LUX334" s="559"/>
      <c r="LUY334" s="559"/>
      <c r="LUZ334" s="559"/>
      <c r="LVA334" s="559"/>
      <c r="LVB334" s="559"/>
      <c r="LVC334" s="559"/>
      <c r="LVD334" s="559"/>
      <c r="LVE334" s="559"/>
      <c r="LVF334" s="559"/>
      <c r="LVG334" s="559"/>
      <c r="LVH334" s="559"/>
      <c r="LVI334" s="559"/>
      <c r="LVJ334" s="559"/>
      <c r="LVK334" s="559"/>
      <c r="LVL334" s="559"/>
      <c r="LVM334" s="559"/>
      <c r="LVN334" s="559"/>
      <c r="LVO334" s="559"/>
      <c r="LVP334" s="559"/>
      <c r="LVQ334" s="559"/>
      <c r="LVR334" s="559"/>
      <c r="LVS334" s="559"/>
      <c r="LVT334" s="559"/>
      <c r="LVU334" s="559"/>
      <c r="LVV334" s="559"/>
      <c r="LVW334" s="559"/>
      <c r="LVX334" s="559"/>
      <c r="LVY334" s="559"/>
      <c r="LVZ334" s="559"/>
      <c r="LWA334" s="559"/>
      <c r="LWB334" s="559"/>
      <c r="LWC334" s="559"/>
      <c r="LWD334" s="559"/>
      <c r="LWE334" s="559"/>
      <c r="LWF334" s="559"/>
      <c r="LWG334" s="559"/>
      <c r="LWH334" s="559"/>
      <c r="LWI334" s="559"/>
      <c r="LWJ334" s="559"/>
      <c r="LWK334" s="559"/>
      <c r="LWL334" s="559"/>
      <c r="LWM334" s="559"/>
      <c r="LWN334" s="559"/>
      <c r="LWO334" s="559"/>
      <c r="LWP334" s="559"/>
      <c r="LWQ334" s="559"/>
      <c r="LWR334" s="559"/>
      <c r="LWS334" s="559"/>
      <c r="LWT334" s="559"/>
      <c r="LWU334" s="559"/>
      <c r="LWV334" s="559"/>
      <c r="LWW334" s="559"/>
      <c r="LWX334" s="559"/>
      <c r="LWY334" s="559"/>
      <c r="LWZ334" s="559"/>
      <c r="LXA334" s="559"/>
      <c r="LXB334" s="559"/>
      <c r="LXC334" s="559"/>
      <c r="LXD334" s="559"/>
      <c r="LXE334" s="559"/>
      <c r="LXF334" s="559"/>
      <c r="LXG334" s="559"/>
      <c r="LXH334" s="559"/>
      <c r="LXI334" s="559"/>
      <c r="LXJ334" s="559"/>
      <c r="LXK334" s="559"/>
      <c r="LXL334" s="559"/>
      <c r="LXM334" s="559"/>
      <c r="LXN334" s="559"/>
      <c r="LXO334" s="559"/>
      <c r="LXP334" s="559"/>
      <c r="LXQ334" s="559"/>
      <c r="LXR334" s="559"/>
      <c r="LXS334" s="559"/>
      <c r="LXT334" s="559"/>
      <c r="LXU334" s="559"/>
      <c r="LXV334" s="559"/>
      <c r="LXW334" s="559"/>
      <c r="LXX334" s="559"/>
      <c r="LXY334" s="559"/>
      <c r="LXZ334" s="559"/>
      <c r="LYA334" s="559"/>
      <c r="LYB334" s="559"/>
      <c r="LYC334" s="559"/>
      <c r="LYD334" s="559"/>
      <c r="LYE334" s="559"/>
      <c r="LYF334" s="559"/>
      <c r="LYG334" s="559"/>
      <c r="LYH334" s="559"/>
      <c r="LYI334" s="559"/>
      <c r="LYJ334" s="559"/>
      <c r="LYK334" s="559"/>
      <c r="LYL334" s="559"/>
      <c r="LYM334" s="559"/>
      <c r="LYN334" s="559"/>
      <c r="LYO334" s="559"/>
      <c r="LYP334" s="559"/>
      <c r="LYQ334" s="559"/>
      <c r="LYR334" s="559"/>
      <c r="LYS334" s="559"/>
      <c r="LYT334" s="559"/>
      <c r="LYU334" s="559"/>
      <c r="LYV334" s="559"/>
      <c r="LYW334" s="559"/>
      <c r="LYX334" s="559"/>
      <c r="LYY334" s="559"/>
      <c r="LYZ334" s="559"/>
      <c r="LZA334" s="559"/>
      <c r="LZB334" s="559"/>
      <c r="LZC334" s="559"/>
      <c r="LZD334" s="559"/>
      <c r="LZE334" s="559"/>
      <c r="LZF334" s="559"/>
      <c r="LZG334" s="559"/>
      <c r="LZH334" s="559"/>
      <c r="LZI334" s="559"/>
      <c r="LZJ334" s="559"/>
      <c r="LZK334" s="559"/>
      <c r="LZL334" s="559"/>
      <c r="LZM334" s="559"/>
      <c r="LZN334" s="559"/>
      <c r="LZO334" s="559"/>
      <c r="LZP334" s="559"/>
      <c r="LZQ334" s="559"/>
      <c r="LZR334" s="559"/>
      <c r="LZS334" s="559"/>
      <c r="LZT334" s="559"/>
      <c r="LZU334" s="559"/>
      <c r="LZV334" s="559"/>
      <c r="LZW334" s="559"/>
      <c r="LZX334" s="559"/>
      <c r="LZY334" s="559"/>
      <c r="LZZ334" s="559"/>
      <c r="MAA334" s="559"/>
      <c r="MAB334" s="559"/>
      <c r="MAC334" s="559"/>
      <c r="MAD334" s="559"/>
      <c r="MAE334" s="559"/>
      <c r="MAF334" s="559"/>
      <c r="MAG334" s="559"/>
      <c r="MAH334" s="559"/>
      <c r="MAI334" s="559"/>
      <c r="MAJ334" s="559"/>
      <c r="MAK334" s="559"/>
      <c r="MAL334" s="559"/>
      <c r="MAM334" s="559"/>
      <c r="MAN334" s="559"/>
      <c r="MAO334" s="559"/>
      <c r="MAP334" s="559"/>
      <c r="MAQ334" s="559"/>
      <c r="MAR334" s="559"/>
      <c r="MAS334" s="559"/>
      <c r="MAT334" s="559"/>
      <c r="MAU334" s="559"/>
      <c r="MAV334" s="559"/>
      <c r="MAW334" s="559"/>
      <c r="MAX334" s="559"/>
      <c r="MAY334" s="559"/>
      <c r="MAZ334" s="559"/>
      <c r="MBA334" s="559"/>
      <c r="MBB334" s="559"/>
      <c r="MBC334" s="559"/>
      <c r="MBD334" s="559"/>
      <c r="MBE334" s="559"/>
      <c r="MBF334" s="559"/>
      <c r="MBG334" s="559"/>
      <c r="MBH334" s="559"/>
      <c r="MBI334" s="559"/>
      <c r="MBJ334" s="559"/>
      <c r="MBK334" s="559"/>
      <c r="MBL334" s="559"/>
      <c r="MBM334" s="559"/>
      <c r="MBN334" s="559"/>
      <c r="MBO334" s="559"/>
      <c r="MBP334" s="559"/>
      <c r="MBQ334" s="559"/>
      <c r="MBR334" s="559"/>
      <c r="MBS334" s="559"/>
      <c r="MBT334" s="559"/>
      <c r="MBU334" s="559"/>
      <c r="MBV334" s="559"/>
      <c r="MBW334" s="559"/>
      <c r="MBX334" s="559"/>
      <c r="MBY334" s="559"/>
      <c r="MBZ334" s="559"/>
      <c r="MCA334" s="559"/>
      <c r="MCB334" s="559"/>
      <c r="MCC334" s="559"/>
      <c r="MCD334" s="559"/>
      <c r="MCE334" s="559"/>
      <c r="MCF334" s="559"/>
      <c r="MCG334" s="559"/>
      <c r="MCH334" s="559"/>
      <c r="MCI334" s="559"/>
      <c r="MCJ334" s="559"/>
      <c r="MCK334" s="559"/>
      <c r="MCL334" s="559"/>
      <c r="MCM334" s="559"/>
      <c r="MCN334" s="559"/>
      <c r="MCO334" s="559"/>
      <c r="MCP334" s="559"/>
      <c r="MCQ334" s="559"/>
      <c r="MCR334" s="559"/>
      <c r="MCS334" s="559"/>
      <c r="MCT334" s="559"/>
      <c r="MCU334" s="559"/>
      <c r="MCV334" s="559"/>
      <c r="MCW334" s="559"/>
      <c r="MCX334" s="559"/>
      <c r="MCY334" s="559"/>
      <c r="MCZ334" s="559"/>
      <c r="MDA334" s="559"/>
      <c r="MDB334" s="559"/>
      <c r="MDC334" s="559"/>
      <c r="MDD334" s="559"/>
      <c r="MDE334" s="559"/>
      <c r="MDF334" s="559"/>
      <c r="MDG334" s="559"/>
      <c r="MDH334" s="559"/>
      <c r="MDI334" s="559"/>
      <c r="MDJ334" s="559"/>
      <c r="MDK334" s="559"/>
      <c r="MDL334" s="559"/>
      <c r="MDM334" s="559"/>
      <c r="MDN334" s="559"/>
      <c r="MDO334" s="559"/>
      <c r="MDP334" s="559"/>
      <c r="MDQ334" s="559"/>
      <c r="MDR334" s="559"/>
      <c r="MDS334" s="559"/>
      <c r="MDT334" s="559"/>
      <c r="MDU334" s="559"/>
      <c r="MDV334" s="559"/>
      <c r="MDW334" s="559"/>
      <c r="MDX334" s="559"/>
      <c r="MDY334" s="559"/>
      <c r="MDZ334" s="559"/>
      <c r="MEA334" s="559"/>
      <c r="MEB334" s="559"/>
      <c r="MEC334" s="559"/>
      <c r="MED334" s="559"/>
      <c r="MEE334" s="559"/>
      <c r="MEF334" s="559"/>
      <c r="MEG334" s="559"/>
      <c r="MEH334" s="559"/>
      <c r="MEI334" s="559"/>
      <c r="MEJ334" s="559"/>
      <c r="MEK334" s="559"/>
      <c r="MEL334" s="559"/>
      <c r="MEM334" s="559"/>
      <c r="MEN334" s="559"/>
      <c r="MEO334" s="559"/>
      <c r="MEP334" s="559"/>
      <c r="MEQ334" s="559"/>
      <c r="MER334" s="559"/>
      <c r="MES334" s="559"/>
      <c r="MET334" s="559"/>
      <c r="MEU334" s="559"/>
      <c r="MEV334" s="559"/>
      <c r="MEW334" s="559"/>
      <c r="MEX334" s="559"/>
      <c r="MEY334" s="559"/>
      <c r="MEZ334" s="559"/>
      <c r="MFA334" s="559"/>
      <c r="MFB334" s="559"/>
      <c r="MFC334" s="559"/>
      <c r="MFD334" s="559"/>
      <c r="MFE334" s="559"/>
      <c r="MFF334" s="559"/>
      <c r="MFG334" s="559"/>
      <c r="MFH334" s="559"/>
      <c r="MFI334" s="559"/>
      <c r="MFJ334" s="559"/>
      <c r="MFK334" s="559"/>
      <c r="MFL334" s="559"/>
      <c r="MFM334" s="559"/>
      <c r="MFN334" s="559"/>
      <c r="MFO334" s="559"/>
      <c r="MFP334" s="559"/>
      <c r="MFQ334" s="559"/>
      <c r="MFR334" s="559"/>
      <c r="MFS334" s="559"/>
      <c r="MFT334" s="559"/>
      <c r="MFU334" s="559"/>
      <c r="MFV334" s="559"/>
      <c r="MFW334" s="559"/>
      <c r="MFX334" s="559"/>
      <c r="MFY334" s="559"/>
      <c r="MFZ334" s="559"/>
      <c r="MGA334" s="559"/>
      <c r="MGB334" s="559"/>
      <c r="MGC334" s="559"/>
      <c r="MGD334" s="559"/>
      <c r="MGE334" s="559"/>
      <c r="MGF334" s="559"/>
      <c r="MGG334" s="559"/>
      <c r="MGH334" s="559"/>
      <c r="MGI334" s="559"/>
      <c r="MGJ334" s="559"/>
      <c r="MGK334" s="559"/>
      <c r="MGL334" s="559"/>
      <c r="MGM334" s="559"/>
      <c r="MGN334" s="559"/>
      <c r="MGO334" s="559"/>
      <c r="MGP334" s="559"/>
      <c r="MGQ334" s="559"/>
      <c r="MGR334" s="559"/>
      <c r="MGS334" s="559"/>
      <c r="MGT334" s="559"/>
      <c r="MGU334" s="559"/>
      <c r="MGV334" s="559"/>
      <c r="MGW334" s="559"/>
      <c r="MGX334" s="559"/>
      <c r="MGY334" s="559"/>
      <c r="MGZ334" s="559"/>
      <c r="MHA334" s="559"/>
      <c r="MHB334" s="559"/>
      <c r="MHC334" s="559"/>
      <c r="MHD334" s="559"/>
      <c r="MHE334" s="559"/>
      <c r="MHF334" s="559"/>
      <c r="MHG334" s="559"/>
      <c r="MHH334" s="559"/>
      <c r="MHI334" s="559"/>
      <c r="MHJ334" s="559"/>
      <c r="MHK334" s="559"/>
      <c r="MHL334" s="559"/>
      <c r="MHM334" s="559"/>
      <c r="MHN334" s="559"/>
      <c r="MHO334" s="559"/>
      <c r="MHP334" s="559"/>
      <c r="MHQ334" s="559"/>
      <c r="MHR334" s="559"/>
      <c r="MHS334" s="559"/>
      <c r="MHT334" s="559"/>
      <c r="MHU334" s="559"/>
      <c r="MHV334" s="559"/>
      <c r="MHW334" s="559"/>
      <c r="MHX334" s="559"/>
      <c r="MHY334" s="559"/>
      <c r="MHZ334" s="559"/>
      <c r="MIA334" s="559"/>
      <c r="MIB334" s="559"/>
      <c r="MIC334" s="559"/>
      <c r="MID334" s="559"/>
      <c r="MIE334" s="559"/>
      <c r="MIF334" s="559"/>
      <c r="MIG334" s="559"/>
      <c r="MIH334" s="559"/>
      <c r="MII334" s="559"/>
      <c r="MIJ334" s="559"/>
      <c r="MIK334" s="559"/>
      <c r="MIL334" s="559"/>
      <c r="MIM334" s="559"/>
      <c r="MIN334" s="559"/>
      <c r="MIO334" s="559"/>
      <c r="MIP334" s="559"/>
      <c r="MIQ334" s="559"/>
      <c r="MIR334" s="559"/>
      <c r="MIS334" s="559"/>
      <c r="MIT334" s="559"/>
      <c r="MIU334" s="559"/>
      <c r="MIV334" s="559"/>
      <c r="MIW334" s="559"/>
      <c r="MIX334" s="559"/>
      <c r="MIY334" s="559"/>
      <c r="MIZ334" s="559"/>
      <c r="MJA334" s="559"/>
      <c r="MJB334" s="559"/>
      <c r="MJC334" s="559"/>
      <c r="MJD334" s="559"/>
      <c r="MJE334" s="559"/>
      <c r="MJF334" s="559"/>
      <c r="MJG334" s="559"/>
      <c r="MJH334" s="559"/>
      <c r="MJI334" s="559"/>
      <c r="MJJ334" s="559"/>
      <c r="MJK334" s="559"/>
      <c r="MJL334" s="559"/>
      <c r="MJM334" s="559"/>
      <c r="MJN334" s="559"/>
      <c r="MJO334" s="559"/>
      <c r="MJP334" s="559"/>
      <c r="MJQ334" s="559"/>
      <c r="MJR334" s="559"/>
      <c r="MJS334" s="559"/>
      <c r="MJT334" s="559"/>
      <c r="MJU334" s="559"/>
      <c r="MJV334" s="559"/>
      <c r="MJW334" s="559"/>
      <c r="MJX334" s="559"/>
      <c r="MJY334" s="559"/>
      <c r="MJZ334" s="559"/>
      <c r="MKA334" s="559"/>
      <c r="MKB334" s="559"/>
      <c r="MKC334" s="559"/>
      <c r="MKD334" s="559"/>
      <c r="MKE334" s="559"/>
      <c r="MKF334" s="559"/>
      <c r="MKG334" s="559"/>
      <c r="MKH334" s="559"/>
      <c r="MKI334" s="559"/>
      <c r="MKJ334" s="559"/>
      <c r="MKK334" s="559"/>
      <c r="MKL334" s="559"/>
      <c r="MKM334" s="559"/>
      <c r="MKN334" s="559"/>
      <c r="MKO334" s="559"/>
      <c r="MKP334" s="559"/>
      <c r="MKQ334" s="559"/>
      <c r="MKR334" s="559"/>
      <c r="MKS334" s="559"/>
      <c r="MKT334" s="559"/>
      <c r="MKU334" s="559"/>
      <c r="MKV334" s="559"/>
      <c r="MKW334" s="559"/>
      <c r="MKX334" s="559"/>
      <c r="MKY334" s="559"/>
      <c r="MKZ334" s="559"/>
      <c r="MLA334" s="559"/>
      <c r="MLB334" s="559"/>
      <c r="MLC334" s="559"/>
      <c r="MLD334" s="559"/>
      <c r="MLE334" s="559"/>
      <c r="MLF334" s="559"/>
      <c r="MLG334" s="559"/>
      <c r="MLH334" s="559"/>
      <c r="MLI334" s="559"/>
      <c r="MLJ334" s="559"/>
      <c r="MLK334" s="559"/>
      <c r="MLL334" s="559"/>
      <c r="MLM334" s="559"/>
      <c r="MLN334" s="559"/>
      <c r="MLO334" s="559"/>
      <c r="MLP334" s="559"/>
      <c r="MLQ334" s="559"/>
      <c r="MLR334" s="559"/>
      <c r="MLS334" s="559"/>
      <c r="MLT334" s="559"/>
      <c r="MLU334" s="559"/>
      <c r="MLV334" s="559"/>
      <c r="MLW334" s="559"/>
      <c r="MLX334" s="559"/>
      <c r="MLY334" s="559"/>
      <c r="MLZ334" s="559"/>
      <c r="MMA334" s="559"/>
      <c r="MMB334" s="559"/>
      <c r="MMC334" s="559"/>
      <c r="MMD334" s="559"/>
      <c r="MME334" s="559"/>
      <c r="MMF334" s="559"/>
      <c r="MMG334" s="559"/>
      <c r="MMH334" s="559"/>
      <c r="MMI334" s="559"/>
      <c r="MMJ334" s="559"/>
      <c r="MMK334" s="559"/>
      <c r="MML334" s="559"/>
      <c r="MMM334" s="559"/>
      <c r="MMN334" s="559"/>
      <c r="MMO334" s="559"/>
      <c r="MMP334" s="559"/>
      <c r="MMQ334" s="559"/>
      <c r="MMR334" s="559"/>
      <c r="MMS334" s="559"/>
      <c r="MMT334" s="559"/>
      <c r="MMU334" s="559"/>
      <c r="MMV334" s="559"/>
      <c r="MMW334" s="559"/>
      <c r="MMX334" s="559"/>
      <c r="MMY334" s="559"/>
      <c r="MMZ334" s="559"/>
      <c r="MNA334" s="559"/>
      <c r="MNB334" s="559"/>
      <c r="MNC334" s="559"/>
      <c r="MND334" s="559"/>
      <c r="MNE334" s="559"/>
      <c r="MNF334" s="559"/>
      <c r="MNG334" s="559"/>
      <c r="MNH334" s="559"/>
      <c r="MNI334" s="559"/>
      <c r="MNJ334" s="559"/>
      <c r="MNK334" s="559"/>
      <c r="MNL334" s="559"/>
      <c r="MNM334" s="559"/>
      <c r="MNN334" s="559"/>
      <c r="MNO334" s="559"/>
      <c r="MNP334" s="559"/>
      <c r="MNQ334" s="559"/>
      <c r="MNR334" s="559"/>
      <c r="MNS334" s="559"/>
      <c r="MNT334" s="559"/>
      <c r="MNU334" s="559"/>
      <c r="MNV334" s="559"/>
      <c r="MNW334" s="559"/>
      <c r="MNX334" s="559"/>
      <c r="MNY334" s="559"/>
      <c r="MNZ334" s="559"/>
      <c r="MOA334" s="559"/>
      <c r="MOB334" s="559"/>
      <c r="MOC334" s="559"/>
      <c r="MOD334" s="559"/>
      <c r="MOE334" s="559"/>
      <c r="MOF334" s="559"/>
      <c r="MOG334" s="559"/>
      <c r="MOH334" s="559"/>
      <c r="MOI334" s="559"/>
      <c r="MOJ334" s="559"/>
      <c r="MOK334" s="559"/>
      <c r="MOL334" s="559"/>
      <c r="MOM334" s="559"/>
      <c r="MON334" s="559"/>
      <c r="MOO334" s="559"/>
      <c r="MOP334" s="559"/>
      <c r="MOQ334" s="559"/>
      <c r="MOR334" s="559"/>
      <c r="MOS334" s="559"/>
      <c r="MOT334" s="559"/>
      <c r="MOU334" s="559"/>
      <c r="MOV334" s="559"/>
      <c r="MOW334" s="559"/>
      <c r="MOX334" s="559"/>
      <c r="MOY334" s="559"/>
      <c r="MOZ334" s="559"/>
      <c r="MPA334" s="559"/>
      <c r="MPB334" s="559"/>
      <c r="MPC334" s="559"/>
      <c r="MPD334" s="559"/>
      <c r="MPE334" s="559"/>
      <c r="MPF334" s="559"/>
      <c r="MPG334" s="559"/>
      <c r="MPH334" s="559"/>
      <c r="MPI334" s="559"/>
      <c r="MPJ334" s="559"/>
      <c r="MPK334" s="559"/>
      <c r="MPL334" s="559"/>
      <c r="MPM334" s="559"/>
      <c r="MPN334" s="559"/>
      <c r="MPO334" s="559"/>
      <c r="MPP334" s="559"/>
      <c r="MPQ334" s="559"/>
      <c r="MPR334" s="559"/>
      <c r="MPS334" s="559"/>
      <c r="MPT334" s="559"/>
      <c r="MPU334" s="559"/>
      <c r="MPV334" s="559"/>
      <c r="MPW334" s="559"/>
      <c r="MPX334" s="559"/>
      <c r="MPY334" s="559"/>
      <c r="MPZ334" s="559"/>
      <c r="MQA334" s="559"/>
      <c r="MQB334" s="559"/>
      <c r="MQC334" s="559"/>
      <c r="MQD334" s="559"/>
      <c r="MQE334" s="559"/>
      <c r="MQF334" s="559"/>
      <c r="MQG334" s="559"/>
      <c r="MQH334" s="559"/>
      <c r="MQI334" s="559"/>
      <c r="MQJ334" s="559"/>
      <c r="MQK334" s="559"/>
      <c r="MQL334" s="559"/>
      <c r="MQM334" s="559"/>
      <c r="MQN334" s="559"/>
      <c r="MQO334" s="559"/>
      <c r="MQP334" s="559"/>
      <c r="MQQ334" s="559"/>
      <c r="MQR334" s="559"/>
      <c r="MQS334" s="559"/>
      <c r="MQT334" s="559"/>
      <c r="MQU334" s="559"/>
      <c r="MQV334" s="559"/>
      <c r="MQW334" s="559"/>
      <c r="MQX334" s="559"/>
      <c r="MQY334" s="559"/>
      <c r="MQZ334" s="559"/>
      <c r="MRA334" s="559"/>
      <c r="MRB334" s="559"/>
      <c r="MRC334" s="559"/>
      <c r="MRD334" s="559"/>
      <c r="MRE334" s="559"/>
      <c r="MRF334" s="559"/>
      <c r="MRG334" s="559"/>
      <c r="MRH334" s="559"/>
      <c r="MRI334" s="559"/>
      <c r="MRJ334" s="559"/>
      <c r="MRK334" s="559"/>
      <c r="MRL334" s="559"/>
      <c r="MRM334" s="559"/>
      <c r="MRN334" s="559"/>
      <c r="MRO334" s="559"/>
      <c r="MRP334" s="559"/>
      <c r="MRQ334" s="559"/>
      <c r="MRR334" s="559"/>
      <c r="MRS334" s="559"/>
      <c r="MRT334" s="559"/>
      <c r="MRU334" s="559"/>
      <c r="MRV334" s="559"/>
      <c r="MRW334" s="559"/>
      <c r="MRX334" s="559"/>
      <c r="MRY334" s="559"/>
      <c r="MRZ334" s="559"/>
      <c r="MSA334" s="559"/>
      <c r="MSB334" s="559"/>
      <c r="MSC334" s="559"/>
      <c r="MSD334" s="559"/>
      <c r="MSE334" s="559"/>
      <c r="MSF334" s="559"/>
      <c r="MSG334" s="559"/>
      <c r="MSH334" s="559"/>
      <c r="MSI334" s="559"/>
      <c r="MSJ334" s="559"/>
      <c r="MSK334" s="559"/>
      <c r="MSL334" s="559"/>
      <c r="MSM334" s="559"/>
      <c r="MSN334" s="559"/>
      <c r="MSO334" s="559"/>
      <c r="MSP334" s="559"/>
      <c r="MSQ334" s="559"/>
      <c r="MSR334" s="559"/>
      <c r="MSS334" s="559"/>
      <c r="MST334" s="559"/>
      <c r="MSU334" s="559"/>
      <c r="MSV334" s="559"/>
      <c r="MSW334" s="559"/>
      <c r="MSX334" s="559"/>
      <c r="MSY334" s="559"/>
      <c r="MSZ334" s="559"/>
      <c r="MTA334" s="559"/>
      <c r="MTB334" s="559"/>
      <c r="MTC334" s="559"/>
      <c r="MTD334" s="559"/>
      <c r="MTE334" s="559"/>
      <c r="MTF334" s="559"/>
      <c r="MTG334" s="559"/>
      <c r="MTH334" s="559"/>
      <c r="MTI334" s="559"/>
      <c r="MTJ334" s="559"/>
      <c r="MTK334" s="559"/>
      <c r="MTL334" s="559"/>
      <c r="MTM334" s="559"/>
      <c r="MTN334" s="559"/>
      <c r="MTO334" s="559"/>
      <c r="MTP334" s="559"/>
      <c r="MTQ334" s="559"/>
      <c r="MTR334" s="559"/>
      <c r="MTS334" s="559"/>
      <c r="MTT334" s="559"/>
      <c r="MTU334" s="559"/>
      <c r="MTV334" s="559"/>
      <c r="MTW334" s="559"/>
      <c r="MTX334" s="559"/>
      <c r="MTY334" s="559"/>
      <c r="MTZ334" s="559"/>
      <c r="MUA334" s="559"/>
      <c r="MUB334" s="559"/>
      <c r="MUC334" s="559"/>
      <c r="MUD334" s="559"/>
      <c r="MUE334" s="559"/>
      <c r="MUF334" s="559"/>
      <c r="MUG334" s="559"/>
      <c r="MUH334" s="559"/>
      <c r="MUI334" s="559"/>
      <c r="MUJ334" s="559"/>
      <c r="MUK334" s="559"/>
      <c r="MUL334" s="559"/>
      <c r="MUM334" s="559"/>
      <c r="MUN334" s="559"/>
      <c r="MUO334" s="559"/>
      <c r="MUP334" s="559"/>
      <c r="MUQ334" s="559"/>
      <c r="MUR334" s="559"/>
      <c r="MUS334" s="559"/>
      <c r="MUT334" s="559"/>
      <c r="MUU334" s="559"/>
      <c r="MUV334" s="559"/>
      <c r="MUW334" s="559"/>
      <c r="MUX334" s="559"/>
      <c r="MUY334" s="559"/>
      <c r="MUZ334" s="559"/>
      <c r="MVA334" s="559"/>
      <c r="MVB334" s="559"/>
      <c r="MVC334" s="559"/>
      <c r="MVD334" s="559"/>
      <c r="MVE334" s="559"/>
      <c r="MVF334" s="559"/>
      <c r="MVG334" s="559"/>
      <c r="MVH334" s="559"/>
      <c r="MVI334" s="559"/>
      <c r="MVJ334" s="559"/>
      <c r="MVK334" s="559"/>
      <c r="MVL334" s="559"/>
      <c r="MVM334" s="559"/>
      <c r="MVN334" s="559"/>
      <c r="MVO334" s="559"/>
      <c r="MVP334" s="559"/>
      <c r="MVQ334" s="559"/>
      <c r="MVR334" s="559"/>
      <c r="MVS334" s="559"/>
      <c r="MVT334" s="559"/>
      <c r="MVU334" s="559"/>
      <c r="MVV334" s="559"/>
      <c r="MVW334" s="559"/>
      <c r="MVX334" s="559"/>
      <c r="MVY334" s="559"/>
      <c r="MVZ334" s="559"/>
      <c r="MWA334" s="559"/>
      <c r="MWB334" s="559"/>
      <c r="MWC334" s="559"/>
      <c r="MWD334" s="559"/>
      <c r="MWE334" s="559"/>
      <c r="MWF334" s="559"/>
      <c r="MWG334" s="559"/>
      <c r="MWH334" s="559"/>
      <c r="MWI334" s="559"/>
      <c r="MWJ334" s="559"/>
      <c r="MWK334" s="559"/>
      <c r="MWL334" s="559"/>
      <c r="MWM334" s="559"/>
      <c r="MWN334" s="559"/>
      <c r="MWO334" s="559"/>
      <c r="MWP334" s="559"/>
      <c r="MWQ334" s="559"/>
      <c r="MWR334" s="559"/>
      <c r="MWS334" s="559"/>
      <c r="MWT334" s="559"/>
      <c r="MWU334" s="559"/>
      <c r="MWV334" s="559"/>
      <c r="MWW334" s="559"/>
      <c r="MWX334" s="559"/>
      <c r="MWY334" s="559"/>
      <c r="MWZ334" s="559"/>
      <c r="MXA334" s="559"/>
      <c r="MXB334" s="559"/>
      <c r="MXC334" s="559"/>
      <c r="MXD334" s="559"/>
      <c r="MXE334" s="559"/>
      <c r="MXF334" s="559"/>
      <c r="MXG334" s="559"/>
      <c r="MXH334" s="559"/>
      <c r="MXI334" s="559"/>
      <c r="MXJ334" s="559"/>
      <c r="MXK334" s="559"/>
      <c r="MXL334" s="559"/>
      <c r="MXM334" s="559"/>
      <c r="MXN334" s="559"/>
      <c r="MXO334" s="559"/>
      <c r="MXP334" s="559"/>
      <c r="MXQ334" s="559"/>
      <c r="MXR334" s="559"/>
      <c r="MXS334" s="559"/>
      <c r="MXT334" s="559"/>
      <c r="MXU334" s="559"/>
      <c r="MXV334" s="559"/>
      <c r="MXW334" s="559"/>
      <c r="MXX334" s="559"/>
      <c r="MXY334" s="559"/>
      <c r="MXZ334" s="559"/>
      <c r="MYA334" s="559"/>
      <c r="MYB334" s="559"/>
      <c r="MYC334" s="559"/>
      <c r="MYD334" s="559"/>
      <c r="MYE334" s="559"/>
      <c r="MYF334" s="559"/>
      <c r="MYG334" s="559"/>
      <c r="MYH334" s="559"/>
      <c r="MYI334" s="559"/>
      <c r="MYJ334" s="559"/>
      <c r="MYK334" s="559"/>
      <c r="MYL334" s="559"/>
      <c r="MYM334" s="559"/>
      <c r="MYN334" s="559"/>
      <c r="MYO334" s="559"/>
      <c r="MYP334" s="559"/>
      <c r="MYQ334" s="559"/>
      <c r="MYR334" s="559"/>
      <c r="MYS334" s="559"/>
      <c r="MYT334" s="559"/>
      <c r="MYU334" s="559"/>
      <c r="MYV334" s="559"/>
      <c r="MYW334" s="559"/>
      <c r="MYX334" s="559"/>
      <c r="MYY334" s="559"/>
      <c r="MYZ334" s="559"/>
      <c r="MZA334" s="559"/>
      <c r="MZB334" s="559"/>
      <c r="MZC334" s="559"/>
      <c r="MZD334" s="559"/>
      <c r="MZE334" s="559"/>
      <c r="MZF334" s="559"/>
      <c r="MZG334" s="559"/>
      <c r="MZH334" s="559"/>
      <c r="MZI334" s="559"/>
      <c r="MZJ334" s="559"/>
      <c r="MZK334" s="559"/>
      <c r="MZL334" s="559"/>
      <c r="MZM334" s="559"/>
      <c r="MZN334" s="559"/>
      <c r="MZO334" s="559"/>
      <c r="MZP334" s="559"/>
      <c r="MZQ334" s="559"/>
      <c r="MZR334" s="559"/>
      <c r="MZS334" s="559"/>
      <c r="MZT334" s="559"/>
      <c r="MZU334" s="559"/>
      <c r="MZV334" s="559"/>
      <c r="MZW334" s="559"/>
      <c r="MZX334" s="559"/>
      <c r="MZY334" s="559"/>
      <c r="MZZ334" s="559"/>
      <c r="NAA334" s="559"/>
      <c r="NAB334" s="559"/>
      <c r="NAC334" s="559"/>
      <c r="NAD334" s="559"/>
      <c r="NAE334" s="559"/>
      <c r="NAF334" s="559"/>
      <c r="NAG334" s="559"/>
      <c r="NAH334" s="559"/>
      <c r="NAI334" s="559"/>
      <c r="NAJ334" s="559"/>
      <c r="NAK334" s="559"/>
      <c r="NAL334" s="559"/>
      <c r="NAM334" s="559"/>
      <c r="NAN334" s="559"/>
      <c r="NAO334" s="559"/>
      <c r="NAP334" s="559"/>
      <c r="NAQ334" s="559"/>
      <c r="NAR334" s="559"/>
      <c r="NAS334" s="559"/>
      <c r="NAT334" s="559"/>
      <c r="NAU334" s="559"/>
      <c r="NAV334" s="559"/>
      <c r="NAW334" s="559"/>
      <c r="NAX334" s="559"/>
      <c r="NAY334" s="559"/>
      <c r="NAZ334" s="559"/>
      <c r="NBA334" s="559"/>
      <c r="NBB334" s="559"/>
      <c r="NBC334" s="559"/>
      <c r="NBD334" s="559"/>
      <c r="NBE334" s="559"/>
      <c r="NBF334" s="559"/>
      <c r="NBG334" s="559"/>
      <c r="NBH334" s="559"/>
      <c r="NBI334" s="559"/>
      <c r="NBJ334" s="559"/>
      <c r="NBK334" s="559"/>
      <c r="NBL334" s="559"/>
      <c r="NBM334" s="559"/>
      <c r="NBN334" s="559"/>
      <c r="NBO334" s="559"/>
      <c r="NBP334" s="559"/>
      <c r="NBQ334" s="559"/>
      <c r="NBR334" s="559"/>
      <c r="NBS334" s="559"/>
      <c r="NBT334" s="559"/>
      <c r="NBU334" s="559"/>
      <c r="NBV334" s="559"/>
      <c r="NBW334" s="559"/>
      <c r="NBX334" s="559"/>
      <c r="NBY334" s="559"/>
      <c r="NBZ334" s="559"/>
      <c r="NCA334" s="559"/>
      <c r="NCB334" s="559"/>
      <c r="NCC334" s="559"/>
      <c r="NCD334" s="559"/>
      <c r="NCE334" s="559"/>
      <c r="NCF334" s="559"/>
      <c r="NCG334" s="559"/>
      <c r="NCH334" s="559"/>
      <c r="NCI334" s="559"/>
      <c r="NCJ334" s="559"/>
      <c r="NCK334" s="559"/>
      <c r="NCL334" s="559"/>
      <c r="NCM334" s="559"/>
      <c r="NCN334" s="559"/>
      <c r="NCO334" s="559"/>
      <c r="NCP334" s="559"/>
      <c r="NCQ334" s="559"/>
      <c r="NCR334" s="559"/>
      <c r="NCS334" s="559"/>
      <c r="NCT334" s="559"/>
      <c r="NCU334" s="559"/>
      <c r="NCV334" s="559"/>
      <c r="NCW334" s="559"/>
      <c r="NCX334" s="559"/>
      <c r="NCY334" s="559"/>
      <c r="NCZ334" s="559"/>
      <c r="NDA334" s="559"/>
      <c r="NDB334" s="559"/>
      <c r="NDC334" s="559"/>
      <c r="NDD334" s="559"/>
      <c r="NDE334" s="559"/>
      <c r="NDF334" s="559"/>
      <c r="NDG334" s="559"/>
      <c r="NDH334" s="559"/>
      <c r="NDI334" s="559"/>
      <c r="NDJ334" s="559"/>
      <c r="NDK334" s="559"/>
      <c r="NDL334" s="559"/>
      <c r="NDM334" s="559"/>
      <c r="NDN334" s="559"/>
      <c r="NDO334" s="559"/>
      <c r="NDP334" s="559"/>
      <c r="NDQ334" s="559"/>
      <c r="NDR334" s="559"/>
      <c r="NDS334" s="559"/>
      <c r="NDT334" s="559"/>
      <c r="NDU334" s="559"/>
      <c r="NDV334" s="559"/>
      <c r="NDW334" s="559"/>
      <c r="NDX334" s="559"/>
      <c r="NDY334" s="559"/>
      <c r="NDZ334" s="559"/>
      <c r="NEA334" s="559"/>
      <c r="NEB334" s="559"/>
      <c r="NEC334" s="559"/>
      <c r="NED334" s="559"/>
      <c r="NEE334" s="559"/>
      <c r="NEF334" s="559"/>
      <c r="NEG334" s="559"/>
      <c r="NEH334" s="559"/>
      <c r="NEI334" s="559"/>
      <c r="NEJ334" s="559"/>
      <c r="NEK334" s="559"/>
      <c r="NEL334" s="559"/>
      <c r="NEM334" s="559"/>
      <c r="NEN334" s="559"/>
      <c r="NEO334" s="559"/>
      <c r="NEP334" s="559"/>
      <c r="NEQ334" s="559"/>
      <c r="NER334" s="559"/>
      <c r="NES334" s="559"/>
      <c r="NET334" s="559"/>
      <c r="NEU334" s="559"/>
      <c r="NEV334" s="559"/>
      <c r="NEW334" s="559"/>
      <c r="NEX334" s="559"/>
      <c r="NEY334" s="559"/>
      <c r="NEZ334" s="559"/>
      <c r="NFA334" s="559"/>
      <c r="NFB334" s="559"/>
      <c r="NFC334" s="559"/>
      <c r="NFD334" s="559"/>
      <c r="NFE334" s="559"/>
      <c r="NFF334" s="559"/>
      <c r="NFG334" s="559"/>
      <c r="NFH334" s="559"/>
      <c r="NFI334" s="559"/>
      <c r="NFJ334" s="559"/>
      <c r="NFK334" s="559"/>
      <c r="NFL334" s="559"/>
      <c r="NFM334" s="559"/>
      <c r="NFN334" s="559"/>
      <c r="NFO334" s="559"/>
      <c r="NFP334" s="559"/>
      <c r="NFQ334" s="559"/>
      <c r="NFR334" s="559"/>
      <c r="NFS334" s="559"/>
      <c r="NFT334" s="559"/>
      <c r="NFU334" s="559"/>
      <c r="NFV334" s="559"/>
      <c r="NFW334" s="559"/>
      <c r="NFX334" s="559"/>
      <c r="NFY334" s="559"/>
      <c r="NFZ334" s="559"/>
      <c r="NGA334" s="559"/>
      <c r="NGB334" s="559"/>
      <c r="NGC334" s="559"/>
      <c r="NGD334" s="559"/>
      <c r="NGE334" s="559"/>
      <c r="NGF334" s="559"/>
      <c r="NGG334" s="559"/>
      <c r="NGH334" s="559"/>
      <c r="NGI334" s="559"/>
      <c r="NGJ334" s="559"/>
      <c r="NGK334" s="559"/>
      <c r="NGL334" s="559"/>
      <c r="NGM334" s="559"/>
      <c r="NGN334" s="559"/>
      <c r="NGO334" s="559"/>
      <c r="NGP334" s="559"/>
      <c r="NGQ334" s="559"/>
      <c r="NGR334" s="559"/>
      <c r="NGS334" s="559"/>
      <c r="NGT334" s="559"/>
      <c r="NGU334" s="559"/>
      <c r="NGV334" s="559"/>
      <c r="NGW334" s="559"/>
      <c r="NGX334" s="559"/>
      <c r="NGY334" s="559"/>
      <c r="NGZ334" s="559"/>
      <c r="NHA334" s="559"/>
      <c r="NHB334" s="559"/>
      <c r="NHC334" s="559"/>
      <c r="NHD334" s="559"/>
      <c r="NHE334" s="559"/>
      <c r="NHF334" s="559"/>
      <c r="NHG334" s="559"/>
      <c r="NHH334" s="559"/>
      <c r="NHI334" s="559"/>
      <c r="NHJ334" s="559"/>
      <c r="NHK334" s="559"/>
      <c r="NHL334" s="559"/>
      <c r="NHM334" s="559"/>
      <c r="NHN334" s="559"/>
      <c r="NHO334" s="559"/>
      <c r="NHP334" s="559"/>
      <c r="NHQ334" s="559"/>
      <c r="NHR334" s="559"/>
      <c r="NHS334" s="559"/>
      <c r="NHT334" s="559"/>
      <c r="NHU334" s="559"/>
      <c r="NHV334" s="559"/>
      <c r="NHW334" s="559"/>
      <c r="NHX334" s="559"/>
      <c r="NHY334" s="559"/>
      <c r="NHZ334" s="559"/>
      <c r="NIA334" s="559"/>
      <c r="NIB334" s="559"/>
      <c r="NIC334" s="559"/>
      <c r="NID334" s="559"/>
      <c r="NIE334" s="559"/>
      <c r="NIF334" s="559"/>
      <c r="NIG334" s="559"/>
      <c r="NIH334" s="559"/>
      <c r="NII334" s="559"/>
      <c r="NIJ334" s="559"/>
      <c r="NIK334" s="559"/>
      <c r="NIL334" s="559"/>
      <c r="NIM334" s="559"/>
      <c r="NIN334" s="559"/>
      <c r="NIO334" s="559"/>
      <c r="NIP334" s="559"/>
      <c r="NIQ334" s="559"/>
      <c r="NIR334" s="559"/>
      <c r="NIS334" s="559"/>
      <c r="NIT334" s="559"/>
      <c r="NIU334" s="559"/>
      <c r="NIV334" s="559"/>
      <c r="NIW334" s="559"/>
      <c r="NIX334" s="559"/>
      <c r="NIY334" s="559"/>
      <c r="NIZ334" s="559"/>
      <c r="NJA334" s="559"/>
      <c r="NJB334" s="559"/>
      <c r="NJC334" s="559"/>
      <c r="NJD334" s="559"/>
      <c r="NJE334" s="559"/>
      <c r="NJF334" s="559"/>
      <c r="NJG334" s="559"/>
      <c r="NJH334" s="559"/>
      <c r="NJI334" s="559"/>
      <c r="NJJ334" s="559"/>
      <c r="NJK334" s="559"/>
      <c r="NJL334" s="559"/>
      <c r="NJM334" s="559"/>
      <c r="NJN334" s="559"/>
      <c r="NJO334" s="559"/>
      <c r="NJP334" s="559"/>
      <c r="NJQ334" s="559"/>
      <c r="NJR334" s="559"/>
      <c r="NJS334" s="559"/>
      <c r="NJT334" s="559"/>
      <c r="NJU334" s="559"/>
      <c r="NJV334" s="559"/>
      <c r="NJW334" s="559"/>
      <c r="NJX334" s="559"/>
      <c r="NJY334" s="559"/>
      <c r="NJZ334" s="559"/>
      <c r="NKA334" s="559"/>
      <c r="NKB334" s="559"/>
      <c r="NKC334" s="559"/>
      <c r="NKD334" s="559"/>
      <c r="NKE334" s="559"/>
      <c r="NKF334" s="559"/>
      <c r="NKG334" s="559"/>
      <c r="NKH334" s="559"/>
      <c r="NKI334" s="559"/>
      <c r="NKJ334" s="559"/>
      <c r="NKK334" s="559"/>
      <c r="NKL334" s="559"/>
      <c r="NKM334" s="559"/>
      <c r="NKN334" s="559"/>
      <c r="NKO334" s="559"/>
      <c r="NKP334" s="559"/>
      <c r="NKQ334" s="559"/>
      <c r="NKR334" s="559"/>
      <c r="NKS334" s="559"/>
      <c r="NKT334" s="559"/>
      <c r="NKU334" s="559"/>
      <c r="NKV334" s="559"/>
      <c r="NKW334" s="559"/>
      <c r="NKX334" s="559"/>
      <c r="NKY334" s="559"/>
      <c r="NKZ334" s="559"/>
      <c r="NLA334" s="559"/>
      <c r="NLB334" s="559"/>
      <c r="NLC334" s="559"/>
      <c r="NLD334" s="559"/>
      <c r="NLE334" s="559"/>
      <c r="NLF334" s="559"/>
      <c r="NLG334" s="559"/>
      <c r="NLH334" s="559"/>
      <c r="NLI334" s="559"/>
      <c r="NLJ334" s="559"/>
      <c r="NLK334" s="559"/>
      <c r="NLL334" s="559"/>
      <c r="NLM334" s="559"/>
      <c r="NLN334" s="559"/>
      <c r="NLO334" s="559"/>
      <c r="NLP334" s="559"/>
      <c r="NLQ334" s="559"/>
      <c r="NLR334" s="559"/>
      <c r="NLS334" s="559"/>
      <c r="NLT334" s="559"/>
      <c r="NLU334" s="559"/>
      <c r="NLV334" s="559"/>
      <c r="NLW334" s="559"/>
      <c r="NLX334" s="559"/>
      <c r="NLY334" s="559"/>
      <c r="NLZ334" s="559"/>
      <c r="NMA334" s="559"/>
      <c r="NMB334" s="559"/>
      <c r="NMC334" s="559"/>
      <c r="NMD334" s="559"/>
      <c r="NME334" s="559"/>
      <c r="NMF334" s="559"/>
      <c r="NMG334" s="559"/>
      <c r="NMH334" s="559"/>
      <c r="NMI334" s="559"/>
      <c r="NMJ334" s="559"/>
      <c r="NMK334" s="559"/>
      <c r="NML334" s="559"/>
      <c r="NMM334" s="559"/>
      <c r="NMN334" s="559"/>
      <c r="NMO334" s="559"/>
      <c r="NMP334" s="559"/>
      <c r="NMQ334" s="559"/>
      <c r="NMR334" s="559"/>
      <c r="NMS334" s="559"/>
      <c r="NMT334" s="559"/>
      <c r="NMU334" s="559"/>
      <c r="NMV334" s="559"/>
      <c r="NMW334" s="559"/>
      <c r="NMX334" s="559"/>
      <c r="NMY334" s="559"/>
      <c r="NMZ334" s="559"/>
      <c r="NNA334" s="559"/>
      <c r="NNB334" s="559"/>
      <c r="NNC334" s="559"/>
      <c r="NND334" s="559"/>
      <c r="NNE334" s="559"/>
      <c r="NNF334" s="559"/>
      <c r="NNG334" s="559"/>
      <c r="NNH334" s="559"/>
      <c r="NNI334" s="559"/>
      <c r="NNJ334" s="559"/>
      <c r="NNK334" s="559"/>
      <c r="NNL334" s="559"/>
      <c r="NNM334" s="559"/>
      <c r="NNN334" s="559"/>
      <c r="NNO334" s="559"/>
      <c r="NNP334" s="559"/>
      <c r="NNQ334" s="559"/>
      <c r="NNR334" s="559"/>
      <c r="NNS334" s="559"/>
      <c r="NNT334" s="559"/>
      <c r="NNU334" s="559"/>
      <c r="NNV334" s="559"/>
      <c r="NNW334" s="559"/>
      <c r="NNX334" s="559"/>
      <c r="NNY334" s="559"/>
      <c r="NNZ334" s="559"/>
      <c r="NOA334" s="559"/>
      <c r="NOB334" s="559"/>
      <c r="NOC334" s="559"/>
      <c r="NOD334" s="559"/>
      <c r="NOE334" s="559"/>
      <c r="NOF334" s="559"/>
      <c r="NOG334" s="559"/>
      <c r="NOH334" s="559"/>
      <c r="NOI334" s="559"/>
      <c r="NOJ334" s="559"/>
      <c r="NOK334" s="559"/>
      <c r="NOL334" s="559"/>
      <c r="NOM334" s="559"/>
      <c r="NON334" s="559"/>
      <c r="NOO334" s="559"/>
      <c r="NOP334" s="559"/>
      <c r="NOQ334" s="559"/>
      <c r="NOR334" s="559"/>
      <c r="NOS334" s="559"/>
      <c r="NOT334" s="559"/>
      <c r="NOU334" s="559"/>
      <c r="NOV334" s="559"/>
      <c r="NOW334" s="559"/>
      <c r="NOX334" s="559"/>
      <c r="NOY334" s="559"/>
      <c r="NOZ334" s="559"/>
      <c r="NPA334" s="559"/>
      <c r="NPB334" s="559"/>
      <c r="NPC334" s="559"/>
      <c r="NPD334" s="559"/>
      <c r="NPE334" s="559"/>
      <c r="NPF334" s="559"/>
      <c r="NPG334" s="559"/>
      <c r="NPH334" s="559"/>
      <c r="NPI334" s="559"/>
      <c r="NPJ334" s="559"/>
      <c r="NPK334" s="559"/>
      <c r="NPL334" s="559"/>
      <c r="NPM334" s="559"/>
      <c r="NPN334" s="559"/>
      <c r="NPO334" s="559"/>
      <c r="NPP334" s="559"/>
      <c r="NPQ334" s="559"/>
      <c r="NPR334" s="559"/>
      <c r="NPS334" s="559"/>
      <c r="NPT334" s="559"/>
      <c r="NPU334" s="559"/>
      <c r="NPV334" s="559"/>
      <c r="NPW334" s="559"/>
      <c r="NPX334" s="559"/>
      <c r="NPY334" s="559"/>
      <c r="NPZ334" s="559"/>
      <c r="NQA334" s="559"/>
      <c r="NQB334" s="559"/>
      <c r="NQC334" s="559"/>
      <c r="NQD334" s="559"/>
      <c r="NQE334" s="559"/>
      <c r="NQF334" s="559"/>
      <c r="NQG334" s="559"/>
      <c r="NQH334" s="559"/>
      <c r="NQI334" s="559"/>
      <c r="NQJ334" s="559"/>
      <c r="NQK334" s="559"/>
      <c r="NQL334" s="559"/>
      <c r="NQM334" s="559"/>
      <c r="NQN334" s="559"/>
      <c r="NQO334" s="559"/>
      <c r="NQP334" s="559"/>
      <c r="NQQ334" s="559"/>
      <c r="NQR334" s="559"/>
      <c r="NQS334" s="559"/>
      <c r="NQT334" s="559"/>
      <c r="NQU334" s="559"/>
      <c r="NQV334" s="559"/>
      <c r="NQW334" s="559"/>
      <c r="NQX334" s="559"/>
      <c r="NQY334" s="559"/>
      <c r="NQZ334" s="559"/>
      <c r="NRA334" s="559"/>
      <c r="NRB334" s="559"/>
      <c r="NRC334" s="559"/>
      <c r="NRD334" s="559"/>
      <c r="NRE334" s="559"/>
      <c r="NRF334" s="559"/>
      <c r="NRG334" s="559"/>
      <c r="NRH334" s="559"/>
      <c r="NRI334" s="559"/>
      <c r="NRJ334" s="559"/>
      <c r="NRK334" s="559"/>
      <c r="NRL334" s="559"/>
      <c r="NRM334" s="559"/>
      <c r="NRN334" s="559"/>
      <c r="NRO334" s="559"/>
      <c r="NRP334" s="559"/>
      <c r="NRQ334" s="559"/>
      <c r="NRR334" s="559"/>
      <c r="NRS334" s="559"/>
      <c r="NRT334" s="559"/>
      <c r="NRU334" s="559"/>
      <c r="NRV334" s="559"/>
      <c r="NRW334" s="559"/>
      <c r="NRX334" s="559"/>
      <c r="NRY334" s="559"/>
      <c r="NRZ334" s="559"/>
      <c r="NSA334" s="559"/>
      <c r="NSB334" s="559"/>
      <c r="NSC334" s="559"/>
      <c r="NSD334" s="559"/>
      <c r="NSE334" s="559"/>
      <c r="NSF334" s="559"/>
      <c r="NSG334" s="559"/>
      <c r="NSH334" s="559"/>
      <c r="NSI334" s="559"/>
      <c r="NSJ334" s="559"/>
      <c r="NSK334" s="559"/>
      <c r="NSL334" s="559"/>
      <c r="NSM334" s="559"/>
      <c r="NSN334" s="559"/>
      <c r="NSO334" s="559"/>
      <c r="NSP334" s="559"/>
      <c r="NSQ334" s="559"/>
      <c r="NSR334" s="559"/>
      <c r="NSS334" s="559"/>
      <c r="NST334" s="559"/>
      <c r="NSU334" s="559"/>
      <c r="NSV334" s="559"/>
      <c r="NSW334" s="559"/>
      <c r="NSX334" s="559"/>
      <c r="NSY334" s="559"/>
      <c r="NSZ334" s="559"/>
      <c r="NTA334" s="559"/>
      <c r="NTB334" s="559"/>
      <c r="NTC334" s="559"/>
      <c r="NTD334" s="559"/>
      <c r="NTE334" s="559"/>
      <c r="NTF334" s="559"/>
      <c r="NTG334" s="559"/>
      <c r="NTH334" s="559"/>
      <c r="NTI334" s="559"/>
      <c r="NTJ334" s="559"/>
      <c r="NTK334" s="559"/>
      <c r="NTL334" s="559"/>
      <c r="NTM334" s="559"/>
      <c r="NTN334" s="559"/>
      <c r="NTO334" s="559"/>
      <c r="NTP334" s="559"/>
      <c r="NTQ334" s="559"/>
      <c r="NTR334" s="559"/>
      <c r="NTS334" s="559"/>
      <c r="NTT334" s="559"/>
      <c r="NTU334" s="559"/>
      <c r="NTV334" s="559"/>
      <c r="NTW334" s="559"/>
      <c r="NTX334" s="559"/>
      <c r="NTY334" s="559"/>
      <c r="NTZ334" s="559"/>
      <c r="NUA334" s="559"/>
      <c r="NUB334" s="559"/>
      <c r="NUC334" s="559"/>
      <c r="NUD334" s="559"/>
      <c r="NUE334" s="559"/>
      <c r="NUF334" s="559"/>
      <c r="NUG334" s="559"/>
      <c r="NUH334" s="559"/>
      <c r="NUI334" s="559"/>
      <c r="NUJ334" s="559"/>
      <c r="NUK334" s="559"/>
      <c r="NUL334" s="559"/>
      <c r="NUM334" s="559"/>
      <c r="NUN334" s="559"/>
      <c r="NUO334" s="559"/>
      <c r="NUP334" s="559"/>
      <c r="NUQ334" s="559"/>
      <c r="NUR334" s="559"/>
      <c r="NUS334" s="559"/>
      <c r="NUT334" s="559"/>
      <c r="NUU334" s="559"/>
      <c r="NUV334" s="559"/>
      <c r="NUW334" s="559"/>
      <c r="NUX334" s="559"/>
      <c r="NUY334" s="559"/>
      <c r="NUZ334" s="559"/>
      <c r="NVA334" s="559"/>
      <c r="NVB334" s="559"/>
      <c r="NVC334" s="559"/>
      <c r="NVD334" s="559"/>
      <c r="NVE334" s="559"/>
      <c r="NVF334" s="559"/>
      <c r="NVG334" s="559"/>
      <c r="NVH334" s="559"/>
      <c r="NVI334" s="559"/>
      <c r="NVJ334" s="559"/>
      <c r="NVK334" s="559"/>
      <c r="NVL334" s="559"/>
      <c r="NVM334" s="559"/>
      <c r="NVN334" s="559"/>
      <c r="NVO334" s="559"/>
      <c r="NVP334" s="559"/>
      <c r="NVQ334" s="559"/>
      <c r="NVR334" s="559"/>
      <c r="NVS334" s="559"/>
      <c r="NVT334" s="559"/>
      <c r="NVU334" s="559"/>
      <c r="NVV334" s="559"/>
      <c r="NVW334" s="559"/>
      <c r="NVX334" s="559"/>
      <c r="NVY334" s="559"/>
      <c r="NVZ334" s="559"/>
      <c r="NWA334" s="559"/>
      <c r="NWB334" s="559"/>
      <c r="NWC334" s="559"/>
      <c r="NWD334" s="559"/>
      <c r="NWE334" s="559"/>
      <c r="NWF334" s="559"/>
      <c r="NWG334" s="559"/>
      <c r="NWH334" s="559"/>
      <c r="NWI334" s="559"/>
      <c r="NWJ334" s="559"/>
      <c r="NWK334" s="559"/>
      <c r="NWL334" s="559"/>
      <c r="NWM334" s="559"/>
      <c r="NWN334" s="559"/>
      <c r="NWO334" s="559"/>
      <c r="NWP334" s="559"/>
      <c r="NWQ334" s="559"/>
      <c r="NWR334" s="559"/>
      <c r="NWS334" s="559"/>
      <c r="NWT334" s="559"/>
      <c r="NWU334" s="559"/>
      <c r="NWV334" s="559"/>
      <c r="NWW334" s="559"/>
      <c r="NWX334" s="559"/>
      <c r="NWY334" s="559"/>
      <c r="NWZ334" s="559"/>
      <c r="NXA334" s="559"/>
      <c r="NXB334" s="559"/>
      <c r="NXC334" s="559"/>
      <c r="NXD334" s="559"/>
      <c r="NXE334" s="559"/>
      <c r="NXF334" s="559"/>
      <c r="NXG334" s="559"/>
      <c r="NXH334" s="559"/>
      <c r="NXI334" s="559"/>
      <c r="NXJ334" s="559"/>
      <c r="NXK334" s="559"/>
      <c r="NXL334" s="559"/>
      <c r="NXM334" s="559"/>
      <c r="NXN334" s="559"/>
      <c r="NXO334" s="559"/>
      <c r="NXP334" s="559"/>
      <c r="NXQ334" s="559"/>
      <c r="NXR334" s="559"/>
      <c r="NXS334" s="559"/>
      <c r="NXT334" s="559"/>
      <c r="NXU334" s="559"/>
      <c r="NXV334" s="559"/>
      <c r="NXW334" s="559"/>
      <c r="NXX334" s="559"/>
      <c r="NXY334" s="559"/>
      <c r="NXZ334" s="559"/>
      <c r="NYA334" s="559"/>
      <c r="NYB334" s="559"/>
      <c r="NYC334" s="559"/>
      <c r="NYD334" s="559"/>
      <c r="NYE334" s="559"/>
      <c r="NYF334" s="559"/>
      <c r="NYG334" s="559"/>
      <c r="NYH334" s="559"/>
      <c r="NYI334" s="559"/>
      <c r="NYJ334" s="559"/>
      <c r="NYK334" s="559"/>
      <c r="NYL334" s="559"/>
      <c r="NYM334" s="559"/>
      <c r="NYN334" s="559"/>
      <c r="NYO334" s="559"/>
      <c r="NYP334" s="559"/>
      <c r="NYQ334" s="559"/>
      <c r="NYR334" s="559"/>
      <c r="NYS334" s="559"/>
      <c r="NYT334" s="559"/>
      <c r="NYU334" s="559"/>
      <c r="NYV334" s="559"/>
      <c r="NYW334" s="559"/>
      <c r="NYX334" s="559"/>
      <c r="NYY334" s="559"/>
      <c r="NYZ334" s="559"/>
      <c r="NZA334" s="559"/>
      <c r="NZB334" s="559"/>
      <c r="NZC334" s="559"/>
      <c r="NZD334" s="559"/>
      <c r="NZE334" s="559"/>
      <c r="NZF334" s="559"/>
      <c r="NZG334" s="559"/>
      <c r="NZH334" s="559"/>
      <c r="NZI334" s="559"/>
      <c r="NZJ334" s="559"/>
      <c r="NZK334" s="559"/>
      <c r="NZL334" s="559"/>
      <c r="NZM334" s="559"/>
      <c r="NZN334" s="559"/>
      <c r="NZO334" s="559"/>
      <c r="NZP334" s="559"/>
      <c r="NZQ334" s="559"/>
      <c r="NZR334" s="559"/>
      <c r="NZS334" s="559"/>
      <c r="NZT334" s="559"/>
      <c r="NZU334" s="559"/>
      <c r="NZV334" s="559"/>
      <c r="NZW334" s="559"/>
      <c r="NZX334" s="559"/>
      <c r="NZY334" s="559"/>
      <c r="NZZ334" s="559"/>
      <c r="OAA334" s="559"/>
      <c r="OAB334" s="559"/>
      <c r="OAC334" s="559"/>
      <c r="OAD334" s="559"/>
      <c r="OAE334" s="559"/>
      <c r="OAF334" s="559"/>
      <c r="OAG334" s="559"/>
      <c r="OAH334" s="559"/>
      <c r="OAI334" s="559"/>
      <c r="OAJ334" s="559"/>
      <c r="OAK334" s="559"/>
      <c r="OAL334" s="559"/>
      <c r="OAM334" s="559"/>
      <c r="OAN334" s="559"/>
      <c r="OAO334" s="559"/>
      <c r="OAP334" s="559"/>
      <c r="OAQ334" s="559"/>
      <c r="OAR334" s="559"/>
      <c r="OAS334" s="559"/>
      <c r="OAT334" s="559"/>
      <c r="OAU334" s="559"/>
      <c r="OAV334" s="559"/>
      <c r="OAW334" s="559"/>
      <c r="OAX334" s="559"/>
      <c r="OAY334" s="559"/>
      <c r="OAZ334" s="559"/>
      <c r="OBA334" s="559"/>
      <c r="OBB334" s="559"/>
      <c r="OBC334" s="559"/>
      <c r="OBD334" s="559"/>
      <c r="OBE334" s="559"/>
      <c r="OBF334" s="559"/>
      <c r="OBG334" s="559"/>
      <c r="OBH334" s="559"/>
      <c r="OBI334" s="559"/>
      <c r="OBJ334" s="559"/>
      <c r="OBK334" s="559"/>
      <c r="OBL334" s="559"/>
      <c r="OBM334" s="559"/>
      <c r="OBN334" s="559"/>
      <c r="OBO334" s="559"/>
      <c r="OBP334" s="559"/>
      <c r="OBQ334" s="559"/>
      <c r="OBR334" s="559"/>
      <c r="OBS334" s="559"/>
      <c r="OBT334" s="559"/>
      <c r="OBU334" s="559"/>
      <c r="OBV334" s="559"/>
      <c r="OBW334" s="559"/>
      <c r="OBX334" s="559"/>
      <c r="OBY334" s="559"/>
      <c r="OBZ334" s="559"/>
      <c r="OCA334" s="559"/>
      <c r="OCB334" s="559"/>
      <c r="OCC334" s="559"/>
      <c r="OCD334" s="559"/>
      <c r="OCE334" s="559"/>
      <c r="OCF334" s="559"/>
      <c r="OCG334" s="559"/>
      <c r="OCH334" s="559"/>
      <c r="OCI334" s="559"/>
      <c r="OCJ334" s="559"/>
      <c r="OCK334" s="559"/>
      <c r="OCL334" s="559"/>
      <c r="OCM334" s="559"/>
      <c r="OCN334" s="559"/>
      <c r="OCO334" s="559"/>
      <c r="OCP334" s="559"/>
      <c r="OCQ334" s="559"/>
      <c r="OCR334" s="559"/>
      <c r="OCS334" s="559"/>
      <c r="OCT334" s="559"/>
      <c r="OCU334" s="559"/>
      <c r="OCV334" s="559"/>
      <c r="OCW334" s="559"/>
      <c r="OCX334" s="559"/>
      <c r="OCY334" s="559"/>
      <c r="OCZ334" s="559"/>
      <c r="ODA334" s="559"/>
      <c r="ODB334" s="559"/>
      <c r="ODC334" s="559"/>
      <c r="ODD334" s="559"/>
      <c r="ODE334" s="559"/>
      <c r="ODF334" s="559"/>
      <c r="ODG334" s="559"/>
      <c r="ODH334" s="559"/>
      <c r="ODI334" s="559"/>
      <c r="ODJ334" s="559"/>
      <c r="ODK334" s="559"/>
      <c r="ODL334" s="559"/>
      <c r="ODM334" s="559"/>
      <c r="ODN334" s="559"/>
      <c r="ODO334" s="559"/>
      <c r="ODP334" s="559"/>
      <c r="ODQ334" s="559"/>
      <c r="ODR334" s="559"/>
      <c r="ODS334" s="559"/>
      <c r="ODT334" s="559"/>
      <c r="ODU334" s="559"/>
      <c r="ODV334" s="559"/>
      <c r="ODW334" s="559"/>
      <c r="ODX334" s="559"/>
      <c r="ODY334" s="559"/>
      <c r="ODZ334" s="559"/>
      <c r="OEA334" s="559"/>
      <c r="OEB334" s="559"/>
      <c r="OEC334" s="559"/>
      <c r="OED334" s="559"/>
      <c r="OEE334" s="559"/>
      <c r="OEF334" s="559"/>
      <c r="OEG334" s="559"/>
      <c r="OEH334" s="559"/>
      <c r="OEI334" s="559"/>
      <c r="OEJ334" s="559"/>
      <c r="OEK334" s="559"/>
      <c r="OEL334" s="559"/>
      <c r="OEM334" s="559"/>
      <c r="OEN334" s="559"/>
      <c r="OEO334" s="559"/>
      <c r="OEP334" s="559"/>
      <c r="OEQ334" s="559"/>
      <c r="OER334" s="559"/>
      <c r="OES334" s="559"/>
      <c r="OET334" s="559"/>
      <c r="OEU334" s="559"/>
      <c r="OEV334" s="559"/>
      <c r="OEW334" s="559"/>
      <c r="OEX334" s="559"/>
      <c r="OEY334" s="559"/>
      <c r="OEZ334" s="559"/>
      <c r="OFA334" s="559"/>
      <c r="OFB334" s="559"/>
      <c r="OFC334" s="559"/>
      <c r="OFD334" s="559"/>
      <c r="OFE334" s="559"/>
      <c r="OFF334" s="559"/>
      <c r="OFG334" s="559"/>
      <c r="OFH334" s="559"/>
      <c r="OFI334" s="559"/>
      <c r="OFJ334" s="559"/>
      <c r="OFK334" s="559"/>
      <c r="OFL334" s="559"/>
      <c r="OFM334" s="559"/>
      <c r="OFN334" s="559"/>
      <c r="OFO334" s="559"/>
      <c r="OFP334" s="559"/>
      <c r="OFQ334" s="559"/>
      <c r="OFR334" s="559"/>
      <c r="OFS334" s="559"/>
      <c r="OFT334" s="559"/>
      <c r="OFU334" s="559"/>
      <c r="OFV334" s="559"/>
      <c r="OFW334" s="559"/>
      <c r="OFX334" s="559"/>
      <c r="OFY334" s="559"/>
      <c r="OFZ334" s="559"/>
      <c r="OGA334" s="559"/>
      <c r="OGB334" s="559"/>
      <c r="OGC334" s="559"/>
      <c r="OGD334" s="559"/>
      <c r="OGE334" s="559"/>
      <c r="OGF334" s="559"/>
      <c r="OGG334" s="559"/>
      <c r="OGH334" s="559"/>
      <c r="OGI334" s="559"/>
      <c r="OGJ334" s="559"/>
      <c r="OGK334" s="559"/>
      <c r="OGL334" s="559"/>
      <c r="OGM334" s="559"/>
      <c r="OGN334" s="559"/>
      <c r="OGO334" s="559"/>
      <c r="OGP334" s="559"/>
      <c r="OGQ334" s="559"/>
      <c r="OGR334" s="559"/>
      <c r="OGS334" s="559"/>
      <c r="OGT334" s="559"/>
      <c r="OGU334" s="559"/>
      <c r="OGV334" s="559"/>
      <c r="OGW334" s="559"/>
      <c r="OGX334" s="559"/>
      <c r="OGY334" s="559"/>
      <c r="OGZ334" s="559"/>
      <c r="OHA334" s="559"/>
      <c r="OHB334" s="559"/>
      <c r="OHC334" s="559"/>
      <c r="OHD334" s="559"/>
      <c r="OHE334" s="559"/>
      <c r="OHF334" s="559"/>
      <c r="OHG334" s="559"/>
      <c r="OHH334" s="559"/>
      <c r="OHI334" s="559"/>
      <c r="OHJ334" s="559"/>
      <c r="OHK334" s="559"/>
      <c r="OHL334" s="559"/>
      <c r="OHM334" s="559"/>
      <c r="OHN334" s="559"/>
      <c r="OHO334" s="559"/>
      <c r="OHP334" s="559"/>
      <c r="OHQ334" s="559"/>
      <c r="OHR334" s="559"/>
      <c r="OHS334" s="559"/>
      <c r="OHT334" s="559"/>
      <c r="OHU334" s="559"/>
      <c r="OHV334" s="559"/>
      <c r="OHW334" s="559"/>
      <c r="OHX334" s="559"/>
      <c r="OHY334" s="559"/>
      <c r="OHZ334" s="559"/>
      <c r="OIA334" s="559"/>
      <c r="OIB334" s="559"/>
      <c r="OIC334" s="559"/>
      <c r="OID334" s="559"/>
      <c r="OIE334" s="559"/>
      <c r="OIF334" s="559"/>
      <c r="OIG334" s="559"/>
      <c r="OIH334" s="559"/>
      <c r="OII334" s="559"/>
      <c r="OIJ334" s="559"/>
      <c r="OIK334" s="559"/>
      <c r="OIL334" s="559"/>
      <c r="OIM334" s="559"/>
      <c r="OIN334" s="559"/>
      <c r="OIO334" s="559"/>
      <c r="OIP334" s="559"/>
      <c r="OIQ334" s="559"/>
      <c r="OIR334" s="559"/>
      <c r="OIS334" s="559"/>
      <c r="OIT334" s="559"/>
      <c r="OIU334" s="559"/>
      <c r="OIV334" s="559"/>
      <c r="OIW334" s="559"/>
      <c r="OIX334" s="559"/>
      <c r="OIY334" s="559"/>
      <c r="OIZ334" s="559"/>
      <c r="OJA334" s="559"/>
      <c r="OJB334" s="559"/>
      <c r="OJC334" s="559"/>
      <c r="OJD334" s="559"/>
      <c r="OJE334" s="559"/>
      <c r="OJF334" s="559"/>
      <c r="OJG334" s="559"/>
      <c r="OJH334" s="559"/>
      <c r="OJI334" s="559"/>
      <c r="OJJ334" s="559"/>
      <c r="OJK334" s="559"/>
      <c r="OJL334" s="559"/>
      <c r="OJM334" s="559"/>
      <c r="OJN334" s="559"/>
      <c r="OJO334" s="559"/>
      <c r="OJP334" s="559"/>
      <c r="OJQ334" s="559"/>
      <c r="OJR334" s="559"/>
      <c r="OJS334" s="559"/>
      <c r="OJT334" s="559"/>
      <c r="OJU334" s="559"/>
      <c r="OJV334" s="559"/>
      <c r="OJW334" s="559"/>
      <c r="OJX334" s="559"/>
      <c r="OJY334" s="559"/>
      <c r="OJZ334" s="559"/>
      <c r="OKA334" s="559"/>
      <c r="OKB334" s="559"/>
      <c r="OKC334" s="559"/>
      <c r="OKD334" s="559"/>
      <c r="OKE334" s="559"/>
      <c r="OKF334" s="559"/>
      <c r="OKG334" s="559"/>
      <c r="OKH334" s="559"/>
      <c r="OKI334" s="559"/>
      <c r="OKJ334" s="559"/>
      <c r="OKK334" s="559"/>
      <c r="OKL334" s="559"/>
      <c r="OKM334" s="559"/>
      <c r="OKN334" s="559"/>
      <c r="OKO334" s="559"/>
      <c r="OKP334" s="559"/>
      <c r="OKQ334" s="559"/>
      <c r="OKR334" s="559"/>
      <c r="OKS334" s="559"/>
      <c r="OKT334" s="559"/>
      <c r="OKU334" s="559"/>
      <c r="OKV334" s="559"/>
      <c r="OKW334" s="559"/>
      <c r="OKX334" s="559"/>
      <c r="OKY334" s="559"/>
      <c r="OKZ334" s="559"/>
      <c r="OLA334" s="559"/>
      <c r="OLB334" s="559"/>
      <c r="OLC334" s="559"/>
      <c r="OLD334" s="559"/>
      <c r="OLE334" s="559"/>
      <c r="OLF334" s="559"/>
      <c r="OLG334" s="559"/>
      <c r="OLH334" s="559"/>
      <c r="OLI334" s="559"/>
      <c r="OLJ334" s="559"/>
      <c r="OLK334" s="559"/>
      <c r="OLL334" s="559"/>
      <c r="OLM334" s="559"/>
      <c r="OLN334" s="559"/>
      <c r="OLO334" s="559"/>
      <c r="OLP334" s="559"/>
      <c r="OLQ334" s="559"/>
      <c r="OLR334" s="559"/>
      <c r="OLS334" s="559"/>
      <c r="OLT334" s="559"/>
      <c r="OLU334" s="559"/>
      <c r="OLV334" s="559"/>
      <c r="OLW334" s="559"/>
      <c r="OLX334" s="559"/>
      <c r="OLY334" s="559"/>
      <c r="OLZ334" s="559"/>
      <c r="OMA334" s="559"/>
      <c r="OMB334" s="559"/>
      <c r="OMC334" s="559"/>
      <c r="OMD334" s="559"/>
      <c r="OME334" s="559"/>
      <c r="OMF334" s="559"/>
      <c r="OMG334" s="559"/>
      <c r="OMH334" s="559"/>
      <c r="OMI334" s="559"/>
      <c r="OMJ334" s="559"/>
      <c r="OMK334" s="559"/>
      <c r="OML334" s="559"/>
      <c r="OMM334" s="559"/>
      <c r="OMN334" s="559"/>
      <c r="OMO334" s="559"/>
      <c r="OMP334" s="559"/>
      <c r="OMQ334" s="559"/>
      <c r="OMR334" s="559"/>
      <c r="OMS334" s="559"/>
      <c r="OMT334" s="559"/>
      <c r="OMU334" s="559"/>
      <c r="OMV334" s="559"/>
      <c r="OMW334" s="559"/>
      <c r="OMX334" s="559"/>
      <c r="OMY334" s="559"/>
      <c r="OMZ334" s="559"/>
      <c r="ONA334" s="559"/>
      <c r="ONB334" s="559"/>
      <c r="ONC334" s="559"/>
      <c r="OND334" s="559"/>
      <c r="ONE334" s="559"/>
      <c r="ONF334" s="559"/>
      <c r="ONG334" s="559"/>
      <c r="ONH334" s="559"/>
      <c r="ONI334" s="559"/>
      <c r="ONJ334" s="559"/>
      <c r="ONK334" s="559"/>
      <c r="ONL334" s="559"/>
      <c r="ONM334" s="559"/>
      <c r="ONN334" s="559"/>
      <c r="ONO334" s="559"/>
      <c r="ONP334" s="559"/>
      <c r="ONQ334" s="559"/>
      <c r="ONR334" s="559"/>
      <c r="ONS334" s="559"/>
      <c r="ONT334" s="559"/>
      <c r="ONU334" s="559"/>
      <c r="ONV334" s="559"/>
      <c r="ONW334" s="559"/>
      <c r="ONX334" s="559"/>
      <c r="ONY334" s="559"/>
      <c r="ONZ334" s="559"/>
      <c r="OOA334" s="559"/>
      <c r="OOB334" s="559"/>
      <c r="OOC334" s="559"/>
      <c r="OOD334" s="559"/>
      <c r="OOE334" s="559"/>
      <c r="OOF334" s="559"/>
      <c r="OOG334" s="559"/>
      <c r="OOH334" s="559"/>
      <c r="OOI334" s="559"/>
      <c r="OOJ334" s="559"/>
      <c r="OOK334" s="559"/>
      <c r="OOL334" s="559"/>
      <c r="OOM334" s="559"/>
      <c r="OON334" s="559"/>
      <c r="OOO334" s="559"/>
      <c r="OOP334" s="559"/>
      <c r="OOQ334" s="559"/>
      <c r="OOR334" s="559"/>
      <c r="OOS334" s="559"/>
      <c r="OOT334" s="559"/>
      <c r="OOU334" s="559"/>
      <c r="OOV334" s="559"/>
      <c r="OOW334" s="559"/>
      <c r="OOX334" s="559"/>
      <c r="OOY334" s="559"/>
      <c r="OOZ334" s="559"/>
      <c r="OPA334" s="559"/>
      <c r="OPB334" s="559"/>
      <c r="OPC334" s="559"/>
      <c r="OPD334" s="559"/>
      <c r="OPE334" s="559"/>
      <c r="OPF334" s="559"/>
      <c r="OPG334" s="559"/>
      <c r="OPH334" s="559"/>
      <c r="OPI334" s="559"/>
      <c r="OPJ334" s="559"/>
      <c r="OPK334" s="559"/>
      <c r="OPL334" s="559"/>
      <c r="OPM334" s="559"/>
      <c r="OPN334" s="559"/>
      <c r="OPO334" s="559"/>
      <c r="OPP334" s="559"/>
      <c r="OPQ334" s="559"/>
      <c r="OPR334" s="559"/>
      <c r="OPS334" s="559"/>
      <c r="OPT334" s="559"/>
      <c r="OPU334" s="559"/>
      <c r="OPV334" s="559"/>
      <c r="OPW334" s="559"/>
      <c r="OPX334" s="559"/>
      <c r="OPY334" s="559"/>
      <c r="OPZ334" s="559"/>
      <c r="OQA334" s="559"/>
      <c r="OQB334" s="559"/>
      <c r="OQC334" s="559"/>
      <c r="OQD334" s="559"/>
      <c r="OQE334" s="559"/>
      <c r="OQF334" s="559"/>
      <c r="OQG334" s="559"/>
      <c r="OQH334" s="559"/>
      <c r="OQI334" s="559"/>
      <c r="OQJ334" s="559"/>
      <c r="OQK334" s="559"/>
      <c r="OQL334" s="559"/>
      <c r="OQM334" s="559"/>
      <c r="OQN334" s="559"/>
      <c r="OQO334" s="559"/>
      <c r="OQP334" s="559"/>
      <c r="OQQ334" s="559"/>
      <c r="OQR334" s="559"/>
      <c r="OQS334" s="559"/>
      <c r="OQT334" s="559"/>
      <c r="OQU334" s="559"/>
      <c r="OQV334" s="559"/>
      <c r="OQW334" s="559"/>
      <c r="OQX334" s="559"/>
      <c r="OQY334" s="559"/>
      <c r="OQZ334" s="559"/>
      <c r="ORA334" s="559"/>
      <c r="ORB334" s="559"/>
      <c r="ORC334" s="559"/>
      <c r="ORD334" s="559"/>
      <c r="ORE334" s="559"/>
      <c r="ORF334" s="559"/>
      <c r="ORG334" s="559"/>
      <c r="ORH334" s="559"/>
      <c r="ORI334" s="559"/>
      <c r="ORJ334" s="559"/>
      <c r="ORK334" s="559"/>
      <c r="ORL334" s="559"/>
      <c r="ORM334" s="559"/>
      <c r="ORN334" s="559"/>
      <c r="ORO334" s="559"/>
      <c r="ORP334" s="559"/>
      <c r="ORQ334" s="559"/>
      <c r="ORR334" s="559"/>
      <c r="ORS334" s="559"/>
      <c r="ORT334" s="559"/>
      <c r="ORU334" s="559"/>
      <c r="ORV334" s="559"/>
      <c r="ORW334" s="559"/>
      <c r="ORX334" s="559"/>
      <c r="ORY334" s="559"/>
      <c r="ORZ334" s="559"/>
      <c r="OSA334" s="559"/>
      <c r="OSB334" s="559"/>
      <c r="OSC334" s="559"/>
      <c r="OSD334" s="559"/>
      <c r="OSE334" s="559"/>
      <c r="OSF334" s="559"/>
      <c r="OSG334" s="559"/>
      <c r="OSH334" s="559"/>
      <c r="OSI334" s="559"/>
      <c r="OSJ334" s="559"/>
      <c r="OSK334" s="559"/>
      <c r="OSL334" s="559"/>
      <c r="OSM334" s="559"/>
      <c r="OSN334" s="559"/>
      <c r="OSO334" s="559"/>
      <c r="OSP334" s="559"/>
      <c r="OSQ334" s="559"/>
      <c r="OSR334" s="559"/>
      <c r="OSS334" s="559"/>
      <c r="OST334" s="559"/>
      <c r="OSU334" s="559"/>
      <c r="OSV334" s="559"/>
      <c r="OSW334" s="559"/>
      <c r="OSX334" s="559"/>
      <c r="OSY334" s="559"/>
      <c r="OSZ334" s="559"/>
      <c r="OTA334" s="559"/>
      <c r="OTB334" s="559"/>
      <c r="OTC334" s="559"/>
      <c r="OTD334" s="559"/>
      <c r="OTE334" s="559"/>
      <c r="OTF334" s="559"/>
      <c r="OTG334" s="559"/>
      <c r="OTH334" s="559"/>
      <c r="OTI334" s="559"/>
      <c r="OTJ334" s="559"/>
      <c r="OTK334" s="559"/>
      <c r="OTL334" s="559"/>
      <c r="OTM334" s="559"/>
      <c r="OTN334" s="559"/>
      <c r="OTO334" s="559"/>
      <c r="OTP334" s="559"/>
      <c r="OTQ334" s="559"/>
      <c r="OTR334" s="559"/>
      <c r="OTS334" s="559"/>
      <c r="OTT334" s="559"/>
      <c r="OTU334" s="559"/>
      <c r="OTV334" s="559"/>
      <c r="OTW334" s="559"/>
      <c r="OTX334" s="559"/>
      <c r="OTY334" s="559"/>
      <c r="OTZ334" s="559"/>
      <c r="OUA334" s="559"/>
      <c r="OUB334" s="559"/>
      <c r="OUC334" s="559"/>
      <c r="OUD334" s="559"/>
      <c r="OUE334" s="559"/>
      <c r="OUF334" s="559"/>
      <c r="OUG334" s="559"/>
      <c r="OUH334" s="559"/>
      <c r="OUI334" s="559"/>
      <c r="OUJ334" s="559"/>
      <c r="OUK334" s="559"/>
      <c r="OUL334" s="559"/>
      <c r="OUM334" s="559"/>
      <c r="OUN334" s="559"/>
      <c r="OUO334" s="559"/>
      <c r="OUP334" s="559"/>
      <c r="OUQ334" s="559"/>
      <c r="OUR334" s="559"/>
      <c r="OUS334" s="559"/>
      <c r="OUT334" s="559"/>
      <c r="OUU334" s="559"/>
      <c r="OUV334" s="559"/>
      <c r="OUW334" s="559"/>
      <c r="OUX334" s="559"/>
      <c r="OUY334" s="559"/>
      <c r="OUZ334" s="559"/>
      <c r="OVA334" s="559"/>
      <c r="OVB334" s="559"/>
      <c r="OVC334" s="559"/>
      <c r="OVD334" s="559"/>
      <c r="OVE334" s="559"/>
      <c r="OVF334" s="559"/>
      <c r="OVG334" s="559"/>
      <c r="OVH334" s="559"/>
      <c r="OVI334" s="559"/>
      <c r="OVJ334" s="559"/>
      <c r="OVK334" s="559"/>
      <c r="OVL334" s="559"/>
      <c r="OVM334" s="559"/>
      <c r="OVN334" s="559"/>
      <c r="OVO334" s="559"/>
      <c r="OVP334" s="559"/>
      <c r="OVQ334" s="559"/>
      <c r="OVR334" s="559"/>
      <c r="OVS334" s="559"/>
      <c r="OVT334" s="559"/>
      <c r="OVU334" s="559"/>
      <c r="OVV334" s="559"/>
      <c r="OVW334" s="559"/>
      <c r="OVX334" s="559"/>
      <c r="OVY334" s="559"/>
      <c r="OVZ334" s="559"/>
      <c r="OWA334" s="559"/>
      <c r="OWB334" s="559"/>
      <c r="OWC334" s="559"/>
      <c r="OWD334" s="559"/>
      <c r="OWE334" s="559"/>
      <c r="OWF334" s="559"/>
      <c r="OWG334" s="559"/>
      <c r="OWH334" s="559"/>
      <c r="OWI334" s="559"/>
      <c r="OWJ334" s="559"/>
      <c r="OWK334" s="559"/>
      <c r="OWL334" s="559"/>
      <c r="OWM334" s="559"/>
      <c r="OWN334" s="559"/>
      <c r="OWO334" s="559"/>
      <c r="OWP334" s="559"/>
      <c r="OWQ334" s="559"/>
      <c r="OWR334" s="559"/>
      <c r="OWS334" s="559"/>
      <c r="OWT334" s="559"/>
      <c r="OWU334" s="559"/>
      <c r="OWV334" s="559"/>
      <c r="OWW334" s="559"/>
      <c r="OWX334" s="559"/>
      <c r="OWY334" s="559"/>
      <c r="OWZ334" s="559"/>
      <c r="OXA334" s="559"/>
      <c r="OXB334" s="559"/>
      <c r="OXC334" s="559"/>
      <c r="OXD334" s="559"/>
      <c r="OXE334" s="559"/>
      <c r="OXF334" s="559"/>
      <c r="OXG334" s="559"/>
      <c r="OXH334" s="559"/>
      <c r="OXI334" s="559"/>
      <c r="OXJ334" s="559"/>
      <c r="OXK334" s="559"/>
      <c r="OXL334" s="559"/>
      <c r="OXM334" s="559"/>
      <c r="OXN334" s="559"/>
      <c r="OXO334" s="559"/>
      <c r="OXP334" s="559"/>
      <c r="OXQ334" s="559"/>
      <c r="OXR334" s="559"/>
      <c r="OXS334" s="559"/>
      <c r="OXT334" s="559"/>
      <c r="OXU334" s="559"/>
      <c r="OXV334" s="559"/>
      <c r="OXW334" s="559"/>
      <c r="OXX334" s="559"/>
      <c r="OXY334" s="559"/>
      <c r="OXZ334" s="559"/>
      <c r="OYA334" s="559"/>
      <c r="OYB334" s="559"/>
      <c r="OYC334" s="559"/>
      <c r="OYD334" s="559"/>
      <c r="OYE334" s="559"/>
      <c r="OYF334" s="559"/>
      <c r="OYG334" s="559"/>
      <c r="OYH334" s="559"/>
      <c r="OYI334" s="559"/>
      <c r="OYJ334" s="559"/>
      <c r="OYK334" s="559"/>
      <c r="OYL334" s="559"/>
      <c r="OYM334" s="559"/>
      <c r="OYN334" s="559"/>
      <c r="OYO334" s="559"/>
      <c r="OYP334" s="559"/>
      <c r="OYQ334" s="559"/>
      <c r="OYR334" s="559"/>
      <c r="OYS334" s="559"/>
      <c r="OYT334" s="559"/>
      <c r="OYU334" s="559"/>
      <c r="OYV334" s="559"/>
      <c r="OYW334" s="559"/>
      <c r="OYX334" s="559"/>
      <c r="OYY334" s="559"/>
      <c r="OYZ334" s="559"/>
      <c r="OZA334" s="559"/>
      <c r="OZB334" s="559"/>
      <c r="OZC334" s="559"/>
      <c r="OZD334" s="559"/>
      <c r="OZE334" s="559"/>
      <c r="OZF334" s="559"/>
      <c r="OZG334" s="559"/>
      <c r="OZH334" s="559"/>
      <c r="OZI334" s="559"/>
      <c r="OZJ334" s="559"/>
      <c r="OZK334" s="559"/>
      <c r="OZL334" s="559"/>
      <c r="OZM334" s="559"/>
      <c r="OZN334" s="559"/>
      <c r="OZO334" s="559"/>
      <c r="OZP334" s="559"/>
      <c r="OZQ334" s="559"/>
      <c r="OZR334" s="559"/>
      <c r="OZS334" s="559"/>
      <c r="OZT334" s="559"/>
      <c r="OZU334" s="559"/>
      <c r="OZV334" s="559"/>
      <c r="OZW334" s="559"/>
      <c r="OZX334" s="559"/>
      <c r="OZY334" s="559"/>
      <c r="OZZ334" s="559"/>
      <c r="PAA334" s="559"/>
      <c r="PAB334" s="559"/>
      <c r="PAC334" s="559"/>
      <c r="PAD334" s="559"/>
      <c r="PAE334" s="559"/>
      <c r="PAF334" s="559"/>
      <c r="PAG334" s="559"/>
      <c r="PAH334" s="559"/>
      <c r="PAI334" s="559"/>
      <c r="PAJ334" s="559"/>
      <c r="PAK334" s="559"/>
      <c r="PAL334" s="559"/>
      <c r="PAM334" s="559"/>
      <c r="PAN334" s="559"/>
      <c r="PAO334" s="559"/>
      <c r="PAP334" s="559"/>
      <c r="PAQ334" s="559"/>
      <c r="PAR334" s="559"/>
      <c r="PAS334" s="559"/>
      <c r="PAT334" s="559"/>
      <c r="PAU334" s="559"/>
      <c r="PAV334" s="559"/>
      <c r="PAW334" s="559"/>
      <c r="PAX334" s="559"/>
      <c r="PAY334" s="559"/>
      <c r="PAZ334" s="559"/>
      <c r="PBA334" s="559"/>
      <c r="PBB334" s="559"/>
      <c r="PBC334" s="559"/>
      <c r="PBD334" s="559"/>
      <c r="PBE334" s="559"/>
      <c r="PBF334" s="559"/>
      <c r="PBG334" s="559"/>
      <c r="PBH334" s="559"/>
      <c r="PBI334" s="559"/>
      <c r="PBJ334" s="559"/>
      <c r="PBK334" s="559"/>
      <c r="PBL334" s="559"/>
      <c r="PBM334" s="559"/>
      <c r="PBN334" s="559"/>
      <c r="PBO334" s="559"/>
      <c r="PBP334" s="559"/>
      <c r="PBQ334" s="559"/>
      <c r="PBR334" s="559"/>
      <c r="PBS334" s="559"/>
      <c r="PBT334" s="559"/>
      <c r="PBU334" s="559"/>
      <c r="PBV334" s="559"/>
      <c r="PBW334" s="559"/>
      <c r="PBX334" s="559"/>
      <c r="PBY334" s="559"/>
      <c r="PBZ334" s="559"/>
      <c r="PCA334" s="559"/>
      <c r="PCB334" s="559"/>
      <c r="PCC334" s="559"/>
      <c r="PCD334" s="559"/>
      <c r="PCE334" s="559"/>
      <c r="PCF334" s="559"/>
      <c r="PCG334" s="559"/>
      <c r="PCH334" s="559"/>
      <c r="PCI334" s="559"/>
      <c r="PCJ334" s="559"/>
      <c r="PCK334" s="559"/>
      <c r="PCL334" s="559"/>
      <c r="PCM334" s="559"/>
      <c r="PCN334" s="559"/>
      <c r="PCO334" s="559"/>
      <c r="PCP334" s="559"/>
      <c r="PCQ334" s="559"/>
      <c r="PCR334" s="559"/>
      <c r="PCS334" s="559"/>
      <c r="PCT334" s="559"/>
      <c r="PCU334" s="559"/>
      <c r="PCV334" s="559"/>
      <c r="PCW334" s="559"/>
      <c r="PCX334" s="559"/>
      <c r="PCY334" s="559"/>
      <c r="PCZ334" s="559"/>
      <c r="PDA334" s="559"/>
      <c r="PDB334" s="559"/>
      <c r="PDC334" s="559"/>
      <c r="PDD334" s="559"/>
      <c r="PDE334" s="559"/>
      <c r="PDF334" s="559"/>
      <c r="PDG334" s="559"/>
      <c r="PDH334" s="559"/>
      <c r="PDI334" s="559"/>
      <c r="PDJ334" s="559"/>
      <c r="PDK334" s="559"/>
      <c r="PDL334" s="559"/>
      <c r="PDM334" s="559"/>
      <c r="PDN334" s="559"/>
      <c r="PDO334" s="559"/>
      <c r="PDP334" s="559"/>
      <c r="PDQ334" s="559"/>
      <c r="PDR334" s="559"/>
      <c r="PDS334" s="559"/>
      <c r="PDT334" s="559"/>
      <c r="PDU334" s="559"/>
      <c r="PDV334" s="559"/>
      <c r="PDW334" s="559"/>
      <c r="PDX334" s="559"/>
      <c r="PDY334" s="559"/>
      <c r="PDZ334" s="559"/>
      <c r="PEA334" s="559"/>
      <c r="PEB334" s="559"/>
      <c r="PEC334" s="559"/>
      <c r="PED334" s="559"/>
      <c r="PEE334" s="559"/>
      <c r="PEF334" s="559"/>
      <c r="PEG334" s="559"/>
      <c r="PEH334" s="559"/>
      <c r="PEI334" s="559"/>
      <c r="PEJ334" s="559"/>
      <c r="PEK334" s="559"/>
      <c r="PEL334" s="559"/>
      <c r="PEM334" s="559"/>
      <c r="PEN334" s="559"/>
      <c r="PEO334" s="559"/>
      <c r="PEP334" s="559"/>
      <c r="PEQ334" s="559"/>
      <c r="PER334" s="559"/>
      <c r="PES334" s="559"/>
      <c r="PET334" s="559"/>
      <c r="PEU334" s="559"/>
      <c r="PEV334" s="559"/>
      <c r="PEW334" s="559"/>
      <c r="PEX334" s="559"/>
      <c r="PEY334" s="559"/>
      <c r="PEZ334" s="559"/>
      <c r="PFA334" s="559"/>
      <c r="PFB334" s="559"/>
      <c r="PFC334" s="559"/>
      <c r="PFD334" s="559"/>
      <c r="PFE334" s="559"/>
      <c r="PFF334" s="559"/>
      <c r="PFG334" s="559"/>
      <c r="PFH334" s="559"/>
      <c r="PFI334" s="559"/>
      <c r="PFJ334" s="559"/>
      <c r="PFK334" s="559"/>
      <c r="PFL334" s="559"/>
      <c r="PFM334" s="559"/>
      <c r="PFN334" s="559"/>
      <c r="PFO334" s="559"/>
      <c r="PFP334" s="559"/>
      <c r="PFQ334" s="559"/>
      <c r="PFR334" s="559"/>
      <c r="PFS334" s="559"/>
      <c r="PFT334" s="559"/>
      <c r="PFU334" s="559"/>
      <c r="PFV334" s="559"/>
      <c r="PFW334" s="559"/>
      <c r="PFX334" s="559"/>
      <c r="PFY334" s="559"/>
      <c r="PFZ334" s="559"/>
      <c r="PGA334" s="559"/>
      <c r="PGB334" s="559"/>
      <c r="PGC334" s="559"/>
      <c r="PGD334" s="559"/>
      <c r="PGE334" s="559"/>
      <c r="PGF334" s="559"/>
      <c r="PGG334" s="559"/>
      <c r="PGH334" s="559"/>
      <c r="PGI334" s="559"/>
      <c r="PGJ334" s="559"/>
      <c r="PGK334" s="559"/>
      <c r="PGL334" s="559"/>
      <c r="PGM334" s="559"/>
      <c r="PGN334" s="559"/>
      <c r="PGO334" s="559"/>
      <c r="PGP334" s="559"/>
      <c r="PGQ334" s="559"/>
      <c r="PGR334" s="559"/>
      <c r="PGS334" s="559"/>
      <c r="PGT334" s="559"/>
      <c r="PGU334" s="559"/>
      <c r="PGV334" s="559"/>
      <c r="PGW334" s="559"/>
      <c r="PGX334" s="559"/>
      <c r="PGY334" s="559"/>
      <c r="PGZ334" s="559"/>
      <c r="PHA334" s="559"/>
      <c r="PHB334" s="559"/>
      <c r="PHC334" s="559"/>
      <c r="PHD334" s="559"/>
      <c r="PHE334" s="559"/>
      <c r="PHF334" s="559"/>
      <c r="PHG334" s="559"/>
      <c r="PHH334" s="559"/>
      <c r="PHI334" s="559"/>
      <c r="PHJ334" s="559"/>
      <c r="PHK334" s="559"/>
      <c r="PHL334" s="559"/>
      <c r="PHM334" s="559"/>
      <c r="PHN334" s="559"/>
      <c r="PHO334" s="559"/>
      <c r="PHP334" s="559"/>
      <c r="PHQ334" s="559"/>
      <c r="PHR334" s="559"/>
      <c r="PHS334" s="559"/>
      <c r="PHT334" s="559"/>
      <c r="PHU334" s="559"/>
      <c r="PHV334" s="559"/>
      <c r="PHW334" s="559"/>
      <c r="PHX334" s="559"/>
      <c r="PHY334" s="559"/>
      <c r="PHZ334" s="559"/>
      <c r="PIA334" s="559"/>
      <c r="PIB334" s="559"/>
      <c r="PIC334" s="559"/>
      <c r="PID334" s="559"/>
      <c r="PIE334" s="559"/>
      <c r="PIF334" s="559"/>
      <c r="PIG334" s="559"/>
      <c r="PIH334" s="559"/>
      <c r="PII334" s="559"/>
      <c r="PIJ334" s="559"/>
      <c r="PIK334" s="559"/>
      <c r="PIL334" s="559"/>
      <c r="PIM334" s="559"/>
      <c r="PIN334" s="559"/>
      <c r="PIO334" s="559"/>
      <c r="PIP334" s="559"/>
      <c r="PIQ334" s="559"/>
      <c r="PIR334" s="559"/>
      <c r="PIS334" s="559"/>
      <c r="PIT334" s="559"/>
      <c r="PIU334" s="559"/>
      <c r="PIV334" s="559"/>
      <c r="PIW334" s="559"/>
      <c r="PIX334" s="559"/>
      <c r="PIY334" s="559"/>
      <c r="PIZ334" s="559"/>
      <c r="PJA334" s="559"/>
      <c r="PJB334" s="559"/>
      <c r="PJC334" s="559"/>
      <c r="PJD334" s="559"/>
      <c r="PJE334" s="559"/>
      <c r="PJF334" s="559"/>
      <c r="PJG334" s="559"/>
      <c r="PJH334" s="559"/>
      <c r="PJI334" s="559"/>
      <c r="PJJ334" s="559"/>
      <c r="PJK334" s="559"/>
      <c r="PJL334" s="559"/>
      <c r="PJM334" s="559"/>
      <c r="PJN334" s="559"/>
      <c r="PJO334" s="559"/>
      <c r="PJP334" s="559"/>
      <c r="PJQ334" s="559"/>
      <c r="PJR334" s="559"/>
      <c r="PJS334" s="559"/>
      <c r="PJT334" s="559"/>
      <c r="PJU334" s="559"/>
      <c r="PJV334" s="559"/>
      <c r="PJW334" s="559"/>
      <c r="PJX334" s="559"/>
      <c r="PJY334" s="559"/>
      <c r="PJZ334" s="559"/>
      <c r="PKA334" s="559"/>
      <c r="PKB334" s="559"/>
      <c r="PKC334" s="559"/>
      <c r="PKD334" s="559"/>
      <c r="PKE334" s="559"/>
      <c r="PKF334" s="559"/>
      <c r="PKG334" s="559"/>
      <c r="PKH334" s="559"/>
      <c r="PKI334" s="559"/>
      <c r="PKJ334" s="559"/>
      <c r="PKK334" s="559"/>
      <c r="PKL334" s="559"/>
      <c r="PKM334" s="559"/>
      <c r="PKN334" s="559"/>
      <c r="PKO334" s="559"/>
      <c r="PKP334" s="559"/>
      <c r="PKQ334" s="559"/>
      <c r="PKR334" s="559"/>
      <c r="PKS334" s="559"/>
      <c r="PKT334" s="559"/>
      <c r="PKU334" s="559"/>
      <c r="PKV334" s="559"/>
      <c r="PKW334" s="559"/>
      <c r="PKX334" s="559"/>
      <c r="PKY334" s="559"/>
      <c r="PKZ334" s="559"/>
      <c r="PLA334" s="559"/>
      <c r="PLB334" s="559"/>
      <c r="PLC334" s="559"/>
      <c r="PLD334" s="559"/>
      <c r="PLE334" s="559"/>
      <c r="PLF334" s="559"/>
      <c r="PLG334" s="559"/>
      <c r="PLH334" s="559"/>
      <c r="PLI334" s="559"/>
      <c r="PLJ334" s="559"/>
      <c r="PLK334" s="559"/>
      <c r="PLL334" s="559"/>
      <c r="PLM334" s="559"/>
      <c r="PLN334" s="559"/>
      <c r="PLO334" s="559"/>
      <c r="PLP334" s="559"/>
      <c r="PLQ334" s="559"/>
      <c r="PLR334" s="559"/>
      <c r="PLS334" s="559"/>
      <c r="PLT334" s="559"/>
      <c r="PLU334" s="559"/>
      <c r="PLV334" s="559"/>
      <c r="PLW334" s="559"/>
      <c r="PLX334" s="559"/>
      <c r="PLY334" s="559"/>
      <c r="PLZ334" s="559"/>
      <c r="PMA334" s="559"/>
      <c r="PMB334" s="559"/>
      <c r="PMC334" s="559"/>
      <c r="PMD334" s="559"/>
      <c r="PME334" s="559"/>
      <c r="PMF334" s="559"/>
      <c r="PMG334" s="559"/>
      <c r="PMH334" s="559"/>
      <c r="PMI334" s="559"/>
      <c r="PMJ334" s="559"/>
      <c r="PMK334" s="559"/>
      <c r="PML334" s="559"/>
      <c r="PMM334" s="559"/>
      <c r="PMN334" s="559"/>
      <c r="PMO334" s="559"/>
      <c r="PMP334" s="559"/>
      <c r="PMQ334" s="559"/>
      <c r="PMR334" s="559"/>
      <c r="PMS334" s="559"/>
      <c r="PMT334" s="559"/>
      <c r="PMU334" s="559"/>
      <c r="PMV334" s="559"/>
      <c r="PMW334" s="559"/>
      <c r="PMX334" s="559"/>
      <c r="PMY334" s="559"/>
      <c r="PMZ334" s="559"/>
      <c r="PNA334" s="559"/>
      <c r="PNB334" s="559"/>
      <c r="PNC334" s="559"/>
      <c r="PND334" s="559"/>
      <c r="PNE334" s="559"/>
      <c r="PNF334" s="559"/>
      <c r="PNG334" s="559"/>
      <c r="PNH334" s="559"/>
      <c r="PNI334" s="559"/>
      <c r="PNJ334" s="559"/>
      <c r="PNK334" s="559"/>
      <c r="PNL334" s="559"/>
      <c r="PNM334" s="559"/>
      <c r="PNN334" s="559"/>
      <c r="PNO334" s="559"/>
      <c r="PNP334" s="559"/>
      <c r="PNQ334" s="559"/>
      <c r="PNR334" s="559"/>
      <c r="PNS334" s="559"/>
      <c r="PNT334" s="559"/>
      <c r="PNU334" s="559"/>
      <c r="PNV334" s="559"/>
      <c r="PNW334" s="559"/>
      <c r="PNX334" s="559"/>
      <c r="PNY334" s="559"/>
      <c r="PNZ334" s="559"/>
      <c r="POA334" s="559"/>
      <c r="POB334" s="559"/>
      <c r="POC334" s="559"/>
      <c r="POD334" s="559"/>
      <c r="POE334" s="559"/>
      <c r="POF334" s="559"/>
      <c r="POG334" s="559"/>
      <c r="POH334" s="559"/>
      <c r="POI334" s="559"/>
      <c r="POJ334" s="559"/>
      <c r="POK334" s="559"/>
      <c r="POL334" s="559"/>
      <c r="POM334" s="559"/>
      <c r="PON334" s="559"/>
      <c r="POO334" s="559"/>
      <c r="POP334" s="559"/>
      <c r="POQ334" s="559"/>
      <c r="POR334" s="559"/>
      <c r="POS334" s="559"/>
      <c r="POT334" s="559"/>
      <c r="POU334" s="559"/>
      <c r="POV334" s="559"/>
      <c r="POW334" s="559"/>
      <c r="POX334" s="559"/>
      <c r="POY334" s="559"/>
      <c r="POZ334" s="559"/>
      <c r="PPA334" s="559"/>
      <c r="PPB334" s="559"/>
      <c r="PPC334" s="559"/>
      <c r="PPD334" s="559"/>
      <c r="PPE334" s="559"/>
      <c r="PPF334" s="559"/>
      <c r="PPG334" s="559"/>
      <c r="PPH334" s="559"/>
      <c r="PPI334" s="559"/>
      <c r="PPJ334" s="559"/>
      <c r="PPK334" s="559"/>
      <c r="PPL334" s="559"/>
      <c r="PPM334" s="559"/>
      <c r="PPN334" s="559"/>
      <c r="PPO334" s="559"/>
      <c r="PPP334" s="559"/>
      <c r="PPQ334" s="559"/>
      <c r="PPR334" s="559"/>
      <c r="PPS334" s="559"/>
      <c r="PPT334" s="559"/>
      <c r="PPU334" s="559"/>
      <c r="PPV334" s="559"/>
      <c r="PPW334" s="559"/>
      <c r="PPX334" s="559"/>
      <c r="PPY334" s="559"/>
      <c r="PPZ334" s="559"/>
      <c r="PQA334" s="559"/>
      <c r="PQB334" s="559"/>
      <c r="PQC334" s="559"/>
      <c r="PQD334" s="559"/>
      <c r="PQE334" s="559"/>
      <c r="PQF334" s="559"/>
      <c r="PQG334" s="559"/>
      <c r="PQH334" s="559"/>
      <c r="PQI334" s="559"/>
      <c r="PQJ334" s="559"/>
      <c r="PQK334" s="559"/>
      <c r="PQL334" s="559"/>
      <c r="PQM334" s="559"/>
      <c r="PQN334" s="559"/>
      <c r="PQO334" s="559"/>
      <c r="PQP334" s="559"/>
      <c r="PQQ334" s="559"/>
      <c r="PQR334" s="559"/>
      <c r="PQS334" s="559"/>
      <c r="PQT334" s="559"/>
      <c r="PQU334" s="559"/>
      <c r="PQV334" s="559"/>
      <c r="PQW334" s="559"/>
      <c r="PQX334" s="559"/>
      <c r="PQY334" s="559"/>
      <c r="PQZ334" s="559"/>
      <c r="PRA334" s="559"/>
      <c r="PRB334" s="559"/>
      <c r="PRC334" s="559"/>
      <c r="PRD334" s="559"/>
      <c r="PRE334" s="559"/>
      <c r="PRF334" s="559"/>
      <c r="PRG334" s="559"/>
      <c r="PRH334" s="559"/>
      <c r="PRI334" s="559"/>
      <c r="PRJ334" s="559"/>
      <c r="PRK334" s="559"/>
      <c r="PRL334" s="559"/>
      <c r="PRM334" s="559"/>
      <c r="PRN334" s="559"/>
      <c r="PRO334" s="559"/>
      <c r="PRP334" s="559"/>
      <c r="PRQ334" s="559"/>
      <c r="PRR334" s="559"/>
      <c r="PRS334" s="559"/>
      <c r="PRT334" s="559"/>
      <c r="PRU334" s="559"/>
      <c r="PRV334" s="559"/>
      <c r="PRW334" s="559"/>
      <c r="PRX334" s="559"/>
      <c r="PRY334" s="559"/>
      <c r="PRZ334" s="559"/>
      <c r="PSA334" s="559"/>
      <c r="PSB334" s="559"/>
      <c r="PSC334" s="559"/>
      <c r="PSD334" s="559"/>
      <c r="PSE334" s="559"/>
      <c r="PSF334" s="559"/>
      <c r="PSG334" s="559"/>
      <c r="PSH334" s="559"/>
      <c r="PSI334" s="559"/>
      <c r="PSJ334" s="559"/>
      <c r="PSK334" s="559"/>
      <c r="PSL334" s="559"/>
      <c r="PSM334" s="559"/>
      <c r="PSN334" s="559"/>
      <c r="PSO334" s="559"/>
      <c r="PSP334" s="559"/>
      <c r="PSQ334" s="559"/>
      <c r="PSR334" s="559"/>
      <c r="PSS334" s="559"/>
      <c r="PST334" s="559"/>
      <c r="PSU334" s="559"/>
      <c r="PSV334" s="559"/>
      <c r="PSW334" s="559"/>
      <c r="PSX334" s="559"/>
      <c r="PSY334" s="559"/>
      <c r="PSZ334" s="559"/>
      <c r="PTA334" s="559"/>
      <c r="PTB334" s="559"/>
      <c r="PTC334" s="559"/>
      <c r="PTD334" s="559"/>
      <c r="PTE334" s="559"/>
      <c r="PTF334" s="559"/>
      <c r="PTG334" s="559"/>
      <c r="PTH334" s="559"/>
      <c r="PTI334" s="559"/>
      <c r="PTJ334" s="559"/>
      <c r="PTK334" s="559"/>
      <c r="PTL334" s="559"/>
      <c r="PTM334" s="559"/>
      <c r="PTN334" s="559"/>
      <c r="PTO334" s="559"/>
      <c r="PTP334" s="559"/>
      <c r="PTQ334" s="559"/>
      <c r="PTR334" s="559"/>
      <c r="PTS334" s="559"/>
      <c r="PTT334" s="559"/>
      <c r="PTU334" s="559"/>
      <c r="PTV334" s="559"/>
      <c r="PTW334" s="559"/>
      <c r="PTX334" s="559"/>
      <c r="PTY334" s="559"/>
      <c r="PTZ334" s="559"/>
      <c r="PUA334" s="559"/>
      <c r="PUB334" s="559"/>
      <c r="PUC334" s="559"/>
      <c r="PUD334" s="559"/>
      <c r="PUE334" s="559"/>
      <c r="PUF334" s="559"/>
      <c r="PUG334" s="559"/>
      <c r="PUH334" s="559"/>
      <c r="PUI334" s="559"/>
      <c r="PUJ334" s="559"/>
      <c r="PUK334" s="559"/>
      <c r="PUL334" s="559"/>
      <c r="PUM334" s="559"/>
      <c r="PUN334" s="559"/>
      <c r="PUO334" s="559"/>
      <c r="PUP334" s="559"/>
      <c r="PUQ334" s="559"/>
      <c r="PUR334" s="559"/>
      <c r="PUS334" s="559"/>
      <c r="PUT334" s="559"/>
      <c r="PUU334" s="559"/>
      <c r="PUV334" s="559"/>
      <c r="PUW334" s="559"/>
      <c r="PUX334" s="559"/>
      <c r="PUY334" s="559"/>
      <c r="PUZ334" s="559"/>
      <c r="PVA334" s="559"/>
      <c r="PVB334" s="559"/>
      <c r="PVC334" s="559"/>
      <c r="PVD334" s="559"/>
      <c r="PVE334" s="559"/>
      <c r="PVF334" s="559"/>
      <c r="PVG334" s="559"/>
      <c r="PVH334" s="559"/>
      <c r="PVI334" s="559"/>
      <c r="PVJ334" s="559"/>
      <c r="PVK334" s="559"/>
      <c r="PVL334" s="559"/>
      <c r="PVM334" s="559"/>
      <c r="PVN334" s="559"/>
      <c r="PVO334" s="559"/>
      <c r="PVP334" s="559"/>
      <c r="PVQ334" s="559"/>
      <c r="PVR334" s="559"/>
      <c r="PVS334" s="559"/>
      <c r="PVT334" s="559"/>
      <c r="PVU334" s="559"/>
      <c r="PVV334" s="559"/>
      <c r="PVW334" s="559"/>
      <c r="PVX334" s="559"/>
      <c r="PVY334" s="559"/>
      <c r="PVZ334" s="559"/>
      <c r="PWA334" s="559"/>
      <c r="PWB334" s="559"/>
      <c r="PWC334" s="559"/>
      <c r="PWD334" s="559"/>
      <c r="PWE334" s="559"/>
      <c r="PWF334" s="559"/>
      <c r="PWG334" s="559"/>
      <c r="PWH334" s="559"/>
      <c r="PWI334" s="559"/>
      <c r="PWJ334" s="559"/>
      <c r="PWK334" s="559"/>
      <c r="PWL334" s="559"/>
      <c r="PWM334" s="559"/>
      <c r="PWN334" s="559"/>
      <c r="PWO334" s="559"/>
      <c r="PWP334" s="559"/>
      <c r="PWQ334" s="559"/>
      <c r="PWR334" s="559"/>
      <c r="PWS334" s="559"/>
      <c r="PWT334" s="559"/>
      <c r="PWU334" s="559"/>
      <c r="PWV334" s="559"/>
      <c r="PWW334" s="559"/>
      <c r="PWX334" s="559"/>
      <c r="PWY334" s="559"/>
      <c r="PWZ334" s="559"/>
      <c r="PXA334" s="559"/>
      <c r="PXB334" s="559"/>
      <c r="PXC334" s="559"/>
      <c r="PXD334" s="559"/>
      <c r="PXE334" s="559"/>
      <c r="PXF334" s="559"/>
      <c r="PXG334" s="559"/>
      <c r="PXH334" s="559"/>
      <c r="PXI334" s="559"/>
      <c r="PXJ334" s="559"/>
      <c r="PXK334" s="559"/>
      <c r="PXL334" s="559"/>
      <c r="PXM334" s="559"/>
      <c r="PXN334" s="559"/>
      <c r="PXO334" s="559"/>
      <c r="PXP334" s="559"/>
      <c r="PXQ334" s="559"/>
      <c r="PXR334" s="559"/>
      <c r="PXS334" s="559"/>
      <c r="PXT334" s="559"/>
      <c r="PXU334" s="559"/>
      <c r="PXV334" s="559"/>
      <c r="PXW334" s="559"/>
      <c r="PXX334" s="559"/>
      <c r="PXY334" s="559"/>
      <c r="PXZ334" s="559"/>
      <c r="PYA334" s="559"/>
      <c r="PYB334" s="559"/>
      <c r="PYC334" s="559"/>
      <c r="PYD334" s="559"/>
      <c r="PYE334" s="559"/>
      <c r="PYF334" s="559"/>
      <c r="PYG334" s="559"/>
      <c r="PYH334" s="559"/>
      <c r="PYI334" s="559"/>
      <c r="PYJ334" s="559"/>
      <c r="PYK334" s="559"/>
      <c r="PYL334" s="559"/>
      <c r="PYM334" s="559"/>
      <c r="PYN334" s="559"/>
      <c r="PYO334" s="559"/>
      <c r="PYP334" s="559"/>
      <c r="PYQ334" s="559"/>
      <c r="PYR334" s="559"/>
      <c r="PYS334" s="559"/>
      <c r="PYT334" s="559"/>
      <c r="PYU334" s="559"/>
      <c r="PYV334" s="559"/>
      <c r="PYW334" s="559"/>
      <c r="PYX334" s="559"/>
      <c r="PYY334" s="559"/>
      <c r="PYZ334" s="559"/>
      <c r="PZA334" s="559"/>
      <c r="PZB334" s="559"/>
      <c r="PZC334" s="559"/>
      <c r="PZD334" s="559"/>
      <c r="PZE334" s="559"/>
      <c r="PZF334" s="559"/>
      <c r="PZG334" s="559"/>
      <c r="PZH334" s="559"/>
      <c r="PZI334" s="559"/>
      <c r="PZJ334" s="559"/>
      <c r="PZK334" s="559"/>
      <c r="PZL334" s="559"/>
      <c r="PZM334" s="559"/>
      <c r="PZN334" s="559"/>
      <c r="PZO334" s="559"/>
      <c r="PZP334" s="559"/>
      <c r="PZQ334" s="559"/>
      <c r="PZR334" s="559"/>
      <c r="PZS334" s="559"/>
      <c r="PZT334" s="559"/>
      <c r="PZU334" s="559"/>
      <c r="PZV334" s="559"/>
      <c r="PZW334" s="559"/>
      <c r="PZX334" s="559"/>
      <c r="PZY334" s="559"/>
      <c r="PZZ334" s="559"/>
      <c r="QAA334" s="559"/>
      <c r="QAB334" s="559"/>
      <c r="QAC334" s="559"/>
      <c r="QAD334" s="559"/>
      <c r="QAE334" s="559"/>
      <c r="QAF334" s="559"/>
      <c r="QAG334" s="559"/>
      <c r="QAH334" s="559"/>
      <c r="QAI334" s="559"/>
      <c r="QAJ334" s="559"/>
      <c r="QAK334" s="559"/>
      <c r="QAL334" s="559"/>
      <c r="QAM334" s="559"/>
      <c r="QAN334" s="559"/>
      <c r="QAO334" s="559"/>
      <c r="QAP334" s="559"/>
      <c r="QAQ334" s="559"/>
      <c r="QAR334" s="559"/>
      <c r="QAS334" s="559"/>
      <c r="QAT334" s="559"/>
      <c r="QAU334" s="559"/>
      <c r="QAV334" s="559"/>
      <c r="QAW334" s="559"/>
      <c r="QAX334" s="559"/>
      <c r="QAY334" s="559"/>
      <c r="QAZ334" s="559"/>
      <c r="QBA334" s="559"/>
      <c r="QBB334" s="559"/>
      <c r="QBC334" s="559"/>
      <c r="QBD334" s="559"/>
      <c r="QBE334" s="559"/>
      <c r="QBF334" s="559"/>
      <c r="QBG334" s="559"/>
      <c r="QBH334" s="559"/>
      <c r="QBI334" s="559"/>
      <c r="QBJ334" s="559"/>
      <c r="QBK334" s="559"/>
      <c r="QBL334" s="559"/>
      <c r="QBM334" s="559"/>
      <c r="QBN334" s="559"/>
      <c r="QBO334" s="559"/>
      <c r="QBP334" s="559"/>
      <c r="QBQ334" s="559"/>
      <c r="QBR334" s="559"/>
      <c r="QBS334" s="559"/>
      <c r="QBT334" s="559"/>
      <c r="QBU334" s="559"/>
      <c r="QBV334" s="559"/>
      <c r="QBW334" s="559"/>
      <c r="QBX334" s="559"/>
      <c r="QBY334" s="559"/>
      <c r="QBZ334" s="559"/>
      <c r="QCA334" s="559"/>
      <c r="QCB334" s="559"/>
      <c r="QCC334" s="559"/>
      <c r="QCD334" s="559"/>
      <c r="QCE334" s="559"/>
      <c r="QCF334" s="559"/>
      <c r="QCG334" s="559"/>
      <c r="QCH334" s="559"/>
      <c r="QCI334" s="559"/>
      <c r="QCJ334" s="559"/>
      <c r="QCK334" s="559"/>
      <c r="QCL334" s="559"/>
      <c r="QCM334" s="559"/>
      <c r="QCN334" s="559"/>
      <c r="QCO334" s="559"/>
      <c r="QCP334" s="559"/>
      <c r="QCQ334" s="559"/>
      <c r="QCR334" s="559"/>
      <c r="QCS334" s="559"/>
      <c r="QCT334" s="559"/>
      <c r="QCU334" s="559"/>
      <c r="QCV334" s="559"/>
      <c r="QCW334" s="559"/>
      <c r="QCX334" s="559"/>
      <c r="QCY334" s="559"/>
      <c r="QCZ334" s="559"/>
      <c r="QDA334" s="559"/>
      <c r="QDB334" s="559"/>
      <c r="QDC334" s="559"/>
      <c r="QDD334" s="559"/>
      <c r="QDE334" s="559"/>
      <c r="QDF334" s="559"/>
      <c r="QDG334" s="559"/>
      <c r="QDH334" s="559"/>
      <c r="QDI334" s="559"/>
      <c r="QDJ334" s="559"/>
      <c r="QDK334" s="559"/>
      <c r="QDL334" s="559"/>
      <c r="QDM334" s="559"/>
      <c r="QDN334" s="559"/>
      <c r="QDO334" s="559"/>
      <c r="QDP334" s="559"/>
      <c r="QDQ334" s="559"/>
      <c r="QDR334" s="559"/>
      <c r="QDS334" s="559"/>
      <c r="QDT334" s="559"/>
      <c r="QDU334" s="559"/>
      <c r="QDV334" s="559"/>
      <c r="QDW334" s="559"/>
      <c r="QDX334" s="559"/>
      <c r="QDY334" s="559"/>
      <c r="QDZ334" s="559"/>
      <c r="QEA334" s="559"/>
      <c r="QEB334" s="559"/>
      <c r="QEC334" s="559"/>
      <c r="QED334" s="559"/>
      <c r="QEE334" s="559"/>
      <c r="QEF334" s="559"/>
      <c r="QEG334" s="559"/>
      <c r="QEH334" s="559"/>
      <c r="QEI334" s="559"/>
      <c r="QEJ334" s="559"/>
      <c r="QEK334" s="559"/>
      <c r="QEL334" s="559"/>
      <c r="QEM334" s="559"/>
      <c r="QEN334" s="559"/>
      <c r="QEO334" s="559"/>
      <c r="QEP334" s="559"/>
      <c r="QEQ334" s="559"/>
      <c r="QER334" s="559"/>
      <c r="QES334" s="559"/>
      <c r="QET334" s="559"/>
      <c r="QEU334" s="559"/>
      <c r="QEV334" s="559"/>
      <c r="QEW334" s="559"/>
      <c r="QEX334" s="559"/>
      <c r="QEY334" s="559"/>
      <c r="QEZ334" s="559"/>
      <c r="QFA334" s="559"/>
      <c r="QFB334" s="559"/>
      <c r="QFC334" s="559"/>
      <c r="QFD334" s="559"/>
      <c r="QFE334" s="559"/>
      <c r="QFF334" s="559"/>
      <c r="QFG334" s="559"/>
      <c r="QFH334" s="559"/>
      <c r="QFI334" s="559"/>
      <c r="QFJ334" s="559"/>
      <c r="QFK334" s="559"/>
      <c r="QFL334" s="559"/>
      <c r="QFM334" s="559"/>
      <c r="QFN334" s="559"/>
      <c r="QFO334" s="559"/>
      <c r="QFP334" s="559"/>
      <c r="QFQ334" s="559"/>
      <c r="QFR334" s="559"/>
      <c r="QFS334" s="559"/>
      <c r="QFT334" s="559"/>
      <c r="QFU334" s="559"/>
      <c r="QFV334" s="559"/>
      <c r="QFW334" s="559"/>
      <c r="QFX334" s="559"/>
      <c r="QFY334" s="559"/>
      <c r="QFZ334" s="559"/>
      <c r="QGA334" s="559"/>
      <c r="QGB334" s="559"/>
      <c r="QGC334" s="559"/>
      <c r="QGD334" s="559"/>
      <c r="QGE334" s="559"/>
      <c r="QGF334" s="559"/>
      <c r="QGG334" s="559"/>
      <c r="QGH334" s="559"/>
      <c r="QGI334" s="559"/>
      <c r="QGJ334" s="559"/>
      <c r="QGK334" s="559"/>
      <c r="QGL334" s="559"/>
      <c r="QGM334" s="559"/>
      <c r="QGN334" s="559"/>
      <c r="QGO334" s="559"/>
      <c r="QGP334" s="559"/>
      <c r="QGQ334" s="559"/>
      <c r="QGR334" s="559"/>
      <c r="QGS334" s="559"/>
      <c r="QGT334" s="559"/>
      <c r="QGU334" s="559"/>
      <c r="QGV334" s="559"/>
      <c r="QGW334" s="559"/>
      <c r="QGX334" s="559"/>
      <c r="QGY334" s="559"/>
      <c r="QGZ334" s="559"/>
      <c r="QHA334" s="559"/>
      <c r="QHB334" s="559"/>
      <c r="QHC334" s="559"/>
      <c r="QHD334" s="559"/>
      <c r="QHE334" s="559"/>
      <c r="QHF334" s="559"/>
      <c r="QHG334" s="559"/>
      <c r="QHH334" s="559"/>
      <c r="QHI334" s="559"/>
      <c r="QHJ334" s="559"/>
      <c r="QHK334" s="559"/>
      <c r="QHL334" s="559"/>
      <c r="QHM334" s="559"/>
      <c r="QHN334" s="559"/>
      <c r="QHO334" s="559"/>
      <c r="QHP334" s="559"/>
      <c r="QHQ334" s="559"/>
      <c r="QHR334" s="559"/>
      <c r="QHS334" s="559"/>
      <c r="QHT334" s="559"/>
      <c r="QHU334" s="559"/>
      <c r="QHV334" s="559"/>
      <c r="QHW334" s="559"/>
      <c r="QHX334" s="559"/>
      <c r="QHY334" s="559"/>
      <c r="QHZ334" s="559"/>
      <c r="QIA334" s="559"/>
      <c r="QIB334" s="559"/>
      <c r="QIC334" s="559"/>
      <c r="QID334" s="559"/>
      <c r="QIE334" s="559"/>
      <c r="QIF334" s="559"/>
      <c r="QIG334" s="559"/>
      <c r="QIH334" s="559"/>
      <c r="QII334" s="559"/>
      <c r="QIJ334" s="559"/>
      <c r="QIK334" s="559"/>
      <c r="QIL334" s="559"/>
      <c r="QIM334" s="559"/>
      <c r="QIN334" s="559"/>
      <c r="QIO334" s="559"/>
      <c r="QIP334" s="559"/>
      <c r="QIQ334" s="559"/>
      <c r="QIR334" s="559"/>
      <c r="QIS334" s="559"/>
      <c r="QIT334" s="559"/>
      <c r="QIU334" s="559"/>
      <c r="QIV334" s="559"/>
      <c r="QIW334" s="559"/>
      <c r="QIX334" s="559"/>
      <c r="QIY334" s="559"/>
      <c r="QIZ334" s="559"/>
      <c r="QJA334" s="559"/>
      <c r="QJB334" s="559"/>
      <c r="QJC334" s="559"/>
      <c r="QJD334" s="559"/>
      <c r="QJE334" s="559"/>
      <c r="QJF334" s="559"/>
      <c r="QJG334" s="559"/>
      <c r="QJH334" s="559"/>
      <c r="QJI334" s="559"/>
      <c r="QJJ334" s="559"/>
      <c r="QJK334" s="559"/>
      <c r="QJL334" s="559"/>
      <c r="QJM334" s="559"/>
      <c r="QJN334" s="559"/>
      <c r="QJO334" s="559"/>
      <c r="QJP334" s="559"/>
      <c r="QJQ334" s="559"/>
      <c r="QJR334" s="559"/>
      <c r="QJS334" s="559"/>
      <c r="QJT334" s="559"/>
      <c r="QJU334" s="559"/>
      <c r="QJV334" s="559"/>
      <c r="QJW334" s="559"/>
      <c r="QJX334" s="559"/>
      <c r="QJY334" s="559"/>
      <c r="QJZ334" s="559"/>
      <c r="QKA334" s="559"/>
      <c r="QKB334" s="559"/>
      <c r="QKC334" s="559"/>
      <c r="QKD334" s="559"/>
      <c r="QKE334" s="559"/>
      <c r="QKF334" s="559"/>
      <c r="QKG334" s="559"/>
      <c r="QKH334" s="559"/>
      <c r="QKI334" s="559"/>
      <c r="QKJ334" s="559"/>
      <c r="QKK334" s="559"/>
      <c r="QKL334" s="559"/>
      <c r="QKM334" s="559"/>
      <c r="QKN334" s="559"/>
      <c r="QKO334" s="559"/>
      <c r="QKP334" s="559"/>
      <c r="QKQ334" s="559"/>
      <c r="QKR334" s="559"/>
      <c r="QKS334" s="559"/>
      <c r="QKT334" s="559"/>
      <c r="QKU334" s="559"/>
      <c r="QKV334" s="559"/>
      <c r="QKW334" s="559"/>
      <c r="QKX334" s="559"/>
      <c r="QKY334" s="559"/>
      <c r="QKZ334" s="559"/>
      <c r="QLA334" s="559"/>
      <c r="QLB334" s="559"/>
      <c r="QLC334" s="559"/>
      <c r="QLD334" s="559"/>
      <c r="QLE334" s="559"/>
      <c r="QLF334" s="559"/>
      <c r="QLG334" s="559"/>
      <c r="QLH334" s="559"/>
      <c r="QLI334" s="559"/>
      <c r="QLJ334" s="559"/>
      <c r="QLK334" s="559"/>
      <c r="QLL334" s="559"/>
      <c r="QLM334" s="559"/>
      <c r="QLN334" s="559"/>
      <c r="QLO334" s="559"/>
      <c r="QLP334" s="559"/>
      <c r="QLQ334" s="559"/>
      <c r="QLR334" s="559"/>
      <c r="QLS334" s="559"/>
      <c r="QLT334" s="559"/>
      <c r="QLU334" s="559"/>
      <c r="QLV334" s="559"/>
      <c r="QLW334" s="559"/>
      <c r="QLX334" s="559"/>
      <c r="QLY334" s="559"/>
      <c r="QLZ334" s="559"/>
      <c r="QMA334" s="559"/>
      <c r="QMB334" s="559"/>
      <c r="QMC334" s="559"/>
      <c r="QMD334" s="559"/>
      <c r="QME334" s="559"/>
      <c r="QMF334" s="559"/>
      <c r="QMG334" s="559"/>
      <c r="QMH334" s="559"/>
      <c r="QMI334" s="559"/>
      <c r="QMJ334" s="559"/>
      <c r="QMK334" s="559"/>
      <c r="QML334" s="559"/>
      <c r="QMM334" s="559"/>
      <c r="QMN334" s="559"/>
      <c r="QMO334" s="559"/>
      <c r="QMP334" s="559"/>
      <c r="QMQ334" s="559"/>
      <c r="QMR334" s="559"/>
      <c r="QMS334" s="559"/>
      <c r="QMT334" s="559"/>
      <c r="QMU334" s="559"/>
      <c r="QMV334" s="559"/>
      <c r="QMW334" s="559"/>
      <c r="QMX334" s="559"/>
      <c r="QMY334" s="559"/>
      <c r="QMZ334" s="559"/>
      <c r="QNA334" s="559"/>
      <c r="QNB334" s="559"/>
      <c r="QNC334" s="559"/>
      <c r="QND334" s="559"/>
      <c r="QNE334" s="559"/>
      <c r="QNF334" s="559"/>
      <c r="QNG334" s="559"/>
      <c r="QNH334" s="559"/>
      <c r="QNI334" s="559"/>
      <c r="QNJ334" s="559"/>
      <c r="QNK334" s="559"/>
      <c r="QNL334" s="559"/>
      <c r="QNM334" s="559"/>
      <c r="QNN334" s="559"/>
      <c r="QNO334" s="559"/>
      <c r="QNP334" s="559"/>
      <c r="QNQ334" s="559"/>
      <c r="QNR334" s="559"/>
      <c r="QNS334" s="559"/>
      <c r="QNT334" s="559"/>
      <c r="QNU334" s="559"/>
      <c r="QNV334" s="559"/>
      <c r="QNW334" s="559"/>
      <c r="QNX334" s="559"/>
      <c r="QNY334" s="559"/>
      <c r="QNZ334" s="559"/>
      <c r="QOA334" s="559"/>
      <c r="QOB334" s="559"/>
      <c r="QOC334" s="559"/>
      <c r="QOD334" s="559"/>
      <c r="QOE334" s="559"/>
      <c r="QOF334" s="559"/>
      <c r="QOG334" s="559"/>
      <c r="QOH334" s="559"/>
      <c r="QOI334" s="559"/>
      <c r="QOJ334" s="559"/>
      <c r="QOK334" s="559"/>
      <c r="QOL334" s="559"/>
      <c r="QOM334" s="559"/>
      <c r="QON334" s="559"/>
      <c r="QOO334" s="559"/>
      <c r="QOP334" s="559"/>
      <c r="QOQ334" s="559"/>
      <c r="QOR334" s="559"/>
      <c r="QOS334" s="559"/>
      <c r="QOT334" s="559"/>
      <c r="QOU334" s="559"/>
      <c r="QOV334" s="559"/>
      <c r="QOW334" s="559"/>
      <c r="QOX334" s="559"/>
      <c r="QOY334" s="559"/>
      <c r="QOZ334" s="559"/>
      <c r="QPA334" s="559"/>
      <c r="QPB334" s="559"/>
      <c r="QPC334" s="559"/>
      <c r="QPD334" s="559"/>
      <c r="QPE334" s="559"/>
      <c r="QPF334" s="559"/>
      <c r="QPG334" s="559"/>
      <c r="QPH334" s="559"/>
      <c r="QPI334" s="559"/>
      <c r="QPJ334" s="559"/>
      <c r="QPK334" s="559"/>
      <c r="QPL334" s="559"/>
      <c r="QPM334" s="559"/>
      <c r="QPN334" s="559"/>
      <c r="QPO334" s="559"/>
      <c r="QPP334" s="559"/>
      <c r="QPQ334" s="559"/>
      <c r="QPR334" s="559"/>
      <c r="QPS334" s="559"/>
      <c r="QPT334" s="559"/>
      <c r="QPU334" s="559"/>
      <c r="QPV334" s="559"/>
      <c r="QPW334" s="559"/>
      <c r="QPX334" s="559"/>
      <c r="QPY334" s="559"/>
      <c r="QPZ334" s="559"/>
      <c r="QQA334" s="559"/>
      <c r="QQB334" s="559"/>
      <c r="QQC334" s="559"/>
      <c r="QQD334" s="559"/>
      <c r="QQE334" s="559"/>
      <c r="QQF334" s="559"/>
      <c r="QQG334" s="559"/>
      <c r="QQH334" s="559"/>
      <c r="QQI334" s="559"/>
      <c r="QQJ334" s="559"/>
      <c r="QQK334" s="559"/>
      <c r="QQL334" s="559"/>
      <c r="QQM334" s="559"/>
      <c r="QQN334" s="559"/>
      <c r="QQO334" s="559"/>
      <c r="QQP334" s="559"/>
      <c r="QQQ334" s="559"/>
      <c r="QQR334" s="559"/>
      <c r="QQS334" s="559"/>
      <c r="QQT334" s="559"/>
      <c r="QQU334" s="559"/>
      <c r="QQV334" s="559"/>
      <c r="QQW334" s="559"/>
      <c r="QQX334" s="559"/>
      <c r="QQY334" s="559"/>
      <c r="QQZ334" s="559"/>
      <c r="QRA334" s="559"/>
      <c r="QRB334" s="559"/>
      <c r="QRC334" s="559"/>
      <c r="QRD334" s="559"/>
      <c r="QRE334" s="559"/>
      <c r="QRF334" s="559"/>
      <c r="QRG334" s="559"/>
      <c r="QRH334" s="559"/>
      <c r="QRI334" s="559"/>
      <c r="QRJ334" s="559"/>
      <c r="QRK334" s="559"/>
      <c r="QRL334" s="559"/>
      <c r="QRM334" s="559"/>
      <c r="QRN334" s="559"/>
      <c r="QRO334" s="559"/>
      <c r="QRP334" s="559"/>
      <c r="QRQ334" s="559"/>
      <c r="QRR334" s="559"/>
      <c r="QRS334" s="559"/>
      <c r="QRT334" s="559"/>
      <c r="QRU334" s="559"/>
      <c r="QRV334" s="559"/>
      <c r="QRW334" s="559"/>
      <c r="QRX334" s="559"/>
      <c r="QRY334" s="559"/>
      <c r="QRZ334" s="559"/>
      <c r="QSA334" s="559"/>
      <c r="QSB334" s="559"/>
      <c r="QSC334" s="559"/>
      <c r="QSD334" s="559"/>
      <c r="QSE334" s="559"/>
      <c r="QSF334" s="559"/>
      <c r="QSG334" s="559"/>
      <c r="QSH334" s="559"/>
      <c r="QSI334" s="559"/>
      <c r="QSJ334" s="559"/>
      <c r="QSK334" s="559"/>
      <c r="QSL334" s="559"/>
      <c r="QSM334" s="559"/>
      <c r="QSN334" s="559"/>
      <c r="QSO334" s="559"/>
      <c r="QSP334" s="559"/>
      <c r="QSQ334" s="559"/>
      <c r="QSR334" s="559"/>
      <c r="QSS334" s="559"/>
      <c r="QST334" s="559"/>
      <c r="QSU334" s="559"/>
      <c r="QSV334" s="559"/>
      <c r="QSW334" s="559"/>
      <c r="QSX334" s="559"/>
      <c r="QSY334" s="559"/>
      <c r="QSZ334" s="559"/>
      <c r="QTA334" s="559"/>
      <c r="QTB334" s="559"/>
      <c r="QTC334" s="559"/>
      <c r="QTD334" s="559"/>
      <c r="QTE334" s="559"/>
      <c r="QTF334" s="559"/>
      <c r="QTG334" s="559"/>
      <c r="QTH334" s="559"/>
      <c r="QTI334" s="559"/>
      <c r="QTJ334" s="559"/>
      <c r="QTK334" s="559"/>
      <c r="QTL334" s="559"/>
      <c r="QTM334" s="559"/>
      <c r="QTN334" s="559"/>
      <c r="QTO334" s="559"/>
      <c r="QTP334" s="559"/>
      <c r="QTQ334" s="559"/>
      <c r="QTR334" s="559"/>
      <c r="QTS334" s="559"/>
      <c r="QTT334" s="559"/>
      <c r="QTU334" s="559"/>
      <c r="QTV334" s="559"/>
      <c r="QTW334" s="559"/>
      <c r="QTX334" s="559"/>
      <c r="QTY334" s="559"/>
      <c r="QTZ334" s="559"/>
      <c r="QUA334" s="559"/>
      <c r="QUB334" s="559"/>
      <c r="QUC334" s="559"/>
      <c r="QUD334" s="559"/>
      <c r="QUE334" s="559"/>
      <c r="QUF334" s="559"/>
      <c r="QUG334" s="559"/>
      <c r="QUH334" s="559"/>
      <c r="QUI334" s="559"/>
      <c r="QUJ334" s="559"/>
      <c r="QUK334" s="559"/>
      <c r="QUL334" s="559"/>
      <c r="QUM334" s="559"/>
      <c r="QUN334" s="559"/>
      <c r="QUO334" s="559"/>
      <c r="QUP334" s="559"/>
      <c r="QUQ334" s="559"/>
      <c r="QUR334" s="559"/>
      <c r="QUS334" s="559"/>
      <c r="QUT334" s="559"/>
      <c r="QUU334" s="559"/>
      <c r="QUV334" s="559"/>
      <c r="QUW334" s="559"/>
      <c r="QUX334" s="559"/>
      <c r="QUY334" s="559"/>
      <c r="QUZ334" s="559"/>
      <c r="QVA334" s="559"/>
      <c r="QVB334" s="559"/>
      <c r="QVC334" s="559"/>
      <c r="QVD334" s="559"/>
      <c r="QVE334" s="559"/>
      <c r="QVF334" s="559"/>
      <c r="QVG334" s="559"/>
      <c r="QVH334" s="559"/>
      <c r="QVI334" s="559"/>
      <c r="QVJ334" s="559"/>
      <c r="QVK334" s="559"/>
      <c r="QVL334" s="559"/>
      <c r="QVM334" s="559"/>
      <c r="QVN334" s="559"/>
      <c r="QVO334" s="559"/>
      <c r="QVP334" s="559"/>
      <c r="QVQ334" s="559"/>
      <c r="QVR334" s="559"/>
      <c r="QVS334" s="559"/>
      <c r="QVT334" s="559"/>
      <c r="QVU334" s="559"/>
      <c r="QVV334" s="559"/>
      <c r="QVW334" s="559"/>
      <c r="QVX334" s="559"/>
      <c r="QVY334" s="559"/>
      <c r="QVZ334" s="559"/>
      <c r="QWA334" s="559"/>
      <c r="QWB334" s="559"/>
      <c r="QWC334" s="559"/>
      <c r="QWD334" s="559"/>
      <c r="QWE334" s="559"/>
      <c r="QWF334" s="559"/>
      <c r="QWG334" s="559"/>
      <c r="QWH334" s="559"/>
      <c r="QWI334" s="559"/>
      <c r="QWJ334" s="559"/>
      <c r="QWK334" s="559"/>
      <c r="QWL334" s="559"/>
      <c r="QWM334" s="559"/>
      <c r="QWN334" s="559"/>
      <c r="QWO334" s="559"/>
      <c r="QWP334" s="559"/>
      <c r="QWQ334" s="559"/>
      <c r="QWR334" s="559"/>
      <c r="QWS334" s="559"/>
      <c r="QWT334" s="559"/>
      <c r="QWU334" s="559"/>
      <c r="QWV334" s="559"/>
      <c r="QWW334" s="559"/>
      <c r="QWX334" s="559"/>
      <c r="QWY334" s="559"/>
      <c r="QWZ334" s="559"/>
      <c r="QXA334" s="559"/>
      <c r="QXB334" s="559"/>
      <c r="QXC334" s="559"/>
      <c r="QXD334" s="559"/>
      <c r="QXE334" s="559"/>
      <c r="QXF334" s="559"/>
      <c r="QXG334" s="559"/>
      <c r="QXH334" s="559"/>
      <c r="QXI334" s="559"/>
      <c r="QXJ334" s="559"/>
      <c r="QXK334" s="559"/>
      <c r="QXL334" s="559"/>
      <c r="QXM334" s="559"/>
      <c r="QXN334" s="559"/>
      <c r="QXO334" s="559"/>
      <c r="QXP334" s="559"/>
      <c r="QXQ334" s="559"/>
      <c r="QXR334" s="559"/>
      <c r="QXS334" s="559"/>
      <c r="QXT334" s="559"/>
      <c r="QXU334" s="559"/>
      <c r="QXV334" s="559"/>
      <c r="QXW334" s="559"/>
      <c r="QXX334" s="559"/>
      <c r="QXY334" s="559"/>
      <c r="QXZ334" s="559"/>
      <c r="QYA334" s="559"/>
      <c r="QYB334" s="559"/>
      <c r="QYC334" s="559"/>
      <c r="QYD334" s="559"/>
      <c r="QYE334" s="559"/>
      <c r="QYF334" s="559"/>
      <c r="QYG334" s="559"/>
      <c r="QYH334" s="559"/>
      <c r="QYI334" s="559"/>
      <c r="QYJ334" s="559"/>
      <c r="QYK334" s="559"/>
      <c r="QYL334" s="559"/>
      <c r="QYM334" s="559"/>
      <c r="QYN334" s="559"/>
      <c r="QYO334" s="559"/>
      <c r="QYP334" s="559"/>
      <c r="QYQ334" s="559"/>
      <c r="QYR334" s="559"/>
      <c r="QYS334" s="559"/>
      <c r="QYT334" s="559"/>
      <c r="QYU334" s="559"/>
      <c r="QYV334" s="559"/>
      <c r="QYW334" s="559"/>
      <c r="QYX334" s="559"/>
      <c r="QYY334" s="559"/>
      <c r="QYZ334" s="559"/>
      <c r="QZA334" s="559"/>
      <c r="QZB334" s="559"/>
      <c r="QZC334" s="559"/>
      <c r="QZD334" s="559"/>
      <c r="QZE334" s="559"/>
      <c r="QZF334" s="559"/>
      <c r="QZG334" s="559"/>
      <c r="QZH334" s="559"/>
      <c r="QZI334" s="559"/>
      <c r="QZJ334" s="559"/>
      <c r="QZK334" s="559"/>
      <c r="QZL334" s="559"/>
      <c r="QZM334" s="559"/>
      <c r="QZN334" s="559"/>
      <c r="QZO334" s="559"/>
      <c r="QZP334" s="559"/>
      <c r="QZQ334" s="559"/>
      <c r="QZR334" s="559"/>
      <c r="QZS334" s="559"/>
      <c r="QZT334" s="559"/>
      <c r="QZU334" s="559"/>
      <c r="QZV334" s="559"/>
      <c r="QZW334" s="559"/>
      <c r="QZX334" s="559"/>
      <c r="QZY334" s="559"/>
      <c r="QZZ334" s="559"/>
      <c r="RAA334" s="559"/>
      <c r="RAB334" s="559"/>
      <c r="RAC334" s="559"/>
      <c r="RAD334" s="559"/>
      <c r="RAE334" s="559"/>
      <c r="RAF334" s="559"/>
      <c r="RAG334" s="559"/>
      <c r="RAH334" s="559"/>
      <c r="RAI334" s="559"/>
      <c r="RAJ334" s="559"/>
      <c r="RAK334" s="559"/>
      <c r="RAL334" s="559"/>
      <c r="RAM334" s="559"/>
      <c r="RAN334" s="559"/>
      <c r="RAO334" s="559"/>
      <c r="RAP334" s="559"/>
      <c r="RAQ334" s="559"/>
      <c r="RAR334" s="559"/>
      <c r="RAS334" s="559"/>
      <c r="RAT334" s="559"/>
      <c r="RAU334" s="559"/>
      <c r="RAV334" s="559"/>
      <c r="RAW334" s="559"/>
      <c r="RAX334" s="559"/>
      <c r="RAY334" s="559"/>
      <c r="RAZ334" s="559"/>
      <c r="RBA334" s="559"/>
      <c r="RBB334" s="559"/>
      <c r="RBC334" s="559"/>
      <c r="RBD334" s="559"/>
      <c r="RBE334" s="559"/>
      <c r="RBF334" s="559"/>
      <c r="RBG334" s="559"/>
      <c r="RBH334" s="559"/>
      <c r="RBI334" s="559"/>
      <c r="RBJ334" s="559"/>
      <c r="RBK334" s="559"/>
      <c r="RBL334" s="559"/>
      <c r="RBM334" s="559"/>
      <c r="RBN334" s="559"/>
      <c r="RBO334" s="559"/>
      <c r="RBP334" s="559"/>
      <c r="RBQ334" s="559"/>
      <c r="RBR334" s="559"/>
      <c r="RBS334" s="559"/>
      <c r="RBT334" s="559"/>
      <c r="RBU334" s="559"/>
      <c r="RBV334" s="559"/>
      <c r="RBW334" s="559"/>
      <c r="RBX334" s="559"/>
      <c r="RBY334" s="559"/>
      <c r="RBZ334" s="559"/>
      <c r="RCA334" s="559"/>
      <c r="RCB334" s="559"/>
      <c r="RCC334" s="559"/>
      <c r="RCD334" s="559"/>
      <c r="RCE334" s="559"/>
      <c r="RCF334" s="559"/>
      <c r="RCG334" s="559"/>
      <c r="RCH334" s="559"/>
      <c r="RCI334" s="559"/>
      <c r="RCJ334" s="559"/>
      <c r="RCK334" s="559"/>
      <c r="RCL334" s="559"/>
      <c r="RCM334" s="559"/>
      <c r="RCN334" s="559"/>
      <c r="RCO334" s="559"/>
      <c r="RCP334" s="559"/>
      <c r="RCQ334" s="559"/>
      <c r="RCR334" s="559"/>
      <c r="RCS334" s="559"/>
      <c r="RCT334" s="559"/>
      <c r="RCU334" s="559"/>
      <c r="RCV334" s="559"/>
      <c r="RCW334" s="559"/>
      <c r="RCX334" s="559"/>
      <c r="RCY334" s="559"/>
      <c r="RCZ334" s="559"/>
      <c r="RDA334" s="559"/>
      <c r="RDB334" s="559"/>
      <c r="RDC334" s="559"/>
      <c r="RDD334" s="559"/>
      <c r="RDE334" s="559"/>
      <c r="RDF334" s="559"/>
      <c r="RDG334" s="559"/>
      <c r="RDH334" s="559"/>
      <c r="RDI334" s="559"/>
      <c r="RDJ334" s="559"/>
      <c r="RDK334" s="559"/>
      <c r="RDL334" s="559"/>
      <c r="RDM334" s="559"/>
      <c r="RDN334" s="559"/>
      <c r="RDO334" s="559"/>
      <c r="RDP334" s="559"/>
      <c r="RDQ334" s="559"/>
      <c r="RDR334" s="559"/>
      <c r="RDS334" s="559"/>
      <c r="RDT334" s="559"/>
      <c r="RDU334" s="559"/>
      <c r="RDV334" s="559"/>
      <c r="RDW334" s="559"/>
      <c r="RDX334" s="559"/>
      <c r="RDY334" s="559"/>
      <c r="RDZ334" s="559"/>
      <c r="REA334" s="559"/>
      <c r="REB334" s="559"/>
      <c r="REC334" s="559"/>
      <c r="RED334" s="559"/>
      <c r="REE334" s="559"/>
      <c r="REF334" s="559"/>
      <c r="REG334" s="559"/>
      <c r="REH334" s="559"/>
      <c r="REI334" s="559"/>
      <c r="REJ334" s="559"/>
      <c r="REK334" s="559"/>
      <c r="REL334" s="559"/>
      <c r="REM334" s="559"/>
      <c r="REN334" s="559"/>
      <c r="REO334" s="559"/>
      <c r="REP334" s="559"/>
      <c r="REQ334" s="559"/>
      <c r="RER334" s="559"/>
      <c r="RES334" s="559"/>
      <c r="RET334" s="559"/>
      <c r="REU334" s="559"/>
      <c r="REV334" s="559"/>
      <c r="REW334" s="559"/>
      <c r="REX334" s="559"/>
      <c r="REY334" s="559"/>
      <c r="REZ334" s="559"/>
      <c r="RFA334" s="559"/>
      <c r="RFB334" s="559"/>
      <c r="RFC334" s="559"/>
      <c r="RFD334" s="559"/>
      <c r="RFE334" s="559"/>
      <c r="RFF334" s="559"/>
      <c r="RFG334" s="559"/>
      <c r="RFH334" s="559"/>
      <c r="RFI334" s="559"/>
      <c r="RFJ334" s="559"/>
      <c r="RFK334" s="559"/>
      <c r="RFL334" s="559"/>
      <c r="RFM334" s="559"/>
      <c r="RFN334" s="559"/>
      <c r="RFO334" s="559"/>
      <c r="RFP334" s="559"/>
      <c r="RFQ334" s="559"/>
      <c r="RFR334" s="559"/>
      <c r="RFS334" s="559"/>
      <c r="RFT334" s="559"/>
      <c r="RFU334" s="559"/>
      <c r="RFV334" s="559"/>
      <c r="RFW334" s="559"/>
      <c r="RFX334" s="559"/>
      <c r="RFY334" s="559"/>
      <c r="RFZ334" s="559"/>
      <c r="RGA334" s="559"/>
      <c r="RGB334" s="559"/>
      <c r="RGC334" s="559"/>
      <c r="RGD334" s="559"/>
      <c r="RGE334" s="559"/>
      <c r="RGF334" s="559"/>
      <c r="RGG334" s="559"/>
      <c r="RGH334" s="559"/>
      <c r="RGI334" s="559"/>
      <c r="RGJ334" s="559"/>
      <c r="RGK334" s="559"/>
      <c r="RGL334" s="559"/>
      <c r="RGM334" s="559"/>
      <c r="RGN334" s="559"/>
      <c r="RGO334" s="559"/>
      <c r="RGP334" s="559"/>
      <c r="RGQ334" s="559"/>
      <c r="RGR334" s="559"/>
      <c r="RGS334" s="559"/>
      <c r="RGT334" s="559"/>
      <c r="RGU334" s="559"/>
      <c r="RGV334" s="559"/>
      <c r="RGW334" s="559"/>
      <c r="RGX334" s="559"/>
      <c r="RGY334" s="559"/>
      <c r="RGZ334" s="559"/>
      <c r="RHA334" s="559"/>
      <c r="RHB334" s="559"/>
      <c r="RHC334" s="559"/>
      <c r="RHD334" s="559"/>
      <c r="RHE334" s="559"/>
      <c r="RHF334" s="559"/>
      <c r="RHG334" s="559"/>
      <c r="RHH334" s="559"/>
      <c r="RHI334" s="559"/>
      <c r="RHJ334" s="559"/>
      <c r="RHK334" s="559"/>
      <c r="RHL334" s="559"/>
      <c r="RHM334" s="559"/>
      <c r="RHN334" s="559"/>
      <c r="RHO334" s="559"/>
      <c r="RHP334" s="559"/>
      <c r="RHQ334" s="559"/>
      <c r="RHR334" s="559"/>
      <c r="RHS334" s="559"/>
      <c r="RHT334" s="559"/>
      <c r="RHU334" s="559"/>
      <c r="RHV334" s="559"/>
      <c r="RHW334" s="559"/>
      <c r="RHX334" s="559"/>
      <c r="RHY334" s="559"/>
      <c r="RHZ334" s="559"/>
      <c r="RIA334" s="559"/>
      <c r="RIB334" s="559"/>
      <c r="RIC334" s="559"/>
      <c r="RID334" s="559"/>
      <c r="RIE334" s="559"/>
      <c r="RIF334" s="559"/>
      <c r="RIG334" s="559"/>
      <c r="RIH334" s="559"/>
      <c r="RII334" s="559"/>
      <c r="RIJ334" s="559"/>
      <c r="RIK334" s="559"/>
      <c r="RIL334" s="559"/>
      <c r="RIM334" s="559"/>
      <c r="RIN334" s="559"/>
      <c r="RIO334" s="559"/>
      <c r="RIP334" s="559"/>
      <c r="RIQ334" s="559"/>
      <c r="RIR334" s="559"/>
      <c r="RIS334" s="559"/>
      <c r="RIT334" s="559"/>
      <c r="RIU334" s="559"/>
      <c r="RIV334" s="559"/>
      <c r="RIW334" s="559"/>
      <c r="RIX334" s="559"/>
      <c r="RIY334" s="559"/>
      <c r="RIZ334" s="559"/>
      <c r="RJA334" s="559"/>
      <c r="RJB334" s="559"/>
      <c r="RJC334" s="559"/>
      <c r="RJD334" s="559"/>
      <c r="RJE334" s="559"/>
      <c r="RJF334" s="559"/>
      <c r="RJG334" s="559"/>
      <c r="RJH334" s="559"/>
      <c r="RJI334" s="559"/>
      <c r="RJJ334" s="559"/>
      <c r="RJK334" s="559"/>
      <c r="RJL334" s="559"/>
      <c r="RJM334" s="559"/>
      <c r="RJN334" s="559"/>
      <c r="RJO334" s="559"/>
      <c r="RJP334" s="559"/>
      <c r="RJQ334" s="559"/>
      <c r="RJR334" s="559"/>
      <c r="RJS334" s="559"/>
      <c r="RJT334" s="559"/>
      <c r="RJU334" s="559"/>
      <c r="RJV334" s="559"/>
      <c r="RJW334" s="559"/>
      <c r="RJX334" s="559"/>
      <c r="RJY334" s="559"/>
      <c r="RJZ334" s="559"/>
      <c r="RKA334" s="559"/>
      <c r="RKB334" s="559"/>
      <c r="RKC334" s="559"/>
      <c r="RKD334" s="559"/>
      <c r="RKE334" s="559"/>
      <c r="RKF334" s="559"/>
      <c r="RKG334" s="559"/>
      <c r="RKH334" s="559"/>
      <c r="RKI334" s="559"/>
      <c r="RKJ334" s="559"/>
      <c r="RKK334" s="559"/>
      <c r="RKL334" s="559"/>
      <c r="RKM334" s="559"/>
      <c r="RKN334" s="559"/>
      <c r="RKO334" s="559"/>
      <c r="RKP334" s="559"/>
      <c r="RKQ334" s="559"/>
      <c r="RKR334" s="559"/>
      <c r="RKS334" s="559"/>
      <c r="RKT334" s="559"/>
      <c r="RKU334" s="559"/>
      <c r="RKV334" s="559"/>
      <c r="RKW334" s="559"/>
      <c r="RKX334" s="559"/>
      <c r="RKY334" s="559"/>
      <c r="RKZ334" s="559"/>
      <c r="RLA334" s="559"/>
      <c r="RLB334" s="559"/>
      <c r="RLC334" s="559"/>
      <c r="RLD334" s="559"/>
      <c r="RLE334" s="559"/>
      <c r="RLF334" s="559"/>
      <c r="RLG334" s="559"/>
      <c r="RLH334" s="559"/>
      <c r="RLI334" s="559"/>
      <c r="RLJ334" s="559"/>
      <c r="RLK334" s="559"/>
      <c r="RLL334" s="559"/>
      <c r="RLM334" s="559"/>
      <c r="RLN334" s="559"/>
      <c r="RLO334" s="559"/>
      <c r="RLP334" s="559"/>
      <c r="RLQ334" s="559"/>
      <c r="RLR334" s="559"/>
      <c r="RLS334" s="559"/>
      <c r="RLT334" s="559"/>
      <c r="RLU334" s="559"/>
      <c r="RLV334" s="559"/>
      <c r="RLW334" s="559"/>
      <c r="RLX334" s="559"/>
      <c r="RLY334" s="559"/>
      <c r="RLZ334" s="559"/>
      <c r="RMA334" s="559"/>
      <c r="RMB334" s="559"/>
      <c r="RMC334" s="559"/>
      <c r="RMD334" s="559"/>
      <c r="RME334" s="559"/>
      <c r="RMF334" s="559"/>
      <c r="RMG334" s="559"/>
      <c r="RMH334" s="559"/>
      <c r="RMI334" s="559"/>
      <c r="RMJ334" s="559"/>
      <c r="RMK334" s="559"/>
      <c r="RML334" s="559"/>
      <c r="RMM334" s="559"/>
      <c r="RMN334" s="559"/>
      <c r="RMO334" s="559"/>
      <c r="RMP334" s="559"/>
      <c r="RMQ334" s="559"/>
      <c r="RMR334" s="559"/>
      <c r="RMS334" s="559"/>
      <c r="RMT334" s="559"/>
      <c r="RMU334" s="559"/>
      <c r="RMV334" s="559"/>
      <c r="RMW334" s="559"/>
      <c r="RMX334" s="559"/>
      <c r="RMY334" s="559"/>
      <c r="RMZ334" s="559"/>
      <c r="RNA334" s="559"/>
      <c r="RNB334" s="559"/>
      <c r="RNC334" s="559"/>
      <c r="RND334" s="559"/>
      <c r="RNE334" s="559"/>
      <c r="RNF334" s="559"/>
      <c r="RNG334" s="559"/>
      <c r="RNH334" s="559"/>
      <c r="RNI334" s="559"/>
      <c r="RNJ334" s="559"/>
      <c r="RNK334" s="559"/>
      <c r="RNL334" s="559"/>
      <c r="RNM334" s="559"/>
      <c r="RNN334" s="559"/>
      <c r="RNO334" s="559"/>
      <c r="RNP334" s="559"/>
      <c r="RNQ334" s="559"/>
      <c r="RNR334" s="559"/>
      <c r="RNS334" s="559"/>
      <c r="RNT334" s="559"/>
      <c r="RNU334" s="559"/>
      <c r="RNV334" s="559"/>
      <c r="RNW334" s="559"/>
      <c r="RNX334" s="559"/>
      <c r="RNY334" s="559"/>
      <c r="RNZ334" s="559"/>
      <c r="ROA334" s="559"/>
      <c r="ROB334" s="559"/>
      <c r="ROC334" s="559"/>
      <c r="ROD334" s="559"/>
      <c r="ROE334" s="559"/>
      <c r="ROF334" s="559"/>
      <c r="ROG334" s="559"/>
      <c r="ROH334" s="559"/>
      <c r="ROI334" s="559"/>
      <c r="ROJ334" s="559"/>
      <c r="ROK334" s="559"/>
      <c r="ROL334" s="559"/>
      <c r="ROM334" s="559"/>
      <c r="RON334" s="559"/>
      <c r="ROO334" s="559"/>
      <c r="ROP334" s="559"/>
      <c r="ROQ334" s="559"/>
      <c r="ROR334" s="559"/>
      <c r="ROS334" s="559"/>
      <c r="ROT334" s="559"/>
      <c r="ROU334" s="559"/>
      <c r="ROV334" s="559"/>
      <c r="ROW334" s="559"/>
      <c r="ROX334" s="559"/>
      <c r="ROY334" s="559"/>
      <c r="ROZ334" s="559"/>
      <c r="RPA334" s="559"/>
      <c r="RPB334" s="559"/>
      <c r="RPC334" s="559"/>
      <c r="RPD334" s="559"/>
      <c r="RPE334" s="559"/>
      <c r="RPF334" s="559"/>
      <c r="RPG334" s="559"/>
      <c r="RPH334" s="559"/>
      <c r="RPI334" s="559"/>
      <c r="RPJ334" s="559"/>
      <c r="RPK334" s="559"/>
      <c r="RPL334" s="559"/>
      <c r="RPM334" s="559"/>
      <c r="RPN334" s="559"/>
      <c r="RPO334" s="559"/>
      <c r="RPP334" s="559"/>
      <c r="RPQ334" s="559"/>
      <c r="RPR334" s="559"/>
      <c r="RPS334" s="559"/>
      <c r="RPT334" s="559"/>
      <c r="RPU334" s="559"/>
      <c r="RPV334" s="559"/>
      <c r="RPW334" s="559"/>
      <c r="RPX334" s="559"/>
      <c r="RPY334" s="559"/>
      <c r="RPZ334" s="559"/>
      <c r="RQA334" s="559"/>
      <c r="RQB334" s="559"/>
      <c r="RQC334" s="559"/>
      <c r="RQD334" s="559"/>
      <c r="RQE334" s="559"/>
      <c r="RQF334" s="559"/>
      <c r="RQG334" s="559"/>
      <c r="RQH334" s="559"/>
      <c r="RQI334" s="559"/>
      <c r="RQJ334" s="559"/>
      <c r="RQK334" s="559"/>
      <c r="RQL334" s="559"/>
      <c r="RQM334" s="559"/>
      <c r="RQN334" s="559"/>
      <c r="RQO334" s="559"/>
      <c r="RQP334" s="559"/>
      <c r="RQQ334" s="559"/>
      <c r="RQR334" s="559"/>
      <c r="RQS334" s="559"/>
      <c r="RQT334" s="559"/>
      <c r="RQU334" s="559"/>
      <c r="RQV334" s="559"/>
      <c r="RQW334" s="559"/>
      <c r="RQX334" s="559"/>
      <c r="RQY334" s="559"/>
      <c r="RQZ334" s="559"/>
      <c r="RRA334" s="559"/>
      <c r="RRB334" s="559"/>
      <c r="RRC334" s="559"/>
      <c r="RRD334" s="559"/>
      <c r="RRE334" s="559"/>
      <c r="RRF334" s="559"/>
      <c r="RRG334" s="559"/>
      <c r="RRH334" s="559"/>
      <c r="RRI334" s="559"/>
      <c r="RRJ334" s="559"/>
      <c r="RRK334" s="559"/>
      <c r="RRL334" s="559"/>
      <c r="RRM334" s="559"/>
      <c r="RRN334" s="559"/>
      <c r="RRO334" s="559"/>
      <c r="RRP334" s="559"/>
      <c r="RRQ334" s="559"/>
      <c r="RRR334" s="559"/>
      <c r="RRS334" s="559"/>
      <c r="RRT334" s="559"/>
      <c r="RRU334" s="559"/>
      <c r="RRV334" s="559"/>
      <c r="RRW334" s="559"/>
      <c r="RRX334" s="559"/>
      <c r="RRY334" s="559"/>
      <c r="RRZ334" s="559"/>
      <c r="RSA334" s="559"/>
      <c r="RSB334" s="559"/>
      <c r="RSC334" s="559"/>
      <c r="RSD334" s="559"/>
      <c r="RSE334" s="559"/>
      <c r="RSF334" s="559"/>
      <c r="RSG334" s="559"/>
      <c r="RSH334" s="559"/>
      <c r="RSI334" s="559"/>
      <c r="RSJ334" s="559"/>
      <c r="RSK334" s="559"/>
      <c r="RSL334" s="559"/>
      <c r="RSM334" s="559"/>
      <c r="RSN334" s="559"/>
      <c r="RSO334" s="559"/>
      <c r="RSP334" s="559"/>
      <c r="RSQ334" s="559"/>
      <c r="RSR334" s="559"/>
      <c r="RSS334" s="559"/>
      <c r="RST334" s="559"/>
      <c r="RSU334" s="559"/>
      <c r="RSV334" s="559"/>
      <c r="RSW334" s="559"/>
      <c r="RSX334" s="559"/>
      <c r="RSY334" s="559"/>
      <c r="RSZ334" s="559"/>
      <c r="RTA334" s="559"/>
      <c r="RTB334" s="559"/>
      <c r="RTC334" s="559"/>
      <c r="RTD334" s="559"/>
      <c r="RTE334" s="559"/>
      <c r="RTF334" s="559"/>
      <c r="RTG334" s="559"/>
      <c r="RTH334" s="559"/>
      <c r="RTI334" s="559"/>
      <c r="RTJ334" s="559"/>
      <c r="RTK334" s="559"/>
      <c r="RTL334" s="559"/>
      <c r="RTM334" s="559"/>
      <c r="RTN334" s="559"/>
      <c r="RTO334" s="559"/>
      <c r="RTP334" s="559"/>
      <c r="RTQ334" s="559"/>
      <c r="RTR334" s="559"/>
      <c r="RTS334" s="559"/>
      <c r="RTT334" s="559"/>
      <c r="RTU334" s="559"/>
      <c r="RTV334" s="559"/>
      <c r="RTW334" s="559"/>
      <c r="RTX334" s="559"/>
      <c r="RTY334" s="559"/>
      <c r="RTZ334" s="559"/>
      <c r="RUA334" s="559"/>
      <c r="RUB334" s="559"/>
      <c r="RUC334" s="559"/>
      <c r="RUD334" s="559"/>
      <c r="RUE334" s="559"/>
      <c r="RUF334" s="559"/>
      <c r="RUG334" s="559"/>
      <c r="RUH334" s="559"/>
      <c r="RUI334" s="559"/>
      <c r="RUJ334" s="559"/>
      <c r="RUK334" s="559"/>
      <c r="RUL334" s="559"/>
      <c r="RUM334" s="559"/>
      <c r="RUN334" s="559"/>
      <c r="RUO334" s="559"/>
      <c r="RUP334" s="559"/>
      <c r="RUQ334" s="559"/>
      <c r="RUR334" s="559"/>
      <c r="RUS334" s="559"/>
      <c r="RUT334" s="559"/>
      <c r="RUU334" s="559"/>
      <c r="RUV334" s="559"/>
      <c r="RUW334" s="559"/>
      <c r="RUX334" s="559"/>
      <c r="RUY334" s="559"/>
      <c r="RUZ334" s="559"/>
      <c r="RVA334" s="559"/>
      <c r="RVB334" s="559"/>
      <c r="RVC334" s="559"/>
      <c r="RVD334" s="559"/>
      <c r="RVE334" s="559"/>
      <c r="RVF334" s="559"/>
      <c r="RVG334" s="559"/>
      <c r="RVH334" s="559"/>
      <c r="RVI334" s="559"/>
      <c r="RVJ334" s="559"/>
      <c r="RVK334" s="559"/>
      <c r="RVL334" s="559"/>
      <c r="RVM334" s="559"/>
      <c r="RVN334" s="559"/>
      <c r="RVO334" s="559"/>
      <c r="RVP334" s="559"/>
      <c r="RVQ334" s="559"/>
      <c r="RVR334" s="559"/>
      <c r="RVS334" s="559"/>
      <c r="RVT334" s="559"/>
      <c r="RVU334" s="559"/>
      <c r="RVV334" s="559"/>
      <c r="RVW334" s="559"/>
      <c r="RVX334" s="559"/>
      <c r="RVY334" s="559"/>
      <c r="RVZ334" s="559"/>
      <c r="RWA334" s="559"/>
      <c r="RWB334" s="559"/>
      <c r="RWC334" s="559"/>
      <c r="RWD334" s="559"/>
      <c r="RWE334" s="559"/>
      <c r="RWF334" s="559"/>
      <c r="RWG334" s="559"/>
      <c r="RWH334" s="559"/>
      <c r="RWI334" s="559"/>
      <c r="RWJ334" s="559"/>
      <c r="RWK334" s="559"/>
      <c r="RWL334" s="559"/>
      <c r="RWM334" s="559"/>
      <c r="RWN334" s="559"/>
      <c r="RWO334" s="559"/>
      <c r="RWP334" s="559"/>
      <c r="RWQ334" s="559"/>
      <c r="RWR334" s="559"/>
      <c r="RWS334" s="559"/>
      <c r="RWT334" s="559"/>
      <c r="RWU334" s="559"/>
      <c r="RWV334" s="559"/>
      <c r="RWW334" s="559"/>
      <c r="RWX334" s="559"/>
      <c r="RWY334" s="559"/>
      <c r="RWZ334" s="559"/>
      <c r="RXA334" s="559"/>
      <c r="RXB334" s="559"/>
      <c r="RXC334" s="559"/>
      <c r="RXD334" s="559"/>
      <c r="RXE334" s="559"/>
      <c r="RXF334" s="559"/>
      <c r="RXG334" s="559"/>
      <c r="RXH334" s="559"/>
      <c r="RXI334" s="559"/>
      <c r="RXJ334" s="559"/>
      <c r="RXK334" s="559"/>
      <c r="RXL334" s="559"/>
      <c r="RXM334" s="559"/>
      <c r="RXN334" s="559"/>
      <c r="RXO334" s="559"/>
      <c r="RXP334" s="559"/>
      <c r="RXQ334" s="559"/>
      <c r="RXR334" s="559"/>
      <c r="RXS334" s="559"/>
      <c r="RXT334" s="559"/>
      <c r="RXU334" s="559"/>
      <c r="RXV334" s="559"/>
      <c r="RXW334" s="559"/>
      <c r="RXX334" s="559"/>
      <c r="RXY334" s="559"/>
      <c r="RXZ334" s="559"/>
      <c r="RYA334" s="559"/>
      <c r="RYB334" s="559"/>
      <c r="RYC334" s="559"/>
      <c r="RYD334" s="559"/>
      <c r="RYE334" s="559"/>
      <c r="RYF334" s="559"/>
      <c r="RYG334" s="559"/>
      <c r="RYH334" s="559"/>
      <c r="RYI334" s="559"/>
      <c r="RYJ334" s="559"/>
      <c r="RYK334" s="559"/>
      <c r="RYL334" s="559"/>
      <c r="RYM334" s="559"/>
      <c r="RYN334" s="559"/>
      <c r="RYO334" s="559"/>
      <c r="RYP334" s="559"/>
      <c r="RYQ334" s="559"/>
      <c r="RYR334" s="559"/>
      <c r="RYS334" s="559"/>
      <c r="RYT334" s="559"/>
      <c r="RYU334" s="559"/>
      <c r="RYV334" s="559"/>
      <c r="RYW334" s="559"/>
      <c r="RYX334" s="559"/>
      <c r="RYY334" s="559"/>
      <c r="RYZ334" s="559"/>
      <c r="RZA334" s="559"/>
      <c r="RZB334" s="559"/>
      <c r="RZC334" s="559"/>
      <c r="RZD334" s="559"/>
      <c r="RZE334" s="559"/>
      <c r="RZF334" s="559"/>
      <c r="RZG334" s="559"/>
      <c r="RZH334" s="559"/>
      <c r="RZI334" s="559"/>
      <c r="RZJ334" s="559"/>
      <c r="RZK334" s="559"/>
      <c r="RZL334" s="559"/>
      <c r="RZM334" s="559"/>
      <c r="RZN334" s="559"/>
      <c r="RZO334" s="559"/>
      <c r="RZP334" s="559"/>
      <c r="RZQ334" s="559"/>
      <c r="RZR334" s="559"/>
      <c r="RZS334" s="559"/>
      <c r="RZT334" s="559"/>
      <c r="RZU334" s="559"/>
      <c r="RZV334" s="559"/>
      <c r="RZW334" s="559"/>
      <c r="RZX334" s="559"/>
      <c r="RZY334" s="559"/>
      <c r="RZZ334" s="559"/>
      <c r="SAA334" s="559"/>
      <c r="SAB334" s="559"/>
      <c r="SAC334" s="559"/>
      <c r="SAD334" s="559"/>
      <c r="SAE334" s="559"/>
      <c r="SAF334" s="559"/>
      <c r="SAG334" s="559"/>
      <c r="SAH334" s="559"/>
      <c r="SAI334" s="559"/>
      <c r="SAJ334" s="559"/>
      <c r="SAK334" s="559"/>
      <c r="SAL334" s="559"/>
      <c r="SAM334" s="559"/>
      <c r="SAN334" s="559"/>
      <c r="SAO334" s="559"/>
      <c r="SAP334" s="559"/>
      <c r="SAQ334" s="559"/>
      <c r="SAR334" s="559"/>
      <c r="SAS334" s="559"/>
      <c r="SAT334" s="559"/>
      <c r="SAU334" s="559"/>
      <c r="SAV334" s="559"/>
      <c r="SAW334" s="559"/>
      <c r="SAX334" s="559"/>
      <c r="SAY334" s="559"/>
      <c r="SAZ334" s="559"/>
      <c r="SBA334" s="559"/>
      <c r="SBB334" s="559"/>
      <c r="SBC334" s="559"/>
      <c r="SBD334" s="559"/>
      <c r="SBE334" s="559"/>
      <c r="SBF334" s="559"/>
      <c r="SBG334" s="559"/>
      <c r="SBH334" s="559"/>
      <c r="SBI334" s="559"/>
      <c r="SBJ334" s="559"/>
      <c r="SBK334" s="559"/>
      <c r="SBL334" s="559"/>
      <c r="SBM334" s="559"/>
      <c r="SBN334" s="559"/>
      <c r="SBO334" s="559"/>
      <c r="SBP334" s="559"/>
      <c r="SBQ334" s="559"/>
      <c r="SBR334" s="559"/>
      <c r="SBS334" s="559"/>
      <c r="SBT334" s="559"/>
      <c r="SBU334" s="559"/>
      <c r="SBV334" s="559"/>
      <c r="SBW334" s="559"/>
      <c r="SBX334" s="559"/>
      <c r="SBY334" s="559"/>
      <c r="SBZ334" s="559"/>
      <c r="SCA334" s="559"/>
      <c r="SCB334" s="559"/>
      <c r="SCC334" s="559"/>
      <c r="SCD334" s="559"/>
      <c r="SCE334" s="559"/>
      <c r="SCF334" s="559"/>
      <c r="SCG334" s="559"/>
      <c r="SCH334" s="559"/>
      <c r="SCI334" s="559"/>
      <c r="SCJ334" s="559"/>
      <c r="SCK334" s="559"/>
      <c r="SCL334" s="559"/>
      <c r="SCM334" s="559"/>
      <c r="SCN334" s="559"/>
      <c r="SCO334" s="559"/>
      <c r="SCP334" s="559"/>
      <c r="SCQ334" s="559"/>
      <c r="SCR334" s="559"/>
      <c r="SCS334" s="559"/>
      <c r="SCT334" s="559"/>
      <c r="SCU334" s="559"/>
      <c r="SCV334" s="559"/>
      <c r="SCW334" s="559"/>
      <c r="SCX334" s="559"/>
      <c r="SCY334" s="559"/>
      <c r="SCZ334" s="559"/>
      <c r="SDA334" s="559"/>
      <c r="SDB334" s="559"/>
      <c r="SDC334" s="559"/>
      <c r="SDD334" s="559"/>
      <c r="SDE334" s="559"/>
      <c r="SDF334" s="559"/>
      <c r="SDG334" s="559"/>
      <c r="SDH334" s="559"/>
      <c r="SDI334" s="559"/>
      <c r="SDJ334" s="559"/>
      <c r="SDK334" s="559"/>
      <c r="SDL334" s="559"/>
      <c r="SDM334" s="559"/>
      <c r="SDN334" s="559"/>
      <c r="SDO334" s="559"/>
      <c r="SDP334" s="559"/>
      <c r="SDQ334" s="559"/>
      <c r="SDR334" s="559"/>
      <c r="SDS334" s="559"/>
      <c r="SDT334" s="559"/>
      <c r="SDU334" s="559"/>
      <c r="SDV334" s="559"/>
      <c r="SDW334" s="559"/>
      <c r="SDX334" s="559"/>
      <c r="SDY334" s="559"/>
      <c r="SDZ334" s="559"/>
      <c r="SEA334" s="559"/>
      <c r="SEB334" s="559"/>
      <c r="SEC334" s="559"/>
      <c r="SED334" s="559"/>
      <c r="SEE334" s="559"/>
      <c r="SEF334" s="559"/>
      <c r="SEG334" s="559"/>
      <c r="SEH334" s="559"/>
      <c r="SEI334" s="559"/>
      <c r="SEJ334" s="559"/>
      <c r="SEK334" s="559"/>
      <c r="SEL334" s="559"/>
      <c r="SEM334" s="559"/>
      <c r="SEN334" s="559"/>
      <c r="SEO334" s="559"/>
      <c r="SEP334" s="559"/>
      <c r="SEQ334" s="559"/>
      <c r="SER334" s="559"/>
      <c r="SES334" s="559"/>
      <c r="SET334" s="559"/>
      <c r="SEU334" s="559"/>
      <c r="SEV334" s="559"/>
      <c r="SEW334" s="559"/>
      <c r="SEX334" s="559"/>
      <c r="SEY334" s="559"/>
      <c r="SEZ334" s="559"/>
      <c r="SFA334" s="559"/>
      <c r="SFB334" s="559"/>
      <c r="SFC334" s="559"/>
      <c r="SFD334" s="559"/>
      <c r="SFE334" s="559"/>
      <c r="SFF334" s="559"/>
      <c r="SFG334" s="559"/>
      <c r="SFH334" s="559"/>
      <c r="SFI334" s="559"/>
      <c r="SFJ334" s="559"/>
      <c r="SFK334" s="559"/>
      <c r="SFL334" s="559"/>
      <c r="SFM334" s="559"/>
      <c r="SFN334" s="559"/>
      <c r="SFO334" s="559"/>
      <c r="SFP334" s="559"/>
      <c r="SFQ334" s="559"/>
      <c r="SFR334" s="559"/>
      <c r="SFS334" s="559"/>
      <c r="SFT334" s="559"/>
      <c r="SFU334" s="559"/>
      <c r="SFV334" s="559"/>
      <c r="SFW334" s="559"/>
      <c r="SFX334" s="559"/>
      <c r="SFY334" s="559"/>
      <c r="SFZ334" s="559"/>
      <c r="SGA334" s="559"/>
      <c r="SGB334" s="559"/>
      <c r="SGC334" s="559"/>
      <c r="SGD334" s="559"/>
      <c r="SGE334" s="559"/>
      <c r="SGF334" s="559"/>
      <c r="SGG334" s="559"/>
      <c r="SGH334" s="559"/>
      <c r="SGI334" s="559"/>
      <c r="SGJ334" s="559"/>
      <c r="SGK334" s="559"/>
      <c r="SGL334" s="559"/>
      <c r="SGM334" s="559"/>
      <c r="SGN334" s="559"/>
      <c r="SGO334" s="559"/>
      <c r="SGP334" s="559"/>
      <c r="SGQ334" s="559"/>
      <c r="SGR334" s="559"/>
      <c r="SGS334" s="559"/>
      <c r="SGT334" s="559"/>
      <c r="SGU334" s="559"/>
      <c r="SGV334" s="559"/>
      <c r="SGW334" s="559"/>
      <c r="SGX334" s="559"/>
      <c r="SGY334" s="559"/>
      <c r="SGZ334" s="559"/>
      <c r="SHA334" s="559"/>
      <c r="SHB334" s="559"/>
      <c r="SHC334" s="559"/>
      <c r="SHD334" s="559"/>
      <c r="SHE334" s="559"/>
      <c r="SHF334" s="559"/>
      <c r="SHG334" s="559"/>
      <c r="SHH334" s="559"/>
      <c r="SHI334" s="559"/>
      <c r="SHJ334" s="559"/>
      <c r="SHK334" s="559"/>
      <c r="SHL334" s="559"/>
      <c r="SHM334" s="559"/>
      <c r="SHN334" s="559"/>
      <c r="SHO334" s="559"/>
      <c r="SHP334" s="559"/>
      <c r="SHQ334" s="559"/>
      <c r="SHR334" s="559"/>
      <c r="SHS334" s="559"/>
      <c r="SHT334" s="559"/>
      <c r="SHU334" s="559"/>
      <c r="SHV334" s="559"/>
      <c r="SHW334" s="559"/>
      <c r="SHX334" s="559"/>
      <c r="SHY334" s="559"/>
      <c r="SHZ334" s="559"/>
      <c r="SIA334" s="559"/>
      <c r="SIB334" s="559"/>
      <c r="SIC334" s="559"/>
      <c r="SID334" s="559"/>
      <c r="SIE334" s="559"/>
      <c r="SIF334" s="559"/>
      <c r="SIG334" s="559"/>
      <c r="SIH334" s="559"/>
      <c r="SII334" s="559"/>
      <c r="SIJ334" s="559"/>
      <c r="SIK334" s="559"/>
      <c r="SIL334" s="559"/>
      <c r="SIM334" s="559"/>
      <c r="SIN334" s="559"/>
      <c r="SIO334" s="559"/>
      <c r="SIP334" s="559"/>
      <c r="SIQ334" s="559"/>
      <c r="SIR334" s="559"/>
      <c r="SIS334" s="559"/>
      <c r="SIT334" s="559"/>
      <c r="SIU334" s="559"/>
      <c r="SIV334" s="559"/>
      <c r="SIW334" s="559"/>
      <c r="SIX334" s="559"/>
      <c r="SIY334" s="559"/>
      <c r="SIZ334" s="559"/>
      <c r="SJA334" s="559"/>
      <c r="SJB334" s="559"/>
      <c r="SJC334" s="559"/>
      <c r="SJD334" s="559"/>
      <c r="SJE334" s="559"/>
      <c r="SJF334" s="559"/>
      <c r="SJG334" s="559"/>
      <c r="SJH334" s="559"/>
      <c r="SJI334" s="559"/>
      <c r="SJJ334" s="559"/>
      <c r="SJK334" s="559"/>
      <c r="SJL334" s="559"/>
      <c r="SJM334" s="559"/>
      <c r="SJN334" s="559"/>
      <c r="SJO334" s="559"/>
      <c r="SJP334" s="559"/>
      <c r="SJQ334" s="559"/>
      <c r="SJR334" s="559"/>
      <c r="SJS334" s="559"/>
      <c r="SJT334" s="559"/>
      <c r="SJU334" s="559"/>
      <c r="SJV334" s="559"/>
      <c r="SJW334" s="559"/>
      <c r="SJX334" s="559"/>
      <c r="SJY334" s="559"/>
      <c r="SJZ334" s="559"/>
      <c r="SKA334" s="559"/>
      <c r="SKB334" s="559"/>
      <c r="SKC334" s="559"/>
      <c r="SKD334" s="559"/>
      <c r="SKE334" s="559"/>
      <c r="SKF334" s="559"/>
      <c r="SKG334" s="559"/>
      <c r="SKH334" s="559"/>
      <c r="SKI334" s="559"/>
      <c r="SKJ334" s="559"/>
      <c r="SKK334" s="559"/>
      <c r="SKL334" s="559"/>
      <c r="SKM334" s="559"/>
      <c r="SKN334" s="559"/>
      <c r="SKO334" s="559"/>
      <c r="SKP334" s="559"/>
      <c r="SKQ334" s="559"/>
      <c r="SKR334" s="559"/>
      <c r="SKS334" s="559"/>
      <c r="SKT334" s="559"/>
      <c r="SKU334" s="559"/>
      <c r="SKV334" s="559"/>
      <c r="SKW334" s="559"/>
      <c r="SKX334" s="559"/>
      <c r="SKY334" s="559"/>
      <c r="SKZ334" s="559"/>
      <c r="SLA334" s="559"/>
      <c r="SLB334" s="559"/>
      <c r="SLC334" s="559"/>
      <c r="SLD334" s="559"/>
      <c r="SLE334" s="559"/>
      <c r="SLF334" s="559"/>
      <c r="SLG334" s="559"/>
      <c r="SLH334" s="559"/>
      <c r="SLI334" s="559"/>
      <c r="SLJ334" s="559"/>
      <c r="SLK334" s="559"/>
      <c r="SLL334" s="559"/>
      <c r="SLM334" s="559"/>
      <c r="SLN334" s="559"/>
      <c r="SLO334" s="559"/>
      <c r="SLP334" s="559"/>
      <c r="SLQ334" s="559"/>
      <c r="SLR334" s="559"/>
      <c r="SLS334" s="559"/>
      <c r="SLT334" s="559"/>
      <c r="SLU334" s="559"/>
      <c r="SLV334" s="559"/>
      <c r="SLW334" s="559"/>
      <c r="SLX334" s="559"/>
      <c r="SLY334" s="559"/>
      <c r="SLZ334" s="559"/>
      <c r="SMA334" s="559"/>
      <c r="SMB334" s="559"/>
      <c r="SMC334" s="559"/>
      <c r="SMD334" s="559"/>
      <c r="SME334" s="559"/>
      <c r="SMF334" s="559"/>
      <c r="SMG334" s="559"/>
      <c r="SMH334" s="559"/>
      <c r="SMI334" s="559"/>
      <c r="SMJ334" s="559"/>
      <c r="SMK334" s="559"/>
      <c r="SML334" s="559"/>
      <c r="SMM334" s="559"/>
      <c r="SMN334" s="559"/>
      <c r="SMO334" s="559"/>
      <c r="SMP334" s="559"/>
      <c r="SMQ334" s="559"/>
      <c r="SMR334" s="559"/>
      <c r="SMS334" s="559"/>
      <c r="SMT334" s="559"/>
      <c r="SMU334" s="559"/>
      <c r="SMV334" s="559"/>
      <c r="SMW334" s="559"/>
      <c r="SMX334" s="559"/>
      <c r="SMY334" s="559"/>
      <c r="SMZ334" s="559"/>
      <c r="SNA334" s="559"/>
      <c r="SNB334" s="559"/>
      <c r="SNC334" s="559"/>
      <c r="SND334" s="559"/>
      <c r="SNE334" s="559"/>
      <c r="SNF334" s="559"/>
      <c r="SNG334" s="559"/>
      <c r="SNH334" s="559"/>
      <c r="SNI334" s="559"/>
      <c r="SNJ334" s="559"/>
      <c r="SNK334" s="559"/>
      <c r="SNL334" s="559"/>
      <c r="SNM334" s="559"/>
      <c r="SNN334" s="559"/>
      <c r="SNO334" s="559"/>
      <c r="SNP334" s="559"/>
      <c r="SNQ334" s="559"/>
      <c r="SNR334" s="559"/>
      <c r="SNS334" s="559"/>
      <c r="SNT334" s="559"/>
      <c r="SNU334" s="559"/>
      <c r="SNV334" s="559"/>
      <c r="SNW334" s="559"/>
      <c r="SNX334" s="559"/>
      <c r="SNY334" s="559"/>
      <c r="SNZ334" s="559"/>
      <c r="SOA334" s="559"/>
      <c r="SOB334" s="559"/>
      <c r="SOC334" s="559"/>
      <c r="SOD334" s="559"/>
      <c r="SOE334" s="559"/>
      <c r="SOF334" s="559"/>
      <c r="SOG334" s="559"/>
      <c r="SOH334" s="559"/>
      <c r="SOI334" s="559"/>
      <c r="SOJ334" s="559"/>
      <c r="SOK334" s="559"/>
      <c r="SOL334" s="559"/>
      <c r="SOM334" s="559"/>
      <c r="SON334" s="559"/>
      <c r="SOO334" s="559"/>
      <c r="SOP334" s="559"/>
      <c r="SOQ334" s="559"/>
      <c r="SOR334" s="559"/>
      <c r="SOS334" s="559"/>
      <c r="SOT334" s="559"/>
      <c r="SOU334" s="559"/>
      <c r="SOV334" s="559"/>
      <c r="SOW334" s="559"/>
      <c r="SOX334" s="559"/>
      <c r="SOY334" s="559"/>
      <c r="SOZ334" s="559"/>
      <c r="SPA334" s="559"/>
      <c r="SPB334" s="559"/>
      <c r="SPC334" s="559"/>
      <c r="SPD334" s="559"/>
      <c r="SPE334" s="559"/>
      <c r="SPF334" s="559"/>
      <c r="SPG334" s="559"/>
      <c r="SPH334" s="559"/>
      <c r="SPI334" s="559"/>
      <c r="SPJ334" s="559"/>
      <c r="SPK334" s="559"/>
      <c r="SPL334" s="559"/>
      <c r="SPM334" s="559"/>
      <c r="SPN334" s="559"/>
      <c r="SPO334" s="559"/>
      <c r="SPP334" s="559"/>
      <c r="SPQ334" s="559"/>
      <c r="SPR334" s="559"/>
      <c r="SPS334" s="559"/>
      <c r="SPT334" s="559"/>
      <c r="SPU334" s="559"/>
      <c r="SPV334" s="559"/>
      <c r="SPW334" s="559"/>
      <c r="SPX334" s="559"/>
      <c r="SPY334" s="559"/>
      <c r="SPZ334" s="559"/>
      <c r="SQA334" s="559"/>
      <c r="SQB334" s="559"/>
      <c r="SQC334" s="559"/>
      <c r="SQD334" s="559"/>
      <c r="SQE334" s="559"/>
      <c r="SQF334" s="559"/>
      <c r="SQG334" s="559"/>
      <c r="SQH334" s="559"/>
      <c r="SQI334" s="559"/>
      <c r="SQJ334" s="559"/>
      <c r="SQK334" s="559"/>
      <c r="SQL334" s="559"/>
      <c r="SQM334" s="559"/>
      <c r="SQN334" s="559"/>
      <c r="SQO334" s="559"/>
      <c r="SQP334" s="559"/>
      <c r="SQQ334" s="559"/>
      <c r="SQR334" s="559"/>
      <c r="SQS334" s="559"/>
      <c r="SQT334" s="559"/>
      <c r="SQU334" s="559"/>
      <c r="SQV334" s="559"/>
      <c r="SQW334" s="559"/>
      <c r="SQX334" s="559"/>
      <c r="SQY334" s="559"/>
      <c r="SQZ334" s="559"/>
      <c r="SRA334" s="559"/>
      <c r="SRB334" s="559"/>
      <c r="SRC334" s="559"/>
      <c r="SRD334" s="559"/>
      <c r="SRE334" s="559"/>
      <c r="SRF334" s="559"/>
      <c r="SRG334" s="559"/>
      <c r="SRH334" s="559"/>
      <c r="SRI334" s="559"/>
      <c r="SRJ334" s="559"/>
      <c r="SRK334" s="559"/>
      <c r="SRL334" s="559"/>
      <c r="SRM334" s="559"/>
      <c r="SRN334" s="559"/>
      <c r="SRO334" s="559"/>
      <c r="SRP334" s="559"/>
      <c r="SRQ334" s="559"/>
      <c r="SRR334" s="559"/>
      <c r="SRS334" s="559"/>
      <c r="SRT334" s="559"/>
      <c r="SRU334" s="559"/>
      <c r="SRV334" s="559"/>
      <c r="SRW334" s="559"/>
      <c r="SRX334" s="559"/>
      <c r="SRY334" s="559"/>
      <c r="SRZ334" s="559"/>
      <c r="SSA334" s="559"/>
      <c r="SSB334" s="559"/>
      <c r="SSC334" s="559"/>
      <c r="SSD334" s="559"/>
      <c r="SSE334" s="559"/>
      <c r="SSF334" s="559"/>
      <c r="SSG334" s="559"/>
      <c r="SSH334" s="559"/>
      <c r="SSI334" s="559"/>
      <c r="SSJ334" s="559"/>
      <c r="SSK334" s="559"/>
      <c r="SSL334" s="559"/>
      <c r="SSM334" s="559"/>
      <c r="SSN334" s="559"/>
      <c r="SSO334" s="559"/>
      <c r="SSP334" s="559"/>
      <c r="SSQ334" s="559"/>
      <c r="SSR334" s="559"/>
      <c r="SSS334" s="559"/>
      <c r="SST334" s="559"/>
      <c r="SSU334" s="559"/>
      <c r="SSV334" s="559"/>
      <c r="SSW334" s="559"/>
      <c r="SSX334" s="559"/>
      <c r="SSY334" s="559"/>
      <c r="SSZ334" s="559"/>
      <c r="STA334" s="559"/>
      <c r="STB334" s="559"/>
      <c r="STC334" s="559"/>
      <c r="STD334" s="559"/>
      <c r="STE334" s="559"/>
      <c r="STF334" s="559"/>
      <c r="STG334" s="559"/>
      <c r="STH334" s="559"/>
      <c r="STI334" s="559"/>
      <c r="STJ334" s="559"/>
      <c r="STK334" s="559"/>
      <c r="STL334" s="559"/>
      <c r="STM334" s="559"/>
      <c r="STN334" s="559"/>
      <c r="STO334" s="559"/>
      <c r="STP334" s="559"/>
      <c r="STQ334" s="559"/>
      <c r="STR334" s="559"/>
      <c r="STS334" s="559"/>
      <c r="STT334" s="559"/>
      <c r="STU334" s="559"/>
      <c r="STV334" s="559"/>
      <c r="STW334" s="559"/>
      <c r="STX334" s="559"/>
      <c r="STY334" s="559"/>
      <c r="STZ334" s="559"/>
      <c r="SUA334" s="559"/>
      <c r="SUB334" s="559"/>
      <c r="SUC334" s="559"/>
      <c r="SUD334" s="559"/>
      <c r="SUE334" s="559"/>
      <c r="SUF334" s="559"/>
      <c r="SUG334" s="559"/>
      <c r="SUH334" s="559"/>
      <c r="SUI334" s="559"/>
      <c r="SUJ334" s="559"/>
      <c r="SUK334" s="559"/>
      <c r="SUL334" s="559"/>
      <c r="SUM334" s="559"/>
      <c r="SUN334" s="559"/>
      <c r="SUO334" s="559"/>
      <c r="SUP334" s="559"/>
      <c r="SUQ334" s="559"/>
      <c r="SUR334" s="559"/>
      <c r="SUS334" s="559"/>
      <c r="SUT334" s="559"/>
      <c r="SUU334" s="559"/>
      <c r="SUV334" s="559"/>
      <c r="SUW334" s="559"/>
      <c r="SUX334" s="559"/>
      <c r="SUY334" s="559"/>
      <c r="SUZ334" s="559"/>
      <c r="SVA334" s="559"/>
      <c r="SVB334" s="559"/>
      <c r="SVC334" s="559"/>
      <c r="SVD334" s="559"/>
      <c r="SVE334" s="559"/>
      <c r="SVF334" s="559"/>
      <c r="SVG334" s="559"/>
      <c r="SVH334" s="559"/>
      <c r="SVI334" s="559"/>
      <c r="SVJ334" s="559"/>
      <c r="SVK334" s="559"/>
      <c r="SVL334" s="559"/>
      <c r="SVM334" s="559"/>
      <c r="SVN334" s="559"/>
      <c r="SVO334" s="559"/>
      <c r="SVP334" s="559"/>
      <c r="SVQ334" s="559"/>
      <c r="SVR334" s="559"/>
      <c r="SVS334" s="559"/>
      <c r="SVT334" s="559"/>
      <c r="SVU334" s="559"/>
      <c r="SVV334" s="559"/>
      <c r="SVW334" s="559"/>
      <c r="SVX334" s="559"/>
      <c r="SVY334" s="559"/>
      <c r="SVZ334" s="559"/>
      <c r="SWA334" s="559"/>
      <c r="SWB334" s="559"/>
      <c r="SWC334" s="559"/>
      <c r="SWD334" s="559"/>
      <c r="SWE334" s="559"/>
      <c r="SWF334" s="559"/>
      <c r="SWG334" s="559"/>
      <c r="SWH334" s="559"/>
      <c r="SWI334" s="559"/>
      <c r="SWJ334" s="559"/>
      <c r="SWK334" s="559"/>
      <c r="SWL334" s="559"/>
      <c r="SWM334" s="559"/>
      <c r="SWN334" s="559"/>
      <c r="SWO334" s="559"/>
      <c r="SWP334" s="559"/>
      <c r="SWQ334" s="559"/>
      <c r="SWR334" s="559"/>
      <c r="SWS334" s="559"/>
      <c r="SWT334" s="559"/>
      <c r="SWU334" s="559"/>
      <c r="SWV334" s="559"/>
      <c r="SWW334" s="559"/>
      <c r="SWX334" s="559"/>
      <c r="SWY334" s="559"/>
      <c r="SWZ334" s="559"/>
      <c r="SXA334" s="559"/>
      <c r="SXB334" s="559"/>
      <c r="SXC334" s="559"/>
      <c r="SXD334" s="559"/>
      <c r="SXE334" s="559"/>
      <c r="SXF334" s="559"/>
      <c r="SXG334" s="559"/>
      <c r="SXH334" s="559"/>
      <c r="SXI334" s="559"/>
      <c r="SXJ334" s="559"/>
      <c r="SXK334" s="559"/>
      <c r="SXL334" s="559"/>
      <c r="SXM334" s="559"/>
      <c r="SXN334" s="559"/>
      <c r="SXO334" s="559"/>
      <c r="SXP334" s="559"/>
      <c r="SXQ334" s="559"/>
      <c r="SXR334" s="559"/>
      <c r="SXS334" s="559"/>
      <c r="SXT334" s="559"/>
      <c r="SXU334" s="559"/>
      <c r="SXV334" s="559"/>
      <c r="SXW334" s="559"/>
      <c r="SXX334" s="559"/>
      <c r="SXY334" s="559"/>
      <c r="SXZ334" s="559"/>
      <c r="SYA334" s="559"/>
      <c r="SYB334" s="559"/>
      <c r="SYC334" s="559"/>
      <c r="SYD334" s="559"/>
      <c r="SYE334" s="559"/>
      <c r="SYF334" s="559"/>
      <c r="SYG334" s="559"/>
      <c r="SYH334" s="559"/>
      <c r="SYI334" s="559"/>
      <c r="SYJ334" s="559"/>
      <c r="SYK334" s="559"/>
      <c r="SYL334" s="559"/>
      <c r="SYM334" s="559"/>
      <c r="SYN334" s="559"/>
      <c r="SYO334" s="559"/>
      <c r="SYP334" s="559"/>
      <c r="SYQ334" s="559"/>
      <c r="SYR334" s="559"/>
      <c r="SYS334" s="559"/>
      <c r="SYT334" s="559"/>
      <c r="SYU334" s="559"/>
      <c r="SYV334" s="559"/>
      <c r="SYW334" s="559"/>
      <c r="SYX334" s="559"/>
      <c r="SYY334" s="559"/>
      <c r="SYZ334" s="559"/>
      <c r="SZA334" s="559"/>
      <c r="SZB334" s="559"/>
      <c r="SZC334" s="559"/>
      <c r="SZD334" s="559"/>
      <c r="SZE334" s="559"/>
      <c r="SZF334" s="559"/>
      <c r="SZG334" s="559"/>
      <c r="SZH334" s="559"/>
      <c r="SZI334" s="559"/>
      <c r="SZJ334" s="559"/>
      <c r="SZK334" s="559"/>
      <c r="SZL334" s="559"/>
      <c r="SZM334" s="559"/>
      <c r="SZN334" s="559"/>
      <c r="SZO334" s="559"/>
      <c r="SZP334" s="559"/>
      <c r="SZQ334" s="559"/>
      <c r="SZR334" s="559"/>
      <c r="SZS334" s="559"/>
      <c r="SZT334" s="559"/>
      <c r="SZU334" s="559"/>
      <c r="SZV334" s="559"/>
      <c r="SZW334" s="559"/>
      <c r="SZX334" s="559"/>
      <c r="SZY334" s="559"/>
      <c r="SZZ334" s="559"/>
      <c r="TAA334" s="559"/>
      <c r="TAB334" s="559"/>
      <c r="TAC334" s="559"/>
      <c r="TAD334" s="559"/>
      <c r="TAE334" s="559"/>
      <c r="TAF334" s="559"/>
      <c r="TAG334" s="559"/>
      <c r="TAH334" s="559"/>
      <c r="TAI334" s="559"/>
      <c r="TAJ334" s="559"/>
      <c r="TAK334" s="559"/>
      <c r="TAL334" s="559"/>
      <c r="TAM334" s="559"/>
      <c r="TAN334" s="559"/>
      <c r="TAO334" s="559"/>
      <c r="TAP334" s="559"/>
      <c r="TAQ334" s="559"/>
      <c r="TAR334" s="559"/>
      <c r="TAS334" s="559"/>
      <c r="TAT334" s="559"/>
      <c r="TAU334" s="559"/>
      <c r="TAV334" s="559"/>
      <c r="TAW334" s="559"/>
      <c r="TAX334" s="559"/>
      <c r="TAY334" s="559"/>
      <c r="TAZ334" s="559"/>
      <c r="TBA334" s="559"/>
      <c r="TBB334" s="559"/>
      <c r="TBC334" s="559"/>
      <c r="TBD334" s="559"/>
      <c r="TBE334" s="559"/>
      <c r="TBF334" s="559"/>
      <c r="TBG334" s="559"/>
      <c r="TBH334" s="559"/>
      <c r="TBI334" s="559"/>
      <c r="TBJ334" s="559"/>
      <c r="TBK334" s="559"/>
      <c r="TBL334" s="559"/>
      <c r="TBM334" s="559"/>
      <c r="TBN334" s="559"/>
      <c r="TBO334" s="559"/>
      <c r="TBP334" s="559"/>
      <c r="TBQ334" s="559"/>
      <c r="TBR334" s="559"/>
      <c r="TBS334" s="559"/>
      <c r="TBT334" s="559"/>
      <c r="TBU334" s="559"/>
      <c r="TBV334" s="559"/>
      <c r="TBW334" s="559"/>
      <c r="TBX334" s="559"/>
      <c r="TBY334" s="559"/>
      <c r="TBZ334" s="559"/>
      <c r="TCA334" s="559"/>
      <c r="TCB334" s="559"/>
      <c r="TCC334" s="559"/>
      <c r="TCD334" s="559"/>
      <c r="TCE334" s="559"/>
      <c r="TCF334" s="559"/>
      <c r="TCG334" s="559"/>
      <c r="TCH334" s="559"/>
      <c r="TCI334" s="559"/>
      <c r="TCJ334" s="559"/>
      <c r="TCK334" s="559"/>
      <c r="TCL334" s="559"/>
      <c r="TCM334" s="559"/>
      <c r="TCN334" s="559"/>
      <c r="TCO334" s="559"/>
      <c r="TCP334" s="559"/>
      <c r="TCQ334" s="559"/>
      <c r="TCR334" s="559"/>
      <c r="TCS334" s="559"/>
      <c r="TCT334" s="559"/>
      <c r="TCU334" s="559"/>
      <c r="TCV334" s="559"/>
      <c r="TCW334" s="559"/>
      <c r="TCX334" s="559"/>
      <c r="TCY334" s="559"/>
      <c r="TCZ334" s="559"/>
      <c r="TDA334" s="559"/>
      <c r="TDB334" s="559"/>
      <c r="TDC334" s="559"/>
      <c r="TDD334" s="559"/>
      <c r="TDE334" s="559"/>
      <c r="TDF334" s="559"/>
      <c r="TDG334" s="559"/>
      <c r="TDH334" s="559"/>
      <c r="TDI334" s="559"/>
      <c r="TDJ334" s="559"/>
      <c r="TDK334" s="559"/>
      <c r="TDL334" s="559"/>
      <c r="TDM334" s="559"/>
      <c r="TDN334" s="559"/>
      <c r="TDO334" s="559"/>
      <c r="TDP334" s="559"/>
      <c r="TDQ334" s="559"/>
      <c r="TDR334" s="559"/>
      <c r="TDS334" s="559"/>
      <c r="TDT334" s="559"/>
      <c r="TDU334" s="559"/>
      <c r="TDV334" s="559"/>
      <c r="TDW334" s="559"/>
      <c r="TDX334" s="559"/>
      <c r="TDY334" s="559"/>
      <c r="TDZ334" s="559"/>
      <c r="TEA334" s="559"/>
      <c r="TEB334" s="559"/>
      <c r="TEC334" s="559"/>
      <c r="TED334" s="559"/>
      <c r="TEE334" s="559"/>
      <c r="TEF334" s="559"/>
      <c r="TEG334" s="559"/>
      <c r="TEH334" s="559"/>
      <c r="TEI334" s="559"/>
      <c r="TEJ334" s="559"/>
      <c r="TEK334" s="559"/>
      <c r="TEL334" s="559"/>
      <c r="TEM334" s="559"/>
      <c r="TEN334" s="559"/>
      <c r="TEO334" s="559"/>
      <c r="TEP334" s="559"/>
      <c r="TEQ334" s="559"/>
      <c r="TER334" s="559"/>
      <c r="TES334" s="559"/>
      <c r="TET334" s="559"/>
      <c r="TEU334" s="559"/>
      <c r="TEV334" s="559"/>
      <c r="TEW334" s="559"/>
      <c r="TEX334" s="559"/>
      <c r="TEY334" s="559"/>
      <c r="TEZ334" s="559"/>
      <c r="TFA334" s="559"/>
      <c r="TFB334" s="559"/>
      <c r="TFC334" s="559"/>
      <c r="TFD334" s="559"/>
      <c r="TFE334" s="559"/>
      <c r="TFF334" s="559"/>
      <c r="TFG334" s="559"/>
      <c r="TFH334" s="559"/>
      <c r="TFI334" s="559"/>
      <c r="TFJ334" s="559"/>
      <c r="TFK334" s="559"/>
      <c r="TFL334" s="559"/>
      <c r="TFM334" s="559"/>
      <c r="TFN334" s="559"/>
      <c r="TFO334" s="559"/>
      <c r="TFP334" s="559"/>
      <c r="TFQ334" s="559"/>
      <c r="TFR334" s="559"/>
      <c r="TFS334" s="559"/>
      <c r="TFT334" s="559"/>
      <c r="TFU334" s="559"/>
      <c r="TFV334" s="559"/>
      <c r="TFW334" s="559"/>
      <c r="TFX334" s="559"/>
      <c r="TFY334" s="559"/>
      <c r="TFZ334" s="559"/>
      <c r="TGA334" s="559"/>
      <c r="TGB334" s="559"/>
      <c r="TGC334" s="559"/>
      <c r="TGD334" s="559"/>
      <c r="TGE334" s="559"/>
      <c r="TGF334" s="559"/>
      <c r="TGG334" s="559"/>
      <c r="TGH334" s="559"/>
      <c r="TGI334" s="559"/>
      <c r="TGJ334" s="559"/>
      <c r="TGK334" s="559"/>
      <c r="TGL334" s="559"/>
      <c r="TGM334" s="559"/>
      <c r="TGN334" s="559"/>
      <c r="TGO334" s="559"/>
      <c r="TGP334" s="559"/>
      <c r="TGQ334" s="559"/>
      <c r="TGR334" s="559"/>
      <c r="TGS334" s="559"/>
      <c r="TGT334" s="559"/>
      <c r="TGU334" s="559"/>
      <c r="TGV334" s="559"/>
      <c r="TGW334" s="559"/>
      <c r="TGX334" s="559"/>
      <c r="TGY334" s="559"/>
      <c r="TGZ334" s="559"/>
      <c r="THA334" s="559"/>
      <c r="THB334" s="559"/>
      <c r="THC334" s="559"/>
      <c r="THD334" s="559"/>
      <c r="THE334" s="559"/>
      <c r="THF334" s="559"/>
      <c r="THG334" s="559"/>
      <c r="THH334" s="559"/>
      <c r="THI334" s="559"/>
      <c r="THJ334" s="559"/>
      <c r="THK334" s="559"/>
      <c r="THL334" s="559"/>
      <c r="THM334" s="559"/>
      <c r="THN334" s="559"/>
      <c r="THO334" s="559"/>
      <c r="THP334" s="559"/>
      <c r="THQ334" s="559"/>
      <c r="THR334" s="559"/>
      <c r="THS334" s="559"/>
      <c r="THT334" s="559"/>
      <c r="THU334" s="559"/>
      <c r="THV334" s="559"/>
      <c r="THW334" s="559"/>
      <c r="THX334" s="559"/>
      <c r="THY334" s="559"/>
      <c r="THZ334" s="559"/>
      <c r="TIA334" s="559"/>
      <c r="TIB334" s="559"/>
      <c r="TIC334" s="559"/>
      <c r="TID334" s="559"/>
      <c r="TIE334" s="559"/>
      <c r="TIF334" s="559"/>
      <c r="TIG334" s="559"/>
      <c r="TIH334" s="559"/>
      <c r="TII334" s="559"/>
      <c r="TIJ334" s="559"/>
      <c r="TIK334" s="559"/>
      <c r="TIL334" s="559"/>
      <c r="TIM334" s="559"/>
      <c r="TIN334" s="559"/>
      <c r="TIO334" s="559"/>
      <c r="TIP334" s="559"/>
      <c r="TIQ334" s="559"/>
      <c r="TIR334" s="559"/>
      <c r="TIS334" s="559"/>
      <c r="TIT334" s="559"/>
      <c r="TIU334" s="559"/>
      <c r="TIV334" s="559"/>
      <c r="TIW334" s="559"/>
      <c r="TIX334" s="559"/>
      <c r="TIY334" s="559"/>
      <c r="TIZ334" s="559"/>
      <c r="TJA334" s="559"/>
      <c r="TJB334" s="559"/>
      <c r="TJC334" s="559"/>
      <c r="TJD334" s="559"/>
      <c r="TJE334" s="559"/>
      <c r="TJF334" s="559"/>
      <c r="TJG334" s="559"/>
      <c r="TJH334" s="559"/>
      <c r="TJI334" s="559"/>
      <c r="TJJ334" s="559"/>
      <c r="TJK334" s="559"/>
      <c r="TJL334" s="559"/>
      <c r="TJM334" s="559"/>
      <c r="TJN334" s="559"/>
      <c r="TJO334" s="559"/>
      <c r="TJP334" s="559"/>
      <c r="TJQ334" s="559"/>
      <c r="TJR334" s="559"/>
      <c r="TJS334" s="559"/>
      <c r="TJT334" s="559"/>
      <c r="TJU334" s="559"/>
      <c r="TJV334" s="559"/>
      <c r="TJW334" s="559"/>
      <c r="TJX334" s="559"/>
      <c r="TJY334" s="559"/>
      <c r="TJZ334" s="559"/>
      <c r="TKA334" s="559"/>
      <c r="TKB334" s="559"/>
      <c r="TKC334" s="559"/>
      <c r="TKD334" s="559"/>
      <c r="TKE334" s="559"/>
      <c r="TKF334" s="559"/>
      <c r="TKG334" s="559"/>
      <c r="TKH334" s="559"/>
      <c r="TKI334" s="559"/>
      <c r="TKJ334" s="559"/>
      <c r="TKK334" s="559"/>
      <c r="TKL334" s="559"/>
      <c r="TKM334" s="559"/>
      <c r="TKN334" s="559"/>
      <c r="TKO334" s="559"/>
      <c r="TKP334" s="559"/>
      <c r="TKQ334" s="559"/>
      <c r="TKR334" s="559"/>
      <c r="TKS334" s="559"/>
      <c r="TKT334" s="559"/>
      <c r="TKU334" s="559"/>
      <c r="TKV334" s="559"/>
      <c r="TKW334" s="559"/>
      <c r="TKX334" s="559"/>
      <c r="TKY334" s="559"/>
      <c r="TKZ334" s="559"/>
      <c r="TLA334" s="559"/>
      <c r="TLB334" s="559"/>
      <c r="TLC334" s="559"/>
      <c r="TLD334" s="559"/>
      <c r="TLE334" s="559"/>
      <c r="TLF334" s="559"/>
      <c r="TLG334" s="559"/>
      <c r="TLH334" s="559"/>
      <c r="TLI334" s="559"/>
      <c r="TLJ334" s="559"/>
      <c r="TLK334" s="559"/>
      <c r="TLL334" s="559"/>
      <c r="TLM334" s="559"/>
      <c r="TLN334" s="559"/>
      <c r="TLO334" s="559"/>
      <c r="TLP334" s="559"/>
      <c r="TLQ334" s="559"/>
      <c r="TLR334" s="559"/>
      <c r="TLS334" s="559"/>
      <c r="TLT334" s="559"/>
      <c r="TLU334" s="559"/>
      <c r="TLV334" s="559"/>
      <c r="TLW334" s="559"/>
      <c r="TLX334" s="559"/>
      <c r="TLY334" s="559"/>
      <c r="TLZ334" s="559"/>
      <c r="TMA334" s="559"/>
      <c r="TMB334" s="559"/>
      <c r="TMC334" s="559"/>
      <c r="TMD334" s="559"/>
      <c r="TME334" s="559"/>
      <c r="TMF334" s="559"/>
      <c r="TMG334" s="559"/>
      <c r="TMH334" s="559"/>
      <c r="TMI334" s="559"/>
      <c r="TMJ334" s="559"/>
      <c r="TMK334" s="559"/>
      <c r="TML334" s="559"/>
      <c r="TMM334" s="559"/>
      <c r="TMN334" s="559"/>
      <c r="TMO334" s="559"/>
      <c r="TMP334" s="559"/>
      <c r="TMQ334" s="559"/>
      <c r="TMR334" s="559"/>
      <c r="TMS334" s="559"/>
      <c r="TMT334" s="559"/>
      <c r="TMU334" s="559"/>
      <c r="TMV334" s="559"/>
      <c r="TMW334" s="559"/>
      <c r="TMX334" s="559"/>
      <c r="TMY334" s="559"/>
      <c r="TMZ334" s="559"/>
      <c r="TNA334" s="559"/>
      <c r="TNB334" s="559"/>
      <c r="TNC334" s="559"/>
      <c r="TND334" s="559"/>
      <c r="TNE334" s="559"/>
      <c r="TNF334" s="559"/>
      <c r="TNG334" s="559"/>
      <c r="TNH334" s="559"/>
      <c r="TNI334" s="559"/>
      <c r="TNJ334" s="559"/>
      <c r="TNK334" s="559"/>
      <c r="TNL334" s="559"/>
      <c r="TNM334" s="559"/>
      <c r="TNN334" s="559"/>
      <c r="TNO334" s="559"/>
      <c r="TNP334" s="559"/>
      <c r="TNQ334" s="559"/>
      <c r="TNR334" s="559"/>
      <c r="TNS334" s="559"/>
      <c r="TNT334" s="559"/>
      <c r="TNU334" s="559"/>
      <c r="TNV334" s="559"/>
      <c r="TNW334" s="559"/>
      <c r="TNX334" s="559"/>
      <c r="TNY334" s="559"/>
      <c r="TNZ334" s="559"/>
      <c r="TOA334" s="559"/>
      <c r="TOB334" s="559"/>
      <c r="TOC334" s="559"/>
      <c r="TOD334" s="559"/>
      <c r="TOE334" s="559"/>
      <c r="TOF334" s="559"/>
      <c r="TOG334" s="559"/>
      <c r="TOH334" s="559"/>
      <c r="TOI334" s="559"/>
      <c r="TOJ334" s="559"/>
      <c r="TOK334" s="559"/>
      <c r="TOL334" s="559"/>
      <c r="TOM334" s="559"/>
      <c r="TON334" s="559"/>
      <c r="TOO334" s="559"/>
      <c r="TOP334" s="559"/>
      <c r="TOQ334" s="559"/>
      <c r="TOR334" s="559"/>
      <c r="TOS334" s="559"/>
      <c r="TOT334" s="559"/>
      <c r="TOU334" s="559"/>
      <c r="TOV334" s="559"/>
      <c r="TOW334" s="559"/>
      <c r="TOX334" s="559"/>
      <c r="TOY334" s="559"/>
      <c r="TOZ334" s="559"/>
      <c r="TPA334" s="559"/>
      <c r="TPB334" s="559"/>
      <c r="TPC334" s="559"/>
      <c r="TPD334" s="559"/>
      <c r="TPE334" s="559"/>
      <c r="TPF334" s="559"/>
      <c r="TPG334" s="559"/>
      <c r="TPH334" s="559"/>
      <c r="TPI334" s="559"/>
      <c r="TPJ334" s="559"/>
      <c r="TPK334" s="559"/>
      <c r="TPL334" s="559"/>
      <c r="TPM334" s="559"/>
      <c r="TPN334" s="559"/>
      <c r="TPO334" s="559"/>
      <c r="TPP334" s="559"/>
      <c r="TPQ334" s="559"/>
      <c r="TPR334" s="559"/>
      <c r="TPS334" s="559"/>
      <c r="TPT334" s="559"/>
      <c r="TPU334" s="559"/>
      <c r="TPV334" s="559"/>
      <c r="TPW334" s="559"/>
      <c r="TPX334" s="559"/>
      <c r="TPY334" s="559"/>
      <c r="TPZ334" s="559"/>
      <c r="TQA334" s="559"/>
      <c r="TQB334" s="559"/>
      <c r="TQC334" s="559"/>
      <c r="TQD334" s="559"/>
      <c r="TQE334" s="559"/>
      <c r="TQF334" s="559"/>
      <c r="TQG334" s="559"/>
      <c r="TQH334" s="559"/>
      <c r="TQI334" s="559"/>
      <c r="TQJ334" s="559"/>
      <c r="TQK334" s="559"/>
      <c r="TQL334" s="559"/>
      <c r="TQM334" s="559"/>
      <c r="TQN334" s="559"/>
      <c r="TQO334" s="559"/>
      <c r="TQP334" s="559"/>
      <c r="TQQ334" s="559"/>
      <c r="TQR334" s="559"/>
      <c r="TQS334" s="559"/>
      <c r="TQT334" s="559"/>
      <c r="TQU334" s="559"/>
      <c r="TQV334" s="559"/>
      <c r="TQW334" s="559"/>
      <c r="TQX334" s="559"/>
      <c r="TQY334" s="559"/>
      <c r="TQZ334" s="559"/>
      <c r="TRA334" s="559"/>
      <c r="TRB334" s="559"/>
      <c r="TRC334" s="559"/>
      <c r="TRD334" s="559"/>
      <c r="TRE334" s="559"/>
      <c r="TRF334" s="559"/>
      <c r="TRG334" s="559"/>
      <c r="TRH334" s="559"/>
      <c r="TRI334" s="559"/>
      <c r="TRJ334" s="559"/>
      <c r="TRK334" s="559"/>
      <c r="TRL334" s="559"/>
      <c r="TRM334" s="559"/>
      <c r="TRN334" s="559"/>
      <c r="TRO334" s="559"/>
      <c r="TRP334" s="559"/>
      <c r="TRQ334" s="559"/>
      <c r="TRR334" s="559"/>
      <c r="TRS334" s="559"/>
      <c r="TRT334" s="559"/>
      <c r="TRU334" s="559"/>
      <c r="TRV334" s="559"/>
      <c r="TRW334" s="559"/>
      <c r="TRX334" s="559"/>
      <c r="TRY334" s="559"/>
      <c r="TRZ334" s="559"/>
      <c r="TSA334" s="559"/>
      <c r="TSB334" s="559"/>
      <c r="TSC334" s="559"/>
      <c r="TSD334" s="559"/>
      <c r="TSE334" s="559"/>
      <c r="TSF334" s="559"/>
      <c r="TSG334" s="559"/>
      <c r="TSH334" s="559"/>
      <c r="TSI334" s="559"/>
      <c r="TSJ334" s="559"/>
      <c r="TSK334" s="559"/>
      <c r="TSL334" s="559"/>
      <c r="TSM334" s="559"/>
      <c r="TSN334" s="559"/>
      <c r="TSO334" s="559"/>
      <c r="TSP334" s="559"/>
      <c r="TSQ334" s="559"/>
      <c r="TSR334" s="559"/>
      <c r="TSS334" s="559"/>
      <c r="TST334" s="559"/>
      <c r="TSU334" s="559"/>
      <c r="TSV334" s="559"/>
      <c r="TSW334" s="559"/>
      <c r="TSX334" s="559"/>
      <c r="TSY334" s="559"/>
      <c r="TSZ334" s="559"/>
      <c r="TTA334" s="559"/>
      <c r="TTB334" s="559"/>
      <c r="TTC334" s="559"/>
      <c r="TTD334" s="559"/>
      <c r="TTE334" s="559"/>
      <c r="TTF334" s="559"/>
      <c r="TTG334" s="559"/>
      <c r="TTH334" s="559"/>
      <c r="TTI334" s="559"/>
      <c r="TTJ334" s="559"/>
      <c r="TTK334" s="559"/>
      <c r="TTL334" s="559"/>
      <c r="TTM334" s="559"/>
      <c r="TTN334" s="559"/>
      <c r="TTO334" s="559"/>
      <c r="TTP334" s="559"/>
      <c r="TTQ334" s="559"/>
      <c r="TTR334" s="559"/>
      <c r="TTS334" s="559"/>
      <c r="TTT334" s="559"/>
      <c r="TTU334" s="559"/>
      <c r="TTV334" s="559"/>
      <c r="TTW334" s="559"/>
      <c r="TTX334" s="559"/>
      <c r="TTY334" s="559"/>
      <c r="TTZ334" s="559"/>
      <c r="TUA334" s="559"/>
      <c r="TUB334" s="559"/>
      <c r="TUC334" s="559"/>
      <c r="TUD334" s="559"/>
      <c r="TUE334" s="559"/>
      <c r="TUF334" s="559"/>
      <c r="TUG334" s="559"/>
      <c r="TUH334" s="559"/>
      <c r="TUI334" s="559"/>
      <c r="TUJ334" s="559"/>
      <c r="TUK334" s="559"/>
      <c r="TUL334" s="559"/>
      <c r="TUM334" s="559"/>
      <c r="TUN334" s="559"/>
      <c r="TUO334" s="559"/>
      <c r="TUP334" s="559"/>
      <c r="TUQ334" s="559"/>
      <c r="TUR334" s="559"/>
      <c r="TUS334" s="559"/>
      <c r="TUT334" s="559"/>
      <c r="TUU334" s="559"/>
      <c r="TUV334" s="559"/>
      <c r="TUW334" s="559"/>
      <c r="TUX334" s="559"/>
      <c r="TUY334" s="559"/>
      <c r="TUZ334" s="559"/>
      <c r="TVA334" s="559"/>
      <c r="TVB334" s="559"/>
      <c r="TVC334" s="559"/>
      <c r="TVD334" s="559"/>
      <c r="TVE334" s="559"/>
      <c r="TVF334" s="559"/>
      <c r="TVG334" s="559"/>
      <c r="TVH334" s="559"/>
      <c r="TVI334" s="559"/>
      <c r="TVJ334" s="559"/>
      <c r="TVK334" s="559"/>
      <c r="TVL334" s="559"/>
      <c r="TVM334" s="559"/>
      <c r="TVN334" s="559"/>
      <c r="TVO334" s="559"/>
      <c r="TVP334" s="559"/>
      <c r="TVQ334" s="559"/>
      <c r="TVR334" s="559"/>
      <c r="TVS334" s="559"/>
      <c r="TVT334" s="559"/>
      <c r="TVU334" s="559"/>
      <c r="TVV334" s="559"/>
      <c r="TVW334" s="559"/>
      <c r="TVX334" s="559"/>
      <c r="TVY334" s="559"/>
      <c r="TVZ334" s="559"/>
      <c r="TWA334" s="559"/>
      <c r="TWB334" s="559"/>
      <c r="TWC334" s="559"/>
      <c r="TWD334" s="559"/>
      <c r="TWE334" s="559"/>
      <c r="TWF334" s="559"/>
      <c r="TWG334" s="559"/>
      <c r="TWH334" s="559"/>
      <c r="TWI334" s="559"/>
      <c r="TWJ334" s="559"/>
      <c r="TWK334" s="559"/>
      <c r="TWL334" s="559"/>
      <c r="TWM334" s="559"/>
      <c r="TWN334" s="559"/>
      <c r="TWO334" s="559"/>
      <c r="TWP334" s="559"/>
      <c r="TWQ334" s="559"/>
      <c r="TWR334" s="559"/>
      <c r="TWS334" s="559"/>
      <c r="TWT334" s="559"/>
      <c r="TWU334" s="559"/>
      <c r="TWV334" s="559"/>
      <c r="TWW334" s="559"/>
      <c r="TWX334" s="559"/>
      <c r="TWY334" s="559"/>
      <c r="TWZ334" s="559"/>
      <c r="TXA334" s="559"/>
      <c r="TXB334" s="559"/>
      <c r="TXC334" s="559"/>
      <c r="TXD334" s="559"/>
      <c r="TXE334" s="559"/>
      <c r="TXF334" s="559"/>
      <c r="TXG334" s="559"/>
      <c r="TXH334" s="559"/>
      <c r="TXI334" s="559"/>
      <c r="TXJ334" s="559"/>
      <c r="TXK334" s="559"/>
      <c r="TXL334" s="559"/>
      <c r="TXM334" s="559"/>
      <c r="TXN334" s="559"/>
      <c r="TXO334" s="559"/>
      <c r="TXP334" s="559"/>
      <c r="TXQ334" s="559"/>
      <c r="TXR334" s="559"/>
      <c r="TXS334" s="559"/>
      <c r="TXT334" s="559"/>
      <c r="TXU334" s="559"/>
      <c r="TXV334" s="559"/>
      <c r="TXW334" s="559"/>
      <c r="TXX334" s="559"/>
      <c r="TXY334" s="559"/>
      <c r="TXZ334" s="559"/>
      <c r="TYA334" s="559"/>
      <c r="TYB334" s="559"/>
      <c r="TYC334" s="559"/>
      <c r="TYD334" s="559"/>
      <c r="TYE334" s="559"/>
      <c r="TYF334" s="559"/>
      <c r="TYG334" s="559"/>
      <c r="TYH334" s="559"/>
      <c r="TYI334" s="559"/>
      <c r="TYJ334" s="559"/>
      <c r="TYK334" s="559"/>
      <c r="TYL334" s="559"/>
      <c r="TYM334" s="559"/>
      <c r="TYN334" s="559"/>
      <c r="TYO334" s="559"/>
      <c r="TYP334" s="559"/>
      <c r="TYQ334" s="559"/>
      <c r="TYR334" s="559"/>
      <c r="TYS334" s="559"/>
      <c r="TYT334" s="559"/>
      <c r="TYU334" s="559"/>
      <c r="TYV334" s="559"/>
      <c r="TYW334" s="559"/>
      <c r="TYX334" s="559"/>
      <c r="TYY334" s="559"/>
      <c r="TYZ334" s="559"/>
      <c r="TZA334" s="559"/>
      <c r="TZB334" s="559"/>
      <c r="TZC334" s="559"/>
      <c r="TZD334" s="559"/>
      <c r="TZE334" s="559"/>
      <c r="TZF334" s="559"/>
      <c r="TZG334" s="559"/>
      <c r="TZH334" s="559"/>
      <c r="TZI334" s="559"/>
      <c r="TZJ334" s="559"/>
      <c r="TZK334" s="559"/>
      <c r="TZL334" s="559"/>
      <c r="TZM334" s="559"/>
      <c r="TZN334" s="559"/>
      <c r="TZO334" s="559"/>
      <c r="TZP334" s="559"/>
      <c r="TZQ334" s="559"/>
      <c r="TZR334" s="559"/>
      <c r="TZS334" s="559"/>
      <c r="TZT334" s="559"/>
      <c r="TZU334" s="559"/>
      <c r="TZV334" s="559"/>
      <c r="TZW334" s="559"/>
      <c r="TZX334" s="559"/>
      <c r="TZY334" s="559"/>
      <c r="TZZ334" s="559"/>
      <c r="UAA334" s="559"/>
      <c r="UAB334" s="559"/>
      <c r="UAC334" s="559"/>
      <c r="UAD334" s="559"/>
      <c r="UAE334" s="559"/>
      <c r="UAF334" s="559"/>
      <c r="UAG334" s="559"/>
      <c r="UAH334" s="559"/>
      <c r="UAI334" s="559"/>
      <c r="UAJ334" s="559"/>
      <c r="UAK334" s="559"/>
      <c r="UAL334" s="559"/>
      <c r="UAM334" s="559"/>
      <c r="UAN334" s="559"/>
      <c r="UAO334" s="559"/>
      <c r="UAP334" s="559"/>
      <c r="UAQ334" s="559"/>
      <c r="UAR334" s="559"/>
      <c r="UAS334" s="559"/>
      <c r="UAT334" s="559"/>
      <c r="UAU334" s="559"/>
      <c r="UAV334" s="559"/>
      <c r="UAW334" s="559"/>
      <c r="UAX334" s="559"/>
      <c r="UAY334" s="559"/>
      <c r="UAZ334" s="559"/>
      <c r="UBA334" s="559"/>
      <c r="UBB334" s="559"/>
      <c r="UBC334" s="559"/>
      <c r="UBD334" s="559"/>
      <c r="UBE334" s="559"/>
      <c r="UBF334" s="559"/>
      <c r="UBG334" s="559"/>
      <c r="UBH334" s="559"/>
      <c r="UBI334" s="559"/>
      <c r="UBJ334" s="559"/>
      <c r="UBK334" s="559"/>
      <c r="UBL334" s="559"/>
      <c r="UBM334" s="559"/>
      <c r="UBN334" s="559"/>
      <c r="UBO334" s="559"/>
      <c r="UBP334" s="559"/>
      <c r="UBQ334" s="559"/>
      <c r="UBR334" s="559"/>
      <c r="UBS334" s="559"/>
      <c r="UBT334" s="559"/>
      <c r="UBU334" s="559"/>
      <c r="UBV334" s="559"/>
      <c r="UBW334" s="559"/>
      <c r="UBX334" s="559"/>
      <c r="UBY334" s="559"/>
      <c r="UBZ334" s="559"/>
      <c r="UCA334" s="559"/>
      <c r="UCB334" s="559"/>
      <c r="UCC334" s="559"/>
      <c r="UCD334" s="559"/>
      <c r="UCE334" s="559"/>
      <c r="UCF334" s="559"/>
      <c r="UCG334" s="559"/>
      <c r="UCH334" s="559"/>
      <c r="UCI334" s="559"/>
      <c r="UCJ334" s="559"/>
      <c r="UCK334" s="559"/>
      <c r="UCL334" s="559"/>
      <c r="UCM334" s="559"/>
      <c r="UCN334" s="559"/>
      <c r="UCO334" s="559"/>
      <c r="UCP334" s="559"/>
      <c r="UCQ334" s="559"/>
      <c r="UCR334" s="559"/>
      <c r="UCS334" s="559"/>
      <c r="UCT334" s="559"/>
      <c r="UCU334" s="559"/>
      <c r="UCV334" s="559"/>
      <c r="UCW334" s="559"/>
      <c r="UCX334" s="559"/>
      <c r="UCY334" s="559"/>
      <c r="UCZ334" s="559"/>
      <c r="UDA334" s="559"/>
      <c r="UDB334" s="559"/>
      <c r="UDC334" s="559"/>
      <c r="UDD334" s="559"/>
      <c r="UDE334" s="559"/>
      <c r="UDF334" s="559"/>
      <c r="UDG334" s="559"/>
      <c r="UDH334" s="559"/>
      <c r="UDI334" s="559"/>
      <c r="UDJ334" s="559"/>
      <c r="UDK334" s="559"/>
      <c r="UDL334" s="559"/>
      <c r="UDM334" s="559"/>
      <c r="UDN334" s="559"/>
      <c r="UDO334" s="559"/>
      <c r="UDP334" s="559"/>
      <c r="UDQ334" s="559"/>
      <c r="UDR334" s="559"/>
      <c r="UDS334" s="559"/>
      <c r="UDT334" s="559"/>
      <c r="UDU334" s="559"/>
      <c r="UDV334" s="559"/>
      <c r="UDW334" s="559"/>
      <c r="UDX334" s="559"/>
      <c r="UDY334" s="559"/>
      <c r="UDZ334" s="559"/>
      <c r="UEA334" s="559"/>
      <c r="UEB334" s="559"/>
      <c r="UEC334" s="559"/>
      <c r="UED334" s="559"/>
      <c r="UEE334" s="559"/>
      <c r="UEF334" s="559"/>
      <c r="UEG334" s="559"/>
      <c r="UEH334" s="559"/>
      <c r="UEI334" s="559"/>
      <c r="UEJ334" s="559"/>
      <c r="UEK334" s="559"/>
      <c r="UEL334" s="559"/>
      <c r="UEM334" s="559"/>
      <c r="UEN334" s="559"/>
      <c r="UEO334" s="559"/>
      <c r="UEP334" s="559"/>
      <c r="UEQ334" s="559"/>
      <c r="UER334" s="559"/>
      <c r="UES334" s="559"/>
      <c r="UET334" s="559"/>
      <c r="UEU334" s="559"/>
      <c r="UEV334" s="559"/>
      <c r="UEW334" s="559"/>
      <c r="UEX334" s="559"/>
      <c r="UEY334" s="559"/>
      <c r="UEZ334" s="559"/>
      <c r="UFA334" s="559"/>
      <c r="UFB334" s="559"/>
      <c r="UFC334" s="559"/>
      <c r="UFD334" s="559"/>
      <c r="UFE334" s="559"/>
      <c r="UFF334" s="559"/>
      <c r="UFG334" s="559"/>
      <c r="UFH334" s="559"/>
      <c r="UFI334" s="559"/>
      <c r="UFJ334" s="559"/>
      <c r="UFK334" s="559"/>
      <c r="UFL334" s="559"/>
      <c r="UFM334" s="559"/>
      <c r="UFN334" s="559"/>
      <c r="UFO334" s="559"/>
      <c r="UFP334" s="559"/>
      <c r="UFQ334" s="559"/>
      <c r="UFR334" s="559"/>
      <c r="UFS334" s="559"/>
      <c r="UFT334" s="559"/>
      <c r="UFU334" s="559"/>
      <c r="UFV334" s="559"/>
      <c r="UFW334" s="559"/>
      <c r="UFX334" s="559"/>
      <c r="UFY334" s="559"/>
      <c r="UFZ334" s="559"/>
      <c r="UGA334" s="559"/>
      <c r="UGB334" s="559"/>
      <c r="UGC334" s="559"/>
      <c r="UGD334" s="559"/>
      <c r="UGE334" s="559"/>
      <c r="UGF334" s="559"/>
      <c r="UGG334" s="559"/>
      <c r="UGH334" s="559"/>
      <c r="UGI334" s="559"/>
      <c r="UGJ334" s="559"/>
      <c r="UGK334" s="559"/>
      <c r="UGL334" s="559"/>
      <c r="UGM334" s="559"/>
      <c r="UGN334" s="559"/>
      <c r="UGO334" s="559"/>
      <c r="UGP334" s="559"/>
      <c r="UGQ334" s="559"/>
      <c r="UGR334" s="559"/>
      <c r="UGS334" s="559"/>
      <c r="UGT334" s="559"/>
      <c r="UGU334" s="559"/>
      <c r="UGV334" s="559"/>
      <c r="UGW334" s="559"/>
      <c r="UGX334" s="559"/>
      <c r="UGY334" s="559"/>
      <c r="UGZ334" s="559"/>
      <c r="UHA334" s="559"/>
      <c r="UHB334" s="559"/>
      <c r="UHC334" s="559"/>
      <c r="UHD334" s="559"/>
      <c r="UHE334" s="559"/>
      <c r="UHF334" s="559"/>
      <c r="UHG334" s="559"/>
      <c r="UHH334" s="559"/>
      <c r="UHI334" s="559"/>
      <c r="UHJ334" s="559"/>
      <c r="UHK334" s="559"/>
      <c r="UHL334" s="559"/>
      <c r="UHM334" s="559"/>
      <c r="UHN334" s="559"/>
      <c r="UHO334" s="559"/>
      <c r="UHP334" s="559"/>
      <c r="UHQ334" s="559"/>
      <c r="UHR334" s="559"/>
      <c r="UHS334" s="559"/>
      <c r="UHT334" s="559"/>
      <c r="UHU334" s="559"/>
      <c r="UHV334" s="559"/>
      <c r="UHW334" s="559"/>
      <c r="UHX334" s="559"/>
      <c r="UHY334" s="559"/>
      <c r="UHZ334" s="559"/>
      <c r="UIA334" s="559"/>
      <c r="UIB334" s="559"/>
      <c r="UIC334" s="559"/>
      <c r="UID334" s="559"/>
      <c r="UIE334" s="559"/>
      <c r="UIF334" s="559"/>
      <c r="UIG334" s="559"/>
      <c r="UIH334" s="559"/>
      <c r="UII334" s="559"/>
      <c r="UIJ334" s="559"/>
      <c r="UIK334" s="559"/>
      <c r="UIL334" s="559"/>
      <c r="UIM334" s="559"/>
      <c r="UIN334" s="559"/>
      <c r="UIO334" s="559"/>
      <c r="UIP334" s="559"/>
      <c r="UIQ334" s="559"/>
      <c r="UIR334" s="559"/>
      <c r="UIS334" s="559"/>
      <c r="UIT334" s="559"/>
      <c r="UIU334" s="559"/>
      <c r="UIV334" s="559"/>
      <c r="UIW334" s="559"/>
      <c r="UIX334" s="559"/>
      <c r="UIY334" s="559"/>
      <c r="UIZ334" s="559"/>
      <c r="UJA334" s="559"/>
      <c r="UJB334" s="559"/>
      <c r="UJC334" s="559"/>
      <c r="UJD334" s="559"/>
      <c r="UJE334" s="559"/>
      <c r="UJF334" s="559"/>
      <c r="UJG334" s="559"/>
      <c r="UJH334" s="559"/>
      <c r="UJI334" s="559"/>
      <c r="UJJ334" s="559"/>
      <c r="UJK334" s="559"/>
      <c r="UJL334" s="559"/>
      <c r="UJM334" s="559"/>
      <c r="UJN334" s="559"/>
      <c r="UJO334" s="559"/>
      <c r="UJP334" s="559"/>
      <c r="UJQ334" s="559"/>
      <c r="UJR334" s="559"/>
      <c r="UJS334" s="559"/>
      <c r="UJT334" s="559"/>
      <c r="UJU334" s="559"/>
      <c r="UJV334" s="559"/>
      <c r="UJW334" s="559"/>
      <c r="UJX334" s="559"/>
      <c r="UJY334" s="559"/>
      <c r="UJZ334" s="559"/>
      <c r="UKA334" s="559"/>
      <c r="UKB334" s="559"/>
      <c r="UKC334" s="559"/>
      <c r="UKD334" s="559"/>
      <c r="UKE334" s="559"/>
      <c r="UKF334" s="559"/>
      <c r="UKG334" s="559"/>
      <c r="UKH334" s="559"/>
      <c r="UKI334" s="559"/>
      <c r="UKJ334" s="559"/>
      <c r="UKK334" s="559"/>
      <c r="UKL334" s="559"/>
      <c r="UKM334" s="559"/>
      <c r="UKN334" s="559"/>
      <c r="UKO334" s="559"/>
      <c r="UKP334" s="559"/>
      <c r="UKQ334" s="559"/>
      <c r="UKR334" s="559"/>
      <c r="UKS334" s="559"/>
      <c r="UKT334" s="559"/>
      <c r="UKU334" s="559"/>
      <c r="UKV334" s="559"/>
      <c r="UKW334" s="559"/>
      <c r="UKX334" s="559"/>
      <c r="UKY334" s="559"/>
      <c r="UKZ334" s="559"/>
      <c r="ULA334" s="559"/>
      <c r="ULB334" s="559"/>
      <c r="ULC334" s="559"/>
      <c r="ULD334" s="559"/>
      <c r="ULE334" s="559"/>
      <c r="ULF334" s="559"/>
      <c r="ULG334" s="559"/>
      <c r="ULH334" s="559"/>
      <c r="ULI334" s="559"/>
      <c r="ULJ334" s="559"/>
      <c r="ULK334" s="559"/>
      <c r="ULL334" s="559"/>
      <c r="ULM334" s="559"/>
      <c r="ULN334" s="559"/>
      <c r="ULO334" s="559"/>
      <c r="ULP334" s="559"/>
      <c r="ULQ334" s="559"/>
      <c r="ULR334" s="559"/>
      <c r="ULS334" s="559"/>
      <c r="ULT334" s="559"/>
      <c r="ULU334" s="559"/>
      <c r="ULV334" s="559"/>
      <c r="ULW334" s="559"/>
      <c r="ULX334" s="559"/>
      <c r="ULY334" s="559"/>
      <c r="ULZ334" s="559"/>
      <c r="UMA334" s="559"/>
      <c r="UMB334" s="559"/>
      <c r="UMC334" s="559"/>
      <c r="UMD334" s="559"/>
      <c r="UME334" s="559"/>
      <c r="UMF334" s="559"/>
      <c r="UMG334" s="559"/>
      <c r="UMH334" s="559"/>
      <c r="UMI334" s="559"/>
      <c r="UMJ334" s="559"/>
      <c r="UMK334" s="559"/>
      <c r="UML334" s="559"/>
      <c r="UMM334" s="559"/>
      <c r="UMN334" s="559"/>
      <c r="UMO334" s="559"/>
      <c r="UMP334" s="559"/>
      <c r="UMQ334" s="559"/>
      <c r="UMR334" s="559"/>
      <c r="UMS334" s="559"/>
      <c r="UMT334" s="559"/>
      <c r="UMU334" s="559"/>
      <c r="UMV334" s="559"/>
      <c r="UMW334" s="559"/>
      <c r="UMX334" s="559"/>
      <c r="UMY334" s="559"/>
      <c r="UMZ334" s="559"/>
      <c r="UNA334" s="559"/>
      <c r="UNB334" s="559"/>
      <c r="UNC334" s="559"/>
      <c r="UND334" s="559"/>
      <c r="UNE334" s="559"/>
      <c r="UNF334" s="559"/>
      <c r="UNG334" s="559"/>
      <c r="UNH334" s="559"/>
      <c r="UNI334" s="559"/>
      <c r="UNJ334" s="559"/>
      <c r="UNK334" s="559"/>
      <c r="UNL334" s="559"/>
      <c r="UNM334" s="559"/>
      <c r="UNN334" s="559"/>
      <c r="UNO334" s="559"/>
      <c r="UNP334" s="559"/>
      <c r="UNQ334" s="559"/>
      <c r="UNR334" s="559"/>
      <c r="UNS334" s="559"/>
      <c r="UNT334" s="559"/>
      <c r="UNU334" s="559"/>
      <c r="UNV334" s="559"/>
      <c r="UNW334" s="559"/>
      <c r="UNX334" s="559"/>
      <c r="UNY334" s="559"/>
      <c r="UNZ334" s="559"/>
      <c r="UOA334" s="559"/>
      <c r="UOB334" s="559"/>
      <c r="UOC334" s="559"/>
      <c r="UOD334" s="559"/>
      <c r="UOE334" s="559"/>
      <c r="UOF334" s="559"/>
      <c r="UOG334" s="559"/>
      <c r="UOH334" s="559"/>
      <c r="UOI334" s="559"/>
      <c r="UOJ334" s="559"/>
      <c r="UOK334" s="559"/>
      <c r="UOL334" s="559"/>
      <c r="UOM334" s="559"/>
      <c r="UON334" s="559"/>
      <c r="UOO334" s="559"/>
      <c r="UOP334" s="559"/>
      <c r="UOQ334" s="559"/>
      <c r="UOR334" s="559"/>
      <c r="UOS334" s="559"/>
      <c r="UOT334" s="559"/>
      <c r="UOU334" s="559"/>
      <c r="UOV334" s="559"/>
      <c r="UOW334" s="559"/>
      <c r="UOX334" s="559"/>
      <c r="UOY334" s="559"/>
      <c r="UOZ334" s="559"/>
      <c r="UPA334" s="559"/>
      <c r="UPB334" s="559"/>
      <c r="UPC334" s="559"/>
      <c r="UPD334" s="559"/>
      <c r="UPE334" s="559"/>
      <c r="UPF334" s="559"/>
      <c r="UPG334" s="559"/>
      <c r="UPH334" s="559"/>
      <c r="UPI334" s="559"/>
      <c r="UPJ334" s="559"/>
      <c r="UPK334" s="559"/>
      <c r="UPL334" s="559"/>
      <c r="UPM334" s="559"/>
      <c r="UPN334" s="559"/>
      <c r="UPO334" s="559"/>
      <c r="UPP334" s="559"/>
      <c r="UPQ334" s="559"/>
      <c r="UPR334" s="559"/>
      <c r="UPS334" s="559"/>
      <c r="UPT334" s="559"/>
      <c r="UPU334" s="559"/>
      <c r="UPV334" s="559"/>
      <c r="UPW334" s="559"/>
      <c r="UPX334" s="559"/>
      <c r="UPY334" s="559"/>
      <c r="UPZ334" s="559"/>
      <c r="UQA334" s="559"/>
      <c r="UQB334" s="559"/>
      <c r="UQC334" s="559"/>
      <c r="UQD334" s="559"/>
      <c r="UQE334" s="559"/>
      <c r="UQF334" s="559"/>
      <c r="UQG334" s="559"/>
      <c r="UQH334" s="559"/>
      <c r="UQI334" s="559"/>
      <c r="UQJ334" s="559"/>
      <c r="UQK334" s="559"/>
      <c r="UQL334" s="559"/>
      <c r="UQM334" s="559"/>
      <c r="UQN334" s="559"/>
      <c r="UQO334" s="559"/>
      <c r="UQP334" s="559"/>
      <c r="UQQ334" s="559"/>
      <c r="UQR334" s="559"/>
      <c r="UQS334" s="559"/>
      <c r="UQT334" s="559"/>
      <c r="UQU334" s="559"/>
      <c r="UQV334" s="559"/>
      <c r="UQW334" s="559"/>
      <c r="UQX334" s="559"/>
      <c r="UQY334" s="559"/>
      <c r="UQZ334" s="559"/>
      <c r="URA334" s="559"/>
      <c r="URB334" s="559"/>
      <c r="URC334" s="559"/>
      <c r="URD334" s="559"/>
      <c r="URE334" s="559"/>
      <c r="URF334" s="559"/>
      <c r="URG334" s="559"/>
      <c r="URH334" s="559"/>
      <c r="URI334" s="559"/>
      <c r="URJ334" s="559"/>
      <c r="URK334" s="559"/>
      <c r="URL334" s="559"/>
      <c r="URM334" s="559"/>
      <c r="URN334" s="559"/>
      <c r="URO334" s="559"/>
      <c r="URP334" s="559"/>
      <c r="URQ334" s="559"/>
      <c r="URR334" s="559"/>
      <c r="URS334" s="559"/>
      <c r="URT334" s="559"/>
      <c r="URU334" s="559"/>
      <c r="URV334" s="559"/>
      <c r="URW334" s="559"/>
      <c r="URX334" s="559"/>
      <c r="URY334" s="559"/>
      <c r="URZ334" s="559"/>
      <c r="USA334" s="559"/>
      <c r="USB334" s="559"/>
      <c r="USC334" s="559"/>
      <c r="USD334" s="559"/>
      <c r="USE334" s="559"/>
      <c r="USF334" s="559"/>
      <c r="USG334" s="559"/>
      <c r="USH334" s="559"/>
      <c r="USI334" s="559"/>
      <c r="USJ334" s="559"/>
      <c r="USK334" s="559"/>
      <c r="USL334" s="559"/>
      <c r="USM334" s="559"/>
      <c r="USN334" s="559"/>
      <c r="USO334" s="559"/>
      <c r="USP334" s="559"/>
      <c r="USQ334" s="559"/>
      <c r="USR334" s="559"/>
      <c r="USS334" s="559"/>
      <c r="UST334" s="559"/>
      <c r="USU334" s="559"/>
      <c r="USV334" s="559"/>
      <c r="USW334" s="559"/>
      <c r="USX334" s="559"/>
      <c r="USY334" s="559"/>
      <c r="USZ334" s="559"/>
      <c r="UTA334" s="559"/>
      <c r="UTB334" s="559"/>
      <c r="UTC334" s="559"/>
      <c r="UTD334" s="559"/>
      <c r="UTE334" s="559"/>
      <c r="UTF334" s="559"/>
      <c r="UTG334" s="559"/>
      <c r="UTH334" s="559"/>
      <c r="UTI334" s="559"/>
      <c r="UTJ334" s="559"/>
      <c r="UTK334" s="559"/>
      <c r="UTL334" s="559"/>
      <c r="UTM334" s="559"/>
      <c r="UTN334" s="559"/>
      <c r="UTO334" s="559"/>
      <c r="UTP334" s="559"/>
      <c r="UTQ334" s="559"/>
      <c r="UTR334" s="559"/>
      <c r="UTS334" s="559"/>
      <c r="UTT334" s="559"/>
      <c r="UTU334" s="559"/>
      <c r="UTV334" s="559"/>
      <c r="UTW334" s="559"/>
      <c r="UTX334" s="559"/>
      <c r="UTY334" s="559"/>
      <c r="UTZ334" s="559"/>
      <c r="UUA334" s="559"/>
      <c r="UUB334" s="559"/>
      <c r="UUC334" s="559"/>
      <c r="UUD334" s="559"/>
      <c r="UUE334" s="559"/>
      <c r="UUF334" s="559"/>
      <c r="UUG334" s="559"/>
      <c r="UUH334" s="559"/>
      <c r="UUI334" s="559"/>
      <c r="UUJ334" s="559"/>
      <c r="UUK334" s="559"/>
      <c r="UUL334" s="559"/>
      <c r="UUM334" s="559"/>
      <c r="UUN334" s="559"/>
      <c r="UUO334" s="559"/>
      <c r="UUP334" s="559"/>
      <c r="UUQ334" s="559"/>
      <c r="UUR334" s="559"/>
      <c r="UUS334" s="559"/>
      <c r="UUT334" s="559"/>
      <c r="UUU334" s="559"/>
      <c r="UUV334" s="559"/>
      <c r="UUW334" s="559"/>
      <c r="UUX334" s="559"/>
      <c r="UUY334" s="559"/>
      <c r="UUZ334" s="559"/>
      <c r="UVA334" s="559"/>
      <c r="UVB334" s="559"/>
      <c r="UVC334" s="559"/>
      <c r="UVD334" s="559"/>
      <c r="UVE334" s="559"/>
      <c r="UVF334" s="559"/>
      <c r="UVG334" s="559"/>
      <c r="UVH334" s="559"/>
      <c r="UVI334" s="559"/>
      <c r="UVJ334" s="559"/>
      <c r="UVK334" s="559"/>
      <c r="UVL334" s="559"/>
      <c r="UVM334" s="559"/>
      <c r="UVN334" s="559"/>
      <c r="UVO334" s="559"/>
      <c r="UVP334" s="559"/>
      <c r="UVQ334" s="559"/>
      <c r="UVR334" s="559"/>
      <c r="UVS334" s="559"/>
      <c r="UVT334" s="559"/>
      <c r="UVU334" s="559"/>
      <c r="UVV334" s="559"/>
      <c r="UVW334" s="559"/>
      <c r="UVX334" s="559"/>
      <c r="UVY334" s="559"/>
      <c r="UVZ334" s="559"/>
      <c r="UWA334" s="559"/>
      <c r="UWB334" s="559"/>
      <c r="UWC334" s="559"/>
      <c r="UWD334" s="559"/>
      <c r="UWE334" s="559"/>
      <c r="UWF334" s="559"/>
      <c r="UWG334" s="559"/>
      <c r="UWH334" s="559"/>
      <c r="UWI334" s="559"/>
      <c r="UWJ334" s="559"/>
      <c r="UWK334" s="559"/>
      <c r="UWL334" s="559"/>
      <c r="UWM334" s="559"/>
      <c r="UWN334" s="559"/>
      <c r="UWO334" s="559"/>
      <c r="UWP334" s="559"/>
      <c r="UWQ334" s="559"/>
      <c r="UWR334" s="559"/>
      <c r="UWS334" s="559"/>
      <c r="UWT334" s="559"/>
      <c r="UWU334" s="559"/>
      <c r="UWV334" s="559"/>
      <c r="UWW334" s="559"/>
      <c r="UWX334" s="559"/>
      <c r="UWY334" s="559"/>
      <c r="UWZ334" s="559"/>
      <c r="UXA334" s="559"/>
      <c r="UXB334" s="559"/>
      <c r="UXC334" s="559"/>
      <c r="UXD334" s="559"/>
      <c r="UXE334" s="559"/>
      <c r="UXF334" s="559"/>
      <c r="UXG334" s="559"/>
      <c r="UXH334" s="559"/>
      <c r="UXI334" s="559"/>
      <c r="UXJ334" s="559"/>
      <c r="UXK334" s="559"/>
      <c r="UXL334" s="559"/>
      <c r="UXM334" s="559"/>
      <c r="UXN334" s="559"/>
      <c r="UXO334" s="559"/>
      <c r="UXP334" s="559"/>
      <c r="UXQ334" s="559"/>
      <c r="UXR334" s="559"/>
      <c r="UXS334" s="559"/>
      <c r="UXT334" s="559"/>
      <c r="UXU334" s="559"/>
      <c r="UXV334" s="559"/>
      <c r="UXW334" s="559"/>
      <c r="UXX334" s="559"/>
      <c r="UXY334" s="559"/>
      <c r="UXZ334" s="559"/>
      <c r="UYA334" s="559"/>
      <c r="UYB334" s="559"/>
      <c r="UYC334" s="559"/>
      <c r="UYD334" s="559"/>
      <c r="UYE334" s="559"/>
      <c r="UYF334" s="559"/>
      <c r="UYG334" s="559"/>
      <c r="UYH334" s="559"/>
      <c r="UYI334" s="559"/>
      <c r="UYJ334" s="559"/>
      <c r="UYK334" s="559"/>
      <c r="UYL334" s="559"/>
      <c r="UYM334" s="559"/>
      <c r="UYN334" s="559"/>
      <c r="UYO334" s="559"/>
      <c r="UYP334" s="559"/>
      <c r="UYQ334" s="559"/>
      <c r="UYR334" s="559"/>
      <c r="UYS334" s="559"/>
      <c r="UYT334" s="559"/>
      <c r="UYU334" s="559"/>
      <c r="UYV334" s="559"/>
      <c r="UYW334" s="559"/>
      <c r="UYX334" s="559"/>
      <c r="UYY334" s="559"/>
      <c r="UYZ334" s="559"/>
      <c r="UZA334" s="559"/>
      <c r="UZB334" s="559"/>
      <c r="UZC334" s="559"/>
      <c r="UZD334" s="559"/>
      <c r="UZE334" s="559"/>
      <c r="UZF334" s="559"/>
      <c r="UZG334" s="559"/>
      <c r="UZH334" s="559"/>
      <c r="UZI334" s="559"/>
      <c r="UZJ334" s="559"/>
      <c r="UZK334" s="559"/>
      <c r="UZL334" s="559"/>
      <c r="UZM334" s="559"/>
      <c r="UZN334" s="559"/>
      <c r="UZO334" s="559"/>
      <c r="UZP334" s="559"/>
      <c r="UZQ334" s="559"/>
      <c r="UZR334" s="559"/>
      <c r="UZS334" s="559"/>
      <c r="UZT334" s="559"/>
      <c r="UZU334" s="559"/>
      <c r="UZV334" s="559"/>
      <c r="UZW334" s="559"/>
      <c r="UZX334" s="559"/>
      <c r="UZY334" s="559"/>
      <c r="UZZ334" s="559"/>
      <c r="VAA334" s="559"/>
      <c r="VAB334" s="559"/>
      <c r="VAC334" s="559"/>
      <c r="VAD334" s="559"/>
      <c r="VAE334" s="559"/>
      <c r="VAF334" s="559"/>
      <c r="VAG334" s="559"/>
      <c r="VAH334" s="559"/>
      <c r="VAI334" s="559"/>
      <c r="VAJ334" s="559"/>
      <c r="VAK334" s="559"/>
      <c r="VAL334" s="559"/>
      <c r="VAM334" s="559"/>
      <c r="VAN334" s="559"/>
      <c r="VAO334" s="559"/>
      <c r="VAP334" s="559"/>
      <c r="VAQ334" s="559"/>
      <c r="VAR334" s="559"/>
      <c r="VAS334" s="559"/>
      <c r="VAT334" s="559"/>
      <c r="VAU334" s="559"/>
      <c r="VAV334" s="559"/>
      <c r="VAW334" s="559"/>
      <c r="VAX334" s="559"/>
      <c r="VAY334" s="559"/>
      <c r="VAZ334" s="559"/>
      <c r="VBA334" s="559"/>
      <c r="VBB334" s="559"/>
      <c r="VBC334" s="559"/>
      <c r="VBD334" s="559"/>
      <c r="VBE334" s="559"/>
      <c r="VBF334" s="559"/>
      <c r="VBG334" s="559"/>
      <c r="VBH334" s="559"/>
      <c r="VBI334" s="559"/>
      <c r="VBJ334" s="559"/>
      <c r="VBK334" s="559"/>
      <c r="VBL334" s="559"/>
      <c r="VBM334" s="559"/>
      <c r="VBN334" s="559"/>
      <c r="VBO334" s="559"/>
      <c r="VBP334" s="559"/>
      <c r="VBQ334" s="559"/>
      <c r="VBR334" s="559"/>
      <c r="VBS334" s="559"/>
      <c r="VBT334" s="559"/>
      <c r="VBU334" s="559"/>
      <c r="VBV334" s="559"/>
      <c r="VBW334" s="559"/>
      <c r="VBX334" s="559"/>
      <c r="VBY334" s="559"/>
      <c r="VBZ334" s="559"/>
      <c r="VCA334" s="559"/>
      <c r="VCB334" s="559"/>
      <c r="VCC334" s="559"/>
      <c r="VCD334" s="559"/>
      <c r="VCE334" s="559"/>
      <c r="VCF334" s="559"/>
      <c r="VCG334" s="559"/>
      <c r="VCH334" s="559"/>
      <c r="VCI334" s="559"/>
      <c r="VCJ334" s="559"/>
      <c r="VCK334" s="559"/>
      <c r="VCL334" s="559"/>
      <c r="VCM334" s="559"/>
      <c r="VCN334" s="559"/>
      <c r="VCO334" s="559"/>
      <c r="VCP334" s="559"/>
      <c r="VCQ334" s="559"/>
      <c r="VCR334" s="559"/>
      <c r="VCS334" s="559"/>
      <c r="VCT334" s="559"/>
      <c r="VCU334" s="559"/>
      <c r="VCV334" s="559"/>
      <c r="VCW334" s="559"/>
      <c r="VCX334" s="559"/>
      <c r="VCY334" s="559"/>
      <c r="VCZ334" s="559"/>
      <c r="VDA334" s="559"/>
      <c r="VDB334" s="559"/>
      <c r="VDC334" s="559"/>
      <c r="VDD334" s="559"/>
      <c r="VDE334" s="559"/>
      <c r="VDF334" s="559"/>
      <c r="VDG334" s="559"/>
      <c r="VDH334" s="559"/>
      <c r="VDI334" s="559"/>
      <c r="VDJ334" s="559"/>
      <c r="VDK334" s="559"/>
      <c r="VDL334" s="559"/>
      <c r="VDM334" s="559"/>
      <c r="VDN334" s="559"/>
      <c r="VDO334" s="559"/>
      <c r="VDP334" s="559"/>
      <c r="VDQ334" s="559"/>
      <c r="VDR334" s="559"/>
      <c r="VDS334" s="559"/>
      <c r="VDT334" s="559"/>
      <c r="VDU334" s="559"/>
      <c r="VDV334" s="559"/>
      <c r="VDW334" s="559"/>
      <c r="VDX334" s="559"/>
      <c r="VDY334" s="559"/>
      <c r="VDZ334" s="559"/>
      <c r="VEA334" s="559"/>
      <c r="VEB334" s="559"/>
      <c r="VEC334" s="559"/>
      <c r="VED334" s="559"/>
      <c r="VEE334" s="559"/>
      <c r="VEF334" s="559"/>
      <c r="VEG334" s="559"/>
      <c r="VEH334" s="559"/>
      <c r="VEI334" s="559"/>
      <c r="VEJ334" s="559"/>
      <c r="VEK334" s="559"/>
      <c r="VEL334" s="559"/>
      <c r="VEM334" s="559"/>
      <c r="VEN334" s="559"/>
      <c r="VEO334" s="559"/>
      <c r="VEP334" s="559"/>
      <c r="VEQ334" s="559"/>
      <c r="VER334" s="559"/>
      <c r="VES334" s="559"/>
      <c r="VET334" s="559"/>
      <c r="VEU334" s="559"/>
      <c r="VEV334" s="559"/>
      <c r="VEW334" s="559"/>
      <c r="VEX334" s="559"/>
      <c r="VEY334" s="559"/>
      <c r="VEZ334" s="559"/>
      <c r="VFA334" s="559"/>
      <c r="VFB334" s="559"/>
      <c r="VFC334" s="559"/>
      <c r="VFD334" s="559"/>
      <c r="VFE334" s="559"/>
      <c r="VFF334" s="559"/>
      <c r="VFG334" s="559"/>
      <c r="VFH334" s="559"/>
      <c r="VFI334" s="559"/>
      <c r="VFJ334" s="559"/>
      <c r="VFK334" s="559"/>
      <c r="VFL334" s="559"/>
      <c r="VFM334" s="559"/>
      <c r="VFN334" s="559"/>
      <c r="VFO334" s="559"/>
      <c r="VFP334" s="559"/>
      <c r="VFQ334" s="559"/>
      <c r="VFR334" s="559"/>
      <c r="VFS334" s="559"/>
      <c r="VFT334" s="559"/>
      <c r="VFU334" s="559"/>
      <c r="VFV334" s="559"/>
      <c r="VFW334" s="559"/>
      <c r="VFX334" s="559"/>
      <c r="VFY334" s="559"/>
      <c r="VFZ334" s="559"/>
      <c r="VGA334" s="559"/>
      <c r="VGB334" s="559"/>
      <c r="VGC334" s="559"/>
      <c r="VGD334" s="559"/>
      <c r="VGE334" s="559"/>
      <c r="VGF334" s="559"/>
      <c r="VGG334" s="559"/>
      <c r="VGH334" s="559"/>
      <c r="VGI334" s="559"/>
      <c r="VGJ334" s="559"/>
      <c r="VGK334" s="559"/>
      <c r="VGL334" s="559"/>
      <c r="VGM334" s="559"/>
      <c r="VGN334" s="559"/>
      <c r="VGO334" s="559"/>
      <c r="VGP334" s="559"/>
      <c r="VGQ334" s="559"/>
      <c r="VGR334" s="559"/>
      <c r="VGS334" s="559"/>
      <c r="VGT334" s="559"/>
      <c r="VGU334" s="559"/>
      <c r="VGV334" s="559"/>
      <c r="VGW334" s="559"/>
      <c r="VGX334" s="559"/>
      <c r="VGY334" s="559"/>
      <c r="VGZ334" s="559"/>
      <c r="VHA334" s="559"/>
      <c r="VHB334" s="559"/>
      <c r="VHC334" s="559"/>
      <c r="VHD334" s="559"/>
      <c r="VHE334" s="559"/>
      <c r="VHF334" s="559"/>
      <c r="VHG334" s="559"/>
      <c r="VHH334" s="559"/>
      <c r="VHI334" s="559"/>
      <c r="VHJ334" s="559"/>
      <c r="VHK334" s="559"/>
      <c r="VHL334" s="559"/>
      <c r="VHM334" s="559"/>
      <c r="VHN334" s="559"/>
      <c r="VHO334" s="559"/>
      <c r="VHP334" s="559"/>
      <c r="VHQ334" s="559"/>
      <c r="VHR334" s="559"/>
      <c r="VHS334" s="559"/>
      <c r="VHT334" s="559"/>
      <c r="VHU334" s="559"/>
      <c r="VHV334" s="559"/>
      <c r="VHW334" s="559"/>
      <c r="VHX334" s="559"/>
      <c r="VHY334" s="559"/>
      <c r="VHZ334" s="559"/>
      <c r="VIA334" s="559"/>
      <c r="VIB334" s="559"/>
      <c r="VIC334" s="559"/>
      <c r="VID334" s="559"/>
      <c r="VIE334" s="559"/>
      <c r="VIF334" s="559"/>
      <c r="VIG334" s="559"/>
      <c r="VIH334" s="559"/>
      <c r="VII334" s="559"/>
      <c r="VIJ334" s="559"/>
      <c r="VIK334" s="559"/>
      <c r="VIL334" s="559"/>
      <c r="VIM334" s="559"/>
      <c r="VIN334" s="559"/>
      <c r="VIO334" s="559"/>
      <c r="VIP334" s="559"/>
      <c r="VIQ334" s="559"/>
      <c r="VIR334" s="559"/>
      <c r="VIS334" s="559"/>
      <c r="VIT334" s="559"/>
      <c r="VIU334" s="559"/>
      <c r="VIV334" s="559"/>
      <c r="VIW334" s="559"/>
      <c r="VIX334" s="559"/>
      <c r="VIY334" s="559"/>
      <c r="VIZ334" s="559"/>
      <c r="VJA334" s="559"/>
      <c r="VJB334" s="559"/>
      <c r="VJC334" s="559"/>
      <c r="VJD334" s="559"/>
      <c r="VJE334" s="559"/>
      <c r="VJF334" s="559"/>
      <c r="VJG334" s="559"/>
      <c r="VJH334" s="559"/>
      <c r="VJI334" s="559"/>
      <c r="VJJ334" s="559"/>
      <c r="VJK334" s="559"/>
      <c r="VJL334" s="559"/>
      <c r="VJM334" s="559"/>
      <c r="VJN334" s="559"/>
      <c r="VJO334" s="559"/>
      <c r="VJP334" s="559"/>
      <c r="VJQ334" s="559"/>
      <c r="VJR334" s="559"/>
      <c r="VJS334" s="559"/>
      <c r="VJT334" s="559"/>
      <c r="VJU334" s="559"/>
      <c r="VJV334" s="559"/>
      <c r="VJW334" s="559"/>
      <c r="VJX334" s="559"/>
      <c r="VJY334" s="559"/>
      <c r="VJZ334" s="559"/>
      <c r="VKA334" s="559"/>
      <c r="VKB334" s="559"/>
      <c r="VKC334" s="559"/>
      <c r="VKD334" s="559"/>
      <c r="VKE334" s="559"/>
      <c r="VKF334" s="559"/>
      <c r="VKG334" s="559"/>
      <c r="VKH334" s="559"/>
      <c r="VKI334" s="559"/>
      <c r="VKJ334" s="559"/>
      <c r="VKK334" s="559"/>
      <c r="VKL334" s="559"/>
      <c r="VKM334" s="559"/>
      <c r="VKN334" s="559"/>
      <c r="VKO334" s="559"/>
      <c r="VKP334" s="559"/>
      <c r="VKQ334" s="559"/>
      <c r="VKR334" s="559"/>
      <c r="VKS334" s="559"/>
      <c r="VKT334" s="559"/>
      <c r="VKU334" s="559"/>
      <c r="VKV334" s="559"/>
      <c r="VKW334" s="559"/>
      <c r="VKX334" s="559"/>
      <c r="VKY334" s="559"/>
      <c r="VKZ334" s="559"/>
      <c r="VLA334" s="559"/>
      <c r="VLB334" s="559"/>
      <c r="VLC334" s="559"/>
      <c r="VLD334" s="559"/>
      <c r="VLE334" s="559"/>
      <c r="VLF334" s="559"/>
      <c r="VLG334" s="559"/>
      <c r="VLH334" s="559"/>
      <c r="VLI334" s="559"/>
      <c r="VLJ334" s="559"/>
      <c r="VLK334" s="559"/>
      <c r="VLL334" s="559"/>
      <c r="VLM334" s="559"/>
      <c r="VLN334" s="559"/>
      <c r="VLO334" s="559"/>
      <c r="VLP334" s="559"/>
      <c r="VLQ334" s="559"/>
      <c r="VLR334" s="559"/>
      <c r="VLS334" s="559"/>
      <c r="VLT334" s="559"/>
      <c r="VLU334" s="559"/>
      <c r="VLV334" s="559"/>
      <c r="VLW334" s="559"/>
      <c r="VLX334" s="559"/>
      <c r="VLY334" s="559"/>
      <c r="VLZ334" s="559"/>
      <c r="VMA334" s="559"/>
      <c r="VMB334" s="559"/>
      <c r="VMC334" s="559"/>
      <c r="VMD334" s="559"/>
      <c r="VME334" s="559"/>
      <c r="VMF334" s="559"/>
      <c r="VMG334" s="559"/>
      <c r="VMH334" s="559"/>
      <c r="VMI334" s="559"/>
      <c r="VMJ334" s="559"/>
      <c r="VMK334" s="559"/>
      <c r="VML334" s="559"/>
      <c r="VMM334" s="559"/>
      <c r="VMN334" s="559"/>
      <c r="VMO334" s="559"/>
      <c r="VMP334" s="559"/>
      <c r="VMQ334" s="559"/>
      <c r="VMR334" s="559"/>
      <c r="VMS334" s="559"/>
      <c r="VMT334" s="559"/>
      <c r="VMU334" s="559"/>
      <c r="VMV334" s="559"/>
      <c r="VMW334" s="559"/>
      <c r="VMX334" s="559"/>
      <c r="VMY334" s="559"/>
      <c r="VMZ334" s="559"/>
      <c r="VNA334" s="559"/>
      <c r="VNB334" s="559"/>
      <c r="VNC334" s="559"/>
      <c r="VND334" s="559"/>
      <c r="VNE334" s="559"/>
      <c r="VNF334" s="559"/>
      <c r="VNG334" s="559"/>
      <c r="VNH334" s="559"/>
      <c r="VNI334" s="559"/>
      <c r="VNJ334" s="559"/>
      <c r="VNK334" s="559"/>
      <c r="VNL334" s="559"/>
      <c r="VNM334" s="559"/>
      <c r="VNN334" s="559"/>
      <c r="VNO334" s="559"/>
      <c r="VNP334" s="559"/>
      <c r="VNQ334" s="559"/>
      <c r="VNR334" s="559"/>
      <c r="VNS334" s="559"/>
      <c r="VNT334" s="559"/>
      <c r="VNU334" s="559"/>
      <c r="VNV334" s="559"/>
      <c r="VNW334" s="559"/>
      <c r="VNX334" s="559"/>
      <c r="VNY334" s="559"/>
      <c r="VNZ334" s="559"/>
      <c r="VOA334" s="559"/>
      <c r="VOB334" s="559"/>
      <c r="VOC334" s="559"/>
      <c r="VOD334" s="559"/>
      <c r="VOE334" s="559"/>
      <c r="VOF334" s="559"/>
      <c r="VOG334" s="559"/>
      <c r="VOH334" s="559"/>
      <c r="VOI334" s="559"/>
      <c r="VOJ334" s="559"/>
      <c r="VOK334" s="559"/>
      <c r="VOL334" s="559"/>
      <c r="VOM334" s="559"/>
      <c r="VON334" s="559"/>
      <c r="VOO334" s="559"/>
      <c r="VOP334" s="559"/>
      <c r="VOQ334" s="559"/>
      <c r="VOR334" s="559"/>
      <c r="VOS334" s="559"/>
      <c r="VOT334" s="559"/>
      <c r="VOU334" s="559"/>
      <c r="VOV334" s="559"/>
      <c r="VOW334" s="559"/>
      <c r="VOX334" s="559"/>
      <c r="VOY334" s="559"/>
      <c r="VOZ334" s="559"/>
      <c r="VPA334" s="559"/>
      <c r="VPB334" s="559"/>
      <c r="VPC334" s="559"/>
      <c r="VPD334" s="559"/>
      <c r="VPE334" s="559"/>
      <c r="VPF334" s="559"/>
      <c r="VPG334" s="559"/>
      <c r="VPH334" s="559"/>
      <c r="VPI334" s="559"/>
      <c r="VPJ334" s="559"/>
      <c r="VPK334" s="559"/>
      <c r="VPL334" s="559"/>
      <c r="VPM334" s="559"/>
      <c r="VPN334" s="559"/>
      <c r="VPO334" s="559"/>
      <c r="VPP334" s="559"/>
      <c r="VPQ334" s="559"/>
      <c r="VPR334" s="559"/>
      <c r="VPS334" s="559"/>
      <c r="VPT334" s="559"/>
      <c r="VPU334" s="559"/>
      <c r="VPV334" s="559"/>
      <c r="VPW334" s="559"/>
      <c r="VPX334" s="559"/>
      <c r="VPY334" s="559"/>
      <c r="VPZ334" s="559"/>
      <c r="VQA334" s="559"/>
      <c r="VQB334" s="559"/>
      <c r="VQC334" s="559"/>
      <c r="VQD334" s="559"/>
      <c r="VQE334" s="559"/>
      <c r="VQF334" s="559"/>
      <c r="VQG334" s="559"/>
      <c r="VQH334" s="559"/>
      <c r="VQI334" s="559"/>
      <c r="VQJ334" s="559"/>
      <c r="VQK334" s="559"/>
      <c r="VQL334" s="559"/>
      <c r="VQM334" s="559"/>
      <c r="VQN334" s="559"/>
      <c r="VQO334" s="559"/>
      <c r="VQP334" s="559"/>
      <c r="VQQ334" s="559"/>
      <c r="VQR334" s="559"/>
      <c r="VQS334" s="559"/>
      <c r="VQT334" s="559"/>
      <c r="VQU334" s="559"/>
      <c r="VQV334" s="559"/>
      <c r="VQW334" s="559"/>
      <c r="VQX334" s="559"/>
      <c r="VQY334" s="559"/>
      <c r="VQZ334" s="559"/>
      <c r="VRA334" s="559"/>
      <c r="VRB334" s="559"/>
      <c r="VRC334" s="559"/>
      <c r="VRD334" s="559"/>
      <c r="VRE334" s="559"/>
      <c r="VRF334" s="559"/>
      <c r="VRG334" s="559"/>
      <c r="VRH334" s="559"/>
      <c r="VRI334" s="559"/>
      <c r="VRJ334" s="559"/>
      <c r="VRK334" s="559"/>
      <c r="VRL334" s="559"/>
      <c r="VRM334" s="559"/>
      <c r="VRN334" s="559"/>
      <c r="VRO334" s="559"/>
      <c r="VRP334" s="559"/>
      <c r="VRQ334" s="559"/>
      <c r="VRR334" s="559"/>
      <c r="VRS334" s="559"/>
      <c r="VRT334" s="559"/>
      <c r="VRU334" s="559"/>
      <c r="VRV334" s="559"/>
      <c r="VRW334" s="559"/>
      <c r="VRX334" s="559"/>
      <c r="VRY334" s="559"/>
      <c r="VRZ334" s="559"/>
      <c r="VSA334" s="559"/>
      <c r="VSB334" s="559"/>
      <c r="VSC334" s="559"/>
      <c r="VSD334" s="559"/>
      <c r="VSE334" s="559"/>
      <c r="VSF334" s="559"/>
      <c r="VSG334" s="559"/>
      <c r="VSH334" s="559"/>
      <c r="VSI334" s="559"/>
      <c r="VSJ334" s="559"/>
      <c r="VSK334" s="559"/>
      <c r="VSL334" s="559"/>
      <c r="VSM334" s="559"/>
      <c r="VSN334" s="559"/>
      <c r="VSO334" s="559"/>
      <c r="VSP334" s="559"/>
      <c r="VSQ334" s="559"/>
      <c r="VSR334" s="559"/>
      <c r="VSS334" s="559"/>
      <c r="VST334" s="559"/>
      <c r="VSU334" s="559"/>
      <c r="VSV334" s="559"/>
      <c r="VSW334" s="559"/>
      <c r="VSX334" s="559"/>
      <c r="VSY334" s="559"/>
      <c r="VSZ334" s="559"/>
      <c r="VTA334" s="559"/>
      <c r="VTB334" s="559"/>
      <c r="VTC334" s="559"/>
      <c r="VTD334" s="559"/>
      <c r="VTE334" s="559"/>
      <c r="VTF334" s="559"/>
      <c r="VTG334" s="559"/>
      <c r="VTH334" s="559"/>
      <c r="VTI334" s="559"/>
      <c r="VTJ334" s="559"/>
      <c r="VTK334" s="559"/>
      <c r="VTL334" s="559"/>
      <c r="VTM334" s="559"/>
      <c r="VTN334" s="559"/>
      <c r="VTO334" s="559"/>
      <c r="VTP334" s="559"/>
      <c r="VTQ334" s="559"/>
      <c r="VTR334" s="559"/>
      <c r="VTS334" s="559"/>
      <c r="VTT334" s="559"/>
      <c r="VTU334" s="559"/>
      <c r="VTV334" s="559"/>
      <c r="VTW334" s="559"/>
      <c r="VTX334" s="559"/>
      <c r="VTY334" s="559"/>
      <c r="VTZ334" s="559"/>
      <c r="VUA334" s="559"/>
      <c r="VUB334" s="559"/>
      <c r="VUC334" s="559"/>
      <c r="VUD334" s="559"/>
      <c r="VUE334" s="559"/>
      <c r="VUF334" s="559"/>
      <c r="VUG334" s="559"/>
      <c r="VUH334" s="559"/>
      <c r="VUI334" s="559"/>
      <c r="VUJ334" s="559"/>
      <c r="VUK334" s="559"/>
      <c r="VUL334" s="559"/>
      <c r="VUM334" s="559"/>
      <c r="VUN334" s="559"/>
      <c r="VUO334" s="559"/>
      <c r="VUP334" s="559"/>
      <c r="VUQ334" s="559"/>
      <c r="VUR334" s="559"/>
      <c r="VUS334" s="559"/>
      <c r="VUT334" s="559"/>
      <c r="VUU334" s="559"/>
      <c r="VUV334" s="559"/>
      <c r="VUW334" s="559"/>
      <c r="VUX334" s="559"/>
      <c r="VUY334" s="559"/>
      <c r="VUZ334" s="559"/>
      <c r="VVA334" s="559"/>
      <c r="VVB334" s="559"/>
      <c r="VVC334" s="559"/>
      <c r="VVD334" s="559"/>
      <c r="VVE334" s="559"/>
      <c r="VVF334" s="559"/>
      <c r="VVG334" s="559"/>
      <c r="VVH334" s="559"/>
      <c r="VVI334" s="559"/>
      <c r="VVJ334" s="559"/>
      <c r="VVK334" s="559"/>
      <c r="VVL334" s="559"/>
      <c r="VVM334" s="559"/>
      <c r="VVN334" s="559"/>
      <c r="VVO334" s="559"/>
      <c r="VVP334" s="559"/>
      <c r="VVQ334" s="559"/>
      <c r="VVR334" s="559"/>
      <c r="VVS334" s="559"/>
      <c r="VVT334" s="559"/>
      <c r="VVU334" s="559"/>
      <c r="VVV334" s="559"/>
      <c r="VVW334" s="559"/>
      <c r="VVX334" s="559"/>
      <c r="VVY334" s="559"/>
      <c r="VVZ334" s="559"/>
      <c r="VWA334" s="559"/>
      <c r="VWB334" s="559"/>
      <c r="VWC334" s="559"/>
      <c r="VWD334" s="559"/>
      <c r="VWE334" s="559"/>
      <c r="VWF334" s="559"/>
      <c r="VWG334" s="559"/>
      <c r="VWH334" s="559"/>
      <c r="VWI334" s="559"/>
      <c r="VWJ334" s="559"/>
      <c r="VWK334" s="559"/>
      <c r="VWL334" s="559"/>
      <c r="VWM334" s="559"/>
      <c r="VWN334" s="559"/>
      <c r="VWO334" s="559"/>
      <c r="VWP334" s="559"/>
      <c r="VWQ334" s="559"/>
      <c r="VWR334" s="559"/>
      <c r="VWS334" s="559"/>
      <c r="VWT334" s="559"/>
      <c r="VWU334" s="559"/>
      <c r="VWV334" s="559"/>
      <c r="VWW334" s="559"/>
      <c r="VWX334" s="559"/>
      <c r="VWY334" s="559"/>
      <c r="VWZ334" s="559"/>
      <c r="VXA334" s="559"/>
      <c r="VXB334" s="559"/>
      <c r="VXC334" s="559"/>
      <c r="VXD334" s="559"/>
      <c r="VXE334" s="559"/>
      <c r="VXF334" s="559"/>
      <c r="VXG334" s="559"/>
      <c r="VXH334" s="559"/>
      <c r="VXI334" s="559"/>
      <c r="VXJ334" s="559"/>
      <c r="VXK334" s="559"/>
      <c r="VXL334" s="559"/>
      <c r="VXM334" s="559"/>
      <c r="VXN334" s="559"/>
      <c r="VXO334" s="559"/>
      <c r="VXP334" s="559"/>
      <c r="VXQ334" s="559"/>
      <c r="VXR334" s="559"/>
      <c r="VXS334" s="559"/>
      <c r="VXT334" s="559"/>
      <c r="VXU334" s="559"/>
      <c r="VXV334" s="559"/>
      <c r="VXW334" s="559"/>
      <c r="VXX334" s="559"/>
      <c r="VXY334" s="559"/>
      <c r="VXZ334" s="559"/>
      <c r="VYA334" s="559"/>
      <c r="VYB334" s="559"/>
      <c r="VYC334" s="559"/>
      <c r="VYD334" s="559"/>
      <c r="VYE334" s="559"/>
      <c r="VYF334" s="559"/>
      <c r="VYG334" s="559"/>
      <c r="VYH334" s="559"/>
      <c r="VYI334" s="559"/>
      <c r="VYJ334" s="559"/>
      <c r="VYK334" s="559"/>
      <c r="VYL334" s="559"/>
      <c r="VYM334" s="559"/>
      <c r="VYN334" s="559"/>
      <c r="VYO334" s="559"/>
      <c r="VYP334" s="559"/>
      <c r="VYQ334" s="559"/>
      <c r="VYR334" s="559"/>
      <c r="VYS334" s="559"/>
      <c r="VYT334" s="559"/>
      <c r="VYU334" s="559"/>
      <c r="VYV334" s="559"/>
      <c r="VYW334" s="559"/>
      <c r="VYX334" s="559"/>
      <c r="VYY334" s="559"/>
      <c r="VYZ334" s="559"/>
      <c r="VZA334" s="559"/>
      <c r="VZB334" s="559"/>
      <c r="VZC334" s="559"/>
      <c r="VZD334" s="559"/>
      <c r="VZE334" s="559"/>
      <c r="VZF334" s="559"/>
      <c r="VZG334" s="559"/>
      <c r="VZH334" s="559"/>
      <c r="VZI334" s="559"/>
      <c r="VZJ334" s="559"/>
      <c r="VZK334" s="559"/>
      <c r="VZL334" s="559"/>
      <c r="VZM334" s="559"/>
      <c r="VZN334" s="559"/>
      <c r="VZO334" s="559"/>
      <c r="VZP334" s="559"/>
      <c r="VZQ334" s="559"/>
      <c r="VZR334" s="559"/>
      <c r="VZS334" s="559"/>
      <c r="VZT334" s="559"/>
      <c r="VZU334" s="559"/>
      <c r="VZV334" s="559"/>
      <c r="VZW334" s="559"/>
      <c r="VZX334" s="559"/>
      <c r="VZY334" s="559"/>
      <c r="VZZ334" s="559"/>
      <c r="WAA334" s="559"/>
      <c r="WAB334" s="559"/>
      <c r="WAC334" s="559"/>
      <c r="WAD334" s="559"/>
      <c r="WAE334" s="559"/>
      <c r="WAF334" s="559"/>
      <c r="WAG334" s="559"/>
      <c r="WAH334" s="559"/>
      <c r="WAI334" s="559"/>
      <c r="WAJ334" s="559"/>
      <c r="WAK334" s="559"/>
      <c r="WAL334" s="559"/>
      <c r="WAM334" s="559"/>
      <c r="WAN334" s="559"/>
      <c r="WAO334" s="559"/>
      <c r="WAP334" s="559"/>
      <c r="WAQ334" s="559"/>
      <c r="WAR334" s="559"/>
      <c r="WAS334" s="559"/>
      <c r="WAT334" s="559"/>
      <c r="WAU334" s="559"/>
      <c r="WAV334" s="559"/>
      <c r="WAW334" s="559"/>
      <c r="WAX334" s="559"/>
      <c r="WAY334" s="559"/>
      <c r="WAZ334" s="559"/>
      <c r="WBA334" s="559"/>
      <c r="WBB334" s="559"/>
      <c r="WBC334" s="559"/>
      <c r="WBD334" s="559"/>
      <c r="WBE334" s="559"/>
      <c r="WBF334" s="559"/>
      <c r="WBG334" s="559"/>
      <c r="WBH334" s="559"/>
      <c r="WBI334" s="559"/>
      <c r="WBJ334" s="559"/>
      <c r="WBK334" s="559"/>
      <c r="WBL334" s="559"/>
      <c r="WBM334" s="559"/>
      <c r="WBN334" s="559"/>
      <c r="WBO334" s="559"/>
      <c r="WBP334" s="559"/>
      <c r="WBQ334" s="559"/>
      <c r="WBR334" s="559"/>
      <c r="WBS334" s="559"/>
      <c r="WBT334" s="559"/>
      <c r="WBU334" s="559"/>
      <c r="WBV334" s="559"/>
      <c r="WBW334" s="559"/>
      <c r="WBX334" s="559"/>
      <c r="WBY334" s="559"/>
      <c r="WBZ334" s="559"/>
      <c r="WCA334" s="559"/>
      <c r="WCB334" s="559"/>
      <c r="WCC334" s="559"/>
      <c r="WCD334" s="559"/>
      <c r="WCE334" s="559"/>
      <c r="WCF334" s="559"/>
      <c r="WCG334" s="559"/>
      <c r="WCH334" s="559"/>
      <c r="WCI334" s="559"/>
      <c r="WCJ334" s="559"/>
      <c r="WCK334" s="559"/>
      <c r="WCL334" s="559"/>
      <c r="WCM334" s="559"/>
      <c r="WCN334" s="559"/>
      <c r="WCO334" s="559"/>
      <c r="WCP334" s="559"/>
      <c r="WCQ334" s="559"/>
      <c r="WCR334" s="559"/>
      <c r="WCS334" s="559"/>
      <c r="WCT334" s="559"/>
      <c r="WCU334" s="559"/>
      <c r="WCV334" s="559"/>
      <c r="WCW334" s="559"/>
      <c r="WCX334" s="559"/>
      <c r="WCY334" s="559"/>
      <c r="WCZ334" s="559"/>
      <c r="WDA334" s="559"/>
      <c r="WDB334" s="559"/>
      <c r="WDC334" s="559"/>
      <c r="WDD334" s="559"/>
      <c r="WDE334" s="559"/>
      <c r="WDF334" s="559"/>
      <c r="WDG334" s="559"/>
      <c r="WDH334" s="559"/>
      <c r="WDI334" s="559"/>
      <c r="WDJ334" s="559"/>
      <c r="WDK334" s="559"/>
      <c r="WDL334" s="559"/>
      <c r="WDM334" s="559"/>
      <c r="WDN334" s="559"/>
      <c r="WDO334" s="559"/>
      <c r="WDP334" s="559"/>
      <c r="WDQ334" s="559"/>
      <c r="WDR334" s="559"/>
      <c r="WDS334" s="559"/>
      <c r="WDT334" s="559"/>
      <c r="WDU334" s="559"/>
      <c r="WDV334" s="559"/>
      <c r="WDW334" s="559"/>
      <c r="WDX334" s="559"/>
      <c r="WDY334" s="559"/>
      <c r="WDZ334" s="559"/>
      <c r="WEA334" s="559"/>
      <c r="WEB334" s="559"/>
      <c r="WEC334" s="559"/>
      <c r="WED334" s="559"/>
      <c r="WEE334" s="559"/>
      <c r="WEF334" s="559"/>
      <c r="WEG334" s="559"/>
      <c r="WEH334" s="559"/>
      <c r="WEI334" s="559"/>
      <c r="WEJ334" s="559"/>
      <c r="WEK334" s="559"/>
      <c r="WEL334" s="559"/>
      <c r="WEM334" s="559"/>
      <c r="WEN334" s="559"/>
      <c r="WEO334" s="559"/>
      <c r="WEP334" s="559"/>
      <c r="WEQ334" s="559"/>
      <c r="WER334" s="559"/>
      <c r="WES334" s="559"/>
      <c r="WET334" s="559"/>
      <c r="WEU334" s="559"/>
      <c r="WEV334" s="559"/>
      <c r="WEW334" s="559"/>
      <c r="WEX334" s="559"/>
      <c r="WEY334" s="559"/>
      <c r="WEZ334" s="559"/>
      <c r="WFA334" s="559"/>
      <c r="WFB334" s="559"/>
      <c r="WFC334" s="559"/>
      <c r="WFD334" s="559"/>
      <c r="WFE334" s="559"/>
      <c r="WFF334" s="559"/>
      <c r="WFG334" s="559"/>
      <c r="WFH334" s="559"/>
      <c r="WFI334" s="559"/>
      <c r="WFJ334" s="559"/>
      <c r="WFK334" s="559"/>
      <c r="WFL334" s="559"/>
      <c r="WFM334" s="559"/>
      <c r="WFN334" s="559"/>
      <c r="WFO334" s="559"/>
      <c r="WFP334" s="559"/>
      <c r="WFQ334" s="559"/>
      <c r="WFR334" s="559"/>
      <c r="WFS334" s="559"/>
      <c r="WFT334" s="559"/>
      <c r="WFU334" s="559"/>
      <c r="WFV334" s="559"/>
      <c r="WFW334" s="559"/>
      <c r="WFX334" s="559"/>
      <c r="WFY334" s="559"/>
      <c r="WFZ334" s="559"/>
      <c r="WGA334" s="559"/>
      <c r="WGB334" s="559"/>
      <c r="WGC334" s="559"/>
      <c r="WGD334" s="559"/>
      <c r="WGE334" s="559"/>
      <c r="WGF334" s="559"/>
      <c r="WGG334" s="559"/>
      <c r="WGH334" s="559"/>
      <c r="WGI334" s="559"/>
      <c r="WGJ334" s="559"/>
      <c r="WGK334" s="559"/>
      <c r="WGL334" s="559"/>
      <c r="WGM334" s="559"/>
      <c r="WGN334" s="559"/>
      <c r="WGO334" s="559"/>
      <c r="WGP334" s="559"/>
      <c r="WGQ334" s="559"/>
      <c r="WGR334" s="559"/>
      <c r="WGS334" s="559"/>
      <c r="WGT334" s="559"/>
      <c r="WGU334" s="559"/>
      <c r="WGV334" s="559"/>
      <c r="WGW334" s="559"/>
      <c r="WGX334" s="559"/>
      <c r="WGY334" s="559"/>
      <c r="WGZ334" s="559"/>
      <c r="WHA334" s="559"/>
      <c r="WHB334" s="559"/>
      <c r="WHC334" s="559"/>
      <c r="WHD334" s="559"/>
      <c r="WHE334" s="559"/>
      <c r="WHF334" s="559"/>
      <c r="WHG334" s="559"/>
      <c r="WHH334" s="559"/>
      <c r="WHI334" s="559"/>
      <c r="WHJ334" s="559"/>
      <c r="WHK334" s="559"/>
      <c r="WHL334" s="559"/>
      <c r="WHM334" s="559"/>
      <c r="WHN334" s="559"/>
      <c r="WHO334" s="559"/>
      <c r="WHP334" s="559"/>
      <c r="WHQ334" s="559"/>
      <c r="WHR334" s="559"/>
      <c r="WHS334" s="559"/>
      <c r="WHT334" s="559"/>
      <c r="WHU334" s="559"/>
      <c r="WHV334" s="559"/>
      <c r="WHW334" s="559"/>
      <c r="WHX334" s="559"/>
      <c r="WHY334" s="559"/>
      <c r="WHZ334" s="559"/>
      <c r="WIA334" s="559"/>
      <c r="WIB334" s="559"/>
      <c r="WIC334" s="559"/>
      <c r="WID334" s="559"/>
      <c r="WIE334" s="559"/>
      <c r="WIF334" s="559"/>
      <c r="WIG334" s="559"/>
      <c r="WIH334" s="559"/>
      <c r="WII334" s="559"/>
      <c r="WIJ334" s="559"/>
      <c r="WIK334" s="559"/>
      <c r="WIL334" s="559"/>
      <c r="WIM334" s="559"/>
      <c r="WIN334" s="559"/>
      <c r="WIO334" s="559"/>
      <c r="WIP334" s="559"/>
      <c r="WIQ334" s="559"/>
      <c r="WIR334" s="559"/>
      <c r="WIS334" s="559"/>
      <c r="WIT334" s="559"/>
      <c r="WIU334" s="559"/>
      <c r="WIV334" s="559"/>
      <c r="WIW334" s="559"/>
      <c r="WIX334" s="559"/>
      <c r="WIY334" s="559"/>
      <c r="WIZ334" s="559"/>
      <c r="WJA334" s="559"/>
      <c r="WJB334" s="559"/>
      <c r="WJC334" s="559"/>
      <c r="WJD334" s="559"/>
      <c r="WJE334" s="559"/>
      <c r="WJF334" s="559"/>
      <c r="WJG334" s="559"/>
      <c r="WJH334" s="559"/>
      <c r="WJI334" s="559"/>
      <c r="WJJ334" s="559"/>
      <c r="WJK334" s="559"/>
      <c r="WJL334" s="559"/>
      <c r="WJM334" s="559"/>
      <c r="WJN334" s="559"/>
      <c r="WJO334" s="559"/>
      <c r="WJP334" s="559"/>
      <c r="WJQ334" s="559"/>
      <c r="WJR334" s="559"/>
      <c r="WJS334" s="559"/>
      <c r="WJT334" s="559"/>
      <c r="WJU334" s="559"/>
      <c r="WJV334" s="559"/>
      <c r="WJW334" s="559"/>
      <c r="WJX334" s="559"/>
      <c r="WJY334" s="559"/>
      <c r="WJZ334" s="559"/>
      <c r="WKA334" s="559"/>
      <c r="WKB334" s="559"/>
      <c r="WKC334" s="559"/>
      <c r="WKD334" s="559"/>
      <c r="WKE334" s="559"/>
      <c r="WKF334" s="559"/>
      <c r="WKG334" s="559"/>
      <c r="WKH334" s="559"/>
      <c r="WKI334" s="559"/>
      <c r="WKJ334" s="559"/>
      <c r="WKK334" s="559"/>
      <c r="WKL334" s="559"/>
      <c r="WKM334" s="559"/>
      <c r="WKN334" s="559"/>
      <c r="WKO334" s="559"/>
      <c r="WKP334" s="559"/>
      <c r="WKQ334" s="559"/>
      <c r="WKR334" s="559"/>
      <c r="WKS334" s="559"/>
      <c r="WKT334" s="559"/>
      <c r="WKU334" s="559"/>
      <c r="WKV334" s="559"/>
      <c r="WKW334" s="559"/>
      <c r="WKX334" s="559"/>
      <c r="WKY334" s="559"/>
      <c r="WKZ334" s="559"/>
      <c r="WLA334" s="559"/>
      <c r="WLB334" s="559"/>
      <c r="WLC334" s="559"/>
      <c r="WLD334" s="559"/>
      <c r="WLE334" s="559"/>
      <c r="WLF334" s="559"/>
      <c r="WLG334" s="559"/>
      <c r="WLH334" s="559"/>
      <c r="WLI334" s="559"/>
      <c r="WLJ334" s="559"/>
      <c r="WLK334" s="559"/>
      <c r="WLL334" s="559"/>
      <c r="WLM334" s="559"/>
      <c r="WLN334" s="559"/>
      <c r="WLO334" s="559"/>
      <c r="WLP334" s="559"/>
      <c r="WLQ334" s="559"/>
      <c r="WLR334" s="559"/>
      <c r="WLS334" s="559"/>
      <c r="WLT334" s="559"/>
      <c r="WLU334" s="559"/>
      <c r="WLV334" s="559"/>
      <c r="WLW334" s="559"/>
      <c r="WLX334" s="559"/>
      <c r="WLY334" s="559"/>
      <c r="WLZ334" s="559"/>
      <c r="WMA334" s="559"/>
      <c r="WMB334" s="559"/>
      <c r="WMC334" s="559"/>
      <c r="WMD334" s="559"/>
      <c r="WME334" s="559"/>
      <c r="WMF334" s="559"/>
      <c r="WMG334" s="559"/>
      <c r="WMH334" s="559"/>
      <c r="WMI334" s="559"/>
      <c r="WMJ334" s="559"/>
      <c r="WMK334" s="559"/>
      <c r="WML334" s="559"/>
      <c r="WMM334" s="559"/>
      <c r="WMN334" s="559"/>
      <c r="WMO334" s="559"/>
      <c r="WMP334" s="559"/>
      <c r="WMQ334" s="559"/>
      <c r="WMR334" s="559"/>
      <c r="WMS334" s="559"/>
      <c r="WMT334" s="559"/>
      <c r="WMU334" s="559"/>
      <c r="WMV334" s="559"/>
      <c r="WMW334" s="559"/>
      <c r="WMX334" s="559"/>
      <c r="WMY334" s="559"/>
      <c r="WMZ334" s="559"/>
      <c r="WNA334" s="559"/>
      <c r="WNB334" s="559"/>
      <c r="WNC334" s="559"/>
      <c r="WND334" s="559"/>
      <c r="WNE334" s="559"/>
      <c r="WNF334" s="559"/>
      <c r="WNG334" s="559"/>
      <c r="WNH334" s="559"/>
      <c r="WNI334" s="559"/>
      <c r="WNJ334" s="559"/>
      <c r="WNK334" s="559"/>
      <c r="WNL334" s="559"/>
      <c r="WNM334" s="559"/>
      <c r="WNN334" s="559"/>
      <c r="WNO334" s="559"/>
      <c r="WNP334" s="559"/>
      <c r="WNQ334" s="559"/>
      <c r="WNR334" s="559"/>
      <c r="WNS334" s="559"/>
      <c r="WNT334" s="559"/>
      <c r="WNU334" s="559"/>
      <c r="WNV334" s="559"/>
      <c r="WNW334" s="559"/>
      <c r="WNX334" s="559"/>
      <c r="WNY334" s="559"/>
      <c r="WNZ334" s="559"/>
      <c r="WOA334" s="559"/>
      <c r="WOB334" s="559"/>
      <c r="WOC334" s="559"/>
      <c r="WOD334" s="559"/>
      <c r="WOE334" s="559"/>
      <c r="WOF334" s="559"/>
      <c r="WOG334" s="559"/>
      <c r="WOH334" s="559"/>
      <c r="WOI334" s="559"/>
      <c r="WOJ334" s="559"/>
      <c r="WOK334" s="559"/>
      <c r="WOL334" s="559"/>
      <c r="WOM334" s="559"/>
      <c r="WON334" s="559"/>
      <c r="WOO334" s="559"/>
      <c r="WOP334" s="559"/>
      <c r="WOQ334" s="559"/>
      <c r="WOR334" s="559"/>
      <c r="WOS334" s="559"/>
      <c r="WOT334" s="559"/>
      <c r="WOU334" s="559"/>
      <c r="WOV334" s="559"/>
      <c r="WOW334" s="559"/>
      <c r="WOX334" s="559"/>
      <c r="WOY334" s="559"/>
      <c r="WOZ334" s="559"/>
      <c r="WPA334" s="559"/>
      <c r="WPB334" s="559"/>
      <c r="WPC334" s="559"/>
      <c r="WPD334" s="559"/>
      <c r="WPE334" s="559"/>
      <c r="WPF334" s="559"/>
      <c r="WPG334" s="559"/>
      <c r="WPH334" s="559"/>
      <c r="WPI334" s="559"/>
      <c r="WPJ334" s="559"/>
      <c r="WPK334" s="559"/>
      <c r="WPL334" s="559"/>
      <c r="WPM334" s="559"/>
      <c r="WPN334" s="559"/>
      <c r="WPO334" s="559"/>
      <c r="WPP334" s="559"/>
      <c r="WPQ334" s="559"/>
      <c r="WPR334" s="559"/>
      <c r="WPS334" s="559"/>
      <c r="WPT334" s="559"/>
      <c r="WPU334" s="559"/>
      <c r="WPV334" s="559"/>
      <c r="WPW334" s="559"/>
      <c r="WPX334" s="559"/>
      <c r="WPY334" s="559"/>
      <c r="WPZ334" s="559"/>
      <c r="WQA334" s="559"/>
      <c r="WQB334" s="559"/>
      <c r="WQC334" s="559"/>
      <c r="WQD334" s="559"/>
      <c r="WQE334" s="559"/>
      <c r="WQF334" s="559"/>
      <c r="WQG334" s="559"/>
      <c r="WQH334" s="559"/>
      <c r="WQI334" s="559"/>
      <c r="WQJ334" s="559"/>
      <c r="WQK334" s="559"/>
      <c r="WQL334" s="559"/>
      <c r="WQM334" s="559"/>
      <c r="WQN334" s="559"/>
      <c r="WQO334" s="559"/>
      <c r="WQP334" s="559"/>
      <c r="WQQ334" s="559"/>
      <c r="WQR334" s="559"/>
      <c r="WQS334" s="559"/>
      <c r="WQT334" s="559"/>
      <c r="WQU334" s="559"/>
      <c r="WQV334" s="559"/>
      <c r="WQW334" s="559"/>
      <c r="WQX334" s="559"/>
      <c r="WQY334" s="559"/>
      <c r="WQZ334" s="559"/>
      <c r="WRA334" s="559"/>
      <c r="WRB334" s="559"/>
      <c r="WRC334" s="559"/>
      <c r="WRD334" s="559"/>
      <c r="WRE334" s="559"/>
      <c r="WRF334" s="559"/>
      <c r="WRG334" s="559"/>
      <c r="WRH334" s="559"/>
      <c r="WRI334" s="559"/>
      <c r="WRJ334" s="559"/>
      <c r="WRK334" s="559"/>
      <c r="WRL334" s="559"/>
      <c r="WRM334" s="559"/>
      <c r="WRN334" s="559"/>
      <c r="WRO334" s="559"/>
      <c r="WRP334" s="559"/>
      <c r="WRQ334" s="559"/>
      <c r="WRR334" s="559"/>
      <c r="WRS334" s="559"/>
      <c r="WRT334" s="559"/>
      <c r="WRU334" s="559"/>
      <c r="WRV334" s="559"/>
      <c r="WRW334" s="559"/>
      <c r="WRX334" s="559"/>
      <c r="WRY334" s="559"/>
      <c r="WRZ334" s="559"/>
      <c r="WSA334" s="559"/>
      <c r="WSB334" s="559"/>
      <c r="WSC334" s="559"/>
      <c r="WSD334" s="559"/>
      <c r="WSE334" s="559"/>
      <c r="WSF334" s="559"/>
      <c r="WSG334" s="559"/>
      <c r="WSH334" s="559"/>
      <c r="WSI334" s="559"/>
      <c r="WSJ334" s="559"/>
      <c r="WSK334" s="559"/>
      <c r="WSL334" s="559"/>
      <c r="WSM334" s="559"/>
      <c r="WSN334" s="559"/>
      <c r="WSO334" s="559"/>
      <c r="WSP334" s="559"/>
      <c r="WSQ334" s="559"/>
      <c r="WSR334" s="559"/>
      <c r="WSS334" s="559"/>
      <c r="WST334" s="559"/>
      <c r="WSU334" s="559"/>
      <c r="WSV334" s="559"/>
      <c r="WSW334" s="559"/>
      <c r="WSX334" s="559"/>
      <c r="WSY334" s="559"/>
      <c r="WSZ334" s="559"/>
      <c r="WTA334" s="559"/>
      <c r="WTB334" s="559"/>
      <c r="WTC334" s="559"/>
      <c r="WTD334" s="559"/>
      <c r="WTE334" s="559"/>
      <c r="WTF334" s="559"/>
      <c r="WTG334" s="559"/>
      <c r="WTH334" s="559"/>
      <c r="WTI334" s="559"/>
      <c r="WTJ334" s="559"/>
      <c r="WTK334" s="559"/>
      <c r="WTL334" s="559"/>
      <c r="WTM334" s="559"/>
      <c r="WTN334" s="559"/>
      <c r="WTO334" s="559"/>
      <c r="WTP334" s="559"/>
      <c r="WTQ334" s="559"/>
      <c r="WTR334" s="559"/>
      <c r="WTS334" s="559"/>
      <c r="WTT334" s="559"/>
      <c r="WTU334" s="559"/>
      <c r="WTV334" s="559"/>
      <c r="WTW334" s="559"/>
      <c r="WTX334" s="559"/>
      <c r="WTY334" s="559"/>
      <c r="WTZ334" s="559"/>
      <c r="WUA334" s="559"/>
      <c r="WUB334" s="559"/>
      <c r="WUC334" s="559"/>
      <c r="WUD334" s="559"/>
      <c r="WUE334" s="559"/>
      <c r="WUF334" s="559"/>
      <c r="WUG334" s="559"/>
      <c r="WUH334" s="559"/>
      <c r="WUI334" s="559"/>
      <c r="WUJ334" s="559"/>
      <c r="WUK334" s="559"/>
      <c r="WUL334" s="559"/>
      <c r="WUM334" s="559"/>
      <c r="WUN334" s="559"/>
      <c r="WUO334" s="559"/>
      <c r="WUP334" s="559"/>
      <c r="WUQ334" s="559"/>
      <c r="WUR334" s="559"/>
      <c r="WUS334" s="559"/>
      <c r="WUT334" s="559"/>
      <c r="WUU334" s="559"/>
      <c r="WUV334" s="559"/>
      <c r="WUW334" s="559"/>
      <c r="WUX334" s="559"/>
      <c r="WUY334" s="559"/>
      <c r="WUZ334" s="559"/>
      <c r="WVA334" s="559"/>
      <c r="WVB334" s="559"/>
      <c r="WVC334" s="559"/>
      <c r="WVD334" s="559"/>
      <c r="WVE334" s="559"/>
      <c r="WVF334" s="559"/>
      <c r="WVG334" s="559"/>
      <c r="WVH334" s="559"/>
      <c r="WVI334" s="559"/>
      <c r="WVJ334" s="559"/>
      <c r="WVK334" s="559"/>
      <c r="WVL334" s="559"/>
      <c r="WVM334" s="559"/>
      <c r="WVN334" s="559"/>
      <c r="WVO334" s="559"/>
      <c r="WVP334" s="559"/>
      <c r="WVQ334" s="559"/>
      <c r="WVR334" s="559"/>
      <c r="WVS334" s="559"/>
      <c r="WVT334" s="559"/>
      <c r="WVU334" s="559"/>
      <c r="WVV334" s="559"/>
      <c r="WVW334" s="559"/>
      <c r="WVX334" s="559"/>
      <c r="WVY334" s="559"/>
      <c r="WVZ334" s="559"/>
      <c r="WWA334" s="559"/>
      <c r="WWB334" s="559"/>
      <c r="WWC334" s="559"/>
      <c r="WWD334" s="559"/>
      <c r="WWE334" s="559"/>
      <c r="WWF334" s="559"/>
      <c r="WWG334" s="559"/>
      <c r="WWH334" s="559"/>
      <c r="WWI334" s="559"/>
      <c r="WWJ334" s="559"/>
      <c r="WWK334" s="559"/>
      <c r="WWL334" s="559"/>
      <c r="WWM334" s="559"/>
      <c r="WWN334" s="559"/>
      <c r="WWO334" s="559"/>
      <c r="WWP334" s="559"/>
      <c r="WWQ334" s="559"/>
      <c r="WWR334" s="559"/>
      <c r="WWS334" s="559"/>
      <c r="WWT334" s="559"/>
      <c r="WWU334" s="559"/>
      <c r="WWV334" s="559"/>
      <c r="WWW334" s="559"/>
      <c r="WWX334" s="559"/>
      <c r="WWY334" s="559"/>
      <c r="WWZ334" s="559"/>
      <c r="WXA334" s="559"/>
      <c r="WXB334" s="559"/>
      <c r="WXC334" s="559"/>
      <c r="WXD334" s="559"/>
      <c r="WXE334" s="559"/>
      <c r="WXF334" s="559"/>
      <c r="WXG334" s="559"/>
      <c r="WXH334" s="559"/>
      <c r="WXI334" s="559"/>
      <c r="WXJ334" s="559"/>
      <c r="WXK334" s="559"/>
      <c r="WXL334" s="559"/>
      <c r="WXM334" s="559"/>
      <c r="WXN334" s="559"/>
      <c r="WXO334" s="559"/>
      <c r="WXP334" s="559"/>
      <c r="WXQ334" s="559"/>
      <c r="WXR334" s="559"/>
      <c r="WXS334" s="559"/>
      <c r="WXT334" s="559"/>
      <c r="WXU334" s="559"/>
      <c r="WXV334" s="559"/>
      <c r="WXW334" s="559"/>
      <c r="WXX334" s="559"/>
      <c r="WXY334" s="559"/>
      <c r="WXZ334" s="559"/>
      <c r="WYA334" s="559"/>
      <c r="WYB334" s="559"/>
      <c r="WYC334" s="559"/>
      <c r="WYD334" s="559"/>
      <c r="WYE334" s="559"/>
      <c r="WYF334" s="559"/>
      <c r="WYG334" s="559"/>
      <c r="WYH334" s="559"/>
      <c r="WYI334" s="559"/>
      <c r="WYJ334" s="559"/>
      <c r="WYK334" s="559"/>
      <c r="WYL334" s="559"/>
      <c r="WYM334" s="559"/>
      <c r="WYN334" s="559"/>
      <c r="WYO334" s="559"/>
      <c r="WYP334" s="559"/>
      <c r="WYQ334" s="559"/>
      <c r="WYR334" s="559"/>
      <c r="WYS334" s="559"/>
      <c r="WYT334" s="559"/>
      <c r="WYU334" s="559"/>
      <c r="WYV334" s="559"/>
      <c r="WYW334" s="559"/>
      <c r="WYX334" s="559"/>
      <c r="WYY334" s="559"/>
      <c r="WYZ334" s="559"/>
      <c r="WZA334" s="559"/>
      <c r="WZB334" s="559"/>
      <c r="WZC334" s="559"/>
      <c r="WZD334" s="559"/>
      <c r="WZE334" s="559"/>
      <c r="WZF334" s="559"/>
      <c r="WZG334" s="559"/>
      <c r="WZH334" s="559"/>
      <c r="WZI334" s="559"/>
      <c r="WZJ334" s="559"/>
      <c r="WZK334" s="559"/>
      <c r="WZL334" s="559"/>
      <c r="WZM334" s="559"/>
      <c r="WZN334" s="559"/>
      <c r="WZO334" s="559"/>
      <c r="WZP334" s="559"/>
      <c r="WZQ334" s="559"/>
      <c r="WZR334" s="559"/>
      <c r="WZS334" s="559"/>
      <c r="WZT334" s="559"/>
      <c r="WZU334" s="559"/>
      <c r="WZV334" s="559"/>
      <c r="WZW334" s="559"/>
      <c r="WZX334" s="559"/>
      <c r="WZY334" s="559"/>
      <c r="WZZ334" s="559"/>
      <c r="XAA334" s="559"/>
      <c r="XAB334" s="559"/>
      <c r="XAC334" s="559"/>
      <c r="XAD334" s="559"/>
      <c r="XAE334" s="559"/>
      <c r="XAF334" s="559"/>
      <c r="XAG334" s="559"/>
      <c r="XAH334" s="559"/>
      <c r="XAI334" s="559"/>
      <c r="XAJ334" s="559"/>
      <c r="XAK334" s="559"/>
      <c r="XAL334" s="559"/>
      <c r="XAM334" s="559"/>
      <c r="XAN334" s="559"/>
      <c r="XAO334" s="559"/>
      <c r="XAP334" s="559"/>
      <c r="XAQ334" s="559"/>
      <c r="XAR334" s="559"/>
      <c r="XAS334" s="559"/>
      <c r="XAT334" s="559"/>
      <c r="XAU334" s="559"/>
      <c r="XAV334" s="559"/>
      <c r="XAW334" s="559"/>
      <c r="XAX334" s="559"/>
      <c r="XAY334" s="559"/>
      <c r="XAZ334" s="559"/>
      <c r="XBA334" s="559"/>
      <c r="XBB334" s="559"/>
      <c r="XBC334" s="559"/>
      <c r="XBD334" s="559"/>
      <c r="XBE334" s="559"/>
      <c r="XBF334" s="559"/>
      <c r="XBG334" s="559"/>
      <c r="XBH334" s="559"/>
      <c r="XBI334" s="559"/>
      <c r="XBJ334" s="559"/>
      <c r="XBK334" s="559"/>
      <c r="XBL334" s="559"/>
      <c r="XBM334" s="559"/>
      <c r="XBN334" s="559"/>
      <c r="XBO334" s="559"/>
      <c r="XBP334" s="559"/>
      <c r="XBQ334" s="559"/>
      <c r="XBR334" s="559"/>
      <c r="XBS334" s="559"/>
      <c r="XBT334" s="559"/>
      <c r="XBU334" s="559"/>
      <c r="XBV334" s="559"/>
      <c r="XBW334" s="559"/>
      <c r="XBX334" s="559"/>
      <c r="XBY334" s="559"/>
      <c r="XBZ334" s="559"/>
      <c r="XCA334" s="559"/>
      <c r="XCB334" s="559"/>
      <c r="XCC334" s="559"/>
      <c r="XCD334" s="559"/>
      <c r="XCE334" s="559"/>
      <c r="XCF334" s="559"/>
      <c r="XCG334" s="559"/>
      <c r="XCH334" s="559"/>
      <c r="XCI334" s="559"/>
      <c r="XCJ334" s="559"/>
      <c r="XCK334" s="559"/>
      <c r="XCL334" s="559"/>
      <c r="XCM334" s="559"/>
      <c r="XCN334" s="559"/>
      <c r="XCO334" s="559"/>
      <c r="XCP334" s="559"/>
      <c r="XCQ334" s="559"/>
      <c r="XCR334" s="559"/>
      <c r="XCS334" s="559"/>
      <c r="XCT334" s="559"/>
      <c r="XCU334" s="559"/>
      <c r="XCV334" s="559"/>
      <c r="XCW334" s="559"/>
      <c r="XCX334" s="559"/>
      <c r="XCY334" s="559"/>
      <c r="XCZ334" s="559"/>
      <c r="XDA334" s="559"/>
      <c r="XDB334" s="559"/>
      <c r="XDC334" s="559"/>
      <c r="XDD334" s="559"/>
      <c r="XDE334" s="559"/>
      <c r="XDF334" s="559"/>
      <c r="XDG334" s="559"/>
      <c r="XDH334" s="559"/>
      <c r="XDI334" s="559"/>
      <c r="XDJ334" s="559"/>
      <c r="XDK334" s="559"/>
      <c r="XDL334" s="559"/>
      <c r="XDM334" s="559"/>
      <c r="XDN334" s="559"/>
      <c r="XDO334" s="559"/>
      <c r="XDP334" s="559"/>
      <c r="XDQ334" s="559"/>
      <c r="XDR334" s="559"/>
      <c r="XDS334" s="559"/>
      <c r="XDT334" s="559"/>
      <c r="XDU334" s="559"/>
      <c r="XDV334" s="559"/>
      <c r="XDW334" s="559"/>
      <c r="XDX334" s="559"/>
      <c r="XDY334" s="559"/>
      <c r="XDZ334" s="559"/>
      <c r="XEA334" s="559"/>
      <c r="XEB334" s="559"/>
      <c r="XEC334" s="559"/>
      <c r="XED334" s="559"/>
      <c r="XEE334" s="559"/>
      <c r="XEF334" s="559"/>
      <c r="XEG334" s="559"/>
      <c r="XEH334" s="559"/>
      <c r="XEI334" s="559"/>
      <c r="XEJ334" s="559"/>
      <c r="XEK334" s="559"/>
      <c r="XEL334" s="559"/>
      <c r="XEM334" s="559"/>
      <c r="XEN334" s="559"/>
      <c r="XEO334" s="559"/>
      <c r="XEP334" s="559"/>
      <c r="XEQ334" s="559"/>
      <c r="XER334" s="559"/>
    </row>
    <row r="335" spans="1:16372">
      <c r="A335" s="970" t="s">
        <v>4</v>
      </c>
      <c r="B335" s="516">
        <v>1812200110</v>
      </c>
      <c r="C335" s="970">
        <v>110</v>
      </c>
      <c r="D335" s="970">
        <v>812200</v>
      </c>
      <c r="E335" s="480">
        <v>1</v>
      </c>
      <c r="F335" s="970" t="s">
        <v>556</v>
      </c>
      <c r="G335" s="67">
        <v>6391000</v>
      </c>
      <c r="H335" s="915">
        <v>7140000</v>
      </c>
      <c r="I335" s="915">
        <v>12848000</v>
      </c>
      <c r="J335" s="230" t="s">
        <v>274</v>
      </c>
      <c r="K335" s="969"/>
      <c r="N335" s="478"/>
    </row>
    <row r="336" spans="1:16372">
      <c r="A336" s="970"/>
      <c r="B336" s="1049">
        <v>1812200430</v>
      </c>
      <c r="C336" s="970">
        <v>430</v>
      </c>
      <c r="D336" s="970">
        <v>812200</v>
      </c>
      <c r="E336" s="970">
        <v>1</v>
      </c>
      <c r="F336" s="970" t="s">
        <v>311</v>
      </c>
      <c r="G336" s="67">
        <v>340000</v>
      </c>
      <c r="H336" s="915">
        <v>377000</v>
      </c>
      <c r="I336" s="915">
        <v>390000</v>
      </c>
      <c r="J336" s="230" t="s">
        <v>557</v>
      </c>
      <c r="K336" s="969"/>
      <c r="N336" s="478"/>
    </row>
    <row r="337" spans="1:14">
      <c r="A337" s="970"/>
      <c r="B337" s="1049">
        <v>1812200432</v>
      </c>
      <c r="C337" s="970">
        <v>432</v>
      </c>
      <c r="D337" s="970">
        <v>812200</v>
      </c>
      <c r="E337" s="970">
        <v>1</v>
      </c>
      <c r="F337" s="970" t="s">
        <v>462</v>
      </c>
      <c r="G337" s="67">
        <v>150000</v>
      </c>
      <c r="H337" s="915">
        <v>150000</v>
      </c>
      <c r="I337" s="915">
        <v>159000</v>
      </c>
      <c r="J337" s="230" t="s">
        <v>558</v>
      </c>
      <c r="K337" s="969"/>
      <c r="N337" s="478"/>
    </row>
    <row r="338" spans="1:14" ht="42.75">
      <c r="A338" s="970"/>
      <c r="B338" s="1049">
        <v>1812200743</v>
      </c>
      <c r="C338" s="970">
        <v>743</v>
      </c>
      <c r="D338" s="970">
        <v>812200</v>
      </c>
      <c r="E338" s="970">
        <v>1</v>
      </c>
      <c r="F338" s="970" t="s">
        <v>559</v>
      </c>
      <c r="G338" s="67">
        <v>150000</v>
      </c>
      <c r="H338" s="915">
        <v>118000</v>
      </c>
      <c r="I338" s="915">
        <v>253000</v>
      </c>
      <c r="J338" s="1057" t="s">
        <v>3971</v>
      </c>
      <c r="K338" s="969"/>
      <c r="N338" s="478"/>
    </row>
    <row r="339" spans="1:14">
      <c r="A339" s="970"/>
      <c r="B339" s="1049">
        <v>1812200750</v>
      </c>
      <c r="C339" s="970">
        <v>750</v>
      </c>
      <c r="D339" s="970">
        <v>812200</v>
      </c>
      <c r="E339" s="970">
        <v>1</v>
      </c>
      <c r="F339" s="970" t="s">
        <v>288</v>
      </c>
      <c r="G339" s="67">
        <v>400000</v>
      </c>
      <c r="H339" s="915">
        <v>417000</v>
      </c>
      <c r="I339" s="915">
        <v>400000</v>
      </c>
      <c r="J339" s="230" t="s">
        <v>2196</v>
      </c>
      <c r="K339" s="969"/>
      <c r="N339" s="478"/>
    </row>
    <row r="340" spans="1:14">
      <c r="A340" s="970"/>
      <c r="B340" s="1049">
        <v>1812200752</v>
      </c>
      <c r="C340" s="970">
        <v>752</v>
      </c>
      <c r="D340" s="970">
        <v>812200</v>
      </c>
      <c r="E340" s="970">
        <v>1</v>
      </c>
      <c r="F340" s="970" t="s">
        <v>561</v>
      </c>
      <c r="G340" s="67">
        <v>153000</v>
      </c>
      <c r="H340" s="915">
        <v>126000</v>
      </c>
      <c r="I340" s="915">
        <v>178000</v>
      </c>
      <c r="J340" s="1055" t="s">
        <v>562</v>
      </c>
      <c r="K340" s="969"/>
      <c r="N340" s="478"/>
    </row>
    <row r="341" spans="1:14" ht="42.75">
      <c r="A341" s="970"/>
      <c r="B341" s="1049">
        <v>1812200780</v>
      </c>
      <c r="C341" s="970">
        <v>780</v>
      </c>
      <c r="D341" s="970">
        <v>812200</v>
      </c>
      <c r="E341" s="970">
        <v>1</v>
      </c>
      <c r="F341" s="970" t="s">
        <v>280</v>
      </c>
      <c r="G341" s="67">
        <v>1798000</v>
      </c>
      <c r="H341" s="915">
        <v>1799000</v>
      </c>
      <c r="I341" s="915">
        <v>1928000</v>
      </c>
      <c r="J341" s="1042" t="s">
        <v>3845</v>
      </c>
      <c r="K341" s="969"/>
      <c r="N341" s="478"/>
    </row>
    <row r="342" spans="1:14" s="43" customFormat="1" ht="42.75">
      <c r="A342" s="970"/>
      <c r="B342" s="1049">
        <v>1812200781</v>
      </c>
      <c r="C342" s="970">
        <v>781</v>
      </c>
      <c r="D342" s="970">
        <v>812200</v>
      </c>
      <c r="E342" s="970">
        <v>1</v>
      </c>
      <c r="F342" s="485" t="s">
        <v>2222</v>
      </c>
      <c r="G342" s="67">
        <v>2975000</v>
      </c>
      <c r="H342" s="915">
        <v>3062000</v>
      </c>
      <c r="I342" s="917">
        <v>3285000</v>
      </c>
      <c r="J342" s="1042" t="s">
        <v>3845</v>
      </c>
      <c r="K342" s="969"/>
      <c r="N342" s="478"/>
    </row>
    <row r="343" spans="1:14">
      <c r="A343" s="970"/>
      <c r="B343" s="1049">
        <v>1812200980</v>
      </c>
      <c r="C343" s="970">
        <v>980</v>
      </c>
      <c r="D343" s="970">
        <v>812200</v>
      </c>
      <c r="E343" s="970">
        <v>1</v>
      </c>
      <c r="F343" s="970" t="s">
        <v>546</v>
      </c>
      <c r="G343" s="67">
        <v>1600000</v>
      </c>
      <c r="H343" s="915">
        <v>1600000</v>
      </c>
      <c r="I343" s="915">
        <v>1650000</v>
      </c>
      <c r="J343" s="1055" t="s">
        <v>3848</v>
      </c>
      <c r="K343" s="969"/>
      <c r="N343" s="478"/>
    </row>
    <row r="344" spans="1:14" ht="15">
      <c r="A344" s="68" t="s">
        <v>564</v>
      </c>
      <c r="B344" s="920"/>
      <c r="C344" s="68">
        <v>999</v>
      </c>
      <c r="D344" s="68">
        <v>812200</v>
      </c>
      <c r="E344" s="970">
        <v>1</v>
      </c>
      <c r="F344" s="68"/>
      <c r="G344" s="69">
        <v>41610000</v>
      </c>
      <c r="H344" s="946">
        <v>42896000</v>
      </c>
      <c r="I344" s="916">
        <v>52813000</v>
      </c>
      <c r="J344" s="1050"/>
      <c r="K344" s="969"/>
      <c r="N344" s="478"/>
    </row>
    <row r="345" spans="1:14">
      <c r="A345" s="970" t="s">
        <v>565</v>
      </c>
      <c r="B345" s="516">
        <v>1812300110</v>
      </c>
      <c r="C345" s="970">
        <v>110</v>
      </c>
      <c r="D345" s="970">
        <v>812300</v>
      </c>
      <c r="E345" s="480">
        <v>1</v>
      </c>
      <c r="F345" s="970" t="s">
        <v>566</v>
      </c>
      <c r="G345" s="67">
        <v>7120000</v>
      </c>
      <c r="H345" s="915">
        <v>6998000</v>
      </c>
      <c r="I345" s="915">
        <v>7652000</v>
      </c>
      <c r="J345" s="230" t="s">
        <v>274</v>
      </c>
      <c r="K345" s="969"/>
      <c r="N345" s="478"/>
    </row>
    <row r="346" spans="1:14">
      <c r="A346" s="970"/>
      <c r="B346" s="1049">
        <v>1812300430</v>
      </c>
      <c r="C346" s="970">
        <v>430</v>
      </c>
      <c r="D346" s="970">
        <v>812300</v>
      </c>
      <c r="E346" s="970">
        <v>1</v>
      </c>
      <c r="F346" s="970" t="s">
        <v>311</v>
      </c>
      <c r="G346" s="67">
        <v>350000</v>
      </c>
      <c r="H346" s="915">
        <v>420000</v>
      </c>
      <c r="I346" s="915">
        <v>390000</v>
      </c>
      <c r="J346" s="230" t="s">
        <v>567</v>
      </c>
      <c r="K346" s="969"/>
      <c r="N346" s="478"/>
    </row>
    <row r="347" spans="1:14">
      <c r="A347" s="970" t="s">
        <v>4</v>
      </c>
      <c r="B347" s="1049">
        <v>1812300432</v>
      </c>
      <c r="C347" s="970">
        <v>432</v>
      </c>
      <c r="D347" s="970">
        <v>812300</v>
      </c>
      <c r="E347" s="970">
        <v>1</v>
      </c>
      <c r="F347" s="970" t="s">
        <v>462</v>
      </c>
      <c r="G347" s="67">
        <v>150000</v>
      </c>
      <c r="H347" s="915">
        <v>150000</v>
      </c>
      <c r="I347" s="915">
        <v>150000</v>
      </c>
      <c r="J347" s="230" t="s">
        <v>568</v>
      </c>
      <c r="K347" s="969"/>
      <c r="N347" s="478"/>
    </row>
    <row r="348" spans="1:14" ht="28.5">
      <c r="A348" s="970"/>
      <c r="B348" s="1049">
        <v>1812300780</v>
      </c>
      <c r="C348" s="970">
        <v>780</v>
      </c>
      <c r="D348" s="970">
        <v>812300</v>
      </c>
      <c r="E348" s="970">
        <v>1</v>
      </c>
      <c r="F348" s="970" t="s">
        <v>280</v>
      </c>
      <c r="G348" s="67">
        <v>1240000</v>
      </c>
      <c r="H348" s="915">
        <v>1240000</v>
      </c>
      <c r="I348" s="915">
        <v>1240000</v>
      </c>
      <c r="J348" s="1042" t="s">
        <v>3847</v>
      </c>
      <c r="K348" s="969"/>
      <c r="N348" s="478"/>
    </row>
    <row r="349" spans="1:14" ht="28.5">
      <c r="A349" s="970"/>
      <c r="B349" s="1049">
        <v>1812300781</v>
      </c>
      <c r="C349" s="970">
        <v>781</v>
      </c>
      <c r="D349" s="970">
        <v>812300</v>
      </c>
      <c r="E349" s="970">
        <v>1</v>
      </c>
      <c r="F349" s="970" t="s">
        <v>569</v>
      </c>
      <c r="G349" s="67">
        <v>2160000</v>
      </c>
      <c r="H349" s="915">
        <v>2927000</v>
      </c>
      <c r="I349" s="915">
        <v>2500000</v>
      </c>
      <c r="J349" s="1069" t="s">
        <v>3846</v>
      </c>
      <c r="K349" s="969"/>
      <c r="N349" s="478"/>
    </row>
    <row r="350" spans="1:14" s="43" customFormat="1">
      <c r="A350" s="970"/>
      <c r="B350" s="1049">
        <v>1812300782</v>
      </c>
      <c r="C350" s="970">
        <v>782</v>
      </c>
      <c r="D350" s="970">
        <v>812300</v>
      </c>
      <c r="E350" s="970">
        <v>1</v>
      </c>
      <c r="F350" s="970" t="s">
        <v>52</v>
      </c>
      <c r="G350" s="67">
        <v>250000</v>
      </c>
      <c r="H350" s="915">
        <v>250000</v>
      </c>
      <c r="I350" s="915">
        <v>2650000</v>
      </c>
      <c r="J350" s="230" t="s">
        <v>571</v>
      </c>
      <c r="K350" s="969"/>
      <c r="N350" s="478"/>
    </row>
    <row r="351" spans="1:14">
      <c r="A351" s="970"/>
      <c r="B351" s="1049">
        <v>1812300821</v>
      </c>
      <c r="C351" s="970">
        <v>821</v>
      </c>
      <c r="D351" s="970">
        <v>812300</v>
      </c>
      <c r="E351" s="970">
        <v>1</v>
      </c>
      <c r="F351" s="970" t="s">
        <v>572</v>
      </c>
      <c r="G351" s="67">
        <v>28847000</v>
      </c>
      <c r="H351" s="915">
        <v>29095000</v>
      </c>
      <c r="I351" s="915">
        <v>28847000</v>
      </c>
      <c r="J351" s="230" t="s">
        <v>573</v>
      </c>
      <c r="K351" s="969"/>
      <c r="N351" s="478"/>
    </row>
    <row r="352" spans="1:14">
      <c r="A352" s="970"/>
      <c r="B352" s="516">
        <v>1812600110</v>
      </c>
      <c r="C352" s="970">
        <v>110</v>
      </c>
      <c r="D352" s="970">
        <v>812600</v>
      </c>
      <c r="E352" s="480">
        <v>1</v>
      </c>
      <c r="F352" s="970" t="s">
        <v>574</v>
      </c>
      <c r="G352" s="67">
        <v>3271000</v>
      </c>
      <c r="H352" s="915">
        <v>408000</v>
      </c>
      <c r="I352" s="915">
        <v>761000</v>
      </c>
      <c r="J352" s="230" t="s">
        <v>274</v>
      </c>
      <c r="K352" s="969"/>
      <c r="N352" s="478"/>
    </row>
    <row r="353" spans="1:14" ht="15">
      <c r="A353" s="68" t="s">
        <v>575</v>
      </c>
      <c r="B353" s="920"/>
      <c r="C353" s="68">
        <v>999</v>
      </c>
      <c r="D353" s="68">
        <v>812300</v>
      </c>
      <c r="E353" s="970">
        <v>1</v>
      </c>
      <c r="F353" s="68"/>
      <c r="G353" s="69">
        <v>43388000</v>
      </c>
      <c r="H353" s="946">
        <v>41488000</v>
      </c>
      <c r="I353" s="916">
        <v>44190000</v>
      </c>
      <c r="J353" s="1050"/>
      <c r="K353" s="969"/>
      <c r="N353" s="478"/>
    </row>
    <row r="354" spans="1:14">
      <c r="A354" s="970" t="s">
        <v>576</v>
      </c>
      <c r="B354" s="516">
        <v>1813100110</v>
      </c>
      <c r="C354" s="970">
        <v>110</v>
      </c>
      <c r="D354" s="970">
        <v>813100</v>
      </c>
      <c r="E354" s="480">
        <v>1</v>
      </c>
      <c r="F354" s="970" t="s">
        <v>577</v>
      </c>
      <c r="G354" s="67">
        <v>20961000</v>
      </c>
      <c r="H354" s="915">
        <v>20176000</v>
      </c>
      <c r="I354" s="915">
        <v>20181000</v>
      </c>
      <c r="J354" s="230" t="s">
        <v>274</v>
      </c>
      <c r="K354" s="969"/>
      <c r="N354" s="478"/>
    </row>
    <row r="355" spans="1:14">
      <c r="A355" s="970"/>
      <c r="B355" s="516">
        <v>1813200110</v>
      </c>
      <c r="C355" s="970">
        <v>110</v>
      </c>
      <c r="D355" s="970">
        <v>813200</v>
      </c>
      <c r="E355" s="480">
        <v>1</v>
      </c>
      <c r="F355" s="970" t="s">
        <v>578</v>
      </c>
      <c r="G355" s="67">
        <v>14383000</v>
      </c>
      <c r="H355" s="915">
        <v>15530000</v>
      </c>
      <c r="I355" s="915">
        <v>13388000</v>
      </c>
      <c r="J355" s="71" t="s">
        <v>274</v>
      </c>
      <c r="K355" s="969"/>
      <c r="N355" s="478"/>
    </row>
    <row r="356" spans="1:14">
      <c r="A356" s="970"/>
      <c r="B356" s="1049">
        <v>1813200410</v>
      </c>
      <c r="C356" s="970">
        <v>410</v>
      </c>
      <c r="D356" s="970">
        <v>813200</v>
      </c>
      <c r="E356" s="970">
        <v>1</v>
      </c>
      <c r="F356" s="970" t="s">
        <v>304</v>
      </c>
      <c r="G356" s="67">
        <v>201617</v>
      </c>
      <c r="H356" s="915">
        <v>202000</v>
      </c>
      <c r="I356" s="915">
        <v>200000</v>
      </c>
      <c r="J356" s="230" t="s">
        <v>305</v>
      </c>
      <c r="K356" s="969"/>
      <c r="N356" s="478"/>
    </row>
    <row r="357" spans="1:14">
      <c r="A357" s="970"/>
      <c r="B357" s="1049">
        <v>1813200430</v>
      </c>
      <c r="C357" s="970">
        <v>430</v>
      </c>
      <c r="D357" s="970">
        <v>813200</v>
      </c>
      <c r="E357" s="970">
        <v>1</v>
      </c>
      <c r="F357" s="970" t="s">
        <v>311</v>
      </c>
      <c r="G357" s="67">
        <v>1548000</v>
      </c>
      <c r="H357" s="915">
        <v>1548000</v>
      </c>
      <c r="I357" s="915">
        <v>1600000</v>
      </c>
      <c r="J357" s="71" t="s">
        <v>2626</v>
      </c>
      <c r="K357" s="969"/>
      <c r="N357" s="478"/>
    </row>
    <row r="358" spans="1:14">
      <c r="A358" s="970"/>
      <c r="B358" s="1049">
        <v>1813200432</v>
      </c>
      <c r="C358" s="970">
        <v>432</v>
      </c>
      <c r="D358" s="970">
        <v>813200</v>
      </c>
      <c r="E358" s="970">
        <v>1</v>
      </c>
      <c r="F358" s="970" t="s">
        <v>462</v>
      </c>
      <c r="G358" s="67">
        <v>1700000</v>
      </c>
      <c r="H358" s="915">
        <v>1699000</v>
      </c>
      <c r="I358" s="915">
        <v>1200000</v>
      </c>
      <c r="J358" s="71" t="s">
        <v>2625</v>
      </c>
      <c r="K358" s="969"/>
      <c r="N358" s="478"/>
    </row>
    <row r="359" spans="1:14" ht="28.5">
      <c r="A359" s="970"/>
      <c r="B359" s="1049">
        <v>1813200743</v>
      </c>
      <c r="C359" s="970">
        <v>743</v>
      </c>
      <c r="D359" s="970">
        <v>813200</v>
      </c>
      <c r="E359" s="970">
        <v>1</v>
      </c>
      <c r="F359" s="970" t="s">
        <v>580</v>
      </c>
      <c r="G359" s="67">
        <v>200000</v>
      </c>
      <c r="H359" s="915">
        <v>0</v>
      </c>
      <c r="I359" s="915">
        <v>200000</v>
      </c>
      <c r="J359" s="230" t="s">
        <v>3721</v>
      </c>
      <c r="K359" s="969"/>
      <c r="N359" s="478"/>
    </row>
    <row r="360" spans="1:14" ht="28.5">
      <c r="A360" s="970"/>
      <c r="B360" s="1049">
        <v>1813200751</v>
      </c>
      <c r="C360" s="970">
        <v>751</v>
      </c>
      <c r="D360" s="970">
        <v>813200</v>
      </c>
      <c r="E360" s="970">
        <v>1</v>
      </c>
      <c r="F360" s="970" t="s">
        <v>581</v>
      </c>
      <c r="G360" s="67">
        <v>8532000</v>
      </c>
      <c r="H360" s="915">
        <v>7697000</v>
      </c>
      <c r="I360" s="915">
        <v>8523000</v>
      </c>
      <c r="J360" s="230" t="s">
        <v>2627</v>
      </c>
      <c r="K360" s="969"/>
      <c r="N360" s="478"/>
    </row>
    <row r="361" spans="1:14" ht="56.25" customHeight="1">
      <c r="A361" s="970"/>
      <c r="B361" s="1049">
        <v>1813200780</v>
      </c>
      <c r="C361" s="970">
        <v>780</v>
      </c>
      <c r="D361" s="970">
        <v>813200</v>
      </c>
      <c r="E361" s="970">
        <v>1</v>
      </c>
      <c r="F361" s="970" t="s">
        <v>280</v>
      </c>
      <c r="G361" s="67">
        <v>5068000</v>
      </c>
      <c r="H361" s="915">
        <v>5090000</v>
      </c>
      <c r="I361" s="915">
        <v>4265000</v>
      </c>
      <c r="J361" s="1042" t="s">
        <v>3973</v>
      </c>
      <c r="K361" s="969"/>
      <c r="N361" s="478"/>
    </row>
    <row r="362" spans="1:14" ht="28.5">
      <c r="A362" s="970"/>
      <c r="B362" s="1049">
        <v>1813200781</v>
      </c>
      <c r="C362" s="970">
        <v>781</v>
      </c>
      <c r="D362" s="970">
        <v>813200</v>
      </c>
      <c r="E362" s="970">
        <v>1</v>
      </c>
      <c r="F362" s="970" t="s">
        <v>60</v>
      </c>
      <c r="G362" s="67">
        <v>4427000</v>
      </c>
      <c r="H362" s="915">
        <v>4429000</v>
      </c>
      <c r="I362" s="915">
        <v>2927000</v>
      </c>
      <c r="J362" s="230" t="s">
        <v>2628</v>
      </c>
      <c r="K362" s="969"/>
      <c r="N362" s="478"/>
    </row>
    <row r="363" spans="1:14" s="43" customFormat="1">
      <c r="A363" s="970"/>
      <c r="B363" s="1049">
        <v>1813200782</v>
      </c>
      <c r="C363" s="970">
        <v>782</v>
      </c>
      <c r="D363" s="970">
        <v>813200</v>
      </c>
      <c r="E363" s="970">
        <v>1</v>
      </c>
      <c r="F363" s="970" t="s">
        <v>2411</v>
      </c>
      <c r="G363" s="67">
        <v>780000</v>
      </c>
      <c r="H363" s="915">
        <v>780000</v>
      </c>
      <c r="I363" s="915">
        <v>780000</v>
      </c>
      <c r="J363" s="230" t="s">
        <v>2412</v>
      </c>
      <c r="K363" s="969"/>
      <c r="N363" s="478"/>
    </row>
    <row r="364" spans="1:14">
      <c r="A364" s="970"/>
      <c r="B364" s="1049">
        <v>1813200980</v>
      </c>
      <c r="C364" s="970">
        <v>980</v>
      </c>
      <c r="D364" s="970">
        <v>813200</v>
      </c>
      <c r="E364" s="970">
        <v>1</v>
      </c>
      <c r="F364" s="970" t="s">
        <v>546</v>
      </c>
      <c r="G364" s="67">
        <v>2940000</v>
      </c>
      <c r="H364" s="915">
        <v>2740000</v>
      </c>
      <c r="I364" s="915">
        <v>2360000</v>
      </c>
      <c r="J364" s="948"/>
      <c r="K364" s="969"/>
      <c r="N364" s="478"/>
    </row>
    <row r="365" spans="1:14" ht="15">
      <c r="A365" s="68" t="s">
        <v>584</v>
      </c>
      <c r="B365" s="920"/>
      <c r="C365" s="68">
        <v>999</v>
      </c>
      <c r="D365" s="68">
        <v>813200</v>
      </c>
      <c r="E365" s="970">
        <v>1</v>
      </c>
      <c r="F365" s="68"/>
      <c r="G365" s="69">
        <v>60740617</v>
      </c>
      <c r="H365" s="946">
        <v>59891000</v>
      </c>
      <c r="I365" s="916">
        <v>55624000</v>
      </c>
      <c r="J365" s="1050"/>
      <c r="K365" s="969"/>
      <c r="N365" s="478"/>
    </row>
    <row r="366" spans="1:14">
      <c r="A366" s="970" t="s">
        <v>585</v>
      </c>
      <c r="B366" s="516">
        <v>1813300110</v>
      </c>
      <c r="C366" s="970">
        <v>110</v>
      </c>
      <c r="D366" s="970">
        <v>813300</v>
      </c>
      <c r="E366" s="480">
        <v>1</v>
      </c>
      <c r="F366" s="970" t="s">
        <v>586</v>
      </c>
      <c r="G366" s="67">
        <v>1704000</v>
      </c>
      <c r="H366" s="915">
        <v>3703000</v>
      </c>
      <c r="I366" s="915">
        <v>2957000</v>
      </c>
      <c r="J366" s="71" t="s">
        <v>274</v>
      </c>
      <c r="K366" s="969"/>
      <c r="N366" s="478"/>
    </row>
    <row r="367" spans="1:14">
      <c r="A367" s="970"/>
      <c r="B367" s="1049">
        <v>1813300430</v>
      </c>
      <c r="C367" s="970">
        <v>430</v>
      </c>
      <c r="D367" s="970">
        <v>813300</v>
      </c>
      <c r="E367" s="970">
        <v>1</v>
      </c>
      <c r="F367" s="970" t="s">
        <v>311</v>
      </c>
      <c r="G367" s="67">
        <v>150000</v>
      </c>
      <c r="H367" s="915">
        <v>76000</v>
      </c>
      <c r="I367" s="915">
        <v>162000</v>
      </c>
      <c r="J367" s="230" t="s">
        <v>2225</v>
      </c>
      <c r="K367" s="969"/>
      <c r="N367" s="478"/>
    </row>
    <row r="368" spans="1:14">
      <c r="A368" s="970"/>
      <c r="B368" s="1049">
        <v>1813300432</v>
      </c>
      <c r="C368" s="970">
        <v>432</v>
      </c>
      <c r="D368" s="970">
        <v>813300</v>
      </c>
      <c r="E368" s="970">
        <v>1</v>
      </c>
      <c r="F368" s="970" t="s">
        <v>462</v>
      </c>
      <c r="G368" s="67">
        <v>180000</v>
      </c>
      <c r="H368" s="915">
        <v>180000</v>
      </c>
      <c r="I368" s="915">
        <v>180000</v>
      </c>
      <c r="J368" s="230" t="s">
        <v>2226</v>
      </c>
      <c r="K368" s="969"/>
      <c r="N368" s="478"/>
    </row>
    <row r="369" spans="1:14" ht="28.5">
      <c r="A369" s="970"/>
      <c r="B369" s="1049">
        <v>1813300780</v>
      </c>
      <c r="C369" s="970">
        <v>780</v>
      </c>
      <c r="D369" s="970">
        <v>813300</v>
      </c>
      <c r="E369" s="970">
        <v>1</v>
      </c>
      <c r="F369" s="970" t="s">
        <v>280</v>
      </c>
      <c r="G369" s="67">
        <v>1500000</v>
      </c>
      <c r="H369" s="915">
        <v>1500000</v>
      </c>
      <c r="I369" s="915">
        <v>1500000</v>
      </c>
      <c r="J369" s="230" t="s">
        <v>2629</v>
      </c>
      <c r="K369" s="969"/>
      <c r="N369" s="478"/>
    </row>
    <row r="370" spans="1:14" ht="15">
      <c r="A370" s="68" t="s">
        <v>588</v>
      </c>
      <c r="B370" s="920"/>
      <c r="C370" s="68">
        <v>999</v>
      </c>
      <c r="D370" s="68">
        <v>813300</v>
      </c>
      <c r="E370" s="970">
        <v>1</v>
      </c>
      <c r="F370" s="68"/>
      <c r="G370" s="69">
        <v>3534000</v>
      </c>
      <c r="H370" s="945">
        <v>5459000</v>
      </c>
      <c r="I370" s="916">
        <v>4799000</v>
      </c>
      <c r="J370" s="1050"/>
      <c r="K370" s="969"/>
      <c r="N370" s="478"/>
    </row>
    <row r="371" spans="1:14">
      <c r="A371" s="970" t="s">
        <v>589</v>
      </c>
      <c r="B371" s="516">
        <v>1813400110</v>
      </c>
      <c r="C371" s="970">
        <v>110</v>
      </c>
      <c r="D371" s="970">
        <v>813400</v>
      </c>
      <c r="E371" s="480">
        <v>1</v>
      </c>
      <c r="F371" s="970" t="s">
        <v>590</v>
      </c>
      <c r="G371" s="67">
        <v>673000</v>
      </c>
      <c r="H371" s="915">
        <v>906000</v>
      </c>
      <c r="I371" s="915">
        <v>761000</v>
      </c>
      <c r="J371" s="230" t="s">
        <v>274</v>
      </c>
      <c r="K371" s="969"/>
      <c r="N371" s="478"/>
    </row>
    <row r="372" spans="1:14">
      <c r="A372" s="970"/>
      <c r="B372" s="1049">
        <v>1813400430</v>
      </c>
      <c r="C372" s="970">
        <v>430</v>
      </c>
      <c r="D372" s="970">
        <v>813400</v>
      </c>
      <c r="E372" s="970">
        <v>1</v>
      </c>
      <c r="F372" s="970" t="s">
        <v>591</v>
      </c>
      <c r="G372" s="67">
        <v>400000</v>
      </c>
      <c r="H372" s="915">
        <v>400000</v>
      </c>
      <c r="I372" s="915">
        <v>400000</v>
      </c>
      <c r="J372" s="230" t="s">
        <v>592</v>
      </c>
      <c r="K372" s="969"/>
      <c r="N372" s="478"/>
    </row>
    <row r="373" spans="1:14" ht="28.5">
      <c r="A373" s="970"/>
      <c r="B373" s="1049">
        <v>1813400550</v>
      </c>
      <c r="C373" s="970">
        <v>550</v>
      </c>
      <c r="D373" s="970">
        <v>813400</v>
      </c>
      <c r="E373" s="970">
        <v>1</v>
      </c>
      <c r="F373" s="970" t="s">
        <v>318</v>
      </c>
      <c r="G373" s="67">
        <v>0</v>
      </c>
      <c r="H373" s="915">
        <v>0</v>
      </c>
      <c r="I373" s="915">
        <v>300000</v>
      </c>
      <c r="J373" s="1042" t="s">
        <v>3733</v>
      </c>
      <c r="K373" s="969"/>
      <c r="N373" s="478"/>
    </row>
    <row r="374" spans="1:14" ht="28.5">
      <c r="A374" s="970"/>
      <c r="B374" s="1049">
        <v>1813400810</v>
      </c>
      <c r="C374" s="970">
        <v>810</v>
      </c>
      <c r="D374" s="970">
        <v>813400</v>
      </c>
      <c r="E374" s="970">
        <v>1</v>
      </c>
      <c r="F374" s="970" t="s">
        <v>593</v>
      </c>
      <c r="G374" s="67">
        <v>4500000</v>
      </c>
      <c r="H374" s="915">
        <v>4500000</v>
      </c>
      <c r="I374" s="915">
        <v>3500000</v>
      </c>
      <c r="J374" s="1064" t="s">
        <v>3454</v>
      </c>
      <c r="K374" s="969"/>
      <c r="N374" s="478"/>
    </row>
    <row r="375" spans="1:14" ht="15">
      <c r="A375" s="68" t="s">
        <v>594</v>
      </c>
      <c r="B375" s="68"/>
      <c r="C375" s="68">
        <v>999</v>
      </c>
      <c r="D375" s="68">
        <v>813400</v>
      </c>
      <c r="E375" s="970">
        <v>1</v>
      </c>
      <c r="F375" s="68"/>
      <c r="G375" s="69">
        <v>5573000</v>
      </c>
      <c r="H375" s="945">
        <v>5806000</v>
      </c>
      <c r="I375" s="916">
        <v>4961000</v>
      </c>
      <c r="J375" s="1050"/>
      <c r="K375" s="969"/>
      <c r="N375" s="478"/>
    </row>
    <row r="376" spans="1:14" ht="28.5">
      <c r="A376" s="970" t="s">
        <v>595</v>
      </c>
      <c r="B376" s="1049">
        <v>1813500780</v>
      </c>
      <c r="C376" s="970">
        <v>780</v>
      </c>
      <c r="D376" s="970">
        <v>813500</v>
      </c>
      <c r="E376" s="970">
        <v>1</v>
      </c>
      <c r="F376" s="970" t="s">
        <v>595</v>
      </c>
      <c r="G376" s="67">
        <v>4153000</v>
      </c>
      <c r="H376" s="915">
        <v>3630000</v>
      </c>
      <c r="I376" s="915">
        <v>4350000</v>
      </c>
      <c r="J376" s="1070" t="s">
        <v>596</v>
      </c>
      <c r="K376" s="969"/>
      <c r="N376" s="478"/>
    </row>
    <row r="377" spans="1:14" ht="15">
      <c r="A377" s="68" t="s">
        <v>595</v>
      </c>
      <c r="B377" s="68"/>
      <c r="C377" s="68">
        <v>999</v>
      </c>
      <c r="D377" s="68">
        <v>813500</v>
      </c>
      <c r="E377" s="970">
        <v>1</v>
      </c>
      <c r="F377" s="68"/>
      <c r="G377" s="69">
        <v>4153000</v>
      </c>
      <c r="H377" s="945">
        <v>3630000</v>
      </c>
      <c r="I377" s="916">
        <v>4350000</v>
      </c>
      <c r="J377" s="1050"/>
      <c r="K377" s="969"/>
      <c r="N377" s="478"/>
    </row>
    <row r="378" spans="1:14">
      <c r="A378" s="970"/>
      <c r="B378" s="516">
        <v>1813600110</v>
      </c>
      <c r="C378" s="970">
        <v>110</v>
      </c>
      <c r="D378" s="970">
        <v>813600</v>
      </c>
      <c r="E378" s="480">
        <v>1</v>
      </c>
      <c r="F378" s="970" t="s">
        <v>597</v>
      </c>
      <c r="G378" s="67">
        <v>14540000</v>
      </c>
      <c r="H378" s="915">
        <v>14681000</v>
      </c>
      <c r="I378" s="915">
        <v>17712000</v>
      </c>
      <c r="J378" s="230" t="s">
        <v>274</v>
      </c>
      <c r="K378" s="969"/>
      <c r="N378" s="478"/>
    </row>
    <row r="379" spans="1:14">
      <c r="A379" s="970" t="s">
        <v>598</v>
      </c>
      <c r="B379" s="1049">
        <v>1813600760</v>
      </c>
      <c r="C379" s="970">
        <v>760</v>
      </c>
      <c r="D379" s="970">
        <v>813600</v>
      </c>
      <c r="E379" s="970">
        <v>1</v>
      </c>
      <c r="F379" s="970" t="s">
        <v>599</v>
      </c>
      <c r="G379" s="67">
        <v>3500000</v>
      </c>
      <c r="H379" s="915">
        <v>3499000</v>
      </c>
      <c r="I379" s="915">
        <v>3500000</v>
      </c>
      <c r="J379" s="230" t="s">
        <v>600</v>
      </c>
      <c r="K379" s="969"/>
      <c r="N379" s="478"/>
    </row>
    <row r="380" spans="1:14" ht="15">
      <c r="A380" s="68" t="s">
        <v>601</v>
      </c>
      <c r="B380" s="68"/>
      <c r="C380" s="68">
        <v>999</v>
      </c>
      <c r="D380" s="68">
        <v>813600</v>
      </c>
      <c r="E380" s="970">
        <v>1</v>
      </c>
      <c r="F380" s="68"/>
      <c r="G380" s="69">
        <v>18040000</v>
      </c>
      <c r="H380" s="945">
        <v>18180000</v>
      </c>
      <c r="I380" s="916">
        <v>21212000</v>
      </c>
      <c r="J380" s="1050"/>
      <c r="K380" s="969"/>
      <c r="N380" s="478"/>
    </row>
    <row r="381" spans="1:14">
      <c r="A381" s="970" t="s">
        <v>602</v>
      </c>
      <c r="B381" s="516">
        <v>1813700110</v>
      </c>
      <c r="C381" s="970">
        <v>110</v>
      </c>
      <c r="D381" s="970">
        <v>813700</v>
      </c>
      <c r="E381" s="480">
        <v>1</v>
      </c>
      <c r="F381" s="970" t="s">
        <v>603</v>
      </c>
      <c r="G381" s="67">
        <v>130000</v>
      </c>
      <c r="H381" s="915">
        <v>139000</v>
      </c>
      <c r="I381" s="915">
        <v>141000</v>
      </c>
      <c r="J381" s="230" t="s">
        <v>274</v>
      </c>
      <c r="K381" s="969"/>
      <c r="N381" s="478"/>
    </row>
    <row r="382" spans="1:14">
      <c r="A382" s="970"/>
      <c r="B382" s="1049">
        <v>1813700430</v>
      </c>
      <c r="C382" s="970">
        <v>430</v>
      </c>
      <c r="D382" s="970">
        <v>813700</v>
      </c>
      <c r="E382" s="970">
        <v>1</v>
      </c>
      <c r="F382" s="970" t="s">
        <v>311</v>
      </c>
      <c r="G382" s="67">
        <v>25000</v>
      </c>
      <c r="H382" s="915">
        <v>25000</v>
      </c>
      <c r="I382" s="915">
        <v>30000</v>
      </c>
      <c r="J382" s="230"/>
      <c r="K382" s="969"/>
      <c r="N382" s="478"/>
    </row>
    <row r="383" spans="1:14">
      <c r="A383" s="970"/>
      <c r="B383" s="1049">
        <v>1813700720</v>
      </c>
      <c r="C383" s="970">
        <v>720</v>
      </c>
      <c r="D383" s="970">
        <v>813700</v>
      </c>
      <c r="E383" s="970">
        <v>1</v>
      </c>
      <c r="F383" s="970" t="s">
        <v>400</v>
      </c>
      <c r="G383" s="67">
        <v>218000</v>
      </c>
      <c r="H383" s="915">
        <v>219000</v>
      </c>
      <c r="I383" s="915">
        <v>250000</v>
      </c>
      <c r="J383" s="230" t="s">
        <v>2227</v>
      </c>
      <c r="K383" s="969"/>
      <c r="N383" s="478"/>
    </row>
    <row r="384" spans="1:14" ht="15">
      <c r="A384" s="68" t="s">
        <v>604</v>
      </c>
      <c r="B384" s="68"/>
      <c r="C384" s="68">
        <v>999</v>
      </c>
      <c r="D384" s="68">
        <v>813700</v>
      </c>
      <c r="E384" s="970">
        <v>1</v>
      </c>
      <c r="F384" s="68"/>
      <c r="G384" s="69">
        <v>373000</v>
      </c>
      <c r="H384" s="945">
        <v>383000</v>
      </c>
      <c r="I384" s="916">
        <v>421000</v>
      </c>
      <c r="J384" s="1050"/>
      <c r="K384" s="969"/>
      <c r="N384" s="478"/>
    </row>
    <row r="385" spans="1:14">
      <c r="A385" s="970" t="s">
        <v>605</v>
      </c>
      <c r="B385" s="1049">
        <v>1814000430</v>
      </c>
      <c r="C385" s="970">
        <v>430</v>
      </c>
      <c r="D385" s="970">
        <v>814000</v>
      </c>
      <c r="E385" s="970">
        <v>1</v>
      </c>
      <c r="F385" s="970" t="s">
        <v>311</v>
      </c>
      <c r="G385" s="67">
        <v>1000000</v>
      </c>
      <c r="H385" s="915">
        <v>989000</v>
      </c>
      <c r="I385" s="915">
        <v>500000</v>
      </c>
      <c r="J385" s="732" t="s">
        <v>2630</v>
      </c>
      <c r="K385" s="969"/>
      <c r="N385" s="478"/>
    </row>
    <row r="386" spans="1:14" ht="28.5">
      <c r="A386" s="970"/>
      <c r="B386" s="1049">
        <v>1814000780</v>
      </c>
      <c r="C386" s="970">
        <v>780</v>
      </c>
      <c r="D386" s="970">
        <v>814000</v>
      </c>
      <c r="E386" s="970">
        <v>1</v>
      </c>
      <c r="F386" s="970" t="s">
        <v>280</v>
      </c>
      <c r="G386" s="67">
        <v>450000</v>
      </c>
      <c r="H386" s="915">
        <v>450000</v>
      </c>
      <c r="I386" s="915">
        <v>520000</v>
      </c>
      <c r="J386" s="230" t="s">
        <v>606</v>
      </c>
      <c r="K386" s="969"/>
      <c r="N386" s="478"/>
    </row>
    <row r="387" spans="1:14" ht="28.5">
      <c r="A387" s="970"/>
      <c r="B387" s="1049">
        <v>1814000810</v>
      </c>
      <c r="C387" s="970">
        <v>810</v>
      </c>
      <c r="D387" s="970">
        <v>814000</v>
      </c>
      <c r="E387" s="970">
        <v>1</v>
      </c>
      <c r="F387" s="970" t="s">
        <v>607</v>
      </c>
      <c r="G387" s="67">
        <v>4200000</v>
      </c>
      <c r="H387" s="915">
        <v>3801000</v>
      </c>
      <c r="I387" s="915">
        <v>4125000</v>
      </c>
      <c r="J387" s="1071" t="s">
        <v>3974</v>
      </c>
      <c r="K387" s="969"/>
      <c r="N387" s="478"/>
    </row>
    <row r="388" spans="1:14" ht="15">
      <c r="A388" s="68" t="s">
        <v>608</v>
      </c>
      <c r="B388" s="68"/>
      <c r="C388" s="68">
        <v>999</v>
      </c>
      <c r="D388" s="68">
        <v>814000</v>
      </c>
      <c r="E388" s="970">
        <v>1</v>
      </c>
      <c r="F388" s="68"/>
      <c r="G388" s="69">
        <v>5650000</v>
      </c>
      <c r="H388" s="945">
        <v>5240000</v>
      </c>
      <c r="I388" s="916">
        <v>5145000</v>
      </c>
      <c r="J388" s="1050"/>
      <c r="K388" s="969"/>
      <c r="N388" s="478"/>
    </row>
    <row r="389" spans="1:14">
      <c r="A389" s="970" t="s">
        <v>1524</v>
      </c>
      <c r="B389" s="516">
        <v>1815000110</v>
      </c>
      <c r="C389" s="970">
        <v>110</v>
      </c>
      <c r="D389" s="970">
        <v>815000</v>
      </c>
      <c r="E389" s="480">
        <v>1</v>
      </c>
      <c r="F389" s="970" t="s">
        <v>1525</v>
      </c>
      <c r="G389" s="67">
        <v>560000</v>
      </c>
      <c r="H389" s="915">
        <v>342000</v>
      </c>
      <c r="I389" s="915">
        <v>543000</v>
      </c>
      <c r="J389" s="230" t="s">
        <v>346</v>
      </c>
      <c r="K389" s="969"/>
      <c r="N389" s="478"/>
    </row>
    <row r="390" spans="1:14" ht="28.5">
      <c r="A390" s="970"/>
      <c r="B390" s="1049">
        <v>1815200980</v>
      </c>
      <c r="C390" s="970">
        <v>980</v>
      </c>
      <c r="D390" s="970">
        <v>815200</v>
      </c>
      <c r="E390" s="970">
        <v>1</v>
      </c>
      <c r="F390" s="970" t="s">
        <v>546</v>
      </c>
      <c r="G390" s="67">
        <v>2000000</v>
      </c>
      <c r="H390" s="915">
        <v>1850000</v>
      </c>
      <c r="I390" s="915">
        <v>1500000</v>
      </c>
      <c r="J390" s="1042" t="s">
        <v>3975</v>
      </c>
      <c r="K390" s="969"/>
      <c r="N390" s="478"/>
    </row>
    <row r="391" spans="1:14" s="448" customFormat="1">
      <c r="A391" s="970"/>
      <c r="B391" s="1049">
        <v>1815200981</v>
      </c>
      <c r="C391" s="970">
        <v>981</v>
      </c>
      <c r="D391" s="970">
        <v>815200</v>
      </c>
      <c r="E391" s="970">
        <v>1</v>
      </c>
      <c r="F391" s="970" t="s">
        <v>2609</v>
      </c>
      <c r="G391" s="67">
        <v>0</v>
      </c>
      <c r="H391" s="915">
        <v>0</v>
      </c>
      <c r="I391" s="915">
        <v>200000</v>
      </c>
      <c r="J391" s="1055" t="s">
        <v>2631</v>
      </c>
      <c r="K391" s="969"/>
      <c r="N391" s="478"/>
    </row>
    <row r="392" spans="1:14" s="448" customFormat="1">
      <c r="A392" s="970"/>
      <c r="B392" s="1049">
        <v>1815200982</v>
      </c>
      <c r="C392" s="970">
        <v>982</v>
      </c>
      <c r="D392" s="970">
        <v>815200</v>
      </c>
      <c r="E392" s="970">
        <v>1</v>
      </c>
      <c r="F392" s="970" t="s">
        <v>2612</v>
      </c>
      <c r="G392" s="67">
        <v>0</v>
      </c>
      <c r="H392" s="915">
        <v>0</v>
      </c>
      <c r="I392" s="915">
        <v>602000</v>
      </c>
      <c r="J392" s="1055" t="s">
        <v>3158</v>
      </c>
      <c r="K392" s="969"/>
      <c r="N392" s="478"/>
    </row>
    <row r="393" spans="1:14" ht="15">
      <c r="A393" s="68" t="s">
        <v>609</v>
      </c>
      <c r="B393" s="68"/>
      <c r="C393" s="68">
        <v>999</v>
      </c>
      <c r="D393" s="68">
        <v>815200</v>
      </c>
      <c r="E393" s="970">
        <v>1</v>
      </c>
      <c r="F393" s="68"/>
      <c r="G393" s="69">
        <v>2560000</v>
      </c>
      <c r="H393" s="945">
        <v>2192000</v>
      </c>
      <c r="I393" s="916">
        <v>2845000</v>
      </c>
      <c r="J393" s="1050"/>
      <c r="K393" s="969"/>
      <c r="N393" s="478"/>
    </row>
    <row r="394" spans="1:14">
      <c r="A394" s="970"/>
      <c r="B394" s="1049">
        <v>1816600781</v>
      </c>
      <c r="C394" s="970">
        <v>781</v>
      </c>
      <c r="D394" s="970">
        <v>816600</v>
      </c>
      <c r="E394" s="970">
        <v>1</v>
      </c>
      <c r="F394" s="970" t="s">
        <v>610</v>
      </c>
      <c r="G394" s="67">
        <v>115000</v>
      </c>
      <c r="H394" s="915">
        <v>115000</v>
      </c>
      <c r="I394" s="915">
        <v>115000</v>
      </c>
      <c r="J394" s="230" t="s">
        <v>4</v>
      </c>
      <c r="K394" s="969"/>
      <c r="N394" s="478"/>
    </row>
    <row r="395" spans="1:14">
      <c r="A395" s="970"/>
      <c r="B395" s="1049">
        <v>1816800850</v>
      </c>
      <c r="C395" s="970">
        <v>850</v>
      </c>
      <c r="D395" s="970">
        <v>816800</v>
      </c>
      <c r="E395" s="970">
        <v>1</v>
      </c>
      <c r="F395" s="970" t="s">
        <v>611</v>
      </c>
      <c r="G395" s="67">
        <v>275000</v>
      </c>
      <c r="H395" s="915">
        <v>275000</v>
      </c>
      <c r="I395" s="915">
        <v>275000</v>
      </c>
      <c r="J395" s="1055" t="s">
        <v>3967</v>
      </c>
      <c r="K395" s="969"/>
      <c r="N395" s="478"/>
    </row>
    <row r="396" spans="1:14" ht="15">
      <c r="A396" s="68" t="s">
        <v>612</v>
      </c>
      <c r="B396" s="68"/>
      <c r="C396" s="68">
        <v>999</v>
      </c>
      <c r="D396" s="68">
        <v>816000</v>
      </c>
      <c r="E396" s="970">
        <v>1</v>
      </c>
      <c r="F396" s="68"/>
      <c r="G396" s="69">
        <v>390000</v>
      </c>
      <c r="H396" s="945">
        <v>390000</v>
      </c>
      <c r="I396" s="916">
        <v>390000</v>
      </c>
      <c r="J396" s="1050"/>
      <c r="K396" s="969"/>
      <c r="N396" s="478"/>
    </row>
    <row r="397" spans="1:14">
      <c r="A397" s="970" t="s">
        <v>613</v>
      </c>
      <c r="B397" s="516">
        <v>1817200110</v>
      </c>
      <c r="C397" s="970">
        <v>110</v>
      </c>
      <c r="D397" s="970">
        <v>817200</v>
      </c>
      <c r="E397" s="480">
        <v>1</v>
      </c>
      <c r="F397" s="970" t="s">
        <v>614</v>
      </c>
      <c r="G397" s="67">
        <v>277000</v>
      </c>
      <c r="H397" s="915">
        <v>213000</v>
      </c>
      <c r="I397" s="915">
        <v>120000</v>
      </c>
      <c r="J397" s="230" t="s">
        <v>274</v>
      </c>
      <c r="K397" s="969"/>
      <c r="N397" s="478"/>
    </row>
    <row r="398" spans="1:14">
      <c r="A398" s="970"/>
      <c r="B398" s="1049">
        <v>1817200410</v>
      </c>
      <c r="C398" s="970">
        <v>410</v>
      </c>
      <c r="D398" s="970">
        <v>817200</v>
      </c>
      <c r="E398" s="970">
        <v>1</v>
      </c>
      <c r="F398" s="970" t="s">
        <v>304</v>
      </c>
      <c r="G398" s="67">
        <v>319000.08</v>
      </c>
      <c r="H398" s="915">
        <v>332000</v>
      </c>
      <c r="I398" s="915">
        <v>330000</v>
      </c>
      <c r="J398" s="230" t="s">
        <v>429</v>
      </c>
      <c r="K398" s="969"/>
      <c r="N398" s="478"/>
    </row>
    <row r="399" spans="1:14">
      <c r="A399" s="970"/>
      <c r="B399" s="1049">
        <v>1817200430</v>
      </c>
      <c r="C399" s="970">
        <v>430</v>
      </c>
      <c r="D399" s="970">
        <v>817200</v>
      </c>
      <c r="E399" s="970">
        <v>1</v>
      </c>
      <c r="F399" s="970" t="s">
        <v>311</v>
      </c>
      <c r="G399" s="67">
        <v>25000</v>
      </c>
      <c r="H399" s="915">
        <v>0</v>
      </c>
      <c r="I399" s="915">
        <v>32000</v>
      </c>
      <c r="J399" s="230" t="s">
        <v>529</v>
      </c>
      <c r="K399" s="969"/>
      <c r="N399" s="478"/>
    </row>
    <row r="400" spans="1:14">
      <c r="A400" s="970"/>
      <c r="B400" s="1049">
        <v>1817200540</v>
      </c>
      <c r="C400" s="970">
        <v>540</v>
      </c>
      <c r="D400" s="970">
        <v>817200</v>
      </c>
      <c r="E400" s="970">
        <v>1</v>
      </c>
      <c r="F400" s="970" t="s">
        <v>279</v>
      </c>
      <c r="G400" s="67">
        <v>1000</v>
      </c>
      <c r="H400" s="915">
        <v>1000</v>
      </c>
      <c r="I400" s="915">
        <v>2000</v>
      </c>
      <c r="J400" s="230"/>
      <c r="K400" s="969"/>
      <c r="N400" s="478"/>
    </row>
    <row r="401" spans="1:14">
      <c r="A401" s="970"/>
      <c r="B401" s="1049">
        <v>1817200780</v>
      </c>
      <c r="C401" s="970">
        <v>780</v>
      </c>
      <c r="D401" s="970">
        <v>817200</v>
      </c>
      <c r="E401" s="970">
        <v>1</v>
      </c>
      <c r="F401" s="970" t="s">
        <v>280</v>
      </c>
      <c r="G401" s="67">
        <v>200000</v>
      </c>
      <c r="H401" s="915">
        <v>128000</v>
      </c>
      <c r="I401" s="915">
        <v>200000</v>
      </c>
      <c r="J401" s="230" t="s">
        <v>2229</v>
      </c>
      <c r="K401" s="969"/>
      <c r="N401" s="478"/>
    </row>
    <row r="402" spans="1:14" ht="15">
      <c r="A402" s="68" t="s">
        <v>615</v>
      </c>
      <c r="B402" s="68"/>
      <c r="C402" s="68">
        <v>999</v>
      </c>
      <c r="D402" s="68">
        <v>817200</v>
      </c>
      <c r="E402" s="970">
        <v>1</v>
      </c>
      <c r="F402" s="68"/>
      <c r="G402" s="69">
        <v>822000.08000000007</v>
      </c>
      <c r="H402" s="945">
        <v>674000</v>
      </c>
      <c r="I402" s="916">
        <v>684000</v>
      </c>
      <c r="J402" s="1050"/>
      <c r="K402" s="969"/>
      <c r="N402" s="478"/>
    </row>
    <row r="403" spans="1:14">
      <c r="A403" s="970" t="s">
        <v>616</v>
      </c>
      <c r="B403" s="516">
        <v>1817300110</v>
      </c>
      <c r="C403" s="970">
        <v>110</v>
      </c>
      <c r="D403" s="970">
        <v>817300</v>
      </c>
      <c r="E403" s="480">
        <v>1</v>
      </c>
      <c r="F403" s="970" t="s">
        <v>617</v>
      </c>
      <c r="G403" s="67">
        <v>4828000</v>
      </c>
      <c r="H403" s="915">
        <v>5400000</v>
      </c>
      <c r="I403" s="915">
        <v>5513000</v>
      </c>
      <c r="J403" s="230" t="s">
        <v>274</v>
      </c>
      <c r="K403" s="969"/>
      <c r="N403" s="478"/>
    </row>
    <row r="404" spans="1:14">
      <c r="A404" s="970"/>
      <c r="B404" s="1049">
        <v>1817300410</v>
      </c>
      <c r="C404" s="970">
        <v>410</v>
      </c>
      <c r="D404" s="970">
        <v>817300</v>
      </c>
      <c r="E404" s="970">
        <v>1</v>
      </c>
      <c r="F404" s="970" t="s">
        <v>304</v>
      </c>
      <c r="G404" s="67">
        <v>473383</v>
      </c>
      <c r="H404" s="915">
        <v>0</v>
      </c>
      <c r="I404" s="915">
        <v>531000</v>
      </c>
      <c r="J404" s="230" t="s">
        <v>2632</v>
      </c>
      <c r="K404" s="969"/>
      <c r="N404" s="478"/>
    </row>
    <row r="405" spans="1:14">
      <c r="A405" s="970"/>
      <c r="B405" s="1049">
        <v>1817300430</v>
      </c>
      <c r="C405" s="970">
        <v>430</v>
      </c>
      <c r="D405" s="970">
        <v>817300</v>
      </c>
      <c r="E405" s="970">
        <v>1</v>
      </c>
      <c r="F405" s="970" t="s">
        <v>311</v>
      </c>
      <c r="G405" s="67">
        <v>21000</v>
      </c>
      <c r="H405" s="915">
        <v>21000</v>
      </c>
      <c r="I405" s="915">
        <v>50000</v>
      </c>
      <c r="J405" s="230" t="s">
        <v>2633</v>
      </c>
      <c r="K405" s="969"/>
      <c r="N405" s="478"/>
    </row>
    <row r="406" spans="1:14">
      <c r="A406" s="970"/>
      <c r="B406" s="1049">
        <v>1817300750</v>
      </c>
      <c r="C406" s="970">
        <v>750</v>
      </c>
      <c r="D406" s="970">
        <v>817300</v>
      </c>
      <c r="E406" s="970">
        <v>1</v>
      </c>
      <c r="F406" s="970" t="s">
        <v>288</v>
      </c>
      <c r="G406" s="67">
        <v>200000</v>
      </c>
      <c r="H406" s="915">
        <v>157000</v>
      </c>
      <c r="I406" s="915">
        <v>200000</v>
      </c>
      <c r="J406" s="230" t="s">
        <v>618</v>
      </c>
      <c r="K406" s="969"/>
      <c r="N406" s="478"/>
    </row>
    <row r="407" spans="1:14" ht="28.5">
      <c r="A407" s="970"/>
      <c r="B407" s="1049">
        <v>1817300780</v>
      </c>
      <c r="C407" s="970">
        <v>780</v>
      </c>
      <c r="D407" s="970">
        <v>817300</v>
      </c>
      <c r="E407" s="970">
        <v>1</v>
      </c>
      <c r="F407" s="970" t="s">
        <v>280</v>
      </c>
      <c r="G407" s="67">
        <v>100000</v>
      </c>
      <c r="H407" s="915">
        <v>100000</v>
      </c>
      <c r="I407" s="915">
        <v>150000</v>
      </c>
      <c r="J407" s="1057" t="s">
        <v>3976</v>
      </c>
      <c r="K407" s="969"/>
      <c r="N407" s="478"/>
    </row>
    <row r="408" spans="1:14">
      <c r="A408" s="970"/>
      <c r="B408" s="516">
        <v>1817400110</v>
      </c>
      <c r="C408" s="970">
        <v>110</v>
      </c>
      <c r="D408" s="970">
        <v>817400</v>
      </c>
      <c r="E408" s="480">
        <v>1</v>
      </c>
      <c r="F408" s="970" t="s">
        <v>620</v>
      </c>
      <c r="G408" s="67">
        <v>60000</v>
      </c>
      <c r="H408" s="915">
        <v>0</v>
      </c>
      <c r="I408" s="915">
        <v>567000</v>
      </c>
      <c r="J408" s="230" t="s">
        <v>274</v>
      </c>
      <c r="K408" s="969"/>
      <c r="N408" s="478"/>
    </row>
    <row r="409" spans="1:14" ht="15">
      <c r="A409" s="68" t="s">
        <v>621</v>
      </c>
      <c r="B409" s="68"/>
      <c r="C409" s="68">
        <v>999</v>
      </c>
      <c r="D409" s="68">
        <v>817300</v>
      </c>
      <c r="E409" s="970">
        <v>1</v>
      </c>
      <c r="F409" s="68"/>
      <c r="G409" s="69">
        <v>5682383</v>
      </c>
      <c r="H409" s="945">
        <v>5678000</v>
      </c>
      <c r="I409" s="916">
        <v>7011000</v>
      </c>
      <c r="J409" s="1050"/>
      <c r="K409" s="969"/>
      <c r="N409" s="478"/>
    </row>
    <row r="410" spans="1:14">
      <c r="A410" s="970" t="s">
        <v>622</v>
      </c>
      <c r="B410" s="1049">
        <v>1817600780</v>
      </c>
      <c r="C410" s="970">
        <v>780</v>
      </c>
      <c r="D410" s="970">
        <v>817600</v>
      </c>
      <c r="E410" s="970">
        <v>1</v>
      </c>
      <c r="F410" s="970" t="s">
        <v>280</v>
      </c>
      <c r="G410" s="67">
        <v>800000</v>
      </c>
      <c r="H410" s="915">
        <v>801000</v>
      </c>
      <c r="I410" s="915">
        <v>800000</v>
      </c>
      <c r="J410" s="230" t="s">
        <v>623</v>
      </c>
      <c r="K410" s="969"/>
      <c r="N410" s="478"/>
    </row>
    <row r="411" spans="1:14" ht="28.5">
      <c r="A411" s="970"/>
      <c r="B411" s="1049">
        <v>1817600782</v>
      </c>
      <c r="C411" s="970">
        <v>782</v>
      </c>
      <c r="D411" s="970">
        <v>817600</v>
      </c>
      <c r="E411" s="970">
        <v>1</v>
      </c>
      <c r="F411" s="970" t="s">
        <v>624</v>
      </c>
      <c r="G411" s="67">
        <v>1160000</v>
      </c>
      <c r="H411" s="915">
        <v>1159000</v>
      </c>
      <c r="I411" s="915">
        <v>1160000</v>
      </c>
      <c r="J411" s="1065" t="s">
        <v>625</v>
      </c>
      <c r="K411" s="969"/>
      <c r="N411" s="478"/>
    </row>
    <row r="412" spans="1:14" ht="15">
      <c r="A412" s="68" t="s">
        <v>626</v>
      </c>
      <c r="B412" s="68"/>
      <c r="C412" s="68">
        <v>999</v>
      </c>
      <c r="D412" s="68">
        <v>817600</v>
      </c>
      <c r="E412" s="970">
        <v>1</v>
      </c>
      <c r="F412" s="68"/>
      <c r="G412" s="69">
        <v>1960000</v>
      </c>
      <c r="H412" s="945">
        <v>1960000</v>
      </c>
      <c r="I412" s="916">
        <v>1960000</v>
      </c>
      <c r="J412" s="1050"/>
      <c r="K412" s="969"/>
      <c r="N412" s="478"/>
    </row>
    <row r="413" spans="1:14" ht="28.5">
      <c r="A413" s="970" t="s">
        <v>627</v>
      </c>
      <c r="B413" s="1049">
        <v>1817800710</v>
      </c>
      <c r="C413" s="970">
        <v>710</v>
      </c>
      <c r="D413" s="970">
        <v>817800</v>
      </c>
      <c r="E413" s="970">
        <v>1</v>
      </c>
      <c r="F413" s="970" t="s">
        <v>628</v>
      </c>
      <c r="G413" s="67">
        <v>10520000</v>
      </c>
      <c r="H413" s="915">
        <v>11505000</v>
      </c>
      <c r="I413" s="915">
        <v>14560000</v>
      </c>
      <c r="J413" s="230" t="s">
        <v>629</v>
      </c>
      <c r="K413" s="969"/>
      <c r="N413" s="478"/>
    </row>
    <row r="414" spans="1:14" ht="15">
      <c r="A414" s="68" t="s">
        <v>630</v>
      </c>
      <c r="B414" s="68"/>
      <c r="C414" s="68">
        <v>999</v>
      </c>
      <c r="D414" s="68">
        <v>817800</v>
      </c>
      <c r="E414" s="970">
        <v>1</v>
      </c>
      <c r="F414" s="68"/>
      <c r="G414" s="69">
        <v>10520000</v>
      </c>
      <c r="H414" s="945">
        <v>11505000</v>
      </c>
      <c r="I414" s="916">
        <v>14560000</v>
      </c>
      <c r="J414" s="1050"/>
      <c r="K414" s="969"/>
      <c r="N414" s="478"/>
    </row>
    <row r="415" spans="1:14" ht="28.5">
      <c r="A415" s="970" t="s">
        <v>631</v>
      </c>
      <c r="B415" s="1049">
        <v>1819200750</v>
      </c>
      <c r="C415" s="970">
        <v>750</v>
      </c>
      <c r="D415" s="970">
        <v>819200</v>
      </c>
      <c r="E415" s="970">
        <v>1</v>
      </c>
      <c r="F415" s="970" t="s">
        <v>288</v>
      </c>
      <c r="G415" s="67">
        <v>635000</v>
      </c>
      <c r="H415" s="915">
        <v>652000</v>
      </c>
      <c r="I415" s="915">
        <v>600000</v>
      </c>
      <c r="J415" s="230" t="s">
        <v>2232</v>
      </c>
      <c r="K415" s="969"/>
      <c r="N415" s="478"/>
    </row>
    <row r="416" spans="1:14">
      <c r="A416" s="970"/>
      <c r="B416" s="1049">
        <v>1819200751</v>
      </c>
      <c r="C416" s="970">
        <v>751</v>
      </c>
      <c r="D416" s="970">
        <v>819200</v>
      </c>
      <c r="E416" s="970">
        <v>1</v>
      </c>
      <c r="F416" s="970" t="s">
        <v>632</v>
      </c>
      <c r="G416" s="67">
        <v>550000</v>
      </c>
      <c r="H416" s="915">
        <v>342000</v>
      </c>
      <c r="I416" s="915">
        <v>603000</v>
      </c>
      <c r="J416" s="230" t="s">
        <v>2634</v>
      </c>
      <c r="K416" s="969"/>
      <c r="N416" s="478"/>
    </row>
    <row r="417" spans="1:14" ht="15">
      <c r="A417" s="68" t="s">
        <v>634</v>
      </c>
      <c r="B417" s="68"/>
      <c r="C417" s="68">
        <v>999</v>
      </c>
      <c r="D417" s="68">
        <v>819200</v>
      </c>
      <c r="E417" s="970">
        <v>1</v>
      </c>
      <c r="F417" s="68"/>
      <c r="G417" s="69">
        <v>1185000</v>
      </c>
      <c r="H417" s="945">
        <v>994000</v>
      </c>
      <c r="I417" s="916">
        <v>1203000</v>
      </c>
      <c r="J417" s="1050"/>
      <c r="K417" s="969"/>
      <c r="N417" s="478"/>
    </row>
    <row r="418" spans="1:14">
      <c r="A418" s="970" t="s">
        <v>635</v>
      </c>
      <c r="B418" s="1049">
        <v>1821400780</v>
      </c>
      <c r="C418" s="970">
        <v>780</v>
      </c>
      <c r="D418" s="970">
        <v>821400</v>
      </c>
      <c r="E418" s="970">
        <v>1</v>
      </c>
      <c r="F418" s="970" t="s">
        <v>636</v>
      </c>
      <c r="G418" s="67">
        <v>0</v>
      </c>
      <c r="H418" s="915">
        <v>554000</v>
      </c>
      <c r="I418" s="915">
        <v>555000</v>
      </c>
      <c r="J418" s="1065" t="s">
        <v>637</v>
      </c>
      <c r="K418" s="969"/>
      <c r="N418" s="478"/>
    </row>
    <row r="419" spans="1:14" ht="15">
      <c r="A419" s="68" t="s">
        <v>3713</v>
      </c>
      <c r="B419" s="68"/>
      <c r="C419" s="68">
        <v>999</v>
      </c>
      <c r="D419" s="68">
        <v>822100</v>
      </c>
      <c r="E419" s="970">
        <v>1</v>
      </c>
      <c r="F419" s="68"/>
      <c r="G419" s="69">
        <v>0</v>
      </c>
      <c r="H419" s="945">
        <v>554000</v>
      </c>
      <c r="I419" s="916">
        <v>555000</v>
      </c>
      <c r="J419" s="1050"/>
      <c r="K419" s="969"/>
      <c r="N419" s="478"/>
    </row>
    <row r="420" spans="1:14">
      <c r="A420" s="970" t="s">
        <v>1540</v>
      </c>
      <c r="B420" s="516">
        <v>1822000110</v>
      </c>
      <c r="C420" s="970">
        <v>110</v>
      </c>
      <c r="D420" s="970">
        <v>822000</v>
      </c>
      <c r="E420" s="480">
        <v>1</v>
      </c>
      <c r="F420" s="970" t="s">
        <v>1541</v>
      </c>
      <c r="G420" s="67">
        <v>410000</v>
      </c>
      <c r="H420" s="915">
        <v>370000</v>
      </c>
      <c r="I420" s="915">
        <v>416000</v>
      </c>
      <c r="J420" s="230" t="s">
        <v>274</v>
      </c>
      <c r="K420" s="969"/>
      <c r="N420" s="478"/>
    </row>
    <row r="421" spans="1:14" s="448" customFormat="1" ht="28.5">
      <c r="A421" s="970"/>
      <c r="B421" s="1049">
        <v>1822000430</v>
      </c>
      <c r="C421" s="970">
        <v>430</v>
      </c>
      <c r="D421" s="970">
        <v>822000</v>
      </c>
      <c r="E421" s="970">
        <v>1</v>
      </c>
      <c r="F421" s="970" t="s">
        <v>311</v>
      </c>
      <c r="G421" s="67">
        <v>240000</v>
      </c>
      <c r="H421" s="915">
        <v>330000</v>
      </c>
      <c r="I421" s="915">
        <v>0</v>
      </c>
      <c r="J421" s="230" t="s">
        <v>3536</v>
      </c>
      <c r="K421" s="969"/>
      <c r="N421" s="478"/>
    </row>
    <row r="422" spans="1:14">
      <c r="A422" s="970"/>
      <c r="B422" s="1049">
        <v>1822000540</v>
      </c>
      <c r="C422" s="970">
        <v>540</v>
      </c>
      <c r="D422" s="970">
        <v>822000</v>
      </c>
      <c r="E422" s="970">
        <v>1</v>
      </c>
      <c r="F422" s="970" t="s">
        <v>279</v>
      </c>
      <c r="G422" s="67">
        <v>6000</v>
      </c>
      <c r="H422" s="915">
        <v>7000</v>
      </c>
      <c r="I422" s="915">
        <v>6000</v>
      </c>
      <c r="J422" s="230"/>
      <c r="K422" s="969"/>
      <c r="N422" s="478"/>
    </row>
    <row r="423" spans="1:14" s="448" customFormat="1" ht="42.75">
      <c r="A423" s="970"/>
      <c r="B423" s="1049">
        <v>1822000810</v>
      </c>
      <c r="C423" s="970">
        <v>810</v>
      </c>
      <c r="D423" s="970">
        <v>822000</v>
      </c>
      <c r="E423" s="970">
        <v>1</v>
      </c>
      <c r="F423" s="970" t="s">
        <v>638</v>
      </c>
      <c r="G423" s="67">
        <v>3250000</v>
      </c>
      <c r="H423" s="915">
        <v>3249000</v>
      </c>
      <c r="I423" s="915">
        <v>2550000</v>
      </c>
      <c r="J423" s="1064" t="s">
        <v>3987</v>
      </c>
      <c r="K423" s="969"/>
      <c r="N423" s="478"/>
    </row>
    <row r="424" spans="1:14" s="448" customFormat="1" ht="28.5">
      <c r="A424" s="970"/>
      <c r="B424" s="1049">
        <v>1822000814</v>
      </c>
      <c r="C424" s="970">
        <v>814</v>
      </c>
      <c r="D424" s="970">
        <v>822000</v>
      </c>
      <c r="E424" s="970">
        <v>1</v>
      </c>
      <c r="F424" s="970" t="s">
        <v>639</v>
      </c>
      <c r="G424" s="67">
        <v>800000</v>
      </c>
      <c r="H424" s="915">
        <v>803000</v>
      </c>
      <c r="I424" s="915">
        <v>500000</v>
      </c>
      <c r="J424" s="230" t="s">
        <v>640</v>
      </c>
      <c r="K424" s="969"/>
      <c r="N424" s="478"/>
    </row>
    <row r="425" spans="1:14" s="448" customFormat="1" ht="28.5">
      <c r="A425" s="970"/>
      <c r="B425" s="1049">
        <v>1822000815</v>
      </c>
      <c r="C425" s="970">
        <v>815</v>
      </c>
      <c r="D425" s="970">
        <v>822000</v>
      </c>
      <c r="E425" s="970">
        <v>1</v>
      </c>
      <c r="F425" s="970" t="s">
        <v>641</v>
      </c>
      <c r="G425" s="67">
        <v>4144000</v>
      </c>
      <c r="H425" s="915">
        <v>4144000</v>
      </c>
      <c r="I425" s="915">
        <v>4144000</v>
      </c>
      <c r="J425" s="230" t="s">
        <v>1538</v>
      </c>
      <c r="K425" s="969"/>
      <c r="N425" s="478"/>
    </row>
    <row r="426" spans="1:14" s="448" customFormat="1" ht="28.5">
      <c r="A426" s="970"/>
      <c r="B426" s="1049">
        <v>1822000816</v>
      </c>
      <c r="C426" s="970">
        <v>816</v>
      </c>
      <c r="D426" s="970">
        <v>822000</v>
      </c>
      <c r="E426" s="970">
        <v>1</v>
      </c>
      <c r="F426" s="970" t="s">
        <v>1537</v>
      </c>
      <c r="G426" s="67">
        <v>1056000</v>
      </c>
      <c r="H426" s="915">
        <v>1056000</v>
      </c>
      <c r="I426" s="915">
        <v>1056000</v>
      </c>
      <c r="J426" s="230" t="s">
        <v>3988</v>
      </c>
      <c r="K426" s="969"/>
      <c r="N426" s="478"/>
    </row>
    <row r="427" spans="1:14" ht="15">
      <c r="A427" s="68" t="s">
        <v>642</v>
      </c>
      <c r="B427" s="68"/>
      <c r="C427" s="68">
        <v>999</v>
      </c>
      <c r="D427" s="68">
        <v>822000</v>
      </c>
      <c r="E427" s="970">
        <v>1</v>
      </c>
      <c r="F427" s="68"/>
      <c r="G427" s="69">
        <v>9906000</v>
      </c>
      <c r="H427" s="946">
        <v>9959000</v>
      </c>
      <c r="I427" s="916">
        <v>8672000</v>
      </c>
      <c r="J427" s="69"/>
      <c r="K427" s="969"/>
      <c r="N427" s="478"/>
    </row>
    <row r="428" spans="1:14">
      <c r="A428" s="970" t="s">
        <v>643</v>
      </c>
      <c r="B428" s="516">
        <v>1823000110</v>
      </c>
      <c r="C428" s="970">
        <v>110</v>
      </c>
      <c r="D428" s="970">
        <v>823000</v>
      </c>
      <c r="E428" s="480">
        <v>1</v>
      </c>
      <c r="F428" s="970" t="s">
        <v>644</v>
      </c>
      <c r="G428" s="67">
        <v>2885000</v>
      </c>
      <c r="H428" s="915">
        <v>2478000</v>
      </c>
      <c r="I428" s="915">
        <v>3025000</v>
      </c>
      <c r="J428" s="230" t="s">
        <v>274</v>
      </c>
      <c r="K428" s="969"/>
      <c r="N428" s="478"/>
    </row>
    <row r="429" spans="1:14">
      <c r="A429" s="970"/>
      <c r="B429" s="1049">
        <v>1823000430</v>
      </c>
      <c r="C429" s="970">
        <v>430</v>
      </c>
      <c r="D429" s="970">
        <v>823000</v>
      </c>
      <c r="E429" s="970">
        <v>1</v>
      </c>
      <c r="F429" s="970" t="s">
        <v>311</v>
      </c>
      <c r="G429" s="67">
        <v>120000</v>
      </c>
      <c r="H429" s="915">
        <v>210000</v>
      </c>
      <c r="I429" s="915">
        <v>130000</v>
      </c>
      <c r="J429" s="230"/>
      <c r="K429" s="969"/>
      <c r="N429" s="478"/>
    </row>
    <row r="430" spans="1:14">
      <c r="A430" s="970"/>
      <c r="B430" s="1049">
        <v>1823000540</v>
      </c>
      <c r="C430" s="970">
        <v>540</v>
      </c>
      <c r="D430" s="970">
        <v>823000</v>
      </c>
      <c r="E430" s="970">
        <v>1</v>
      </c>
      <c r="F430" s="970" t="s">
        <v>279</v>
      </c>
      <c r="G430" s="67">
        <v>42000</v>
      </c>
      <c r="H430" s="915">
        <v>43000</v>
      </c>
      <c r="I430" s="915">
        <v>42000</v>
      </c>
      <c r="J430" s="230"/>
      <c r="K430" s="969"/>
      <c r="N430" s="478"/>
    </row>
    <row r="431" spans="1:14">
      <c r="A431" s="970"/>
      <c r="B431" s="1049">
        <v>1823000750</v>
      </c>
      <c r="C431" s="970">
        <v>750</v>
      </c>
      <c r="D431" s="970">
        <v>823000</v>
      </c>
      <c r="E431" s="970">
        <v>1</v>
      </c>
      <c r="F431" s="970" t="s">
        <v>288</v>
      </c>
      <c r="G431" s="67">
        <v>65000</v>
      </c>
      <c r="H431" s="915">
        <v>59000</v>
      </c>
      <c r="I431" s="915">
        <v>35000</v>
      </c>
      <c r="J431" s="230" t="s">
        <v>645</v>
      </c>
      <c r="K431" s="969"/>
      <c r="N431" s="478"/>
    </row>
    <row r="432" spans="1:14">
      <c r="A432" s="970"/>
      <c r="B432" s="1049">
        <v>1823000780</v>
      </c>
      <c r="C432" s="970">
        <v>780</v>
      </c>
      <c r="D432" s="970">
        <v>823000</v>
      </c>
      <c r="E432" s="970">
        <v>1</v>
      </c>
      <c r="F432" s="970" t="s">
        <v>280</v>
      </c>
      <c r="G432" s="67">
        <v>140000</v>
      </c>
      <c r="H432" s="915">
        <v>100000</v>
      </c>
      <c r="I432" s="915">
        <v>90000</v>
      </c>
      <c r="J432" s="230" t="s">
        <v>3464</v>
      </c>
      <c r="K432" s="969"/>
      <c r="N432" s="478"/>
    </row>
    <row r="433" spans="1:14" ht="15">
      <c r="A433" s="68" t="s">
        <v>646</v>
      </c>
      <c r="B433" s="68"/>
      <c r="C433" s="68">
        <v>999</v>
      </c>
      <c r="D433" s="68">
        <v>823000</v>
      </c>
      <c r="E433" s="970">
        <v>1</v>
      </c>
      <c r="F433" s="68"/>
      <c r="G433" s="69">
        <v>3252000</v>
      </c>
      <c r="H433" s="945">
        <v>2890000</v>
      </c>
      <c r="I433" s="916">
        <v>3322000</v>
      </c>
      <c r="J433" s="1050"/>
      <c r="K433" s="969"/>
      <c r="N433" s="478"/>
    </row>
    <row r="434" spans="1:14" s="566" customFormat="1">
      <c r="A434" s="970" t="s">
        <v>2373</v>
      </c>
      <c r="B434" s="1049">
        <v>1824000410</v>
      </c>
      <c r="C434" s="970">
        <v>410</v>
      </c>
      <c r="D434" s="970">
        <v>824000</v>
      </c>
      <c r="E434" s="970">
        <v>1</v>
      </c>
      <c r="F434" s="970" t="s">
        <v>304</v>
      </c>
      <c r="G434" s="67">
        <v>0</v>
      </c>
      <c r="H434" s="915">
        <v>0</v>
      </c>
      <c r="I434" s="915">
        <v>90000</v>
      </c>
      <c r="J434" s="230" t="s">
        <v>3513</v>
      </c>
      <c r="K434" s="969"/>
      <c r="N434" s="478"/>
    </row>
    <row r="435" spans="1:14">
      <c r="A435" s="948"/>
      <c r="B435" s="1049">
        <v>1824000810</v>
      </c>
      <c r="C435" s="970">
        <v>810</v>
      </c>
      <c r="D435" s="970">
        <v>824000</v>
      </c>
      <c r="E435" s="970">
        <v>1</v>
      </c>
      <c r="F435" s="970" t="s">
        <v>647</v>
      </c>
      <c r="G435" s="67">
        <v>2385000</v>
      </c>
      <c r="H435" s="915">
        <v>2385000</v>
      </c>
      <c r="I435" s="915">
        <v>2385000</v>
      </c>
      <c r="J435" s="230" t="s">
        <v>3853</v>
      </c>
      <c r="K435" s="969"/>
      <c r="N435" s="478"/>
    </row>
    <row r="436" spans="1:14">
      <c r="A436" s="970"/>
      <c r="B436" s="1049">
        <v>1824000812</v>
      </c>
      <c r="C436" s="970">
        <v>812</v>
      </c>
      <c r="D436" s="970">
        <v>824000</v>
      </c>
      <c r="E436" s="970">
        <v>1</v>
      </c>
      <c r="F436" s="970" t="s">
        <v>648</v>
      </c>
      <c r="G436" s="67">
        <v>350000</v>
      </c>
      <c r="H436" s="915">
        <v>349000</v>
      </c>
      <c r="I436" s="915">
        <v>350000</v>
      </c>
      <c r="J436" s="230" t="s">
        <v>649</v>
      </c>
      <c r="K436" s="969"/>
      <c r="N436" s="478"/>
    </row>
    <row r="437" spans="1:14" ht="15">
      <c r="A437" s="68" t="s">
        <v>650</v>
      </c>
      <c r="B437" s="68"/>
      <c r="C437" s="68">
        <v>999</v>
      </c>
      <c r="D437" s="68">
        <v>824000</v>
      </c>
      <c r="E437" s="970">
        <v>1</v>
      </c>
      <c r="F437" s="68"/>
      <c r="G437" s="69">
        <v>2735000</v>
      </c>
      <c r="H437" s="945">
        <v>2734000</v>
      </c>
      <c r="I437" s="916">
        <v>2825000</v>
      </c>
      <c r="J437" s="1050"/>
      <c r="K437" s="969"/>
      <c r="N437" s="478"/>
    </row>
    <row r="438" spans="1:14">
      <c r="A438" s="970" t="s">
        <v>651</v>
      </c>
      <c r="B438" s="516">
        <v>1825000110</v>
      </c>
      <c r="C438" s="970">
        <v>110</v>
      </c>
      <c r="D438" s="970">
        <v>825000</v>
      </c>
      <c r="E438" s="480">
        <v>1</v>
      </c>
      <c r="F438" s="970" t="s">
        <v>652</v>
      </c>
      <c r="G438" s="67">
        <v>570000</v>
      </c>
      <c r="H438" s="915">
        <v>612000</v>
      </c>
      <c r="I438" s="915">
        <v>770000</v>
      </c>
      <c r="J438" s="230" t="s">
        <v>274</v>
      </c>
      <c r="K438" s="969"/>
      <c r="N438" s="478"/>
    </row>
    <row r="439" spans="1:14">
      <c r="A439" s="970"/>
      <c r="B439" s="1049">
        <v>1825000530</v>
      </c>
      <c r="C439" s="970">
        <v>530</v>
      </c>
      <c r="D439" s="970">
        <v>825000</v>
      </c>
      <c r="E439" s="970">
        <v>1</v>
      </c>
      <c r="F439" s="970" t="s">
        <v>277</v>
      </c>
      <c r="G439" s="67">
        <v>55000</v>
      </c>
      <c r="H439" s="915">
        <v>56000</v>
      </c>
      <c r="I439" s="915">
        <v>55000</v>
      </c>
      <c r="J439" s="230" t="s">
        <v>287</v>
      </c>
      <c r="K439" s="969"/>
      <c r="N439" s="478"/>
    </row>
    <row r="440" spans="1:14">
      <c r="A440" s="970"/>
      <c r="B440" s="1049">
        <v>1825000540</v>
      </c>
      <c r="C440" s="970">
        <v>540</v>
      </c>
      <c r="D440" s="970">
        <v>825000</v>
      </c>
      <c r="E440" s="970">
        <v>1</v>
      </c>
      <c r="F440" s="970" t="s">
        <v>279</v>
      </c>
      <c r="G440" s="67">
        <v>8000</v>
      </c>
      <c r="H440" s="915">
        <v>17000</v>
      </c>
      <c r="I440" s="915">
        <v>8000</v>
      </c>
      <c r="J440" s="230"/>
      <c r="K440" s="969"/>
      <c r="N440" s="478"/>
    </row>
    <row r="441" spans="1:14">
      <c r="A441" s="970"/>
      <c r="B441" s="1049">
        <v>1825000780</v>
      </c>
      <c r="C441" s="970">
        <v>780</v>
      </c>
      <c r="D441" s="970">
        <v>825000</v>
      </c>
      <c r="E441" s="970">
        <v>1</v>
      </c>
      <c r="F441" s="970" t="s">
        <v>280</v>
      </c>
      <c r="G441" s="67">
        <v>150000</v>
      </c>
      <c r="H441" s="915">
        <v>149000</v>
      </c>
      <c r="I441" s="915">
        <v>150000</v>
      </c>
      <c r="J441" s="230" t="s">
        <v>1517</v>
      </c>
      <c r="K441" s="969"/>
      <c r="N441" s="478"/>
    </row>
    <row r="442" spans="1:14" ht="15">
      <c r="A442" s="68" t="s">
        <v>653</v>
      </c>
      <c r="B442" s="68"/>
      <c r="C442" s="68">
        <v>999</v>
      </c>
      <c r="D442" s="68">
        <v>825000</v>
      </c>
      <c r="E442" s="970">
        <v>1</v>
      </c>
      <c r="F442" s="68"/>
      <c r="G442" s="69">
        <v>783000</v>
      </c>
      <c r="H442" s="945">
        <v>834000</v>
      </c>
      <c r="I442" s="916">
        <v>983000</v>
      </c>
      <c r="J442" s="1050"/>
      <c r="K442" s="969"/>
      <c r="N442" s="478"/>
    </row>
    <row r="443" spans="1:14">
      <c r="A443" s="970" t="s">
        <v>654</v>
      </c>
      <c r="B443" s="1049">
        <v>1825200410</v>
      </c>
      <c r="C443" s="970">
        <v>410</v>
      </c>
      <c r="D443" s="970">
        <v>825200</v>
      </c>
      <c r="E443" s="970">
        <v>1</v>
      </c>
      <c r="F443" s="970" t="s">
        <v>304</v>
      </c>
      <c r="G443" s="67">
        <v>0</v>
      </c>
      <c r="H443" s="915">
        <v>82000</v>
      </c>
      <c r="I443" s="915">
        <v>84000</v>
      </c>
      <c r="J443" s="230" t="s">
        <v>1516</v>
      </c>
      <c r="K443" s="969"/>
      <c r="N443" s="478"/>
    </row>
    <row r="444" spans="1:14" ht="28.5">
      <c r="A444" s="1072"/>
      <c r="B444" s="1049">
        <v>1825200750</v>
      </c>
      <c r="C444" s="970">
        <v>750</v>
      </c>
      <c r="D444" s="970">
        <v>825200</v>
      </c>
      <c r="E444" s="970">
        <v>1</v>
      </c>
      <c r="F444" s="970" t="s">
        <v>288</v>
      </c>
      <c r="G444" s="67">
        <v>2610000</v>
      </c>
      <c r="H444" s="915">
        <v>2971000</v>
      </c>
      <c r="I444" s="915">
        <v>3000000</v>
      </c>
      <c r="J444" s="230" t="s">
        <v>1518</v>
      </c>
      <c r="K444" s="969"/>
      <c r="N444" s="478"/>
    </row>
    <row r="445" spans="1:14" ht="28.5">
      <c r="A445" s="970"/>
      <c r="B445" s="1049">
        <v>1825200780</v>
      </c>
      <c r="C445" s="970">
        <v>780</v>
      </c>
      <c r="D445" s="970">
        <v>825200</v>
      </c>
      <c r="E445" s="970">
        <v>1</v>
      </c>
      <c r="F445" s="970" t="s">
        <v>2190</v>
      </c>
      <c r="G445" s="67">
        <v>310000</v>
      </c>
      <c r="H445" s="915">
        <v>310000</v>
      </c>
      <c r="I445" s="915">
        <v>310000</v>
      </c>
      <c r="J445" s="230" t="s">
        <v>2197</v>
      </c>
      <c r="K445" s="969"/>
      <c r="N445" s="478"/>
    </row>
    <row r="446" spans="1:14" ht="28.5">
      <c r="A446" s="970"/>
      <c r="B446" s="1049">
        <v>1825200781</v>
      </c>
      <c r="C446" s="970">
        <v>781</v>
      </c>
      <c r="D446" s="970">
        <v>825200</v>
      </c>
      <c r="E446" s="970">
        <v>1</v>
      </c>
      <c r="F446" s="970" t="s">
        <v>1519</v>
      </c>
      <c r="G446" s="67">
        <v>900000</v>
      </c>
      <c r="H446" s="915">
        <v>900000</v>
      </c>
      <c r="I446" s="915">
        <v>900000</v>
      </c>
      <c r="J446" s="1057" t="s">
        <v>3990</v>
      </c>
      <c r="K446" s="969"/>
      <c r="N446" s="478"/>
    </row>
    <row r="447" spans="1:14" ht="42.75">
      <c r="A447" s="970"/>
      <c r="B447" s="1049">
        <v>1825200812</v>
      </c>
      <c r="C447" s="970">
        <v>812</v>
      </c>
      <c r="D447" s="970">
        <v>825200</v>
      </c>
      <c r="E447" s="970">
        <v>1</v>
      </c>
      <c r="F447" s="970" t="s">
        <v>655</v>
      </c>
      <c r="G447" s="67">
        <v>450000</v>
      </c>
      <c r="H447" s="915">
        <v>449000</v>
      </c>
      <c r="I447" s="915">
        <v>450000</v>
      </c>
      <c r="J447" s="230" t="s">
        <v>2198</v>
      </c>
      <c r="K447" s="969"/>
      <c r="N447" s="478"/>
    </row>
    <row r="448" spans="1:14">
      <c r="A448" s="970"/>
      <c r="B448" s="1049">
        <v>1825200816</v>
      </c>
      <c r="C448" s="970">
        <v>816</v>
      </c>
      <c r="D448" s="970">
        <v>825200</v>
      </c>
      <c r="E448" s="970">
        <v>1</v>
      </c>
      <c r="F448" s="970" t="s">
        <v>657</v>
      </c>
      <c r="G448" s="67">
        <v>200000</v>
      </c>
      <c r="H448" s="915">
        <v>200000</v>
      </c>
      <c r="I448" s="915">
        <v>200000</v>
      </c>
      <c r="J448" s="230" t="s">
        <v>2199</v>
      </c>
      <c r="K448" s="969"/>
      <c r="N448" s="478"/>
    </row>
    <row r="449" spans="1:14" ht="15">
      <c r="A449" s="68" t="s">
        <v>658</v>
      </c>
      <c r="B449" s="68"/>
      <c r="C449" s="68">
        <v>999</v>
      </c>
      <c r="D449" s="68">
        <v>825200</v>
      </c>
      <c r="E449" s="970">
        <v>1</v>
      </c>
      <c r="F449" s="68"/>
      <c r="G449" s="69">
        <v>4470000</v>
      </c>
      <c r="H449" s="945">
        <v>4912000</v>
      </c>
      <c r="I449" s="916">
        <v>4944000</v>
      </c>
      <c r="J449" s="1073" t="s">
        <v>4</v>
      </c>
      <c r="K449" s="969"/>
      <c r="N449" s="478"/>
    </row>
    <row r="450" spans="1:14">
      <c r="A450" s="970" t="s">
        <v>659</v>
      </c>
      <c r="B450" s="1049">
        <v>1826000750</v>
      </c>
      <c r="C450" s="970">
        <v>750</v>
      </c>
      <c r="D450" s="970">
        <v>826000</v>
      </c>
      <c r="E450" s="970">
        <v>1</v>
      </c>
      <c r="F450" s="970" t="s">
        <v>288</v>
      </c>
      <c r="G450" s="67">
        <v>300000</v>
      </c>
      <c r="H450" s="915">
        <v>200000</v>
      </c>
      <c r="I450" s="915">
        <v>320000</v>
      </c>
      <c r="J450" s="1055" t="s">
        <v>660</v>
      </c>
      <c r="K450" s="969"/>
      <c r="N450" s="478"/>
    </row>
    <row r="451" spans="1:14">
      <c r="A451" s="970"/>
      <c r="B451" s="1049">
        <v>1826000780</v>
      </c>
      <c r="C451" s="970">
        <v>780</v>
      </c>
      <c r="D451" s="970">
        <v>826000</v>
      </c>
      <c r="E451" s="970">
        <v>1</v>
      </c>
      <c r="F451" s="970" t="s">
        <v>280</v>
      </c>
      <c r="G451" s="67">
        <v>300000</v>
      </c>
      <c r="H451" s="915">
        <v>300000</v>
      </c>
      <c r="I451" s="915">
        <v>300000</v>
      </c>
      <c r="J451" s="1055" t="s">
        <v>2191</v>
      </c>
      <c r="K451" s="969"/>
      <c r="N451" s="478"/>
    </row>
    <row r="452" spans="1:14">
      <c r="A452" s="970"/>
      <c r="B452" s="1049">
        <v>1826000782</v>
      </c>
      <c r="C452" s="970">
        <v>782</v>
      </c>
      <c r="D452" s="970">
        <v>826000</v>
      </c>
      <c r="E452" s="970">
        <v>1</v>
      </c>
      <c r="F452" s="970" t="s">
        <v>661</v>
      </c>
      <c r="G452" s="67">
        <v>212668</v>
      </c>
      <c r="H452" s="915">
        <v>214000</v>
      </c>
      <c r="I452" s="915">
        <v>300000</v>
      </c>
      <c r="J452" s="1055" t="s">
        <v>662</v>
      </c>
      <c r="K452" s="969"/>
      <c r="N452" s="478"/>
    </row>
    <row r="453" spans="1:14" s="233" customFormat="1">
      <c r="A453" s="970"/>
      <c r="B453" s="1049">
        <v>1826000783</v>
      </c>
      <c r="C453" s="970">
        <v>783</v>
      </c>
      <c r="D453" s="970">
        <v>826000</v>
      </c>
      <c r="E453" s="970">
        <v>1</v>
      </c>
      <c r="F453" s="970" t="s">
        <v>2521</v>
      </c>
      <c r="G453" s="67">
        <v>272332</v>
      </c>
      <c r="H453" s="915">
        <v>272000</v>
      </c>
      <c r="I453" s="915">
        <v>250000</v>
      </c>
      <c r="J453" s="1055" t="s">
        <v>3171</v>
      </c>
      <c r="K453" s="969"/>
      <c r="N453" s="478"/>
    </row>
    <row r="454" spans="1:14" ht="28.5">
      <c r="A454" s="970"/>
      <c r="B454" s="1049">
        <v>1826000810</v>
      </c>
      <c r="C454" s="970">
        <v>810</v>
      </c>
      <c r="D454" s="970">
        <v>826000</v>
      </c>
      <c r="E454" s="970">
        <v>1</v>
      </c>
      <c r="F454" s="970" t="s">
        <v>514</v>
      </c>
      <c r="G454" s="67">
        <v>3468000</v>
      </c>
      <c r="H454" s="915">
        <v>3469000</v>
      </c>
      <c r="I454" s="915">
        <v>4700000</v>
      </c>
      <c r="J454" s="1058" t="s">
        <v>3452</v>
      </c>
      <c r="K454" s="969"/>
      <c r="N454" s="478"/>
    </row>
    <row r="455" spans="1:14" ht="15">
      <c r="A455" s="68" t="s">
        <v>663</v>
      </c>
      <c r="B455" s="68"/>
      <c r="C455" s="68">
        <v>999</v>
      </c>
      <c r="D455" s="68">
        <v>826000</v>
      </c>
      <c r="E455" s="970">
        <v>1</v>
      </c>
      <c r="F455" s="68"/>
      <c r="G455" s="69">
        <v>4553000</v>
      </c>
      <c r="H455" s="945">
        <v>4455000</v>
      </c>
      <c r="I455" s="916">
        <v>5870000</v>
      </c>
      <c r="J455" s="1073" t="s">
        <v>4</v>
      </c>
      <c r="K455" s="969"/>
      <c r="N455" s="478"/>
    </row>
    <row r="456" spans="1:14">
      <c r="A456" s="970" t="s">
        <v>664</v>
      </c>
      <c r="B456" s="1049">
        <v>1826200811</v>
      </c>
      <c r="C456" s="970">
        <v>811</v>
      </c>
      <c r="D456" s="970">
        <v>826200</v>
      </c>
      <c r="E456" s="970">
        <v>1</v>
      </c>
      <c r="F456" s="970" t="s">
        <v>665</v>
      </c>
      <c r="G456" s="67">
        <v>550000</v>
      </c>
      <c r="H456" s="915">
        <v>550000</v>
      </c>
      <c r="I456" s="915">
        <v>600000</v>
      </c>
      <c r="J456" s="1055"/>
      <c r="K456" s="969"/>
      <c r="N456" s="478"/>
    </row>
    <row r="457" spans="1:14" ht="15">
      <c r="A457" s="68" t="s">
        <v>666</v>
      </c>
      <c r="B457" s="68"/>
      <c r="C457" s="68">
        <v>999</v>
      </c>
      <c r="D457" s="68">
        <v>826200</v>
      </c>
      <c r="E457" s="970">
        <v>1</v>
      </c>
      <c r="F457" s="68"/>
      <c r="G457" s="69">
        <v>550000</v>
      </c>
      <c r="H457" s="945">
        <v>550000</v>
      </c>
      <c r="I457" s="916">
        <v>600000</v>
      </c>
      <c r="J457" s="1073" t="s">
        <v>4</v>
      </c>
      <c r="K457" s="969"/>
      <c r="N457" s="478"/>
    </row>
    <row r="458" spans="1:14">
      <c r="A458" s="970" t="s">
        <v>667</v>
      </c>
      <c r="B458" s="1049">
        <v>1826400812</v>
      </c>
      <c r="C458" s="970">
        <v>812</v>
      </c>
      <c r="D458" s="970">
        <v>826400</v>
      </c>
      <c r="E458" s="970">
        <v>1</v>
      </c>
      <c r="F458" s="970" t="s">
        <v>668</v>
      </c>
      <c r="G458" s="67">
        <v>600000</v>
      </c>
      <c r="H458" s="915">
        <v>600000</v>
      </c>
      <c r="I458" s="915">
        <v>600000</v>
      </c>
      <c r="J458" s="1054" t="s">
        <v>4</v>
      </c>
      <c r="K458" s="969"/>
      <c r="N458" s="478"/>
    </row>
    <row r="459" spans="1:14" ht="15">
      <c r="A459" s="68" t="s">
        <v>669</v>
      </c>
      <c r="B459" s="68"/>
      <c r="C459" s="68">
        <v>999</v>
      </c>
      <c r="D459" s="68">
        <v>826400</v>
      </c>
      <c r="E459" s="970">
        <v>1</v>
      </c>
      <c r="F459" s="68"/>
      <c r="G459" s="69">
        <v>600000</v>
      </c>
      <c r="H459" s="945">
        <v>600000</v>
      </c>
      <c r="I459" s="916">
        <v>600000</v>
      </c>
      <c r="J459" s="1050"/>
      <c r="K459" s="969"/>
      <c r="N459" s="478"/>
    </row>
    <row r="460" spans="1:14">
      <c r="A460" s="970" t="s">
        <v>670</v>
      </c>
      <c r="B460" s="516">
        <v>1827000110</v>
      </c>
      <c r="C460" s="970">
        <v>110</v>
      </c>
      <c r="D460" s="970">
        <v>827000</v>
      </c>
      <c r="E460" s="480">
        <v>1</v>
      </c>
      <c r="F460" s="970" t="s">
        <v>671</v>
      </c>
      <c r="G460" s="67">
        <v>1517000</v>
      </c>
      <c r="H460" s="915">
        <v>1501000</v>
      </c>
      <c r="I460" s="915">
        <v>1186000</v>
      </c>
      <c r="J460" s="230" t="s">
        <v>274</v>
      </c>
      <c r="K460" s="969"/>
      <c r="N460" s="478"/>
    </row>
    <row r="461" spans="1:14">
      <c r="A461" s="970"/>
      <c r="B461" s="1049">
        <v>1827000530</v>
      </c>
      <c r="C461" s="970">
        <v>530</v>
      </c>
      <c r="D461" s="970">
        <v>827000</v>
      </c>
      <c r="E461" s="970">
        <v>1</v>
      </c>
      <c r="F461" s="970" t="s">
        <v>277</v>
      </c>
      <c r="G461" s="67">
        <v>90000</v>
      </c>
      <c r="H461" s="915">
        <v>91000</v>
      </c>
      <c r="I461" s="915">
        <v>90000</v>
      </c>
      <c r="J461" s="230" t="s">
        <v>287</v>
      </c>
      <c r="K461" s="969"/>
      <c r="N461" s="478"/>
    </row>
    <row r="462" spans="1:14">
      <c r="A462" s="970"/>
      <c r="B462" s="1049">
        <v>1827000540</v>
      </c>
      <c r="C462" s="970">
        <v>540</v>
      </c>
      <c r="D462" s="970">
        <v>827000</v>
      </c>
      <c r="E462" s="970">
        <v>1</v>
      </c>
      <c r="F462" s="970" t="s">
        <v>279</v>
      </c>
      <c r="G462" s="67">
        <v>6000</v>
      </c>
      <c r="H462" s="915">
        <v>7000</v>
      </c>
      <c r="I462" s="915">
        <v>6000</v>
      </c>
      <c r="J462" s="230"/>
      <c r="K462" s="969"/>
      <c r="N462" s="478"/>
    </row>
    <row r="463" spans="1:14" ht="28.5">
      <c r="A463" s="970"/>
      <c r="B463" s="1049">
        <v>1827000780</v>
      </c>
      <c r="C463" s="970">
        <v>780</v>
      </c>
      <c r="D463" s="970">
        <v>827000</v>
      </c>
      <c r="E463" s="970">
        <v>1</v>
      </c>
      <c r="F463" s="970" t="s">
        <v>672</v>
      </c>
      <c r="G463" s="67">
        <v>670000</v>
      </c>
      <c r="H463" s="915">
        <v>671000</v>
      </c>
      <c r="I463" s="915">
        <v>670000</v>
      </c>
      <c r="J463" s="1054" t="s">
        <v>2477</v>
      </c>
      <c r="K463" s="969"/>
      <c r="N463" s="478"/>
    </row>
    <row r="464" spans="1:14" ht="28.5">
      <c r="A464" s="970"/>
      <c r="B464" s="1049">
        <v>1827000781</v>
      </c>
      <c r="C464" s="970">
        <v>781</v>
      </c>
      <c r="D464" s="970">
        <v>827000</v>
      </c>
      <c r="E464" s="970">
        <v>1</v>
      </c>
      <c r="F464" s="970" t="s">
        <v>673</v>
      </c>
      <c r="G464" s="67">
        <v>520000</v>
      </c>
      <c r="H464" s="915">
        <v>540000</v>
      </c>
      <c r="I464" s="915">
        <v>520000</v>
      </c>
      <c r="J464" s="1054" t="s">
        <v>2477</v>
      </c>
      <c r="K464" s="969"/>
      <c r="N464" s="478"/>
    </row>
    <row r="465" spans="1:14" ht="28.5">
      <c r="A465" s="970"/>
      <c r="B465" s="1049">
        <v>1827000782</v>
      </c>
      <c r="C465" s="970">
        <v>782</v>
      </c>
      <c r="D465" s="970">
        <v>827000</v>
      </c>
      <c r="E465" s="970">
        <v>1</v>
      </c>
      <c r="F465" s="970" t="s">
        <v>674</v>
      </c>
      <c r="G465" s="67">
        <v>300000</v>
      </c>
      <c r="H465" s="915">
        <v>552000</v>
      </c>
      <c r="I465" s="915">
        <v>300000</v>
      </c>
      <c r="J465" s="230" t="s">
        <v>675</v>
      </c>
      <c r="K465" s="969"/>
      <c r="N465" s="478"/>
    </row>
    <row r="466" spans="1:14">
      <c r="A466" s="970"/>
      <c r="B466" s="1049">
        <v>1827000783</v>
      </c>
      <c r="C466" s="970">
        <v>783</v>
      </c>
      <c r="D466" s="970">
        <v>827000</v>
      </c>
      <c r="E466" s="970">
        <v>1</v>
      </c>
      <c r="F466" s="970" t="s">
        <v>676</v>
      </c>
      <c r="G466" s="67">
        <v>120000</v>
      </c>
      <c r="H466" s="915">
        <v>113000</v>
      </c>
      <c r="I466" s="915">
        <v>120000</v>
      </c>
      <c r="J466" s="230" t="s">
        <v>677</v>
      </c>
      <c r="K466" s="969"/>
      <c r="N466" s="478"/>
    </row>
    <row r="467" spans="1:14" ht="15">
      <c r="A467" s="68" t="s">
        <v>678</v>
      </c>
      <c r="B467" s="68"/>
      <c r="C467" s="68">
        <v>999</v>
      </c>
      <c r="D467" s="68">
        <v>827000</v>
      </c>
      <c r="E467" s="970">
        <v>1</v>
      </c>
      <c r="F467" s="68"/>
      <c r="G467" s="69">
        <v>3223000</v>
      </c>
      <c r="H467" s="945">
        <v>3475000</v>
      </c>
      <c r="I467" s="916">
        <v>2892000</v>
      </c>
      <c r="J467" s="1050"/>
      <c r="K467" s="969"/>
      <c r="N467" s="478"/>
    </row>
    <row r="468" spans="1:14">
      <c r="A468" s="970" t="s">
        <v>679</v>
      </c>
      <c r="B468" s="516">
        <v>1828000110</v>
      </c>
      <c r="C468" s="970">
        <v>110</v>
      </c>
      <c r="D468" s="970">
        <v>828000</v>
      </c>
      <c r="E468" s="480">
        <v>1</v>
      </c>
      <c r="F468" s="970" t="s">
        <v>680</v>
      </c>
      <c r="G468" s="67">
        <v>400000</v>
      </c>
      <c r="H468" s="915">
        <v>536700</v>
      </c>
      <c r="I468" s="915">
        <v>0</v>
      </c>
      <c r="J468" s="230" t="s">
        <v>3549</v>
      </c>
      <c r="K468" s="969"/>
      <c r="N468" s="478"/>
    </row>
    <row r="469" spans="1:14">
      <c r="A469" s="970"/>
      <c r="B469" s="1049">
        <v>1828000540</v>
      </c>
      <c r="C469" s="970">
        <v>540</v>
      </c>
      <c r="D469" s="970">
        <v>828000</v>
      </c>
      <c r="E469" s="970">
        <v>1</v>
      </c>
      <c r="F469" s="970" t="s">
        <v>279</v>
      </c>
      <c r="G469" s="67">
        <v>8000</v>
      </c>
      <c r="H469" s="915">
        <v>21000</v>
      </c>
      <c r="I469" s="915">
        <v>0</v>
      </c>
      <c r="J469" s="230" t="s">
        <v>3548</v>
      </c>
      <c r="K469" s="969"/>
      <c r="N469" s="478"/>
    </row>
    <row r="470" spans="1:14" s="566" customFormat="1">
      <c r="A470" s="970"/>
      <c r="B470" s="1049">
        <v>1828000780</v>
      </c>
      <c r="C470" s="970">
        <v>780</v>
      </c>
      <c r="D470" s="970">
        <v>828000</v>
      </c>
      <c r="E470" s="970">
        <v>1</v>
      </c>
      <c r="F470" s="970" t="s">
        <v>280</v>
      </c>
      <c r="G470" s="67">
        <v>400000</v>
      </c>
      <c r="H470" s="915">
        <v>405000</v>
      </c>
      <c r="I470" s="915">
        <v>0</v>
      </c>
      <c r="J470" s="230" t="s">
        <v>3550</v>
      </c>
      <c r="K470" s="969"/>
      <c r="N470" s="478"/>
    </row>
    <row r="471" spans="1:14" s="566" customFormat="1">
      <c r="A471" s="970"/>
      <c r="B471" s="1049">
        <v>1828000781</v>
      </c>
      <c r="C471" s="970">
        <v>781</v>
      </c>
      <c r="D471" s="970">
        <v>828000</v>
      </c>
      <c r="E471" s="970">
        <v>1</v>
      </c>
      <c r="F471" s="970" t="s">
        <v>862</v>
      </c>
      <c r="G471" s="67">
        <v>50000</v>
      </c>
      <c r="H471" s="915">
        <v>77000</v>
      </c>
      <c r="I471" s="915">
        <v>0</v>
      </c>
      <c r="J471" s="230" t="s">
        <v>3550</v>
      </c>
      <c r="K471" s="969"/>
      <c r="N471" s="478"/>
    </row>
    <row r="472" spans="1:14" ht="15">
      <c r="A472" s="68" t="s">
        <v>681</v>
      </c>
      <c r="B472" s="68"/>
      <c r="C472" s="68">
        <v>999</v>
      </c>
      <c r="D472" s="68">
        <v>828000</v>
      </c>
      <c r="E472" s="970">
        <v>1</v>
      </c>
      <c r="F472" s="68"/>
      <c r="G472" s="69">
        <v>858000</v>
      </c>
      <c r="H472" s="945">
        <v>1039700</v>
      </c>
      <c r="I472" s="916">
        <v>0</v>
      </c>
      <c r="J472" s="1050"/>
      <c r="K472" s="969"/>
      <c r="N472" s="478"/>
    </row>
    <row r="473" spans="1:14">
      <c r="A473" s="970" t="s">
        <v>682</v>
      </c>
      <c r="B473" s="516">
        <v>1828100110</v>
      </c>
      <c r="C473" s="970">
        <v>110</v>
      </c>
      <c r="D473" s="970">
        <v>828100</v>
      </c>
      <c r="E473" s="480">
        <v>1</v>
      </c>
      <c r="F473" s="970" t="s">
        <v>683</v>
      </c>
      <c r="G473" s="67">
        <v>850000</v>
      </c>
      <c r="H473" s="915">
        <v>607000</v>
      </c>
      <c r="I473" s="915">
        <v>690000</v>
      </c>
      <c r="J473" s="230" t="s">
        <v>274</v>
      </c>
      <c r="K473" s="969"/>
      <c r="N473" s="478"/>
    </row>
    <row r="474" spans="1:14">
      <c r="A474" s="970"/>
      <c r="B474" s="1049">
        <v>1828100410</v>
      </c>
      <c r="C474" s="970">
        <v>410</v>
      </c>
      <c r="D474" s="970">
        <v>828100</v>
      </c>
      <c r="E474" s="970">
        <v>1</v>
      </c>
      <c r="F474" s="970" t="s">
        <v>304</v>
      </c>
      <c r="G474" s="67">
        <v>160000</v>
      </c>
      <c r="H474" s="915">
        <v>145000</v>
      </c>
      <c r="I474" s="915">
        <v>160000</v>
      </c>
      <c r="J474" s="230" t="s">
        <v>1510</v>
      </c>
      <c r="K474" s="969"/>
      <c r="N474" s="478"/>
    </row>
    <row r="475" spans="1:14">
      <c r="A475" s="970"/>
      <c r="B475" s="1049">
        <v>1828100750</v>
      </c>
      <c r="C475" s="970">
        <v>750</v>
      </c>
      <c r="D475" s="970">
        <v>828100</v>
      </c>
      <c r="E475" s="970">
        <v>1</v>
      </c>
      <c r="F475" s="970" t="s">
        <v>288</v>
      </c>
      <c r="G475" s="67">
        <v>480000</v>
      </c>
      <c r="H475" s="915">
        <v>635000</v>
      </c>
      <c r="I475" s="915">
        <v>600000</v>
      </c>
      <c r="J475" s="230" t="s">
        <v>684</v>
      </c>
      <c r="K475" s="969"/>
      <c r="N475" s="478"/>
    </row>
    <row r="476" spans="1:14" ht="42.75">
      <c r="A476" s="970"/>
      <c r="B476" s="1049">
        <v>1828100780</v>
      </c>
      <c r="C476" s="970">
        <v>780</v>
      </c>
      <c r="D476" s="970">
        <v>828100</v>
      </c>
      <c r="E476" s="970">
        <v>1</v>
      </c>
      <c r="F476" s="970" t="s">
        <v>379</v>
      </c>
      <c r="G476" s="67">
        <v>550000</v>
      </c>
      <c r="H476" s="915">
        <v>511000</v>
      </c>
      <c r="I476" s="915">
        <v>200000</v>
      </c>
      <c r="J476" s="1055" t="s">
        <v>3465</v>
      </c>
      <c r="K476" s="969"/>
      <c r="N476" s="478"/>
    </row>
    <row r="477" spans="1:14">
      <c r="A477" s="970"/>
      <c r="B477" s="1049">
        <v>1828100813</v>
      </c>
      <c r="C477" s="970">
        <v>813</v>
      </c>
      <c r="D477" s="970">
        <v>828100</v>
      </c>
      <c r="E477" s="970">
        <v>1</v>
      </c>
      <c r="F477" s="970" t="s">
        <v>864</v>
      </c>
      <c r="G477" s="67">
        <v>100000</v>
      </c>
      <c r="H477" s="915">
        <v>101000</v>
      </c>
      <c r="I477" s="915">
        <v>100000</v>
      </c>
      <c r="J477" s="230" t="s">
        <v>1536</v>
      </c>
      <c r="K477" s="969"/>
      <c r="N477" s="478"/>
    </row>
    <row r="478" spans="1:14" ht="15">
      <c r="A478" s="68" t="s">
        <v>685</v>
      </c>
      <c r="B478" s="68"/>
      <c r="C478" s="68">
        <v>999</v>
      </c>
      <c r="D478" s="68">
        <v>828100</v>
      </c>
      <c r="E478" s="970">
        <v>1</v>
      </c>
      <c r="F478" s="68"/>
      <c r="G478" s="69">
        <v>2140000</v>
      </c>
      <c r="H478" s="945">
        <v>1999000</v>
      </c>
      <c r="I478" s="916">
        <v>1750000</v>
      </c>
      <c r="J478" s="1050"/>
      <c r="K478" s="969"/>
      <c r="N478" s="478"/>
    </row>
    <row r="479" spans="1:14">
      <c r="A479" s="970" t="s">
        <v>686</v>
      </c>
      <c r="B479" s="516">
        <v>1828200110</v>
      </c>
      <c r="C479" s="970">
        <v>110</v>
      </c>
      <c r="D479" s="970">
        <v>828200</v>
      </c>
      <c r="E479" s="480">
        <v>1</v>
      </c>
      <c r="F479" s="970" t="s">
        <v>687</v>
      </c>
      <c r="G479" s="67">
        <v>2352000</v>
      </c>
      <c r="H479" s="915">
        <v>2418000</v>
      </c>
      <c r="I479" s="915">
        <v>2184000</v>
      </c>
      <c r="J479" s="230" t="s">
        <v>688</v>
      </c>
      <c r="K479" s="969"/>
      <c r="N479" s="478"/>
    </row>
    <row r="480" spans="1:14" ht="15">
      <c r="A480" s="68" t="s">
        <v>689</v>
      </c>
      <c r="B480" s="68"/>
      <c r="C480" s="68">
        <v>999</v>
      </c>
      <c r="D480" s="68">
        <v>828200</v>
      </c>
      <c r="E480" s="970">
        <v>1</v>
      </c>
      <c r="F480" s="68"/>
      <c r="G480" s="69">
        <v>2352000</v>
      </c>
      <c r="H480" s="945">
        <v>2418000</v>
      </c>
      <c r="I480" s="916">
        <v>2184000</v>
      </c>
      <c r="J480" s="1050"/>
      <c r="K480" s="969"/>
      <c r="N480" s="478"/>
    </row>
    <row r="481" spans="1:14">
      <c r="A481" s="970" t="s">
        <v>690</v>
      </c>
      <c r="B481" s="516">
        <v>1828300110</v>
      </c>
      <c r="C481" s="970">
        <v>110</v>
      </c>
      <c r="D481" s="970">
        <v>828300</v>
      </c>
      <c r="E481" s="480">
        <v>1</v>
      </c>
      <c r="F481" s="970" t="s">
        <v>691</v>
      </c>
      <c r="G481" s="67">
        <v>370000</v>
      </c>
      <c r="H481" s="915">
        <v>453000</v>
      </c>
      <c r="I481" s="915">
        <v>323000</v>
      </c>
      <c r="J481" s="230" t="s">
        <v>274</v>
      </c>
      <c r="K481" s="969"/>
      <c r="N481" s="478"/>
    </row>
    <row r="482" spans="1:14" ht="28.5">
      <c r="A482" s="970"/>
      <c r="B482" s="1049">
        <v>1828300750</v>
      </c>
      <c r="C482" s="970">
        <v>750</v>
      </c>
      <c r="D482" s="970">
        <v>828300</v>
      </c>
      <c r="E482" s="970">
        <v>1</v>
      </c>
      <c r="F482" s="970" t="s">
        <v>530</v>
      </c>
      <c r="G482" s="67">
        <v>435000</v>
      </c>
      <c r="H482" s="915">
        <v>454000</v>
      </c>
      <c r="I482" s="915">
        <v>645000</v>
      </c>
      <c r="J482" s="230" t="s">
        <v>3855</v>
      </c>
      <c r="K482" s="969"/>
      <c r="N482" s="478"/>
    </row>
    <row r="483" spans="1:14">
      <c r="A483" s="970"/>
      <c r="B483" s="1049">
        <v>1828300780</v>
      </c>
      <c r="C483" s="970">
        <v>780</v>
      </c>
      <c r="D483" s="970">
        <v>828300</v>
      </c>
      <c r="E483" s="970">
        <v>1</v>
      </c>
      <c r="F483" s="970" t="s">
        <v>656</v>
      </c>
      <c r="G483" s="67">
        <v>240000</v>
      </c>
      <c r="H483" s="915">
        <v>244000</v>
      </c>
      <c r="I483" s="915">
        <v>240000</v>
      </c>
      <c r="J483" s="230" t="s">
        <v>1512</v>
      </c>
      <c r="K483" s="969"/>
      <c r="N483" s="478"/>
    </row>
    <row r="484" spans="1:14" ht="15">
      <c r="A484" s="68" t="s">
        <v>692</v>
      </c>
      <c r="B484" s="68"/>
      <c r="C484" s="68">
        <v>999</v>
      </c>
      <c r="D484" s="68">
        <v>828300</v>
      </c>
      <c r="E484" s="970">
        <v>1</v>
      </c>
      <c r="F484" s="68"/>
      <c r="G484" s="69">
        <v>1045000</v>
      </c>
      <c r="H484" s="945">
        <v>1151000</v>
      </c>
      <c r="I484" s="916">
        <v>1208000</v>
      </c>
      <c r="J484" s="1050"/>
      <c r="K484" s="969"/>
      <c r="N484" s="478"/>
    </row>
    <row r="485" spans="1:14">
      <c r="A485" s="970" t="s">
        <v>865</v>
      </c>
      <c r="B485" s="516">
        <v>1828400110</v>
      </c>
      <c r="C485" s="970">
        <v>110</v>
      </c>
      <c r="D485" s="970">
        <v>828400</v>
      </c>
      <c r="E485" s="480">
        <v>1</v>
      </c>
      <c r="F485" s="970" t="s">
        <v>866</v>
      </c>
      <c r="G485" s="67">
        <v>547000</v>
      </c>
      <c r="H485" s="915">
        <v>534000</v>
      </c>
      <c r="I485" s="915">
        <v>577000</v>
      </c>
      <c r="J485" s="230" t="s">
        <v>274</v>
      </c>
      <c r="K485" s="969"/>
      <c r="N485" s="478"/>
    </row>
    <row r="486" spans="1:14">
      <c r="A486" s="970"/>
      <c r="B486" s="1049">
        <v>1828400780</v>
      </c>
      <c r="C486" s="970">
        <v>780</v>
      </c>
      <c r="D486" s="970">
        <v>828400</v>
      </c>
      <c r="E486" s="970">
        <v>1</v>
      </c>
      <c r="F486" s="970" t="s">
        <v>87</v>
      </c>
      <c r="G486" s="67">
        <v>219000</v>
      </c>
      <c r="H486" s="915">
        <v>219000</v>
      </c>
      <c r="I486" s="915">
        <v>185000</v>
      </c>
      <c r="J486" s="230" t="s">
        <v>867</v>
      </c>
      <c r="K486" s="969"/>
      <c r="N486" s="478"/>
    </row>
    <row r="487" spans="1:14" s="448" customFormat="1" ht="28.5">
      <c r="A487" s="970"/>
      <c r="B487" s="1049">
        <v>1828400781</v>
      </c>
      <c r="C487" s="970">
        <v>781</v>
      </c>
      <c r="D487" s="970">
        <v>828000</v>
      </c>
      <c r="E487" s="970">
        <v>1</v>
      </c>
      <c r="F487" s="970" t="s">
        <v>862</v>
      </c>
      <c r="G487" s="67">
        <v>0</v>
      </c>
      <c r="H487" s="915">
        <v>0</v>
      </c>
      <c r="I487" s="915">
        <v>98000</v>
      </c>
      <c r="J487" s="230" t="s">
        <v>3551</v>
      </c>
      <c r="K487" s="969"/>
      <c r="N487" s="478"/>
    </row>
    <row r="488" spans="1:14" ht="15">
      <c r="A488" s="68" t="s">
        <v>693</v>
      </c>
      <c r="B488" s="68"/>
      <c r="C488" s="68">
        <v>999</v>
      </c>
      <c r="D488" s="68">
        <v>828400</v>
      </c>
      <c r="E488" s="970">
        <v>1</v>
      </c>
      <c r="F488" s="68"/>
      <c r="G488" s="69">
        <v>766000</v>
      </c>
      <c r="H488" s="945">
        <v>753000</v>
      </c>
      <c r="I488" s="916">
        <v>860000</v>
      </c>
      <c r="J488" s="1050"/>
      <c r="K488" s="969"/>
      <c r="N488" s="478"/>
    </row>
    <row r="489" spans="1:14">
      <c r="A489" s="970" t="s">
        <v>694</v>
      </c>
      <c r="B489" s="516">
        <v>1829300110</v>
      </c>
      <c r="C489" s="970">
        <v>110</v>
      </c>
      <c r="D489" s="970">
        <v>829300</v>
      </c>
      <c r="E489" s="480">
        <v>1</v>
      </c>
      <c r="F489" s="970" t="s">
        <v>695</v>
      </c>
      <c r="G489" s="67">
        <v>1050000</v>
      </c>
      <c r="H489" s="915">
        <v>1222000</v>
      </c>
      <c r="I489" s="915">
        <v>1894000</v>
      </c>
      <c r="J489" s="230" t="s">
        <v>274</v>
      </c>
      <c r="K489" s="969"/>
      <c r="N489" s="478"/>
    </row>
    <row r="490" spans="1:14">
      <c r="A490" s="970"/>
      <c r="B490" s="1049">
        <v>1829300430</v>
      </c>
      <c r="C490" s="970">
        <v>430</v>
      </c>
      <c r="D490" s="970">
        <v>829300</v>
      </c>
      <c r="E490" s="970">
        <v>1</v>
      </c>
      <c r="F490" s="970" t="s">
        <v>311</v>
      </c>
      <c r="G490" s="67">
        <v>32000</v>
      </c>
      <c r="H490" s="915">
        <v>32000</v>
      </c>
      <c r="I490" s="915">
        <v>32000</v>
      </c>
      <c r="J490" s="230" t="s">
        <v>696</v>
      </c>
      <c r="K490" s="969"/>
      <c r="N490" s="478"/>
    </row>
    <row r="491" spans="1:14">
      <c r="A491" s="970"/>
      <c r="B491" s="1049">
        <v>1829300540</v>
      </c>
      <c r="C491" s="970">
        <v>540</v>
      </c>
      <c r="D491" s="970">
        <v>829300</v>
      </c>
      <c r="E491" s="970">
        <v>1</v>
      </c>
      <c r="F491" s="970" t="s">
        <v>279</v>
      </c>
      <c r="G491" s="67">
        <v>19000</v>
      </c>
      <c r="H491" s="915">
        <v>19000</v>
      </c>
      <c r="I491" s="915">
        <v>19000</v>
      </c>
      <c r="J491" s="230"/>
      <c r="K491" s="969"/>
      <c r="N491" s="478"/>
    </row>
    <row r="492" spans="1:14">
      <c r="A492" s="970"/>
      <c r="B492" s="1049">
        <v>1829300750</v>
      </c>
      <c r="C492" s="970">
        <v>750</v>
      </c>
      <c r="D492" s="970">
        <v>829300</v>
      </c>
      <c r="E492" s="970">
        <v>1</v>
      </c>
      <c r="F492" s="970" t="s">
        <v>288</v>
      </c>
      <c r="G492" s="67">
        <v>616000</v>
      </c>
      <c r="H492" s="915">
        <v>1030000</v>
      </c>
      <c r="I492" s="915">
        <v>1081000</v>
      </c>
      <c r="J492" s="230" t="s">
        <v>697</v>
      </c>
      <c r="K492" s="969"/>
      <c r="N492" s="478"/>
    </row>
    <row r="493" spans="1:14" ht="28.5">
      <c r="A493" s="970"/>
      <c r="B493" s="1049">
        <v>1829300780</v>
      </c>
      <c r="C493" s="970">
        <v>780</v>
      </c>
      <c r="D493" s="970">
        <v>829300</v>
      </c>
      <c r="E493" s="970">
        <v>1</v>
      </c>
      <c r="F493" s="970" t="s">
        <v>280</v>
      </c>
      <c r="G493" s="67">
        <v>200000</v>
      </c>
      <c r="H493" s="915">
        <v>228000</v>
      </c>
      <c r="I493" s="915">
        <v>162000</v>
      </c>
      <c r="J493" s="1074" t="s">
        <v>3516</v>
      </c>
      <c r="K493" s="969"/>
      <c r="N493" s="478"/>
    </row>
    <row r="494" spans="1:14">
      <c r="A494" s="970"/>
      <c r="B494" s="1049">
        <v>1829300781</v>
      </c>
      <c r="C494" s="970">
        <v>781</v>
      </c>
      <c r="D494" s="970">
        <v>829300</v>
      </c>
      <c r="E494" s="970">
        <v>1</v>
      </c>
      <c r="F494" s="970" t="s">
        <v>1521</v>
      </c>
      <c r="G494" s="67">
        <v>45000</v>
      </c>
      <c r="H494" s="915">
        <v>45000</v>
      </c>
      <c r="I494" s="915">
        <v>45000</v>
      </c>
      <c r="J494" s="230"/>
      <c r="K494" s="969"/>
      <c r="N494" s="478"/>
    </row>
    <row r="495" spans="1:14" s="233" customFormat="1">
      <c r="A495" s="970"/>
      <c r="B495" s="1049">
        <v>1829300782</v>
      </c>
      <c r="C495" s="970">
        <v>782</v>
      </c>
      <c r="D495" s="970">
        <v>829300</v>
      </c>
      <c r="E495" s="970">
        <v>1</v>
      </c>
      <c r="F495" s="970" t="s">
        <v>2543</v>
      </c>
      <c r="G495" s="67">
        <v>0</v>
      </c>
      <c r="H495" s="915">
        <v>0</v>
      </c>
      <c r="I495" s="915">
        <v>100000</v>
      </c>
      <c r="J495" s="230"/>
      <c r="K495" s="969"/>
      <c r="N495" s="478"/>
    </row>
    <row r="496" spans="1:14">
      <c r="A496" s="970"/>
      <c r="B496" s="1049">
        <v>1829300810</v>
      </c>
      <c r="C496" s="970">
        <v>810</v>
      </c>
      <c r="D496" s="970">
        <v>829300</v>
      </c>
      <c r="E496" s="970">
        <v>1</v>
      </c>
      <c r="F496" s="970" t="s">
        <v>699</v>
      </c>
      <c r="G496" s="67">
        <v>427545</v>
      </c>
      <c r="H496" s="915">
        <v>452000</v>
      </c>
      <c r="I496" s="915">
        <v>324000</v>
      </c>
      <c r="J496" s="230" t="s">
        <v>700</v>
      </c>
      <c r="K496" s="969"/>
      <c r="N496" s="478"/>
    </row>
    <row r="497" spans="1:14" ht="42.75">
      <c r="A497" s="970"/>
      <c r="B497" s="1049">
        <v>1829300812</v>
      </c>
      <c r="C497" s="970">
        <v>812</v>
      </c>
      <c r="D497" s="970">
        <v>829300</v>
      </c>
      <c r="E497" s="970">
        <v>1</v>
      </c>
      <c r="F497" s="970" t="s">
        <v>701</v>
      </c>
      <c r="G497" s="67">
        <v>1685500</v>
      </c>
      <c r="H497" s="915">
        <v>1687000</v>
      </c>
      <c r="I497" s="915">
        <v>1300000</v>
      </c>
      <c r="J497" s="1074" t="s">
        <v>3455</v>
      </c>
      <c r="K497" s="969"/>
      <c r="N497" s="478"/>
    </row>
    <row r="498" spans="1:14" ht="15">
      <c r="A498" s="68" t="s">
        <v>702</v>
      </c>
      <c r="B498" s="68"/>
      <c r="C498" s="68">
        <v>999</v>
      </c>
      <c r="D498" s="68">
        <v>829300</v>
      </c>
      <c r="E498" s="970">
        <v>1</v>
      </c>
      <c r="F498" s="68"/>
      <c r="G498" s="69">
        <v>4075045</v>
      </c>
      <c r="H498" s="945">
        <v>4715000</v>
      </c>
      <c r="I498" s="916">
        <v>4957000</v>
      </c>
      <c r="J498" s="1050"/>
      <c r="K498" s="969"/>
      <c r="N498" s="478"/>
    </row>
    <row r="499" spans="1:14">
      <c r="A499" s="970" t="s">
        <v>703</v>
      </c>
      <c r="B499" s="1049">
        <v>1832400810</v>
      </c>
      <c r="C499" s="970">
        <v>810</v>
      </c>
      <c r="D499" s="970">
        <v>832400</v>
      </c>
      <c r="E499" s="970">
        <v>1</v>
      </c>
      <c r="F499" s="970" t="s">
        <v>704</v>
      </c>
      <c r="G499" s="67">
        <v>22000</v>
      </c>
      <c r="H499" s="915">
        <v>58000</v>
      </c>
      <c r="I499" s="915">
        <v>22000</v>
      </c>
      <c r="J499" s="230" t="s">
        <v>705</v>
      </c>
      <c r="K499" s="969"/>
      <c r="N499" s="478"/>
    </row>
    <row r="500" spans="1:14" ht="15">
      <c r="A500" s="68" t="s">
        <v>706</v>
      </c>
      <c r="B500" s="68"/>
      <c r="C500" s="68">
        <v>999</v>
      </c>
      <c r="D500" s="68">
        <v>832400</v>
      </c>
      <c r="E500" s="970">
        <v>1</v>
      </c>
      <c r="F500" s="68"/>
      <c r="G500" s="69">
        <v>22000</v>
      </c>
      <c r="H500" s="945">
        <v>58000</v>
      </c>
      <c r="I500" s="916">
        <v>22000</v>
      </c>
      <c r="J500" s="1050"/>
      <c r="K500" s="969"/>
      <c r="N500" s="478"/>
    </row>
    <row r="501" spans="1:14">
      <c r="A501" s="970" t="s">
        <v>707</v>
      </c>
      <c r="B501" s="1049">
        <v>1836200810</v>
      </c>
      <c r="C501" s="970">
        <v>810</v>
      </c>
      <c r="D501" s="970">
        <v>836200</v>
      </c>
      <c r="E501" s="970">
        <v>1</v>
      </c>
      <c r="F501" s="970" t="s">
        <v>708</v>
      </c>
      <c r="G501" s="67">
        <v>240000</v>
      </c>
      <c r="H501" s="915">
        <v>242000</v>
      </c>
      <c r="I501" s="915">
        <v>200000</v>
      </c>
      <c r="J501" s="230" t="s">
        <v>709</v>
      </c>
      <c r="K501" s="969"/>
      <c r="N501" s="478"/>
    </row>
    <row r="502" spans="1:14" ht="15">
      <c r="A502" s="68" t="s">
        <v>710</v>
      </c>
      <c r="B502" s="68"/>
      <c r="C502" s="68">
        <v>999</v>
      </c>
      <c r="D502" s="68">
        <v>836200</v>
      </c>
      <c r="E502" s="970">
        <v>1</v>
      </c>
      <c r="F502" s="68"/>
      <c r="G502" s="69">
        <v>240000</v>
      </c>
      <c r="H502" s="945">
        <v>242000</v>
      </c>
      <c r="I502" s="916">
        <v>200000</v>
      </c>
      <c r="J502" s="1050"/>
      <c r="K502" s="969"/>
      <c r="N502" s="478"/>
    </row>
    <row r="503" spans="1:14" ht="28.5">
      <c r="A503" s="970" t="s">
        <v>109</v>
      </c>
      <c r="B503" s="516">
        <v>1841000110</v>
      </c>
      <c r="C503" s="970">
        <v>110</v>
      </c>
      <c r="D503" s="970">
        <v>841000</v>
      </c>
      <c r="E503" s="480">
        <v>1</v>
      </c>
      <c r="F503" s="970" t="s">
        <v>711</v>
      </c>
      <c r="G503" s="67">
        <v>21787167</v>
      </c>
      <c r="H503" s="915">
        <v>21571000</v>
      </c>
      <c r="I503" s="915">
        <v>24702000</v>
      </c>
      <c r="J503" s="230" t="s">
        <v>712</v>
      </c>
      <c r="K503" s="969"/>
      <c r="N503" s="478"/>
    </row>
    <row r="504" spans="1:14">
      <c r="A504" s="970"/>
      <c r="B504" s="1049">
        <v>1841000410</v>
      </c>
      <c r="C504" s="970">
        <v>410</v>
      </c>
      <c r="D504" s="970">
        <v>841000</v>
      </c>
      <c r="E504" s="970">
        <v>1</v>
      </c>
      <c r="F504" s="970" t="s">
        <v>304</v>
      </c>
      <c r="G504" s="67">
        <v>2146999.6</v>
      </c>
      <c r="H504" s="915">
        <v>2035000</v>
      </c>
      <c r="I504" s="915">
        <v>3480000</v>
      </c>
      <c r="J504" s="230" t="s">
        <v>429</v>
      </c>
      <c r="K504" s="969"/>
      <c r="N504" s="478"/>
    </row>
    <row r="505" spans="1:14">
      <c r="A505" s="970"/>
      <c r="B505" s="1049">
        <v>1841000430</v>
      </c>
      <c r="C505" s="970">
        <v>430</v>
      </c>
      <c r="D505" s="970">
        <v>841000</v>
      </c>
      <c r="E505" s="970">
        <v>1</v>
      </c>
      <c r="F505" s="970" t="s">
        <v>311</v>
      </c>
      <c r="G505" s="67">
        <v>110000</v>
      </c>
      <c r="H505" s="915">
        <v>111000</v>
      </c>
      <c r="I505" s="915">
        <v>112000</v>
      </c>
      <c r="J505" s="230" t="s">
        <v>382</v>
      </c>
      <c r="K505" s="969"/>
      <c r="N505" s="478"/>
    </row>
    <row r="506" spans="1:14">
      <c r="A506" s="970"/>
      <c r="B506" s="1049">
        <v>1841000530</v>
      </c>
      <c r="C506" s="970">
        <v>530</v>
      </c>
      <c r="D506" s="970">
        <v>841000</v>
      </c>
      <c r="E506" s="970">
        <v>1</v>
      </c>
      <c r="F506" s="970" t="s">
        <v>277</v>
      </c>
      <c r="G506" s="67">
        <v>140000</v>
      </c>
      <c r="H506" s="915">
        <v>120000</v>
      </c>
      <c r="I506" s="915">
        <v>140000</v>
      </c>
      <c r="J506" s="230" t="s">
        <v>287</v>
      </c>
      <c r="K506" s="969"/>
      <c r="N506" s="478"/>
    </row>
    <row r="507" spans="1:14">
      <c r="A507" s="970"/>
      <c r="B507" s="1049">
        <v>1841000540</v>
      </c>
      <c r="C507" s="970">
        <v>540</v>
      </c>
      <c r="D507" s="970">
        <v>841000</v>
      </c>
      <c r="E507" s="970">
        <v>1</v>
      </c>
      <c r="F507" s="970" t="s">
        <v>279</v>
      </c>
      <c r="G507" s="67">
        <v>51000</v>
      </c>
      <c r="H507" s="915">
        <v>74000</v>
      </c>
      <c r="I507" s="915">
        <v>65000</v>
      </c>
      <c r="J507" s="230"/>
      <c r="K507" s="969"/>
      <c r="N507" s="478"/>
    </row>
    <row r="508" spans="1:14" s="43" customFormat="1" ht="46.5" customHeight="1">
      <c r="A508" s="970"/>
      <c r="B508" s="1049">
        <v>1841000750</v>
      </c>
      <c r="C508" s="970">
        <v>750</v>
      </c>
      <c r="D508" s="970">
        <v>841000</v>
      </c>
      <c r="E508" s="970">
        <v>1</v>
      </c>
      <c r="F508" s="970" t="s">
        <v>288</v>
      </c>
      <c r="G508" s="67">
        <v>450000</v>
      </c>
      <c r="H508" s="915">
        <v>231000</v>
      </c>
      <c r="I508" s="915">
        <v>250000</v>
      </c>
      <c r="J508" s="826" t="s">
        <v>2200</v>
      </c>
      <c r="K508" s="969"/>
      <c r="N508" s="478"/>
    </row>
    <row r="509" spans="1:14" s="566" customFormat="1" ht="46.5" customHeight="1">
      <c r="A509" s="970"/>
      <c r="B509" s="1049">
        <v>1841000751</v>
      </c>
      <c r="C509" s="970">
        <v>751</v>
      </c>
      <c r="D509" s="970">
        <v>841000</v>
      </c>
      <c r="E509" s="970">
        <v>1</v>
      </c>
      <c r="F509" s="970" t="s">
        <v>3164</v>
      </c>
      <c r="G509" s="67">
        <v>0</v>
      </c>
      <c r="H509" s="915">
        <v>0</v>
      </c>
      <c r="I509" s="915">
        <v>50000</v>
      </c>
      <c r="J509" s="826" t="s">
        <v>3165</v>
      </c>
      <c r="K509" s="969"/>
      <c r="N509" s="478"/>
    </row>
    <row r="510" spans="1:14" s="43" customFormat="1">
      <c r="A510" s="970"/>
      <c r="B510" s="1049">
        <v>1841000780</v>
      </c>
      <c r="C510" s="970">
        <v>780</v>
      </c>
      <c r="D510" s="970">
        <v>841000</v>
      </c>
      <c r="E510" s="970">
        <v>1</v>
      </c>
      <c r="F510" s="970" t="s">
        <v>280</v>
      </c>
      <c r="G510" s="67">
        <v>100000</v>
      </c>
      <c r="H510" s="915">
        <v>100000</v>
      </c>
      <c r="I510" s="915">
        <v>100000</v>
      </c>
      <c r="J510" s="230" t="s">
        <v>713</v>
      </c>
      <c r="K510" s="969"/>
      <c r="N510" s="478"/>
    </row>
    <row r="511" spans="1:14" ht="46.5" customHeight="1">
      <c r="A511" s="970"/>
      <c r="B511" s="1049">
        <v>1841000781</v>
      </c>
      <c r="C511" s="970">
        <v>781</v>
      </c>
      <c r="D511" s="970">
        <v>841000</v>
      </c>
      <c r="E511" s="970">
        <v>1</v>
      </c>
      <c r="F511" s="970" t="s">
        <v>714</v>
      </c>
      <c r="G511" s="67">
        <v>215000</v>
      </c>
      <c r="H511" s="915">
        <v>215000</v>
      </c>
      <c r="I511" s="915">
        <v>220000</v>
      </c>
      <c r="J511" s="1075" t="s">
        <v>3981</v>
      </c>
      <c r="K511" s="969"/>
      <c r="N511" s="478"/>
    </row>
    <row r="512" spans="1:14" ht="15">
      <c r="A512" s="68" t="s">
        <v>112</v>
      </c>
      <c r="B512" s="68"/>
      <c r="C512" s="68">
        <v>999</v>
      </c>
      <c r="D512" s="68">
        <v>841000</v>
      </c>
      <c r="E512" s="970">
        <v>1</v>
      </c>
      <c r="F512" s="68"/>
      <c r="G512" s="69">
        <v>25000166.600000001</v>
      </c>
      <c r="H512" s="945">
        <v>24457000</v>
      </c>
      <c r="I512" s="916">
        <v>29119000</v>
      </c>
      <c r="J512" s="1050"/>
      <c r="K512" s="969"/>
      <c r="N512" s="478"/>
    </row>
    <row r="513" spans="1:14">
      <c r="A513" s="970" t="s">
        <v>122</v>
      </c>
      <c r="B513" s="516">
        <v>1842100110</v>
      </c>
      <c r="C513" s="970">
        <v>110</v>
      </c>
      <c r="D513" s="970">
        <v>842100</v>
      </c>
      <c r="E513" s="480">
        <v>1</v>
      </c>
      <c r="F513" s="970" t="s">
        <v>716</v>
      </c>
      <c r="G513" s="67">
        <v>175000</v>
      </c>
      <c r="H513" s="915">
        <v>169000</v>
      </c>
      <c r="I513" s="915">
        <v>186000</v>
      </c>
      <c r="J513" s="230" t="s">
        <v>274</v>
      </c>
      <c r="K513" s="969"/>
      <c r="N513" s="478"/>
    </row>
    <row r="514" spans="1:14" s="43" customFormat="1">
      <c r="A514" s="970"/>
      <c r="B514" s="516">
        <v>1842200110</v>
      </c>
      <c r="C514" s="970">
        <v>110</v>
      </c>
      <c r="D514" s="970">
        <v>842200</v>
      </c>
      <c r="E514" s="480">
        <v>1</v>
      </c>
      <c r="F514" s="970" t="s">
        <v>2201</v>
      </c>
      <c r="G514" s="67">
        <v>188000</v>
      </c>
      <c r="H514" s="915">
        <v>26000</v>
      </c>
      <c r="I514" s="915">
        <v>195000</v>
      </c>
      <c r="J514" s="230" t="s">
        <v>274</v>
      </c>
      <c r="K514" s="969"/>
      <c r="N514" s="478"/>
    </row>
    <row r="515" spans="1:14" ht="28.5" customHeight="1">
      <c r="A515" s="970"/>
      <c r="B515" s="1049">
        <v>1842200820</v>
      </c>
      <c r="C515" s="970">
        <v>820</v>
      </c>
      <c r="D515" s="970">
        <v>842200</v>
      </c>
      <c r="E515" s="970">
        <v>1</v>
      </c>
      <c r="F515" s="970" t="s">
        <v>717</v>
      </c>
      <c r="G515" s="67">
        <v>182000</v>
      </c>
      <c r="H515" s="915">
        <v>510000</v>
      </c>
      <c r="I515" s="915">
        <v>348000</v>
      </c>
      <c r="J515" s="1076" t="s">
        <v>3537</v>
      </c>
      <c r="K515" s="969"/>
      <c r="N515" s="478"/>
    </row>
    <row r="516" spans="1:14">
      <c r="A516" s="970"/>
      <c r="B516" s="1049">
        <v>1842200821</v>
      </c>
      <c r="C516" s="970">
        <v>821</v>
      </c>
      <c r="D516" s="970">
        <v>842200</v>
      </c>
      <c r="E516" s="970">
        <v>1</v>
      </c>
      <c r="F516" s="970" t="s">
        <v>121</v>
      </c>
      <c r="G516" s="67">
        <v>440000</v>
      </c>
      <c r="H516" s="915">
        <v>321000</v>
      </c>
      <c r="I516" s="915">
        <v>250000</v>
      </c>
      <c r="J516" s="230" t="s">
        <v>718</v>
      </c>
      <c r="K516" s="969"/>
      <c r="N516" s="478"/>
    </row>
    <row r="517" spans="1:14" ht="46.5" customHeight="1">
      <c r="A517" s="970" t="s">
        <v>4</v>
      </c>
      <c r="B517" s="1049">
        <v>1842200824</v>
      </c>
      <c r="C517" s="970">
        <v>824</v>
      </c>
      <c r="D517" s="970">
        <v>842200</v>
      </c>
      <c r="E517" s="970">
        <v>1</v>
      </c>
      <c r="F517" s="970" t="s">
        <v>123</v>
      </c>
      <c r="G517" s="67">
        <v>833000</v>
      </c>
      <c r="H517" s="915">
        <v>839000</v>
      </c>
      <c r="I517" s="915">
        <v>698000</v>
      </c>
      <c r="J517" s="1077" t="s">
        <v>3538</v>
      </c>
      <c r="K517" s="969"/>
      <c r="N517" s="478"/>
    </row>
    <row r="518" spans="1:14" s="566" customFormat="1" ht="28.5">
      <c r="A518" s="970"/>
      <c r="B518" s="516">
        <v>1842200828</v>
      </c>
      <c r="C518" s="970">
        <v>828</v>
      </c>
      <c r="D518" s="970">
        <v>842200</v>
      </c>
      <c r="E518" s="480">
        <v>1</v>
      </c>
      <c r="F518" s="970" t="s">
        <v>115</v>
      </c>
      <c r="G518" s="67">
        <v>260000</v>
      </c>
      <c r="H518" s="915">
        <v>260000</v>
      </c>
      <c r="I518" s="915">
        <v>257000</v>
      </c>
      <c r="J518" s="230" t="s">
        <v>719</v>
      </c>
      <c r="K518" s="969"/>
      <c r="N518" s="478"/>
    </row>
    <row r="519" spans="1:14">
      <c r="A519" s="970"/>
      <c r="B519" s="1049">
        <v>1842200829</v>
      </c>
      <c r="C519" s="970">
        <v>829</v>
      </c>
      <c r="D519" s="970">
        <v>842200</v>
      </c>
      <c r="E519" s="970">
        <v>1</v>
      </c>
      <c r="F519" s="970" t="s">
        <v>125</v>
      </c>
      <c r="G519" s="67">
        <v>240500</v>
      </c>
      <c r="H519" s="915">
        <v>243000</v>
      </c>
      <c r="I519" s="915">
        <v>245000</v>
      </c>
      <c r="J519" s="230" t="s">
        <v>720</v>
      </c>
      <c r="K519" s="969"/>
      <c r="N519" s="478"/>
    </row>
    <row r="520" spans="1:14">
      <c r="A520" s="970" t="s">
        <v>4</v>
      </c>
      <c r="B520" s="516">
        <v>1842300110</v>
      </c>
      <c r="C520" s="970">
        <v>110</v>
      </c>
      <c r="D520" s="970">
        <v>842300</v>
      </c>
      <c r="E520" s="480">
        <v>1</v>
      </c>
      <c r="F520" s="970" t="s">
        <v>721</v>
      </c>
      <c r="G520" s="67">
        <v>306000</v>
      </c>
      <c r="H520" s="915">
        <v>328000</v>
      </c>
      <c r="I520" s="915">
        <v>488000</v>
      </c>
      <c r="J520" s="230" t="s">
        <v>274</v>
      </c>
      <c r="K520" s="969"/>
      <c r="N520" s="478"/>
    </row>
    <row r="521" spans="1:14">
      <c r="A521" s="970" t="s">
        <v>4</v>
      </c>
      <c r="B521" s="516">
        <v>1842400110</v>
      </c>
      <c r="C521" s="970">
        <v>110</v>
      </c>
      <c r="D521" s="970">
        <v>842400</v>
      </c>
      <c r="E521" s="480">
        <v>1</v>
      </c>
      <c r="F521" s="970" t="s">
        <v>722</v>
      </c>
      <c r="G521" s="67">
        <v>1015000</v>
      </c>
      <c r="H521" s="915">
        <v>1087000</v>
      </c>
      <c r="I521" s="915">
        <v>1060000</v>
      </c>
      <c r="J521" s="230" t="s">
        <v>274</v>
      </c>
      <c r="K521" s="969"/>
      <c r="N521" s="478"/>
    </row>
    <row r="522" spans="1:14" s="566" customFormat="1">
      <c r="A522" s="970"/>
      <c r="B522" s="516">
        <v>1842400821</v>
      </c>
      <c r="C522" s="970">
        <v>821</v>
      </c>
      <c r="D522" s="970">
        <v>842400</v>
      </c>
      <c r="E522" s="480">
        <v>1</v>
      </c>
      <c r="F522" s="970" t="str">
        <f>'רווחה '!F325</f>
        <v>תכנית למניעת אלימות</v>
      </c>
      <c r="G522" s="67">
        <v>0</v>
      </c>
      <c r="H522" s="915">
        <v>0</v>
      </c>
      <c r="I522" s="915">
        <v>226000</v>
      </c>
      <c r="J522" s="230"/>
      <c r="K522" s="969"/>
      <c r="N522" s="478"/>
    </row>
    <row r="523" spans="1:14">
      <c r="A523" s="970"/>
      <c r="B523" s="1049">
        <v>1842400822</v>
      </c>
      <c r="C523" s="970">
        <v>822</v>
      </c>
      <c r="D523" s="970">
        <v>842400</v>
      </c>
      <c r="E523" s="970">
        <v>1</v>
      </c>
      <c r="F523" s="970" t="s">
        <v>723</v>
      </c>
      <c r="G523" s="67">
        <v>419000</v>
      </c>
      <c r="H523" s="915">
        <v>419000</v>
      </c>
      <c r="I523" s="915">
        <v>641000</v>
      </c>
      <c r="J523" s="230" t="s">
        <v>3539</v>
      </c>
      <c r="K523" s="969"/>
      <c r="N523" s="478"/>
    </row>
    <row r="524" spans="1:14" ht="30">
      <c r="A524" s="970"/>
      <c r="B524" s="1049">
        <v>1842400823</v>
      </c>
      <c r="C524" s="970">
        <v>823</v>
      </c>
      <c r="D524" s="970">
        <v>842400</v>
      </c>
      <c r="E524" s="970">
        <v>1</v>
      </c>
      <c r="F524" s="970" t="s">
        <v>122</v>
      </c>
      <c r="G524" s="67">
        <v>108000</v>
      </c>
      <c r="H524" s="915">
        <v>108000</v>
      </c>
      <c r="I524" s="915">
        <v>733000</v>
      </c>
      <c r="J524" s="826" t="s">
        <v>2203</v>
      </c>
      <c r="K524" s="969"/>
      <c r="N524" s="478"/>
    </row>
    <row r="525" spans="1:14">
      <c r="A525" s="970"/>
      <c r="B525" s="516">
        <v>1842500110</v>
      </c>
      <c r="C525" s="970">
        <v>110</v>
      </c>
      <c r="D525" s="970">
        <v>842500</v>
      </c>
      <c r="E525" s="480">
        <v>1</v>
      </c>
      <c r="F525" s="970" t="s">
        <v>724</v>
      </c>
      <c r="G525" s="67">
        <v>103500</v>
      </c>
      <c r="H525" s="915">
        <v>23000</v>
      </c>
      <c r="I525" s="915">
        <v>103000</v>
      </c>
      <c r="J525" s="1051" t="s">
        <v>346</v>
      </c>
      <c r="K525" s="969"/>
      <c r="N525" s="478"/>
    </row>
    <row r="526" spans="1:14" s="43" customFormat="1" ht="14.1" customHeight="1">
      <c r="A526" s="970"/>
      <c r="B526" s="516">
        <v>1842600110</v>
      </c>
      <c r="C526" s="970">
        <v>110</v>
      </c>
      <c r="D526" s="970">
        <v>842600</v>
      </c>
      <c r="E526" s="480">
        <v>1</v>
      </c>
      <c r="F526" s="970" t="s">
        <v>2202</v>
      </c>
      <c r="G526" s="67">
        <v>270000</v>
      </c>
      <c r="H526" s="915">
        <v>166000</v>
      </c>
      <c r="I526" s="915">
        <v>306000</v>
      </c>
      <c r="J526" s="1051" t="s">
        <v>346</v>
      </c>
      <c r="K526" s="969"/>
      <c r="N526" s="478"/>
    </row>
    <row r="527" spans="1:14">
      <c r="A527" s="480"/>
      <c r="B527" s="1049">
        <v>1842600820</v>
      </c>
      <c r="C527" s="480">
        <v>820</v>
      </c>
      <c r="D527" s="970">
        <v>842600</v>
      </c>
      <c r="E527" s="970">
        <v>1</v>
      </c>
      <c r="F527" s="480" t="s">
        <v>1543</v>
      </c>
      <c r="G527" s="58">
        <v>124000</v>
      </c>
      <c r="H527" s="63">
        <v>8000</v>
      </c>
      <c r="I527" s="63">
        <v>103000</v>
      </c>
      <c r="J527" s="42" t="s">
        <v>3540</v>
      </c>
      <c r="K527" s="969"/>
      <c r="N527" s="478"/>
    </row>
    <row r="528" spans="1:14" s="566" customFormat="1">
      <c r="A528" s="480"/>
      <c r="B528" s="1072">
        <v>1842700820</v>
      </c>
      <c r="C528" s="480">
        <v>820</v>
      </c>
      <c r="D528" s="970">
        <v>842600</v>
      </c>
      <c r="E528" s="970">
        <v>1</v>
      </c>
      <c r="F528" s="1072" t="s">
        <v>3172</v>
      </c>
      <c r="G528" s="58">
        <v>0</v>
      </c>
      <c r="H528" s="1078">
        <v>0</v>
      </c>
      <c r="I528" s="1078">
        <v>87000</v>
      </c>
      <c r="J528" s="42" t="s">
        <v>3173</v>
      </c>
      <c r="K528" s="969"/>
      <c r="N528" s="478"/>
    </row>
    <row r="529" spans="1:14" ht="15">
      <c r="A529" s="68" t="s">
        <v>725</v>
      </c>
      <c r="B529" s="68"/>
      <c r="C529" s="68">
        <v>999</v>
      </c>
      <c r="D529" s="68">
        <v>842000</v>
      </c>
      <c r="E529" s="970">
        <v>1</v>
      </c>
      <c r="F529" s="68"/>
      <c r="G529" s="69">
        <v>4664000</v>
      </c>
      <c r="H529" s="945">
        <v>4507000</v>
      </c>
      <c r="I529" s="916">
        <v>5926000</v>
      </c>
      <c r="J529" s="1050"/>
      <c r="K529" s="969"/>
      <c r="N529" s="478"/>
    </row>
    <row r="530" spans="1:14">
      <c r="A530" s="970" t="s">
        <v>726</v>
      </c>
      <c r="B530" s="516">
        <v>1843400110</v>
      </c>
      <c r="C530" s="970">
        <v>110</v>
      </c>
      <c r="D530" s="970">
        <v>843400</v>
      </c>
      <c r="E530" s="480">
        <v>1</v>
      </c>
      <c r="F530" s="970" t="s">
        <v>727</v>
      </c>
      <c r="G530" s="67">
        <v>730000</v>
      </c>
      <c r="H530" s="915">
        <v>659000</v>
      </c>
      <c r="I530" s="915">
        <v>790000</v>
      </c>
      <c r="J530" s="230" t="s">
        <v>274</v>
      </c>
      <c r="K530" s="969"/>
      <c r="N530" s="478"/>
    </row>
    <row r="531" spans="1:14">
      <c r="A531" s="970" t="s">
        <v>4</v>
      </c>
      <c r="B531" s="516">
        <v>1843500110</v>
      </c>
      <c r="C531" s="970">
        <v>110</v>
      </c>
      <c r="D531" s="970">
        <v>843500</v>
      </c>
      <c r="E531" s="480">
        <v>1</v>
      </c>
      <c r="F531" s="970" t="s">
        <v>728</v>
      </c>
      <c r="G531" s="67">
        <v>689000</v>
      </c>
      <c r="H531" s="915">
        <v>767000</v>
      </c>
      <c r="I531" s="915">
        <v>665000</v>
      </c>
      <c r="J531" s="230" t="s">
        <v>274</v>
      </c>
      <c r="K531" s="969"/>
      <c r="N531" s="478"/>
    </row>
    <row r="532" spans="1:14" ht="14.1" customHeight="1">
      <c r="A532" s="970"/>
      <c r="B532" s="1049">
        <v>1843500821</v>
      </c>
      <c r="C532" s="970">
        <v>821</v>
      </c>
      <c r="D532" s="970">
        <v>843500</v>
      </c>
      <c r="E532" s="970">
        <v>1</v>
      </c>
      <c r="F532" s="970" t="s">
        <v>128</v>
      </c>
      <c r="G532" s="67">
        <v>88000</v>
      </c>
      <c r="H532" s="915">
        <v>88000</v>
      </c>
      <c r="I532" s="915">
        <v>151000</v>
      </c>
      <c r="J532" s="230" t="s">
        <v>729</v>
      </c>
      <c r="K532" s="969"/>
      <c r="N532" s="478"/>
    </row>
    <row r="533" spans="1:14">
      <c r="A533" s="970"/>
      <c r="B533" s="1049">
        <v>1843500822</v>
      </c>
      <c r="C533" s="970">
        <v>822</v>
      </c>
      <c r="D533" s="970">
        <v>843500</v>
      </c>
      <c r="E533" s="970">
        <v>1</v>
      </c>
      <c r="F533" s="970" t="s">
        <v>730</v>
      </c>
      <c r="G533" s="67">
        <v>148000</v>
      </c>
      <c r="H533" s="915">
        <v>148000</v>
      </c>
      <c r="I533" s="915">
        <v>0</v>
      </c>
      <c r="J533" s="230" t="s">
        <v>731</v>
      </c>
      <c r="K533" s="969"/>
      <c r="N533" s="478"/>
    </row>
    <row r="534" spans="1:14">
      <c r="A534" s="970"/>
      <c r="B534" s="1049">
        <v>1843500823</v>
      </c>
      <c r="C534" s="970">
        <v>823</v>
      </c>
      <c r="D534" s="970">
        <v>843500</v>
      </c>
      <c r="E534" s="970">
        <v>1</v>
      </c>
      <c r="F534" s="970" t="s">
        <v>130</v>
      </c>
      <c r="G534" s="67">
        <v>1147000</v>
      </c>
      <c r="H534" s="915">
        <v>1147000</v>
      </c>
      <c r="I534" s="915">
        <v>1138000</v>
      </c>
      <c r="J534" s="230" t="s">
        <v>732</v>
      </c>
      <c r="K534" s="969"/>
      <c r="N534" s="478"/>
    </row>
    <row r="535" spans="1:14" ht="14.1" customHeight="1">
      <c r="A535" s="970"/>
      <c r="B535" s="1049">
        <v>1843500825</v>
      </c>
      <c r="C535" s="970">
        <v>825</v>
      </c>
      <c r="D535" s="970">
        <v>843500</v>
      </c>
      <c r="E535" s="970">
        <v>1</v>
      </c>
      <c r="F535" s="970" t="s">
        <v>733</v>
      </c>
      <c r="G535" s="67">
        <v>300000</v>
      </c>
      <c r="H535" s="915">
        <v>300000</v>
      </c>
      <c r="I535" s="915">
        <v>0</v>
      </c>
      <c r="J535" s="230" t="s">
        <v>734</v>
      </c>
      <c r="K535" s="969"/>
      <c r="N535" s="478"/>
    </row>
    <row r="536" spans="1:14">
      <c r="A536" s="970"/>
      <c r="B536" s="516">
        <v>1843600110</v>
      </c>
      <c r="C536" s="970">
        <v>110</v>
      </c>
      <c r="D536" s="970">
        <v>843600</v>
      </c>
      <c r="E536" s="480">
        <v>1</v>
      </c>
      <c r="F536" s="970" t="s">
        <v>735</v>
      </c>
      <c r="G536" s="67">
        <v>90000</v>
      </c>
      <c r="H536" s="915">
        <v>75000</v>
      </c>
      <c r="I536" s="915">
        <v>64000</v>
      </c>
      <c r="J536" s="230" t="s">
        <v>274</v>
      </c>
      <c r="K536" s="969"/>
      <c r="N536" s="478"/>
    </row>
    <row r="537" spans="1:14" s="566" customFormat="1">
      <c r="A537" s="970"/>
      <c r="B537" s="1049">
        <v>1843700110</v>
      </c>
      <c r="C537" s="970">
        <v>110</v>
      </c>
      <c r="D537" s="970">
        <v>843700</v>
      </c>
      <c r="E537" s="970">
        <v>1</v>
      </c>
      <c r="F537" s="970" t="s">
        <v>2992</v>
      </c>
      <c r="G537" s="67">
        <v>0</v>
      </c>
      <c r="H537" s="915">
        <v>50000</v>
      </c>
      <c r="I537" s="915">
        <v>125000</v>
      </c>
      <c r="J537" s="230" t="s">
        <v>274</v>
      </c>
      <c r="K537" s="969"/>
      <c r="N537" s="478"/>
    </row>
    <row r="538" spans="1:14">
      <c r="A538" s="970"/>
      <c r="B538" s="1049">
        <v>1843700822</v>
      </c>
      <c r="C538" s="970">
        <v>822</v>
      </c>
      <c r="D538" s="970">
        <v>843700</v>
      </c>
      <c r="E538" s="970">
        <v>1</v>
      </c>
      <c r="F538" s="970" t="s">
        <v>138</v>
      </c>
      <c r="G538" s="67">
        <v>151000</v>
      </c>
      <c r="H538" s="915">
        <v>100000</v>
      </c>
      <c r="I538" s="915">
        <v>0</v>
      </c>
      <c r="J538" s="1065" t="s">
        <v>736</v>
      </c>
      <c r="K538" s="969"/>
      <c r="N538" s="478"/>
    </row>
    <row r="539" spans="1:14">
      <c r="A539" s="970"/>
      <c r="B539" s="516">
        <v>1843800110</v>
      </c>
      <c r="C539" s="970">
        <v>110</v>
      </c>
      <c r="D539" s="970">
        <v>843800</v>
      </c>
      <c r="E539" s="480">
        <v>1</v>
      </c>
      <c r="F539" s="970" t="s">
        <v>737</v>
      </c>
      <c r="G539" s="67">
        <v>399000</v>
      </c>
      <c r="H539" s="915">
        <v>374000</v>
      </c>
      <c r="I539" s="915">
        <v>378000</v>
      </c>
      <c r="J539" s="230" t="s">
        <v>274</v>
      </c>
      <c r="K539" s="969"/>
      <c r="N539" s="478"/>
    </row>
    <row r="540" spans="1:14">
      <c r="A540" s="970"/>
      <c r="B540" s="1049">
        <v>1843800820</v>
      </c>
      <c r="C540" s="970">
        <v>820</v>
      </c>
      <c r="D540" s="970">
        <v>843800</v>
      </c>
      <c r="E540" s="970">
        <v>1</v>
      </c>
      <c r="F540" s="970" t="s">
        <v>738</v>
      </c>
      <c r="G540" s="67">
        <v>16120000</v>
      </c>
      <c r="H540" s="915">
        <v>14953000</v>
      </c>
      <c r="I540" s="915">
        <v>14531000</v>
      </c>
      <c r="J540" s="230" t="s">
        <v>3052</v>
      </c>
      <c r="K540" s="969"/>
      <c r="N540" s="478"/>
    </row>
    <row r="541" spans="1:14">
      <c r="A541" s="970"/>
      <c r="B541" s="1049">
        <v>1843800821</v>
      </c>
      <c r="C541" s="970">
        <v>821</v>
      </c>
      <c r="D541" s="970">
        <v>843800</v>
      </c>
      <c r="E541" s="970">
        <v>1</v>
      </c>
      <c r="F541" s="970" t="s">
        <v>739</v>
      </c>
      <c r="G541" s="67">
        <v>1185000</v>
      </c>
      <c r="H541" s="915">
        <v>1185000</v>
      </c>
      <c r="I541" s="915">
        <v>1184000</v>
      </c>
      <c r="J541" s="230" t="s">
        <v>3053</v>
      </c>
      <c r="K541" s="969"/>
      <c r="N541" s="478"/>
    </row>
    <row r="542" spans="1:14" ht="42.75">
      <c r="A542" s="970"/>
      <c r="B542" s="1049">
        <v>1843800823</v>
      </c>
      <c r="C542" s="970">
        <v>823</v>
      </c>
      <c r="D542" s="970">
        <v>843800</v>
      </c>
      <c r="E542" s="970">
        <v>1</v>
      </c>
      <c r="F542" s="970" t="s">
        <v>135</v>
      </c>
      <c r="G542" s="67">
        <v>272000</v>
      </c>
      <c r="H542" s="915">
        <v>294000</v>
      </c>
      <c r="I542" s="915">
        <v>253000</v>
      </c>
      <c r="J542" s="1065" t="s">
        <v>740</v>
      </c>
      <c r="K542" s="969"/>
      <c r="N542" s="478"/>
    </row>
    <row r="543" spans="1:14" ht="14.1" customHeight="1">
      <c r="A543" s="970"/>
      <c r="B543" s="516">
        <v>1843900110</v>
      </c>
      <c r="C543" s="970">
        <v>110</v>
      </c>
      <c r="D543" s="970">
        <v>843900</v>
      </c>
      <c r="E543" s="480">
        <v>1</v>
      </c>
      <c r="F543" s="970" t="s">
        <v>137</v>
      </c>
      <c r="G543" s="67">
        <v>70000</v>
      </c>
      <c r="H543" s="915">
        <v>71000</v>
      </c>
      <c r="I543" s="915">
        <v>73000</v>
      </c>
      <c r="J543" s="230" t="s">
        <v>274</v>
      </c>
      <c r="K543" s="969"/>
      <c r="N543" s="478"/>
    </row>
    <row r="544" spans="1:14">
      <c r="A544" s="970"/>
      <c r="B544" s="1049">
        <v>1843900820</v>
      </c>
      <c r="C544" s="970">
        <v>820</v>
      </c>
      <c r="D544" s="970">
        <v>843900</v>
      </c>
      <c r="E544" s="970">
        <v>1</v>
      </c>
      <c r="F544" s="970" t="s">
        <v>136</v>
      </c>
      <c r="G544" s="67">
        <v>3900000</v>
      </c>
      <c r="H544" s="915">
        <v>3775000</v>
      </c>
      <c r="I544" s="915">
        <v>4163000</v>
      </c>
      <c r="J544" s="230" t="s">
        <v>1535</v>
      </c>
      <c r="K544" s="969"/>
      <c r="N544" s="478"/>
    </row>
    <row r="545" spans="1:14" s="448" customFormat="1" ht="15">
      <c r="A545" s="970"/>
      <c r="B545" s="1049">
        <v>1843900822</v>
      </c>
      <c r="C545" s="970">
        <v>822</v>
      </c>
      <c r="D545" s="970">
        <v>843900</v>
      </c>
      <c r="E545" s="970">
        <v>1</v>
      </c>
      <c r="F545" s="970" t="s">
        <v>138</v>
      </c>
      <c r="G545" s="67">
        <v>0</v>
      </c>
      <c r="H545" s="915">
        <v>0</v>
      </c>
      <c r="I545" s="915">
        <v>81000</v>
      </c>
      <c r="J545" s="1079"/>
      <c r="K545" s="969"/>
      <c r="N545" s="478"/>
    </row>
    <row r="546" spans="1:14">
      <c r="A546" s="970"/>
      <c r="B546" s="1049">
        <v>1843900823</v>
      </c>
      <c r="C546" s="970">
        <v>823</v>
      </c>
      <c r="D546" s="970">
        <v>843900</v>
      </c>
      <c r="E546" s="970">
        <v>1</v>
      </c>
      <c r="F546" s="970" t="s">
        <v>139</v>
      </c>
      <c r="G546" s="67">
        <v>480000</v>
      </c>
      <c r="H546" s="915">
        <v>480000</v>
      </c>
      <c r="I546" s="915">
        <v>459000</v>
      </c>
      <c r="J546" s="1065" t="s">
        <v>741</v>
      </c>
      <c r="K546" s="969"/>
      <c r="N546" s="478"/>
    </row>
    <row r="547" spans="1:14" ht="15">
      <c r="A547" s="68" t="s">
        <v>742</v>
      </c>
      <c r="B547" s="68"/>
      <c r="C547" s="68">
        <v>999</v>
      </c>
      <c r="D547" s="68">
        <v>843000</v>
      </c>
      <c r="E547" s="970">
        <v>1</v>
      </c>
      <c r="F547" s="68" t="s">
        <v>4</v>
      </c>
      <c r="G547" s="69">
        <v>25769000</v>
      </c>
      <c r="H547" s="945">
        <v>24466000</v>
      </c>
      <c r="I547" s="916">
        <v>24055000</v>
      </c>
      <c r="J547" s="1050"/>
      <c r="K547" s="969"/>
      <c r="N547" s="478"/>
    </row>
    <row r="548" spans="1:14">
      <c r="A548" s="970" t="s">
        <v>743</v>
      </c>
      <c r="B548" s="1049">
        <v>1844300820</v>
      </c>
      <c r="C548" s="970">
        <v>820</v>
      </c>
      <c r="D548" s="970">
        <v>844300</v>
      </c>
      <c r="E548" s="970">
        <v>1</v>
      </c>
      <c r="F548" s="970" t="s">
        <v>143</v>
      </c>
      <c r="G548" s="67">
        <v>5428000</v>
      </c>
      <c r="H548" s="915">
        <v>4967000</v>
      </c>
      <c r="I548" s="915">
        <v>5200000</v>
      </c>
      <c r="J548" s="230" t="s">
        <v>3541</v>
      </c>
      <c r="K548" s="969"/>
      <c r="N548" s="478"/>
    </row>
    <row r="549" spans="1:14">
      <c r="A549" s="970"/>
      <c r="B549" s="1049">
        <v>1844300821</v>
      </c>
      <c r="C549" s="970">
        <v>821</v>
      </c>
      <c r="D549" s="970">
        <v>844300</v>
      </c>
      <c r="E549" s="970">
        <v>1</v>
      </c>
      <c r="F549" s="970" t="s">
        <v>144</v>
      </c>
      <c r="G549" s="67">
        <v>194000</v>
      </c>
      <c r="H549" s="915">
        <v>194000</v>
      </c>
      <c r="I549" s="915">
        <v>0</v>
      </c>
      <c r="J549" s="230" t="s">
        <v>744</v>
      </c>
      <c r="K549" s="969"/>
      <c r="N549" s="478"/>
    </row>
    <row r="550" spans="1:14">
      <c r="A550" s="970"/>
      <c r="B550" s="1049">
        <v>1844300822</v>
      </c>
      <c r="C550" s="970">
        <v>822</v>
      </c>
      <c r="D550" s="970">
        <v>844300</v>
      </c>
      <c r="E550" s="970">
        <v>1</v>
      </c>
      <c r="F550" s="970" t="s">
        <v>147</v>
      </c>
      <c r="G550" s="67">
        <v>40000</v>
      </c>
      <c r="H550" s="915">
        <v>0</v>
      </c>
      <c r="I550" s="915">
        <v>40000</v>
      </c>
      <c r="J550" s="230" t="s">
        <v>720</v>
      </c>
      <c r="K550" s="969"/>
      <c r="N550" s="478"/>
    </row>
    <row r="551" spans="1:14">
      <c r="A551" s="970"/>
      <c r="B551" s="1049">
        <v>1844400820</v>
      </c>
      <c r="C551" s="970">
        <v>820</v>
      </c>
      <c r="D551" s="970">
        <v>844400</v>
      </c>
      <c r="E551" s="970">
        <v>1</v>
      </c>
      <c r="F551" s="970" t="s">
        <v>145</v>
      </c>
      <c r="G551" s="67">
        <v>607000</v>
      </c>
      <c r="H551" s="915">
        <v>607000</v>
      </c>
      <c r="I551" s="915">
        <v>0</v>
      </c>
      <c r="J551" s="230" t="s">
        <v>745</v>
      </c>
      <c r="K551" s="969"/>
      <c r="N551" s="478"/>
    </row>
    <row r="552" spans="1:14" ht="28.5">
      <c r="A552" s="970"/>
      <c r="B552" s="1049">
        <v>1844400821</v>
      </c>
      <c r="C552" s="970">
        <v>821</v>
      </c>
      <c r="D552" s="970">
        <v>844400</v>
      </c>
      <c r="E552" s="970">
        <v>1</v>
      </c>
      <c r="F552" s="970" t="s">
        <v>746</v>
      </c>
      <c r="G552" s="67">
        <v>231000</v>
      </c>
      <c r="H552" s="915">
        <v>231000</v>
      </c>
      <c r="I552" s="915">
        <v>242000</v>
      </c>
      <c r="J552" s="230" t="s">
        <v>747</v>
      </c>
      <c r="K552" s="969"/>
      <c r="N552" s="478"/>
    </row>
    <row r="553" spans="1:14" s="43" customFormat="1" ht="46.5" customHeight="1">
      <c r="A553" s="970"/>
      <c r="B553" s="1049">
        <v>1844400822</v>
      </c>
      <c r="C553" s="970">
        <v>822</v>
      </c>
      <c r="D553" s="970">
        <v>844400</v>
      </c>
      <c r="E553" s="970">
        <v>1</v>
      </c>
      <c r="F553" s="970" t="s">
        <v>2204</v>
      </c>
      <c r="G553" s="67">
        <v>458000</v>
      </c>
      <c r="H553" s="915">
        <v>460000</v>
      </c>
      <c r="I553" s="915">
        <v>286000</v>
      </c>
      <c r="J553" s="826" t="s">
        <v>2205</v>
      </c>
      <c r="K553" s="969"/>
      <c r="N553" s="478"/>
    </row>
    <row r="554" spans="1:14">
      <c r="A554" s="970" t="s">
        <v>4</v>
      </c>
      <c r="B554" s="1049">
        <v>1844400823</v>
      </c>
      <c r="C554" s="970">
        <v>823</v>
      </c>
      <c r="D554" s="970">
        <v>844400</v>
      </c>
      <c r="E554" s="970">
        <v>1</v>
      </c>
      <c r="F554" s="970" t="s">
        <v>150</v>
      </c>
      <c r="G554" s="67">
        <v>1249000</v>
      </c>
      <c r="H554" s="915">
        <v>1249000</v>
      </c>
      <c r="I554" s="915">
        <v>130000</v>
      </c>
      <c r="J554" s="1065" t="s">
        <v>748</v>
      </c>
      <c r="K554" s="969"/>
      <c r="N554" s="478"/>
    </row>
    <row r="555" spans="1:14" s="566" customFormat="1">
      <c r="A555" s="970"/>
      <c r="B555" s="1049">
        <v>1844400824</v>
      </c>
      <c r="C555" s="970">
        <v>824</v>
      </c>
      <c r="D555" s="970">
        <v>844400</v>
      </c>
      <c r="E555" s="970">
        <v>1</v>
      </c>
      <c r="F555" s="970" t="str">
        <f>'רווחה '!F357</f>
        <v>הזדקנות מיטבית קהילה</v>
      </c>
      <c r="G555" s="67">
        <v>0</v>
      </c>
      <c r="H555" s="915">
        <v>0</v>
      </c>
      <c r="I555" s="915">
        <v>1827000</v>
      </c>
      <c r="J555" s="1065"/>
      <c r="K555" s="969"/>
      <c r="N555" s="478"/>
    </row>
    <row r="556" spans="1:14">
      <c r="A556" s="970"/>
      <c r="B556" s="1049">
        <v>1844400825</v>
      </c>
      <c r="C556" s="970">
        <v>825</v>
      </c>
      <c r="D556" s="970">
        <v>844400</v>
      </c>
      <c r="E556" s="970">
        <v>1</v>
      </c>
      <c r="F556" s="970" t="s">
        <v>749</v>
      </c>
      <c r="G556" s="67">
        <v>162000</v>
      </c>
      <c r="H556" s="915">
        <v>162000</v>
      </c>
      <c r="I556" s="915">
        <v>0</v>
      </c>
      <c r="J556" s="230" t="s">
        <v>750</v>
      </c>
      <c r="K556" s="969"/>
      <c r="N556" s="478"/>
    </row>
    <row r="557" spans="1:14">
      <c r="A557" s="970"/>
      <c r="B557" s="1049">
        <v>1844400826</v>
      </c>
      <c r="C557" s="970">
        <v>826</v>
      </c>
      <c r="D557" s="970">
        <v>844400</v>
      </c>
      <c r="E557" s="970">
        <v>1</v>
      </c>
      <c r="F557" s="970" t="s">
        <v>149</v>
      </c>
      <c r="G557" s="67">
        <v>607000</v>
      </c>
      <c r="H557" s="915">
        <v>607000</v>
      </c>
      <c r="I557" s="915">
        <v>0</v>
      </c>
      <c r="J557" s="230" t="s">
        <v>750</v>
      </c>
      <c r="K557" s="969"/>
      <c r="N557" s="478"/>
    </row>
    <row r="558" spans="1:14">
      <c r="A558" s="970"/>
      <c r="B558" s="1049">
        <v>1844400827</v>
      </c>
      <c r="C558" s="970">
        <v>827</v>
      </c>
      <c r="D558" s="970">
        <v>844400</v>
      </c>
      <c r="E558" s="970">
        <v>1</v>
      </c>
      <c r="F558" s="970" t="s">
        <v>1515</v>
      </c>
      <c r="G558" s="67">
        <v>276000</v>
      </c>
      <c r="H558" s="915">
        <v>283000</v>
      </c>
      <c r="I558" s="915">
        <v>0</v>
      </c>
      <c r="J558" s="230" t="s">
        <v>116</v>
      </c>
      <c r="K558" s="969"/>
      <c r="N558" s="478"/>
    </row>
    <row r="559" spans="1:14" s="566" customFormat="1">
      <c r="A559" s="970"/>
      <c r="B559" s="1049">
        <v>1844400828</v>
      </c>
      <c r="C559" s="970">
        <v>828</v>
      </c>
      <c r="D559" s="970">
        <v>844400</v>
      </c>
      <c r="E559" s="970">
        <v>1</v>
      </c>
      <c r="F559" s="970" t="str">
        <f>'רווחה '!F358</f>
        <v>שירותים לניצולי שואה</v>
      </c>
      <c r="G559" s="67">
        <v>0</v>
      </c>
      <c r="H559" s="915">
        <v>0</v>
      </c>
      <c r="I559" s="915">
        <v>1596000</v>
      </c>
      <c r="J559" s="230"/>
      <c r="K559" s="969"/>
      <c r="N559" s="478"/>
    </row>
    <row r="560" spans="1:14" s="566" customFormat="1">
      <c r="A560" s="970"/>
      <c r="B560" s="1049">
        <v>1844400829</v>
      </c>
      <c r="C560" s="970">
        <v>829</v>
      </c>
      <c r="D560" s="970">
        <v>844400</v>
      </c>
      <c r="E560" s="970">
        <v>1</v>
      </c>
      <c r="F560" s="970" t="str">
        <f>'רווחה '!F359</f>
        <v>דיווח רשות אזרחים ותיקים</v>
      </c>
      <c r="G560" s="67">
        <v>0</v>
      </c>
      <c r="H560" s="915">
        <v>0</v>
      </c>
      <c r="I560" s="915">
        <v>840000</v>
      </c>
      <c r="J560" s="230"/>
      <c r="K560" s="969"/>
      <c r="N560" s="478"/>
    </row>
    <row r="561" spans="1:14" ht="28.5">
      <c r="A561" s="970" t="s">
        <v>4</v>
      </c>
      <c r="B561" s="1049">
        <v>1844500810</v>
      </c>
      <c r="C561" s="970">
        <v>810</v>
      </c>
      <c r="D561" s="970">
        <v>844500</v>
      </c>
      <c r="E561" s="970">
        <v>1</v>
      </c>
      <c r="F561" s="970" t="s">
        <v>751</v>
      </c>
      <c r="G561" s="67">
        <v>1000000</v>
      </c>
      <c r="H561" s="915">
        <v>1000000</v>
      </c>
      <c r="I561" s="915">
        <v>0</v>
      </c>
      <c r="J561" s="230" t="s">
        <v>752</v>
      </c>
      <c r="K561" s="969"/>
      <c r="N561" s="478"/>
    </row>
    <row r="562" spans="1:14" ht="15">
      <c r="A562" s="68" t="s">
        <v>753</v>
      </c>
      <c r="B562" s="68"/>
      <c r="C562" s="68">
        <v>999</v>
      </c>
      <c r="D562" s="68">
        <v>844000</v>
      </c>
      <c r="E562" s="970">
        <v>1</v>
      </c>
      <c r="F562" s="68"/>
      <c r="G562" s="69">
        <v>10252000</v>
      </c>
      <c r="H562" s="945">
        <v>9760000</v>
      </c>
      <c r="I562" s="916">
        <v>10161000</v>
      </c>
      <c r="J562" s="1050"/>
      <c r="K562" s="969"/>
      <c r="N562" s="478"/>
    </row>
    <row r="563" spans="1:14">
      <c r="A563" s="970" t="s">
        <v>754</v>
      </c>
      <c r="B563" s="1049">
        <v>1845100820</v>
      </c>
      <c r="C563" s="970">
        <v>820</v>
      </c>
      <c r="D563" s="970">
        <v>845100</v>
      </c>
      <c r="E563" s="970">
        <v>1</v>
      </c>
      <c r="F563" s="970" t="s">
        <v>153</v>
      </c>
      <c r="G563" s="67">
        <v>22502000</v>
      </c>
      <c r="H563" s="915">
        <v>21261000</v>
      </c>
      <c r="I563" s="915">
        <v>21980000</v>
      </c>
      <c r="J563" s="1080" t="s">
        <v>4</v>
      </c>
      <c r="K563" s="969"/>
      <c r="N563" s="478"/>
    </row>
    <row r="564" spans="1:14">
      <c r="A564" s="970"/>
      <c r="B564" s="1049">
        <v>1845100821</v>
      </c>
      <c r="C564" s="970">
        <v>821</v>
      </c>
      <c r="D564" s="970">
        <v>845100</v>
      </c>
      <c r="E564" s="970">
        <v>1</v>
      </c>
      <c r="F564" s="970" t="s">
        <v>154</v>
      </c>
      <c r="G564" s="67">
        <v>4170000</v>
      </c>
      <c r="H564" s="915">
        <v>4021000</v>
      </c>
      <c r="I564" s="915">
        <v>3972000</v>
      </c>
      <c r="J564" s="230" t="s">
        <v>755</v>
      </c>
      <c r="K564" s="969"/>
      <c r="N564" s="478"/>
    </row>
    <row r="565" spans="1:14">
      <c r="A565" s="970"/>
      <c r="B565" s="1049">
        <v>1845101821</v>
      </c>
      <c r="C565" s="970">
        <v>821</v>
      </c>
      <c r="D565" s="970">
        <v>845101</v>
      </c>
      <c r="E565" s="970">
        <v>1</v>
      </c>
      <c r="F565" s="970" t="s">
        <v>160</v>
      </c>
      <c r="G565" s="67">
        <v>8107000</v>
      </c>
      <c r="H565" s="915">
        <v>8107000</v>
      </c>
      <c r="I565" s="915">
        <v>8735000</v>
      </c>
      <c r="J565" s="230" t="s">
        <v>3542</v>
      </c>
      <c r="K565" s="969"/>
      <c r="N565" s="478"/>
    </row>
    <row r="566" spans="1:14">
      <c r="A566" s="970"/>
      <c r="B566" s="1049">
        <v>1845101822</v>
      </c>
      <c r="C566" s="970">
        <v>822</v>
      </c>
      <c r="D566" s="970">
        <v>845101</v>
      </c>
      <c r="E566" s="970">
        <v>1</v>
      </c>
      <c r="F566" s="970" t="s">
        <v>159</v>
      </c>
      <c r="G566" s="67">
        <v>79000</v>
      </c>
      <c r="H566" s="915">
        <v>63000</v>
      </c>
      <c r="I566" s="915">
        <v>63000</v>
      </c>
      <c r="J566" s="230" t="s">
        <v>4</v>
      </c>
      <c r="K566" s="969"/>
      <c r="N566" s="478"/>
    </row>
    <row r="567" spans="1:14">
      <c r="A567" s="970"/>
      <c r="B567" s="1049">
        <v>1845200820</v>
      </c>
      <c r="C567" s="970">
        <v>820</v>
      </c>
      <c r="D567" s="970">
        <v>845200</v>
      </c>
      <c r="E567" s="970">
        <v>1</v>
      </c>
      <c r="F567" s="970" t="s">
        <v>155</v>
      </c>
      <c r="G567" s="67">
        <v>600000</v>
      </c>
      <c r="H567" s="915">
        <v>600000</v>
      </c>
      <c r="I567" s="915">
        <v>600000</v>
      </c>
      <c r="J567" s="230" t="s">
        <v>756</v>
      </c>
      <c r="K567" s="969"/>
      <c r="N567" s="478"/>
    </row>
    <row r="568" spans="1:14" ht="77.45" customHeight="1">
      <c r="A568" s="970"/>
      <c r="B568" s="1049">
        <v>1845200821</v>
      </c>
      <c r="C568" s="970">
        <v>821</v>
      </c>
      <c r="D568" s="970">
        <v>845200</v>
      </c>
      <c r="E568" s="970">
        <v>1</v>
      </c>
      <c r="F568" s="970" t="s">
        <v>757</v>
      </c>
      <c r="G568" s="67">
        <v>1409000</v>
      </c>
      <c r="H568" s="915">
        <v>1417000</v>
      </c>
      <c r="I568" s="915">
        <v>700000</v>
      </c>
      <c r="J568" s="826" t="s">
        <v>2206</v>
      </c>
      <c r="K568" s="969"/>
      <c r="N568" s="478"/>
    </row>
    <row r="569" spans="1:14" ht="27.95" customHeight="1">
      <c r="A569" s="970"/>
      <c r="B569" s="1049">
        <v>1845200822</v>
      </c>
      <c r="C569" s="970">
        <v>822</v>
      </c>
      <c r="D569" s="970">
        <v>845200</v>
      </c>
      <c r="E569" s="970">
        <v>1</v>
      </c>
      <c r="F569" s="970" t="s">
        <v>156</v>
      </c>
      <c r="G569" s="67">
        <v>2162000</v>
      </c>
      <c r="H569" s="915">
        <v>4559000</v>
      </c>
      <c r="I569" s="915">
        <v>3274000</v>
      </c>
      <c r="J569" s="1081" t="s">
        <v>3543</v>
      </c>
      <c r="K569" s="969"/>
      <c r="N569" s="478"/>
    </row>
    <row r="570" spans="1:14">
      <c r="A570" s="970"/>
      <c r="B570" s="1049">
        <v>1845200824</v>
      </c>
      <c r="C570" s="970">
        <v>824</v>
      </c>
      <c r="D570" s="970">
        <v>845200</v>
      </c>
      <c r="E570" s="970">
        <v>1</v>
      </c>
      <c r="F570" s="970" t="s">
        <v>758</v>
      </c>
      <c r="G570" s="67">
        <v>27000</v>
      </c>
      <c r="H570" s="915">
        <v>31000</v>
      </c>
      <c r="I570" s="915">
        <v>31000</v>
      </c>
      <c r="J570" s="230" t="s">
        <v>4</v>
      </c>
      <c r="K570" s="969"/>
      <c r="N570" s="478"/>
    </row>
    <row r="571" spans="1:14">
      <c r="A571" s="970"/>
      <c r="B571" s="1049">
        <v>1845200825</v>
      </c>
      <c r="C571" s="970">
        <v>825</v>
      </c>
      <c r="D571" s="970">
        <v>845200</v>
      </c>
      <c r="E571" s="970">
        <v>1</v>
      </c>
      <c r="F571" s="970" t="s">
        <v>163</v>
      </c>
      <c r="G571" s="67">
        <v>800000</v>
      </c>
      <c r="H571" s="915">
        <v>714000</v>
      </c>
      <c r="I571" s="915">
        <v>660000</v>
      </c>
      <c r="J571" s="230"/>
      <c r="K571" s="969"/>
      <c r="N571" s="478"/>
    </row>
    <row r="572" spans="1:14" ht="15.6" customHeight="1">
      <c r="A572" s="970"/>
      <c r="B572" s="1049">
        <v>1845200826</v>
      </c>
      <c r="C572" s="970">
        <v>826</v>
      </c>
      <c r="D572" s="970">
        <v>845200</v>
      </c>
      <c r="E572" s="970">
        <v>1</v>
      </c>
      <c r="F572" s="1082" t="s">
        <v>2183</v>
      </c>
      <c r="G572" s="67">
        <v>15000</v>
      </c>
      <c r="H572" s="965">
        <v>10000</v>
      </c>
      <c r="I572" s="965">
        <v>13000</v>
      </c>
      <c r="J572" s="230"/>
      <c r="K572" s="969"/>
      <c r="N572" s="478"/>
    </row>
    <row r="573" spans="1:14">
      <c r="A573" s="970"/>
      <c r="B573" s="1049">
        <v>1845200827</v>
      </c>
      <c r="C573" s="970">
        <v>827</v>
      </c>
      <c r="D573" s="970">
        <v>845200</v>
      </c>
      <c r="E573" s="970">
        <v>1</v>
      </c>
      <c r="F573" s="970" t="s">
        <v>759</v>
      </c>
      <c r="G573" s="67">
        <v>0</v>
      </c>
      <c r="H573" s="915">
        <v>0</v>
      </c>
      <c r="I573" s="915">
        <v>0</v>
      </c>
      <c r="J573" s="230"/>
      <c r="K573" s="969"/>
      <c r="N573" s="478"/>
    </row>
    <row r="574" spans="1:14" s="43" customFormat="1">
      <c r="A574" s="970"/>
      <c r="B574" s="1049">
        <v>1845200828</v>
      </c>
      <c r="C574" s="970">
        <v>828</v>
      </c>
      <c r="D574" s="970">
        <v>845200</v>
      </c>
      <c r="E574" s="970">
        <v>1</v>
      </c>
      <c r="F574" s="970" t="s">
        <v>165</v>
      </c>
      <c r="G574" s="67">
        <v>40000</v>
      </c>
      <c r="H574" s="915">
        <v>40000</v>
      </c>
      <c r="I574" s="915">
        <v>47000</v>
      </c>
      <c r="J574" s="230"/>
      <c r="K574" s="969"/>
      <c r="N574" s="478"/>
    </row>
    <row r="575" spans="1:14">
      <c r="A575" s="970"/>
      <c r="B575" s="1049">
        <v>1845200829</v>
      </c>
      <c r="C575" s="970">
        <v>829</v>
      </c>
      <c r="D575" s="970">
        <v>845200</v>
      </c>
      <c r="E575" s="970">
        <v>1</v>
      </c>
      <c r="F575" s="970" t="s">
        <v>760</v>
      </c>
      <c r="G575" s="67">
        <v>164000</v>
      </c>
      <c r="H575" s="915">
        <v>164000</v>
      </c>
      <c r="I575" s="915">
        <v>220000</v>
      </c>
      <c r="J575" s="230"/>
      <c r="K575" s="969"/>
      <c r="N575" s="478"/>
    </row>
    <row r="576" spans="1:14">
      <c r="A576" s="970" t="s">
        <v>761</v>
      </c>
      <c r="B576" s="516">
        <v>1845400110</v>
      </c>
      <c r="C576" s="970">
        <v>110</v>
      </c>
      <c r="D576" s="970">
        <v>845400</v>
      </c>
      <c r="E576" s="480">
        <v>1</v>
      </c>
      <c r="F576" s="970" t="s">
        <v>762</v>
      </c>
      <c r="G576" s="67">
        <v>2126000</v>
      </c>
      <c r="H576" s="915">
        <v>2177000</v>
      </c>
      <c r="I576" s="915">
        <v>2141000</v>
      </c>
      <c r="J576" s="230" t="s">
        <v>274</v>
      </c>
      <c r="K576" s="969"/>
      <c r="N576" s="478"/>
    </row>
    <row r="577" spans="1:14">
      <c r="A577" s="970"/>
      <c r="B577" s="1049">
        <v>1845400420</v>
      </c>
      <c r="C577" s="970">
        <v>420</v>
      </c>
      <c r="D577" s="970">
        <v>845400</v>
      </c>
      <c r="E577" s="970">
        <v>1</v>
      </c>
      <c r="F577" s="970" t="s">
        <v>763</v>
      </c>
      <c r="G577" s="67">
        <v>45000</v>
      </c>
      <c r="H577" s="915">
        <v>45000</v>
      </c>
      <c r="I577" s="915">
        <v>45000</v>
      </c>
      <c r="J577" s="230" t="s">
        <v>764</v>
      </c>
      <c r="K577" s="969"/>
      <c r="N577" s="478"/>
    </row>
    <row r="578" spans="1:14">
      <c r="A578" s="970"/>
      <c r="B578" s="1049">
        <v>1845400530</v>
      </c>
      <c r="C578" s="970">
        <v>530</v>
      </c>
      <c r="D578" s="970">
        <v>845400</v>
      </c>
      <c r="E578" s="970">
        <v>1</v>
      </c>
      <c r="F578" s="970" t="s">
        <v>277</v>
      </c>
      <c r="G578" s="67">
        <v>70000</v>
      </c>
      <c r="H578" s="915">
        <v>70000</v>
      </c>
      <c r="I578" s="915">
        <v>70000</v>
      </c>
      <c r="J578" s="230" t="s">
        <v>287</v>
      </c>
      <c r="K578" s="969"/>
      <c r="N578" s="478"/>
    </row>
    <row r="579" spans="1:14">
      <c r="A579" s="970"/>
      <c r="B579" s="1049">
        <v>1845400720</v>
      </c>
      <c r="C579" s="970">
        <v>720</v>
      </c>
      <c r="D579" s="970">
        <v>845400</v>
      </c>
      <c r="E579" s="970">
        <v>1</v>
      </c>
      <c r="F579" s="970" t="s">
        <v>400</v>
      </c>
      <c r="G579" s="67">
        <v>100000</v>
      </c>
      <c r="H579" s="915">
        <v>100000</v>
      </c>
      <c r="I579" s="915">
        <v>100000</v>
      </c>
      <c r="J579" s="230" t="s">
        <v>765</v>
      </c>
      <c r="K579" s="969"/>
      <c r="N579" s="478"/>
    </row>
    <row r="580" spans="1:14">
      <c r="A580" s="970"/>
      <c r="B580" s="1049">
        <v>1845400780</v>
      </c>
      <c r="C580" s="970">
        <v>780</v>
      </c>
      <c r="D580" s="970">
        <v>845400</v>
      </c>
      <c r="E580" s="970">
        <v>1</v>
      </c>
      <c r="F580" s="970" t="s">
        <v>280</v>
      </c>
      <c r="G580" s="67">
        <v>1730000</v>
      </c>
      <c r="H580" s="915">
        <v>1730000</v>
      </c>
      <c r="I580" s="915">
        <v>1772000</v>
      </c>
      <c r="J580" s="230" t="s">
        <v>766</v>
      </c>
      <c r="K580" s="969"/>
      <c r="N580" s="478"/>
    </row>
    <row r="581" spans="1:14">
      <c r="A581" s="970"/>
      <c r="B581" s="1049">
        <v>1845400781</v>
      </c>
      <c r="C581" s="970">
        <v>781</v>
      </c>
      <c r="D581" s="970">
        <v>845400</v>
      </c>
      <c r="E581" s="970">
        <v>1</v>
      </c>
      <c r="F581" s="970" t="s">
        <v>767</v>
      </c>
      <c r="G581" s="67">
        <v>400000</v>
      </c>
      <c r="H581" s="915">
        <v>400000</v>
      </c>
      <c r="I581" s="915">
        <v>400000</v>
      </c>
      <c r="J581" s="230" t="s">
        <v>768</v>
      </c>
      <c r="K581" s="969"/>
      <c r="N581" s="478"/>
    </row>
    <row r="582" spans="1:14" ht="14.1" customHeight="1">
      <c r="A582" s="970" t="s">
        <v>4</v>
      </c>
      <c r="B582" s="1049">
        <v>1845400820</v>
      </c>
      <c r="C582" s="970">
        <v>820</v>
      </c>
      <c r="D582" s="970">
        <v>845400</v>
      </c>
      <c r="E582" s="970">
        <v>1</v>
      </c>
      <c r="F582" s="970" t="s">
        <v>769</v>
      </c>
      <c r="G582" s="67">
        <v>307000</v>
      </c>
      <c r="H582" s="915">
        <v>308000</v>
      </c>
      <c r="I582" s="915">
        <v>294000</v>
      </c>
      <c r="J582" s="230" t="s">
        <v>4</v>
      </c>
      <c r="K582" s="969"/>
      <c r="L582" s="969"/>
      <c r="M582" s="969"/>
      <c r="N582" s="478"/>
    </row>
    <row r="583" spans="1:14" ht="28.5">
      <c r="A583" s="970"/>
      <c r="B583" s="1049">
        <v>1845400822</v>
      </c>
      <c r="C583" s="970">
        <v>822</v>
      </c>
      <c r="D583" s="970">
        <v>845400</v>
      </c>
      <c r="E583" s="970">
        <v>1</v>
      </c>
      <c r="F583" s="970" t="s">
        <v>169</v>
      </c>
      <c r="G583" s="67">
        <v>913000</v>
      </c>
      <c r="H583" s="915">
        <v>662000</v>
      </c>
      <c r="I583" s="915">
        <v>802000</v>
      </c>
      <c r="J583" s="230" t="s">
        <v>770</v>
      </c>
      <c r="K583" s="969"/>
      <c r="N583" s="478"/>
    </row>
    <row r="584" spans="1:14">
      <c r="A584" s="970"/>
      <c r="B584" s="1049">
        <v>1845400823</v>
      </c>
      <c r="C584" s="970">
        <v>823</v>
      </c>
      <c r="D584" s="970">
        <v>845400</v>
      </c>
      <c r="E584" s="970">
        <v>1</v>
      </c>
      <c r="F584" s="970" t="s">
        <v>771</v>
      </c>
      <c r="G584" s="67">
        <v>97000</v>
      </c>
      <c r="H584" s="915">
        <v>97000</v>
      </c>
      <c r="I584" s="915">
        <v>0</v>
      </c>
      <c r="J584" s="230" t="s">
        <v>4</v>
      </c>
      <c r="K584" s="969"/>
      <c r="N584" s="478"/>
    </row>
    <row r="585" spans="1:14" ht="15">
      <c r="A585" s="68" t="s">
        <v>772</v>
      </c>
      <c r="B585" s="68"/>
      <c r="C585" s="68">
        <v>999</v>
      </c>
      <c r="D585" s="68">
        <v>845000</v>
      </c>
      <c r="E585" s="970">
        <v>1</v>
      </c>
      <c r="F585" s="68" t="s">
        <v>4</v>
      </c>
      <c r="G585" s="69">
        <v>45863000</v>
      </c>
      <c r="H585" s="945">
        <v>46576000</v>
      </c>
      <c r="I585" s="916">
        <v>45919000</v>
      </c>
      <c r="J585" s="1050"/>
      <c r="K585" s="969"/>
      <c r="N585" s="478"/>
    </row>
    <row r="586" spans="1:14" ht="14.1" customHeight="1">
      <c r="A586" s="970"/>
      <c r="B586" s="516">
        <v>1846300110</v>
      </c>
      <c r="C586" s="970">
        <v>110</v>
      </c>
      <c r="D586" s="970">
        <v>846300</v>
      </c>
      <c r="E586" s="480">
        <v>1</v>
      </c>
      <c r="F586" s="970" t="s">
        <v>774</v>
      </c>
      <c r="G586" s="67">
        <v>70000</v>
      </c>
      <c r="H586" s="915">
        <v>0</v>
      </c>
      <c r="I586" s="915">
        <v>70000</v>
      </c>
      <c r="J586" s="230" t="s">
        <v>274</v>
      </c>
      <c r="K586" s="969"/>
      <c r="N586" s="478"/>
    </row>
    <row r="587" spans="1:14">
      <c r="A587" s="970"/>
      <c r="B587" s="1049">
        <v>1846300820</v>
      </c>
      <c r="C587" s="970">
        <v>820</v>
      </c>
      <c r="D587" s="970">
        <v>846300</v>
      </c>
      <c r="E587" s="970">
        <v>1</v>
      </c>
      <c r="F587" s="970" t="s">
        <v>174</v>
      </c>
      <c r="G587" s="67">
        <v>48000</v>
      </c>
      <c r="H587" s="915">
        <v>48000</v>
      </c>
      <c r="I587" s="915">
        <v>0</v>
      </c>
      <c r="J587" s="230" t="s">
        <v>775</v>
      </c>
      <c r="K587" s="969"/>
      <c r="N587" s="478"/>
    </row>
    <row r="588" spans="1:14">
      <c r="A588" s="970"/>
      <c r="B588" s="1049">
        <v>1846300822</v>
      </c>
      <c r="C588" s="970">
        <v>822</v>
      </c>
      <c r="D588" s="970">
        <v>846300</v>
      </c>
      <c r="E588" s="970">
        <v>1</v>
      </c>
      <c r="F588" s="970" t="s">
        <v>175</v>
      </c>
      <c r="G588" s="67">
        <v>105000</v>
      </c>
      <c r="H588" s="915">
        <v>104000</v>
      </c>
      <c r="I588" s="915">
        <v>128000</v>
      </c>
      <c r="J588" s="230" t="s">
        <v>776</v>
      </c>
      <c r="K588" s="969"/>
      <c r="N588" s="478"/>
    </row>
    <row r="589" spans="1:14">
      <c r="A589" s="970"/>
      <c r="B589" s="1049">
        <v>1846300823</v>
      </c>
      <c r="C589" s="970">
        <v>823</v>
      </c>
      <c r="D589" s="970">
        <v>846300</v>
      </c>
      <c r="E589" s="970">
        <v>1</v>
      </c>
      <c r="F589" s="970" t="s">
        <v>777</v>
      </c>
      <c r="G589" s="67">
        <v>20000</v>
      </c>
      <c r="H589" s="915">
        <v>0</v>
      </c>
      <c r="I589" s="915">
        <v>20000</v>
      </c>
      <c r="J589" s="230"/>
      <c r="K589" s="969"/>
      <c r="N589" s="478"/>
    </row>
    <row r="590" spans="1:14">
      <c r="A590" s="970"/>
      <c r="B590" s="1049">
        <v>1846400822</v>
      </c>
      <c r="C590" s="970">
        <v>822</v>
      </c>
      <c r="D590" s="970">
        <v>846400</v>
      </c>
      <c r="E590" s="970">
        <v>1</v>
      </c>
      <c r="F590" s="970" t="s">
        <v>176</v>
      </c>
      <c r="G590" s="67">
        <v>310000</v>
      </c>
      <c r="H590" s="915">
        <v>222000</v>
      </c>
      <c r="I590" s="915">
        <v>179000</v>
      </c>
      <c r="J590" s="230" t="s">
        <v>778</v>
      </c>
      <c r="K590" s="969"/>
      <c r="N590" s="478"/>
    </row>
    <row r="591" spans="1:14">
      <c r="A591" s="970"/>
      <c r="B591" s="1049">
        <v>1846500820</v>
      </c>
      <c r="C591" s="970">
        <v>820</v>
      </c>
      <c r="D591" s="970">
        <v>846500</v>
      </c>
      <c r="E591" s="970">
        <v>1</v>
      </c>
      <c r="F591" s="970" t="s">
        <v>178</v>
      </c>
      <c r="G591" s="67">
        <v>7521000</v>
      </c>
      <c r="H591" s="915">
        <v>7370000</v>
      </c>
      <c r="I591" s="915">
        <v>9397000</v>
      </c>
      <c r="J591" s="1080" t="s">
        <v>3544</v>
      </c>
      <c r="K591" s="969"/>
      <c r="N591" s="478"/>
    </row>
    <row r="592" spans="1:14">
      <c r="A592" s="970"/>
      <c r="B592" s="1049">
        <v>1846500821</v>
      </c>
      <c r="C592" s="970">
        <v>821</v>
      </c>
      <c r="D592" s="970">
        <v>846500</v>
      </c>
      <c r="E592" s="970">
        <v>1</v>
      </c>
      <c r="F592" s="970" t="s">
        <v>179</v>
      </c>
      <c r="G592" s="67">
        <v>153000</v>
      </c>
      <c r="H592" s="915">
        <v>152000</v>
      </c>
      <c r="I592" s="915">
        <v>119000</v>
      </c>
      <c r="J592" s="230" t="s">
        <v>779</v>
      </c>
      <c r="K592" s="969"/>
      <c r="N592" s="478"/>
    </row>
    <row r="593" spans="1:14">
      <c r="A593" s="970"/>
      <c r="B593" s="1049">
        <v>1846500822</v>
      </c>
      <c r="C593" s="970">
        <v>822</v>
      </c>
      <c r="D593" s="970">
        <v>846500</v>
      </c>
      <c r="E593" s="970">
        <v>1</v>
      </c>
      <c r="F593" s="970" t="s">
        <v>177</v>
      </c>
      <c r="G593" s="67">
        <v>215000</v>
      </c>
      <c r="H593" s="915">
        <v>170000</v>
      </c>
      <c r="I593" s="915">
        <v>198000</v>
      </c>
      <c r="J593" s="230" t="s">
        <v>780</v>
      </c>
      <c r="K593" s="969"/>
      <c r="N593" s="478"/>
    </row>
    <row r="594" spans="1:14">
      <c r="A594" s="970" t="s">
        <v>4</v>
      </c>
      <c r="B594" s="1049">
        <v>1846500825</v>
      </c>
      <c r="C594" s="970">
        <v>825</v>
      </c>
      <c r="D594" s="970">
        <v>846500</v>
      </c>
      <c r="E594" s="970">
        <v>1</v>
      </c>
      <c r="F594" s="970" t="s">
        <v>739</v>
      </c>
      <c r="G594" s="67">
        <v>43000</v>
      </c>
      <c r="H594" s="915">
        <v>38000</v>
      </c>
      <c r="I594" s="915">
        <v>42000</v>
      </c>
      <c r="J594" s="230" t="s">
        <v>781</v>
      </c>
      <c r="K594" s="969"/>
      <c r="N594" s="478"/>
    </row>
    <row r="595" spans="1:14">
      <c r="A595" s="970"/>
      <c r="B595" s="516">
        <v>1846600110</v>
      </c>
      <c r="C595" s="970">
        <v>110</v>
      </c>
      <c r="D595" s="970">
        <v>846600</v>
      </c>
      <c r="E595" s="480">
        <v>1</v>
      </c>
      <c r="F595" s="970" t="s">
        <v>182</v>
      </c>
      <c r="G595" s="67">
        <v>1149000</v>
      </c>
      <c r="H595" s="915">
        <v>943000</v>
      </c>
      <c r="I595" s="915">
        <v>1179000</v>
      </c>
      <c r="J595" s="230" t="s">
        <v>274</v>
      </c>
      <c r="K595" s="969"/>
      <c r="N595" s="478"/>
    </row>
    <row r="596" spans="1:14">
      <c r="A596" s="970"/>
      <c r="B596" s="1049">
        <v>1846600820</v>
      </c>
      <c r="C596" s="970">
        <v>820</v>
      </c>
      <c r="D596" s="970">
        <v>846600</v>
      </c>
      <c r="E596" s="970">
        <v>1</v>
      </c>
      <c r="F596" s="970" t="s">
        <v>186</v>
      </c>
      <c r="G596" s="67">
        <v>500000</v>
      </c>
      <c r="H596" s="915">
        <v>498000</v>
      </c>
      <c r="I596" s="915">
        <v>430000</v>
      </c>
      <c r="J596" s="1080" t="s">
        <v>3545</v>
      </c>
      <c r="K596" s="969"/>
      <c r="N596" s="478"/>
    </row>
    <row r="597" spans="1:14">
      <c r="A597" s="970"/>
      <c r="B597" s="1049">
        <v>1846600821</v>
      </c>
      <c r="C597" s="970">
        <v>821</v>
      </c>
      <c r="D597" s="970">
        <v>846600</v>
      </c>
      <c r="E597" s="970">
        <v>1</v>
      </c>
      <c r="F597" s="970" t="s">
        <v>782</v>
      </c>
      <c r="G597" s="67">
        <v>210000</v>
      </c>
      <c r="H597" s="915">
        <v>111000</v>
      </c>
      <c r="I597" s="915">
        <v>86000</v>
      </c>
      <c r="J597" s="1083" t="s">
        <v>783</v>
      </c>
      <c r="K597" s="969"/>
      <c r="N597" s="478"/>
    </row>
    <row r="598" spans="1:14">
      <c r="A598" s="970"/>
      <c r="B598" s="1049">
        <v>1846600822</v>
      </c>
      <c r="C598" s="970">
        <v>822</v>
      </c>
      <c r="D598" s="970">
        <v>846600</v>
      </c>
      <c r="E598" s="970">
        <v>1</v>
      </c>
      <c r="F598" s="970" t="s">
        <v>181</v>
      </c>
      <c r="G598" s="67">
        <v>900000</v>
      </c>
      <c r="H598" s="915">
        <v>702000</v>
      </c>
      <c r="I598" s="915">
        <v>1298000</v>
      </c>
      <c r="J598" s="230" t="s">
        <v>784</v>
      </c>
      <c r="K598" s="969"/>
      <c r="N598" s="478"/>
    </row>
    <row r="599" spans="1:14">
      <c r="A599" s="970"/>
      <c r="B599" s="1049">
        <v>1846600824</v>
      </c>
      <c r="C599" s="970">
        <v>824</v>
      </c>
      <c r="D599" s="970">
        <v>846600</v>
      </c>
      <c r="E599" s="970">
        <v>1</v>
      </c>
      <c r="F599" s="970" t="s">
        <v>183</v>
      </c>
      <c r="G599" s="67">
        <v>60000</v>
      </c>
      <c r="H599" s="915">
        <v>35000</v>
      </c>
      <c r="I599" s="915">
        <v>32000</v>
      </c>
      <c r="J599" s="230" t="s">
        <v>4</v>
      </c>
      <c r="K599" s="969"/>
      <c r="N599" s="478"/>
    </row>
    <row r="600" spans="1:14">
      <c r="A600" s="970"/>
      <c r="B600" s="1049">
        <v>1846600826</v>
      </c>
      <c r="C600" s="970">
        <v>826</v>
      </c>
      <c r="D600" s="970">
        <v>846600</v>
      </c>
      <c r="E600" s="970">
        <v>1</v>
      </c>
      <c r="F600" s="970" t="s">
        <v>785</v>
      </c>
      <c r="G600" s="67">
        <v>3000000</v>
      </c>
      <c r="H600" s="915">
        <v>2720000</v>
      </c>
      <c r="I600" s="915">
        <v>2431000</v>
      </c>
      <c r="J600" s="230" t="s">
        <v>786</v>
      </c>
      <c r="K600" s="969"/>
      <c r="N600" s="478"/>
    </row>
    <row r="601" spans="1:14">
      <c r="A601" s="970"/>
      <c r="B601" s="1049">
        <v>1846600827</v>
      </c>
      <c r="C601" s="970">
        <v>827</v>
      </c>
      <c r="D601" s="970">
        <v>846600</v>
      </c>
      <c r="E601" s="970">
        <v>1</v>
      </c>
      <c r="F601" s="970" t="s">
        <v>185</v>
      </c>
      <c r="G601" s="67">
        <v>297000</v>
      </c>
      <c r="H601" s="915">
        <v>250000</v>
      </c>
      <c r="I601" s="915">
        <v>237000</v>
      </c>
      <c r="J601" s="230"/>
      <c r="K601" s="969"/>
      <c r="N601" s="478"/>
    </row>
    <row r="602" spans="1:14">
      <c r="A602" s="970"/>
      <c r="B602" s="516">
        <v>1846700110</v>
      </c>
      <c r="C602" s="970">
        <v>110</v>
      </c>
      <c r="D602" s="970">
        <v>846700</v>
      </c>
      <c r="E602" s="480">
        <v>1</v>
      </c>
      <c r="F602" s="970" t="s">
        <v>787</v>
      </c>
      <c r="G602" s="67">
        <v>337000</v>
      </c>
      <c r="H602" s="915">
        <v>252000</v>
      </c>
      <c r="I602" s="915">
        <v>257000</v>
      </c>
      <c r="J602" s="230" t="s">
        <v>274</v>
      </c>
      <c r="K602" s="969"/>
      <c r="N602" s="478"/>
    </row>
    <row r="603" spans="1:14">
      <c r="A603" s="970"/>
      <c r="B603" s="1049">
        <v>1846700820</v>
      </c>
      <c r="C603" s="970">
        <v>820</v>
      </c>
      <c r="D603" s="970">
        <v>846700</v>
      </c>
      <c r="E603" s="970">
        <v>1</v>
      </c>
      <c r="F603" s="970" t="s">
        <v>187</v>
      </c>
      <c r="G603" s="67">
        <v>124000</v>
      </c>
      <c r="H603" s="915">
        <v>123000</v>
      </c>
      <c r="I603" s="915">
        <v>125000</v>
      </c>
      <c r="J603" s="230" t="s">
        <v>788</v>
      </c>
      <c r="K603" s="969"/>
      <c r="N603" s="478"/>
    </row>
    <row r="604" spans="1:14">
      <c r="A604" s="970"/>
      <c r="B604" s="1049">
        <v>1846700822</v>
      </c>
      <c r="C604" s="970">
        <v>822</v>
      </c>
      <c r="D604" s="970">
        <v>846700</v>
      </c>
      <c r="E604" s="970">
        <v>1</v>
      </c>
      <c r="F604" s="970" t="s">
        <v>188</v>
      </c>
      <c r="G604" s="67">
        <v>45000</v>
      </c>
      <c r="H604" s="915">
        <v>47000</v>
      </c>
      <c r="I604" s="915">
        <v>45000</v>
      </c>
      <c r="J604" s="1055" t="s">
        <v>789</v>
      </c>
      <c r="K604" s="969"/>
      <c r="N604" s="478"/>
    </row>
    <row r="605" spans="1:14">
      <c r="A605" s="970"/>
      <c r="B605" s="1049">
        <v>1846800820</v>
      </c>
      <c r="C605" s="970">
        <v>820</v>
      </c>
      <c r="D605" s="970">
        <v>846800</v>
      </c>
      <c r="E605" s="970">
        <v>1</v>
      </c>
      <c r="F605" s="970" t="s">
        <v>190</v>
      </c>
      <c r="G605" s="67">
        <v>70000</v>
      </c>
      <c r="H605" s="915">
        <v>70000</v>
      </c>
      <c r="I605" s="915">
        <v>72000</v>
      </c>
      <c r="J605" s="230" t="s">
        <v>790</v>
      </c>
      <c r="K605" s="969"/>
      <c r="N605" s="478"/>
    </row>
    <row r="606" spans="1:14">
      <c r="A606" s="970"/>
      <c r="B606" s="1049">
        <v>1846800821</v>
      </c>
      <c r="C606" s="970">
        <v>821</v>
      </c>
      <c r="D606" s="970">
        <v>846800</v>
      </c>
      <c r="E606" s="970">
        <v>1</v>
      </c>
      <c r="F606" s="970" t="s">
        <v>191</v>
      </c>
      <c r="G606" s="67">
        <v>70000</v>
      </c>
      <c r="H606" s="915">
        <v>70000</v>
      </c>
      <c r="I606" s="915">
        <v>93000</v>
      </c>
      <c r="J606" s="230" t="s">
        <v>791</v>
      </c>
      <c r="K606" s="969"/>
      <c r="N606" s="478"/>
    </row>
    <row r="607" spans="1:14">
      <c r="A607" s="970"/>
      <c r="B607" s="1049">
        <v>1846800822</v>
      </c>
      <c r="C607" s="970">
        <v>822</v>
      </c>
      <c r="D607" s="970">
        <v>846800</v>
      </c>
      <c r="E607" s="970">
        <v>1</v>
      </c>
      <c r="F607" s="970" t="s">
        <v>192</v>
      </c>
      <c r="G607" s="67">
        <v>80000</v>
      </c>
      <c r="H607" s="915">
        <v>53000</v>
      </c>
      <c r="I607" s="915">
        <v>50000</v>
      </c>
      <c r="J607" s="230" t="s">
        <v>792</v>
      </c>
      <c r="K607" s="969"/>
      <c r="N607" s="478"/>
    </row>
    <row r="608" spans="1:14">
      <c r="A608" s="970"/>
      <c r="B608" s="1049">
        <v>1846800824</v>
      </c>
      <c r="C608" s="970">
        <v>824</v>
      </c>
      <c r="D608" s="970">
        <v>846800</v>
      </c>
      <c r="E608" s="970">
        <v>1</v>
      </c>
      <c r="F608" s="970" t="s">
        <v>793</v>
      </c>
      <c r="G608" s="67">
        <v>113000</v>
      </c>
      <c r="H608" s="915">
        <v>113000</v>
      </c>
      <c r="I608" s="915">
        <v>180000</v>
      </c>
      <c r="J608" s="1055" t="s">
        <v>4</v>
      </c>
      <c r="K608" s="969"/>
      <c r="N608" s="478"/>
    </row>
    <row r="609" spans="1:16372">
      <c r="A609" s="970"/>
      <c r="B609" s="516">
        <v>1846800110</v>
      </c>
      <c r="C609" s="970">
        <v>110</v>
      </c>
      <c r="D609" s="970">
        <v>846800</v>
      </c>
      <c r="E609" s="480">
        <v>1</v>
      </c>
      <c r="F609" s="970" t="s">
        <v>794</v>
      </c>
      <c r="G609" s="67">
        <v>150000</v>
      </c>
      <c r="H609" s="915">
        <v>0</v>
      </c>
      <c r="I609" s="915">
        <v>155000</v>
      </c>
      <c r="J609" s="1055" t="s">
        <v>346</v>
      </c>
      <c r="K609" s="969"/>
      <c r="N609" s="478"/>
    </row>
    <row r="610" spans="1:16372">
      <c r="A610" s="970"/>
      <c r="B610" s="1049">
        <v>1846800825</v>
      </c>
      <c r="C610" s="970">
        <v>825</v>
      </c>
      <c r="D610" s="970">
        <v>846800</v>
      </c>
      <c r="E610" s="970">
        <v>1</v>
      </c>
      <c r="F610" s="970" t="s">
        <v>193</v>
      </c>
      <c r="G610" s="67">
        <v>215000</v>
      </c>
      <c r="H610" s="915">
        <v>113000</v>
      </c>
      <c r="I610" s="915">
        <v>155000</v>
      </c>
      <c r="J610" s="230" t="s">
        <v>808</v>
      </c>
      <c r="K610" s="969"/>
      <c r="N610" s="478"/>
    </row>
    <row r="611" spans="1:16372" ht="15">
      <c r="A611" s="68" t="s">
        <v>795</v>
      </c>
      <c r="B611" s="68"/>
      <c r="C611" s="68">
        <v>999</v>
      </c>
      <c r="D611" s="68">
        <v>846000</v>
      </c>
      <c r="E611" s="970">
        <v>1</v>
      </c>
      <c r="F611" s="68" t="s">
        <v>4</v>
      </c>
      <c r="G611" s="69">
        <v>15805000</v>
      </c>
      <c r="H611" s="945">
        <v>14204000</v>
      </c>
      <c r="I611" s="916">
        <v>16978000</v>
      </c>
      <c r="J611" s="1050"/>
      <c r="K611" s="969"/>
      <c r="N611" s="478"/>
    </row>
    <row r="612" spans="1:16372">
      <c r="A612" s="970" t="s">
        <v>796</v>
      </c>
      <c r="B612" s="516">
        <v>1847100110</v>
      </c>
      <c r="C612" s="970">
        <v>110</v>
      </c>
      <c r="D612" s="970">
        <v>847100</v>
      </c>
      <c r="E612" s="480">
        <v>1</v>
      </c>
      <c r="F612" s="970" t="s">
        <v>797</v>
      </c>
      <c r="G612" s="67">
        <v>197000</v>
      </c>
      <c r="H612" s="915">
        <v>172000</v>
      </c>
      <c r="I612" s="915">
        <v>228000</v>
      </c>
      <c r="J612" s="230" t="s">
        <v>274</v>
      </c>
      <c r="K612" s="969"/>
      <c r="N612" s="478"/>
    </row>
    <row r="613" spans="1:16372">
      <c r="A613" s="970" t="s">
        <v>4</v>
      </c>
      <c r="B613" s="1049">
        <v>1847100821</v>
      </c>
      <c r="C613" s="970">
        <v>821</v>
      </c>
      <c r="D613" s="970">
        <v>847100</v>
      </c>
      <c r="E613" s="970">
        <v>1</v>
      </c>
      <c r="F613" s="970" t="s">
        <v>196</v>
      </c>
      <c r="G613" s="67">
        <v>52000</v>
      </c>
      <c r="H613" s="915">
        <v>50000</v>
      </c>
      <c r="I613" s="915">
        <v>35000</v>
      </c>
      <c r="J613" s="230" t="s">
        <v>2209</v>
      </c>
      <c r="K613" s="969"/>
      <c r="N613" s="478"/>
    </row>
    <row r="614" spans="1:16372" s="43" customFormat="1">
      <c r="A614" s="970"/>
      <c r="B614" s="1049">
        <v>1847100822</v>
      </c>
      <c r="C614" s="970">
        <v>822</v>
      </c>
      <c r="D614" s="970">
        <v>847100</v>
      </c>
      <c r="E614" s="970">
        <v>1</v>
      </c>
      <c r="F614" s="970" t="s">
        <v>2211</v>
      </c>
      <c r="G614" s="67">
        <v>25000</v>
      </c>
      <c r="H614" s="915">
        <v>25000</v>
      </c>
      <c r="I614" s="915">
        <v>25000</v>
      </c>
      <c r="J614" s="230" t="s">
        <v>2212</v>
      </c>
      <c r="K614" s="969"/>
      <c r="N614" s="478"/>
    </row>
    <row r="615" spans="1:16372" ht="28.5">
      <c r="A615" s="970"/>
      <c r="B615" s="1049">
        <v>1847100825</v>
      </c>
      <c r="C615" s="970">
        <v>825</v>
      </c>
      <c r="D615" s="970">
        <v>847100</v>
      </c>
      <c r="E615" s="970">
        <v>1</v>
      </c>
      <c r="F615" s="970" t="s">
        <v>197</v>
      </c>
      <c r="G615" s="67">
        <v>1416000</v>
      </c>
      <c r="H615" s="915">
        <v>818000</v>
      </c>
      <c r="I615" s="915">
        <v>979000</v>
      </c>
      <c r="J615" s="230" t="s">
        <v>798</v>
      </c>
      <c r="K615" s="969"/>
      <c r="N615" s="478"/>
    </row>
    <row r="616" spans="1:16372">
      <c r="A616" s="970"/>
      <c r="B616" s="1049">
        <v>1847100826</v>
      </c>
      <c r="C616" s="970">
        <v>826</v>
      </c>
      <c r="D616" s="970">
        <v>847100</v>
      </c>
      <c r="E616" s="970">
        <v>1</v>
      </c>
      <c r="F616" s="970" t="s">
        <v>198</v>
      </c>
      <c r="G616" s="67">
        <v>60000</v>
      </c>
      <c r="H616" s="915">
        <v>60000</v>
      </c>
      <c r="I616" s="915">
        <v>60000</v>
      </c>
      <c r="J616" s="230" t="s">
        <v>2210</v>
      </c>
      <c r="K616" s="969"/>
      <c r="N616" s="478"/>
    </row>
    <row r="617" spans="1:16372" s="566" customFormat="1">
      <c r="A617" s="1049"/>
      <c r="B617" s="1049">
        <v>1847100827</v>
      </c>
      <c r="C617" s="970">
        <v>827</v>
      </c>
      <c r="D617" s="970">
        <v>847100</v>
      </c>
      <c r="E617" s="970">
        <v>1</v>
      </c>
      <c r="F617" s="970" t="s">
        <v>3152</v>
      </c>
      <c r="G617" s="67">
        <v>0</v>
      </c>
      <c r="H617" s="915">
        <v>0</v>
      </c>
      <c r="I617" s="915">
        <v>0</v>
      </c>
      <c r="J617" s="230" t="s">
        <v>2210</v>
      </c>
      <c r="K617" s="969"/>
      <c r="L617" s="559"/>
      <c r="M617" s="559"/>
      <c r="N617" s="478"/>
      <c r="O617" s="559"/>
      <c r="P617" s="559"/>
      <c r="Q617" s="559"/>
      <c r="R617" s="559"/>
      <c r="S617" s="559"/>
      <c r="T617" s="559"/>
      <c r="U617" s="559"/>
      <c r="V617" s="559"/>
      <c r="W617" s="559"/>
      <c r="X617" s="559"/>
      <c r="Y617" s="559"/>
      <c r="Z617" s="559"/>
      <c r="AA617" s="559"/>
      <c r="AB617" s="559"/>
      <c r="AC617" s="559"/>
      <c r="AD617" s="559"/>
      <c r="AE617" s="559"/>
      <c r="AF617" s="559"/>
      <c r="AG617" s="559"/>
      <c r="AH617" s="559"/>
      <c r="AI617" s="559"/>
      <c r="AJ617" s="559"/>
      <c r="AK617" s="559"/>
      <c r="AL617" s="559"/>
      <c r="AM617" s="559"/>
      <c r="AN617" s="559"/>
      <c r="AO617" s="559"/>
      <c r="AP617" s="559"/>
      <c r="AQ617" s="559"/>
      <c r="AR617" s="559"/>
      <c r="AS617" s="559"/>
      <c r="AT617" s="559"/>
      <c r="AU617" s="559"/>
      <c r="AV617" s="559"/>
      <c r="AW617" s="559"/>
      <c r="AX617" s="559"/>
      <c r="AY617" s="559"/>
      <c r="AZ617" s="559"/>
      <c r="BA617" s="559"/>
      <c r="BB617" s="559"/>
      <c r="BC617" s="559"/>
      <c r="BD617" s="559"/>
      <c r="BE617" s="559"/>
      <c r="BF617" s="559"/>
      <c r="BG617" s="559"/>
      <c r="BH617" s="559"/>
      <c r="BI617" s="559"/>
      <c r="BJ617" s="559"/>
      <c r="BK617" s="559"/>
      <c r="BL617" s="559"/>
      <c r="BM617" s="559"/>
      <c r="BN617" s="559"/>
      <c r="BO617" s="559"/>
      <c r="BP617" s="559"/>
      <c r="BQ617" s="559"/>
      <c r="BR617" s="559"/>
      <c r="BS617" s="559"/>
      <c r="BT617" s="559"/>
      <c r="BU617" s="559"/>
      <c r="BV617" s="559"/>
      <c r="BW617" s="559"/>
      <c r="BX617" s="559"/>
      <c r="BY617" s="559"/>
      <c r="BZ617" s="559"/>
      <c r="CA617" s="559"/>
      <c r="CB617" s="559"/>
      <c r="CC617" s="559"/>
      <c r="CD617" s="559"/>
      <c r="CE617" s="559"/>
      <c r="CF617" s="559"/>
      <c r="CG617" s="559"/>
      <c r="CH617" s="559"/>
      <c r="CI617" s="559"/>
      <c r="CJ617" s="559"/>
      <c r="CK617" s="559"/>
      <c r="CL617" s="559"/>
      <c r="CM617" s="559"/>
      <c r="CN617" s="559"/>
      <c r="CO617" s="559"/>
      <c r="CP617" s="559"/>
      <c r="CQ617" s="559"/>
      <c r="CR617" s="559"/>
      <c r="CS617" s="559"/>
      <c r="CT617" s="559"/>
      <c r="CU617" s="559"/>
      <c r="CV617" s="559"/>
      <c r="CW617" s="559"/>
      <c r="CX617" s="559"/>
      <c r="CY617" s="559"/>
      <c r="CZ617" s="559"/>
      <c r="DA617" s="559"/>
      <c r="DB617" s="559"/>
      <c r="DC617" s="559"/>
      <c r="DD617" s="559"/>
      <c r="DE617" s="559"/>
      <c r="DF617" s="559"/>
      <c r="DG617" s="559"/>
      <c r="DH617" s="559"/>
      <c r="DI617" s="559"/>
      <c r="DJ617" s="559"/>
      <c r="DK617" s="559"/>
      <c r="DL617" s="559"/>
      <c r="DM617" s="559"/>
      <c r="DN617" s="559"/>
      <c r="DO617" s="559"/>
      <c r="DP617" s="559"/>
      <c r="DQ617" s="559"/>
      <c r="DR617" s="559"/>
      <c r="DS617" s="559"/>
      <c r="DT617" s="559"/>
      <c r="DU617" s="559"/>
      <c r="DV617" s="559"/>
      <c r="DW617" s="559"/>
      <c r="DX617" s="559"/>
      <c r="DY617" s="559"/>
      <c r="DZ617" s="559"/>
      <c r="EA617" s="559"/>
      <c r="EB617" s="559"/>
      <c r="EC617" s="559"/>
      <c r="ED617" s="559"/>
      <c r="EE617" s="559"/>
      <c r="EF617" s="559"/>
      <c r="EG617" s="559"/>
      <c r="EH617" s="559"/>
      <c r="EI617" s="559"/>
      <c r="EJ617" s="559"/>
      <c r="EK617" s="559"/>
      <c r="EL617" s="559"/>
      <c r="EM617" s="559"/>
      <c r="EN617" s="559"/>
      <c r="EO617" s="559"/>
      <c r="EP617" s="559"/>
      <c r="EQ617" s="559"/>
      <c r="ER617" s="559"/>
      <c r="ES617" s="559"/>
      <c r="ET617" s="559"/>
      <c r="EU617" s="559"/>
      <c r="EV617" s="559"/>
      <c r="EW617" s="559"/>
      <c r="EX617" s="559"/>
      <c r="EY617" s="559"/>
      <c r="EZ617" s="559"/>
      <c r="FA617" s="559"/>
      <c r="FB617" s="559"/>
      <c r="FC617" s="559"/>
      <c r="FD617" s="559"/>
      <c r="FE617" s="559"/>
      <c r="FF617" s="559"/>
      <c r="FG617" s="559"/>
      <c r="FH617" s="559"/>
      <c r="FI617" s="559"/>
      <c r="FJ617" s="559"/>
      <c r="FK617" s="559"/>
      <c r="FL617" s="559"/>
      <c r="FM617" s="559"/>
      <c r="FN617" s="559"/>
      <c r="FO617" s="559"/>
      <c r="FP617" s="559"/>
      <c r="FQ617" s="559"/>
      <c r="FR617" s="559"/>
      <c r="FS617" s="559"/>
      <c r="FT617" s="559"/>
      <c r="FU617" s="559"/>
      <c r="FV617" s="559"/>
      <c r="FW617" s="559"/>
      <c r="FX617" s="559"/>
      <c r="FY617" s="559"/>
      <c r="FZ617" s="559"/>
      <c r="GA617" s="559"/>
      <c r="GB617" s="559"/>
      <c r="GC617" s="559"/>
      <c r="GD617" s="559"/>
      <c r="GE617" s="559"/>
      <c r="GF617" s="559"/>
      <c r="GG617" s="559"/>
      <c r="GH617" s="559"/>
      <c r="GI617" s="559"/>
      <c r="GJ617" s="559"/>
      <c r="GK617" s="559"/>
      <c r="GL617" s="559"/>
      <c r="GM617" s="559"/>
      <c r="GN617" s="559"/>
      <c r="GO617" s="559"/>
      <c r="GP617" s="559"/>
      <c r="GQ617" s="559"/>
      <c r="GR617" s="559"/>
      <c r="GS617" s="559"/>
      <c r="GT617" s="559"/>
      <c r="GU617" s="559"/>
      <c r="GV617" s="559"/>
      <c r="GW617" s="559"/>
      <c r="GX617" s="559"/>
      <c r="GY617" s="559"/>
      <c r="GZ617" s="559"/>
      <c r="HA617" s="559"/>
      <c r="HB617" s="559"/>
      <c r="HC617" s="559"/>
      <c r="HD617" s="559"/>
      <c r="HE617" s="559"/>
      <c r="HF617" s="559"/>
      <c r="HG617" s="559"/>
      <c r="HH617" s="559"/>
      <c r="HI617" s="559"/>
      <c r="HJ617" s="559"/>
      <c r="HK617" s="559"/>
      <c r="HL617" s="559"/>
      <c r="HM617" s="559"/>
      <c r="HN617" s="559"/>
      <c r="HO617" s="559"/>
      <c r="HP617" s="559"/>
      <c r="HQ617" s="559"/>
      <c r="HR617" s="559"/>
      <c r="HS617" s="559"/>
      <c r="HT617" s="559"/>
      <c r="HU617" s="559"/>
      <c r="HV617" s="559"/>
      <c r="HW617" s="559"/>
      <c r="HX617" s="559"/>
      <c r="HY617" s="559"/>
      <c r="HZ617" s="559"/>
      <c r="IA617" s="559"/>
      <c r="IB617" s="559"/>
      <c r="IC617" s="559"/>
      <c r="ID617" s="559"/>
      <c r="IE617" s="559"/>
      <c r="IF617" s="559"/>
      <c r="IG617" s="559"/>
      <c r="IH617" s="559"/>
      <c r="II617" s="559"/>
      <c r="IJ617" s="559"/>
      <c r="IK617" s="559"/>
      <c r="IL617" s="559"/>
      <c r="IM617" s="559"/>
      <c r="IN617" s="559"/>
      <c r="IO617" s="559"/>
      <c r="IP617" s="559"/>
      <c r="IQ617" s="559"/>
      <c r="IR617" s="559"/>
      <c r="IS617" s="559"/>
      <c r="IT617" s="559"/>
      <c r="IU617" s="559"/>
      <c r="IV617" s="559"/>
      <c r="IW617" s="559"/>
      <c r="IX617" s="559"/>
      <c r="IY617" s="559"/>
      <c r="IZ617" s="559"/>
      <c r="JA617" s="559"/>
      <c r="JB617" s="559"/>
      <c r="JC617" s="559"/>
      <c r="JD617" s="559"/>
      <c r="JE617" s="559"/>
      <c r="JF617" s="559"/>
      <c r="JG617" s="559"/>
      <c r="JH617" s="559"/>
      <c r="JI617" s="559"/>
      <c r="JJ617" s="559"/>
      <c r="JK617" s="559"/>
      <c r="JL617" s="559"/>
      <c r="JM617" s="559"/>
      <c r="JN617" s="559"/>
      <c r="JO617" s="559"/>
      <c r="JP617" s="559"/>
      <c r="JQ617" s="559"/>
      <c r="JR617" s="559"/>
      <c r="JS617" s="559"/>
      <c r="JT617" s="559"/>
      <c r="JU617" s="559"/>
      <c r="JV617" s="559"/>
      <c r="JW617" s="559"/>
      <c r="JX617" s="559"/>
      <c r="JY617" s="559"/>
      <c r="JZ617" s="559"/>
      <c r="KA617" s="559"/>
      <c r="KB617" s="559"/>
      <c r="KC617" s="559"/>
      <c r="KD617" s="559"/>
      <c r="KE617" s="559"/>
      <c r="KF617" s="559"/>
      <c r="KG617" s="559"/>
      <c r="KH617" s="559"/>
      <c r="KI617" s="559"/>
      <c r="KJ617" s="559"/>
      <c r="KK617" s="559"/>
      <c r="KL617" s="559"/>
      <c r="KM617" s="559"/>
      <c r="KN617" s="559"/>
      <c r="KO617" s="559"/>
      <c r="KP617" s="559"/>
      <c r="KQ617" s="559"/>
      <c r="KR617" s="559"/>
      <c r="KS617" s="559"/>
      <c r="KT617" s="559"/>
      <c r="KU617" s="559"/>
      <c r="KV617" s="559"/>
      <c r="KW617" s="559"/>
      <c r="KX617" s="559"/>
      <c r="KY617" s="559"/>
      <c r="KZ617" s="559"/>
      <c r="LA617" s="559"/>
      <c r="LB617" s="559"/>
      <c r="LC617" s="559"/>
      <c r="LD617" s="559"/>
      <c r="LE617" s="559"/>
      <c r="LF617" s="559"/>
      <c r="LG617" s="559"/>
      <c r="LH617" s="559"/>
      <c r="LI617" s="559"/>
      <c r="LJ617" s="559"/>
      <c r="LK617" s="559"/>
      <c r="LL617" s="559"/>
      <c r="LM617" s="559"/>
      <c r="LN617" s="559"/>
      <c r="LO617" s="559"/>
      <c r="LP617" s="559"/>
      <c r="LQ617" s="559"/>
      <c r="LR617" s="559"/>
      <c r="LS617" s="559"/>
      <c r="LT617" s="559"/>
      <c r="LU617" s="559"/>
      <c r="LV617" s="559"/>
      <c r="LW617" s="559"/>
      <c r="LX617" s="559"/>
      <c r="LY617" s="559"/>
      <c r="LZ617" s="559"/>
      <c r="MA617" s="559"/>
      <c r="MB617" s="559"/>
      <c r="MC617" s="559"/>
      <c r="MD617" s="559"/>
      <c r="ME617" s="559"/>
      <c r="MF617" s="559"/>
      <c r="MG617" s="559"/>
      <c r="MH617" s="559"/>
      <c r="MI617" s="559"/>
      <c r="MJ617" s="559"/>
      <c r="MK617" s="559"/>
      <c r="ML617" s="559"/>
      <c r="MM617" s="559"/>
      <c r="MN617" s="559"/>
      <c r="MO617" s="559"/>
      <c r="MP617" s="559"/>
      <c r="MQ617" s="559"/>
      <c r="MR617" s="559"/>
      <c r="MS617" s="559"/>
      <c r="MT617" s="559"/>
      <c r="MU617" s="559"/>
      <c r="MV617" s="559"/>
      <c r="MW617" s="559"/>
      <c r="MX617" s="559"/>
      <c r="MY617" s="559"/>
      <c r="MZ617" s="559"/>
      <c r="NA617" s="559"/>
      <c r="NB617" s="559"/>
      <c r="NC617" s="559"/>
      <c r="ND617" s="559"/>
      <c r="NE617" s="559"/>
      <c r="NF617" s="559"/>
      <c r="NG617" s="559"/>
      <c r="NH617" s="559"/>
      <c r="NI617" s="559"/>
      <c r="NJ617" s="559"/>
      <c r="NK617" s="559"/>
      <c r="NL617" s="559"/>
      <c r="NM617" s="559"/>
      <c r="NN617" s="559"/>
      <c r="NO617" s="559"/>
      <c r="NP617" s="559"/>
      <c r="NQ617" s="559"/>
      <c r="NR617" s="559"/>
      <c r="NS617" s="559"/>
      <c r="NT617" s="559"/>
      <c r="NU617" s="559"/>
      <c r="NV617" s="559"/>
      <c r="NW617" s="559"/>
      <c r="NX617" s="559"/>
      <c r="NY617" s="559"/>
      <c r="NZ617" s="559"/>
      <c r="OA617" s="559"/>
      <c r="OB617" s="559"/>
      <c r="OC617" s="559"/>
      <c r="OD617" s="559"/>
      <c r="OE617" s="559"/>
      <c r="OF617" s="559"/>
      <c r="OG617" s="559"/>
      <c r="OH617" s="559"/>
      <c r="OI617" s="559"/>
      <c r="OJ617" s="559"/>
      <c r="OK617" s="559"/>
      <c r="OL617" s="559"/>
      <c r="OM617" s="559"/>
      <c r="ON617" s="559"/>
      <c r="OO617" s="559"/>
      <c r="OP617" s="559"/>
      <c r="OQ617" s="559"/>
      <c r="OR617" s="559"/>
      <c r="OS617" s="559"/>
      <c r="OT617" s="559"/>
      <c r="OU617" s="559"/>
      <c r="OV617" s="559"/>
      <c r="OW617" s="559"/>
      <c r="OX617" s="559"/>
      <c r="OY617" s="559"/>
      <c r="OZ617" s="559"/>
      <c r="PA617" s="559"/>
      <c r="PB617" s="559"/>
      <c r="PC617" s="559"/>
      <c r="PD617" s="559"/>
      <c r="PE617" s="559"/>
      <c r="PF617" s="559"/>
      <c r="PG617" s="559"/>
      <c r="PH617" s="559"/>
      <c r="PI617" s="559"/>
      <c r="PJ617" s="559"/>
      <c r="PK617" s="559"/>
      <c r="PL617" s="559"/>
      <c r="PM617" s="559"/>
      <c r="PN617" s="559"/>
      <c r="PO617" s="559"/>
      <c r="PP617" s="559"/>
      <c r="PQ617" s="559"/>
      <c r="PR617" s="559"/>
      <c r="PS617" s="559"/>
      <c r="PT617" s="559"/>
      <c r="PU617" s="559"/>
      <c r="PV617" s="559"/>
      <c r="PW617" s="559"/>
      <c r="PX617" s="559"/>
      <c r="PY617" s="559"/>
      <c r="PZ617" s="559"/>
      <c r="QA617" s="559"/>
      <c r="QB617" s="559"/>
      <c r="QC617" s="559"/>
      <c r="QD617" s="559"/>
      <c r="QE617" s="559"/>
      <c r="QF617" s="559"/>
      <c r="QG617" s="559"/>
      <c r="QH617" s="559"/>
      <c r="QI617" s="559"/>
      <c r="QJ617" s="559"/>
      <c r="QK617" s="559"/>
      <c r="QL617" s="559"/>
      <c r="QM617" s="559"/>
      <c r="QN617" s="559"/>
      <c r="QO617" s="559"/>
      <c r="QP617" s="559"/>
      <c r="QQ617" s="559"/>
      <c r="QR617" s="559"/>
      <c r="QS617" s="559"/>
      <c r="QT617" s="559"/>
      <c r="QU617" s="559"/>
      <c r="QV617" s="559"/>
      <c r="QW617" s="559"/>
      <c r="QX617" s="559"/>
      <c r="QY617" s="559"/>
      <c r="QZ617" s="559"/>
      <c r="RA617" s="559"/>
      <c r="RB617" s="559"/>
      <c r="RC617" s="559"/>
      <c r="RD617" s="559"/>
      <c r="RE617" s="559"/>
      <c r="RF617" s="559"/>
      <c r="RG617" s="559"/>
      <c r="RH617" s="559"/>
      <c r="RI617" s="559"/>
      <c r="RJ617" s="559"/>
      <c r="RK617" s="559"/>
      <c r="RL617" s="559"/>
      <c r="RM617" s="559"/>
      <c r="RN617" s="559"/>
      <c r="RO617" s="559"/>
      <c r="RP617" s="559"/>
      <c r="RQ617" s="559"/>
      <c r="RR617" s="559"/>
      <c r="RS617" s="559"/>
      <c r="RT617" s="559"/>
      <c r="RU617" s="559"/>
      <c r="RV617" s="559"/>
      <c r="RW617" s="559"/>
      <c r="RX617" s="559"/>
      <c r="RY617" s="559"/>
      <c r="RZ617" s="559"/>
      <c r="SA617" s="559"/>
      <c r="SB617" s="559"/>
      <c r="SC617" s="559"/>
      <c r="SD617" s="559"/>
      <c r="SE617" s="559"/>
      <c r="SF617" s="559"/>
      <c r="SG617" s="559"/>
      <c r="SH617" s="559"/>
      <c r="SI617" s="559"/>
      <c r="SJ617" s="559"/>
      <c r="SK617" s="559"/>
      <c r="SL617" s="559"/>
      <c r="SM617" s="559"/>
      <c r="SN617" s="559"/>
      <c r="SO617" s="559"/>
      <c r="SP617" s="559"/>
      <c r="SQ617" s="559"/>
      <c r="SR617" s="559"/>
      <c r="SS617" s="559"/>
      <c r="ST617" s="559"/>
      <c r="SU617" s="559"/>
      <c r="SV617" s="559"/>
      <c r="SW617" s="559"/>
      <c r="SX617" s="559"/>
      <c r="SY617" s="559"/>
      <c r="SZ617" s="559"/>
      <c r="TA617" s="559"/>
      <c r="TB617" s="559"/>
      <c r="TC617" s="559"/>
      <c r="TD617" s="559"/>
      <c r="TE617" s="559"/>
      <c r="TF617" s="559"/>
      <c r="TG617" s="559"/>
      <c r="TH617" s="559"/>
      <c r="TI617" s="559"/>
      <c r="TJ617" s="559"/>
      <c r="TK617" s="559"/>
      <c r="TL617" s="559"/>
      <c r="TM617" s="559"/>
      <c r="TN617" s="559"/>
      <c r="TO617" s="559"/>
      <c r="TP617" s="559"/>
      <c r="TQ617" s="559"/>
      <c r="TR617" s="559"/>
      <c r="TS617" s="559"/>
      <c r="TT617" s="559"/>
      <c r="TU617" s="559"/>
      <c r="TV617" s="559"/>
      <c r="TW617" s="559"/>
      <c r="TX617" s="559"/>
      <c r="TY617" s="559"/>
      <c r="TZ617" s="559"/>
      <c r="UA617" s="559"/>
      <c r="UB617" s="559"/>
      <c r="UC617" s="559"/>
      <c r="UD617" s="559"/>
      <c r="UE617" s="559"/>
      <c r="UF617" s="559"/>
      <c r="UG617" s="559"/>
      <c r="UH617" s="559"/>
      <c r="UI617" s="559"/>
      <c r="UJ617" s="559"/>
      <c r="UK617" s="559"/>
      <c r="UL617" s="559"/>
      <c r="UM617" s="559"/>
      <c r="UN617" s="559"/>
      <c r="UO617" s="559"/>
      <c r="UP617" s="559"/>
      <c r="UQ617" s="559"/>
      <c r="UR617" s="559"/>
      <c r="US617" s="559"/>
      <c r="UT617" s="559"/>
      <c r="UU617" s="559"/>
      <c r="UV617" s="559"/>
      <c r="UW617" s="559"/>
      <c r="UX617" s="559"/>
      <c r="UY617" s="559"/>
      <c r="UZ617" s="559"/>
      <c r="VA617" s="559"/>
      <c r="VB617" s="559"/>
      <c r="VC617" s="559"/>
      <c r="VD617" s="559"/>
      <c r="VE617" s="559"/>
      <c r="VF617" s="559"/>
      <c r="VG617" s="559"/>
      <c r="VH617" s="559"/>
      <c r="VI617" s="559"/>
      <c r="VJ617" s="559"/>
      <c r="VK617" s="559"/>
      <c r="VL617" s="559"/>
      <c r="VM617" s="559"/>
      <c r="VN617" s="559"/>
      <c r="VO617" s="559"/>
      <c r="VP617" s="559"/>
      <c r="VQ617" s="559"/>
      <c r="VR617" s="559"/>
      <c r="VS617" s="559"/>
      <c r="VT617" s="559"/>
      <c r="VU617" s="559"/>
      <c r="VV617" s="559"/>
      <c r="VW617" s="559"/>
      <c r="VX617" s="559"/>
      <c r="VY617" s="559"/>
      <c r="VZ617" s="559"/>
      <c r="WA617" s="559"/>
      <c r="WB617" s="559"/>
      <c r="WC617" s="559"/>
      <c r="WD617" s="559"/>
      <c r="WE617" s="559"/>
      <c r="WF617" s="559"/>
      <c r="WG617" s="559"/>
      <c r="WH617" s="559"/>
      <c r="WI617" s="559"/>
      <c r="WJ617" s="559"/>
      <c r="WK617" s="559"/>
      <c r="WL617" s="559"/>
      <c r="WM617" s="559"/>
      <c r="WN617" s="559"/>
      <c r="WO617" s="559"/>
      <c r="WP617" s="559"/>
      <c r="WQ617" s="559"/>
      <c r="WR617" s="559"/>
      <c r="WS617" s="559"/>
      <c r="WT617" s="559"/>
      <c r="WU617" s="559"/>
      <c r="WV617" s="559"/>
      <c r="WW617" s="559"/>
      <c r="WX617" s="559"/>
      <c r="WY617" s="559"/>
      <c r="WZ617" s="559"/>
      <c r="XA617" s="559"/>
      <c r="XB617" s="559"/>
      <c r="XC617" s="559"/>
      <c r="XD617" s="559"/>
      <c r="XE617" s="559"/>
      <c r="XF617" s="559"/>
      <c r="XG617" s="559"/>
      <c r="XH617" s="559"/>
      <c r="XI617" s="559"/>
      <c r="XJ617" s="559"/>
      <c r="XK617" s="559"/>
      <c r="XL617" s="559"/>
      <c r="XM617" s="559"/>
      <c r="XN617" s="559"/>
      <c r="XO617" s="559"/>
      <c r="XP617" s="559"/>
      <c r="XQ617" s="559"/>
      <c r="XR617" s="559"/>
      <c r="XS617" s="559"/>
      <c r="XT617" s="559"/>
      <c r="XU617" s="559"/>
      <c r="XV617" s="559"/>
      <c r="XW617" s="559"/>
      <c r="XX617" s="559"/>
      <c r="XY617" s="559"/>
      <c r="XZ617" s="559"/>
      <c r="YA617" s="559"/>
      <c r="YB617" s="559"/>
      <c r="YC617" s="559"/>
      <c r="YD617" s="559"/>
      <c r="YE617" s="559"/>
      <c r="YF617" s="559"/>
      <c r="YG617" s="559"/>
      <c r="YH617" s="559"/>
      <c r="YI617" s="559"/>
      <c r="YJ617" s="559"/>
      <c r="YK617" s="559"/>
      <c r="YL617" s="559"/>
      <c r="YM617" s="559"/>
      <c r="YN617" s="559"/>
      <c r="YO617" s="559"/>
      <c r="YP617" s="559"/>
      <c r="YQ617" s="559"/>
      <c r="YR617" s="559"/>
      <c r="YS617" s="559"/>
      <c r="YT617" s="559"/>
      <c r="YU617" s="559"/>
      <c r="YV617" s="559"/>
      <c r="YW617" s="559"/>
      <c r="YX617" s="559"/>
      <c r="YY617" s="559"/>
      <c r="YZ617" s="559"/>
      <c r="ZA617" s="559"/>
      <c r="ZB617" s="559"/>
      <c r="ZC617" s="559"/>
      <c r="ZD617" s="559"/>
      <c r="ZE617" s="559"/>
      <c r="ZF617" s="559"/>
      <c r="ZG617" s="559"/>
      <c r="ZH617" s="559"/>
      <c r="ZI617" s="559"/>
      <c r="ZJ617" s="559"/>
      <c r="ZK617" s="559"/>
      <c r="ZL617" s="559"/>
      <c r="ZM617" s="559"/>
      <c r="ZN617" s="559"/>
      <c r="ZO617" s="559"/>
      <c r="ZP617" s="559"/>
      <c r="ZQ617" s="559"/>
      <c r="ZR617" s="559"/>
      <c r="ZS617" s="559"/>
      <c r="ZT617" s="559"/>
      <c r="ZU617" s="559"/>
      <c r="ZV617" s="559"/>
      <c r="ZW617" s="559"/>
      <c r="ZX617" s="559"/>
      <c r="ZY617" s="559"/>
      <c r="ZZ617" s="559"/>
      <c r="AAA617" s="559"/>
      <c r="AAB617" s="559"/>
      <c r="AAC617" s="559"/>
      <c r="AAD617" s="559"/>
      <c r="AAE617" s="559"/>
      <c r="AAF617" s="559"/>
      <c r="AAG617" s="559"/>
      <c r="AAH617" s="559"/>
      <c r="AAI617" s="559"/>
      <c r="AAJ617" s="559"/>
      <c r="AAK617" s="559"/>
      <c r="AAL617" s="559"/>
      <c r="AAM617" s="559"/>
      <c r="AAN617" s="559"/>
      <c r="AAO617" s="559"/>
      <c r="AAP617" s="559"/>
      <c r="AAQ617" s="559"/>
      <c r="AAR617" s="559"/>
      <c r="AAS617" s="559"/>
      <c r="AAT617" s="559"/>
      <c r="AAU617" s="559"/>
      <c r="AAV617" s="559"/>
      <c r="AAW617" s="559"/>
      <c r="AAX617" s="559"/>
      <c r="AAY617" s="559"/>
      <c r="AAZ617" s="559"/>
      <c r="ABA617" s="559"/>
      <c r="ABB617" s="559"/>
      <c r="ABC617" s="559"/>
      <c r="ABD617" s="559"/>
      <c r="ABE617" s="559"/>
      <c r="ABF617" s="559"/>
      <c r="ABG617" s="559"/>
      <c r="ABH617" s="559"/>
      <c r="ABI617" s="559"/>
      <c r="ABJ617" s="559"/>
      <c r="ABK617" s="559"/>
      <c r="ABL617" s="559"/>
      <c r="ABM617" s="559"/>
      <c r="ABN617" s="559"/>
      <c r="ABO617" s="559"/>
      <c r="ABP617" s="559"/>
      <c r="ABQ617" s="559"/>
      <c r="ABR617" s="559"/>
      <c r="ABS617" s="559"/>
      <c r="ABT617" s="559"/>
      <c r="ABU617" s="559"/>
      <c r="ABV617" s="559"/>
      <c r="ABW617" s="559"/>
      <c r="ABX617" s="559"/>
      <c r="ABY617" s="559"/>
      <c r="ABZ617" s="559"/>
      <c r="ACA617" s="559"/>
      <c r="ACB617" s="559"/>
      <c r="ACC617" s="559"/>
      <c r="ACD617" s="559"/>
      <c r="ACE617" s="559"/>
      <c r="ACF617" s="559"/>
      <c r="ACG617" s="559"/>
      <c r="ACH617" s="559"/>
      <c r="ACI617" s="559"/>
      <c r="ACJ617" s="559"/>
      <c r="ACK617" s="559"/>
      <c r="ACL617" s="559"/>
      <c r="ACM617" s="559"/>
      <c r="ACN617" s="559"/>
      <c r="ACO617" s="559"/>
      <c r="ACP617" s="559"/>
      <c r="ACQ617" s="559"/>
      <c r="ACR617" s="559"/>
      <c r="ACS617" s="559"/>
      <c r="ACT617" s="559"/>
      <c r="ACU617" s="559"/>
      <c r="ACV617" s="559"/>
      <c r="ACW617" s="559"/>
      <c r="ACX617" s="559"/>
      <c r="ACY617" s="559"/>
      <c r="ACZ617" s="559"/>
      <c r="ADA617" s="559"/>
      <c r="ADB617" s="559"/>
      <c r="ADC617" s="559"/>
      <c r="ADD617" s="559"/>
      <c r="ADE617" s="559"/>
      <c r="ADF617" s="559"/>
      <c r="ADG617" s="559"/>
      <c r="ADH617" s="559"/>
      <c r="ADI617" s="559"/>
      <c r="ADJ617" s="559"/>
      <c r="ADK617" s="559"/>
      <c r="ADL617" s="559"/>
      <c r="ADM617" s="559"/>
      <c r="ADN617" s="559"/>
      <c r="ADO617" s="559"/>
      <c r="ADP617" s="559"/>
      <c r="ADQ617" s="559"/>
      <c r="ADR617" s="559"/>
      <c r="ADS617" s="559"/>
      <c r="ADT617" s="559"/>
      <c r="ADU617" s="559"/>
      <c r="ADV617" s="559"/>
      <c r="ADW617" s="559"/>
      <c r="ADX617" s="559"/>
      <c r="ADY617" s="559"/>
      <c r="ADZ617" s="559"/>
      <c r="AEA617" s="559"/>
      <c r="AEB617" s="559"/>
      <c r="AEC617" s="559"/>
      <c r="AED617" s="559"/>
      <c r="AEE617" s="559"/>
      <c r="AEF617" s="559"/>
      <c r="AEG617" s="559"/>
      <c r="AEH617" s="559"/>
      <c r="AEI617" s="559"/>
      <c r="AEJ617" s="559"/>
      <c r="AEK617" s="559"/>
      <c r="AEL617" s="559"/>
      <c r="AEM617" s="559"/>
      <c r="AEN617" s="559"/>
      <c r="AEO617" s="559"/>
      <c r="AEP617" s="559"/>
      <c r="AEQ617" s="559"/>
      <c r="AER617" s="559"/>
      <c r="AES617" s="559"/>
      <c r="AET617" s="559"/>
      <c r="AEU617" s="559"/>
      <c r="AEV617" s="559"/>
      <c r="AEW617" s="559"/>
      <c r="AEX617" s="559"/>
      <c r="AEY617" s="559"/>
      <c r="AEZ617" s="559"/>
      <c r="AFA617" s="559"/>
      <c r="AFB617" s="559"/>
      <c r="AFC617" s="559"/>
      <c r="AFD617" s="559"/>
      <c r="AFE617" s="559"/>
      <c r="AFF617" s="559"/>
      <c r="AFG617" s="559"/>
      <c r="AFH617" s="559"/>
      <c r="AFI617" s="559"/>
      <c r="AFJ617" s="559"/>
      <c r="AFK617" s="559"/>
      <c r="AFL617" s="559"/>
      <c r="AFM617" s="559"/>
      <c r="AFN617" s="559"/>
      <c r="AFO617" s="559"/>
      <c r="AFP617" s="559"/>
      <c r="AFQ617" s="559"/>
      <c r="AFR617" s="559"/>
      <c r="AFS617" s="559"/>
      <c r="AFT617" s="559"/>
      <c r="AFU617" s="559"/>
      <c r="AFV617" s="559"/>
      <c r="AFW617" s="559"/>
      <c r="AFX617" s="559"/>
      <c r="AFY617" s="559"/>
      <c r="AFZ617" s="559"/>
      <c r="AGA617" s="559"/>
      <c r="AGB617" s="559"/>
      <c r="AGC617" s="559"/>
      <c r="AGD617" s="559"/>
      <c r="AGE617" s="559"/>
      <c r="AGF617" s="559"/>
      <c r="AGG617" s="559"/>
      <c r="AGH617" s="559"/>
      <c r="AGI617" s="559"/>
      <c r="AGJ617" s="559"/>
      <c r="AGK617" s="559"/>
      <c r="AGL617" s="559"/>
      <c r="AGM617" s="559"/>
      <c r="AGN617" s="559"/>
      <c r="AGO617" s="559"/>
      <c r="AGP617" s="559"/>
      <c r="AGQ617" s="559"/>
      <c r="AGR617" s="559"/>
      <c r="AGS617" s="559"/>
      <c r="AGT617" s="559"/>
      <c r="AGU617" s="559"/>
      <c r="AGV617" s="559"/>
      <c r="AGW617" s="559"/>
      <c r="AGX617" s="559"/>
      <c r="AGY617" s="559"/>
      <c r="AGZ617" s="559"/>
      <c r="AHA617" s="559"/>
      <c r="AHB617" s="559"/>
      <c r="AHC617" s="559"/>
      <c r="AHD617" s="559"/>
      <c r="AHE617" s="559"/>
      <c r="AHF617" s="559"/>
      <c r="AHG617" s="559"/>
      <c r="AHH617" s="559"/>
      <c r="AHI617" s="559"/>
      <c r="AHJ617" s="559"/>
      <c r="AHK617" s="559"/>
      <c r="AHL617" s="559"/>
      <c r="AHM617" s="559"/>
      <c r="AHN617" s="559"/>
      <c r="AHO617" s="559"/>
      <c r="AHP617" s="559"/>
      <c r="AHQ617" s="559"/>
      <c r="AHR617" s="559"/>
      <c r="AHS617" s="559"/>
      <c r="AHT617" s="559"/>
      <c r="AHU617" s="559"/>
      <c r="AHV617" s="559"/>
      <c r="AHW617" s="559"/>
      <c r="AHX617" s="559"/>
      <c r="AHY617" s="559"/>
      <c r="AHZ617" s="559"/>
      <c r="AIA617" s="559"/>
      <c r="AIB617" s="559"/>
      <c r="AIC617" s="559"/>
      <c r="AID617" s="559"/>
      <c r="AIE617" s="559"/>
      <c r="AIF617" s="559"/>
      <c r="AIG617" s="559"/>
      <c r="AIH617" s="559"/>
      <c r="AII617" s="559"/>
      <c r="AIJ617" s="559"/>
      <c r="AIK617" s="559"/>
      <c r="AIL617" s="559"/>
      <c r="AIM617" s="559"/>
      <c r="AIN617" s="559"/>
      <c r="AIO617" s="559"/>
      <c r="AIP617" s="559"/>
      <c r="AIQ617" s="559"/>
      <c r="AIR617" s="559"/>
      <c r="AIS617" s="559"/>
      <c r="AIT617" s="559"/>
      <c r="AIU617" s="559"/>
      <c r="AIV617" s="559"/>
      <c r="AIW617" s="559"/>
      <c r="AIX617" s="559"/>
      <c r="AIY617" s="559"/>
      <c r="AIZ617" s="559"/>
      <c r="AJA617" s="559"/>
      <c r="AJB617" s="559"/>
      <c r="AJC617" s="559"/>
      <c r="AJD617" s="559"/>
      <c r="AJE617" s="559"/>
      <c r="AJF617" s="559"/>
      <c r="AJG617" s="559"/>
      <c r="AJH617" s="559"/>
      <c r="AJI617" s="559"/>
      <c r="AJJ617" s="559"/>
      <c r="AJK617" s="559"/>
      <c r="AJL617" s="559"/>
      <c r="AJM617" s="559"/>
      <c r="AJN617" s="559"/>
      <c r="AJO617" s="559"/>
      <c r="AJP617" s="559"/>
      <c r="AJQ617" s="559"/>
      <c r="AJR617" s="559"/>
      <c r="AJS617" s="559"/>
      <c r="AJT617" s="559"/>
      <c r="AJU617" s="559"/>
      <c r="AJV617" s="559"/>
      <c r="AJW617" s="559"/>
      <c r="AJX617" s="559"/>
      <c r="AJY617" s="559"/>
      <c r="AJZ617" s="559"/>
      <c r="AKA617" s="559"/>
      <c r="AKB617" s="559"/>
      <c r="AKC617" s="559"/>
      <c r="AKD617" s="559"/>
      <c r="AKE617" s="559"/>
      <c r="AKF617" s="559"/>
      <c r="AKG617" s="559"/>
      <c r="AKH617" s="559"/>
      <c r="AKI617" s="559"/>
      <c r="AKJ617" s="559"/>
      <c r="AKK617" s="559"/>
      <c r="AKL617" s="559"/>
      <c r="AKM617" s="559"/>
      <c r="AKN617" s="559"/>
      <c r="AKO617" s="559"/>
      <c r="AKP617" s="559"/>
      <c r="AKQ617" s="559"/>
      <c r="AKR617" s="559"/>
      <c r="AKS617" s="559"/>
      <c r="AKT617" s="559"/>
      <c r="AKU617" s="559"/>
      <c r="AKV617" s="559"/>
      <c r="AKW617" s="559"/>
      <c r="AKX617" s="559"/>
      <c r="AKY617" s="559"/>
      <c r="AKZ617" s="559"/>
      <c r="ALA617" s="559"/>
      <c r="ALB617" s="559"/>
      <c r="ALC617" s="559"/>
      <c r="ALD617" s="559"/>
      <c r="ALE617" s="559"/>
      <c r="ALF617" s="559"/>
      <c r="ALG617" s="559"/>
      <c r="ALH617" s="559"/>
      <c r="ALI617" s="559"/>
      <c r="ALJ617" s="559"/>
      <c r="ALK617" s="559"/>
      <c r="ALL617" s="559"/>
      <c r="ALM617" s="559"/>
      <c r="ALN617" s="559"/>
      <c r="ALO617" s="559"/>
      <c r="ALP617" s="559"/>
      <c r="ALQ617" s="559"/>
      <c r="ALR617" s="559"/>
      <c r="ALS617" s="559"/>
      <c r="ALT617" s="559"/>
      <c r="ALU617" s="559"/>
      <c r="ALV617" s="559"/>
      <c r="ALW617" s="559"/>
      <c r="ALX617" s="559"/>
      <c r="ALY617" s="559"/>
      <c r="ALZ617" s="559"/>
      <c r="AMA617" s="559"/>
      <c r="AMB617" s="559"/>
      <c r="AMC617" s="559"/>
      <c r="AMD617" s="559"/>
      <c r="AME617" s="559"/>
      <c r="AMF617" s="559"/>
      <c r="AMG617" s="559"/>
      <c r="AMH617" s="559"/>
      <c r="AMI617" s="559"/>
      <c r="AMJ617" s="559"/>
      <c r="AMK617" s="559"/>
      <c r="AML617" s="559"/>
      <c r="AMM617" s="559"/>
      <c r="AMN617" s="559"/>
      <c r="AMO617" s="559"/>
      <c r="AMP617" s="559"/>
      <c r="AMQ617" s="559"/>
      <c r="AMR617" s="559"/>
      <c r="AMS617" s="559"/>
      <c r="AMT617" s="559"/>
      <c r="AMU617" s="559"/>
      <c r="AMV617" s="559"/>
      <c r="AMW617" s="559"/>
      <c r="AMX617" s="559"/>
      <c r="AMY617" s="559"/>
      <c r="AMZ617" s="559"/>
      <c r="ANA617" s="559"/>
      <c r="ANB617" s="559"/>
      <c r="ANC617" s="559"/>
      <c r="AND617" s="559"/>
      <c r="ANE617" s="559"/>
      <c r="ANF617" s="559"/>
      <c r="ANG617" s="559"/>
      <c r="ANH617" s="559"/>
      <c r="ANI617" s="559"/>
      <c r="ANJ617" s="559"/>
      <c r="ANK617" s="559"/>
      <c r="ANL617" s="559"/>
      <c r="ANM617" s="559"/>
      <c r="ANN617" s="559"/>
      <c r="ANO617" s="559"/>
      <c r="ANP617" s="559"/>
      <c r="ANQ617" s="559"/>
      <c r="ANR617" s="559"/>
      <c r="ANS617" s="559"/>
      <c r="ANT617" s="559"/>
      <c r="ANU617" s="559"/>
      <c r="ANV617" s="559"/>
      <c r="ANW617" s="559"/>
      <c r="ANX617" s="559"/>
      <c r="ANY617" s="559"/>
      <c r="ANZ617" s="559"/>
      <c r="AOA617" s="559"/>
      <c r="AOB617" s="559"/>
      <c r="AOC617" s="559"/>
      <c r="AOD617" s="559"/>
      <c r="AOE617" s="559"/>
      <c r="AOF617" s="559"/>
      <c r="AOG617" s="559"/>
      <c r="AOH617" s="559"/>
      <c r="AOI617" s="559"/>
      <c r="AOJ617" s="559"/>
      <c r="AOK617" s="559"/>
      <c r="AOL617" s="559"/>
      <c r="AOM617" s="559"/>
      <c r="AON617" s="559"/>
      <c r="AOO617" s="559"/>
      <c r="AOP617" s="559"/>
      <c r="AOQ617" s="559"/>
      <c r="AOR617" s="559"/>
      <c r="AOS617" s="559"/>
      <c r="AOT617" s="559"/>
      <c r="AOU617" s="559"/>
      <c r="AOV617" s="559"/>
      <c r="AOW617" s="559"/>
      <c r="AOX617" s="559"/>
      <c r="AOY617" s="559"/>
      <c r="AOZ617" s="559"/>
      <c r="APA617" s="559"/>
      <c r="APB617" s="559"/>
      <c r="APC617" s="559"/>
      <c r="APD617" s="559"/>
      <c r="APE617" s="559"/>
      <c r="APF617" s="559"/>
      <c r="APG617" s="559"/>
      <c r="APH617" s="559"/>
      <c r="API617" s="559"/>
      <c r="APJ617" s="559"/>
      <c r="APK617" s="559"/>
      <c r="APL617" s="559"/>
      <c r="APM617" s="559"/>
      <c r="APN617" s="559"/>
      <c r="APO617" s="559"/>
      <c r="APP617" s="559"/>
      <c r="APQ617" s="559"/>
      <c r="APR617" s="559"/>
      <c r="APS617" s="559"/>
      <c r="APT617" s="559"/>
      <c r="APU617" s="559"/>
      <c r="APV617" s="559"/>
      <c r="APW617" s="559"/>
      <c r="APX617" s="559"/>
      <c r="APY617" s="559"/>
      <c r="APZ617" s="559"/>
      <c r="AQA617" s="559"/>
      <c r="AQB617" s="559"/>
      <c r="AQC617" s="559"/>
      <c r="AQD617" s="559"/>
      <c r="AQE617" s="559"/>
      <c r="AQF617" s="559"/>
      <c r="AQG617" s="559"/>
      <c r="AQH617" s="559"/>
      <c r="AQI617" s="559"/>
      <c r="AQJ617" s="559"/>
      <c r="AQK617" s="559"/>
      <c r="AQL617" s="559"/>
      <c r="AQM617" s="559"/>
      <c r="AQN617" s="559"/>
      <c r="AQO617" s="559"/>
      <c r="AQP617" s="559"/>
      <c r="AQQ617" s="559"/>
      <c r="AQR617" s="559"/>
      <c r="AQS617" s="559"/>
      <c r="AQT617" s="559"/>
      <c r="AQU617" s="559"/>
      <c r="AQV617" s="559"/>
      <c r="AQW617" s="559"/>
      <c r="AQX617" s="559"/>
      <c r="AQY617" s="559"/>
      <c r="AQZ617" s="559"/>
      <c r="ARA617" s="559"/>
      <c r="ARB617" s="559"/>
      <c r="ARC617" s="559"/>
      <c r="ARD617" s="559"/>
      <c r="ARE617" s="559"/>
      <c r="ARF617" s="559"/>
      <c r="ARG617" s="559"/>
      <c r="ARH617" s="559"/>
      <c r="ARI617" s="559"/>
      <c r="ARJ617" s="559"/>
      <c r="ARK617" s="559"/>
      <c r="ARL617" s="559"/>
      <c r="ARM617" s="559"/>
      <c r="ARN617" s="559"/>
      <c r="ARO617" s="559"/>
      <c r="ARP617" s="559"/>
      <c r="ARQ617" s="559"/>
      <c r="ARR617" s="559"/>
      <c r="ARS617" s="559"/>
      <c r="ART617" s="559"/>
      <c r="ARU617" s="559"/>
      <c r="ARV617" s="559"/>
      <c r="ARW617" s="559"/>
      <c r="ARX617" s="559"/>
      <c r="ARY617" s="559"/>
      <c r="ARZ617" s="559"/>
      <c r="ASA617" s="559"/>
      <c r="ASB617" s="559"/>
      <c r="ASC617" s="559"/>
      <c r="ASD617" s="559"/>
      <c r="ASE617" s="559"/>
      <c r="ASF617" s="559"/>
      <c r="ASG617" s="559"/>
      <c r="ASH617" s="559"/>
      <c r="ASI617" s="559"/>
      <c r="ASJ617" s="559"/>
      <c r="ASK617" s="559"/>
      <c r="ASL617" s="559"/>
      <c r="ASM617" s="559"/>
      <c r="ASN617" s="559"/>
      <c r="ASO617" s="559"/>
      <c r="ASP617" s="559"/>
      <c r="ASQ617" s="559"/>
      <c r="ASR617" s="559"/>
      <c r="ASS617" s="559"/>
      <c r="AST617" s="559"/>
      <c r="ASU617" s="559"/>
      <c r="ASV617" s="559"/>
      <c r="ASW617" s="559"/>
      <c r="ASX617" s="559"/>
      <c r="ASY617" s="559"/>
      <c r="ASZ617" s="559"/>
      <c r="ATA617" s="559"/>
      <c r="ATB617" s="559"/>
      <c r="ATC617" s="559"/>
      <c r="ATD617" s="559"/>
      <c r="ATE617" s="559"/>
      <c r="ATF617" s="559"/>
      <c r="ATG617" s="559"/>
      <c r="ATH617" s="559"/>
      <c r="ATI617" s="559"/>
      <c r="ATJ617" s="559"/>
      <c r="ATK617" s="559"/>
      <c r="ATL617" s="559"/>
      <c r="ATM617" s="559"/>
      <c r="ATN617" s="559"/>
      <c r="ATO617" s="559"/>
      <c r="ATP617" s="559"/>
      <c r="ATQ617" s="559"/>
      <c r="ATR617" s="559"/>
      <c r="ATS617" s="559"/>
      <c r="ATT617" s="559"/>
      <c r="ATU617" s="559"/>
      <c r="ATV617" s="559"/>
      <c r="ATW617" s="559"/>
      <c r="ATX617" s="559"/>
      <c r="ATY617" s="559"/>
      <c r="ATZ617" s="559"/>
      <c r="AUA617" s="559"/>
      <c r="AUB617" s="559"/>
      <c r="AUC617" s="559"/>
      <c r="AUD617" s="559"/>
      <c r="AUE617" s="559"/>
      <c r="AUF617" s="559"/>
      <c r="AUG617" s="559"/>
      <c r="AUH617" s="559"/>
      <c r="AUI617" s="559"/>
      <c r="AUJ617" s="559"/>
      <c r="AUK617" s="559"/>
      <c r="AUL617" s="559"/>
      <c r="AUM617" s="559"/>
      <c r="AUN617" s="559"/>
      <c r="AUO617" s="559"/>
      <c r="AUP617" s="559"/>
      <c r="AUQ617" s="559"/>
      <c r="AUR617" s="559"/>
      <c r="AUS617" s="559"/>
      <c r="AUT617" s="559"/>
      <c r="AUU617" s="559"/>
      <c r="AUV617" s="559"/>
      <c r="AUW617" s="559"/>
      <c r="AUX617" s="559"/>
      <c r="AUY617" s="559"/>
      <c r="AUZ617" s="559"/>
      <c r="AVA617" s="559"/>
      <c r="AVB617" s="559"/>
      <c r="AVC617" s="559"/>
      <c r="AVD617" s="559"/>
      <c r="AVE617" s="559"/>
      <c r="AVF617" s="559"/>
      <c r="AVG617" s="559"/>
      <c r="AVH617" s="559"/>
      <c r="AVI617" s="559"/>
      <c r="AVJ617" s="559"/>
      <c r="AVK617" s="559"/>
      <c r="AVL617" s="559"/>
      <c r="AVM617" s="559"/>
      <c r="AVN617" s="559"/>
      <c r="AVO617" s="559"/>
      <c r="AVP617" s="559"/>
      <c r="AVQ617" s="559"/>
      <c r="AVR617" s="559"/>
      <c r="AVS617" s="559"/>
      <c r="AVT617" s="559"/>
      <c r="AVU617" s="559"/>
      <c r="AVV617" s="559"/>
      <c r="AVW617" s="559"/>
      <c r="AVX617" s="559"/>
      <c r="AVY617" s="559"/>
      <c r="AVZ617" s="559"/>
      <c r="AWA617" s="559"/>
      <c r="AWB617" s="559"/>
      <c r="AWC617" s="559"/>
      <c r="AWD617" s="559"/>
      <c r="AWE617" s="559"/>
      <c r="AWF617" s="559"/>
      <c r="AWG617" s="559"/>
      <c r="AWH617" s="559"/>
      <c r="AWI617" s="559"/>
      <c r="AWJ617" s="559"/>
      <c r="AWK617" s="559"/>
      <c r="AWL617" s="559"/>
      <c r="AWM617" s="559"/>
      <c r="AWN617" s="559"/>
      <c r="AWO617" s="559"/>
      <c r="AWP617" s="559"/>
      <c r="AWQ617" s="559"/>
      <c r="AWR617" s="559"/>
      <c r="AWS617" s="559"/>
      <c r="AWT617" s="559"/>
      <c r="AWU617" s="559"/>
      <c r="AWV617" s="559"/>
      <c r="AWW617" s="559"/>
      <c r="AWX617" s="559"/>
      <c r="AWY617" s="559"/>
      <c r="AWZ617" s="559"/>
      <c r="AXA617" s="559"/>
      <c r="AXB617" s="559"/>
      <c r="AXC617" s="559"/>
      <c r="AXD617" s="559"/>
      <c r="AXE617" s="559"/>
      <c r="AXF617" s="559"/>
      <c r="AXG617" s="559"/>
      <c r="AXH617" s="559"/>
      <c r="AXI617" s="559"/>
      <c r="AXJ617" s="559"/>
      <c r="AXK617" s="559"/>
      <c r="AXL617" s="559"/>
      <c r="AXM617" s="559"/>
      <c r="AXN617" s="559"/>
      <c r="AXO617" s="559"/>
      <c r="AXP617" s="559"/>
      <c r="AXQ617" s="559"/>
      <c r="AXR617" s="559"/>
      <c r="AXS617" s="559"/>
      <c r="AXT617" s="559"/>
      <c r="AXU617" s="559"/>
      <c r="AXV617" s="559"/>
      <c r="AXW617" s="559"/>
      <c r="AXX617" s="559"/>
      <c r="AXY617" s="559"/>
      <c r="AXZ617" s="559"/>
      <c r="AYA617" s="559"/>
      <c r="AYB617" s="559"/>
      <c r="AYC617" s="559"/>
      <c r="AYD617" s="559"/>
      <c r="AYE617" s="559"/>
      <c r="AYF617" s="559"/>
      <c r="AYG617" s="559"/>
      <c r="AYH617" s="559"/>
      <c r="AYI617" s="559"/>
      <c r="AYJ617" s="559"/>
      <c r="AYK617" s="559"/>
      <c r="AYL617" s="559"/>
      <c r="AYM617" s="559"/>
      <c r="AYN617" s="559"/>
      <c r="AYO617" s="559"/>
      <c r="AYP617" s="559"/>
      <c r="AYQ617" s="559"/>
      <c r="AYR617" s="559"/>
      <c r="AYS617" s="559"/>
      <c r="AYT617" s="559"/>
      <c r="AYU617" s="559"/>
      <c r="AYV617" s="559"/>
      <c r="AYW617" s="559"/>
      <c r="AYX617" s="559"/>
      <c r="AYY617" s="559"/>
      <c r="AYZ617" s="559"/>
      <c r="AZA617" s="559"/>
      <c r="AZB617" s="559"/>
      <c r="AZC617" s="559"/>
      <c r="AZD617" s="559"/>
      <c r="AZE617" s="559"/>
      <c r="AZF617" s="559"/>
      <c r="AZG617" s="559"/>
      <c r="AZH617" s="559"/>
      <c r="AZI617" s="559"/>
      <c r="AZJ617" s="559"/>
      <c r="AZK617" s="559"/>
      <c r="AZL617" s="559"/>
      <c r="AZM617" s="559"/>
      <c r="AZN617" s="559"/>
      <c r="AZO617" s="559"/>
      <c r="AZP617" s="559"/>
      <c r="AZQ617" s="559"/>
      <c r="AZR617" s="559"/>
      <c r="AZS617" s="559"/>
      <c r="AZT617" s="559"/>
      <c r="AZU617" s="559"/>
      <c r="AZV617" s="559"/>
      <c r="AZW617" s="559"/>
      <c r="AZX617" s="559"/>
      <c r="AZY617" s="559"/>
      <c r="AZZ617" s="559"/>
      <c r="BAA617" s="559"/>
      <c r="BAB617" s="559"/>
      <c r="BAC617" s="559"/>
      <c r="BAD617" s="559"/>
      <c r="BAE617" s="559"/>
      <c r="BAF617" s="559"/>
      <c r="BAG617" s="559"/>
      <c r="BAH617" s="559"/>
      <c r="BAI617" s="559"/>
      <c r="BAJ617" s="559"/>
      <c r="BAK617" s="559"/>
      <c r="BAL617" s="559"/>
      <c r="BAM617" s="559"/>
      <c r="BAN617" s="559"/>
      <c r="BAO617" s="559"/>
      <c r="BAP617" s="559"/>
      <c r="BAQ617" s="559"/>
      <c r="BAR617" s="559"/>
      <c r="BAS617" s="559"/>
      <c r="BAT617" s="559"/>
      <c r="BAU617" s="559"/>
      <c r="BAV617" s="559"/>
      <c r="BAW617" s="559"/>
      <c r="BAX617" s="559"/>
      <c r="BAY617" s="559"/>
      <c r="BAZ617" s="559"/>
      <c r="BBA617" s="559"/>
      <c r="BBB617" s="559"/>
      <c r="BBC617" s="559"/>
      <c r="BBD617" s="559"/>
      <c r="BBE617" s="559"/>
      <c r="BBF617" s="559"/>
      <c r="BBG617" s="559"/>
      <c r="BBH617" s="559"/>
      <c r="BBI617" s="559"/>
      <c r="BBJ617" s="559"/>
      <c r="BBK617" s="559"/>
      <c r="BBL617" s="559"/>
      <c r="BBM617" s="559"/>
      <c r="BBN617" s="559"/>
      <c r="BBO617" s="559"/>
      <c r="BBP617" s="559"/>
      <c r="BBQ617" s="559"/>
      <c r="BBR617" s="559"/>
      <c r="BBS617" s="559"/>
      <c r="BBT617" s="559"/>
      <c r="BBU617" s="559"/>
      <c r="BBV617" s="559"/>
      <c r="BBW617" s="559"/>
      <c r="BBX617" s="559"/>
      <c r="BBY617" s="559"/>
      <c r="BBZ617" s="559"/>
      <c r="BCA617" s="559"/>
      <c r="BCB617" s="559"/>
      <c r="BCC617" s="559"/>
      <c r="BCD617" s="559"/>
      <c r="BCE617" s="559"/>
      <c r="BCF617" s="559"/>
      <c r="BCG617" s="559"/>
      <c r="BCH617" s="559"/>
      <c r="BCI617" s="559"/>
      <c r="BCJ617" s="559"/>
      <c r="BCK617" s="559"/>
      <c r="BCL617" s="559"/>
      <c r="BCM617" s="559"/>
      <c r="BCN617" s="559"/>
      <c r="BCO617" s="559"/>
      <c r="BCP617" s="559"/>
      <c r="BCQ617" s="559"/>
      <c r="BCR617" s="559"/>
      <c r="BCS617" s="559"/>
      <c r="BCT617" s="559"/>
      <c r="BCU617" s="559"/>
      <c r="BCV617" s="559"/>
      <c r="BCW617" s="559"/>
      <c r="BCX617" s="559"/>
      <c r="BCY617" s="559"/>
      <c r="BCZ617" s="559"/>
      <c r="BDA617" s="559"/>
      <c r="BDB617" s="559"/>
      <c r="BDC617" s="559"/>
      <c r="BDD617" s="559"/>
      <c r="BDE617" s="559"/>
      <c r="BDF617" s="559"/>
      <c r="BDG617" s="559"/>
      <c r="BDH617" s="559"/>
      <c r="BDI617" s="559"/>
      <c r="BDJ617" s="559"/>
      <c r="BDK617" s="559"/>
      <c r="BDL617" s="559"/>
      <c r="BDM617" s="559"/>
      <c r="BDN617" s="559"/>
      <c r="BDO617" s="559"/>
      <c r="BDP617" s="559"/>
      <c r="BDQ617" s="559"/>
      <c r="BDR617" s="559"/>
      <c r="BDS617" s="559"/>
      <c r="BDT617" s="559"/>
      <c r="BDU617" s="559"/>
      <c r="BDV617" s="559"/>
      <c r="BDW617" s="559"/>
      <c r="BDX617" s="559"/>
      <c r="BDY617" s="559"/>
      <c r="BDZ617" s="559"/>
      <c r="BEA617" s="559"/>
      <c r="BEB617" s="559"/>
      <c r="BEC617" s="559"/>
      <c r="BED617" s="559"/>
      <c r="BEE617" s="559"/>
      <c r="BEF617" s="559"/>
      <c r="BEG617" s="559"/>
      <c r="BEH617" s="559"/>
      <c r="BEI617" s="559"/>
      <c r="BEJ617" s="559"/>
      <c r="BEK617" s="559"/>
      <c r="BEL617" s="559"/>
      <c r="BEM617" s="559"/>
      <c r="BEN617" s="559"/>
      <c r="BEO617" s="559"/>
      <c r="BEP617" s="559"/>
      <c r="BEQ617" s="559"/>
      <c r="BER617" s="559"/>
      <c r="BES617" s="559"/>
      <c r="BET617" s="559"/>
      <c r="BEU617" s="559"/>
      <c r="BEV617" s="559"/>
      <c r="BEW617" s="559"/>
      <c r="BEX617" s="559"/>
      <c r="BEY617" s="559"/>
      <c r="BEZ617" s="559"/>
      <c r="BFA617" s="559"/>
      <c r="BFB617" s="559"/>
      <c r="BFC617" s="559"/>
      <c r="BFD617" s="559"/>
      <c r="BFE617" s="559"/>
      <c r="BFF617" s="559"/>
      <c r="BFG617" s="559"/>
      <c r="BFH617" s="559"/>
      <c r="BFI617" s="559"/>
      <c r="BFJ617" s="559"/>
      <c r="BFK617" s="559"/>
      <c r="BFL617" s="559"/>
      <c r="BFM617" s="559"/>
      <c r="BFN617" s="559"/>
      <c r="BFO617" s="559"/>
      <c r="BFP617" s="559"/>
      <c r="BFQ617" s="559"/>
      <c r="BFR617" s="559"/>
      <c r="BFS617" s="559"/>
      <c r="BFT617" s="559"/>
      <c r="BFU617" s="559"/>
      <c r="BFV617" s="559"/>
      <c r="BFW617" s="559"/>
      <c r="BFX617" s="559"/>
      <c r="BFY617" s="559"/>
      <c r="BFZ617" s="559"/>
      <c r="BGA617" s="559"/>
      <c r="BGB617" s="559"/>
      <c r="BGC617" s="559"/>
      <c r="BGD617" s="559"/>
      <c r="BGE617" s="559"/>
      <c r="BGF617" s="559"/>
      <c r="BGG617" s="559"/>
      <c r="BGH617" s="559"/>
      <c r="BGI617" s="559"/>
      <c r="BGJ617" s="559"/>
      <c r="BGK617" s="559"/>
      <c r="BGL617" s="559"/>
      <c r="BGM617" s="559"/>
      <c r="BGN617" s="559"/>
      <c r="BGO617" s="559"/>
      <c r="BGP617" s="559"/>
      <c r="BGQ617" s="559"/>
      <c r="BGR617" s="559"/>
      <c r="BGS617" s="559"/>
      <c r="BGT617" s="559"/>
      <c r="BGU617" s="559"/>
      <c r="BGV617" s="559"/>
      <c r="BGW617" s="559"/>
      <c r="BGX617" s="559"/>
      <c r="BGY617" s="559"/>
      <c r="BGZ617" s="559"/>
      <c r="BHA617" s="559"/>
      <c r="BHB617" s="559"/>
      <c r="BHC617" s="559"/>
      <c r="BHD617" s="559"/>
      <c r="BHE617" s="559"/>
      <c r="BHF617" s="559"/>
      <c r="BHG617" s="559"/>
      <c r="BHH617" s="559"/>
      <c r="BHI617" s="559"/>
      <c r="BHJ617" s="559"/>
      <c r="BHK617" s="559"/>
      <c r="BHL617" s="559"/>
      <c r="BHM617" s="559"/>
      <c r="BHN617" s="559"/>
      <c r="BHO617" s="559"/>
      <c r="BHP617" s="559"/>
      <c r="BHQ617" s="559"/>
      <c r="BHR617" s="559"/>
      <c r="BHS617" s="559"/>
      <c r="BHT617" s="559"/>
      <c r="BHU617" s="559"/>
      <c r="BHV617" s="559"/>
      <c r="BHW617" s="559"/>
      <c r="BHX617" s="559"/>
      <c r="BHY617" s="559"/>
      <c r="BHZ617" s="559"/>
      <c r="BIA617" s="559"/>
      <c r="BIB617" s="559"/>
      <c r="BIC617" s="559"/>
      <c r="BID617" s="559"/>
      <c r="BIE617" s="559"/>
      <c r="BIF617" s="559"/>
      <c r="BIG617" s="559"/>
      <c r="BIH617" s="559"/>
      <c r="BII617" s="559"/>
      <c r="BIJ617" s="559"/>
      <c r="BIK617" s="559"/>
      <c r="BIL617" s="559"/>
      <c r="BIM617" s="559"/>
      <c r="BIN617" s="559"/>
      <c r="BIO617" s="559"/>
      <c r="BIP617" s="559"/>
      <c r="BIQ617" s="559"/>
      <c r="BIR617" s="559"/>
      <c r="BIS617" s="559"/>
      <c r="BIT617" s="559"/>
      <c r="BIU617" s="559"/>
      <c r="BIV617" s="559"/>
      <c r="BIW617" s="559"/>
      <c r="BIX617" s="559"/>
      <c r="BIY617" s="559"/>
      <c r="BIZ617" s="559"/>
      <c r="BJA617" s="559"/>
      <c r="BJB617" s="559"/>
      <c r="BJC617" s="559"/>
      <c r="BJD617" s="559"/>
      <c r="BJE617" s="559"/>
      <c r="BJF617" s="559"/>
      <c r="BJG617" s="559"/>
      <c r="BJH617" s="559"/>
      <c r="BJI617" s="559"/>
      <c r="BJJ617" s="559"/>
      <c r="BJK617" s="559"/>
      <c r="BJL617" s="559"/>
      <c r="BJM617" s="559"/>
      <c r="BJN617" s="559"/>
      <c r="BJO617" s="559"/>
      <c r="BJP617" s="559"/>
      <c r="BJQ617" s="559"/>
      <c r="BJR617" s="559"/>
      <c r="BJS617" s="559"/>
      <c r="BJT617" s="559"/>
      <c r="BJU617" s="559"/>
      <c r="BJV617" s="559"/>
      <c r="BJW617" s="559"/>
      <c r="BJX617" s="559"/>
      <c r="BJY617" s="559"/>
      <c r="BJZ617" s="559"/>
      <c r="BKA617" s="559"/>
      <c r="BKB617" s="559"/>
      <c r="BKC617" s="559"/>
      <c r="BKD617" s="559"/>
      <c r="BKE617" s="559"/>
      <c r="BKF617" s="559"/>
      <c r="BKG617" s="559"/>
      <c r="BKH617" s="559"/>
      <c r="BKI617" s="559"/>
      <c r="BKJ617" s="559"/>
      <c r="BKK617" s="559"/>
      <c r="BKL617" s="559"/>
      <c r="BKM617" s="559"/>
      <c r="BKN617" s="559"/>
      <c r="BKO617" s="559"/>
      <c r="BKP617" s="559"/>
      <c r="BKQ617" s="559"/>
      <c r="BKR617" s="559"/>
      <c r="BKS617" s="559"/>
      <c r="BKT617" s="559"/>
      <c r="BKU617" s="559"/>
      <c r="BKV617" s="559"/>
      <c r="BKW617" s="559"/>
      <c r="BKX617" s="559"/>
      <c r="BKY617" s="559"/>
      <c r="BKZ617" s="559"/>
      <c r="BLA617" s="559"/>
      <c r="BLB617" s="559"/>
      <c r="BLC617" s="559"/>
      <c r="BLD617" s="559"/>
      <c r="BLE617" s="559"/>
      <c r="BLF617" s="559"/>
      <c r="BLG617" s="559"/>
      <c r="BLH617" s="559"/>
      <c r="BLI617" s="559"/>
      <c r="BLJ617" s="559"/>
      <c r="BLK617" s="559"/>
      <c r="BLL617" s="559"/>
      <c r="BLM617" s="559"/>
      <c r="BLN617" s="559"/>
      <c r="BLO617" s="559"/>
      <c r="BLP617" s="559"/>
      <c r="BLQ617" s="559"/>
      <c r="BLR617" s="559"/>
      <c r="BLS617" s="559"/>
      <c r="BLT617" s="559"/>
      <c r="BLU617" s="559"/>
      <c r="BLV617" s="559"/>
      <c r="BLW617" s="559"/>
      <c r="BLX617" s="559"/>
      <c r="BLY617" s="559"/>
      <c r="BLZ617" s="559"/>
      <c r="BMA617" s="559"/>
      <c r="BMB617" s="559"/>
      <c r="BMC617" s="559"/>
      <c r="BMD617" s="559"/>
      <c r="BME617" s="559"/>
      <c r="BMF617" s="559"/>
      <c r="BMG617" s="559"/>
      <c r="BMH617" s="559"/>
      <c r="BMI617" s="559"/>
      <c r="BMJ617" s="559"/>
      <c r="BMK617" s="559"/>
      <c r="BML617" s="559"/>
      <c r="BMM617" s="559"/>
      <c r="BMN617" s="559"/>
      <c r="BMO617" s="559"/>
      <c r="BMP617" s="559"/>
      <c r="BMQ617" s="559"/>
      <c r="BMR617" s="559"/>
      <c r="BMS617" s="559"/>
      <c r="BMT617" s="559"/>
      <c r="BMU617" s="559"/>
      <c r="BMV617" s="559"/>
      <c r="BMW617" s="559"/>
      <c r="BMX617" s="559"/>
      <c r="BMY617" s="559"/>
      <c r="BMZ617" s="559"/>
      <c r="BNA617" s="559"/>
      <c r="BNB617" s="559"/>
      <c r="BNC617" s="559"/>
      <c r="BND617" s="559"/>
      <c r="BNE617" s="559"/>
      <c r="BNF617" s="559"/>
      <c r="BNG617" s="559"/>
      <c r="BNH617" s="559"/>
      <c r="BNI617" s="559"/>
      <c r="BNJ617" s="559"/>
      <c r="BNK617" s="559"/>
      <c r="BNL617" s="559"/>
      <c r="BNM617" s="559"/>
      <c r="BNN617" s="559"/>
      <c r="BNO617" s="559"/>
      <c r="BNP617" s="559"/>
      <c r="BNQ617" s="559"/>
      <c r="BNR617" s="559"/>
      <c r="BNS617" s="559"/>
      <c r="BNT617" s="559"/>
      <c r="BNU617" s="559"/>
      <c r="BNV617" s="559"/>
      <c r="BNW617" s="559"/>
      <c r="BNX617" s="559"/>
      <c r="BNY617" s="559"/>
      <c r="BNZ617" s="559"/>
      <c r="BOA617" s="559"/>
      <c r="BOB617" s="559"/>
      <c r="BOC617" s="559"/>
      <c r="BOD617" s="559"/>
      <c r="BOE617" s="559"/>
      <c r="BOF617" s="559"/>
      <c r="BOG617" s="559"/>
      <c r="BOH617" s="559"/>
      <c r="BOI617" s="559"/>
      <c r="BOJ617" s="559"/>
      <c r="BOK617" s="559"/>
      <c r="BOL617" s="559"/>
      <c r="BOM617" s="559"/>
      <c r="BON617" s="559"/>
      <c r="BOO617" s="559"/>
      <c r="BOP617" s="559"/>
      <c r="BOQ617" s="559"/>
      <c r="BOR617" s="559"/>
      <c r="BOS617" s="559"/>
      <c r="BOT617" s="559"/>
      <c r="BOU617" s="559"/>
      <c r="BOV617" s="559"/>
      <c r="BOW617" s="559"/>
      <c r="BOX617" s="559"/>
      <c r="BOY617" s="559"/>
      <c r="BOZ617" s="559"/>
      <c r="BPA617" s="559"/>
      <c r="BPB617" s="559"/>
      <c r="BPC617" s="559"/>
      <c r="BPD617" s="559"/>
      <c r="BPE617" s="559"/>
      <c r="BPF617" s="559"/>
      <c r="BPG617" s="559"/>
      <c r="BPH617" s="559"/>
      <c r="BPI617" s="559"/>
      <c r="BPJ617" s="559"/>
      <c r="BPK617" s="559"/>
      <c r="BPL617" s="559"/>
      <c r="BPM617" s="559"/>
      <c r="BPN617" s="559"/>
      <c r="BPO617" s="559"/>
      <c r="BPP617" s="559"/>
      <c r="BPQ617" s="559"/>
      <c r="BPR617" s="559"/>
      <c r="BPS617" s="559"/>
      <c r="BPT617" s="559"/>
      <c r="BPU617" s="559"/>
      <c r="BPV617" s="559"/>
      <c r="BPW617" s="559"/>
      <c r="BPX617" s="559"/>
      <c r="BPY617" s="559"/>
      <c r="BPZ617" s="559"/>
      <c r="BQA617" s="559"/>
      <c r="BQB617" s="559"/>
      <c r="BQC617" s="559"/>
      <c r="BQD617" s="559"/>
      <c r="BQE617" s="559"/>
      <c r="BQF617" s="559"/>
      <c r="BQG617" s="559"/>
      <c r="BQH617" s="559"/>
      <c r="BQI617" s="559"/>
      <c r="BQJ617" s="559"/>
      <c r="BQK617" s="559"/>
      <c r="BQL617" s="559"/>
      <c r="BQM617" s="559"/>
      <c r="BQN617" s="559"/>
      <c r="BQO617" s="559"/>
      <c r="BQP617" s="559"/>
      <c r="BQQ617" s="559"/>
      <c r="BQR617" s="559"/>
      <c r="BQS617" s="559"/>
      <c r="BQT617" s="559"/>
      <c r="BQU617" s="559"/>
      <c r="BQV617" s="559"/>
      <c r="BQW617" s="559"/>
      <c r="BQX617" s="559"/>
      <c r="BQY617" s="559"/>
      <c r="BQZ617" s="559"/>
      <c r="BRA617" s="559"/>
      <c r="BRB617" s="559"/>
      <c r="BRC617" s="559"/>
      <c r="BRD617" s="559"/>
      <c r="BRE617" s="559"/>
      <c r="BRF617" s="559"/>
      <c r="BRG617" s="559"/>
      <c r="BRH617" s="559"/>
      <c r="BRI617" s="559"/>
      <c r="BRJ617" s="559"/>
      <c r="BRK617" s="559"/>
      <c r="BRL617" s="559"/>
      <c r="BRM617" s="559"/>
      <c r="BRN617" s="559"/>
      <c r="BRO617" s="559"/>
      <c r="BRP617" s="559"/>
      <c r="BRQ617" s="559"/>
      <c r="BRR617" s="559"/>
      <c r="BRS617" s="559"/>
      <c r="BRT617" s="559"/>
      <c r="BRU617" s="559"/>
      <c r="BRV617" s="559"/>
      <c r="BRW617" s="559"/>
      <c r="BRX617" s="559"/>
      <c r="BRY617" s="559"/>
      <c r="BRZ617" s="559"/>
      <c r="BSA617" s="559"/>
      <c r="BSB617" s="559"/>
      <c r="BSC617" s="559"/>
      <c r="BSD617" s="559"/>
      <c r="BSE617" s="559"/>
      <c r="BSF617" s="559"/>
      <c r="BSG617" s="559"/>
      <c r="BSH617" s="559"/>
      <c r="BSI617" s="559"/>
      <c r="BSJ617" s="559"/>
      <c r="BSK617" s="559"/>
      <c r="BSL617" s="559"/>
      <c r="BSM617" s="559"/>
      <c r="BSN617" s="559"/>
      <c r="BSO617" s="559"/>
      <c r="BSP617" s="559"/>
      <c r="BSQ617" s="559"/>
      <c r="BSR617" s="559"/>
      <c r="BSS617" s="559"/>
      <c r="BST617" s="559"/>
      <c r="BSU617" s="559"/>
      <c r="BSV617" s="559"/>
      <c r="BSW617" s="559"/>
      <c r="BSX617" s="559"/>
      <c r="BSY617" s="559"/>
      <c r="BSZ617" s="559"/>
      <c r="BTA617" s="559"/>
      <c r="BTB617" s="559"/>
      <c r="BTC617" s="559"/>
      <c r="BTD617" s="559"/>
      <c r="BTE617" s="559"/>
      <c r="BTF617" s="559"/>
      <c r="BTG617" s="559"/>
      <c r="BTH617" s="559"/>
      <c r="BTI617" s="559"/>
      <c r="BTJ617" s="559"/>
      <c r="BTK617" s="559"/>
      <c r="BTL617" s="559"/>
      <c r="BTM617" s="559"/>
      <c r="BTN617" s="559"/>
      <c r="BTO617" s="559"/>
      <c r="BTP617" s="559"/>
      <c r="BTQ617" s="559"/>
      <c r="BTR617" s="559"/>
      <c r="BTS617" s="559"/>
      <c r="BTT617" s="559"/>
      <c r="BTU617" s="559"/>
      <c r="BTV617" s="559"/>
      <c r="BTW617" s="559"/>
      <c r="BTX617" s="559"/>
      <c r="BTY617" s="559"/>
      <c r="BTZ617" s="559"/>
      <c r="BUA617" s="559"/>
      <c r="BUB617" s="559"/>
      <c r="BUC617" s="559"/>
      <c r="BUD617" s="559"/>
      <c r="BUE617" s="559"/>
      <c r="BUF617" s="559"/>
      <c r="BUG617" s="559"/>
      <c r="BUH617" s="559"/>
      <c r="BUI617" s="559"/>
      <c r="BUJ617" s="559"/>
      <c r="BUK617" s="559"/>
      <c r="BUL617" s="559"/>
      <c r="BUM617" s="559"/>
      <c r="BUN617" s="559"/>
      <c r="BUO617" s="559"/>
      <c r="BUP617" s="559"/>
      <c r="BUQ617" s="559"/>
      <c r="BUR617" s="559"/>
      <c r="BUS617" s="559"/>
      <c r="BUT617" s="559"/>
      <c r="BUU617" s="559"/>
      <c r="BUV617" s="559"/>
      <c r="BUW617" s="559"/>
      <c r="BUX617" s="559"/>
      <c r="BUY617" s="559"/>
      <c r="BUZ617" s="559"/>
      <c r="BVA617" s="559"/>
      <c r="BVB617" s="559"/>
      <c r="BVC617" s="559"/>
      <c r="BVD617" s="559"/>
      <c r="BVE617" s="559"/>
      <c r="BVF617" s="559"/>
      <c r="BVG617" s="559"/>
      <c r="BVH617" s="559"/>
      <c r="BVI617" s="559"/>
      <c r="BVJ617" s="559"/>
      <c r="BVK617" s="559"/>
      <c r="BVL617" s="559"/>
      <c r="BVM617" s="559"/>
      <c r="BVN617" s="559"/>
      <c r="BVO617" s="559"/>
      <c r="BVP617" s="559"/>
      <c r="BVQ617" s="559"/>
      <c r="BVR617" s="559"/>
      <c r="BVS617" s="559"/>
      <c r="BVT617" s="559"/>
      <c r="BVU617" s="559"/>
      <c r="BVV617" s="559"/>
      <c r="BVW617" s="559"/>
      <c r="BVX617" s="559"/>
      <c r="BVY617" s="559"/>
      <c r="BVZ617" s="559"/>
      <c r="BWA617" s="559"/>
      <c r="BWB617" s="559"/>
      <c r="BWC617" s="559"/>
      <c r="BWD617" s="559"/>
      <c r="BWE617" s="559"/>
      <c r="BWF617" s="559"/>
      <c r="BWG617" s="559"/>
      <c r="BWH617" s="559"/>
      <c r="BWI617" s="559"/>
      <c r="BWJ617" s="559"/>
      <c r="BWK617" s="559"/>
      <c r="BWL617" s="559"/>
      <c r="BWM617" s="559"/>
      <c r="BWN617" s="559"/>
      <c r="BWO617" s="559"/>
      <c r="BWP617" s="559"/>
      <c r="BWQ617" s="559"/>
      <c r="BWR617" s="559"/>
      <c r="BWS617" s="559"/>
      <c r="BWT617" s="559"/>
      <c r="BWU617" s="559"/>
      <c r="BWV617" s="559"/>
      <c r="BWW617" s="559"/>
      <c r="BWX617" s="559"/>
      <c r="BWY617" s="559"/>
      <c r="BWZ617" s="559"/>
      <c r="BXA617" s="559"/>
      <c r="BXB617" s="559"/>
      <c r="BXC617" s="559"/>
      <c r="BXD617" s="559"/>
      <c r="BXE617" s="559"/>
      <c r="BXF617" s="559"/>
      <c r="BXG617" s="559"/>
      <c r="BXH617" s="559"/>
      <c r="BXI617" s="559"/>
      <c r="BXJ617" s="559"/>
      <c r="BXK617" s="559"/>
      <c r="BXL617" s="559"/>
      <c r="BXM617" s="559"/>
      <c r="BXN617" s="559"/>
      <c r="BXO617" s="559"/>
      <c r="BXP617" s="559"/>
      <c r="BXQ617" s="559"/>
      <c r="BXR617" s="559"/>
      <c r="BXS617" s="559"/>
      <c r="BXT617" s="559"/>
      <c r="BXU617" s="559"/>
      <c r="BXV617" s="559"/>
      <c r="BXW617" s="559"/>
      <c r="BXX617" s="559"/>
      <c r="BXY617" s="559"/>
      <c r="BXZ617" s="559"/>
      <c r="BYA617" s="559"/>
      <c r="BYB617" s="559"/>
      <c r="BYC617" s="559"/>
      <c r="BYD617" s="559"/>
      <c r="BYE617" s="559"/>
      <c r="BYF617" s="559"/>
      <c r="BYG617" s="559"/>
      <c r="BYH617" s="559"/>
      <c r="BYI617" s="559"/>
      <c r="BYJ617" s="559"/>
      <c r="BYK617" s="559"/>
      <c r="BYL617" s="559"/>
      <c r="BYM617" s="559"/>
      <c r="BYN617" s="559"/>
      <c r="BYO617" s="559"/>
      <c r="BYP617" s="559"/>
      <c r="BYQ617" s="559"/>
      <c r="BYR617" s="559"/>
      <c r="BYS617" s="559"/>
      <c r="BYT617" s="559"/>
      <c r="BYU617" s="559"/>
      <c r="BYV617" s="559"/>
      <c r="BYW617" s="559"/>
      <c r="BYX617" s="559"/>
      <c r="BYY617" s="559"/>
      <c r="BYZ617" s="559"/>
      <c r="BZA617" s="559"/>
      <c r="BZB617" s="559"/>
      <c r="BZC617" s="559"/>
      <c r="BZD617" s="559"/>
      <c r="BZE617" s="559"/>
      <c r="BZF617" s="559"/>
      <c r="BZG617" s="559"/>
      <c r="BZH617" s="559"/>
      <c r="BZI617" s="559"/>
      <c r="BZJ617" s="559"/>
      <c r="BZK617" s="559"/>
      <c r="BZL617" s="559"/>
      <c r="BZM617" s="559"/>
      <c r="BZN617" s="559"/>
      <c r="BZO617" s="559"/>
      <c r="BZP617" s="559"/>
      <c r="BZQ617" s="559"/>
      <c r="BZR617" s="559"/>
      <c r="BZS617" s="559"/>
      <c r="BZT617" s="559"/>
      <c r="BZU617" s="559"/>
      <c r="BZV617" s="559"/>
      <c r="BZW617" s="559"/>
      <c r="BZX617" s="559"/>
      <c r="BZY617" s="559"/>
      <c r="BZZ617" s="559"/>
      <c r="CAA617" s="559"/>
      <c r="CAB617" s="559"/>
      <c r="CAC617" s="559"/>
      <c r="CAD617" s="559"/>
      <c r="CAE617" s="559"/>
      <c r="CAF617" s="559"/>
      <c r="CAG617" s="559"/>
      <c r="CAH617" s="559"/>
      <c r="CAI617" s="559"/>
      <c r="CAJ617" s="559"/>
      <c r="CAK617" s="559"/>
      <c r="CAL617" s="559"/>
      <c r="CAM617" s="559"/>
      <c r="CAN617" s="559"/>
      <c r="CAO617" s="559"/>
      <c r="CAP617" s="559"/>
      <c r="CAQ617" s="559"/>
      <c r="CAR617" s="559"/>
      <c r="CAS617" s="559"/>
      <c r="CAT617" s="559"/>
      <c r="CAU617" s="559"/>
      <c r="CAV617" s="559"/>
      <c r="CAW617" s="559"/>
      <c r="CAX617" s="559"/>
      <c r="CAY617" s="559"/>
      <c r="CAZ617" s="559"/>
      <c r="CBA617" s="559"/>
      <c r="CBB617" s="559"/>
      <c r="CBC617" s="559"/>
      <c r="CBD617" s="559"/>
      <c r="CBE617" s="559"/>
      <c r="CBF617" s="559"/>
      <c r="CBG617" s="559"/>
      <c r="CBH617" s="559"/>
      <c r="CBI617" s="559"/>
      <c r="CBJ617" s="559"/>
      <c r="CBK617" s="559"/>
      <c r="CBL617" s="559"/>
      <c r="CBM617" s="559"/>
      <c r="CBN617" s="559"/>
      <c r="CBO617" s="559"/>
      <c r="CBP617" s="559"/>
      <c r="CBQ617" s="559"/>
      <c r="CBR617" s="559"/>
      <c r="CBS617" s="559"/>
      <c r="CBT617" s="559"/>
      <c r="CBU617" s="559"/>
      <c r="CBV617" s="559"/>
      <c r="CBW617" s="559"/>
      <c r="CBX617" s="559"/>
      <c r="CBY617" s="559"/>
      <c r="CBZ617" s="559"/>
      <c r="CCA617" s="559"/>
      <c r="CCB617" s="559"/>
      <c r="CCC617" s="559"/>
      <c r="CCD617" s="559"/>
      <c r="CCE617" s="559"/>
      <c r="CCF617" s="559"/>
      <c r="CCG617" s="559"/>
      <c r="CCH617" s="559"/>
      <c r="CCI617" s="559"/>
      <c r="CCJ617" s="559"/>
      <c r="CCK617" s="559"/>
      <c r="CCL617" s="559"/>
      <c r="CCM617" s="559"/>
      <c r="CCN617" s="559"/>
      <c r="CCO617" s="559"/>
      <c r="CCP617" s="559"/>
      <c r="CCQ617" s="559"/>
      <c r="CCR617" s="559"/>
      <c r="CCS617" s="559"/>
      <c r="CCT617" s="559"/>
      <c r="CCU617" s="559"/>
      <c r="CCV617" s="559"/>
      <c r="CCW617" s="559"/>
      <c r="CCX617" s="559"/>
      <c r="CCY617" s="559"/>
      <c r="CCZ617" s="559"/>
      <c r="CDA617" s="559"/>
      <c r="CDB617" s="559"/>
      <c r="CDC617" s="559"/>
      <c r="CDD617" s="559"/>
      <c r="CDE617" s="559"/>
      <c r="CDF617" s="559"/>
      <c r="CDG617" s="559"/>
      <c r="CDH617" s="559"/>
      <c r="CDI617" s="559"/>
      <c r="CDJ617" s="559"/>
      <c r="CDK617" s="559"/>
      <c r="CDL617" s="559"/>
      <c r="CDM617" s="559"/>
      <c r="CDN617" s="559"/>
      <c r="CDO617" s="559"/>
      <c r="CDP617" s="559"/>
      <c r="CDQ617" s="559"/>
      <c r="CDR617" s="559"/>
      <c r="CDS617" s="559"/>
      <c r="CDT617" s="559"/>
      <c r="CDU617" s="559"/>
      <c r="CDV617" s="559"/>
      <c r="CDW617" s="559"/>
      <c r="CDX617" s="559"/>
      <c r="CDY617" s="559"/>
      <c r="CDZ617" s="559"/>
      <c r="CEA617" s="559"/>
      <c r="CEB617" s="559"/>
      <c r="CEC617" s="559"/>
      <c r="CED617" s="559"/>
      <c r="CEE617" s="559"/>
      <c r="CEF617" s="559"/>
      <c r="CEG617" s="559"/>
      <c r="CEH617" s="559"/>
      <c r="CEI617" s="559"/>
      <c r="CEJ617" s="559"/>
      <c r="CEK617" s="559"/>
      <c r="CEL617" s="559"/>
      <c r="CEM617" s="559"/>
      <c r="CEN617" s="559"/>
      <c r="CEO617" s="559"/>
      <c r="CEP617" s="559"/>
      <c r="CEQ617" s="559"/>
      <c r="CER617" s="559"/>
      <c r="CES617" s="559"/>
      <c r="CET617" s="559"/>
      <c r="CEU617" s="559"/>
      <c r="CEV617" s="559"/>
      <c r="CEW617" s="559"/>
      <c r="CEX617" s="559"/>
      <c r="CEY617" s="559"/>
      <c r="CEZ617" s="559"/>
      <c r="CFA617" s="559"/>
      <c r="CFB617" s="559"/>
      <c r="CFC617" s="559"/>
      <c r="CFD617" s="559"/>
      <c r="CFE617" s="559"/>
      <c r="CFF617" s="559"/>
      <c r="CFG617" s="559"/>
      <c r="CFH617" s="559"/>
      <c r="CFI617" s="559"/>
      <c r="CFJ617" s="559"/>
      <c r="CFK617" s="559"/>
      <c r="CFL617" s="559"/>
      <c r="CFM617" s="559"/>
      <c r="CFN617" s="559"/>
      <c r="CFO617" s="559"/>
      <c r="CFP617" s="559"/>
      <c r="CFQ617" s="559"/>
      <c r="CFR617" s="559"/>
      <c r="CFS617" s="559"/>
      <c r="CFT617" s="559"/>
      <c r="CFU617" s="559"/>
      <c r="CFV617" s="559"/>
      <c r="CFW617" s="559"/>
      <c r="CFX617" s="559"/>
      <c r="CFY617" s="559"/>
      <c r="CFZ617" s="559"/>
      <c r="CGA617" s="559"/>
      <c r="CGB617" s="559"/>
      <c r="CGC617" s="559"/>
      <c r="CGD617" s="559"/>
      <c r="CGE617" s="559"/>
      <c r="CGF617" s="559"/>
      <c r="CGG617" s="559"/>
      <c r="CGH617" s="559"/>
      <c r="CGI617" s="559"/>
      <c r="CGJ617" s="559"/>
      <c r="CGK617" s="559"/>
      <c r="CGL617" s="559"/>
      <c r="CGM617" s="559"/>
      <c r="CGN617" s="559"/>
      <c r="CGO617" s="559"/>
      <c r="CGP617" s="559"/>
      <c r="CGQ617" s="559"/>
      <c r="CGR617" s="559"/>
      <c r="CGS617" s="559"/>
      <c r="CGT617" s="559"/>
      <c r="CGU617" s="559"/>
      <c r="CGV617" s="559"/>
      <c r="CGW617" s="559"/>
      <c r="CGX617" s="559"/>
      <c r="CGY617" s="559"/>
      <c r="CGZ617" s="559"/>
      <c r="CHA617" s="559"/>
      <c r="CHB617" s="559"/>
      <c r="CHC617" s="559"/>
      <c r="CHD617" s="559"/>
      <c r="CHE617" s="559"/>
      <c r="CHF617" s="559"/>
      <c r="CHG617" s="559"/>
      <c r="CHH617" s="559"/>
      <c r="CHI617" s="559"/>
      <c r="CHJ617" s="559"/>
      <c r="CHK617" s="559"/>
      <c r="CHL617" s="559"/>
      <c r="CHM617" s="559"/>
      <c r="CHN617" s="559"/>
      <c r="CHO617" s="559"/>
      <c r="CHP617" s="559"/>
      <c r="CHQ617" s="559"/>
      <c r="CHR617" s="559"/>
      <c r="CHS617" s="559"/>
      <c r="CHT617" s="559"/>
      <c r="CHU617" s="559"/>
      <c r="CHV617" s="559"/>
      <c r="CHW617" s="559"/>
      <c r="CHX617" s="559"/>
      <c r="CHY617" s="559"/>
      <c r="CHZ617" s="559"/>
      <c r="CIA617" s="559"/>
      <c r="CIB617" s="559"/>
      <c r="CIC617" s="559"/>
      <c r="CID617" s="559"/>
      <c r="CIE617" s="559"/>
      <c r="CIF617" s="559"/>
      <c r="CIG617" s="559"/>
      <c r="CIH617" s="559"/>
      <c r="CII617" s="559"/>
      <c r="CIJ617" s="559"/>
      <c r="CIK617" s="559"/>
      <c r="CIL617" s="559"/>
      <c r="CIM617" s="559"/>
      <c r="CIN617" s="559"/>
      <c r="CIO617" s="559"/>
      <c r="CIP617" s="559"/>
      <c r="CIQ617" s="559"/>
      <c r="CIR617" s="559"/>
      <c r="CIS617" s="559"/>
      <c r="CIT617" s="559"/>
      <c r="CIU617" s="559"/>
      <c r="CIV617" s="559"/>
      <c r="CIW617" s="559"/>
      <c r="CIX617" s="559"/>
      <c r="CIY617" s="559"/>
      <c r="CIZ617" s="559"/>
      <c r="CJA617" s="559"/>
      <c r="CJB617" s="559"/>
      <c r="CJC617" s="559"/>
      <c r="CJD617" s="559"/>
      <c r="CJE617" s="559"/>
      <c r="CJF617" s="559"/>
      <c r="CJG617" s="559"/>
      <c r="CJH617" s="559"/>
      <c r="CJI617" s="559"/>
      <c r="CJJ617" s="559"/>
      <c r="CJK617" s="559"/>
      <c r="CJL617" s="559"/>
      <c r="CJM617" s="559"/>
      <c r="CJN617" s="559"/>
      <c r="CJO617" s="559"/>
      <c r="CJP617" s="559"/>
      <c r="CJQ617" s="559"/>
      <c r="CJR617" s="559"/>
      <c r="CJS617" s="559"/>
      <c r="CJT617" s="559"/>
      <c r="CJU617" s="559"/>
      <c r="CJV617" s="559"/>
      <c r="CJW617" s="559"/>
      <c r="CJX617" s="559"/>
      <c r="CJY617" s="559"/>
      <c r="CJZ617" s="559"/>
      <c r="CKA617" s="559"/>
      <c r="CKB617" s="559"/>
      <c r="CKC617" s="559"/>
      <c r="CKD617" s="559"/>
      <c r="CKE617" s="559"/>
      <c r="CKF617" s="559"/>
      <c r="CKG617" s="559"/>
      <c r="CKH617" s="559"/>
      <c r="CKI617" s="559"/>
      <c r="CKJ617" s="559"/>
      <c r="CKK617" s="559"/>
      <c r="CKL617" s="559"/>
      <c r="CKM617" s="559"/>
      <c r="CKN617" s="559"/>
      <c r="CKO617" s="559"/>
      <c r="CKP617" s="559"/>
      <c r="CKQ617" s="559"/>
      <c r="CKR617" s="559"/>
      <c r="CKS617" s="559"/>
      <c r="CKT617" s="559"/>
      <c r="CKU617" s="559"/>
      <c r="CKV617" s="559"/>
      <c r="CKW617" s="559"/>
      <c r="CKX617" s="559"/>
      <c r="CKY617" s="559"/>
      <c r="CKZ617" s="559"/>
      <c r="CLA617" s="559"/>
      <c r="CLB617" s="559"/>
      <c r="CLC617" s="559"/>
      <c r="CLD617" s="559"/>
      <c r="CLE617" s="559"/>
      <c r="CLF617" s="559"/>
      <c r="CLG617" s="559"/>
      <c r="CLH617" s="559"/>
      <c r="CLI617" s="559"/>
      <c r="CLJ617" s="559"/>
      <c r="CLK617" s="559"/>
      <c r="CLL617" s="559"/>
      <c r="CLM617" s="559"/>
      <c r="CLN617" s="559"/>
      <c r="CLO617" s="559"/>
      <c r="CLP617" s="559"/>
      <c r="CLQ617" s="559"/>
      <c r="CLR617" s="559"/>
      <c r="CLS617" s="559"/>
      <c r="CLT617" s="559"/>
      <c r="CLU617" s="559"/>
      <c r="CLV617" s="559"/>
      <c r="CLW617" s="559"/>
      <c r="CLX617" s="559"/>
      <c r="CLY617" s="559"/>
      <c r="CLZ617" s="559"/>
      <c r="CMA617" s="559"/>
      <c r="CMB617" s="559"/>
      <c r="CMC617" s="559"/>
      <c r="CMD617" s="559"/>
      <c r="CME617" s="559"/>
      <c r="CMF617" s="559"/>
      <c r="CMG617" s="559"/>
      <c r="CMH617" s="559"/>
      <c r="CMI617" s="559"/>
      <c r="CMJ617" s="559"/>
      <c r="CMK617" s="559"/>
      <c r="CML617" s="559"/>
      <c r="CMM617" s="559"/>
      <c r="CMN617" s="559"/>
      <c r="CMO617" s="559"/>
      <c r="CMP617" s="559"/>
      <c r="CMQ617" s="559"/>
      <c r="CMR617" s="559"/>
      <c r="CMS617" s="559"/>
      <c r="CMT617" s="559"/>
      <c r="CMU617" s="559"/>
      <c r="CMV617" s="559"/>
      <c r="CMW617" s="559"/>
      <c r="CMX617" s="559"/>
      <c r="CMY617" s="559"/>
      <c r="CMZ617" s="559"/>
      <c r="CNA617" s="559"/>
      <c r="CNB617" s="559"/>
      <c r="CNC617" s="559"/>
      <c r="CND617" s="559"/>
      <c r="CNE617" s="559"/>
      <c r="CNF617" s="559"/>
      <c r="CNG617" s="559"/>
      <c r="CNH617" s="559"/>
      <c r="CNI617" s="559"/>
      <c r="CNJ617" s="559"/>
      <c r="CNK617" s="559"/>
      <c r="CNL617" s="559"/>
      <c r="CNM617" s="559"/>
      <c r="CNN617" s="559"/>
      <c r="CNO617" s="559"/>
      <c r="CNP617" s="559"/>
      <c r="CNQ617" s="559"/>
      <c r="CNR617" s="559"/>
      <c r="CNS617" s="559"/>
      <c r="CNT617" s="559"/>
      <c r="CNU617" s="559"/>
      <c r="CNV617" s="559"/>
      <c r="CNW617" s="559"/>
      <c r="CNX617" s="559"/>
      <c r="CNY617" s="559"/>
      <c r="CNZ617" s="559"/>
      <c r="COA617" s="559"/>
      <c r="COB617" s="559"/>
      <c r="COC617" s="559"/>
      <c r="COD617" s="559"/>
      <c r="COE617" s="559"/>
      <c r="COF617" s="559"/>
      <c r="COG617" s="559"/>
      <c r="COH617" s="559"/>
      <c r="COI617" s="559"/>
      <c r="COJ617" s="559"/>
      <c r="COK617" s="559"/>
      <c r="COL617" s="559"/>
      <c r="COM617" s="559"/>
      <c r="CON617" s="559"/>
      <c r="COO617" s="559"/>
      <c r="COP617" s="559"/>
      <c r="COQ617" s="559"/>
      <c r="COR617" s="559"/>
      <c r="COS617" s="559"/>
      <c r="COT617" s="559"/>
      <c r="COU617" s="559"/>
      <c r="COV617" s="559"/>
      <c r="COW617" s="559"/>
      <c r="COX617" s="559"/>
      <c r="COY617" s="559"/>
      <c r="COZ617" s="559"/>
      <c r="CPA617" s="559"/>
      <c r="CPB617" s="559"/>
      <c r="CPC617" s="559"/>
      <c r="CPD617" s="559"/>
      <c r="CPE617" s="559"/>
      <c r="CPF617" s="559"/>
      <c r="CPG617" s="559"/>
      <c r="CPH617" s="559"/>
      <c r="CPI617" s="559"/>
      <c r="CPJ617" s="559"/>
      <c r="CPK617" s="559"/>
      <c r="CPL617" s="559"/>
      <c r="CPM617" s="559"/>
      <c r="CPN617" s="559"/>
      <c r="CPO617" s="559"/>
      <c r="CPP617" s="559"/>
      <c r="CPQ617" s="559"/>
      <c r="CPR617" s="559"/>
      <c r="CPS617" s="559"/>
      <c r="CPT617" s="559"/>
      <c r="CPU617" s="559"/>
      <c r="CPV617" s="559"/>
      <c r="CPW617" s="559"/>
      <c r="CPX617" s="559"/>
      <c r="CPY617" s="559"/>
      <c r="CPZ617" s="559"/>
      <c r="CQA617" s="559"/>
      <c r="CQB617" s="559"/>
      <c r="CQC617" s="559"/>
      <c r="CQD617" s="559"/>
      <c r="CQE617" s="559"/>
      <c r="CQF617" s="559"/>
      <c r="CQG617" s="559"/>
      <c r="CQH617" s="559"/>
      <c r="CQI617" s="559"/>
      <c r="CQJ617" s="559"/>
      <c r="CQK617" s="559"/>
      <c r="CQL617" s="559"/>
      <c r="CQM617" s="559"/>
      <c r="CQN617" s="559"/>
      <c r="CQO617" s="559"/>
      <c r="CQP617" s="559"/>
      <c r="CQQ617" s="559"/>
      <c r="CQR617" s="559"/>
      <c r="CQS617" s="559"/>
      <c r="CQT617" s="559"/>
      <c r="CQU617" s="559"/>
      <c r="CQV617" s="559"/>
      <c r="CQW617" s="559"/>
      <c r="CQX617" s="559"/>
      <c r="CQY617" s="559"/>
      <c r="CQZ617" s="559"/>
      <c r="CRA617" s="559"/>
      <c r="CRB617" s="559"/>
      <c r="CRC617" s="559"/>
      <c r="CRD617" s="559"/>
      <c r="CRE617" s="559"/>
      <c r="CRF617" s="559"/>
      <c r="CRG617" s="559"/>
      <c r="CRH617" s="559"/>
      <c r="CRI617" s="559"/>
      <c r="CRJ617" s="559"/>
      <c r="CRK617" s="559"/>
      <c r="CRL617" s="559"/>
      <c r="CRM617" s="559"/>
      <c r="CRN617" s="559"/>
      <c r="CRO617" s="559"/>
      <c r="CRP617" s="559"/>
      <c r="CRQ617" s="559"/>
      <c r="CRR617" s="559"/>
      <c r="CRS617" s="559"/>
      <c r="CRT617" s="559"/>
      <c r="CRU617" s="559"/>
      <c r="CRV617" s="559"/>
      <c r="CRW617" s="559"/>
      <c r="CRX617" s="559"/>
      <c r="CRY617" s="559"/>
      <c r="CRZ617" s="559"/>
      <c r="CSA617" s="559"/>
      <c r="CSB617" s="559"/>
      <c r="CSC617" s="559"/>
      <c r="CSD617" s="559"/>
      <c r="CSE617" s="559"/>
      <c r="CSF617" s="559"/>
      <c r="CSG617" s="559"/>
      <c r="CSH617" s="559"/>
      <c r="CSI617" s="559"/>
      <c r="CSJ617" s="559"/>
      <c r="CSK617" s="559"/>
      <c r="CSL617" s="559"/>
      <c r="CSM617" s="559"/>
      <c r="CSN617" s="559"/>
      <c r="CSO617" s="559"/>
      <c r="CSP617" s="559"/>
      <c r="CSQ617" s="559"/>
      <c r="CSR617" s="559"/>
      <c r="CSS617" s="559"/>
      <c r="CST617" s="559"/>
      <c r="CSU617" s="559"/>
      <c r="CSV617" s="559"/>
      <c r="CSW617" s="559"/>
      <c r="CSX617" s="559"/>
      <c r="CSY617" s="559"/>
      <c r="CSZ617" s="559"/>
      <c r="CTA617" s="559"/>
      <c r="CTB617" s="559"/>
      <c r="CTC617" s="559"/>
      <c r="CTD617" s="559"/>
      <c r="CTE617" s="559"/>
      <c r="CTF617" s="559"/>
      <c r="CTG617" s="559"/>
      <c r="CTH617" s="559"/>
      <c r="CTI617" s="559"/>
      <c r="CTJ617" s="559"/>
      <c r="CTK617" s="559"/>
      <c r="CTL617" s="559"/>
      <c r="CTM617" s="559"/>
      <c r="CTN617" s="559"/>
      <c r="CTO617" s="559"/>
      <c r="CTP617" s="559"/>
      <c r="CTQ617" s="559"/>
      <c r="CTR617" s="559"/>
      <c r="CTS617" s="559"/>
      <c r="CTT617" s="559"/>
      <c r="CTU617" s="559"/>
      <c r="CTV617" s="559"/>
      <c r="CTW617" s="559"/>
      <c r="CTX617" s="559"/>
      <c r="CTY617" s="559"/>
      <c r="CTZ617" s="559"/>
      <c r="CUA617" s="559"/>
      <c r="CUB617" s="559"/>
      <c r="CUC617" s="559"/>
      <c r="CUD617" s="559"/>
      <c r="CUE617" s="559"/>
      <c r="CUF617" s="559"/>
      <c r="CUG617" s="559"/>
      <c r="CUH617" s="559"/>
      <c r="CUI617" s="559"/>
      <c r="CUJ617" s="559"/>
      <c r="CUK617" s="559"/>
      <c r="CUL617" s="559"/>
      <c r="CUM617" s="559"/>
      <c r="CUN617" s="559"/>
      <c r="CUO617" s="559"/>
      <c r="CUP617" s="559"/>
      <c r="CUQ617" s="559"/>
      <c r="CUR617" s="559"/>
      <c r="CUS617" s="559"/>
      <c r="CUT617" s="559"/>
      <c r="CUU617" s="559"/>
      <c r="CUV617" s="559"/>
      <c r="CUW617" s="559"/>
      <c r="CUX617" s="559"/>
      <c r="CUY617" s="559"/>
      <c r="CUZ617" s="559"/>
      <c r="CVA617" s="559"/>
      <c r="CVB617" s="559"/>
      <c r="CVC617" s="559"/>
      <c r="CVD617" s="559"/>
      <c r="CVE617" s="559"/>
      <c r="CVF617" s="559"/>
      <c r="CVG617" s="559"/>
      <c r="CVH617" s="559"/>
      <c r="CVI617" s="559"/>
      <c r="CVJ617" s="559"/>
      <c r="CVK617" s="559"/>
      <c r="CVL617" s="559"/>
      <c r="CVM617" s="559"/>
      <c r="CVN617" s="559"/>
      <c r="CVO617" s="559"/>
      <c r="CVP617" s="559"/>
      <c r="CVQ617" s="559"/>
      <c r="CVR617" s="559"/>
      <c r="CVS617" s="559"/>
      <c r="CVT617" s="559"/>
      <c r="CVU617" s="559"/>
      <c r="CVV617" s="559"/>
      <c r="CVW617" s="559"/>
      <c r="CVX617" s="559"/>
      <c r="CVY617" s="559"/>
      <c r="CVZ617" s="559"/>
      <c r="CWA617" s="559"/>
      <c r="CWB617" s="559"/>
      <c r="CWC617" s="559"/>
      <c r="CWD617" s="559"/>
      <c r="CWE617" s="559"/>
      <c r="CWF617" s="559"/>
      <c r="CWG617" s="559"/>
      <c r="CWH617" s="559"/>
      <c r="CWI617" s="559"/>
      <c r="CWJ617" s="559"/>
      <c r="CWK617" s="559"/>
      <c r="CWL617" s="559"/>
      <c r="CWM617" s="559"/>
      <c r="CWN617" s="559"/>
      <c r="CWO617" s="559"/>
      <c r="CWP617" s="559"/>
      <c r="CWQ617" s="559"/>
      <c r="CWR617" s="559"/>
      <c r="CWS617" s="559"/>
      <c r="CWT617" s="559"/>
      <c r="CWU617" s="559"/>
      <c r="CWV617" s="559"/>
      <c r="CWW617" s="559"/>
      <c r="CWX617" s="559"/>
      <c r="CWY617" s="559"/>
      <c r="CWZ617" s="559"/>
      <c r="CXA617" s="559"/>
      <c r="CXB617" s="559"/>
      <c r="CXC617" s="559"/>
      <c r="CXD617" s="559"/>
      <c r="CXE617" s="559"/>
      <c r="CXF617" s="559"/>
      <c r="CXG617" s="559"/>
      <c r="CXH617" s="559"/>
      <c r="CXI617" s="559"/>
      <c r="CXJ617" s="559"/>
      <c r="CXK617" s="559"/>
      <c r="CXL617" s="559"/>
      <c r="CXM617" s="559"/>
      <c r="CXN617" s="559"/>
      <c r="CXO617" s="559"/>
      <c r="CXP617" s="559"/>
      <c r="CXQ617" s="559"/>
      <c r="CXR617" s="559"/>
      <c r="CXS617" s="559"/>
      <c r="CXT617" s="559"/>
      <c r="CXU617" s="559"/>
      <c r="CXV617" s="559"/>
      <c r="CXW617" s="559"/>
      <c r="CXX617" s="559"/>
      <c r="CXY617" s="559"/>
      <c r="CXZ617" s="559"/>
      <c r="CYA617" s="559"/>
      <c r="CYB617" s="559"/>
      <c r="CYC617" s="559"/>
      <c r="CYD617" s="559"/>
      <c r="CYE617" s="559"/>
      <c r="CYF617" s="559"/>
      <c r="CYG617" s="559"/>
      <c r="CYH617" s="559"/>
      <c r="CYI617" s="559"/>
      <c r="CYJ617" s="559"/>
      <c r="CYK617" s="559"/>
      <c r="CYL617" s="559"/>
      <c r="CYM617" s="559"/>
      <c r="CYN617" s="559"/>
      <c r="CYO617" s="559"/>
      <c r="CYP617" s="559"/>
      <c r="CYQ617" s="559"/>
      <c r="CYR617" s="559"/>
      <c r="CYS617" s="559"/>
      <c r="CYT617" s="559"/>
      <c r="CYU617" s="559"/>
      <c r="CYV617" s="559"/>
      <c r="CYW617" s="559"/>
      <c r="CYX617" s="559"/>
      <c r="CYY617" s="559"/>
      <c r="CYZ617" s="559"/>
      <c r="CZA617" s="559"/>
      <c r="CZB617" s="559"/>
      <c r="CZC617" s="559"/>
      <c r="CZD617" s="559"/>
      <c r="CZE617" s="559"/>
      <c r="CZF617" s="559"/>
      <c r="CZG617" s="559"/>
      <c r="CZH617" s="559"/>
      <c r="CZI617" s="559"/>
      <c r="CZJ617" s="559"/>
      <c r="CZK617" s="559"/>
      <c r="CZL617" s="559"/>
      <c r="CZM617" s="559"/>
      <c r="CZN617" s="559"/>
      <c r="CZO617" s="559"/>
      <c r="CZP617" s="559"/>
      <c r="CZQ617" s="559"/>
      <c r="CZR617" s="559"/>
      <c r="CZS617" s="559"/>
      <c r="CZT617" s="559"/>
      <c r="CZU617" s="559"/>
      <c r="CZV617" s="559"/>
      <c r="CZW617" s="559"/>
      <c r="CZX617" s="559"/>
      <c r="CZY617" s="559"/>
      <c r="CZZ617" s="559"/>
      <c r="DAA617" s="559"/>
      <c r="DAB617" s="559"/>
      <c r="DAC617" s="559"/>
      <c r="DAD617" s="559"/>
      <c r="DAE617" s="559"/>
      <c r="DAF617" s="559"/>
      <c r="DAG617" s="559"/>
      <c r="DAH617" s="559"/>
      <c r="DAI617" s="559"/>
      <c r="DAJ617" s="559"/>
      <c r="DAK617" s="559"/>
      <c r="DAL617" s="559"/>
      <c r="DAM617" s="559"/>
      <c r="DAN617" s="559"/>
      <c r="DAO617" s="559"/>
      <c r="DAP617" s="559"/>
      <c r="DAQ617" s="559"/>
      <c r="DAR617" s="559"/>
      <c r="DAS617" s="559"/>
      <c r="DAT617" s="559"/>
      <c r="DAU617" s="559"/>
      <c r="DAV617" s="559"/>
      <c r="DAW617" s="559"/>
      <c r="DAX617" s="559"/>
      <c r="DAY617" s="559"/>
      <c r="DAZ617" s="559"/>
      <c r="DBA617" s="559"/>
      <c r="DBB617" s="559"/>
      <c r="DBC617" s="559"/>
      <c r="DBD617" s="559"/>
      <c r="DBE617" s="559"/>
      <c r="DBF617" s="559"/>
      <c r="DBG617" s="559"/>
      <c r="DBH617" s="559"/>
      <c r="DBI617" s="559"/>
      <c r="DBJ617" s="559"/>
      <c r="DBK617" s="559"/>
      <c r="DBL617" s="559"/>
      <c r="DBM617" s="559"/>
      <c r="DBN617" s="559"/>
      <c r="DBO617" s="559"/>
      <c r="DBP617" s="559"/>
      <c r="DBQ617" s="559"/>
      <c r="DBR617" s="559"/>
      <c r="DBS617" s="559"/>
      <c r="DBT617" s="559"/>
      <c r="DBU617" s="559"/>
      <c r="DBV617" s="559"/>
      <c r="DBW617" s="559"/>
      <c r="DBX617" s="559"/>
      <c r="DBY617" s="559"/>
      <c r="DBZ617" s="559"/>
      <c r="DCA617" s="559"/>
      <c r="DCB617" s="559"/>
      <c r="DCC617" s="559"/>
      <c r="DCD617" s="559"/>
      <c r="DCE617" s="559"/>
      <c r="DCF617" s="559"/>
      <c r="DCG617" s="559"/>
      <c r="DCH617" s="559"/>
      <c r="DCI617" s="559"/>
      <c r="DCJ617" s="559"/>
      <c r="DCK617" s="559"/>
      <c r="DCL617" s="559"/>
      <c r="DCM617" s="559"/>
      <c r="DCN617" s="559"/>
      <c r="DCO617" s="559"/>
      <c r="DCP617" s="559"/>
      <c r="DCQ617" s="559"/>
      <c r="DCR617" s="559"/>
      <c r="DCS617" s="559"/>
      <c r="DCT617" s="559"/>
      <c r="DCU617" s="559"/>
      <c r="DCV617" s="559"/>
      <c r="DCW617" s="559"/>
      <c r="DCX617" s="559"/>
      <c r="DCY617" s="559"/>
      <c r="DCZ617" s="559"/>
      <c r="DDA617" s="559"/>
      <c r="DDB617" s="559"/>
      <c r="DDC617" s="559"/>
      <c r="DDD617" s="559"/>
      <c r="DDE617" s="559"/>
      <c r="DDF617" s="559"/>
      <c r="DDG617" s="559"/>
      <c r="DDH617" s="559"/>
      <c r="DDI617" s="559"/>
      <c r="DDJ617" s="559"/>
      <c r="DDK617" s="559"/>
      <c r="DDL617" s="559"/>
      <c r="DDM617" s="559"/>
      <c r="DDN617" s="559"/>
      <c r="DDO617" s="559"/>
      <c r="DDP617" s="559"/>
      <c r="DDQ617" s="559"/>
      <c r="DDR617" s="559"/>
      <c r="DDS617" s="559"/>
      <c r="DDT617" s="559"/>
      <c r="DDU617" s="559"/>
      <c r="DDV617" s="559"/>
      <c r="DDW617" s="559"/>
      <c r="DDX617" s="559"/>
      <c r="DDY617" s="559"/>
      <c r="DDZ617" s="559"/>
      <c r="DEA617" s="559"/>
      <c r="DEB617" s="559"/>
      <c r="DEC617" s="559"/>
      <c r="DED617" s="559"/>
      <c r="DEE617" s="559"/>
      <c r="DEF617" s="559"/>
      <c r="DEG617" s="559"/>
      <c r="DEH617" s="559"/>
      <c r="DEI617" s="559"/>
      <c r="DEJ617" s="559"/>
      <c r="DEK617" s="559"/>
      <c r="DEL617" s="559"/>
      <c r="DEM617" s="559"/>
      <c r="DEN617" s="559"/>
      <c r="DEO617" s="559"/>
      <c r="DEP617" s="559"/>
      <c r="DEQ617" s="559"/>
      <c r="DER617" s="559"/>
      <c r="DES617" s="559"/>
      <c r="DET617" s="559"/>
      <c r="DEU617" s="559"/>
      <c r="DEV617" s="559"/>
      <c r="DEW617" s="559"/>
      <c r="DEX617" s="559"/>
      <c r="DEY617" s="559"/>
      <c r="DEZ617" s="559"/>
      <c r="DFA617" s="559"/>
      <c r="DFB617" s="559"/>
      <c r="DFC617" s="559"/>
      <c r="DFD617" s="559"/>
      <c r="DFE617" s="559"/>
      <c r="DFF617" s="559"/>
      <c r="DFG617" s="559"/>
      <c r="DFH617" s="559"/>
      <c r="DFI617" s="559"/>
      <c r="DFJ617" s="559"/>
      <c r="DFK617" s="559"/>
      <c r="DFL617" s="559"/>
      <c r="DFM617" s="559"/>
      <c r="DFN617" s="559"/>
      <c r="DFO617" s="559"/>
      <c r="DFP617" s="559"/>
      <c r="DFQ617" s="559"/>
      <c r="DFR617" s="559"/>
      <c r="DFS617" s="559"/>
      <c r="DFT617" s="559"/>
      <c r="DFU617" s="559"/>
      <c r="DFV617" s="559"/>
      <c r="DFW617" s="559"/>
      <c r="DFX617" s="559"/>
      <c r="DFY617" s="559"/>
      <c r="DFZ617" s="559"/>
      <c r="DGA617" s="559"/>
      <c r="DGB617" s="559"/>
      <c r="DGC617" s="559"/>
      <c r="DGD617" s="559"/>
      <c r="DGE617" s="559"/>
      <c r="DGF617" s="559"/>
      <c r="DGG617" s="559"/>
      <c r="DGH617" s="559"/>
      <c r="DGI617" s="559"/>
      <c r="DGJ617" s="559"/>
      <c r="DGK617" s="559"/>
      <c r="DGL617" s="559"/>
      <c r="DGM617" s="559"/>
      <c r="DGN617" s="559"/>
      <c r="DGO617" s="559"/>
      <c r="DGP617" s="559"/>
      <c r="DGQ617" s="559"/>
      <c r="DGR617" s="559"/>
      <c r="DGS617" s="559"/>
      <c r="DGT617" s="559"/>
      <c r="DGU617" s="559"/>
      <c r="DGV617" s="559"/>
      <c r="DGW617" s="559"/>
      <c r="DGX617" s="559"/>
      <c r="DGY617" s="559"/>
      <c r="DGZ617" s="559"/>
      <c r="DHA617" s="559"/>
      <c r="DHB617" s="559"/>
      <c r="DHC617" s="559"/>
      <c r="DHD617" s="559"/>
      <c r="DHE617" s="559"/>
      <c r="DHF617" s="559"/>
      <c r="DHG617" s="559"/>
      <c r="DHH617" s="559"/>
      <c r="DHI617" s="559"/>
      <c r="DHJ617" s="559"/>
      <c r="DHK617" s="559"/>
      <c r="DHL617" s="559"/>
      <c r="DHM617" s="559"/>
      <c r="DHN617" s="559"/>
      <c r="DHO617" s="559"/>
      <c r="DHP617" s="559"/>
      <c r="DHQ617" s="559"/>
      <c r="DHR617" s="559"/>
      <c r="DHS617" s="559"/>
      <c r="DHT617" s="559"/>
      <c r="DHU617" s="559"/>
      <c r="DHV617" s="559"/>
      <c r="DHW617" s="559"/>
      <c r="DHX617" s="559"/>
      <c r="DHY617" s="559"/>
      <c r="DHZ617" s="559"/>
      <c r="DIA617" s="559"/>
      <c r="DIB617" s="559"/>
      <c r="DIC617" s="559"/>
      <c r="DID617" s="559"/>
      <c r="DIE617" s="559"/>
      <c r="DIF617" s="559"/>
      <c r="DIG617" s="559"/>
      <c r="DIH617" s="559"/>
      <c r="DII617" s="559"/>
      <c r="DIJ617" s="559"/>
      <c r="DIK617" s="559"/>
      <c r="DIL617" s="559"/>
      <c r="DIM617" s="559"/>
      <c r="DIN617" s="559"/>
      <c r="DIO617" s="559"/>
      <c r="DIP617" s="559"/>
      <c r="DIQ617" s="559"/>
      <c r="DIR617" s="559"/>
      <c r="DIS617" s="559"/>
      <c r="DIT617" s="559"/>
      <c r="DIU617" s="559"/>
      <c r="DIV617" s="559"/>
      <c r="DIW617" s="559"/>
      <c r="DIX617" s="559"/>
      <c r="DIY617" s="559"/>
      <c r="DIZ617" s="559"/>
      <c r="DJA617" s="559"/>
      <c r="DJB617" s="559"/>
      <c r="DJC617" s="559"/>
      <c r="DJD617" s="559"/>
      <c r="DJE617" s="559"/>
      <c r="DJF617" s="559"/>
      <c r="DJG617" s="559"/>
      <c r="DJH617" s="559"/>
      <c r="DJI617" s="559"/>
      <c r="DJJ617" s="559"/>
      <c r="DJK617" s="559"/>
      <c r="DJL617" s="559"/>
      <c r="DJM617" s="559"/>
      <c r="DJN617" s="559"/>
      <c r="DJO617" s="559"/>
      <c r="DJP617" s="559"/>
      <c r="DJQ617" s="559"/>
      <c r="DJR617" s="559"/>
      <c r="DJS617" s="559"/>
      <c r="DJT617" s="559"/>
      <c r="DJU617" s="559"/>
      <c r="DJV617" s="559"/>
      <c r="DJW617" s="559"/>
      <c r="DJX617" s="559"/>
      <c r="DJY617" s="559"/>
      <c r="DJZ617" s="559"/>
      <c r="DKA617" s="559"/>
      <c r="DKB617" s="559"/>
      <c r="DKC617" s="559"/>
      <c r="DKD617" s="559"/>
      <c r="DKE617" s="559"/>
      <c r="DKF617" s="559"/>
      <c r="DKG617" s="559"/>
      <c r="DKH617" s="559"/>
      <c r="DKI617" s="559"/>
      <c r="DKJ617" s="559"/>
      <c r="DKK617" s="559"/>
      <c r="DKL617" s="559"/>
      <c r="DKM617" s="559"/>
      <c r="DKN617" s="559"/>
      <c r="DKO617" s="559"/>
      <c r="DKP617" s="559"/>
      <c r="DKQ617" s="559"/>
      <c r="DKR617" s="559"/>
      <c r="DKS617" s="559"/>
      <c r="DKT617" s="559"/>
      <c r="DKU617" s="559"/>
      <c r="DKV617" s="559"/>
      <c r="DKW617" s="559"/>
      <c r="DKX617" s="559"/>
      <c r="DKY617" s="559"/>
      <c r="DKZ617" s="559"/>
      <c r="DLA617" s="559"/>
      <c r="DLB617" s="559"/>
      <c r="DLC617" s="559"/>
      <c r="DLD617" s="559"/>
      <c r="DLE617" s="559"/>
      <c r="DLF617" s="559"/>
      <c r="DLG617" s="559"/>
      <c r="DLH617" s="559"/>
      <c r="DLI617" s="559"/>
      <c r="DLJ617" s="559"/>
      <c r="DLK617" s="559"/>
      <c r="DLL617" s="559"/>
      <c r="DLM617" s="559"/>
      <c r="DLN617" s="559"/>
      <c r="DLO617" s="559"/>
      <c r="DLP617" s="559"/>
      <c r="DLQ617" s="559"/>
      <c r="DLR617" s="559"/>
      <c r="DLS617" s="559"/>
      <c r="DLT617" s="559"/>
      <c r="DLU617" s="559"/>
      <c r="DLV617" s="559"/>
      <c r="DLW617" s="559"/>
      <c r="DLX617" s="559"/>
      <c r="DLY617" s="559"/>
      <c r="DLZ617" s="559"/>
      <c r="DMA617" s="559"/>
      <c r="DMB617" s="559"/>
      <c r="DMC617" s="559"/>
      <c r="DMD617" s="559"/>
      <c r="DME617" s="559"/>
      <c r="DMF617" s="559"/>
      <c r="DMG617" s="559"/>
      <c r="DMH617" s="559"/>
      <c r="DMI617" s="559"/>
      <c r="DMJ617" s="559"/>
      <c r="DMK617" s="559"/>
      <c r="DML617" s="559"/>
      <c r="DMM617" s="559"/>
      <c r="DMN617" s="559"/>
      <c r="DMO617" s="559"/>
      <c r="DMP617" s="559"/>
      <c r="DMQ617" s="559"/>
      <c r="DMR617" s="559"/>
      <c r="DMS617" s="559"/>
      <c r="DMT617" s="559"/>
      <c r="DMU617" s="559"/>
      <c r="DMV617" s="559"/>
      <c r="DMW617" s="559"/>
      <c r="DMX617" s="559"/>
      <c r="DMY617" s="559"/>
      <c r="DMZ617" s="559"/>
      <c r="DNA617" s="559"/>
      <c r="DNB617" s="559"/>
      <c r="DNC617" s="559"/>
      <c r="DND617" s="559"/>
      <c r="DNE617" s="559"/>
      <c r="DNF617" s="559"/>
      <c r="DNG617" s="559"/>
      <c r="DNH617" s="559"/>
      <c r="DNI617" s="559"/>
      <c r="DNJ617" s="559"/>
      <c r="DNK617" s="559"/>
      <c r="DNL617" s="559"/>
      <c r="DNM617" s="559"/>
      <c r="DNN617" s="559"/>
      <c r="DNO617" s="559"/>
      <c r="DNP617" s="559"/>
      <c r="DNQ617" s="559"/>
      <c r="DNR617" s="559"/>
      <c r="DNS617" s="559"/>
      <c r="DNT617" s="559"/>
      <c r="DNU617" s="559"/>
      <c r="DNV617" s="559"/>
      <c r="DNW617" s="559"/>
      <c r="DNX617" s="559"/>
      <c r="DNY617" s="559"/>
      <c r="DNZ617" s="559"/>
      <c r="DOA617" s="559"/>
      <c r="DOB617" s="559"/>
      <c r="DOC617" s="559"/>
      <c r="DOD617" s="559"/>
      <c r="DOE617" s="559"/>
      <c r="DOF617" s="559"/>
      <c r="DOG617" s="559"/>
      <c r="DOH617" s="559"/>
      <c r="DOI617" s="559"/>
      <c r="DOJ617" s="559"/>
      <c r="DOK617" s="559"/>
      <c r="DOL617" s="559"/>
      <c r="DOM617" s="559"/>
      <c r="DON617" s="559"/>
      <c r="DOO617" s="559"/>
      <c r="DOP617" s="559"/>
      <c r="DOQ617" s="559"/>
      <c r="DOR617" s="559"/>
      <c r="DOS617" s="559"/>
      <c r="DOT617" s="559"/>
      <c r="DOU617" s="559"/>
      <c r="DOV617" s="559"/>
      <c r="DOW617" s="559"/>
      <c r="DOX617" s="559"/>
      <c r="DOY617" s="559"/>
      <c r="DOZ617" s="559"/>
      <c r="DPA617" s="559"/>
      <c r="DPB617" s="559"/>
      <c r="DPC617" s="559"/>
      <c r="DPD617" s="559"/>
      <c r="DPE617" s="559"/>
      <c r="DPF617" s="559"/>
      <c r="DPG617" s="559"/>
      <c r="DPH617" s="559"/>
      <c r="DPI617" s="559"/>
      <c r="DPJ617" s="559"/>
      <c r="DPK617" s="559"/>
      <c r="DPL617" s="559"/>
      <c r="DPM617" s="559"/>
      <c r="DPN617" s="559"/>
      <c r="DPO617" s="559"/>
      <c r="DPP617" s="559"/>
      <c r="DPQ617" s="559"/>
      <c r="DPR617" s="559"/>
      <c r="DPS617" s="559"/>
      <c r="DPT617" s="559"/>
      <c r="DPU617" s="559"/>
      <c r="DPV617" s="559"/>
      <c r="DPW617" s="559"/>
      <c r="DPX617" s="559"/>
      <c r="DPY617" s="559"/>
      <c r="DPZ617" s="559"/>
      <c r="DQA617" s="559"/>
      <c r="DQB617" s="559"/>
      <c r="DQC617" s="559"/>
      <c r="DQD617" s="559"/>
      <c r="DQE617" s="559"/>
      <c r="DQF617" s="559"/>
      <c r="DQG617" s="559"/>
      <c r="DQH617" s="559"/>
      <c r="DQI617" s="559"/>
      <c r="DQJ617" s="559"/>
      <c r="DQK617" s="559"/>
      <c r="DQL617" s="559"/>
      <c r="DQM617" s="559"/>
      <c r="DQN617" s="559"/>
      <c r="DQO617" s="559"/>
      <c r="DQP617" s="559"/>
      <c r="DQQ617" s="559"/>
      <c r="DQR617" s="559"/>
      <c r="DQS617" s="559"/>
      <c r="DQT617" s="559"/>
      <c r="DQU617" s="559"/>
      <c r="DQV617" s="559"/>
      <c r="DQW617" s="559"/>
      <c r="DQX617" s="559"/>
      <c r="DQY617" s="559"/>
      <c r="DQZ617" s="559"/>
      <c r="DRA617" s="559"/>
      <c r="DRB617" s="559"/>
      <c r="DRC617" s="559"/>
      <c r="DRD617" s="559"/>
      <c r="DRE617" s="559"/>
      <c r="DRF617" s="559"/>
      <c r="DRG617" s="559"/>
      <c r="DRH617" s="559"/>
      <c r="DRI617" s="559"/>
      <c r="DRJ617" s="559"/>
      <c r="DRK617" s="559"/>
      <c r="DRL617" s="559"/>
      <c r="DRM617" s="559"/>
      <c r="DRN617" s="559"/>
      <c r="DRO617" s="559"/>
      <c r="DRP617" s="559"/>
      <c r="DRQ617" s="559"/>
      <c r="DRR617" s="559"/>
      <c r="DRS617" s="559"/>
      <c r="DRT617" s="559"/>
      <c r="DRU617" s="559"/>
      <c r="DRV617" s="559"/>
      <c r="DRW617" s="559"/>
      <c r="DRX617" s="559"/>
      <c r="DRY617" s="559"/>
      <c r="DRZ617" s="559"/>
      <c r="DSA617" s="559"/>
      <c r="DSB617" s="559"/>
      <c r="DSC617" s="559"/>
      <c r="DSD617" s="559"/>
      <c r="DSE617" s="559"/>
      <c r="DSF617" s="559"/>
      <c r="DSG617" s="559"/>
      <c r="DSH617" s="559"/>
      <c r="DSI617" s="559"/>
      <c r="DSJ617" s="559"/>
      <c r="DSK617" s="559"/>
      <c r="DSL617" s="559"/>
      <c r="DSM617" s="559"/>
      <c r="DSN617" s="559"/>
      <c r="DSO617" s="559"/>
      <c r="DSP617" s="559"/>
      <c r="DSQ617" s="559"/>
      <c r="DSR617" s="559"/>
      <c r="DSS617" s="559"/>
      <c r="DST617" s="559"/>
      <c r="DSU617" s="559"/>
      <c r="DSV617" s="559"/>
      <c r="DSW617" s="559"/>
      <c r="DSX617" s="559"/>
      <c r="DSY617" s="559"/>
      <c r="DSZ617" s="559"/>
      <c r="DTA617" s="559"/>
      <c r="DTB617" s="559"/>
      <c r="DTC617" s="559"/>
      <c r="DTD617" s="559"/>
      <c r="DTE617" s="559"/>
      <c r="DTF617" s="559"/>
      <c r="DTG617" s="559"/>
      <c r="DTH617" s="559"/>
      <c r="DTI617" s="559"/>
      <c r="DTJ617" s="559"/>
      <c r="DTK617" s="559"/>
      <c r="DTL617" s="559"/>
      <c r="DTM617" s="559"/>
      <c r="DTN617" s="559"/>
      <c r="DTO617" s="559"/>
      <c r="DTP617" s="559"/>
      <c r="DTQ617" s="559"/>
      <c r="DTR617" s="559"/>
      <c r="DTS617" s="559"/>
      <c r="DTT617" s="559"/>
      <c r="DTU617" s="559"/>
      <c r="DTV617" s="559"/>
      <c r="DTW617" s="559"/>
      <c r="DTX617" s="559"/>
      <c r="DTY617" s="559"/>
      <c r="DTZ617" s="559"/>
      <c r="DUA617" s="559"/>
      <c r="DUB617" s="559"/>
      <c r="DUC617" s="559"/>
      <c r="DUD617" s="559"/>
      <c r="DUE617" s="559"/>
      <c r="DUF617" s="559"/>
      <c r="DUG617" s="559"/>
      <c r="DUH617" s="559"/>
      <c r="DUI617" s="559"/>
      <c r="DUJ617" s="559"/>
      <c r="DUK617" s="559"/>
      <c r="DUL617" s="559"/>
      <c r="DUM617" s="559"/>
      <c r="DUN617" s="559"/>
      <c r="DUO617" s="559"/>
      <c r="DUP617" s="559"/>
      <c r="DUQ617" s="559"/>
      <c r="DUR617" s="559"/>
      <c r="DUS617" s="559"/>
      <c r="DUT617" s="559"/>
      <c r="DUU617" s="559"/>
      <c r="DUV617" s="559"/>
      <c r="DUW617" s="559"/>
      <c r="DUX617" s="559"/>
      <c r="DUY617" s="559"/>
      <c r="DUZ617" s="559"/>
      <c r="DVA617" s="559"/>
      <c r="DVB617" s="559"/>
      <c r="DVC617" s="559"/>
      <c r="DVD617" s="559"/>
      <c r="DVE617" s="559"/>
      <c r="DVF617" s="559"/>
      <c r="DVG617" s="559"/>
      <c r="DVH617" s="559"/>
      <c r="DVI617" s="559"/>
      <c r="DVJ617" s="559"/>
      <c r="DVK617" s="559"/>
      <c r="DVL617" s="559"/>
      <c r="DVM617" s="559"/>
      <c r="DVN617" s="559"/>
      <c r="DVO617" s="559"/>
      <c r="DVP617" s="559"/>
      <c r="DVQ617" s="559"/>
      <c r="DVR617" s="559"/>
      <c r="DVS617" s="559"/>
      <c r="DVT617" s="559"/>
      <c r="DVU617" s="559"/>
      <c r="DVV617" s="559"/>
      <c r="DVW617" s="559"/>
      <c r="DVX617" s="559"/>
      <c r="DVY617" s="559"/>
      <c r="DVZ617" s="559"/>
      <c r="DWA617" s="559"/>
      <c r="DWB617" s="559"/>
      <c r="DWC617" s="559"/>
      <c r="DWD617" s="559"/>
      <c r="DWE617" s="559"/>
      <c r="DWF617" s="559"/>
      <c r="DWG617" s="559"/>
      <c r="DWH617" s="559"/>
      <c r="DWI617" s="559"/>
      <c r="DWJ617" s="559"/>
      <c r="DWK617" s="559"/>
      <c r="DWL617" s="559"/>
      <c r="DWM617" s="559"/>
      <c r="DWN617" s="559"/>
      <c r="DWO617" s="559"/>
      <c r="DWP617" s="559"/>
      <c r="DWQ617" s="559"/>
      <c r="DWR617" s="559"/>
      <c r="DWS617" s="559"/>
      <c r="DWT617" s="559"/>
      <c r="DWU617" s="559"/>
      <c r="DWV617" s="559"/>
      <c r="DWW617" s="559"/>
      <c r="DWX617" s="559"/>
      <c r="DWY617" s="559"/>
      <c r="DWZ617" s="559"/>
      <c r="DXA617" s="559"/>
      <c r="DXB617" s="559"/>
      <c r="DXC617" s="559"/>
      <c r="DXD617" s="559"/>
      <c r="DXE617" s="559"/>
      <c r="DXF617" s="559"/>
      <c r="DXG617" s="559"/>
      <c r="DXH617" s="559"/>
      <c r="DXI617" s="559"/>
      <c r="DXJ617" s="559"/>
      <c r="DXK617" s="559"/>
      <c r="DXL617" s="559"/>
      <c r="DXM617" s="559"/>
      <c r="DXN617" s="559"/>
      <c r="DXO617" s="559"/>
      <c r="DXP617" s="559"/>
      <c r="DXQ617" s="559"/>
      <c r="DXR617" s="559"/>
      <c r="DXS617" s="559"/>
      <c r="DXT617" s="559"/>
      <c r="DXU617" s="559"/>
      <c r="DXV617" s="559"/>
      <c r="DXW617" s="559"/>
      <c r="DXX617" s="559"/>
      <c r="DXY617" s="559"/>
      <c r="DXZ617" s="559"/>
      <c r="DYA617" s="559"/>
      <c r="DYB617" s="559"/>
      <c r="DYC617" s="559"/>
      <c r="DYD617" s="559"/>
      <c r="DYE617" s="559"/>
      <c r="DYF617" s="559"/>
      <c r="DYG617" s="559"/>
      <c r="DYH617" s="559"/>
      <c r="DYI617" s="559"/>
      <c r="DYJ617" s="559"/>
      <c r="DYK617" s="559"/>
      <c r="DYL617" s="559"/>
      <c r="DYM617" s="559"/>
      <c r="DYN617" s="559"/>
      <c r="DYO617" s="559"/>
      <c r="DYP617" s="559"/>
      <c r="DYQ617" s="559"/>
      <c r="DYR617" s="559"/>
      <c r="DYS617" s="559"/>
      <c r="DYT617" s="559"/>
      <c r="DYU617" s="559"/>
      <c r="DYV617" s="559"/>
      <c r="DYW617" s="559"/>
      <c r="DYX617" s="559"/>
      <c r="DYY617" s="559"/>
      <c r="DYZ617" s="559"/>
      <c r="DZA617" s="559"/>
      <c r="DZB617" s="559"/>
      <c r="DZC617" s="559"/>
      <c r="DZD617" s="559"/>
      <c r="DZE617" s="559"/>
      <c r="DZF617" s="559"/>
      <c r="DZG617" s="559"/>
      <c r="DZH617" s="559"/>
      <c r="DZI617" s="559"/>
      <c r="DZJ617" s="559"/>
      <c r="DZK617" s="559"/>
      <c r="DZL617" s="559"/>
      <c r="DZM617" s="559"/>
      <c r="DZN617" s="559"/>
      <c r="DZO617" s="559"/>
      <c r="DZP617" s="559"/>
      <c r="DZQ617" s="559"/>
      <c r="DZR617" s="559"/>
      <c r="DZS617" s="559"/>
      <c r="DZT617" s="559"/>
      <c r="DZU617" s="559"/>
      <c r="DZV617" s="559"/>
      <c r="DZW617" s="559"/>
      <c r="DZX617" s="559"/>
      <c r="DZY617" s="559"/>
      <c r="DZZ617" s="559"/>
      <c r="EAA617" s="559"/>
      <c r="EAB617" s="559"/>
      <c r="EAC617" s="559"/>
      <c r="EAD617" s="559"/>
      <c r="EAE617" s="559"/>
      <c r="EAF617" s="559"/>
      <c r="EAG617" s="559"/>
      <c r="EAH617" s="559"/>
      <c r="EAI617" s="559"/>
      <c r="EAJ617" s="559"/>
      <c r="EAK617" s="559"/>
      <c r="EAL617" s="559"/>
      <c r="EAM617" s="559"/>
      <c r="EAN617" s="559"/>
      <c r="EAO617" s="559"/>
      <c r="EAP617" s="559"/>
      <c r="EAQ617" s="559"/>
      <c r="EAR617" s="559"/>
      <c r="EAS617" s="559"/>
      <c r="EAT617" s="559"/>
      <c r="EAU617" s="559"/>
      <c r="EAV617" s="559"/>
      <c r="EAW617" s="559"/>
      <c r="EAX617" s="559"/>
      <c r="EAY617" s="559"/>
      <c r="EAZ617" s="559"/>
      <c r="EBA617" s="559"/>
      <c r="EBB617" s="559"/>
      <c r="EBC617" s="559"/>
      <c r="EBD617" s="559"/>
      <c r="EBE617" s="559"/>
      <c r="EBF617" s="559"/>
      <c r="EBG617" s="559"/>
      <c r="EBH617" s="559"/>
      <c r="EBI617" s="559"/>
      <c r="EBJ617" s="559"/>
      <c r="EBK617" s="559"/>
      <c r="EBL617" s="559"/>
      <c r="EBM617" s="559"/>
      <c r="EBN617" s="559"/>
      <c r="EBO617" s="559"/>
      <c r="EBP617" s="559"/>
      <c r="EBQ617" s="559"/>
      <c r="EBR617" s="559"/>
      <c r="EBS617" s="559"/>
      <c r="EBT617" s="559"/>
      <c r="EBU617" s="559"/>
      <c r="EBV617" s="559"/>
      <c r="EBW617" s="559"/>
      <c r="EBX617" s="559"/>
      <c r="EBY617" s="559"/>
      <c r="EBZ617" s="559"/>
      <c r="ECA617" s="559"/>
      <c r="ECB617" s="559"/>
      <c r="ECC617" s="559"/>
      <c r="ECD617" s="559"/>
      <c r="ECE617" s="559"/>
      <c r="ECF617" s="559"/>
      <c r="ECG617" s="559"/>
      <c r="ECH617" s="559"/>
      <c r="ECI617" s="559"/>
      <c r="ECJ617" s="559"/>
      <c r="ECK617" s="559"/>
      <c r="ECL617" s="559"/>
      <c r="ECM617" s="559"/>
      <c r="ECN617" s="559"/>
      <c r="ECO617" s="559"/>
      <c r="ECP617" s="559"/>
      <c r="ECQ617" s="559"/>
      <c r="ECR617" s="559"/>
      <c r="ECS617" s="559"/>
      <c r="ECT617" s="559"/>
      <c r="ECU617" s="559"/>
      <c r="ECV617" s="559"/>
      <c r="ECW617" s="559"/>
      <c r="ECX617" s="559"/>
      <c r="ECY617" s="559"/>
      <c r="ECZ617" s="559"/>
      <c r="EDA617" s="559"/>
      <c r="EDB617" s="559"/>
      <c r="EDC617" s="559"/>
      <c r="EDD617" s="559"/>
      <c r="EDE617" s="559"/>
      <c r="EDF617" s="559"/>
      <c r="EDG617" s="559"/>
      <c r="EDH617" s="559"/>
      <c r="EDI617" s="559"/>
      <c r="EDJ617" s="559"/>
      <c r="EDK617" s="559"/>
      <c r="EDL617" s="559"/>
      <c r="EDM617" s="559"/>
      <c r="EDN617" s="559"/>
      <c r="EDO617" s="559"/>
      <c r="EDP617" s="559"/>
      <c r="EDQ617" s="559"/>
      <c r="EDR617" s="559"/>
      <c r="EDS617" s="559"/>
      <c r="EDT617" s="559"/>
      <c r="EDU617" s="559"/>
      <c r="EDV617" s="559"/>
      <c r="EDW617" s="559"/>
      <c r="EDX617" s="559"/>
      <c r="EDY617" s="559"/>
      <c r="EDZ617" s="559"/>
      <c r="EEA617" s="559"/>
      <c r="EEB617" s="559"/>
      <c r="EEC617" s="559"/>
      <c r="EED617" s="559"/>
      <c r="EEE617" s="559"/>
      <c r="EEF617" s="559"/>
      <c r="EEG617" s="559"/>
      <c r="EEH617" s="559"/>
      <c r="EEI617" s="559"/>
      <c r="EEJ617" s="559"/>
      <c r="EEK617" s="559"/>
      <c r="EEL617" s="559"/>
      <c r="EEM617" s="559"/>
      <c r="EEN617" s="559"/>
      <c r="EEO617" s="559"/>
      <c r="EEP617" s="559"/>
      <c r="EEQ617" s="559"/>
      <c r="EER617" s="559"/>
      <c r="EES617" s="559"/>
      <c r="EET617" s="559"/>
      <c r="EEU617" s="559"/>
      <c r="EEV617" s="559"/>
      <c r="EEW617" s="559"/>
      <c r="EEX617" s="559"/>
      <c r="EEY617" s="559"/>
      <c r="EEZ617" s="559"/>
      <c r="EFA617" s="559"/>
      <c r="EFB617" s="559"/>
      <c r="EFC617" s="559"/>
      <c r="EFD617" s="559"/>
      <c r="EFE617" s="559"/>
      <c r="EFF617" s="559"/>
      <c r="EFG617" s="559"/>
      <c r="EFH617" s="559"/>
      <c r="EFI617" s="559"/>
      <c r="EFJ617" s="559"/>
      <c r="EFK617" s="559"/>
      <c r="EFL617" s="559"/>
      <c r="EFM617" s="559"/>
      <c r="EFN617" s="559"/>
      <c r="EFO617" s="559"/>
      <c r="EFP617" s="559"/>
      <c r="EFQ617" s="559"/>
      <c r="EFR617" s="559"/>
      <c r="EFS617" s="559"/>
      <c r="EFT617" s="559"/>
      <c r="EFU617" s="559"/>
      <c r="EFV617" s="559"/>
      <c r="EFW617" s="559"/>
      <c r="EFX617" s="559"/>
      <c r="EFY617" s="559"/>
      <c r="EFZ617" s="559"/>
      <c r="EGA617" s="559"/>
      <c r="EGB617" s="559"/>
      <c r="EGC617" s="559"/>
      <c r="EGD617" s="559"/>
      <c r="EGE617" s="559"/>
      <c r="EGF617" s="559"/>
      <c r="EGG617" s="559"/>
      <c r="EGH617" s="559"/>
      <c r="EGI617" s="559"/>
      <c r="EGJ617" s="559"/>
      <c r="EGK617" s="559"/>
      <c r="EGL617" s="559"/>
      <c r="EGM617" s="559"/>
      <c r="EGN617" s="559"/>
      <c r="EGO617" s="559"/>
      <c r="EGP617" s="559"/>
      <c r="EGQ617" s="559"/>
      <c r="EGR617" s="559"/>
      <c r="EGS617" s="559"/>
      <c r="EGT617" s="559"/>
      <c r="EGU617" s="559"/>
      <c r="EGV617" s="559"/>
      <c r="EGW617" s="559"/>
      <c r="EGX617" s="559"/>
      <c r="EGY617" s="559"/>
      <c r="EGZ617" s="559"/>
      <c r="EHA617" s="559"/>
      <c r="EHB617" s="559"/>
      <c r="EHC617" s="559"/>
      <c r="EHD617" s="559"/>
      <c r="EHE617" s="559"/>
      <c r="EHF617" s="559"/>
      <c r="EHG617" s="559"/>
      <c r="EHH617" s="559"/>
      <c r="EHI617" s="559"/>
      <c r="EHJ617" s="559"/>
      <c r="EHK617" s="559"/>
      <c r="EHL617" s="559"/>
      <c r="EHM617" s="559"/>
      <c r="EHN617" s="559"/>
      <c r="EHO617" s="559"/>
      <c r="EHP617" s="559"/>
      <c r="EHQ617" s="559"/>
      <c r="EHR617" s="559"/>
      <c r="EHS617" s="559"/>
      <c r="EHT617" s="559"/>
      <c r="EHU617" s="559"/>
      <c r="EHV617" s="559"/>
      <c r="EHW617" s="559"/>
      <c r="EHX617" s="559"/>
      <c r="EHY617" s="559"/>
      <c r="EHZ617" s="559"/>
      <c r="EIA617" s="559"/>
      <c r="EIB617" s="559"/>
      <c r="EIC617" s="559"/>
      <c r="EID617" s="559"/>
      <c r="EIE617" s="559"/>
      <c r="EIF617" s="559"/>
      <c r="EIG617" s="559"/>
      <c r="EIH617" s="559"/>
      <c r="EII617" s="559"/>
      <c r="EIJ617" s="559"/>
      <c r="EIK617" s="559"/>
      <c r="EIL617" s="559"/>
      <c r="EIM617" s="559"/>
      <c r="EIN617" s="559"/>
      <c r="EIO617" s="559"/>
      <c r="EIP617" s="559"/>
      <c r="EIQ617" s="559"/>
      <c r="EIR617" s="559"/>
      <c r="EIS617" s="559"/>
      <c r="EIT617" s="559"/>
      <c r="EIU617" s="559"/>
      <c r="EIV617" s="559"/>
      <c r="EIW617" s="559"/>
      <c r="EIX617" s="559"/>
      <c r="EIY617" s="559"/>
      <c r="EIZ617" s="559"/>
      <c r="EJA617" s="559"/>
      <c r="EJB617" s="559"/>
      <c r="EJC617" s="559"/>
      <c r="EJD617" s="559"/>
      <c r="EJE617" s="559"/>
      <c r="EJF617" s="559"/>
      <c r="EJG617" s="559"/>
      <c r="EJH617" s="559"/>
      <c r="EJI617" s="559"/>
      <c r="EJJ617" s="559"/>
      <c r="EJK617" s="559"/>
      <c r="EJL617" s="559"/>
      <c r="EJM617" s="559"/>
      <c r="EJN617" s="559"/>
      <c r="EJO617" s="559"/>
      <c r="EJP617" s="559"/>
      <c r="EJQ617" s="559"/>
      <c r="EJR617" s="559"/>
      <c r="EJS617" s="559"/>
      <c r="EJT617" s="559"/>
      <c r="EJU617" s="559"/>
      <c r="EJV617" s="559"/>
      <c r="EJW617" s="559"/>
      <c r="EJX617" s="559"/>
      <c r="EJY617" s="559"/>
      <c r="EJZ617" s="559"/>
      <c r="EKA617" s="559"/>
      <c r="EKB617" s="559"/>
      <c r="EKC617" s="559"/>
      <c r="EKD617" s="559"/>
      <c r="EKE617" s="559"/>
      <c r="EKF617" s="559"/>
      <c r="EKG617" s="559"/>
      <c r="EKH617" s="559"/>
      <c r="EKI617" s="559"/>
      <c r="EKJ617" s="559"/>
      <c r="EKK617" s="559"/>
      <c r="EKL617" s="559"/>
      <c r="EKM617" s="559"/>
      <c r="EKN617" s="559"/>
      <c r="EKO617" s="559"/>
      <c r="EKP617" s="559"/>
      <c r="EKQ617" s="559"/>
      <c r="EKR617" s="559"/>
      <c r="EKS617" s="559"/>
      <c r="EKT617" s="559"/>
      <c r="EKU617" s="559"/>
      <c r="EKV617" s="559"/>
      <c r="EKW617" s="559"/>
      <c r="EKX617" s="559"/>
      <c r="EKY617" s="559"/>
      <c r="EKZ617" s="559"/>
      <c r="ELA617" s="559"/>
      <c r="ELB617" s="559"/>
      <c r="ELC617" s="559"/>
      <c r="ELD617" s="559"/>
      <c r="ELE617" s="559"/>
      <c r="ELF617" s="559"/>
      <c r="ELG617" s="559"/>
      <c r="ELH617" s="559"/>
      <c r="ELI617" s="559"/>
      <c r="ELJ617" s="559"/>
      <c r="ELK617" s="559"/>
      <c r="ELL617" s="559"/>
      <c r="ELM617" s="559"/>
      <c r="ELN617" s="559"/>
      <c r="ELO617" s="559"/>
      <c r="ELP617" s="559"/>
      <c r="ELQ617" s="559"/>
      <c r="ELR617" s="559"/>
      <c r="ELS617" s="559"/>
      <c r="ELT617" s="559"/>
      <c r="ELU617" s="559"/>
      <c r="ELV617" s="559"/>
      <c r="ELW617" s="559"/>
      <c r="ELX617" s="559"/>
      <c r="ELY617" s="559"/>
      <c r="ELZ617" s="559"/>
      <c r="EMA617" s="559"/>
      <c r="EMB617" s="559"/>
      <c r="EMC617" s="559"/>
      <c r="EMD617" s="559"/>
      <c r="EME617" s="559"/>
      <c r="EMF617" s="559"/>
      <c r="EMG617" s="559"/>
      <c r="EMH617" s="559"/>
      <c r="EMI617" s="559"/>
      <c r="EMJ617" s="559"/>
      <c r="EMK617" s="559"/>
      <c r="EML617" s="559"/>
      <c r="EMM617" s="559"/>
      <c r="EMN617" s="559"/>
      <c r="EMO617" s="559"/>
      <c r="EMP617" s="559"/>
      <c r="EMQ617" s="559"/>
      <c r="EMR617" s="559"/>
      <c r="EMS617" s="559"/>
      <c r="EMT617" s="559"/>
      <c r="EMU617" s="559"/>
      <c r="EMV617" s="559"/>
      <c r="EMW617" s="559"/>
      <c r="EMX617" s="559"/>
      <c r="EMY617" s="559"/>
      <c r="EMZ617" s="559"/>
      <c r="ENA617" s="559"/>
      <c r="ENB617" s="559"/>
      <c r="ENC617" s="559"/>
      <c r="END617" s="559"/>
      <c r="ENE617" s="559"/>
      <c r="ENF617" s="559"/>
      <c r="ENG617" s="559"/>
      <c r="ENH617" s="559"/>
      <c r="ENI617" s="559"/>
      <c r="ENJ617" s="559"/>
      <c r="ENK617" s="559"/>
      <c r="ENL617" s="559"/>
      <c r="ENM617" s="559"/>
      <c r="ENN617" s="559"/>
      <c r="ENO617" s="559"/>
      <c r="ENP617" s="559"/>
      <c r="ENQ617" s="559"/>
      <c r="ENR617" s="559"/>
      <c r="ENS617" s="559"/>
      <c r="ENT617" s="559"/>
      <c r="ENU617" s="559"/>
      <c r="ENV617" s="559"/>
      <c r="ENW617" s="559"/>
      <c r="ENX617" s="559"/>
      <c r="ENY617" s="559"/>
      <c r="ENZ617" s="559"/>
      <c r="EOA617" s="559"/>
      <c r="EOB617" s="559"/>
      <c r="EOC617" s="559"/>
      <c r="EOD617" s="559"/>
      <c r="EOE617" s="559"/>
      <c r="EOF617" s="559"/>
      <c r="EOG617" s="559"/>
      <c r="EOH617" s="559"/>
      <c r="EOI617" s="559"/>
      <c r="EOJ617" s="559"/>
      <c r="EOK617" s="559"/>
      <c r="EOL617" s="559"/>
      <c r="EOM617" s="559"/>
      <c r="EON617" s="559"/>
      <c r="EOO617" s="559"/>
      <c r="EOP617" s="559"/>
      <c r="EOQ617" s="559"/>
      <c r="EOR617" s="559"/>
      <c r="EOS617" s="559"/>
      <c r="EOT617" s="559"/>
      <c r="EOU617" s="559"/>
      <c r="EOV617" s="559"/>
      <c r="EOW617" s="559"/>
      <c r="EOX617" s="559"/>
      <c r="EOY617" s="559"/>
      <c r="EOZ617" s="559"/>
      <c r="EPA617" s="559"/>
      <c r="EPB617" s="559"/>
      <c r="EPC617" s="559"/>
      <c r="EPD617" s="559"/>
      <c r="EPE617" s="559"/>
      <c r="EPF617" s="559"/>
      <c r="EPG617" s="559"/>
      <c r="EPH617" s="559"/>
      <c r="EPI617" s="559"/>
      <c r="EPJ617" s="559"/>
      <c r="EPK617" s="559"/>
      <c r="EPL617" s="559"/>
      <c r="EPM617" s="559"/>
      <c r="EPN617" s="559"/>
      <c r="EPO617" s="559"/>
      <c r="EPP617" s="559"/>
      <c r="EPQ617" s="559"/>
      <c r="EPR617" s="559"/>
      <c r="EPS617" s="559"/>
      <c r="EPT617" s="559"/>
      <c r="EPU617" s="559"/>
      <c r="EPV617" s="559"/>
      <c r="EPW617" s="559"/>
      <c r="EPX617" s="559"/>
      <c r="EPY617" s="559"/>
      <c r="EPZ617" s="559"/>
      <c r="EQA617" s="559"/>
      <c r="EQB617" s="559"/>
      <c r="EQC617" s="559"/>
      <c r="EQD617" s="559"/>
      <c r="EQE617" s="559"/>
      <c r="EQF617" s="559"/>
      <c r="EQG617" s="559"/>
      <c r="EQH617" s="559"/>
      <c r="EQI617" s="559"/>
      <c r="EQJ617" s="559"/>
      <c r="EQK617" s="559"/>
      <c r="EQL617" s="559"/>
      <c r="EQM617" s="559"/>
      <c r="EQN617" s="559"/>
      <c r="EQO617" s="559"/>
      <c r="EQP617" s="559"/>
      <c r="EQQ617" s="559"/>
      <c r="EQR617" s="559"/>
      <c r="EQS617" s="559"/>
      <c r="EQT617" s="559"/>
      <c r="EQU617" s="559"/>
      <c r="EQV617" s="559"/>
      <c r="EQW617" s="559"/>
      <c r="EQX617" s="559"/>
      <c r="EQY617" s="559"/>
      <c r="EQZ617" s="559"/>
      <c r="ERA617" s="559"/>
      <c r="ERB617" s="559"/>
      <c r="ERC617" s="559"/>
      <c r="ERD617" s="559"/>
      <c r="ERE617" s="559"/>
      <c r="ERF617" s="559"/>
      <c r="ERG617" s="559"/>
      <c r="ERH617" s="559"/>
      <c r="ERI617" s="559"/>
      <c r="ERJ617" s="559"/>
      <c r="ERK617" s="559"/>
      <c r="ERL617" s="559"/>
      <c r="ERM617" s="559"/>
      <c r="ERN617" s="559"/>
      <c r="ERO617" s="559"/>
      <c r="ERP617" s="559"/>
      <c r="ERQ617" s="559"/>
      <c r="ERR617" s="559"/>
      <c r="ERS617" s="559"/>
      <c r="ERT617" s="559"/>
      <c r="ERU617" s="559"/>
      <c r="ERV617" s="559"/>
      <c r="ERW617" s="559"/>
      <c r="ERX617" s="559"/>
      <c r="ERY617" s="559"/>
      <c r="ERZ617" s="559"/>
      <c r="ESA617" s="559"/>
      <c r="ESB617" s="559"/>
      <c r="ESC617" s="559"/>
      <c r="ESD617" s="559"/>
      <c r="ESE617" s="559"/>
      <c r="ESF617" s="559"/>
      <c r="ESG617" s="559"/>
      <c r="ESH617" s="559"/>
      <c r="ESI617" s="559"/>
      <c r="ESJ617" s="559"/>
      <c r="ESK617" s="559"/>
      <c r="ESL617" s="559"/>
      <c r="ESM617" s="559"/>
      <c r="ESN617" s="559"/>
      <c r="ESO617" s="559"/>
      <c r="ESP617" s="559"/>
      <c r="ESQ617" s="559"/>
      <c r="ESR617" s="559"/>
      <c r="ESS617" s="559"/>
      <c r="EST617" s="559"/>
      <c r="ESU617" s="559"/>
      <c r="ESV617" s="559"/>
      <c r="ESW617" s="559"/>
      <c r="ESX617" s="559"/>
      <c r="ESY617" s="559"/>
      <c r="ESZ617" s="559"/>
      <c r="ETA617" s="559"/>
      <c r="ETB617" s="559"/>
      <c r="ETC617" s="559"/>
      <c r="ETD617" s="559"/>
      <c r="ETE617" s="559"/>
      <c r="ETF617" s="559"/>
      <c r="ETG617" s="559"/>
      <c r="ETH617" s="559"/>
      <c r="ETI617" s="559"/>
      <c r="ETJ617" s="559"/>
      <c r="ETK617" s="559"/>
      <c r="ETL617" s="559"/>
      <c r="ETM617" s="559"/>
      <c r="ETN617" s="559"/>
      <c r="ETO617" s="559"/>
      <c r="ETP617" s="559"/>
      <c r="ETQ617" s="559"/>
      <c r="ETR617" s="559"/>
      <c r="ETS617" s="559"/>
      <c r="ETT617" s="559"/>
      <c r="ETU617" s="559"/>
      <c r="ETV617" s="559"/>
      <c r="ETW617" s="559"/>
      <c r="ETX617" s="559"/>
      <c r="ETY617" s="559"/>
      <c r="ETZ617" s="559"/>
      <c r="EUA617" s="559"/>
      <c r="EUB617" s="559"/>
      <c r="EUC617" s="559"/>
      <c r="EUD617" s="559"/>
      <c r="EUE617" s="559"/>
      <c r="EUF617" s="559"/>
      <c r="EUG617" s="559"/>
      <c r="EUH617" s="559"/>
      <c r="EUI617" s="559"/>
      <c r="EUJ617" s="559"/>
      <c r="EUK617" s="559"/>
      <c r="EUL617" s="559"/>
      <c r="EUM617" s="559"/>
      <c r="EUN617" s="559"/>
      <c r="EUO617" s="559"/>
      <c r="EUP617" s="559"/>
      <c r="EUQ617" s="559"/>
      <c r="EUR617" s="559"/>
      <c r="EUS617" s="559"/>
      <c r="EUT617" s="559"/>
      <c r="EUU617" s="559"/>
      <c r="EUV617" s="559"/>
      <c r="EUW617" s="559"/>
      <c r="EUX617" s="559"/>
      <c r="EUY617" s="559"/>
      <c r="EUZ617" s="559"/>
      <c r="EVA617" s="559"/>
      <c r="EVB617" s="559"/>
      <c r="EVC617" s="559"/>
      <c r="EVD617" s="559"/>
      <c r="EVE617" s="559"/>
      <c r="EVF617" s="559"/>
      <c r="EVG617" s="559"/>
      <c r="EVH617" s="559"/>
      <c r="EVI617" s="559"/>
      <c r="EVJ617" s="559"/>
      <c r="EVK617" s="559"/>
      <c r="EVL617" s="559"/>
      <c r="EVM617" s="559"/>
      <c r="EVN617" s="559"/>
      <c r="EVO617" s="559"/>
      <c r="EVP617" s="559"/>
      <c r="EVQ617" s="559"/>
      <c r="EVR617" s="559"/>
      <c r="EVS617" s="559"/>
      <c r="EVT617" s="559"/>
      <c r="EVU617" s="559"/>
      <c r="EVV617" s="559"/>
      <c r="EVW617" s="559"/>
      <c r="EVX617" s="559"/>
      <c r="EVY617" s="559"/>
      <c r="EVZ617" s="559"/>
      <c r="EWA617" s="559"/>
      <c r="EWB617" s="559"/>
      <c r="EWC617" s="559"/>
      <c r="EWD617" s="559"/>
      <c r="EWE617" s="559"/>
      <c r="EWF617" s="559"/>
      <c r="EWG617" s="559"/>
      <c r="EWH617" s="559"/>
      <c r="EWI617" s="559"/>
      <c r="EWJ617" s="559"/>
      <c r="EWK617" s="559"/>
      <c r="EWL617" s="559"/>
      <c r="EWM617" s="559"/>
      <c r="EWN617" s="559"/>
      <c r="EWO617" s="559"/>
      <c r="EWP617" s="559"/>
      <c r="EWQ617" s="559"/>
      <c r="EWR617" s="559"/>
      <c r="EWS617" s="559"/>
      <c r="EWT617" s="559"/>
      <c r="EWU617" s="559"/>
      <c r="EWV617" s="559"/>
      <c r="EWW617" s="559"/>
      <c r="EWX617" s="559"/>
      <c r="EWY617" s="559"/>
      <c r="EWZ617" s="559"/>
      <c r="EXA617" s="559"/>
      <c r="EXB617" s="559"/>
      <c r="EXC617" s="559"/>
      <c r="EXD617" s="559"/>
      <c r="EXE617" s="559"/>
      <c r="EXF617" s="559"/>
      <c r="EXG617" s="559"/>
      <c r="EXH617" s="559"/>
      <c r="EXI617" s="559"/>
      <c r="EXJ617" s="559"/>
      <c r="EXK617" s="559"/>
      <c r="EXL617" s="559"/>
      <c r="EXM617" s="559"/>
      <c r="EXN617" s="559"/>
      <c r="EXO617" s="559"/>
      <c r="EXP617" s="559"/>
      <c r="EXQ617" s="559"/>
      <c r="EXR617" s="559"/>
      <c r="EXS617" s="559"/>
      <c r="EXT617" s="559"/>
      <c r="EXU617" s="559"/>
      <c r="EXV617" s="559"/>
      <c r="EXW617" s="559"/>
      <c r="EXX617" s="559"/>
      <c r="EXY617" s="559"/>
      <c r="EXZ617" s="559"/>
      <c r="EYA617" s="559"/>
      <c r="EYB617" s="559"/>
      <c r="EYC617" s="559"/>
      <c r="EYD617" s="559"/>
      <c r="EYE617" s="559"/>
      <c r="EYF617" s="559"/>
      <c r="EYG617" s="559"/>
      <c r="EYH617" s="559"/>
      <c r="EYI617" s="559"/>
      <c r="EYJ617" s="559"/>
      <c r="EYK617" s="559"/>
      <c r="EYL617" s="559"/>
      <c r="EYM617" s="559"/>
      <c r="EYN617" s="559"/>
      <c r="EYO617" s="559"/>
      <c r="EYP617" s="559"/>
      <c r="EYQ617" s="559"/>
      <c r="EYR617" s="559"/>
      <c r="EYS617" s="559"/>
      <c r="EYT617" s="559"/>
      <c r="EYU617" s="559"/>
      <c r="EYV617" s="559"/>
      <c r="EYW617" s="559"/>
      <c r="EYX617" s="559"/>
      <c r="EYY617" s="559"/>
      <c r="EYZ617" s="559"/>
      <c r="EZA617" s="559"/>
      <c r="EZB617" s="559"/>
      <c r="EZC617" s="559"/>
      <c r="EZD617" s="559"/>
      <c r="EZE617" s="559"/>
      <c r="EZF617" s="559"/>
      <c r="EZG617" s="559"/>
      <c r="EZH617" s="559"/>
      <c r="EZI617" s="559"/>
      <c r="EZJ617" s="559"/>
      <c r="EZK617" s="559"/>
      <c r="EZL617" s="559"/>
      <c r="EZM617" s="559"/>
      <c r="EZN617" s="559"/>
      <c r="EZO617" s="559"/>
      <c r="EZP617" s="559"/>
      <c r="EZQ617" s="559"/>
      <c r="EZR617" s="559"/>
      <c r="EZS617" s="559"/>
      <c r="EZT617" s="559"/>
      <c r="EZU617" s="559"/>
      <c r="EZV617" s="559"/>
      <c r="EZW617" s="559"/>
      <c r="EZX617" s="559"/>
      <c r="EZY617" s="559"/>
      <c r="EZZ617" s="559"/>
      <c r="FAA617" s="559"/>
      <c r="FAB617" s="559"/>
      <c r="FAC617" s="559"/>
      <c r="FAD617" s="559"/>
      <c r="FAE617" s="559"/>
      <c r="FAF617" s="559"/>
      <c r="FAG617" s="559"/>
      <c r="FAH617" s="559"/>
      <c r="FAI617" s="559"/>
      <c r="FAJ617" s="559"/>
      <c r="FAK617" s="559"/>
      <c r="FAL617" s="559"/>
      <c r="FAM617" s="559"/>
      <c r="FAN617" s="559"/>
      <c r="FAO617" s="559"/>
      <c r="FAP617" s="559"/>
      <c r="FAQ617" s="559"/>
      <c r="FAR617" s="559"/>
      <c r="FAS617" s="559"/>
      <c r="FAT617" s="559"/>
      <c r="FAU617" s="559"/>
      <c r="FAV617" s="559"/>
      <c r="FAW617" s="559"/>
      <c r="FAX617" s="559"/>
      <c r="FAY617" s="559"/>
      <c r="FAZ617" s="559"/>
      <c r="FBA617" s="559"/>
      <c r="FBB617" s="559"/>
      <c r="FBC617" s="559"/>
      <c r="FBD617" s="559"/>
      <c r="FBE617" s="559"/>
      <c r="FBF617" s="559"/>
      <c r="FBG617" s="559"/>
      <c r="FBH617" s="559"/>
      <c r="FBI617" s="559"/>
      <c r="FBJ617" s="559"/>
      <c r="FBK617" s="559"/>
      <c r="FBL617" s="559"/>
      <c r="FBM617" s="559"/>
      <c r="FBN617" s="559"/>
      <c r="FBO617" s="559"/>
      <c r="FBP617" s="559"/>
      <c r="FBQ617" s="559"/>
      <c r="FBR617" s="559"/>
      <c r="FBS617" s="559"/>
      <c r="FBT617" s="559"/>
      <c r="FBU617" s="559"/>
      <c r="FBV617" s="559"/>
      <c r="FBW617" s="559"/>
      <c r="FBX617" s="559"/>
      <c r="FBY617" s="559"/>
      <c r="FBZ617" s="559"/>
      <c r="FCA617" s="559"/>
      <c r="FCB617" s="559"/>
      <c r="FCC617" s="559"/>
      <c r="FCD617" s="559"/>
      <c r="FCE617" s="559"/>
      <c r="FCF617" s="559"/>
      <c r="FCG617" s="559"/>
      <c r="FCH617" s="559"/>
      <c r="FCI617" s="559"/>
      <c r="FCJ617" s="559"/>
      <c r="FCK617" s="559"/>
      <c r="FCL617" s="559"/>
      <c r="FCM617" s="559"/>
      <c r="FCN617" s="559"/>
      <c r="FCO617" s="559"/>
      <c r="FCP617" s="559"/>
      <c r="FCQ617" s="559"/>
      <c r="FCR617" s="559"/>
      <c r="FCS617" s="559"/>
      <c r="FCT617" s="559"/>
      <c r="FCU617" s="559"/>
      <c r="FCV617" s="559"/>
      <c r="FCW617" s="559"/>
      <c r="FCX617" s="559"/>
      <c r="FCY617" s="559"/>
      <c r="FCZ617" s="559"/>
      <c r="FDA617" s="559"/>
      <c r="FDB617" s="559"/>
      <c r="FDC617" s="559"/>
      <c r="FDD617" s="559"/>
      <c r="FDE617" s="559"/>
      <c r="FDF617" s="559"/>
      <c r="FDG617" s="559"/>
      <c r="FDH617" s="559"/>
      <c r="FDI617" s="559"/>
      <c r="FDJ617" s="559"/>
      <c r="FDK617" s="559"/>
      <c r="FDL617" s="559"/>
      <c r="FDM617" s="559"/>
      <c r="FDN617" s="559"/>
      <c r="FDO617" s="559"/>
      <c r="FDP617" s="559"/>
      <c r="FDQ617" s="559"/>
      <c r="FDR617" s="559"/>
      <c r="FDS617" s="559"/>
      <c r="FDT617" s="559"/>
      <c r="FDU617" s="559"/>
      <c r="FDV617" s="559"/>
      <c r="FDW617" s="559"/>
      <c r="FDX617" s="559"/>
      <c r="FDY617" s="559"/>
      <c r="FDZ617" s="559"/>
      <c r="FEA617" s="559"/>
      <c r="FEB617" s="559"/>
      <c r="FEC617" s="559"/>
      <c r="FED617" s="559"/>
      <c r="FEE617" s="559"/>
      <c r="FEF617" s="559"/>
      <c r="FEG617" s="559"/>
      <c r="FEH617" s="559"/>
      <c r="FEI617" s="559"/>
      <c r="FEJ617" s="559"/>
      <c r="FEK617" s="559"/>
      <c r="FEL617" s="559"/>
      <c r="FEM617" s="559"/>
      <c r="FEN617" s="559"/>
      <c r="FEO617" s="559"/>
      <c r="FEP617" s="559"/>
      <c r="FEQ617" s="559"/>
      <c r="FER617" s="559"/>
      <c r="FES617" s="559"/>
      <c r="FET617" s="559"/>
      <c r="FEU617" s="559"/>
      <c r="FEV617" s="559"/>
      <c r="FEW617" s="559"/>
      <c r="FEX617" s="559"/>
      <c r="FEY617" s="559"/>
      <c r="FEZ617" s="559"/>
      <c r="FFA617" s="559"/>
      <c r="FFB617" s="559"/>
      <c r="FFC617" s="559"/>
      <c r="FFD617" s="559"/>
      <c r="FFE617" s="559"/>
      <c r="FFF617" s="559"/>
      <c r="FFG617" s="559"/>
      <c r="FFH617" s="559"/>
      <c r="FFI617" s="559"/>
      <c r="FFJ617" s="559"/>
      <c r="FFK617" s="559"/>
      <c r="FFL617" s="559"/>
      <c r="FFM617" s="559"/>
      <c r="FFN617" s="559"/>
      <c r="FFO617" s="559"/>
      <c r="FFP617" s="559"/>
      <c r="FFQ617" s="559"/>
      <c r="FFR617" s="559"/>
      <c r="FFS617" s="559"/>
      <c r="FFT617" s="559"/>
      <c r="FFU617" s="559"/>
      <c r="FFV617" s="559"/>
      <c r="FFW617" s="559"/>
      <c r="FFX617" s="559"/>
      <c r="FFY617" s="559"/>
      <c r="FFZ617" s="559"/>
      <c r="FGA617" s="559"/>
      <c r="FGB617" s="559"/>
      <c r="FGC617" s="559"/>
      <c r="FGD617" s="559"/>
      <c r="FGE617" s="559"/>
      <c r="FGF617" s="559"/>
      <c r="FGG617" s="559"/>
      <c r="FGH617" s="559"/>
      <c r="FGI617" s="559"/>
      <c r="FGJ617" s="559"/>
      <c r="FGK617" s="559"/>
      <c r="FGL617" s="559"/>
      <c r="FGM617" s="559"/>
      <c r="FGN617" s="559"/>
      <c r="FGO617" s="559"/>
      <c r="FGP617" s="559"/>
      <c r="FGQ617" s="559"/>
      <c r="FGR617" s="559"/>
      <c r="FGS617" s="559"/>
      <c r="FGT617" s="559"/>
      <c r="FGU617" s="559"/>
      <c r="FGV617" s="559"/>
      <c r="FGW617" s="559"/>
      <c r="FGX617" s="559"/>
      <c r="FGY617" s="559"/>
      <c r="FGZ617" s="559"/>
      <c r="FHA617" s="559"/>
      <c r="FHB617" s="559"/>
      <c r="FHC617" s="559"/>
      <c r="FHD617" s="559"/>
      <c r="FHE617" s="559"/>
      <c r="FHF617" s="559"/>
      <c r="FHG617" s="559"/>
      <c r="FHH617" s="559"/>
      <c r="FHI617" s="559"/>
      <c r="FHJ617" s="559"/>
      <c r="FHK617" s="559"/>
      <c r="FHL617" s="559"/>
      <c r="FHM617" s="559"/>
      <c r="FHN617" s="559"/>
      <c r="FHO617" s="559"/>
      <c r="FHP617" s="559"/>
      <c r="FHQ617" s="559"/>
      <c r="FHR617" s="559"/>
      <c r="FHS617" s="559"/>
      <c r="FHT617" s="559"/>
      <c r="FHU617" s="559"/>
      <c r="FHV617" s="559"/>
      <c r="FHW617" s="559"/>
      <c r="FHX617" s="559"/>
      <c r="FHY617" s="559"/>
      <c r="FHZ617" s="559"/>
      <c r="FIA617" s="559"/>
      <c r="FIB617" s="559"/>
      <c r="FIC617" s="559"/>
      <c r="FID617" s="559"/>
      <c r="FIE617" s="559"/>
      <c r="FIF617" s="559"/>
      <c r="FIG617" s="559"/>
      <c r="FIH617" s="559"/>
      <c r="FII617" s="559"/>
      <c r="FIJ617" s="559"/>
      <c r="FIK617" s="559"/>
      <c r="FIL617" s="559"/>
      <c r="FIM617" s="559"/>
      <c r="FIN617" s="559"/>
      <c r="FIO617" s="559"/>
      <c r="FIP617" s="559"/>
      <c r="FIQ617" s="559"/>
      <c r="FIR617" s="559"/>
      <c r="FIS617" s="559"/>
      <c r="FIT617" s="559"/>
      <c r="FIU617" s="559"/>
      <c r="FIV617" s="559"/>
      <c r="FIW617" s="559"/>
      <c r="FIX617" s="559"/>
      <c r="FIY617" s="559"/>
      <c r="FIZ617" s="559"/>
      <c r="FJA617" s="559"/>
      <c r="FJB617" s="559"/>
      <c r="FJC617" s="559"/>
      <c r="FJD617" s="559"/>
      <c r="FJE617" s="559"/>
      <c r="FJF617" s="559"/>
      <c r="FJG617" s="559"/>
      <c r="FJH617" s="559"/>
      <c r="FJI617" s="559"/>
      <c r="FJJ617" s="559"/>
      <c r="FJK617" s="559"/>
      <c r="FJL617" s="559"/>
      <c r="FJM617" s="559"/>
      <c r="FJN617" s="559"/>
      <c r="FJO617" s="559"/>
      <c r="FJP617" s="559"/>
      <c r="FJQ617" s="559"/>
      <c r="FJR617" s="559"/>
      <c r="FJS617" s="559"/>
      <c r="FJT617" s="559"/>
      <c r="FJU617" s="559"/>
      <c r="FJV617" s="559"/>
      <c r="FJW617" s="559"/>
      <c r="FJX617" s="559"/>
      <c r="FJY617" s="559"/>
      <c r="FJZ617" s="559"/>
      <c r="FKA617" s="559"/>
      <c r="FKB617" s="559"/>
      <c r="FKC617" s="559"/>
      <c r="FKD617" s="559"/>
      <c r="FKE617" s="559"/>
      <c r="FKF617" s="559"/>
      <c r="FKG617" s="559"/>
      <c r="FKH617" s="559"/>
      <c r="FKI617" s="559"/>
      <c r="FKJ617" s="559"/>
      <c r="FKK617" s="559"/>
      <c r="FKL617" s="559"/>
      <c r="FKM617" s="559"/>
      <c r="FKN617" s="559"/>
      <c r="FKO617" s="559"/>
      <c r="FKP617" s="559"/>
      <c r="FKQ617" s="559"/>
      <c r="FKR617" s="559"/>
      <c r="FKS617" s="559"/>
      <c r="FKT617" s="559"/>
      <c r="FKU617" s="559"/>
      <c r="FKV617" s="559"/>
      <c r="FKW617" s="559"/>
      <c r="FKX617" s="559"/>
      <c r="FKY617" s="559"/>
      <c r="FKZ617" s="559"/>
      <c r="FLA617" s="559"/>
      <c r="FLB617" s="559"/>
      <c r="FLC617" s="559"/>
      <c r="FLD617" s="559"/>
      <c r="FLE617" s="559"/>
      <c r="FLF617" s="559"/>
      <c r="FLG617" s="559"/>
      <c r="FLH617" s="559"/>
      <c r="FLI617" s="559"/>
      <c r="FLJ617" s="559"/>
      <c r="FLK617" s="559"/>
      <c r="FLL617" s="559"/>
      <c r="FLM617" s="559"/>
      <c r="FLN617" s="559"/>
      <c r="FLO617" s="559"/>
      <c r="FLP617" s="559"/>
      <c r="FLQ617" s="559"/>
      <c r="FLR617" s="559"/>
      <c r="FLS617" s="559"/>
      <c r="FLT617" s="559"/>
      <c r="FLU617" s="559"/>
      <c r="FLV617" s="559"/>
      <c r="FLW617" s="559"/>
      <c r="FLX617" s="559"/>
      <c r="FLY617" s="559"/>
      <c r="FLZ617" s="559"/>
      <c r="FMA617" s="559"/>
      <c r="FMB617" s="559"/>
      <c r="FMC617" s="559"/>
      <c r="FMD617" s="559"/>
      <c r="FME617" s="559"/>
      <c r="FMF617" s="559"/>
      <c r="FMG617" s="559"/>
      <c r="FMH617" s="559"/>
      <c r="FMI617" s="559"/>
      <c r="FMJ617" s="559"/>
      <c r="FMK617" s="559"/>
      <c r="FML617" s="559"/>
      <c r="FMM617" s="559"/>
      <c r="FMN617" s="559"/>
      <c r="FMO617" s="559"/>
      <c r="FMP617" s="559"/>
      <c r="FMQ617" s="559"/>
      <c r="FMR617" s="559"/>
      <c r="FMS617" s="559"/>
      <c r="FMT617" s="559"/>
      <c r="FMU617" s="559"/>
      <c r="FMV617" s="559"/>
      <c r="FMW617" s="559"/>
      <c r="FMX617" s="559"/>
      <c r="FMY617" s="559"/>
      <c r="FMZ617" s="559"/>
      <c r="FNA617" s="559"/>
      <c r="FNB617" s="559"/>
      <c r="FNC617" s="559"/>
      <c r="FND617" s="559"/>
      <c r="FNE617" s="559"/>
      <c r="FNF617" s="559"/>
      <c r="FNG617" s="559"/>
      <c r="FNH617" s="559"/>
      <c r="FNI617" s="559"/>
      <c r="FNJ617" s="559"/>
      <c r="FNK617" s="559"/>
      <c r="FNL617" s="559"/>
      <c r="FNM617" s="559"/>
      <c r="FNN617" s="559"/>
      <c r="FNO617" s="559"/>
      <c r="FNP617" s="559"/>
      <c r="FNQ617" s="559"/>
      <c r="FNR617" s="559"/>
      <c r="FNS617" s="559"/>
      <c r="FNT617" s="559"/>
      <c r="FNU617" s="559"/>
      <c r="FNV617" s="559"/>
      <c r="FNW617" s="559"/>
      <c r="FNX617" s="559"/>
      <c r="FNY617" s="559"/>
      <c r="FNZ617" s="559"/>
      <c r="FOA617" s="559"/>
      <c r="FOB617" s="559"/>
      <c r="FOC617" s="559"/>
      <c r="FOD617" s="559"/>
      <c r="FOE617" s="559"/>
      <c r="FOF617" s="559"/>
      <c r="FOG617" s="559"/>
      <c r="FOH617" s="559"/>
      <c r="FOI617" s="559"/>
      <c r="FOJ617" s="559"/>
      <c r="FOK617" s="559"/>
      <c r="FOL617" s="559"/>
      <c r="FOM617" s="559"/>
      <c r="FON617" s="559"/>
      <c r="FOO617" s="559"/>
      <c r="FOP617" s="559"/>
      <c r="FOQ617" s="559"/>
      <c r="FOR617" s="559"/>
      <c r="FOS617" s="559"/>
      <c r="FOT617" s="559"/>
      <c r="FOU617" s="559"/>
      <c r="FOV617" s="559"/>
      <c r="FOW617" s="559"/>
      <c r="FOX617" s="559"/>
      <c r="FOY617" s="559"/>
      <c r="FOZ617" s="559"/>
      <c r="FPA617" s="559"/>
      <c r="FPB617" s="559"/>
      <c r="FPC617" s="559"/>
      <c r="FPD617" s="559"/>
      <c r="FPE617" s="559"/>
      <c r="FPF617" s="559"/>
      <c r="FPG617" s="559"/>
      <c r="FPH617" s="559"/>
      <c r="FPI617" s="559"/>
      <c r="FPJ617" s="559"/>
      <c r="FPK617" s="559"/>
      <c r="FPL617" s="559"/>
      <c r="FPM617" s="559"/>
      <c r="FPN617" s="559"/>
      <c r="FPO617" s="559"/>
      <c r="FPP617" s="559"/>
      <c r="FPQ617" s="559"/>
      <c r="FPR617" s="559"/>
      <c r="FPS617" s="559"/>
      <c r="FPT617" s="559"/>
      <c r="FPU617" s="559"/>
      <c r="FPV617" s="559"/>
      <c r="FPW617" s="559"/>
      <c r="FPX617" s="559"/>
      <c r="FPY617" s="559"/>
      <c r="FPZ617" s="559"/>
      <c r="FQA617" s="559"/>
      <c r="FQB617" s="559"/>
      <c r="FQC617" s="559"/>
      <c r="FQD617" s="559"/>
      <c r="FQE617" s="559"/>
      <c r="FQF617" s="559"/>
      <c r="FQG617" s="559"/>
      <c r="FQH617" s="559"/>
      <c r="FQI617" s="559"/>
      <c r="FQJ617" s="559"/>
      <c r="FQK617" s="559"/>
      <c r="FQL617" s="559"/>
      <c r="FQM617" s="559"/>
      <c r="FQN617" s="559"/>
      <c r="FQO617" s="559"/>
      <c r="FQP617" s="559"/>
      <c r="FQQ617" s="559"/>
      <c r="FQR617" s="559"/>
      <c r="FQS617" s="559"/>
      <c r="FQT617" s="559"/>
      <c r="FQU617" s="559"/>
      <c r="FQV617" s="559"/>
      <c r="FQW617" s="559"/>
      <c r="FQX617" s="559"/>
      <c r="FQY617" s="559"/>
      <c r="FQZ617" s="559"/>
      <c r="FRA617" s="559"/>
      <c r="FRB617" s="559"/>
      <c r="FRC617" s="559"/>
      <c r="FRD617" s="559"/>
      <c r="FRE617" s="559"/>
      <c r="FRF617" s="559"/>
      <c r="FRG617" s="559"/>
      <c r="FRH617" s="559"/>
      <c r="FRI617" s="559"/>
      <c r="FRJ617" s="559"/>
      <c r="FRK617" s="559"/>
      <c r="FRL617" s="559"/>
      <c r="FRM617" s="559"/>
      <c r="FRN617" s="559"/>
      <c r="FRO617" s="559"/>
      <c r="FRP617" s="559"/>
      <c r="FRQ617" s="559"/>
      <c r="FRR617" s="559"/>
      <c r="FRS617" s="559"/>
      <c r="FRT617" s="559"/>
      <c r="FRU617" s="559"/>
      <c r="FRV617" s="559"/>
      <c r="FRW617" s="559"/>
      <c r="FRX617" s="559"/>
      <c r="FRY617" s="559"/>
      <c r="FRZ617" s="559"/>
      <c r="FSA617" s="559"/>
      <c r="FSB617" s="559"/>
      <c r="FSC617" s="559"/>
      <c r="FSD617" s="559"/>
      <c r="FSE617" s="559"/>
      <c r="FSF617" s="559"/>
      <c r="FSG617" s="559"/>
      <c r="FSH617" s="559"/>
      <c r="FSI617" s="559"/>
      <c r="FSJ617" s="559"/>
      <c r="FSK617" s="559"/>
      <c r="FSL617" s="559"/>
      <c r="FSM617" s="559"/>
      <c r="FSN617" s="559"/>
      <c r="FSO617" s="559"/>
      <c r="FSP617" s="559"/>
      <c r="FSQ617" s="559"/>
      <c r="FSR617" s="559"/>
      <c r="FSS617" s="559"/>
      <c r="FST617" s="559"/>
      <c r="FSU617" s="559"/>
      <c r="FSV617" s="559"/>
      <c r="FSW617" s="559"/>
      <c r="FSX617" s="559"/>
      <c r="FSY617" s="559"/>
      <c r="FSZ617" s="559"/>
      <c r="FTA617" s="559"/>
      <c r="FTB617" s="559"/>
      <c r="FTC617" s="559"/>
      <c r="FTD617" s="559"/>
      <c r="FTE617" s="559"/>
      <c r="FTF617" s="559"/>
      <c r="FTG617" s="559"/>
      <c r="FTH617" s="559"/>
      <c r="FTI617" s="559"/>
      <c r="FTJ617" s="559"/>
      <c r="FTK617" s="559"/>
      <c r="FTL617" s="559"/>
      <c r="FTM617" s="559"/>
      <c r="FTN617" s="559"/>
      <c r="FTO617" s="559"/>
      <c r="FTP617" s="559"/>
      <c r="FTQ617" s="559"/>
      <c r="FTR617" s="559"/>
      <c r="FTS617" s="559"/>
      <c r="FTT617" s="559"/>
      <c r="FTU617" s="559"/>
      <c r="FTV617" s="559"/>
      <c r="FTW617" s="559"/>
      <c r="FTX617" s="559"/>
      <c r="FTY617" s="559"/>
      <c r="FTZ617" s="559"/>
      <c r="FUA617" s="559"/>
      <c r="FUB617" s="559"/>
      <c r="FUC617" s="559"/>
      <c r="FUD617" s="559"/>
      <c r="FUE617" s="559"/>
      <c r="FUF617" s="559"/>
      <c r="FUG617" s="559"/>
      <c r="FUH617" s="559"/>
      <c r="FUI617" s="559"/>
      <c r="FUJ617" s="559"/>
      <c r="FUK617" s="559"/>
      <c r="FUL617" s="559"/>
      <c r="FUM617" s="559"/>
      <c r="FUN617" s="559"/>
      <c r="FUO617" s="559"/>
      <c r="FUP617" s="559"/>
      <c r="FUQ617" s="559"/>
      <c r="FUR617" s="559"/>
      <c r="FUS617" s="559"/>
      <c r="FUT617" s="559"/>
      <c r="FUU617" s="559"/>
      <c r="FUV617" s="559"/>
      <c r="FUW617" s="559"/>
      <c r="FUX617" s="559"/>
      <c r="FUY617" s="559"/>
      <c r="FUZ617" s="559"/>
      <c r="FVA617" s="559"/>
      <c r="FVB617" s="559"/>
      <c r="FVC617" s="559"/>
      <c r="FVD617" s="559"/>
      <c r="FVE617" s="559"/>
      <c r="FVF617" s="559"/>
      <c r="FVG617" s="559"/>
      <c r="FVH617" s="559"/>
      <c r="FVI617" s="559"/>
      <c r="FVJ617" s="559"/>
      <c r="FVK617" s="559"/>
      <c r="FVL617" s="559"/>
      <c r="FVM617" s="559"/>
      <c r="FVN617" s="559"/>
      <c r="FVO617" s="559"/>
      <c r="FVP617" s="559"/>
      <c r="FVQ617" s="559"/>
      <c r="FVR617" s="559"/>
      <c r="FVS617" s="559"/>
      <c r="FVT617" s="559"/>
      <c r="FVU617" s="559"/>
      <c r="FVV617" s="559"/>
      <c r="FVW617" s="559"/>
      <c r="FVX617" s="559"/>
      <c r="FVY617" s="559"/>
      <c r="FVZ617" s="559"/>
      <c r="FWA617" s="559"/>
      <c r="FWB617" s="559"/>
      <c r="FWC617" s="559"/>
      <c r="FWD617" s="559"/>
      <c r="FWE617" s="559"/>
      <c r="FWF617" s="559"/>
      <c r="FWG617" s="559"/>
      <c r="FWH617" s="559"/>
      <c r="FWI617" s="559"/>
      <c r="FWJ617" s="559"/>
      <c r="FWK617" s="559"/>
      <c r="FWL617" s="559"/>
      <c r="FWM617" s="559"/>
      <c r="FWN617" s="559"/>
      <c r="FWO617" s="559"/>
      <c r="FWP617" s="559"/>
      <c r="FWQ617" s="559"/>
      <c r="FWR617" s="559"/>
      <c r="FWS617" s="559"/>
      <c r="FWT617" s="559"/>
      <c r="FWU617" s="559"/>
      <c r="FWV617" s="559"/>
      <c r="FWW617" s="559"/>
      <c r="FWX617" s="559"/>
      <c r="FWY617" s="559"/>
      <c r="FWZ617" s="559"/>
      <c r="FXA617" s="559"/>
      <c r="FXB617" s="559"/>
      <c r="FXC617" s="559"/>
      <c r="FXD617" s="559"/>
      <c r="FXE617" s="559"/>
      <c r="FXF617" s="559"/>
      <c r="FXG617" s="559"/>
      <c r="FXH617" s="559"/>
      <c r="FXI617" s="559"/>
      <c r="FXJ617" s="559"/>
      <c r="FXK617" s="559"/>
      <c r="FXL617" s="559"/>
      <c r="FXM617" s="559"/>
      <c r="FXN617" s="559"/>
      <c r="FXO617" s="559"/>
      <c r="FXP617" s="559"/>
      <c r="FXQ617" s="559"/>
      <c r="FXR617" s="559"/>
      <c r="FXS617" s="559"/>
      <c r="FXT617" s="559"/>
      <c r="FXU617" s="559"/>
      <c r="FXV617" s="559"/>
      <c r="FXW617" s="559"/>
      <c r="FXX617" s="559"/>
      <c r="FXY617" s="559"/>
      <c r="FXZ617" s="559"/>
      <c r="FYA617" s="559"/>
      <c r="FYB617" s="559"/>
      <c r="FYC617" s="559"/>
      <c r="FYD617" s="559"/>
      <c r="FYE617" s="559"/>
      <c r="FYF617" s="559"/>
      <c r="FYG617" s="559"/>
      <c r="FYH617" s="559"/>
      <c r="FYI617" s="559"/>
      <c r="FYJ617" s="559"/>
      <c r="FYK617" s="559"/>
      <c r="FYL617" s="559"/>
      <c r="FYM617" s="559"/>
      <c r="FYN617" s="559"/>
      <c r="FYO617" s="559"/>
      <c r="FYP617" s="559"/>
      <c r="FYQ617" s="559"/>
      <c r="FYR617" s="559"/>
      <c r="FYS617" s="559"/>
      <c r="FYT617" s="559"/>
      <c r="FYU617" s="559"/>
      <c r="FYV617" s="559"/>
      <c r="FYW617" s="559"/>
      <c r="FYX617" s="559"/>
      <c r="FYY617" s="559"/>
      <c r="FYZ617" s="559"/>
      <c r="FZA617" s="559"/>
      <c r="FZB617" s="559"/>
      <c r="FZC617" s="559"/>
      <c r="FZD617" s="559"/>
      <c r="FZE617" s="559"/>
      <c r="FZF617" s="559"/>
      <c r="FZG617" s="559"/>
      <c r="FZH617" s="559"/>
      <c r="FZI617" s="559"/>
      <c r="FZJ617" s="559"/>
      <c r="FZK617" s="559"/>
      <c r="FZL617" s="559"/>
      <c r="FZM617" s="559"/>
      <c r="FZN617" s="559"/>
      <c r="FZO617" s="559"/>
      <c r="FZP617" s="559"/>
      <c r="FZQ617" s="559"/>
      <c r="FZR617" s="559"/>
      <c r="FZS617" s="559"/>
      <c r="FZT617" s="559"/>
      <c r="FZU617" s="559"/>
      <c r="FZV617" s="559"/>
      <c r="FZW617" s="559"/>
      <c r="FZX617" s="559"/>
      <c r="FZY617" s="559"/>
      <c r="FZZ617" s="559"/>
      <c r="GAA617" s="559"/>
      <c r="GAB617" s="559"/>
      <c r="GAC617" s="559"/>
      <c r="GAD617" s="559"/>
      <c r="GAE617" s="559"/>
      <c r="GAF617" s="559"/>
      <c r="GAG617" s="559"/>
      <c r="GAH617" s="559"/>
      <c r="GAI617" s="559"/>
      <c r="GAJ617" s="559"/>
      <c r="GAK617" s="559"/>
      <c r="GAL617" s="559"/>
      <c r="GAM617" s="559"/>
      <c r="GAN617" s="559"/>
      <c r="GAO617" s="559"/>
      <c r="GAP617" s="559"/>
      <c r="GAQ617" s="559"/>
      <c r="GAR617" s="559"/>
      <c r="GAS617" s="559"/>
      <c r="GAT617" s="559"/>
      <c r="GAU617" s="559"/>
      <c r="GAV617" s="559"/>
      <c r="GAW617" s="559"/>
      <c r="GAX617" s="559"/>
      <c r="GAY617" s="559"/>
      <c r="GAZ617" s="559"/>
      <c r="GBA617" s="559"/>
      <c r="GBB617" s="559"/>
      <c r="GBC617" s="559"/>
      <c r="GBD617" s="559"/>
      <c r="GBE617" s="559"/>
      <c r="GBF617" s="559"/>
      <c r="GBG617" s="559"/>
      <c r="GBH617" s="559"/>
      <c r="GBI617" s="559"/>
      <c r="GBJ617" s="559"/>
      <c r="GBK617" s="559"/>
      <c r="GBL617" s="559"/>
      <c r="GBM617" s="559"/>
      <c r="GBN617" s="559"/>
      <c r="GBO617" s="559"/>
      <c r="GBP617" s="559"/>
      <c r="GBQ617" s="559"/>
      <c r="GBR617" s="559"/>
      <c r="GBS617" s="559"/>
      <c r="GBT617" s="559"/>
      <c r="GBU617" s="559"/>
      <c r="GBV617" s="559"/>
      <c r="GBW617" s="559"/>
      <c r="GBX617" s="559"/>
      <c r="GBY617" s="559"/>
      <c r="GBZ617" s="559"/>
      <c r="GCA617" s="559"/>
      <c r="GCB617" s="559"/>
      <c r="GCC617" s="559"/>
      <c r="GCD617" s="559"/>
      <c r="GCE617" s="559"/>
      <c r="GCF617" s="559"/>
      <c r="GCG617" s="559"/>
      <c r="GCH617" s="559"/>
      <c r="GCI617" s="559"/>
      <c r="GCJ617" s="559"/>
      <c r="GCK617" s="559"/>
      <c r="GCL617" s="559"/>
      <c r="GCM617" s="559"/>
      <c r="GCN617" s="559"/>
      <c r="GCO617" s="559"/>
      <c r="GCP617" s="559"/>
      <c r="GCQ617" s="559"/>
      <c r="GCR617" s="559"/>
      <c r="GCS617" s="559"/>
      <c r="GCT617" s="559"/>
      <c r="GCU617" s="559"/>
      <c r="GCV617" s="559"/>
      <c r="GCW617" s="559"/>
      <c r="GCX617" s="559"/>
      <c r="GCY617" s="559"/>
      <c r="GCZ617" s="559"/>
      <c r="GDA617" s="559"/>
      <c r="GDB617" s="559"/>
      <c r="GDC617" s="559"/>
      <c r="GDD617" s="559"/>
      <c r="GDE617" s="559"/>
      <c r="GDF617" s="559"/>
      <c r="GDG617" s="559"/>
      <c r="GDH617" s="559"/>
      <c r="GDI617" s="559"/>
      <c r="GDJ617" s="559"/>
      <c r="GDK617" s="559"/>
      <c r="GDL617" s="559"/>
      <c r="GDM617" s="559"/>
      <c r="GDN617" s="559"/>
      <c r="GDO617" s="559"/>
      <c r="GDP617" s="559"/>
      <c r="GDQ617" s="559"/>
      <c r="GDR617" s="559"/>
      <c r="GDS617" s="559"/>
      <c r="GDT617" s="559"/>
      <c r="GDU617" s="559"/>
      <c r="GDV617" s="559"/>
      <c r="GDW617" s="559"/>
      <c r="GDX617" s="559"/>
      <c r="GDY617" s="559"/>
      <c r="GDZ617" s="559"/>
      <c r="GEA617" s="559"/>
      <c r="GEB617" s="559"/>
      <c r="GEC617" s="559"/>
      <c r="GED617" s="559"/>
      <c r="GEE617" s="559"/>
      <c r="GEF617" s="559"/>
      <c r="GEG617" s="559"/>
      <c r="GEH617" s="559"/>
      <c r="GEI617" s="559"/>
      <c r="GEJ617" s="559"/>
      <c r="GEK617" s="559"/>
      <c r="GEL617" s="559"/>
      <c r="GEM617" s="559"/>
      <c r="GEN617" s="559"/>
      <c r="GEO617" s="559"/>
      <c r="GEP617" s="559"/>
      <c r="GEQ617" s="559"/>
      <c r="GER617" s="559"/>
      <c r="GES617" s="559"/>
      <c r="GET617" s="559"/>
      <c r="GEU617" s="559"/>
      <c r="GEV617" s="559"/>
      <c r="GEW617" s="559"/>
      <c r="GEX617" s="559"/>
      <c r="GEY617" s="559"/>
      <c r="GEZ617" s="559"/>
      <c r="GFA617" s="559"/>
      <c r="GFB617" s="559"/>
      <c r="GFC617" s="559"/>
      <c r="GFD617" s="559"/>
      <c r="GFE617" s="559"/>
      <c r="GFF617" s="559"/>
      <c r="GFG617" s="559"/>
      <c r="GFH617" s="559"/>
      <c r="GFI617" s="559"/>
      <c r="GFJ617" s="559"/>
      <c r="GFK617" s="559"/>
      <c r="GFL617" s="559"/>
      <c r="GFM617" s="559"/>
      <c r="GFN617" s="559"/>
      <c r="GFO617" s="559"/>
      <c r="GFP617" s="559"/>
      <c r="GFQ617" s="559"/>
      <c r="GFR617" s="559"/>
      <c r="GFS617" s="559"/>
      <c r="GFT617" s="559"/>
      <c r="GFU617" s="559"/>
      <c r="GFV617" s="559"/>
      <c r="GFW617" s="559"/>
      <c r="GFX617" s="559"/>
      <c r="GFY617" s="559"/>
      <c r="GFZ617" s="559"/>
      <c r="GGA617" s="559"/>
      <c r="GGB617" s="559"/>
      <c r="GGC617" s="559"/>
      <c r="GGD617" s="559"/>
      <c r="GGE617" s="559"/>
      <c r="GGF617" s="559"/>
      <c r="GGG617" s="559"/>
      <c r="GGH617" s="559"/>
      <c r="GGI617" s="559"/>
      <c r="GGJ617" s="559"/>
      <c r="GGK617" s="559"/>
      <c r="GGL617" s="559"/>
      <c r="GGM617" s="559"/>
      <c r="GGN617" s="559"/>
      <c r="GGO617" s="559"/>
      <c r="GGP617" s="559"/>
      <c r="GGQ617" s="559"/>
      <c r="GGR617" s="559"/>
      <c r="GGS617" s="559"/>
      <c r="GGT617" s="559"/>
      <c r="GGU617" s="559"/>
      <c r="GGV617" s="559"/>
      <c r="GGW617" s="559"/>
      <c r="GGX617" s="559"/>
      <c r="GGY617" s="559"/>
      <c r="GGZ617" s="559"/>
      <c r="GHA617" s="559"/>
      <c r="GHB617" s="559"/>
      <c r="GHC617" s="559"/>
      <c r="GHD617" s="559"/>
      <c r="GHE617" s="559"/>
      <c r="GHF617" s="559"/>
      <c r="GHG617" s="559"/>
      <c r="GHH617" s="559"/>
      <c r="GHI617" s="559"/>
      <c r="GHJ617" s="559"/>
      <c r="GHK617" s="559"/>
      <c r="GHL617" s="559"/>
      <c r="GHM617" s="559"/>
      <c r="GHN617" s="559"/>
      <c r="GHO617" s="559"/>
      <c r="GHP617" s="559"/>
      <c r="GHQ617" s="559"/>
      <c r="GHR617" s="559"/>
      <c r="GHS617" s="559"/>
      <c r="GHT617" s="559"/>
      <c r="GHU617" s="559"/>
      <c r="GHV617" s="559"/>
      <c r="GHW617" s="559"/>
      <c r="GHX617" s="559"/>
      <c r="GHY617" s="559"/>
      <c r="GHZ617" s="559"/>
      <c r="GIA617" s="559"/>
      <c r="GIB617" s="559"/>
      <c r="GIC617" s="559"/>
      <c r="GID617" s="559"/>
      <c r="GIE617" s="559"/>
      <c r="GIF617" s="559"/>
      <c r="GIG617" s="559"/>
      <c r="GIH617" s="559"/>
      <c r="GII617" s="559"/>
      <c r="GIJ617" s="559"/>
      <c r="GIK617" s="559"/>
      <c r="GIL617" s="559"/>
      <c r="GIM617" s="559"/>
      <c r="GIN617" s="559"/>
      <c r="GIO617" s="559"/>
      <c r="GIP617" s="559"/>
      <c r="GIQ617" s="559"/>
      <c r="GIR617" s="559"/>
      <c r="GIS617" s="559"/>
      <c r="GIT617" s="559"/>
      <c r="GIU617" s="559"/>
      <c r="GIV617" s="559"/>
      <c r="GIW617" s="559"/>
      <c r="GIX617" s="559"/>
      <c r="GIY617" s="559"/>
      <c r="GIZ617" s="559"/>
      <c r="GJA617" s="559"/>
      <c r="GJB617" s="559"/>
      <c r="GJC617" s="559"/>
      <c r="GJD617" s="559"/>
      <c r="GJE617" s="559"/>
      <c r="GJF617" s="559"/>
      <c r="GJG617" s="559"/>
      <c r="GJH617" s="559"/>
      <c r="GJI617" s="559"/>
      <c r="GJJ617" s="559"/>
      <c r="GJK617" s="559"/>
      <c r="GJL617" s="559"/>
      <c r="GJM617" s="559"/>
      <c r="GJN617" s="559"/>
      <c r="GJO617" s="559"/>
      <c r="GJP617" s="559"/>
      <c r="GJQ617" s="559"/>
      <c r="GJR617" s="559"/>
      <c r="GJS617" s="559"/>
      <c r="GJT617" s="559"/>
      <c r="GJU617" s="559"/>
      <c r="GJV617" s="559"/>
      <c r="GJW617" s="559"/>
      <c r="GJX617" s="559"/>
      <c r="GJY617" s="559"/>
      <c r="GJZ617" s="559"/>
      <c r="GKA617" s="559"/>
      <c r="GKB617" s="559"/>
      <c r="GKC617" s="559"/>
      <c r="GKD617" s="559"/>
      <c r="GKE617" s="559"/>
      <c r="GKF617" s="559"/>
      <c r="GKG617" s="559"/>
      <c r="GKH617" s="559"/>
      <c r="GKI617" s="559"/>
      <c r="GKJ617" s="559"/>
      <c r="GKK617" s="559"/>
      <c r="GKL617" s="559"/>
      <c r="GKM617" s="559"/>
      <c r="GKN617" s="559"/>
      <c r="GKO617" s="559"/>
      <c r="GKP617" s="559"/>
      <c r="GKQ617" s="559"/>
      <c r="GKR617" s="559"/>
      <c r="GKS617" s="559"/>
      <c r="GKT617" s="559"/>
      <c r="GKU617" s="559"/>
      <c r="GKV617" s="559"/>
      <c r="GKW617" s="559"/>
      <c r="GKX617" s="559"/>
      <c r="GKY617" s="559"/>
      <c r="GKZ617" s="559"/>
      <c r="GLA617" s="559"/>
      <c r="GLB617" s="559"/>
      <c r="GLC617" s="559"/>
      <c r="GLD617" s="559"/>
      <c r="GLE617" s="559"/>
      <c r="GLF617" s="559"/>
      <c r="GLG617" s="559"/>
      <c r="GLH617" s="559"/>
      <c r="GLI617" s="559"/>
      <c r="GLJ617" s="559"/>
      <c r="GLK617" s="559"/>
      <c r="GLL617" s="559"/>
      <c r="GLM617" s="559"/>
      <c r="GLN617" s="559"/>
      <c r="GLO617" s="559"/>
      <c r="GLP617" s="559"/>
      <c r="GLQ617" s="559"/>
      <c r="GLR617" s="559"/>
      <c r="GLS617" s="559"/>
      <c r="GLT617" s="559"/>
      <c r="GLU617" s="559"/>
      <c r="GLV617" s="559"/>
      <c r="GLW617" s="559"/>
      <c r="GLX617" s="559"/>
      <c r="GLY617" s="559"/>
      <c r="GLZ617" s="559"/>
      <c r="GMA617" s="559"/>
      <c r="GMB617" s="559"/>
      <c r="GMC617" s="559"/>
      <c r="GMD617" s="559"/>
      <c r="GME617" s="559"/>
      <c r="GMF617" s="559"/>
      <c r="GMG617" s="559"/>
      <c r="GMH617" s="559"/>
      <c r="GMI617" s="559"/>
      <c r="GMJ617" s="559"/>
      <c r="GMK617" s="559"/>
      <c r="GML617" s="559"/>
      <c r="GMM617" s="559"/>
      <c r="GMN617" s="559"/>
      <c r="GMO617" s="559"/>
      <c r="GMP617" s="559"/>
      <c r="GMQ617" s="559"/>
      <c r="GMR617" s="559"/>
      <c r="GMS617" s="559"/>
      <c r="GMT617" s="559"/>
      <c r="GMU617" s="559"/>
      <c r="GMV617" s="559"/>
      <c r="GMW617" s="559"/>
      <c r="GMX617" s="559"/>
      <c r="GMY617" s="559"/>
      <c r="GMZ617" s="559"/>
      <c r="GNA617" s="559"/>
      <c r="GNB617" s="559"/>
      <c r="GNC617" s="559"/>
      <c r="GND617" s="559"/>
      <c r="GNE617" s="559"/>
      <c r="GNF617" s="559"/>
      <c r="GNG617" s="559"/>
      <c r="GNH617" s="559"/>
      <c r="GNI617" s="559"/>
      <c r="GNJ617" s="559"/>
      <c r="GNK617" s="559"/>
      <c r="GNL617" s="559"/>
      <c r="GNM617" s="559"/>
      <c r="GNN617" s="559"/>
      <c r="GNO617" s="559"/>
      <c r="GNP617" s="559"/>
      <c r="GNQ617" s="559"/>
      <c r="GNR617" s="559"/>
      <c r="GNS617" s="559"/>
      <c r="GNT617" s="559"/>
      <c r="GNU617" s="559"/>
      <c r="GNV617" s="559"/>
      <c r="GNW617" s="559"/>
      <c r="GNX617" s="559"/>
      <c r="GNY617" s="559"/>
      <c r="GNZ617" s="559"/>
      <c r="GOA617" s="559"/>
      <c r="GOB617" s="559"/>
      <c r="GOC617" s="559"/>
      <c r="GOD617" s="559"/>
      <c r="GOE617" s="559"/>
      <c r="GOF617" s="559"/>
      <c r="GOG617" s="559"/>
      <c r="GOH617" s="559"/>
      <c r="GOI617" s="559"/>
      <c r="GOJ617" s="559"/>
      <c r="GOK617" s="559"/>
      <c r="GOL617" s="559"/>
      <c r="GOM617" s="559"/>
      <c r="GON617" s="559"/>
      <c r="GOO617" s="559"/>
      <c r="GOP617" s="559"/>
      <c r="GOQ617" s="559"/>
      <c r="GOR617" s="559"/>
      <c r="GOS617" s="559"/>
      <c r="GOT617" s="559"/>
      <c r="GOU617" s="559"/>
      <c r="GOV617" s="559"/>
      <c r="GOW617" s="559"/>
      <c r="GOX617" s="559"/>
      <c r="GOY617" s="559"/>
      <c r="GOZ617" s="559"/>
      <c r="GPA617" s="559"/>
      <c r="GPB617" s="559"/>
      <c r="GPC617" s="559"/>
      <c r="GPD617" s="559"/>
      <c r="GPE617" s="559"/>
      <c r="GPF617" s="559"/>
      <c r="GPG617" s="559"/>
      <c r="GPH617" s="559"/>
      <c r="GPI617" s="559"/>
      <c r="GPJ617" s="559"/>
      <c r="GPK617" s="559"/>
      <c r="GPL617" s="559"/>
      <c r="GPM617" s="559"/>
      <c r="GPN617" s="559"/>
      <c r="GPO617" s="559"/>
      <c r="GPP617" s="559"/>
      <c r="GPQ617" s="559"/>
      <c r="GPR617" s="559"/>
      <c r="GPS617" s="559"/>
      <c r="GPT617" s="559"/>
      <c r="GPU617" s="559"/>
      <c r="GPV617" s="559"/>
      <c r="GPW617" s="559"/>
      <c r="GPX617" s="559"/>
      <c r="GPY617" s="559"/>
      <c r="GPZ617" s="559"/>
      <c r="GQA617" s="559"/>
      <c r="GQB617" s="559"/>
      <c r="GQC617" s="559"/>
      <c r="GQD617" s="559"/>
      <c r="GQE617" s="559"/>
      <c r="GQF617" s="559"/>
      <c r="GQG617" s="559"/>
      <c r="GQH617" s="559"/>
      <c r="GQI617" s="559"/>
      <c r="GQJ617" s="559"/>
      <c r="GQK617" s="559"/>
      <c r="GQL617" s="559"/>
      <c r="GQM617" s="559"/>
      <c r="GQN617" s="559"/>
      <c r="GQO617" s="559"/>
      <c r="GQP617" s="559"/>
      <c r="GQQ617" s="559"/>
      <c r="GQR617" s="559"/>
      <c r="GQS617" s="559"/>
      <c r="GQT617" s="559"/>
      <c r="GQU617" s="559"/>
      <c r="GQV617" s="559"/>
      <c r="GQW617" s="559"/>
      <c r="GQX617" s="559"/>
      <c r="GQY617" s="559"/>
      <c r="GQZ617" s="559"/>
      <c r="GRA617" s="559"/>
      <c r="GRB617" s="559"/>
      <c r="GRC617" s="559"/>
      <c r="GRD617" s="559"/>
      <c r="GRE617" s="559"/>
      <c r="GRF617" s="559"/>
      <c r="GRG617" s="559"/>
      <c r="GRH617" s="559"/>
      <c r="GRI617" s="559"/>
      <c r="GRJ617" s="559"/>
      <c r="GRK617" s="559"/>
      <c r="GRL617" s="559"/>
      <c r="GRM617" s="559"/>
      <c r="GRN617" s="559"/>
      <c r="GRO617" s="559"/>
      <c r="GRP617" s="559"/>
      <c r="GRQ617" s="559"/>
      <c r="GRR617" s="559"/>
      <c r="GRS617" s="559"/>
      <c r="GRT617" s="559"/>
      <c r="GRU617" s="559"/>
      <c r="GRV617" s="559"/>
      <c r="GRW617" s="559"/>
      <c r="GRX617" s="559"/>
      <c r="GRY617" s="559"/>
      <c r="GRZ617" s="559"/>
      <c r="GSA617" s="559"/>
      <c r="GSB617" s="559"/>
      <c r="GSC617" s="559"/>
      <c r="GSD617" s="559"/>
      <c r="GSE617" s="559"/>
      <c r="GSF617" s="559"/>
      <c r="GSG617" s="559"/>
      <c r="GSH617" s="559"/>
      <c r="GSI617" s="559"/>
      <c r="GSJ617" s="559"/>
      <c r="GSK617" s="559"/>
      <c r="GSL617" s="559"/>
      <c r="GSM617" s="559"/>
      <c r="GSN617" s="559"/>
      <c r="GSO617" s="559"/>
      <c r="GSP617" s="559"/>
      <c r="GSQ617" s="559"/>
      <c r="GSR617" s="559"/>
      <c r="GSS617" s="559"/>
      <c r="GST617" s="559"/>
      <c r="GSU617" s="559"/>
      <c r="GSV617" s="559"/>
      <c r="GSW617" s="559"/>
      <c r="GSX617" s="559"/>
      <c r="GSY617" s="559"/>
      <c r="GSZ617" s="559"/>
      <c r="GTA617" s="559"/>
      <c r="GTB617" s="559"/>
      <c r="GTC617" s="559"/>
      <c r="GTD617" s="559"/>
      <c r="GTE617" s="559"/>
      <c r="GTF617" s="559"/>
      <c r="GTG617" s="559"/>
      <c r="GTH617" s="559"/>
      <c r="GTI617" s="559"/>
      <c r="GTJ617" s="559"/>
      <c r="GTK617" s="559"/>
      <c r="GTL617" s="559"/>
      <c r="GTM617" s="559"/>
      <c r="GTN617" s="559"/>
      <c r="GTO617" s="559"/>
      <c r="GTP617" s="559"/>
      <c r="GTQ617" s="559"/>
      <c r="GTR617" s="559"/>
      <c r="GTS617" s="559"/>
      <c r="GTT617" s="559"/>
      <c r="GTU617" s="559"/>
      <c r="GTV617" s="559"/>
      <c r="GTW617" s="559"/>
      <c r="GTX617" s="559"/>
      <c r="GTY617" s="559"/>
      <c r="GTZ617" s="559"/>
      <c r="GUA617" s="559"/>
      <c r="GUB617" s="559"/>
      <c r="GUC617" s="559"/>
      <c r="GUD617" s="559"/>
      <c r="GUE617" s="559"/>
      <c r="GUF617" s="559"/>
      <c r="GUG617" s="559"/>
      <c r="GUH617" s="559"/>
      <c r="GUI617" s="559"/>
      <c r="GUJ617" s="559"/>
      <c r="GUK617" s="559"/>
      <c r="GUL617" s="559"/>
      <c r="GUM617" s="559"/>
      <c r="GUN617" s="559"/>
      <c r="GUO617" s="559"/>
      <c r="GUP617" s="559"/>
      <c r="GUQ617" s="559"/>
      <c r="GUR617" s="559"/>
      <c r="GUS617" s="559"/>
      <c r="GUT617" s="559"/>
      <c r="GUU617" s="559"/>
      <c r="GUV617" s="559"/>
      <c r="GUW617" s="559"/>
      <c r="GUX617" s="559"/>
      <c r="GUY617" s="559"/>
      <c r="GUZ617" s="559"/>
      <c r="GVA617" s="559"/>
      <c r="GVB617" s="559"/>
      <c r="GVC617" s="559"/>
      <c r="GVD617" s="559"/>
      <c r="GVE617" s="559"/>
      <c r="GVF617" s="559"/>
      <c r="GVG617" s="559"/>
      <c r="GVH617" s="559"/>
      <c r="GVI617" s="559"/>
      <c r="GVJ617" s="559"/>
      <c r="GVK617" s="559"/>
      <c r="GVL617" s="559"/>
      <c r="GVM617" s="559"/>
      <c r="GVN617" s="559"/>
      <c r="GVO617" s="559"/>
      <c r="GVP617" s="559"/>
      <c r="GVQ617" s="559"/>
      <c r="GVR617" s="559"/>
      <c r="GVS617" s="559"/>
      <c r="GVT617" s="559"/>
      <c r="GVU617" s="559"/>
      <c r="GVV617" s="559"/>
      <c r="GVW617" s="559"/>
      <c r="GVX617" s="559"/>
      <c r="GVY617" s="559"/>
      <c r="GVZ617" s="559"/>
      <c r="GWA617" s="559"/>
      <c r="GWB617" s="559"/>
      <c r="GWC617" s="559"/>
      <c r="GWD617" s="559"/>
      <c r="GWE617" s="559"/>
      <c r="GWF617" s="559"/>
      <c r="GWG617" s="559"/>
      <c r="GWH617" s="559"/>
      <c r="GWI617" s="559"/>
      <c r="GWJ617" s="559"/>
      <c r="GWK617" s="559"/>
      <c r="GWL617" s="559"/>
      <c r="GWM617" s="559"/>
      <c r="GWN617" s="559"/>
      <c r="GWO617" s="559"/>
      <c r="GWP617" s="559"/>
      <c r="GWQ617" s="559"/>
      <c r="GWR617" s="559"/>
      <c r="GWS617" s="559"/>
      <c r="GWT617" s="559"/>
      <c r="GWU617" s="559"/>
      <c r="GWV617" s="559"/>
      <c r="GWW617" s="559"/>
      <c r="GWX617" s="559"/>
      <c r="GWY617" s="559"/>
      <c r="GWZ617" s="559"/>
      <c r="GXA617" s="559"/>
      <c r="GXB617" s="559"/>
      <c r="GXC617" s="559"/>
      <c r="GXD617" s="559"/>
      <c r="GXE617" s="559"/>
      <c r="GXF617" s="559"/>
      <c r="GXG617" s="559"/>
      <c r="GXH617" s="559"/>
      <c r="GXI617" s="559"/>
      <c r="GXJ617" s="559"/>
      <c r="GXK617" s="559"/>
      <c r="GXL617" s="559"/>
      <c r="GXM617" s="559"/>
      <c r="GXN617" s="559"/>
      <c r="GXO617" s="559"/>
      <c r="GXP617" s="559"/>
      <c r="GXQ617" s="559"/>
      <c r="GXR617" s="559"/>
      <c r="GXS617" s="559"/>
      <c r="GXT617" s="559"/>
      <c r="GXU617" s="559"/>
      <c r="GXV617" s="559"/>
      <c r="GXW617" s="559"/>
      <c r="GXX617" s="559"/>
      <c r="GXY617" s="559"/>
      <c r="GXZ617" s="559"/>
      <c r="GYA617" s="559"/>
      <c r="GYB617" s="559"/>
      <c r="GYC617" s="559"/>
      <c r="GYD617" s="559"/>
      <c r="GYE617" s="559"/>
      <c r="GYF617" s="559"/>
      <c r="GYG617" s="559"/>
      <c r="GYH617" s="559"/>
      <c r="GYI617" s="559"/>
      <c r="GYJ617" s="559"/>
      <c r="GYK617" s="559"/>
      <c r="GYL617" s="559"/>
      <c r="GYM617" s="559"/>
      <c r="GYN617" s="559"/>
      <c r="GYO617" s="559"/>
      <c r="GYP617" s="559"/>
      <c r="GYQ617" s="559"/>
      <c r="GYR617" s="559"/>
      <c r="GYS617" s="559"/>
      <c r="GYT617" s="559"/>
      <c r="GYU617" s="559"/>
      <c r="GYV617" s="559"/>
      <c r="GYW617" s="559"/>
      <c r="GYX617" s="559"/>
      <c r="GYY617" s="559"/>
      <c r="GYZ617" s="559"/>
      <c r="GZA617" s="559"/>
      <c r="GZB617" s="559"/>
      <c r="GZC617" s="559"/>
      <c r="GZD617" s="559"/>
      <c r="GZE617" s="559"/>
      <c r="GZF617" s="559"/>
      <c r="GZG617" s="559"/>
      <c r="GZH617" s="559"/>
      <c r="GZI617" s="559"/>
      <c r="GZJ617" s="559"/>
      <c r="GZK617" s="559"/>
      <c r="GZL617" s="559"/>
      <c r="GZM617" s="559"/>
      <c r="GZN617" s="559"/>
      <c r="GZO617" s="559"/>
      <c r="GZP617" s="559"/>
      <c r="GZQ617" s="559"/>
      <c r="GZR617" s="559"/>
      <c r="GZS617" s="559"/>
      <c r="GZT617" s="559"/>
      <c r="GZU617" s="559"/>
      <c r="GZV617" s="559"/>
      <c r="GZW617" s="559"/>
      <c r="GZX617" s="559"/>
      <c r="GZY617" s="559"/>
      <c r="GZZ617" s="559"/>
      <c r="HAA617" s="559"/>
      <c r="HAB617" s="559"/>
      <c r="HAC617" s="559"/>
      <c r="HAD617" s="559"/>
      <c r="HAE617" s="559"/>
      <c r="HAF617" s="559"/>
      <c r="HAG617" s="559"/>
      <c r="HAH617" s="559"/>
      <c r="HAI617" s="559"/>
      <c r="HAJ617" s="559"/>
      <c r="HAK617" s="559"/>
      <c r="HAL617" s="559"/>
      <c r="HAM617" s="559"/>
      <c r="HAN617" s="559"/>
      <c r="HAO617" s="559"/>
      <c r="HAP617" s="559"/>
      <c r="HAQ617" s="559"/>
      <c r="HAR617" s="559"/>
      <c r="HAS617" s="559"/>
      <c r="HAT617" s="559"/>
      <c r="HAU617" s="559"/>
      <c r="HAV617" s="559"/>
      <c r="HAW617" s="559"/>
      <c r="HAX617" s="559"/>
      <c r="HAY617" s="559"/>
      <c r="HAZ617" s="559"/>
      <c r="HBA617" s="559"/>
      <c r="HBB617" s="559"/>
      <c r="HBC617" s="559"/>
      <c r="HBD617" s="559"/>
      <c r="HBE617" s="559"/>
      <c r="HBF617" s="559"/>
      <c r="HBG617" s="559"/>
      <c r="HBH617" s="559"/>
      <c r="HBI617" s="559"/>
      <c r="HBJ617" s="559"/>
      <c r="HBK617" s="559"/>
      <c r="HBL617" s="559"/>
      <c r="HBM617" s="559"/>
      <c r="HBN617" s="559"/>
      <c r="HBO617" s="559"/>
      <c r="HBP617" s="559"/>
      <c r="HBQ617" s="559"/>
      <c r="HBR617" s="559"/>
      <c r="HBS617" s="559"/>
      <c r="HBT617" s="559"/>
      <c r="HBU617" s="559"/>
      <c r="HBV617" s="559"/>
      <c r="HBW617" s="559"/>
      <c r="HBX617" s="559"/>
      <c r="HBY617" s="559"/>
      <c r="HBZ617" s="559"/>
      <c r="HCA617" s="559"/>
      <c r="HCB617" s="559"/>
      <c r="HCC617" s="559"/>
      <c r="HCD617" s="559"/>
      <c r="HCE617" s="559"/>
      <c r="HCF617" s="559"/>
      <c r="HCG617" s="559"/>
      <c r="HCH617" s="559"/>
      <c r="HCI617" s="559"/>
      <c r="HCJ617" s="559"/>
      <c r="HCK617" s="559"/>
      <c r="HCL617" s="559"/>
      <c r="HCM617" s="559"/>
      <c r="HCN617" s="559"/>
      <c r="HCO617" s="559"/>
      <c r="HCP617" s="559"/>
      <c r="HCQ617" s="559"/>
      <c r="HCR617" s="559"/>
      <c r="HCS617" s="559"/>
      <c r="HCT617" s="559"/>
      <c r="HCU617" s="559"/>
      <c r="HCV617" s="559"/>
      <c r="HCW617" s="559"/>
      <c r="HCX617" s="559"/>
      <c r="HCY617" s="559"/>
      <c r="HCZ617" s="559"/>
      <c r="HDA617" s="559"/>
      <c r="HDB617" s="559"/>
      <c r="HDC617" s="559"/>
      <c r="HDD617" s="559"/>
      <c r="HDE617" s="559"/>
      <c r="HDF617" s="559"/>
      <c r="HDG617" s="559"/>
      <c r="HDH617" s="559"/>
      <c r="HDI617" s="559"/>
      <c r="HDJ617" s="559"/>
      <c r="HDK617" s="559"/>
      <c r="HDL617" s="559"/>
      <c r="HDM617" s="559"/>
      <c r="HDN617" s="559"/>
      <c r="HDO617" s="559"/>
      <c r="HDP617" s="559"/>
      <c r="HDQ617" s="559"/>
      <c r="HDR617" s="559"/>
      <c r="HDS617" s="559"/>
      <c r="HDT617" s="559"/>
      <c r="HDU617" s="559"/>
      <c r="HDV617" s="559"/>
      <c r="HDW617" s="559"/>
      <c r="HDX617" s="559"/>
      <c r="HDY617" s="559"/>
      <c r="HDZ617" s="559"/>
      <c r="HEA617" s="559"/>
      <c r="HEB617" s="559"/>
      <c r="HEC617" s="559"/>
      <c r="HED617" s="559"/>
      <c r="HEE617" s="559"/>
      <c r="HEF617" s="559"/>
      <c r="HEG617" s="559"/>
      <c r="HEH617" s="559"/>
      <c r="HEI617" s="559"/>
      <c r="HEJ617" s="559"/>
      <c r="HEK617" s="559"/>
      <c r="HEL617" s="559"/>
      <c r="HEM617" s="559"/>
      <c r="HEN617" s="559"/>
      <c r="HEO617" s="559"/>
      <c r="HEP617" s="559"/>
      <c r="HEQ617" s="559"/>
      <c r="HER617" s="559"/>
      <c r="HES617" s="559"/>
      <c r="HET617" s="559"/>
      <c r="HEU617" s="559"/>
      <c r="HEV617" s="559"/>
      <c r="HEW617" s="559"/>
      <c r="HEX617" s="559"/>
      <c r="HEY617" s="559"/>
      <c r="HEZ617" s="559"/>
      <c r="HFA617" s="559"/>
      <c r="HFB617" s="559"/>
      <c r="HFC617" s="559"/>
      <c r="HFD617" s="559"/>
      <c r="HFE617" s="559"/>
      <c r="HFF617" s="559"/>
      <c r="HFG617" s="559"/>
      <c r="HFH617" s="559"/>
      <c r="HFI617" s="559"/>
      <c r="HFJ617" s="559"/>
      <c r="HFK617" s="559"/>
      <c r="HFL617" s="559"/>
      <c r="HFM617" s="559"/>
      <c r="HFN617" s="559"/>
      <c r="HFO617" s="559"/>
      <c r="HFP617" s="559"/>
      <c r="HFQ617" s="559"/>
      <c r="HFR617" s="559"/>
      <c r="HFS617" s="559"/>
      <c r="HFT617" s="559"/>
      <c r="HFU617" s="559"/>
      <c r="HFV617" s="559"/>
      <c r="HFW617" s="559"/>
      <c r="HFX617" s="559"/>
      <c r="HFY617" s="559"/>
      <c r="HFZ617" s="559"/>
      <c r="HGA617" s="559"/>
      <c r="HGB617" s="559"/>
      <c r="HGC617" s="559"/>
      <c r="HGD617" s="559"/>
      <c r="HGE617" s="559"/>
      <c r="HGF617" s="559"/>
      <c r="HGG617" s="559"/>
      <c r="HGH617" s="559"/>
      <c r="HGI617" s="559"/>
      <c r="HGJ617" s="559"/>
      <c r="HGK617" s="559"/>
      <c r="HGL617" s="559"/>
      <c r="HGM617" s="559"/>
      <c r="HGN617" s="559"/>
      <c r="HGO617" s="559"/>
      <c r="HGP617" s="559"/>
      <c r="HGQ617" s="559"/>
      <c r="HGR617" s="559"/>
      <c r="HGS617" s="559"/>
      <c r="HGT617" s="559"/>
      <c r="HGU617" s="559"/>
      <c r="HGV617" s="559"/>
      <c r="HGW617" s="559"/>
      <c r="HGX617" s="559"/>
      <c r="HGY617" s="559"/>
      <c r="HGZ617" s="559"/>
      <c r="HHA617" s="559"/>
      <c r="HHB617" s="559"/>
      <c r="HHC617" s="559"/>
      <c r="HHD617" s="559"/>
      <c r="HHE617" s="559"/>
      <c r="HHF617" s="559"/>
      <c r="HHG617" s="559"/>
      <c r="HHH617" s="559"/>
      <c r="HHI617" s="559"/>
      <c r="HHJ617" s="559"/>
      <c r="HHK617" s="559"/>
      <c r="HHL617" s="559"/>
      <c r="HHM617" s="559"/>
      <c r="HHN617" s="559"/>
      <c r="HHO617" s="559"/>
      <c r="HHP617" s="559"/>
      <c r="HHQ617" s="559"/>
      <c r="HHR617" s="559"/>
      <c r="HHS617" s="559"/>
      <c r="HHT617" s="559"/>
      <c r="HHU617" s="559"/>
      <c r="HHV617" s="559"/>
      <c r="HHW617" s="559"/>
      <c r="HHX617" s="559"/>
      <c r="HHY617" s="559"/>
      <c r="HHZ617" s="559"/>
      <c r="HIA617" s="559"/>
      <c r="HIB617" s="559"/>
      <c r="HIC617" s="559"/>
      <c r="HID617" s="559"/>
      <c r="HIE617" s="559"/>
      <c r="HIF617" s="559"/>
      <c r="HIG617" s="559"/>
      <c r="HIH617" s="559"/>
      <c r="HII617" s="559"/>
      <c r="HIJ617" s="559"/>
      <c r="HIK617" s="559"/>
      <c r="HIL617" s="559"/>
      <c r="HIM617" s="559"/>
      <c r="HIN617" s="559"/>
      <c r="HIO617" s="559"/>
      <c r="HIP617" s="559"/>
      <c r="HIQ617" s="559"/>
      <c r="HIR617" s="559"/>
      <c r="HIS617" s="559"/>
      <c r="HIT617" s="559"/>
      <c r="HIU617" s="559"/>
      <c r="HIV617" s="559"/>
      <c r="HIW617" s="559"/>
      <c r="HIX617" s="559"/>
      <c r="HIY617" s="559"/>
      <c r="HIZ617" s="559"/>
      <c r="HJA617" s="559"/>
      <c r="HJB617" s="559"/>
      <c r="HJC617" s="559"/>
      <c r="HJD617" s="559"/>
      <c r="HJE617" s="559"/>
      <c r="HJF617" s="559"/>
      <c r="HJG617" s="559"/>
      <c r="HJH617" s="559"/>
      <c r="HJI617" s="559"/>
      <c r="HJJ617" s="559"/>
      <c r="HJK617" s="559"/>
      <c r="HJL617" s="559"/>
      <c r="HJM617" s="559"/>
      <c r="HJN617" s="559"/>
      <c r="HJO617" s="559"/>
      <c r="HJP617" s="559"/>
      <c r="HJQ617" s="559"/>
      <c r="HJR617" s="559"/>
      <c r="HJS617" s="559"/>
      <c r="HJT617" s="559"/>
      <c r="HJU617" s="559"/>
      <c r="HJV617" s="559"/>
      <c r="HJW617" s="559"/>
      <c r="HJX617" s="559"/>
      <c r="HJY617" s="559"/>
      <c r="HJZ617" s="559"/>
      <c r="HKA617" s="559"/>
      <c r="HKB617" s="559"/>
      <c r="HKC617" s="559"/>
      <c r="HKD617" s="559"/>
      <c r="HKE617" s="559"/>
      <c r="HKF617" s="559"/>
      <c r="HKG617" s="559"/>
      <c r="HKH617" s="559"/>
      <c r="HKI617" s="559"/>
      <c r="HKJ617" s="559"/>
      <c r="HKK617" s="559"/>
      <c r="HKL617" s="559"/>
      <c r="HKM617" s="559"/>
      <c r="HKN617" s="559"/>
      <c r="HKO617" s="559"/>
      <c r="HKP617" s="559"/>
      <c r="HKQ617" s="559"/>
      <c r="HKR617" s="559"/>
      <c r="HKS617" s="559"/>
      <c r="HKT617" s="559"/>
      <c r="HKU617" s="559"/>
      <c r="HKV617" s="559"/>
      <c r="HKW617" s="559"/>
      <c r="HKX617" s="559"/>
      <c r="HKY617" s="559"/>
      <c r="HKZ617" s="559"/>
      <c r="HLA617" s="559"/>
      <c r="HLB617" s="559"/>
      <c r="HLC617" s="559"/>
      <c r="HLD617" s="559"/>
      <c r="HLE617" s="559"/>
      <c r="HLF617" s="559"/>
      <c r="HLG617" s="559"/>
      <c r="HLH617" s="559"/>
      <c r="HLI617" s="559"/>
      <c r="HLJ617" s="559"/>
      <c r="HLK617" s="559"/>
      <c r="HLL617" s="559"/>
      <c r="HLM617" s="559"/>
      <c r="HLN617" s="559"/>
      <c r="HLO617" s="559"/>
      <c r="HLP617" s="559"/>
      <c r="HLQ617" s="559"/>
      <c r="HLR617" s="559"/>
      <c r="HLS617" s="559"/>
      <c r="HLT617" s="559"/>
      <c r="HLU617" s="559"/>
      <c r="HLV617" s="559"/>
      <c r="HLW617" s="559"/>
      <c r="HLX617" s="559"/>
      <c r="HLY617" s="559"/>
      <c r="HLZ617" s="559"/>
      <c r="HMA617" s="559"/>
      <c r="HMB617" s="559"/>
      <c r="HMC617" s="559"/>
      <c r="HMD617" s="559"/>
      <c r="HME617" s="559"/>
      <c r="HMF617" s="559"/>
      <c r="HMG617" s="559"/>
      <c r="HMH617" s="559"/>
      <c r="HMI617" s="559"/>
      <c r="HMJ617" s="559"/>
      <c r="HMK617" s="559"/>
      <c r="HML617" s="559"/>
      <c r="HMM617" s="559"/>
      <c r="HMN617" s="559"/>
      <c r="HMO617" s="559"/>
      <c r="HMP617" s="559"/>
      <c r="HMQ617" s="559"/>
      <c r="HMR617" s="559"/>
      <c r="HMS617" s="559"/>
      <c r="HMT617" s="559"/>
      <c r="HMU617" s="559"/>
      <c r="HMV617" s="559"/>
      <c r="HMW617" s="559"/>
      <c r="HMX617" s="559"/>
      <c r="HMY617" s="559"/>
      <c r="HMZ617" s="559"/>
      <c r="HNA617" s="559"/>
      <c r="HNB617" s="559"/>
      <c r="HNC617" s="559"/>
      <c r="HND617" s="559"/>
      <c r="HNE617" s="559"/>
      <c r="HNF617" s="559"/>
      <c r="HNG617" s="559"/>
      <c r="HNH617" s="559"/>
      <c r="HNI617" s="559"/>
      <c r="HNJ617" s="559"/>
      <c r="HNK617" s="559"/>
      <c r="HNL617" s="559"/>
      <c r="HNM617" s="559"/>
      <c r="HNN617" s="559"/>
      <c r="HNO617" s="559"/>
      <c r="HNP617" s="559"/>
      <c r="HNQ617" s="559"/>
      <c r="HNR617" s="559"/>
      <c r="HNS617" s="559"/>
      <c r="HNT617" s="559"/>
      <c r="HNU617" s="559"/>
      <c r="HNV617" s="559"/>
      <c r="HNW617" s="559"/>
      <c r="HNX617" s="559"/>
      <c r="HNY617" s="559"/>
      <c r="HNZ617" s="559"/>
      <c r="HOA617" s="559"/>
      <c r="HOB617" s="559"/>
      <c r="HOC617" s="559"/>
      <c r="HOD617" s="559"/>
      <c r="HOE617" s="559"/>
      <c r="HOF617" s="559"/>
      <c r="HOG617" s="559"/>
      <c r="HOH617" s="559"/>
      <c r="HOI617" s="559"/>
      <c r="HOJ617" s="559"/>
      <c r="HOK617" s="559"/>
      <c r="HOL617" s="559"/>
      <c r="HOM617" s="559"/>
      <c r="HON617" s="559"/>
      <c r="HOO617" s="559"/>
      <c r="HOP617" s="559"/>
      <c r="HOQ617" s="559"/>
      <c r="HOR617" s="559"/>
      <c r="HOS617" s="559"/>
      <c r="HOT617" s="559"/>
      <c r="HOU617" s="559"/>
      <c r="HOV617" s="559"/>
      <c r="HOW617" s="559"/>
      <c r="HOX617" s="559"/>
      <c r="HOY617" s="559"/>
      <c r="HOZ617" s="559"/>
      <c r="HPA617" s="559"/>
      <c r="HPB617" s="559"/>
      <c r="HPC617" s="559"/>
      <c r="HPD617" s="559"/>
      <c r="HPE617" s="559"/>
      <c r="HPF617" s="559"/>
      <c r="HPG617" s="559"/>
      <c r="HPH617" s="559"/>
      <c r="HPI617" s="559"/>
      <c r="HPJ617" s="559"/>
      <c r="HPK617" s="559"/>
      <c r="HPL617" s="559"/>
      <c r="HPM617" s="559"/>
      <c r="HPN617" s="559"/>
      <c r="HPO617" s="559"/>
      <c r="HPP617" s="559"/>
      <c r="HPQ617" s="559"/>
      <c r="HPR617" s="559"/>
      <c r="HPS617" s="559"/>
      <c r="HPT617" s="559"/>
      <c r="HPU617" s="559"/>
      <c r="HPV617" s="559"/>
      <c r="HPW617" s="559"/>
      <c r="HPX617" s="559"/>
      <c r="HPY617" s="559"/>
      <c r="HPZ617" s="559"/>
      <c r="HQA617" s="559"/>
      <c r="HQB617" s="559"/>
      <c r="HQC617" s="559"/>
      <c r="HQD617" s="559"/>
      <c r="HQE617" s="559"/>
      <c r="HQF617" s="559"/>
      <c r="HQG617" s="559"/>
      <c r="HQH617" s="559"/>
      <c r="HQI617" s="559"/>
      <c r="HQJ617" s="559"/>
      <c r="HQK617" s="559"/>
      <c r="HQL617" s="559"/>
      <c r="HQM617" s="559"/>
      <c r="HQN617" s="559"/>
      <c r="HQO617" s="559"/>
      <c r="HQP617" s="559"/>
      <c r="HQQ617" s="559"/>
      <c r="HQR617" s="559"/>
      <c r="HQS617" s="559"/>
      <c r="HQT617" s="559"/>
      <c r="HQU617" s="559"/>
      <c r="HQV617" s="559"/>
      <c r="HQW617" s="559"/>
      <c r="HQX617" s="559"/>
      <c r="HQY617" s="559"/>
      <c r="HQZ617" s="559"/>
      <c r="HRA617" s="559"/>
      <c r="HRB617" s="559"/>
      <c r="HRC617" s="559"/>
      <c r="HRD617" s="559"/>
      <c r="HRE617" s="559"/>
      <c r="HRF617" s="559"/>
      <c r="HRG617" s="559"/>
      <c r="HRH617" s="559"/>
      <c r="HRI617" s="559"/>
      <c r="HRJ617" s="559"/>
      <c r="HRK617" s="559"/>
      <c r="HRL617" s="559"/>
      <c r="HRM617" s="559"/>
      <c r="HRN617" s="559"/>
      <c r="HRO617" s="559"/>
      <c r="HRP617" s="559"/>
      <c r="HRQ617" s="559"/>
      <c r="HRR617" s="559"/>
      <c r="HRS617" s="559"/>
      <c r="HRT617" s="559"/>
      <c r="HRU617" s="559"/>
      <c r="HRV617" s="559"/>
      <c r="HRW617" s="559"/>
      <c r="HRX617" s="559"/>
      <c r="HRY617" s="559"/>
      <c r="HRZ617" s="559"/>
      <c r="HSA617" s="559"/>
      <c r="HSB617" s="559"/>
      <c r="HSC617" s="559"/>
      <c r="HSD617" s="559"/>
      <c r="HSE617" s="559"/>
      <c r="HSF617" s="559"/>
      <c r="HSG617" s="559"/>
      <c r="HSH617" s="559"/>
      <c r="HSI617" s="559"/>
      <c r="HSJ617" s="559"/>
      <c r="HSK617" s="559"/>
      <c r="HSL617" s="559"/>
      <c r="HSM617" s="559"/>
      <c r="HSN617" s="559"/>
      <c r="HSO617" s="559"/>
      <c r="HSP617" s="559"/>
      <c r="HSQ617" s="559"/>
      <c r="HSR617" s="559"/>
      <c r="HSS617" s="559"/>
      <c r="HST617" s="559"/>
      <c r="HSU617" s="559"/>
      <c r="HSV617" s="559"/>
      <c r="HSW617" s="559"/>
      <c r="HSX617" s="559"/>
      <c r="HSY617" s="559"/>
      <c r="HSZ617" s="559"/>
      <c r="HTA617" s="559"/>
      <c r="HTB617" s="559"/>
      <c r="HTC617" s="559"/>
      <c r="HTD617" s="559"/>
      <c r="HTE617" s="559"/>
      <c r="HTF617" s="559"/>
      <c r="HTG617" s="559"/>
      <c r="HTH617" s="559"/>
      <c r="HTI617" s="559"/>
      <c r="HTJ617" s="559"/>
      <c r="HTK617" s="559"/>
      <c r="HTL617" s="559"/>
      <c r="HTM617" s="559"/>
      <c r="HTN617" s="559"/>
      <c r="HTO617" s="559"/>
      <c r="HTP617" s="559"/>
      <c r="HTQ617" s="559"/>
      <c r="HTR617" s="559"/>
      <c r="HTS617" s="559"/>
      <c r="HTT617" s="559"/>
      <c r="HTU617" s="559"/>
      <c r="HTV617" s="559"/>
      <c r="HTW617" s="559"/>
      <c r="HTX617" s="559"/>
      <c r="HTY617" s="559"/>
      <c r="HTZ617" s="559"/>
      <c r="HUA617" s="559"/>
      <c r="HUB617" s="559"/>
      <c r="HUC617" s="559"/>
      <c r="HUD617" s="559"/>
      <c r="HUE617" s="559"/>
      <c r="HUF617" s="559"/>
      <c r="HUG617" s="559"/>
      <c r="HUH617" s="559"/>
      <c r="HUI617" s="559"/>
      <c r="HUJ617" s="559"/>
      <c r="HUK617" s="559"/>
      <c r="HUL617" s="559"/>
      <c r="HUM617" s="559"/>
      <c r="HUN617" s="559"/>
      <c r="HUO617" s="559"/>
      <c r="HUP617" s="559"/>
      <c r="HUQ617" s="559"/>
      <c r="HUR617" s="559"/>
      <c r="HUS617" s="559"/>
      <c r="HUT617" s="559"/>
      <c r="HUU617" s="559"/>
      <c r="HUV617" s="559"/>
      <c r="HUW617" s="559"/>
      <c r="HUX617" s="559"/>
      <c r="HUY617" s="559"/>
      <c r="HUZ617" s="559"/>
      <c r="HVA617" s="559"/>
      <c r="HVB617" s="559"/>
      <c r="HVC617" s="559"/>
      <c r="HVD617" s="559"/>
      <c r="HVE617" s="559"/>
      <c r="HVF617" s="559"/>
      <c r="HVG617" s="559"/>
      <c r="HVH617" s="559"/>
      <c r="HVI617" s="559"/>
      <c r="HVJ617" s="559"/>
      <c r="HVK617" s="559"/>
      <c r="HVL617" s="559"/>
      <c r="HVM617" s="559"/>
      <c r="HVN617" s="559"/>
      <c r="HVO617" s="559"/>
      <c r="HVP617" s="559"/>
      <c r="HVQ617" s="559"/>
      <c r="HVR617" s="559"/>
      <c r="HVS617" s="559"/>
      <c r="HVT617" s="559"/>
      <c r="HVU617" s="559"/>
      <c r="HVV617" s="559"/>
      <c r="HVW617" s="559"/>
      <c r="HVX617" s="559"/>
      <c r="HVY617" s="559"/>
      <c r="HVZ617" s="559"/>
      <c r="HWA617" s="559"/>
      <c r="HWB617" s="559"/>
      <c r="HWC617" s="559"/>
      <c r="HWD617" s="559"/>
      <c r="HWE617" s="559"/>
      <c r="HWF617" s="559"/>
      <c r="HWG617" s="559"/>
      <c r="HWH617" s="559"/>
      <c r="HWI617" s="559"/>
      <c r="HWJ617" s="559"/>
      <c r="HWK617" s="559"/>
      <c r="HWL617" s="559"/>
      <c r="HWM617" s="559"/>
      <c r="HWN617" s="559"/>
      <c r="HWO617" s="559"/>
      <c r="HWP617" s="559"/>
      <c r="HWQ617" s="559"/>
      <c r="HWR617" s="559"/>
      <c r="HWS617" s="559"/>
      <c r="HWT617" s="559"/>
      <c r="HWU617" s="559"/>
      <c r="HWV617" s="559"/>
      <c r="HWW617" s="559"/>
      <c r="HWX617" s="559"/>
      <c r="HWY617" s="559"/>
      <c r="HWZ617" s="559"/>
      <c r="HXA617" s="559"/>
      <c r="HXB617" s="559"/>
      <c r="HXC617" s="559"/>
      <c r="HXD617" s="559"/>
      <c r="HXE617" s="559"/>
      <c r="HXF617" s="559"/>
      <c r="HXG617" s="559"/>
      <c r="HXH617" s="559"/>
      <c r="HXI617" s="559"/>
      <c r="HXJ617" s="559"/>
      <c r="HXK617" s="559"/>
      <c r="HXL617" s="559"/>
      <c r="HXM617" s="559"/>
      <c r="HXN617" s="559"/>
      <c r="HXO617" s="559"/>
      <c r="HXP617" s="559"/>
      <c r="HXQ617" s="559"/>
      <c r="HXR617" s="559"/>
      <c r="HXS617" s="559"/>
      <c r="HXT617" s="559"/>
      <c r="HXU617" s="559"/>
      <c r="HXV617" s="559"/>
      <c r="HXW617" s="559"/>
      <c r="HXX617" s="559"/>
      <c r="HXY617" s="559"/>
      <c r="HXZ617" s="559"/>
      <c r="HYA617" s="559"/>
      <c r="HYB617" s="559"/>
      <c r="HYC617" s="559"/>
      <c r="HYD617" s="559"/>
      <c r="HYE617" s="559"/>
      <c r="HYF617" s="559"/>
      <c r="HYG617" s="559"/>
      <c r="HYH617" s="559"/>
      <c r="HYI617" s="559"/>
      <c r="HYJ617" s="559"/>
      <c r="HYK617" s="559"/>
      <c r="HYL617" s="559"/>
      <c r="HYM617" s="559"/>
      <c r="HYN617" s="559"/>
      <c r="HYO617" s="559"/>
      <c r="HYP617" s="559"/>
      <c r="HYQ617" s="559"/>
      <c r="HYR617" s="559"/>
      <c r="HYS617" s="559"/>
      <c r="HYT617" s="559"/>
      <c r="HYU617" s="559"/>
      <c r="HYV617" s="559"/>
      <c r="HYW617" s="559"/>
      <c r="HYX617" s="559"/>
      <c r="HYY617" s="559"/>
      <c r="HYZ617" s="559"/>
      <c r="HZA617" s="559"/>
      <c r="HZB617" s="559"/>
      <c r="HZC617" s="559"/>
      <c r="HZD617" s="559"/>
      <c r="HZE617" s="559"/>
      <c r="HZF617" s="559"/>
      <c r="HZG617" s="559"/>
      <c r="HZH617" s="559"/>
      <c r="HZI617" s="559"/>
      <c r="HZJ617" s="559"/>
      <c r="HZK617" s="559"/>
      <c r="HZL617" s="559"/>
      <c r="HZM617" s="559"/>
      <c r="HZN617" s="559"/>
      <c r="HZO617" s="559"/>
      <c r="HZP617" s="559"/>
      <c r="HZQ617" s="559"/>
      <c r="HZR617" s="559"/>
      <c r="HZS617" s="559"/>
      <c r="HZT617" s="559"/>
      <c r="HZU617" s="559"/>
      <c r="HZV617" s="559"/>
      <c r="HZW617" s="559"/>
      <c r="HZX617" s="559"/>
      <c r="HZY617" s="559"/>
      <c r="HZZ617" s="559"/>
      <c r="IAA617" s="559"/>
      <c r="IAB617" s="559"/>
      <c r="IAC617" s="559"/>
      <c r="IAD617" s="559"/>
      <c r="IAE617" s="559"/>
      <c r="IAF617" s="559"/>
      <c r="IAG617" s="559"/>
      <c r="IAH617" s="559"/>
      <c r="IAI617" s="559"/>
      <c r="IAJ617" s="559"/>
      <c r="IAK617" s="559"/>
      <c r="IAL617" s="559"/>
      <c r="IAM617" s="559"/>
      <c r="IAN617" s="559"/>
      <c r="IAO617" s="559"/>
      <c r="IAP617" s="559"/>
      <c r="IAQ617" s="559"/>
      <c r="IAR617" s="559"/>
      <c r="IAS617" s="559"/>
      <c r="IAT617" s="559"/>
      <c r="IAU617" s="559"/>
      <c r="IAV617" s="559"/>
      <c r="IAW617" s="559"/>
      <c r="IAX617" s="559"/>
      <c r="IAY617" s="559"/>
      <c r="IAZ617" s="559"/>
      <c r="IBA617" s="559"/>
      <c r="IBB617" s="559"/>
      <c r="IBC617" s="559"/>
      <c r="IBD617" s="559"/>
      <c r="IBE617" s="559"/>
      <c r="IBF617" s="559"/>
      <c r="IBG617" s="559"/>
      <c r="IBH617" s="559"/>
      <c r="IBI617" s="559"/>
      <c r="IBJ617" s="559"/>
      <c r="IBK617" s="559"/>
      <c r="IBL617" s="559"/>
      <c r="IBM617" s="559"/>
      <c r="IBN617" s="559"/>
      <c r="IBO617" s="559"/>
      <c r="IBP617" s="559"/>
      <c r="IBQ617" s="559"/>
      <c r="IBR617" s="559"/>
      <c r="IBS617" s="559"/>
      <c r="IBT617" s="559"/>
      <c r="IBU617" s="559"/>
      <c r="IBV617" s="559"/>
      <c r="IBW617" s="559"/>
      <c r="IBX617" s="559"/>
      <c r="IBY617" s="559"/>
      <c r="IBZ617" s="559"/>
      <c r="ICA617" s="559"/>
      <c r="ICB617" s="559"/>
      <c r="ICC617" s="559"/>
      <c r="ICD617" s="559"/>
      <c r="ICE617" s="559"/>
      <c r="ICF617" s="559"/>
      <c r="ICG617" s="559"/>
      <c r="ICH617" s="559"/>
      <c r="ICI617" s="559"/>
      <c r="ICJ617" s="559"/>
      <c r="ICK617" s="559"/>
      <c r="ICL617" s="559"/>
      <c r="ICM617" s="559"/>
      <c r="ICN617" s="559"/>
      <c r="ICO617" s="559"/>
      <c r="ICP617" s="559"/>
      <c r="ICQ617" s="559"/>
      <c r="ICR617" s="559"/>
      <c r="ICS617" s="559"/>
      <c r="ICT617" s="559"/>
      <c r="ICU617" s="559"/>
      <c r="ICV617" s="559"/>
      <c r="ICW617" s="559"/>
      <c r="ICX617" s="559"/>
      <c r="ICY617" s="559"/>
      <c r="ICZ617" s="559"/>
      <c r="IDA617" s="559"/>
      <c r="IDB617" s="559"/>
      <c r="IDC617" s="559"/>
      <c r="IDD617" s="559"/>
      <c r="IDE617" s="559"/>
      <c r="IDF617" s="559"/>
      <c r="IDG617" s="559"/>
      <c r="IDH617" s="559"/>
      <c r="IDI617" s="559"/>
      <c r="IDJ617" s="559"/>
      <c r="IDK617" s="559"/>
      <c r="IDL617" s="559"/>
      <c r="IDM617" s="559"/>
      <c r="IDN617" s="559"/>
      <c r="IDO617" s="559"/>
      <c r="IDP617" s="559"/>
      <c r="IDQ617" s="559"/>
      <c r="IDR617" s="559"/>
      <c r="IDS617" s="559"/>
      <c r="IDT617" s="559"/>
      <c r="IDU617" s="559"/>
      <c r="IDV617" s="559"/>
      <c r="IDW617" s="559"/>
      <c r="IDX617" s="559"/>
      <c r="IDY617" s="559"/>
      <c r="IDZ617" s="559"/>
      <c r="IEA617" s="559"/>
      <c r="IEB617" s="559"/>
      <c r="IEC617" s="559"/>
      <c r="IED617" s="559"/>
      <c r="IEE617" s="559"/>
      <c r="IEF617" s="559"/>
      <c r="IEG617" s="559"/>
      <c r="IEH617" s="559"/>
      <c r="IEI617" s="559"/>
      <c r="IEJ617" s="559"/>
      <c r="IEK617" s="559"/>
      <c r="IEL617" s="559"/>
      <c r="IEM617" s="559"/>
      <c r="IEN617" s="559"/>
      <c r="IEO617" s="559"/>
      <c r="IEP617" s="559"/>
      <c r="IEQ617" s="559"/>
      <c r="IER617" s="559"/>
      <c r="IES617" s="559"/>
      <c r="IET617" s="559"/>
      <c r="IEU617" s="559"/>
      <c r="IEV617" s="559"/>
      <c r="IEW617" s="559"/>
      <c r="IEX617" s="559"/>
      <c r="IEY617" s="559"/>
      <c r="IEZ617" s="559"/>
      <c r="IFA617" s="559"/>
      <c r="IFB617" s="559"/>
      <c r="IFC617" s="559"/>
      <c r="IFD617" s="559"/>
      <c r="IFE617" s="559"/>
      <c r="IFF617" s="559"/>
      <c r="IFG617" s="559"/>
      <c r="IFH617" s="559"/>
      <c r="IFI617" s="559"/>
      <c r="IFJ617" s="559"/>
      <c r="IFK617" s="559"/>
      <c r="IFL617" s="559"/>
      <c r="IFM617" s="559"/>
      <c r="IFN617" s="559"/>
      <c r="IFO617" s="559"/>
      <c r="IFP617" s="559"/>
      <c r="IFQ617" s="559"/>
      <c r="IFR617" s="559"/>
      <c r="IFS617" s="559"/>
      <c r="IFT617" s="559"/>
      <c r="IFU617" s="559"/>
      <c r="IFV617" s="559"/>
      <c r="IFW617" s="559"/>
      <c r="IFX617" s="559"/>
      <c r="IFY617" s="559"/>
      <c r="IFZ617" s="559"/>
      <c r="IGA617" s="559"/>
      <c r="IGB617" s="559"/>
      <c r="IGC617" s="559"/>
      <c r="IGD617" s="559"/>
      <c r="IGE617" s="559"/>
      <c r="IGF617" s="559"/>
      <c r="IGG617" s="559"/>
      <c r="IGH617" s="559"/>
      <c r="IGI617" s="559"/>
      <c r="IGJ617" s="559"/>
      <c r="IGK617" s="559"/>
      <c r="IGL617" s="559"/>
      <c r="IGM617" s="559"/>
      <c r="IGN617" s="559"/>
      <c r="IGO617" s="559"/>
      <c r="IGP617" s="559"/>
      <c r="IGQ617" s="559"/>
      <c r="IGR617" s="559"/>
      <c r="IGS617" s="559"/>
      <c r="IGT617" s="559"/>
      <c r="IGU617" s="559"/>
      <c r="IGV617" s="559"/>
      <c r="IGW617" s="559"/>
      <c r="IGX617" s="559"/>
      <c r="IGY617" s="559"/>
      <c r="IGZ617" s="559"/>
      <c r="IHA617" s="559"/>
      <c r="IHB617" s="559"/>
      <c r="IHC617" s="559"/>
      <c r="IHD617" s="559"/>
      <c r="IHE617" s="559"/>
      <c r="IHF617" s="559"/>
      <c r="IHG617" s="559"/>
      <c r="IHH617" s="559"/>
      <c r="IHI617" s="559"/>
      <c r="IHJ617" s="559"/>
      <c r="IHK617" s="559"/>
      <c r="IHL617" s="559"/>
      <c r="IHM617" s="559"/>
      <c r="IHN617" s="559"/>
      <c r="IHO617" s="559"/>
      <c r="IHP617" s="559"/>
      <c r="IHQ617" s="559"/>
      <c r="IHR617" s="559"/>
      <c r="IHS617" s="559"/>
      <c r="IHT617" s="559"/>
      <c r="IHU617" s="559"/>
      <c r="IHV617" s="559"/>
      <c r="IHW617" s="559"/>
      <c r="IHX617" s="559"/>
      <c r="IHY617" s="559"/>
      <c r="IHZ617" s="559"/>
      <c r="IIA617" s="559"/>
      <c r="IIB617" s="559"/>
      <c r="IIC617" s="559"/>
      <c r="IID617" s="559"/>
      <c r="IIE617" s="559"/>
      <c r="IIF617" s="559"/>
      <c r="IIG617" s="559"/>
      <c r="IIH617" s="559"/>
      <c r="III617" s="559"/>
      <c r="IIJ617" s="559"/>
      <c r="IIK617" s="559"/>
      <c r="IIL617" s="559"/>
      <c r="IIM617" s="559"/>
      <c r="IIN617" s="559"/>
      <c r="IIO617" s="559"/>
      <c r="IIP617" s="559"/>
      <c r="IIQ617" s="559"/>
      <c r="IIR617" s="559"/>
      <c r="IIS617" s="559"/>
      <c r="IIT617" s="559"/>
      <c r="IIU617" s="559"/>
      <c r="IIV617" s="559"/>
      <c r="IIW617" s="559"/>
      <c r="IIX617" s="559"/>
      <c r="IIY617" s="559"/>
      <c r="IIZ617" s="559"/>
      <c r="IJA617" s="559"/>
      <c r="IJB617" s="559"/>
      <c r="IJC617" s="559"/>
      <c r="IJD617" s="559"/>
      <c r="IJE617" s="559"/>
      <c r="IJF617" s="559"/>
      <c r="IJG617" s="559"/>
      <c r="IJH617" s="559"/>
      <c r="IJI617" s="559"/>
      <c r="IJJ617" s="559"/>
      <c r="IJK617" s="559"/>
      <c r="IJL617" s="559"/>
      <c r="IJM617" s="559"/>
      <c r="IJN617" s="559"/>
      <c r="IJO617" s="559"/>
      <c r="IJP617" s="559"/>
      <c r="IJQ617" s="559"/>
      <c r="IJR617" s="559"/>
      <c r="IJS617" s="559"/>
      <c r="IJT617" s="559"/>
      <c r="IJU617" s="559"/>
      <c r="IJV617" s="559"/>
      <c r="IJW617" s="559"/>
      <c r="IJX617" s="559"/>
      <c r="IJY617" s="559"/>
      <c r="IJZ617" s="559"/>
      <c r="IKA617" s="559"/>
      <c r="IKB617" s="559"/>
      <c r="IKC617" s="559"/>
      <c r="IKD617" s="559"/>
      <c r="IKE617" s="559"/>
      <c r="IKF617" s="559"/>
      <c r="IKG617" s="559"/>
      <c r="IKH617" s="559"/>
      <c r="IKI617" s="559"/>
      <c r="IKJ617" s="559"/>
      <c r="IKK617" s="559"/>
      <c r="IKL617" s="559"/>
      <c r="IKM617" s="559"/>
      <c r="IKN617" s="559"/>
      <c r="IKO617" s="559"/>
      <c r="IKP617" s="559"/>
      <c r="IKQ617" s="559"/>
      <c r="IKR617" s="559"/>
      <c r="IKS617" s="559"/>
      <c r="IKT617" s="559"/>
      <c r="IKU617" s="559"/>
      <c r="IKV617" s="559"/>
      <c r="IKW617" s="559"/>
      <c r="IKX617" s="559"/>
      <c r="IKY617" s="559"/>
      <c r="IKZ617" s="559"/>
      <c r="ILA617" s="559"/>
      <c r="ILB617" s="559"/>
      <c r="ILC617" s="559"/>
      <c r="ILD617" s="559"/>
      <c r="ILE617" s="559"/>
      <c r="ILF617" s="559"/>
      <c r="ILG617" s="559"/>
      <c r="ILH617" s="559"/>
      <c r="ILI617" s="559"/>
      <c r="ILJ617" s="559"/>
      <c r="ILK617" s="559"/>
      <c r="ILL617" s="559"/>
      <c r="ILM617" s="559"/>
      <c r="ILN617" s="559"/>
      <c r="ILO617" s="559"/>
      <c r="ILP617" s="559"/>
      <c r="ILQ617" s="559"/>
      <c r="ILR617" s="559"/>
      <c r="ILS617" s="559"/>
      <c r="ILT617" s="559"/>
      <c r="ILU617" s="559"/>
      <c r="ILV617" s="559"/>
      <c r="ILW617" s="559"/>
      <c r="ILX617" s="559"/>
      <c r="ILY617" s="559"/>
      <c r="ILZ617" s="559"/>
      <c r="IMA617" s="559"/>
      <c r="IMB617" s="559"/>
      <c r="IMC617" s="559"/>
      <c r="IMD617" s="559"/>
      <c r="IME617" s="559"/>
      <c r="IMF617" s="559"/>
      <c r="IMG617" s="559"/>
      <c r="IMH617" s="559"/>
      <c r="IMI617" s="559"/>
      <c r="IMJ617" s="559"/>
      <c r="IMK617" s="559"/>
      <c r="IML617" s="559"/>
      <c r="IMM617" s="559"/>
      <c r="IMN617" s="559"/>
      <c r="IMO617" s="559"/>
      <c r="IMP617" s="559"/>
      <c r="IMQ617" s="559"/>
      <c r="IMR617" s="559"/>
      <c r="IMS617" s="559"/>
      <c r="IMT617" s="559"/>
      <c r="IMU617" s="559"/>
      <c r="IMV617" s="559"/>
      <c r="IMW617" s="559"/>
      <c r="IMX617" s="559"/>
      <c r="IMY617" s="559"/>
      <c r="IMZ617" s="559"/>
      <c r="INA617" s="559"/>
      <c r="INB617" s="559"/>
      <c r="INC617" s="559"/>
      <c r="IND617" s="559"/>
      <c r="INE617" s="559"/>
      <c r="INF617" s="559"/>
      <c r="ING617" s="559"/>
      <c r="INH617" s="559"/>
      <c r="INI617" s="559"/>
      <c r="INJ617" s="559"/>
      <c r="INK617" s="559"/>
      <c r="INL617" s="559"/>
      <c r="INM617" s="559"/>
      <c r="INN617" s="559"/>
      <c r="INO617" s="559"/>
      <c r="INP617" s="559"/>
      <c r="INQ617" s="559"/>
      <c r="INR617" s="559"/>
      <c r="INS617" s="559"/>
      <c r="INT617" s="559"/>
      <c r="INU617" s="559"/>
      <c r="INV617" s="559"/>
      <c r="INW617" s="559"/>
      <c r="INX617" s="559"/>
      <c r="INY617" s="559"/>
      <c r="INZ617" s="559"/>
      <c r="IOA617" s="559"/>
      <c r="IOB617" s="559"/>
      <c r="IOC617" s="559"/>
      <c r="IOD617" s="559"/>
      <c r="IOE617" s="559"/>
      <c r="IOF617" s="559"/>
      <c r="IOG617" s="559"/>
      <c r="IOH617" s="559"/>
      <c r="IOI617" s="559"/>
      <c r="IOJ617" s="559"/>
      <c r="IOK617" s="559"/>
      <c r="IOL617" s="559"/>
      <c r="IOM617" s="559"/>
      <c r="ION617" s="559"/>
      <c r="IOO617" s="559"/>
      <c r="IOP617" s="559"/>
      <c r="IOQ617" s="559"/>
      <c r="IOR617" s="559"/>
      <c r="IOS617" s="559"/>
      <c r="IOT617" s="559"/>
      <c r="IOU617" s="559"/>
      <c r="IOV617" s="559"/>
      <c r="IOW617" s="559"/>
      <c r="IOX617" s="559"/>
      <c r="IOY617" s="559"/>
      <c r="IOZ617" s="559"/>
      <c r="IPA617" s="559"/>
      <c r="IPB617" s="559"/>
      <c r="IPC617" s="559"/>
      <c r="IPD617" s="559"/>
      <c r="IPE617" s="559"/>
      <c r="IPF617" s="559"/>
      <c r="IPG617" s="559"/>
      <c r="IPH617" s="559"/>
      <c r="IPI617" s="559"/>
      <c r="IPJ617" s="559"/>
      <c r="IPK617" s="559"/>
      <c r="IPL617" s="559"/>
      <c r="IPM617" s="559"/>
      <c r="IPN617" s="559"/>
      <c r="IPO617" s="559"/>
      <c r="IPP617" s="559"/>
      <c r="IPQ617" s="559"/>
      <c r="IPR617" s="559"/>
      <c r="IPS617" s="559"/>
      <c r="IPT617" s="559"/>
      <c r="IPU617" s="559"/>
      <c r="IPV617" s="559"/>
      <c r="IPW617" s="559"/>
      <c r="IPX617" s="559"/>
      <c r="IPY617" s="559"/>
      <c r="IPZ617" s="559"/>
      <c r="IQA617" s="559"/>
      <c r="IQB617" s="559"/>
      <c r="IQC617" s="559"/>
      <c r="IQD617" s="559"/>
      <c r="IQE617" s="559"/>
      <c r="IQF617" s="559"/>
      <c r="IQG617" s="559"/>
      <c r="IQH617" s="559"/>
      <c r="IQI617" s="559"/>
      <c r="IQJ617" s="559"/>
      <c r="IQK617" s="559"/>
      <c r="IQL617" s="559"/>
      <c r="IQM617" s="559"/>
      <c r="IQN617" s="559"/>
      <c r="IQO617" s="559"/>
      <c r="IQP617" s="559"/>
      <c r="IQQ617" s="559"/>
      <c r="IQR617" s="559"/>
      <c r="IQS617" s="559"/>
      <c r="IQT617" s="559"/>
      <c r="IQU617" s="559"/>
      <c r="IQV617" s="559"/>
      <c r="IQW617" s="559"/>
      <c r="IQX617" s="559"/>
      <c r="IQY617" s="559"/>
      <c r="IQZ617" s="559"/>
      <c r="IRA617" s="559"/>
      <c r="IRB617" s="559"/>
      <c r="IRC617" s="559"/>
      <c r="IRD617" s="559"/>
      <c r="IRE617" s="559"/>
      <c r="IRF617" s="559"/>
      <c r="IRG617" s="559"/>
      <c r="IRH617" s="559"/>
      <c r="IRI617" s="559"/>
      <c r="IRJ617" s="559"/>
      <c r="IRK617" s="559"/>
      <c r="IRL617" s="559"/>
      <c r="IRM617" s="559"/>
      <c r="IRN617" s="559"/>
      <c r="IRO617" s="559"/>
      <c r="IRP617" s="559"/>
      <c r="IRQ617" s="559"/>
      <c r="IRR617" s="559"/>
      <c r="IRS617" s="559"/>
      <c r="IRT617" s="559"/>
      <c r="IRU617" s="559"/>
      <c r="IRV617" s="559"/>
      <c r="IRW617" s="559"/>
      <c r="IRX617" s="559"/>
      <c r="IRY617" s="559"/>
      <c r="IRZ617" s="559"/>
      <c r="ISA617" s="559"/>
      <c r="ISB617" s="559"/>
      <c r="ISC617" s="559"/>
      <c r="ISD617" s="559"/>
      <c r="ISE617" s="559"/>
      <c r="ISF617" s="559"/>
      <c r="ISG617" s="559"/>
      <c r="ISH617" s="559"/>
      <c r="ISI617" s="559"/>
      <c r="ISJ617" s="559"/>
      <c r="ISK617" s="559"/>
      <c r="ISL617" s="559"/>
      <c r="ISM617" s="559"/>
      <c r="ISN617" s="559"/>
      <c r="ISO617" s="559"/>
      <c r="ISP617" s="559"/>
      <c r="ISQ617" s="559"/>
      <c r="ISR617" s="559"/>
      <c r="ISS617" s="559"/>
      <c r="IST617" s="559"/>
      <c r="ISU617" s="559"/>
      <c r="ISV617" s="559"/>
      <c r="ISW617" s="559"/>
      <c r="ISX617" s="559"/>
      <c r="ISY617" s="559"/>
      <c r="ISZ617" s="559"/>
      <c r="ITA617" s="559"/>
      <c r="ITB617" s="559"/>
      <c r="ITC617" s="559"/>
      <c r="ITD617" s="559"/>
      <c r="ITE617" s="559"/>
      <c r="ITF617" s="559"/>
      <c r="ITG617" s="559"/>
      <c r="ITH617" s="559"/>
      <c r="ITI617" s="559"/>
      <c r="ITJ617" s="559"/>
      <c r="ITK617" s="559"/>
      <c r="ITL617" s="559"/>
      <c r="ITM617" s="559"/>
      <c r="ITN617" s="559"/>
      <c r="ITO617" s="559"/>
      <c r="ITP617" s="559"/>
      <c r="ITQ617" s="559"/>
      <c r="ITR617" s="559"/>
      <c r="ITS617" s="559"/>
      <c r="ITT617" s="559"/>
      <c r="ITU617" s="559"/>
      <c r="ITV617" s="559"/>
      <c r="ITW617" s="559"/>
      <c r="ITX617" s="559"/>
      <c r="ITY617" s="559"/>
      <c r="ITZ617" s="559"/>
      <c r="IUA617" s="559"/>
      <c r="IUB617" s="559"/>
      <c r="IUC617" s="559"/>
      <c r="IUD617" s="559"/>
      <c r="IUE617" s="559"/>
      <c r="IUF617" s="559"/>
      <c r="IUG617" s="559"/>
      <c r="IUH617" s="559"/>
      <c r="IUI617" s="559"/>
      <c r="IUJ617" s="559"/>
      <c r="IUK617" s="559"/>
      <c r="IUL617" s="559"/>
      <c r="IUM617" s="559"/>
      <c r="IUN617" s="559"/>
      <c r="IUO617" s="559"/>
      <c r="IUP617" s="559"/>
      <c r="IUQ617" s="559"/>
      <c r="IUR617" s="559"/>
      <c r="IUS617" s="559"/>
      <c r="IUT617" s="559"/>
      <c r="IUU617" s="559"/>
      <c r="IUV617" s="559"/>
      <c r="IUW617" s="559"/>
      <c r="IUX617" s="559"/>
      <c r="IUY617" s="559"/>
      <c r="IUZ617" s="559"/>
      <c r="IVA617" s="559"/>
      <c r="IVB617" s="559"/>
      <c r="IVC617" s="559"/>
      <c r="IVD617" s="559"/>
      <c r="IVE617" s="559"/>
      <c r="IVF617" s="559"/>
      <c r="IVG617" s="559"/>
      <c r="IVH617" s="559"/>
      <c r="IVI617" s="559"/>
      <c r="IVJ617" s="559"/>
      <c r="IVK617" s="559"/>
      <c r="IVL617" s="559"/>
      <c r="IVM617" s="559"/>
      <c r="IVN617" s="559"/>
      <c r="IVO617" s="559"/>
      <c r="IVP617" s="559"/>
      <c r="IVQ617" s="559"/>
      <c r="IVR617" s="559"/>
      <c r="IVS617" s="559"/>
      <c r="IVT617" s="559"/>
      <c r="IVU617" s="559"/>
      <c r="IVV617" s="559"/>
      <c r="IVW617" s="559"/>
      <c r="IVX617" s="559"/>
      <c r="IVY617" s="559"/>
      <c r="IVZ617" s="559"/>
      <c r="IWA617" s="559"/>
      <c r="IWB617" s="559"/>
      <c r="IWC617" s="559"/>
      <c r="IWD617" s="559"/>
      <c r="IWE617" s="559"/>
      <c r="IWF617" s="559"/>
      <c r="IWG617" s="559"/>
      <c r="IWH617" s="559"/>
      <c r="IWI617" s="559"/>
      <c r="IWJ617" s="559"/>
      <c r="IWK617" s="559"/>
      <c r="IWL617" s="559"/>
      <c r="IWM617" s="559"/>
      <c r="IWN617" s="559"/>
      <c r="IWO617" s="559"/>
      <c r="IWP617" s="559"/>
      <c r="IWQ617" s="559"/>
      <c r="IWR617" s="559"/>
      <c r="IWS617" s="559"/>
      <c r="IWT617" s="559"/>
      <c r="IWU617" s="559"/>
      <c r="IWV617" s="559"/>
      <c r="IWW617" s="559"/>
      <c r="IWX617" s="559"/>
      <c r="IWY617" s="559"/>
      <c r="IWZ617" s="559"/>
      <c r="IXA617" s="559"/>
      <c r="IXB617" s="559"/>
      <c r="IXC617" s="559"/>
      <c r="IXD617" s="559"/>
      <c r="IXE617" s="559"/>
      <c r="IXF617" s="559"/>
      <c r="IXG617" s="559"/>
      <c r="IXH617" s="559"/>
      <c r="IXI617" s="559"/>
      <c r="IXJ617" s="559"/>
      <c r="IXK617" s="559"/>
      <c r="IXL617" s="559"/>
      <c r="IXM617" s="559"/>
      <c r="IXN617" s="559"/>
      <c r="IXO617" s="559"/>
      <c r="IXP617" s="559"/>
      <c r="IXQ617" s="559"/>
      <c r="IXR617" s="559"/>
      <c r="IXS617" s="559"/>
      <c r="IXT617" s="559"/>
      <c r="IXU617" s="559"/>
      <c r="IXV617" s="559"/>
      <c r="IXW617" s="559"/>
      <c r="IXX617" s="559"/>
      <c r="IXY617" s="559"/>
      <c r="IXZ617" s="559"/>
      <c r="IYA617" s="559"/>
      <c r="IYB617" s="559"/>
      <c r="IYC617" s="559"/>
      <c r="IYD617" s="559"/>
      <c r="IYE617" s="559"/>
      <c r="IYF617" s="559"/>
      <c r="IYG617" s="559"/>
      <c r="IYH617" s="559"/>
      <c r="IYI617" s="559"/>
      <c r="IYJ617" s="559"/>
      <c r="IYK617" s="559"/>
      <c r="IYL617" s="559"/>
      <c r="IYM617" s="559"/>
      <c r="IYN617" s="559"/>
      <c r="IYO617" s="559"/>
      <c r="IYP617" s="559"/>
      <c r="IYQ617" s="559"/>
      <c r="IYR617" s="559"/>
      <c r="IYS617" s="559"/>
      <c r="IYT617" s="559"/>
      <c r="IYU617" s="559"/>
      <c r="IYV617" s="559"/>
      <c r="IYW617" s="559"/>
      <c r="IYX617" s="559"/>
      <c r="IYY617" s="559"/>
      <c r="IYZ617" s="559"/>
      <c r="IZA617" s="559"/>
      <c r="IZB617" s="559"/>
      <c r="IZC617" s="559"/>
      <c r="IZD617" s="559"/>
      <c r="IZE617" s="559"/>
      <c r="IZF617" s="559"/>
      <c r="IZG617" s="559"/>
      <c r="IZH617" s="559"/>
      <c r="IZI617" s="559"/>
      <c r="IZJ617" s="559"/>
      <c r="IZK617" s="559"/>
      <c r="IZL617" s="559"/>
      <c r="IZM617" s="559"/>
      <c r="IZN617" s="559"/>
      <c r="IZO617" s="559"/>
      <c r="IZP617" s="559"/>
      <c r="IZQ617" s="559"/>
      <c r="IZR617" s="559"/>
      <c r="IZS617" s="559"/>
      <c r="IZT617" s="559"/>
      <c r="IZU617" s="559"/>
      <c r="IZV617" s="559"/>
      <c r="IZW617" s="559"/>
      <c r="IZX617" s="559"/>
      <c r="IZY617" s="559"/>
      <c r="IZZ617" s="559"/>
      <c r="JAA617" s="559"/>
      <c r="JAB617" s="559"/>
      <c r="JAC617" s="559"/>
      <c r="JAD617" s="559"/>
      <c r="JAE617" s="559"/>
      <c r="JAF617" s="559"/>
      <c r="JAG617" s="559"/>
      <c r="JAH617" s="559"/>
      <c r="JAI617" s="559"/>
      <c r="JAJ617" s="559"/>
      <c r="JAK617" s="559"/>
      <c r="JAL617" s="559"/>
      <c r="JAM617" s="559"/>
      <c r="JAN617" s="559"/>
      <c r="JAO617" s="559"/>
      <c r="JAP617" s="559"/>
      <c r="JAQ617" s="559"/>
      <c r="JAR617" s="559"/>
      <c r="JAS617" s="559"/>
      <c r="JAT617" s="559"/>
      <c r="JAU617" s="559"/>
      <c r="JAV617" s="559"/>
      <c r="JAW617" s="559"/>
      <c r="JAX617" s="559"/>
      <c r="JAY617" s="559"/>
      <c r="JAZ617" s="559"/>
      <c r="JBA617" s="559"/>
      <c r="JBB617" s="559"/>
      <c r="JBC617" s="559"/>
      <c r="JBD617" s="559"/>
      <c r="JBE617" s="559"/>
      <c r="JBF617" s="559"/>
      <c r="JBG617" s="559"/>
      <c r="JBH617" s="559"/>
      <c r="JBI617" s="559"/>
      <c r="JBJ617" s="559"/>
      <c r="JBK617" s="559"/>
      <c r="JBL617" s="559"/>
      <c r="JBM617" s="559"/>
      <c r="JBN617" s="559"/>
      <c r="JBO617" s="559"/>
      <c r="JBP617" s="559"/>
      <c r="JBQ617" s="559"/>
      <c r="JBR617" s="559"/>
      <c r="JBS617" s="559"/>
      <c r="JBT617" s="559"/>
      <c r="JBU617" s="559"/>
      <c r="JBV617" s="559"/>
      <c r="JBW617" s="559"/>
      <c r="JBX617" s="559"/>
      <c r="JBY617" s="559"/>
      <c r="JBZ617" s="559"/>
      <c r="JCA617" s="559"/>
      <c r="JCB617" s="559"/>
      <c r="JCC617" s="559"/>
      <c r="JCD617" s="559"/>
      <c r="JCE617" s="559"/>
      <c r="JCF617" s="559"/>
      <c r="JCG617" s="559"/>
      <c r="JCH617" s="559"/>
      <c r="JCI617" s="559"/>
      <c r="JCJ617" s="559"/>
      <c r="JCK617" s="559"/>
      <c r="JCL617" s="559"/>
      <c r="JCM617" s="559"/>
      <c r="JCN617" s="559"/>
      <c r="JCO617" s="559"/>
      <c r="JCP617" s="559"/>
      <c r="JCQ617" s="559"/>
      <c r="JCR617" s="559"/>
      <c r="JCS617" s="559"/>
      <c r="JCT617" s="559"/>
      <c r="JCU617" s="559"/>
      <c r="JCV617" s="559"/>
      <c r="JCW617" s="559"/>
      <c r="JCX617" s="559"/>
      <c r="JCY617" s="559"/>
      <c r="JCZ617" s="559"/>
      <c r="JDA617" s="559"/>
      <c r="JDB617" s="559"/>
      <c r="JDC617" s="559"/>
      <c r="JDD617" s="559"/>
      <c r="JDE617" s="559"/>
      <c r="JDF617" s="559"/>
      <c r="JDG617" s="559"/>
      <c r="JDH617" s="559"/>
      <c r="JDI617" s="559"/>
      <c r="JDJ617" s="559"/>
      <c r="JDK617" s="559"/>
      <c r="JDL617" s="559"/>
      <c r="JDM617" s="559"/>
      <c r="JDN617" s="559"/>
      <c r="JDO617" s="559"/>
      <c r="JDP617" s="559"/>
      <c r="JDQ617" s="559"/>
      <c r="JDR617" s="559"/>
      <c r="JDS617" s="559"/>
      <c r="JDT617" s="559"/>
      <c r="JDU617" s="559"/>
      <c r="JDV617" s="559"/>
      <c r="JDW617" s="559"/>
      <c r="JDX617" s="559"/>
      <c r="JDY617" s="559"/>
      <c r="JDZ617" s="559"/>
      <c r="JEA617" s="559"/>
      <c r="JEB617" s="559"/>
      <c r="JEC617" s="559"/>
      <c r="JED617" s="559"/>
      <c r="JEE617" s="559"/>
      <c r="JEF617" s="559"/>
      <c r="JEG617" s="559"/>
      <c r="JEH617" s="559"/>
      <c r="JEI617" s="559"/>
      <c r="JEJ617" s="559"/>
      <c r="JEK617" s="559"/>
      <c r="JEL617" s="559"/>
      <c r="JEM617" s="559"/>
      <c r="JEN617" s="559"/>
      <c r="JEO617" s="559"/>
      <c r="JEP617" s="559"/>
      <c r="JEQ617" s="559"/>
      <c r="JER617" s="559"/>
      <c r="JES617" s="559"/>
      <c r="JET617" s="559"/>
      <c r="JEU617" s="559"/>
      <c r="JEV617" s="559"/>
      <c r="JEW617" s="559"/>
      <c r="JEX617" s="559"/>
      <c r="JEY617" s="559"/>
      <c r="JEZ617" s="559"/>
      <c r="JFA617" s="559"/>
      <c r="JFB617" s="559"/>
      <c r="JFC617" s="559"/>
      <c r="JFD617" s="559"/>
      <c r="JFE617" s="559"/>
      <c r="JFF617" s="559"/>
      <c r="JFG617" s="559"/>
      <c r="JFH617" s="559"/>
      <c r="JFI617" s="559"/>
      <c r="JFJ617" s="559"/>
      <c r="JFK617" s="559"/>
      <c r="JFL617" s="559"/>
      <c r="JFM617" s="559"/>
      <c r="JFN617" s="559"/>
      <c r="JFO617" s="559"/>
      <c r="JFP617" s="559"/>
      <c r="JFQ617" s="559"/>
      <c r="JFR617" s="559"/>
      <c r="JFS617" s="559"/>
      <c r="JFT617" s="559"/>
      <c r="JFU617" s="559"/>
      <c r="JFV617" s="559"/>
      <c r="JFW617" s="559"/>
      <c r="JFX617" s="559"/>
      <c r="JFY617" s="559"/>
      <c r="JFZ617" s="559"/>
      <c r="JGA617" s="559"/>
      <c r="JGB617" s="559"/>
      <c r="JGC617" s="559"/>
      <c r="JGD617" s="559"/>
      <c r="JGE617" s="559"/>
      <c r="JGF617" s="559"/>
      <c r="JGG617" s="559"/>
      <c r="JGH617" s="559"/>
      <c r="JGI617" s="559"/>
      <c r="JGJ617" s="559"/>
      <c r="JGK617" s="559"/>
      <c r="JGL617" s="559"/>
      <c r="JGM617" s="559"/>
      <c r="JGN617" s="559"/>
      <c r="JGO617" s="559"/>
      <c r="JGP617" s="559"/>
      <c r="JGQ617" s="559"/>
      <c r="JGR617" s="559"/>
      <c r="JGS617" s="559"/>
      <c r="JGT617" s="559"/>
      <c r="JGU617" s="559"/>
      <c r="JGV617" s="559"/>
      <c r="JGW617" s="559"/>
      <c r="JGX617" s="559"/>
      <c r="JGY617" s="559"/>
      <c r="JGZ617" s="559"/>
      <c r="JHA617" s="559"/>
      <c r="JHB617" s="559"/>
      <c r="JHC617" s="559"/>
      <c r="JHD617" s="559"/>
      <c r="JHE617" s="559"/>
      <c r="JHF617" s="559"/>
      <c r="JHG617" s="559"/>
      <c r="JHH617" s="559"/>
      <c r="JHI617" s="559"/>
      <c r="JHJ617" s="559"/>
      <c r="JHK617" s="559"/>
      <c r="JHL617" s="559"/>
      <c r="JHM617" s="559"/>
      <c r="JHN617" s="559"/>
      <c r="JHO617" s="559"/>
      <c r="JHP617" s="559"/>
      <c r="JHQ617" s="559"/>
      <c r="JHR617" s="559"/>
      <c r="JHS617" s="559"/>
      <c r="JHT617" s="559"/>
      <c r="JHU617" s="559"/>
      <c r="JHV617" s="559"/>
      <c r="JHW617" s="559"/>
      <c r="JHX617" s="559"/>
      <c r="JHY617" s="559"/>
      <c r="JHZ617" s="559"/>
      <c r="JIA617" s="559"/>
      <c r="JIB617" s="559"/>
      <c r="JIC617" s="559"/>
      <c r="JID617" s="559"/>
      <c r="JIE617" s="559"/>
      <c r="JIF617" s="559"/>
      <c r="JIG617" s="559"/>
      <c r="JIH617" s="559"/>
      <c r="JII617" s="559"/>
      <c r="JIJ617" s="559"/>
      <c r="JIK617" s="559"/>
      <c r="JIL617" s="559"/>
      <c r="JIM617" s="559"/>
      <c r="JIN617" s="559"/>
      <c r="JIO617" s="559"/>
      <c r="JIP617" s="559"/>
      <c r="JIQ617" s="559"/>
      <c r="JIR617" s="559"/>
      <c r="JIS617" s="559"/>
      <c r="JIT617" s="559"/>
      <c r="JIU617" s="559"/>
      <c r="JIV617" s="559"/>
      <c r="JIW617" s="559"/>
      <c r="JIX617" s="559"/>
      <c r="JIY617" s="559"/>
      <c r="JIZ617" s="559"/>
      <c r="JJA617" s="559"/>
      <c r="JJB617" s="559"/>
      <c r="JJC617" s="559"/>
      <c r="JJD617" s="559"/>
      <c r="JJE617" s="559"/>
      <c r="JJF617" s="559"/>
      <c r="JJG617" s="559"/>
      <c r="JJH617" s="559"/>
      <c r="JJI617" s="559"/>
      <c r="JJJ617" s="559"/>
      <c r="JJK617" s="559"/>
      <c r="JJL617" s="559"/>
      <c r="JJM617" s="559"/>
      <c r="JJN617" s="559"/>
      <c r="JJO617" s="559"/>
      <c r="JJP617" s="559"/>
      <c r="JJQ617" s="559"/>
      <c r="JJR617" s="559"/>
      <c r="JJS617" s="559"/>
      <c r="JJT617" s="559"/>
      <c r="JJU617" s="559"/>
      <c r="JJV617" s="559"/>
      <c r="JJW617" s="559"/>
      <c r="JJX617" s="559"/>
      <c r="JJY617" s="559"/>
      <c r="JJZ617" s="559"/>
      <c r="JKA617" s="559"/>
      <c r="JKB617" s="559"/>
      <c r="JKC617" s="559"/>
      <c r="JKD617" s="559"/>
      <c r="JKE617" s="559"/>
      <c r="JKF617" s="559"/>
      <c r="JKG617" s="559"/>
      <c r="JKH617" s="559"/>
      <c r="JKI617" s="559"/>
      <c r="JKJ617" s="559"/>
      <c r="JKK617" s="559"/>
      <c r="JKL617" s="559"/>
      <c r="JKM617" s="559"/>
      <c r="JKN617" s="559"/>
      <c r="JKO617" s="559"/>
      <c r="JKP617" s="559"/>
      <c r="JKQ617" s="559"/>
      <c r="JKR617" s="559"/>
      <c r="JKS617" s="559"/>
      <c r="JKT617" s="559"/>
      <c r="JKU617" s="559"/>
      <c r="JKV617" s="559"/>
      <c r="JKW617" s="559"/>
      <c r="JKX617" s="559"/>
      <c r="JKY617" s="559"/>
      <c r="JKZ617" s="559"/>
      <c r="JLA617" s="559"/>
      <c r="JLB617" s="559"/>
      <c r="JLC617" s="559"/>
      <c r="JLD617" s="559"/>
      <c r="JLE617" s="559"/>
      <c r="JLF617" s="559"/>
      <c r="JLG617" s="559"/>
      <c r="JLH617" s="559"/>
      <c r="JLI617" s="559"/>
      <c r="JLJ617" s="559"/>
      <c r="JLK617" s="559"/>
      <c r="JLL617" s="559"/>
      <c r="JLM617" s="559"/>
      <c r="JLN617" s="559"/>
      <c r="JLO617" s="559"/>
      <c r="JLP617" s="559"/>
      <c r="JLQ617" s="559"/>
      <c r="JLR617" s="559"/>
      <c r="JLS617" s="559"/>
      <c r="JLT617" s="559"/>
      <c r="JLU617" s="559"/>
      <c r="JLV617" s="559"/>
      <c r="JLW617" s="559"/>
      <c r="JLX617" s="559"/>
      <c r="JLY617" s="559"/>
      <c r="JLZ617" s="559"/>
      <c r="JMA617" s="559"/>
      <c r="JMB617" s="559"/>
      <c r="JMC617" s="559"/>
      <c r="JMD617" s="559"/>
      <c r="JME617" s="559"/>
      <c r="JMF617" s="559"/>
      <c r="JMG617" s="559"/>
      <c r="JMH617" s="559"/>
      <c r="JMI617" s="559"/>
      <c r="JMJ617" s="559"/>
      <c r="JMK617" s="559"/>
      <c r="JML617" s="559"/>
      <c r="JMM617" s="559"/>
      <c r="JMN617" s="559"/>
      <c r="JMO617" s="559"/>
      <c r="JMP617" s="559"/>
      <c r="JMQ617" s="559"/>
      <c r="JMR617" s="559"/>
      <c r="JMS617" s="559"/>
      <c r="JMT617" s="559"/>
      <c r="JMU617" s="559"/>
      <c r="JMV617" s="559"/>
      <c r="JMW617" s="559"/>
      <c r="JMX617" s="559"/>
      <c r="JMY617" s="559"/>
      <c r="JMZ617" s="559"/>
      <c r="JNA617" s="559"/>
      <c r="JNB617" s="559"/>
      <c r="JNC617" s="559"/>
      <c r="JND617" s="559"/>
      <c r="JNE617" s="559"/>
      <c r="JNF617" s="559"/>
      <c r="JNG617" s="559"/>
      <c r="JNH617" s="559"/>
      <c r="JNI617" s="559"/>
      <c r="JNJ617" s="559"/>
      <c r="JNK617" s="559"/>
      <c r="JNL617" s="559"/>
      <c r="JNM617" s="559"/>
      <c r="JNN617" s="559"/>
      <c r="JNO617" s="559"/>
      <c r="JNP617" s="559"/>
      <c r="JNQ617" s="559"/>
      <c r="JNR617" s="559"/>
      <c r="JNS617" s="559"/>
      <c r="JNT617" s="559"/>
      <c r="JNU617" s="559"/>
      <c r="JNV617" s="559"/>
      <c r="JNW617" s="559"/>
      <c r="JNX617" s="559"/>
      <c r="JNY617" s="559"/>
      <c r="JNZ617" s="559"/>
      <c r="JOA617" s="559"/>
      <c r="JOB617" s="559"/>
      <c r="JOC617" s="559"/>
      <c r="JOD617" s="559"/>
      <c r="JOE617" s="559"/>
      <c r="JOF617" s="559"/>
      <c r="JOG617" s="559"/>
      <c r="JOH617" s="559"/>
      <c r="JOI617" s="559"/>
      <c r="JOJ617" s="559"/>
      <c r="JOK617" s="559"/>
      <c r="JOL617" s="559"/>
      <c r="JOM617" s="559"/>
      <c r="JON617" s="559"/>
      <c r="JOO617" s="559"/>
      <c r="JOP617" s="559"/>
      <c r="JOQ617" s="559"/>
      <c r="JOR617" s="559"/>
      <c r="JOS617" s="559"/>
      <c r="JOT617" s="559"/>
      <c r="JOU617" s="559"/>
      <c r="JOV617" s="559"/>
      <c r="JOW617" s="559"/>
      <c r="JOX617" s="559"/>
      <c r="JOY617" s="559"/>
      <c r="JOZ617" s="559"/>
      <c r="JPA617" s="559"/>
      <c r="JPB617" s="559"/>
      <c r="JPC617" s="559"/>
      <c r="JPD617" s="559"/>
      <c r="JPE617" s="559"/>
      <c r="JPF617" s="559"/>
      <c r="JPG617" s="559"/>
      <c r="JPH617" s="559"/>
      <c r="JPI617" s="559"/>
      <c r="JPJ617" s="559"/>
      <c r="JPK617" s="559"/>
      <c r="JPL617" s="559"/>
      <c r="JPM617" s="559"/>
      <c r="JPN617" s="559"/>
      <c r="JPO617" s="559"/>
      <c r="JPP617" s="559"/>
      <c r="JPQ617" s="559"/>
      <c r="JPR617" s="559"/>
      <c r="JPS617" s="559"/>
      <c r="JPT617" s="559"/>
      <c r="JPU617" s="559"/>
      <c r="JPV617" s="559"/>
      <c r="JPW617" s="559"/>
      <c r="JPX617" s="559"/>
      <c r="JPY617" s="559"/>
      <c r="JPZ617" s="559"/>
      <c r="JQA617" s="559"/>
      <c r="JQB617" s="559"/>
      <c r="JQC617" s="559"/>
      <c r="JQD617" s="559"/>
      <c r="JQE617" s="559"/>
      <c r="JQF617" s="559"/>
      <c r="JQG617" s="559"/>
      <c r="JQH617" s="559"/>
      <c r="JQI617" s="559"/>
      <c r="JQJ617" s="559"/>
      <c r="JQK617" s="559"/>
      <c r="JQL617" s="559"/>
      <c r="JQM617" s="559"/>
      <c r="JQN617" s="559"/>
      <c r="JQO617" s="559"/>
      <c r="JQP617" s="559"/>
      <c r="JQQ617" s="559"/>
      <c r="JQR617" s="559"/>
      <c r="JQS617" s="559"/>
      <c r="JQT617" s="559"/>
      <c r="JQU617" s="559"/>
      <c r="JQV617" s="559"/>
      <c r="JQW617" s="559"/>
      <c r="JQX617" s="559"/>
      <c r="JQY617" s="559"/>
      <c r="JQZ617" s="559"/>
      <c r="JRA617" s="559"/>
      <c r="JRB617" s="559"/>
      <c r="JRC617" s="559"/>
      <c r="JRD617" s="559"/>
      <c r="JRE617" s="559"/>
      <c r="JRF617" s="559"/>
      <c r="JRG617" s="559"/>
      <c r="JRH617" s="559"/>
      <c r="JRI617" s="559"/>
      <c r="JRJ617" s="559"/>
      <c r="JRK617" s="559"/>
      <c r="JRL617" s="559"/>
      <c r="JRM617" s="559"/>
      <c r="JRN617" s="559"/>
      <c r="JRO617" s="559"/>
      <c r="JRP617" s="559"/>
      <c r="JRQ617" s="559"/>
      <c r="JRR617" s="559"/>
      <c r="JRS617" s="559"/>
      <c r="JRT617" s="559"/>
      <c r="JRU617" s="559"/>
      <c r="JRV617" s="559"/>
      <c r="JRW617" s="559"/>
      <c r="JRX617" s="559"/>
      <c r="JRY617" s="559"/>
      <c r="JRZ617" s="559"/>
      <c r="JSA617" s="559"/>
      <c r="JSB617" s="559"/>
      <c r="JSC617" s="559"/>
      <c r="JSD617" s="559"/>
      <c r="JSE617" s="559"/>
      <c r="JSF617" s="559"/>
      <c r="JSG617" s="559"/>
      <c r="JSH617" s="559"/>
      <c r="JSI617" s="559"/>
      <c r="JSJ617" s="559"/>
      <c r="JSK617" s="559"/>
      <c r="JSL617" s="559"/>
      <c r="JSM617" s="559"/>
      <c r="JSN617" s="559"/>
      <c r="JSO617" s="559"/>
      <c r="JSP617" s="559"/>
      <c r="JSQ617" s="559"/>
      <c r="JSR617" s="559"/>
      <c r="JSS617" s="559"/>
      <c r="JST617" s="559"/>
      <c r="JSU617" s="559"/>
      <c r="JSV617" s="559"/>
      <c r="JSW617" s="559"/>
      <c r="JSX617" s="559"/>
      <c r="JSY617" s="559"/>
      <c r="JSZ617" s="559"/>
      <c r="JTA617" s="559"/>
      <c r="JTB617" s="559"/>
      <c r="JTC617" s="559"/>
      <c r="JTD617" s="559"/>
      <c r="JTE617" s="559"/>
      <c r="JTF617" s="559"/>
      <c r="JTG617" s="559"/>
      <c r="JTH617" s="559"/>
      <c r="JTI617" s="559"/>
      <c r="JTJ617" s="559"/>
      <c r="JTK617" s="559"/>
      <c r="JTL617" s="559"/>
      <c r="JTM617" s="559"/>
      <c r="JTN617" s="559"/>
      <c r="JTO617" s="559"/>
      <c r="JTP617" s="559"/>
      <c r="JTQ617" s="559"/>
      <c r="JTR617" s="559"/>
      <c r="JTS617" s="559"/>
      <c r="JTT617" s="559"/>
      <c r="JTU617" s="559"/>
      <c r="JTV617" s="559"/>
      <c r="JTW617" s="559"/>
      <c r="JTX617" s="559"/>
      <c r="JTY617" s="559"/>
      <c r="JTZ617" s="559"/>
      <c r="JUA617" s="559"/>
      <c r="JUB617" s="559"/>
      <c r="JUC617" s="559"/>
      <c r="JUD617" s="559"/>
      <c r="JUE617" s="559"/>
      <c r="JUF617" s="559"/>
      <c r="JUG617" s="559"/>
      <c r="JUH617" s="559"/>
      <c r="JUI617" s="559"/>
      <c r="JUJ617" s="559"/>
      <c r="JUK617" s="559"/>
      <c r="JUL617" s="559"/>
      <c r="JUM617" s="559"/>
      <c r="JUN617" s="559"/>
      <c r="JUO617" s="559"/>
      <c r="JUP617" s="559"/>
      <c r="JUQ617" s="559"/>
      <c r="JUR617" s="559"/>
      <c r="JUS617" s="559"/>
      <c r="JUT617" s="559"/>
      <c r="JUU617" s="559"/>
      <c r="JUV617" s="559"/>
      <c r="JUW617" s="559"/>
      <c r="JUX617" s="559"/>
      <c r="JUY617" s="559"/>
      <c r="JUZ617" s="559"/>
      <c r="JVA617" s="559"/>
      <c r="JVB617" s="559"/>
      <c r="JVC617" s="559"/>
      <c r="JVD617" s="559"/>
      <c r="JVE617" s="559"/>
      <c r="JVF617" s="559"/>
      <c r="JVG617" s="559"/>
      <c r="JVH617" s="559"/>
      <c r="JVI617" s="559"/>
      <c r="JVJ617" s="559"/>
      <c r="JVK617" s="559"/>
      <c r="JVL617" s="559"/>
      <c r="JVM617" s="559"/>
      <c r="JVN617" s="559"/>
      <c r="JVO617" s="559"/>
      <c r="JVP617" s="559"/>
      <c r="JVQ617" s="559"/>
      <c r="JVR617" s="559"/>
      <c r="JVS617" s="559"/>
      <c r="JVT617" s="559"/>
      <c r="JVU617" s="559"/>
      <c r="JVV617" s="559"/>
      <c r="JVW617" s="559"/>
      <c r="JVX617" s="559"/>
      <c r="JVY617" s="559"/>
      <c r="JVZ617" s="559"/>
      <c r="JWA617" s="559"/>
      <c r="JWB617" s="559"/>
      <c r="JWC617" s="559"/>
      <c r="JWD617" s="559"/>
      <c r="JWE617" s="559"/>
      <c r="JWF617" s="559"/>
      <c r="JWG617" s="559"/>
      <c r="JWH617" s="559"/>
      <c r="JWI617" s="559"/>
      <c r="JWJ617" s="559"/>
      <c r="JWK617" s="559"/>
      <c r="JWL617" s="559"/>
      <c r="JWM617" s="559"/>
      <c r="JWN617" s="559"/>
      <c r="JWO617" s="559"/>
      <c r="JWP617" s="559"/>
      <c r="JWQ617" s="559"/>
      <c r="JWR617" s="559"/>
      <c r="JWS617" s="559"/>
      <c r="JWT617" s="559"/>
      <c r="JWU617" s="559"/>
      <c r="JWV617" s="559"/>
      <c r="JWW617" s="559"/>
      <c r="JWX617" s="559"/>
      <c r="JWY617" s="559"/>
      <c r="JWZ617" s="559"/>
      <c r="JXA617" s="559"/>
      <c r="JXB617" s="559"/>
      <c r="JXC617" s="559"/>
      <c r="JXD617" s="559"/>
      <c r="JXE617" s="559"/>
      <c r="JXF617" s="559"/>
      <c r="JXG617" s="559"/>
      <c r="JXH617" s="559"/>
      <c r="JXI617" s="559"/>
      <c r="JXJ617" s="559"/>
      <c r="JXK617" s="559"/>
      <c r="JXL617" s="559"/>
      <c r="JXM617" s="559"/>
      <c r="JXN617" s="559"/>
      <c r="JXO617" s="559"/>
      <c r="JXP617" s="559"/>
      <c r="JXQ617" s="559"/>
      <c r="JXR617" s="559"/>
      <c r="JXS617" s="559"/>
      <c r="JXT617" s="559"/>
      <c r="JXU617" s="559"/>
      <c r="JXV617" s="559"/>
      <c r="JXW617" s="559"/>
      <c r="JXX617" s="559"/>
      <c r="JXY617" s="559"/>
      <c r="JXZ617" s="559"/>
      <c r="JYA617" s="559"/>
      <c r="JYB617" s="559"/>
      <c r="JYC617" s="559"/>
      <c r="JYD617" s="559"/>
      <c r="JYE617" s="559"/>
      <c r="JYF617" s="559"/>
      <c r="JYG617" s="559"/>
      <c r="JYH617" s="559"/>
      <c r="JYI617" s="559"/>
      <c r="JYJ617" s="559"/>
      <c r="JYK617" s="559"/>
      <c r="JYL617" s="559"/>
      <c r="JYM617" s="559"/>
      <c r="JYN617" s="559"/>
      <c r="JYO617" s="559"/>
      <c r="JYP617" s="559"/>
      <c r="JYQ617" s="559"/>
      <c r="JYR617" s="559"/>
      <c r="JYS617" s="559"/>
      <c r="JYT617" s="559"/>
      <c r="JYU617" s="559"/>
      <c r="JYV617" s="559"/>
      <c r="JYW617" s="559"/>
      <c r="JYX617" s="559"/>
      <c r="JYY617" s="559"/>
      <c r="JYZ617" s="559"/>
      <c r="JZA617" s="559"/>
      <c r="JZB617" s="559"/>
      <c r="JZC617" s="559"/>
      <c r="JZD617" s="559"/>
      <c r="JZE617" s="559"/>
      <c r="JZF617" s="559"/>
      <c r="JZG617" s="559"/>
      <c r="JZH617" s="559"/>
      <c r="JZI617" s="559"/>
      <c r="JZJ617" s="559"/>
      <c r="JZK617" s="559"/>
      <c r="JZL617" s="559"/>
      <c r="JZM617" s="559"/>
      <c r="JZN617" s="559"/>
      <c r="JZO617" s="559"/>
      <c r="JZP617" s="559"/>
      <c r="JZQ617" s="559"/>
      <c r="JZR617" s="559"/>
      <c r="JZS617" s="559"/>
      <c r="JZT617" s="559"/>
      <c r="JZU617" s="559"/>
      <c r="JZV617" s="559"/>
      <c r="JZW617" s="559"/>
      <c r="JZX617" s="559"/>
      <c r="JZY617" s="559"/>
      <c r="JZZ617" s="559"/>
      <c r="KAA617" s="559"/>
      <c r="KAB617" s="559"/>
      <c r="KAC617" s="559"/>
      <c r="KAD617" s="559"/>
      <c r="KAE617" s="559"/>
      <c r="KAF617" s="559"/>
      <c r="KAG617" s="559"/>
      <c r="KAH617" s="559"/>
      <c r="KAI617" s="559"/>
      <c r="KAJ617" s="559"/>
      <c r="KAK617" s="559"/>
      <c r="KAL617" s="559"/>
      <c r="KAM617" s="559"/>
      <c r="KAN617" s="559"/>
      <c r="KAO617" s="559"/>
      <c r="KAP617" s="559"/>
      <c r="KAQ617" s="559"/>
      <c r="KAR617" s="559"/>
      <c r="KAS617" s="559"/>
      <c r="KAT617" s="559"/>
      <c r="KAU617" s="559"/>
      <c r="KAV617" s="559"/>
      <c r="KAW617" s="559"/>
      <c r="KAX617" s="559"/>
      <c r="KAY617" s="559"/>
      <c r="KAZ617" s="559"/>
      <c r="KBA617" s="559"/>
      <c r="KBB617" s="559"/>
      <c r="KBC617" s="559"/>
      <c r="KBD617" s="559"/>
      <c r="KBE617" s="559"/>
      <c r="KBF617" s="559"/>
      <c r="KBG617" s="559"/>
      <c r="KBH617" s="559"/>
      <c r="KBI617" s="559"/>
      <c r="KBJ617" s="559"/>
      <c r="KBK617" s="559"/>
      <c r="KBL617" s="559"/>
      <c r="KBM617" s="559"/>
      <c r="KBN617" s="559"/>
      <c r="KBO617" s="559"/>
      <c r="KBP617" s="559"/>
      <c r="KBQ617" s="559"/>
      <c r="KBR617" s="559"/>
      <c r="KBS617" s="559"/>
      <c r="KBT617" s="559"/>
      <c r="KBU617" s="559"/>
      <c r="KBV617" s="559"/>
      <c r="KBW617" s="559"/>
      <c r="KBX617" s="559"/>
      <c r="KBY617" s="559"/>
      <c r="KBZ617" s="559"/>
      <c r="KCA617" s="559"/>
      <c r="KCB617" s="559"/>
      <c r="KCC617" s="559"/>
      <c r="KCD617" s="559"/>
      <c r="KCE617" s="559"/>
      <c r="KCF617" s="559"/>
      <c r="KCG617" s="559"/>
      <c r="KCH617" s="559"/>
      <c r="KCI617" s="559"/>
      <c r="KCJ617" s="559"/>
      <c r="KCK617" s="559"/>
      <c r="KCL617" s="559"/>
      <c r="KCM617" s="559"/>
      <c r="KCN617" s="559"/>
      <c r="KCO617" s="559"/>
      <c r="KCP617" s="559"/>
      <c r="KCQ617" s="559"/>
      <c r="KCR617" s="559"/>
      <c r="KCS617" s="559"/>
      <c r="KCT617" s="559"/>
      <c r="KCU617" s="559"/>
      <c r="KCV617" s="559"/>
      <c r="KCW617" s="559"/>
      <c r="KCX617" s="559"/>
      <c r="KCY617" s="559"/>
      <c r="KCZ617" s="559"/>
      <c r="KDA617" s="559"/>
      <c r="KDB617" s="559"/>
      <c r="KDC617" s="559"/>
      <c r="KDD617" s="559"/>
      <c r="KDE617" s="559"/>
      <c r="KDF617" s="559"/>
      <c r="KDG617" s="559"/>
      <c r="KDH617" s="559"/>
      <c r="KDI617" s="559"/>
      <c r="KDJ617" s="559"/>
      <c r="KDK617" s="559"/>
      <c r="KDL617" s="559"/>
      <c r="KDM617" s="559"/>
      <c r="KDN617" s="559"/>
      <c r="KDO617" s="559"/>
      <c r="KDP617" s="559"/>
      <c r="KDQ617" s="559"/>
      <c r="KDR617" s="559"/>
      <c r="KDS617" s="559"/>
      <c r="KDT617" s="559"/>
      <c r="KDU617" s="559"/>
      <c r="KDV617" s="559"/>
      <c r="KDW617" s="559"/>
      <c r="KDX617" s="559"/>
      <c r="KDY617" s="559"/>
      <c r="KDZ617" s="559"/>
      <c r="KEA617" s="559"/>
      <c r="KEB617" s="559"/>
      <c r="KEC617" s="559"/>
      <c r="KED617" s="559"/>
      <c r="KEE617" s="559"/>
      <c r="KEF617" s="559"/>
      <c r="KEG617" s="559"/>
      <c r="KEH617" s="559"/>
      <c r="KEI617" s="559"/>
      <c r="KEJ617" s="559"/>
      <c r="KEK617" s="559"/>
      <c r="KEL617" s="559"/>
      <c r="KEM617" s="559"/>
      <c r="KEN617" s="559"/>
      <c r="KEO617" s="559"/>
      <c r="KEP617" s="559"/>
      <c r="KEQ617" s="559"/>
      <c r="KER617" s="559"/>
      <c r="KES617" s="559"/>
      <c r="KET617" s="559"/>
      <c r="KEU617" s="559"/>
      <c r="KEV617" s="559"/>
      <c r="KEW617" s="559"/>
      <c r="KEX617" s="559"/>
      <c r="KEY617" s="559"/>
      <c r="KEZ617" s="559"/>
      <c r="KFA617" s="559"/>
      <c r="KFB617" s="559"/>
      <c r="KFC617" s="559"/>
      <c r="KFD617" s="559"/>
      <c r="KFE617" s="559"/>
      <c r="KFF617" s="559"/>
      <c r="KFG617" s="559"/>
      <c r="KFH617" s="559"/>
      <c r="KFI617" s="559"/>
      <c r="KFJ617" s="559"/>
      <c r="KFK617" s="559"/>
      <c r="KFL617" s="559"/>
      <c r="KFM617" s="559"/>
      <c r="KFN617" s="559"/>
      <c r="KFO617" s="559"/>
      <c r="KFP617" s="559"/>
      <c r="KFQ617" s="559"/>
      <c r="KFR617" s="559"/>
      <c r="KFS617" s="559"/>
      <c r="KFT617" s="559"/>
      <c r="KFU617" s="559"/>
      <c r="KFV617" s="559"/>
      <c r="KFW617" s="559"/>
      <c r="KFX617" s="559"/>
      <c r="KFY617" s="559"/>
      <c r="KFZ617" s="559"/>
      <c r="KGA617" s="559"/>
      <c r="KGB617" s="559"/>
      <c r="KGC617" s="559"/>
      <c r="KGD617" s="559"/>
      <c r="KGE617" s="559"/>
      <c r="KGF617" s="559"/>
      <c r="KGG617" s="559"/>
      <c r="KGH617" s="559"/>
      <c r="KGI617" s="559"/>
      <c r="KGJ617" s="559"/>
      <c r="KGK617" s="559"/>
      <c r="KGL617" s="559"/>
      <c r="KGM617" s="559"/>
      <c r="KGN617" s="559"/>
      <c r="KGO617" s="559"/>
      <c r="KGP617" s="559"/>
      <c r="KGQ617" s="559"/>
      <c r="KGR617" s="559"/>
      <c r="KGS617" s="559"/>
      <c r="KGT617" s="559"/>
      <c r="KGU617" s="559"/>
      <c r="KGV617" s="559"/>
      <c r="KGW617" s="559"/>
      <c r="KGX617" s="559"/>
      <c r="KGY617" s="559"/>
      <c r="KGZ617" s="559"/>
      <c r="KHA617" s="559"/>
      <c r="KHB617" s="559"/>
      <c r="KHC617" s="559"/>
      <c r="KHD617" s="559"/>
      <c r="KHE617" s="559"/>
      <c r="KHF617" s="559"/>
      <c r="KHG617" s="559"/>
      <c r="KHH617" s="559"/>
      <c r="KHI617" s="559"/>
      <c r="KHJ617" s="559"/>
      <c r="KHK617" s="559"/>
      <c r="KHL617" s="559"/>
      <c r="KHM617" s="559"/>
      <c r="KHN617" s="559"/>
      <c r="KHO617" s="559"/>
      <c r="KHP617" s="559"/>
      <c r="KHQ617" s="559"/>
      <c r="KHR617" s="559"/>
      <c r="KHS617" s="559"/>
      <c r="KHT617" s="559"/>
      <c r="KHU617" s="559"/>
      <c r="KHV617" s="559"/>
      <c r="KHW617" s="559"/>
      <c r="KHX617" s="559"/>
      <c r="KHY617" s="559"/>
      <c r="KHZ617" s="559"/>
      <c r="KIA617" s="559"/>
      <c r="KIB617" s="559"/>
      <c r="KIC617" s="559"/>
      <c r="KID617" s="559"/>
      <c r="KIE617" s="559"/>
      <c r="KIF617" s="559"/>
      <c r="KIG617" s="559"/>
      <c r="KIH617" s="559"/>
      <c r="KII617" s="559"/>
      <c r="KIJ617" s="559"/>
      <c r="KIK617" s="559"/>
      <c r="KIL617" s="559"/>
      <c r="KIM617" s="559"/>
      <c r="KIN617" s="559"/>
      <c r="KIO617" s="559"/>
      <c r="KIP617" s="559"/>
      <c r="KIQ617" s="559"/>
      <c r="KIR617" s="559"/>
      <c r="KIS617" s="559"/>
      <c r="KIT617" s="559"/>
      <c r="KIU617" s="559"/>
      <c r="KIV617" s="559"/>
      <c r="KIW617" s="559"/>
      <c r="KIX617" s="559"/>
      <c r="KIY617" s="559"/>
      <c r="KIZ617" s="559"/>
      <c r="KJA617" s="559"/>
      <c r="KJB617" s="559"/>
      <c r="KJC617" s="559"/>
      <c r="KJD617" s="559"/>
      <c r="KJE617" s="559"/>
      <c r="KJF617" s="559"/>
      <c r="KJG617" s="559"/>
      <c r="KJH617" s="559"/>
      <c r="KJI617" s="559"/>
      <c r="KJJ617" s="559"/>
      <c r="KJK617" s="559"/>
      <c r="KJL617" s="559"/>
      <c r="KJM617" s="559"/>
      <c r="KJN617" s="559"/>
      <c r="KJO617" s="559"/>
      <c r="KJP617" s="559"/>
      <c r="KJQ617" s="559"/>
      <c r="KJR617" s="559"/>
      <c r="KJS617" s="559"/>
      <c r="KJT617" s="559"/>
      <c r="KJU617" s="559"/>
      <c r="KJV617" s="559"/>
      <c r="KJW617" s="559"/>
      <c r="KJX617" s="559"/>
      <c r="KJY617" s="559"/>
      <c r="KJZ617" s="559"/>
      <c r="KKA617" s="559"/>
      <c r="KKB617" s="559"/>
      <c r="KKC617" s="559"/>
      <c r="KKD617" s="559"/>
      <c r="KKE617" s="559"/>
      <c r="KKF617" s="559"/>
      <c r="KKG617" s="559"/>
      <c r="KKH617" s="559"/>
      <c r="KKI617" s="559"/>
      <c r="KKJ617" s="559"/>
      <c r="KKK617" s="559"/>
      <c r="KKL617" s="559"/>
      <c r="KKM617" s="559"/>
      <c r="KKN617" s="559"/>
      <c r="KKO617" s="559"/>
      <c r="KKP617" s="559"/>
      <c r="KKQ617" s="559"/>
      <c r="KKR617" s="559"/>
      <c r="KKS617" s="559"/>
      <c r="KKT617" s="559"/>
      <c r="KKU617" s="559"/>
      <c r="KKV617" s="559"/>
      <c r="KKW617" s="559"/>
      <c r="KKX617" s="559"/>
      <c r="KKY617" s="559"/>
      <c r="KKZ617" s="559"/>
      <c r="KLA617" s="559"/>
      <c r="KLB617" s="559"/>
      <c r="KLC617" s="559"/>
      <c r="KLD617" s="559"/>
      <c r="KLE617" s="559"/>
      <c r="KLF617" s="559"/>
      <c r="KLG617" s="559"/>
      <c r="KLH617" s="559"/>
      <c r="KLI617" s="559"/>
      <c r="KLJ617" s="559"/>
      <c r="KLK617" s="559"/>
      <c r="KLL617" s="559"/>
      <c r="KLM617" s="559"/>
      <c r="KLN617" s="559"/>
      <c r="KLO617" s="559"/>
      <c r="KLP617" s="559"/>
      <c r="KLQ617" s="559"/>
      <c r="KLR617" s="559"/>
      <c r="KLS617" s="559"/>
      <c r="KLT617" s="559"/>
      <c r="KLU617" s="559"/>
      <c r="KLV617" s="559"/>
      <c r="KLW617" s="559"/>
      <c r="KLX617" s="559"/>
      <c r="KLY617" s="559"/>
      <c r="KLZ617" s="559"/>
      <c r="KMA617" s="559"/>
      <c r="KMB617" s="559"/>
      <c r="KMC617" s="559"/>
      <c r="KMD617" s="559"/>
      <c r="KME617" s="559"/>
      <c r="KMF617" s="559"/>
      <c r="KMG617" s="559"/>
      <c r="KMH617" s="559"/>
      <c r="KMI617" s="559"/>
      <c r="KMJ617" s="559"/>
      <c r="KMK617" s="559"/>
      <c r="KML617" s="559"/>
      <c r="KMM617" s="559"/>
      <c r="KMN617" s="559"/>
      <c r="KMO617" s="559"/>
      <c r="KMP617" s="559"/>
      <c r="KMQ617" s="559"/>
      <c r="KMR617" s="559"/>
      <c r="KMS617" s="559"/>
      <c r="KMT617" s="559"/>
      <c r="KMU617" s="559"/>
      <c r="KMV617" s="559"/>
      <c r="KMW617" s="559"/>
      <c r="KMX617" s="559"/>
      <c r="KMY617" s="559"/>
      <c r="KMZ617" s="559"/>
      <c r="KNA617" s="559"/>
      <c r="KNB617" s="559"/>
      <c r="KNC617" s="559"/>
      <c r="KND617" s="559"/>
      <c r="KNE617" s="559"/>
      <c r="KNF617" s="559"/>
      <c r="KNG617" s="559"/>
      <c r="KNH617" s="559"/>
      <c r="KNI617" s="559"/>
      <c r="KNJ617" s="559"/>
      <c r="KNK617" s="559"/>
      <c r="KNL617" s="559"/>
      <c r="KNM617" s="559"/>
      <c r="KNN617" s="559"/>
      <c r="KNO617" s="559"/>
      <c r="KNP617" s="559"/>
      <c r="KNQ617" s="559"/>
      <c r="KNR617" s="559"/>
      <c r="KNS617" s="559"/>
      <c r="KNT617" s="559"/>
      <c r="KNU617" s="559"/>
      <c r="KNV617" s="559"/>
      <c r="KNW617" s="559"/>
      <c r="KNX617" s="559"/>
      <c r="KNY617" s="559"/>
      <c r="KNZ617" s="559"/>
      <c r="KOA617" s="559"/>
      <c r="KOB617" s="559"/>
      <c r="KOC617" s="559"/>
      <c r="KOD617" s="559"/>
      <c r="KOE617" s="559"/>
      <c r="KOF617" s="559"/>
      <c r="KOG617" s="559"/>
      <c r="KOH617" s="559"/>
      <c r="KOI617" s="559"/>
      <c r="KOJ617" s="559"/>
      <c r="KOK617" s="559"/>
      <c r="KOL617" s="559"/>
      <c r="KOM617" s="559"/>
      <c r="KON617" s="559"/>
      <c r="KOO617" s="559"/>
      <c r="KOP617" s="559"/>
      <c r="KOQ617" s="559"/>
      <c r="KOR617" s="559"/>
      <c r="KOS617" s="559"/>
      <c r="KOT617" s="559"/>
      <c r="KOU617" s="559"/>
      <c r="KOV617" s="559"/>
      <c r="KOW617" s="559"/>
      <c r="KOX617" s="559"/>
      <c r="KOY617" s="559"/>
      <c r="KOZ617" s="559"/>
      <c r="KPA617" s="559"/>
      <c r="KPB617" s="559"/>
      <c r="KPC617" s="559"/>
      <c r="KPD617" s="559"/>
      <c r="KPE617" s="559"/>
      <c r="KPF617" s="559"/>
      <c r="KPG617" s="559"/>
      <c r="KPH617" s="559"/>
      <c r="KPI617" s="559"/>
      <c r="KPJ617" s="559"/>
      <c r="KPK617" s="559"/>
      <c r="KPL617" s="559"/>
      <c r="KPM617" s="559"/>
      <c r="KPN617" s="559"/>
      <c r="KPO617" s="559"/>
      <c r="KPP617" s="559"/>
      <c r="KPQ617" s="559"/>
      <c r="KPR617" s="559"/>
      <c r="KPS617" s="559"/>
      <c r="KPT617" s="559"/>
      <c r="KPU617" s="559"/>
      <c r="KPV617" s="559"/>
      <c r="KPW617" s="559"/>
      <c r="KPX617" s="559"/>
      <c r="KPY617" s="559"/>
      <c r="KPZ617" s="559"/>
      <c r="KQA617" s="559"/>
      <c r="KQB617" s="559"/>
      <c r="KQC617" s="559"/>
      <c r="KQD617" s="559"/>
      <c r="KQE617" s="559"/>
      <c r="KQF617" s="559"/>
      <c r="KQG617" s="559"/>
      <c r="KQH617" s="559"/>
      <c r="KQI617" s="559"/>
      <c r="KQJ617" s="559"/>
      <c r="KQK617" s="559"/>
      <c r="KQL617" s="559"/>
      <c r="KQM617" s="559"/>
      <c r="KQN617" s="559"/>
      <c r="KQO617" s="559"/>
      <c r="KQP617" s="559"/>
      <c r="KQQ617" s="559"/>
      <c r="KQR617" s="559"/>
      <c r="KQS617" s="559"/>
      <c r="KQT617" s="559"/>
      <c r="KQU617" s="559"/>
      <c r="KQV617" s="559"/>
      <c r="KQW617" s="559"/>
      <c r="KQX617" s="559"/>
      <c r="KQY617" s="559"/>
      <c r="KQZ617" s="559"/>
      <c r="KRA617" s="559"/>
      <c r="KRB617" s="559"/>
      <c r="KRC617" s="559"/>
      <c r="KRD617" s="559"/>
      <c r="KRE617" s="559"/>
      <c r="KRF617" s="559"/>
      <c r="KRG617" s="559"/>
      <c r="KRH617" s="559"/>
      <c r="KRI617" s="559"/>
      <c r="KRJ617" s="559"/>
      <c r="KRK617" s="559"/>
      <c r="KRL617" s="559"/>
      <c r="KRM617" s="559"/>
      <c r="KRN617" s="559"/>
      <c r="KRO617" s="559"/>
      <c r="KRP617" s="559"/>
      <c r="KRQ617" s="559"/>
      <c r="KRR617" s="559"/>
      <c r="KRS617" s="559"/>
      <c r="KRT617" s="559"/>
      <c r="KRU617" s="559"/>
      <c r="KRV617" s="559"/>
      <c r="KRW617" s="559"/>
      <c r="KRX617" s="559"/>
      <c r="KRY617" s="559"/>
      <c r="KRZ617" s="559"/>
      <c r="KSA617" s="559"/>
      <c r="KSB617" s="559"/>
      <c r="KSC617" s="559"/>
      <c r="KSD617" s="559"/>
      <c r="KSE617" s="559"/>
      <c r="KSF617" s="559"/>
      <c r="KSG617" s="559"/>
      <c r="KSH617" s="559"/>
      <c r="KSI617" s="559"/>
      <c r="KSJ617" s="559"/>
      <c r="KSK617" s="559"/>
      <c r="KSL617" s="559"/>
      <c r="KSM617" s="559"/>
      <c r="KSN617" s="559"/>
      <c r="KSO617" s="559"/>
      <c r="KSP617" s="559"/>
      <c r="KSQ617" s="559"/>
      <c r="KSR617" s="559"/>
      <c r="KSS617" s="559"/>
      <c r="KST617" s="559"/>
      <c r="KSU617" s="559"/>
      <c r="KSV617" s="559"/>
      <c r="KSW617" s="559"/>
      <c r="KSX617" s="559"/>
      <c r="KSY617" s="559"/>
      <c r="KSZ617" s="559"/>
      <c r="KTA617" s="559"/>
      <c r="KTB617" s="559"/>
      <c r="KTC617" s="559"/>
      <c r="KTD617" s="559"/>
      <c r="KTE617" s="559"/>
      <c r="KTF617" s="559"/>
      <c r="KTG617" s="559"/>
      <c r="KTH617" s="559"/>
      <c r="KTI617" s="559"/>
      <c r="KTJ617" s="559"/>
      <c r="KTK617" s="559"/>
      <c r="KTL617" s="559"/>
      <c r="KTM617" s="559"/>
      <c r="KTN617" s="559"/>
      <c r="KTO617" s="559"/>
      <c r="KTP617" s="559"/>
      <c r="KTQ617" s="559"/>
      <c r="KTR617" s="559"/>
      <c r="KTS617" s="559"/>
      <c r="KTT617" s="559"/>
      <c r="KTU617" s="559"/>
      <c r="KTV617" s="559"/>
      <c r="KTW617" s="559"/>
      <c r="KTX617" s="559"/>
      <c r="KTY617" s="559"/>
      <c r="KTZ617" s="559"/>
      <c r="KUA617" s="559"/>
      <c r="KUB617" s="559"/>
      <c r="KUC617" s="559"/>
      <c r="KUD617" s="559"/>
      <c r="KUE617" s="559"/>
      <c r="KUF617" s="559"/>
      <c r="KUG617" s="559"/>
      <c r="KUH617" s="559"/>
      <c r="KUI617" s="559"/>
      <c r="KUJ617" s="559"/>
      <c r="KUK617" s="559"/>
      <c r="KUL617" s="559"/>
      <c r="KUM617" s="559"/>
      <c r="KUN617" s="559"/>
      <c r="KUO617" s="559"/>
      <c r="KUP617" s="559"/>
      <c r="KUQ617" s="559"/>
      <c r="KUR617" s="559"/>
      <c r="KUS617" s="559"/>
      <c r="KUT617" s="559"/>
      <c r="KUU617" s="559"/>
      <c r="KUV617" s="559"/>
      <c r="KUW617" s="559"/>
      <c r="KUX617" s="559"/>
      <c r="KUY617" s="559"/>
      <c r="KUZ617" s="559"/>
      <c r="KVA617" s="559"/>
      <c r="KVB617" s="559"/>
      <c r="KVC617" s="559"/>
      <c r="KVD617" s="559"/>
      <c r="KVE617" s="559"/>
      <c r="KVF617" s="559"/>
      <c r="KVG617" s="559"/>
      <c r="KVH617" s="559"/>
      <c r="KVI617" s="559"/>
      <c r="KVJ617" s="559"/>
      <c r="KVK617" s="559"/>
      <c r="KVL617" s="559"/>
      <c r="KVM617" s="559"/>
      <c r="KVN617" s="559"/>
      <c r="KVO617" s="559"/>
      <c r="KVP617" s="559"/>
      <c r="KVQ617" s="559"/>
      <c r="KVR617" s="559"/>
      <c r="KVS617" s="559"/>
      <c r="KVT617" s="559"/>
      <c r="KVU617" s="559"/>
      <c r="KVV617" s="559"/>
      <c r="KVW617" s="559"/>
      <c r="KVX617" s="559"/>
      <c r="KVY617" s="559"/>
      <c r="KVZ617" s="559"/>
      <c r="KWA617" s="559"/>
      <c r="KWB617" s="559"/>
      <c r="KWC617" s="559"/>
      <c r="KWD617" s="559"/>
      <c r="KWE617" s="559"/>
      <c r="KWF617" s="559"/>
      <c r="KWG617" s="559"/>
      <c r="KWH617" s="559"/>
      <c r="KWI617" s="559"/>
      <c r="KWJ617" s="559"/>
      <c r="KWK617" s="559"/>
      <c r="KWL617" s="559"/>
      <c r="KWM617" s="559"/>
      <c r="KWN617" s="559"/>
      <c r="KWO617" s="559"/>
      <c r="KWP617" s="559"/>
      <c r="KWQ617" s="559"/>
      <c r="KWR617" s="559"/>
      <c r="KWS617" s="559"/>
      <c r="KWT617" s="559"/>
      <c r="KWU617" s="559"/>
      <c r="KWV617" s="559"/>
      <c r="KWW617" s="559"/>
      <c r="KWX617" s="559"/>
      <c r="KWY617" s="559"/>
      <c r="KWZ617" s="559"/>
      <c r="KXA617" s="559"/>
      <c r="KXB617" s="559"/>
      <c r="KXC617" s="559"/>
      <c r="KXD617" s="559"/>
      <c r="KXE617" s="559"/>
      <c r="KXF617" s="559"/>
      <c r="KXG617" s="559"/>
      <c r="KXH617" s="559"/>
      <c r="KXI617" s="559"/>
      <c r="KXJ617" s="559"/>
      <c r="KXK617" s="559"/>
      <c r="KXL617" s="559"/>
      <c r="KXM617" s="559"/>
      <c r="KXN617" s="559"/>
      <c r="KXO617" s="559"/>
      <c r="KXP617" s="559"/>
      <c r="KXQ617" s="559"/>
      <c r="KXR617" s="559"/>
      <c r="KXS617" s="559"/>
      <c r="KXT617" s="559"/>
      <c r="KXU617" s="559"/>
      <c r="KXV617" s="559"/>
      <c r="KXW617" s="559"/>
      <c r="KXX617" s="559"/>
      <c r="KXY617" s="559"/>
      <c r="KXZ617" s="559"/>
      <c r="KYA617" s="559"/>
      <c r="KYB617" s="559"/>
      <c r="KYC617" s="559"/>
      <c r="KYD617" s="559"/>
      <c r="KYE617" s="559"/>
      <c r="KYF617" s="559"/>
      <c r="KYG617" s="559"/>
      <c r="KYH617" s="559"/>
      <c r="KYI617" s="559"/>
      <c r="KYJ617" s="559"/>
      <c r="KYK617" s="559"/>
      <c r="KYL617" s="559"/>
      <c r="KYM617" s="559"/>
      <c r="KYN617" s="559"/>
      <c r="KYO617" s="559"/>
      <c r="KYP617" s="559"/>
      <c r="KYQ617" s="559"/>
      <c r="KYR617" s="559"/>
      <c r="KYS617" s="559"/>
      <c r="KYT617" s="559"/>
      <c r="KYU617" s="559"/>
      <c r="KYV617" s="559"/>
      <c r="KYW617" s="559"/>
      <c r="KYX617" s="559"/>
      <c r="KYY617" s="559"/>
      <c r="KYZ617" s="559"/>
      <c r="KZA617" s="559"/>
      <c r="KZB617" s="559"/>
      <c r="KZC617" s="559"/>
      <c r="KZD617" s="559"/>
      <c r="KZE617" s="559"/>
      <c r="KZF617" s="559"/>
      <c r="KZG617" s="559"/>
      <c r="KZH617" s="559"/>
      <c r="KZI617" s="559"/>
      <c r="KZJ617" s="559"/>
      <c r="KZK617" s="559"/>
      <c r="KZL617" s="559"/>
      <c r="KZM617" s="559"/>
      <c r="KZN617" s="559"/>
      <c r="KZO617" s="559"/>
      <c r="KZP617" s="559"/>
      <c r="KZQ617" s="559"/>
      <c r="KZR617" s="559"/>
      <c r="KZS617" s="559"/>
      <c r="KZT617" s="559"/>
      <c r="KZU617" s="559"/>
      <c r="KZV617" s="559"/>
      <c r="KZW617" s="559"/>
      <c r="KZX617" s="559"/>
      <c r="KZY617" s="559"/>
      <c r="KZZ617" s="559"/>
      <c r="LAA617" s="559"/>
      <c r="LAB617" s="559"/>
      <c r="LAC617" s="559"/>
      <c r="LAD617" s="559"/>
      <c r="LAE617" s="559"/>
      <c r="LAF617" s="559"/>
      <c r="LAG617" s="559"/>
      <c r="LAH617" s="559"/>
      <c r="LAI617" s="559"/>
      <c r="LAJ617" s="559"/>
      <c r="LAK617" s="559"/>
      <c r="LAL617" s="559"/>
      <c r="LAM617" s="559"/>
      <c r="LAN617" s="559"/>
      <c r="LAO617" s="559"/>
      <c r="LAP617" s="559"/>
      <c r="LAQ617" s="559"/>
      <c r="LAR617" s="559"/>
      <c r="LAS617" s="559"/>
      <c r="LAT617" s="559"/>
      <c r="LAU617" s="559"/>
      <c r="LAV617" s="559"/>
      <c r="LAW617" s="559"/>
      <c r="LAX617" s="559"/>
      <c r="LAY617" s="559"/>
      <c r="LAZ617" s="559"/>
      <c r="LBA617" s="559"/>
      <c r="LBB617" s="559"/>
      <c r="LBC617" s="559"/>
      <c r="LBD617" s="559"/>
      <c r="LBE617" s="559"/>
      <c r="LBF617" s="559"/>
      <c r="LBG617" s="559"/>
      <c r="LBH617" s="559"/>
      <c r="LBI617" s="559"/>
      <c r="LBJ617" s="559"/>
      <c r="LBK617" s="559"/>
      <c r="LBL617" s="559"/>
      <c r="LBM617" s="559"/>
      <c r="LBN617" s="559"/>
      <c r="LBO617" s="559"/>
      <c r="LBP617" s="559"/>
      <c r="LBQ617" s="559"/>
      <c r="LBR617" s="559"/>
      <c r="LBS617" s="559"/>
      <c r="LBT617" s="559"/>
      <c r="LBU617" s="559"/>
      <c r="LBV617" s="559"/>
      <c r="LBW617" s="559"/>
      <c r="LBX617" s="559"/>
      <c r="LBY617" s="559"/>
      <c r="LBZ617" s="559"/>
      <c r="LCA617" s="559"/>
      <c r="LCB617" s="559"/>
      <c r="LCC617" s="559"/>
      <c r="LCD617" s="559"/>
      <c r="LCE617" s="559"/>
      <c r="LCF617" s="559"/>
      <c r="LCG617" s="559"/>
      <c r="LCH617" s="559"/>
      <c r="LCI617" s="559"/>
      <c r="LCJ617" s="559"/>
      <c r="LCK617" s="559"/>
      <c r="LCL617" s="559"/>
      <c r="LCM617" s="559"/>
      <c r="LCN617" s="559"/>
      <c r="LCO617" s="559"/>
      <c r="LCP617" s="559"/>
      <c r="LCQ617" s="559"/>
      <c r="LCR617" s="559"/>
      <c r="LCS617" s="559"/>
      <c r="LCT617" s="559"/>
      <c r="LCU617" s="559"/>
      <c r="LCV617" s="559"/>
      <c r="LCW617" s="559"/>
      <c r="LCX617" s="559"/>
      <c r="LCY617" s="559"/>
      <c r="LCZ617" s="559"/>
      <c r="LDA617" s="559"/>
      <c r="LDB617" s="559"/>
      <c r="LDC617" s="559"/>
      <c r="LDD617" s="559"/>
      <c r="LDE617" s="559"/>
      <c r="LDF617" s="559"/>
      <c r="LDG617" s="559"/>
      <c r="LDH617" s="559"/>
      <c r="LDI617" s="559"/>
      <c r="LDJ617" s="559"/>
      <c r="LDK617" s="559"/>
      <c r="LDL617" s="559"/>
      <c r="LDM617" s="559"/>
      <c r="LDN617" s="559"/>
      <c r="LDO617" s="559"/>
      <c r="LDP617" s="559"/>
      <c r="LDQ617" s="559"/>
      <c r="LDR617" s="559"/>
      <c r="LDS617" s="559"/>
      <c r="LDT617" s="559"/>
      <c r="LDU617" s="559"/>
      <c r="LDV617" s="559"/>
      <c r="LDW617" s="559"/>
      <c r="LDX617" s="559"/>
      <c r="LDY617" s="559"/>
      <c r="LDZ617" s="559"/>
      <c r="LEA617" s="559"/>
      <c r="LEB617" s="559"/>
      <c r="LEC617" s="559"/>
      <c r="LED617" s="559"/>
      <c r="LEE617" s="559"/>
      <c r="LEF617" s="559"/>
      <c r="LEG617" s="559"/>
      <c r="LEH617" s="559"/>
      <c r="LEI617" s="559"/>
      <c r="LEJ617" s="559"/>
      <c r="LEK617" s="559"/>
      <c r="LEL617" s="559"/>
      <c r="LEM617" s="559"/>
      <c r="LEN617" s="559"/>
      <c r="LEO617" s="559"/>
      <c r="LEP617" s="559"/>
      <c r="LEQ617" s="559"/>
      <c r="LER617" s="559"/>
      <c r="LES617" s="559"/>
      <c r="LET617" s="559"/>
      <c r="LEU617" s="559"/>
      <c r="LEV617" s="559"/>
      <c r="LEW617" s="559"/>
      <c r="LEX617" s="559"/>
      <c r="LEY617" s="559"/>
      <c r="LEZ617" s="559"/>
      <c r="LFA617" s="559"/>
      <c r="LFB617" s="559"/>
      <c r="LFC617" s="559"/>
      <c r="LFD617" s="559"/>
      <c r="LFE617" s="559"/>
      <c r="LFF617" s="559"/>
      <c r="LFG617" s="559"/>
      <c r="LFH617" s="559"/>
      <c r="LFI617" s="559"/>
      <c r="LFJ617" s="559"/>
      <c r="LFK617" s="559"/>
      <c r="LFL617" s="559"/>
      <c r="LFM617" s="559"/>
      <c r="LFN617" s="559"/>
      <c r="LFO617" s="559"/>
      <c r="LFP617" s="559"/>
      <c r="LFQ617" s="559"/>
      <c r="LFR617" s="559"/>
      <c r="LFS617" s="559"/>
      <c r="LFT617" s="559"/>
      <c r="LFU617" s="559"/>
      <c r="LFV617" s="559"/>
      <c r="LFW617" s="559"/>
      <c r="LFX617" s="559"/>
      <c r="LFY617" s="559"/>
      <c r="LFZ617" s="559"/>
      <c r="LGA617" s="559"/>
      <c r="LGB617" s="559"/>
      <c r="LGC617" s="559"/>
      <c r="LGD617" s="559"/>
      <c r="LGE617" s="559"/>
      <c r="LGF617" s="559"/>
      <c r="LGG617" s="559"/>
      <c r="LGH617" s="559"/>
      <c r="LGI617" s="559"/>
      <c r="LGJ617" s="559"/>
      <c r="LGK617" s="559"/>
      <c r="LGL617" s="559"/>
      <c r="LGM617" s="559"/>
      <c r="LGN617" s="559"/>
      <c r="LGO617" s="559"/>
      <c r="LGP617" s="559"/>
      <c r="LGQ617" s="559"/>
      <c r="LGR617" s="559"/>
      <c r="LGS617" s="559"/>
      <c r="LGT617" s="559"/>
      <c r="LGU617" s="559"/>
      <c r="LGV617" s="559"/>
      <c r="LGW617" s="559"/>
      <c r="LGX617" s="559"/>
      <c r="LGY617" s="559"/>
      <c r="LGZ617" s="559"/>
      <c r="LHA617" s="559"/>
      <c r="LHB617" s="559"/>
      <c r="LHC617" s="559"/>
      <c r="LHD617" s="559"/>
      <c r="LHE617" s="559"/>
      <c r="LHF617" s="559"/>
      <c r="LHG617" s="559"/>
      <c r="LHH617" s="559"/>
      <c r="LHI617" s="559"/>
      <c r="LHJ617" s="559"/>
      <c r="LHK617" s="559"/>
      <c r="LHL617" s="559"/>
      <c r="LHM617" s="559"/>
      <c r="LHN617" s="559"/>
      <c r="LHO617" s="559"/>
      <c r="LHP617" s="559"/>
      <c r="LHQ617" s="559"/>
      <c r="LHR617" s="559"/>
      <c r="LHS617" s="559"/>
      <c r="LHT617" s="559"/>
      <c r="LHU617" s="559"/>
      <c r="LHV617" s="559"/>
      <c r="LHW617" s="559"/>
      <c r="LHX617" s="559"/>
      <c r="LHY617" s="559"/>
      <c r="LHZ617" s="559"/>
      <c r="LIA617" s="559"/>
      <c r="LIB617" s="559"/>
      <c r="LIC617" s="559"/>
      <c r="LID617" s="559"/>
      <c r="LIE617" s="559"/>
      <c r="LIF617" s="559"/>
      <c r="LIG617" s="559"/>
      <c r="LIH617" s="559"/>
      <c r="LII617" s="559"/>
      <c r="LIJ617" s="559"/>
      <c r="LIK617" s="559"/>
      <c r="LIL617" s="559"/>
      <c r="LIM617" s="559"/>
      <c r="LIN617" s="559"/>
      <c r="LIO617" s="559"/>
      <c r="LIP617" s="559"/>
      <c r="LIQ617" s="559"/>
      <c r="LIR617" s="559"/>
      <c r="LIS617" s="559"/>
      <c r="LIT617" s="559"/>
      <c r="LIU617" s="559"/>
      <c r="LIV617" s="559"/>
      <c r="LIW617" s="559"/>
      <c r="LIX617" s="559"/>
      <c r="LIY617" s="559"/>
      <c r="LIZ617" s="559"/>
      <c r="LJA617" s="559"/>
      <c r="LJB617" s="559"/>
      <c r="LJC617" s="559"/>
      <c r="LJD617" s="559"/>
      <c r="LJE617" s="559"/>
      <c r="LJF617" s="559"/>
      <c r="LJG617" s="559"/>
      <c r="LJH617" s="559"/>
      <c r="LJI617" s="559"/>
      <c r="LJJ617" s="559"/>
      <c r="LJK617" s="559"/>
      <c r="LJL617" s="559"/>
      <c r="LJM617" s="559"/>
      <c r="LJN617" s="559"/>
      <c r="LJO617" s="559"/>
      <c r="LJP617" s="559"/>
      <c r="LJQ617" s="559"/>
      <c r="LJR617" s="559"/>
      <c r="LJS617" s="559"/>
      <c r="LJT617" s="559"/>
      <c r="LJU617" s="559"/>
      <c r="LJV617" s="559"/>
      <c r="LJW617" s="559"/>
      <c r="LJX617" s="559"/>
      <c r="LJY617" s="559"/>
      <c r="LJZ617" s="559"/>
      <c r="LKA617" s="559"/>
      <c r="LKB617" s="559"/>
      <c r="LKC617" s="559"/>
      <c r="LKD617" s="559"/>
      <c r="LKE617" s="559"/>
      <c r="LKF617" s="559"/>
      <c r="LKG617" s="559"/>
      <c r="LKH617" s="559"/>
      <c r="LKI617" s="559"/>
      <c r="LKJ617" s="559"/>
      <c r="LKK617" s="559"/>
      <c r="LKL617" s="559"/>
      <c r="LKM617" s="559"/>
      <c r="LKN617" s="559"/>
      <c r="LKO617" s="559"/>
      <c r="LKP617" s="559"/>
      <c r="LKQ617" s="559"/>
      <c r="LKR617" s="559"/>
      <c r="LKS617" s="559"/>
      <c r="LKT617" s="559"/>
      <c r="LKU617" s="559"/>
      <c r="LKV617" s="559"/>
      <c r="LKW617" s="559"/>
      <c r="LKX617" s="559"/>
      <c r="LKY617" s="559"/>
      <c r="LKZ617" s="559"/>
      <c r="LLA617" s="559"/>
      <c r="LLB617" s="559"/>
      <c r="LLC617" s="559"/>
      <c r="LLD617" s="559"/>
      <c r="LLE617" s="559"/>
      <c r="LLF617" s="559"/>
      <c r="LLG617" s="559"/>
      <c r="LLH617" s="559"/>
      <c r="LLI617" s="559"/>
      <c r="LLJ617" s="559"/>
      <c r="LLK617" s="559"/>
      <c r="LLL617" s="559"/>
      <c r="LLM617" s="559"/>
      <c r="LLN617" s="559"/>
      <c r="LLO617" s="559"/>
      <c r="LLP617" s="559"/>
      <c r="LLQ617" s="559"/>
      <c r="LLR617" s="559"/>
      <c r="LLS617" s="559"/>
      <c r="LLT617" s="559"/>
      <c r="LLU617" s="559"/>
      <c r="LLV617" s="559"/>
      <c r="LLW617" s="559"/>
      <c r="LLX617" s="559"/>
      <c r="LLY617" s="559"/>
      <c r="LLZ617" s="559"/>
      <c r="LMA617" s="559"/>
      <c r="LMB617" s="559"/>
      <c r="LMC617" s="559"/>
      <c r="LMD617" s="559"/>
      <c r="LME617" s="559"/>
      <c r="LMF617" s="559"/>
      <c r="LMG617" s="559"/>
      <c r="LMH617" s="559"/>
      <c r="LMI617" s="559"/>
      <c r="LMJ617" s="559"/>
      <c r="LMK617" s="559"/>
      <c r="LML617" s="559"/>
      <c r="LMM617" s="559"/>
      <c r="LMN617" s="559"/>
      <c r="LMO617" s="559"/>
      <c r="LMP617" s="559"/>
      <c r="LMQ617" s="559"/>
      <c r="LMR617" s="559"/>
      <c r="LMS617" s="559"/>
      <c r="LMT617" s="559"/>
      <c r="LMU617" s="559"/>
      <c r="LMV617" s="559"/>
      <c r="LMW617" s="559"/>
      <c r="LMX617" s="559"/>
      <c r="LMY617" s="559"/>
      <c r="LMZ617" s="559"/>
      <c r="LNA617" s="559"/>
      <c r="LNB617" s="559"/>
      <c r="LNC617" s="559"/>
      <c r="LND617" s="559"/>
      <c r="LNE617" s="559"/>
      <c r="LNF617" s="559"/>
      <c r="LNG617" s="559"/>
      <c r="LNH617" s="559"/>
      <c r="LNI617" s="559"/>
      <c r="LNJ617" s="559"/>
      <c r="LNK617" s="559"/>
      <c r="LNL617" s="559"/>
      <c r="LNM617" s="559"/>
      <c r="LNN617" s="559"/>
      <c r="LNO617" s="559"/>
      <c r="LNP617" s="559"/>
      <c r="LNQ617" s="559"/>
      <c r="LNR617" s="559"/>
      <c r="LNS617" s="559"/>
      <c r="LNT617" s="559"/>
      <c r="LNU617" s="559"/>
      <c r="LNV617" s="559"/>
      <c r="LNW617" s="559"/>
      <c r="LNX617" s="559"/>
      <c r="LNY617" s="559"/>
      <c r="LNZ617" s="559"/>
      <c r="LOA617" s="559"/>
      <c r="LOB617" s="559"/>
      <c r="LOC617" s="559"/>
      <c r="LOD617" s="559"/>
      <c r="LOE617" s="559"/>
      <c r="LOF617" s="559"/>
      <c r="LOG617" s="559"/>
      <c r="LOH617" s="559"/>
      <c r="LOI617" s="559"/>
      <c r="LOJ617" s="559"/>
      <c r="LOK617" s="559"/>
      <c r="LOL617" s="559"/>
      <c r="LOM617" s="559"/>
      <c r="LON617" s="559"/>
      <c r="LOO617" s="559"/>
      <c r="LOP617" s="559"/>
      <c r="LOQ617" s="559"/>
      <c r="LOR617" s="559"/>
      <c r="LOS617" s="559"/>
      <c r="LOT617" s="559"/>
      <c r="LOU617" s="559"/>
      <c r="LOV617" s="559"/>
      <c r="LOW617" s="559"/>
      <c r="LOX617" s="559"/>
      <c r="LOY617" s="559"/>
      <c r="LOZ617" s="559"/>
      <c r="LPA617" s="559"/>
      <c r="LPB617" s="559"/>
      <c r="LPC617" s="559"/>
      <c r="LPD617" s="559"/>
      <c r="LPE617" s="559"/>
      <c r="LPF617" s="559"/>
      <c r="LPG617" s="559"/>
      <c r="LPH617" s="559"/>
      <c r="LPI617" s="559"/>
      <c r="LPJ617" s="559"/>
      <c r="LPK617" s="559"/>
      <c r="LPL617" s="559"/>
      <c r="LPM617" s="559"/>
      <c r="LPN617" s="559"/>
      <c r="LPO617" s="559"/>
      <c r="LPP617" s="559"/>
      <c r="LPQ617" s="559"/>
      <c r="LPR617" s="559"/>
      <c r="LPS617" s="559"/>
      <c r="LPT617" s="559"/>
      <c r="LPU617" s="559"/>
      <c r="LPV617" s="559"/>
      <c r="LPW617" s="559"/>
      <c r="LPX617" s="559"/>
      <c r="LPY617" s="559"/>
      <c r="LPZ617" s="559"/>
      <c r="LQA617" s="559"/>
      <c r="LQB617" s="559"/>
      <c r="LQC617" s="559"/>
      <c r="LQD617" s="559"/>
      <c r="LQE617" s="559"/>
      <c r="LQF617" s="559"/>
      <c r="LQG617" s="559"/>
      <c r="LQH617" s="559"/>
      <c r="LQI617" s="559"/>
      <c r="LQJ617" s="559"/>
      <c r="LQK617" s="559"/>
      <c r="LQL617" s="559"/>
      <c r="LQM617" s="559"/>
      <c r="LQN617" s="559"/>
      <c r="LQO617" s="559"/>
      <c r="LQP617" s="559"/>
      <c r="LQQ617" s="559"/>
      <c r="LQR617" s="559"/>
      <c r="LQS617" s="559"/>
      <c r="LQT617" s="559"/>
      <c r="LQU617" s="559"/>
      <c r="LQV617" s="559"/>
      <c r="LQW617" s="559"/>
      <c r="LQX617" s="559"/>
      <c r="LQY617" s="559"/>
      <c r="LQZ617" s="559"/>
      <c r="LRA617" s="559"/>
      <c r="LRB617" s="559"/>
      <c r="LRC617" s="559"/>
      <c r="LRD617" s="559"/>
      <c r="LRE617" s="559"/>
      <c r="LRF617" s="559"/>
      <c r="LRG617" s="559"/>
      <c r="LRH617" s="559"/>
      <c r="LRI617" s="559"/>
      <c r="LRJ617" s="559"/>
      <c r="LRK617" s="559"/>
      <c r="LRL617" s="559"/>
      <c r="LRM617" s="559"/>
      <c r="LRN617" s="559"/>
      <c r="LRO617" s="559"/>
      <c r="LRP617" s="559"/>
      <c r="LRQ617" s="559"/>
      <c r="LRR617" s="559"/>
      <c r="LRS617" s="559"/>
      <c r="LRT617" s="559"/>
      <c r="LRU617" s="559"/>
      <c r="LRV617" s="559"/>
      <c r="LRW617" s="559"/>
      <c r="LRX617" s="559"/>
      <c r="LRY617" s="559"/>
      <c r="LRZ617" s="559"/>
      <c r="LSA617" s="559"/>
      <c r="LSB617" s="559"/>
      <c r="LSC617" s="559"/>
      <c r="LSD617" s="559"/>
      <c r="LSE617" s="559"/>
      <c r="LSF617" s="559"/>
      <c r="LSG617" s="559"/>
      <c r="LSH617" s="559"/>
      <c r="LSI617" s="559"/>
      <c r="LSJ617" s="559"/>
      <c r="LSK617" s="559"/>
      <c r="LSL617" s="559"/>
      <c r="LSM617" s="559"/>
      <c r="LSN617" s="559"/>
      <c r="LSO617" s="559"/>
      <c r="LSP617" s="559"/>
      <c r="LSQ617" s="559"/>
      <c r="LSR617" s="559"/>
      <c r="LSS617" s="559"/>
      <c r="LST617" s="559"/>
      <c r="LSU617" s="559"/>
      <c r="LSV617" s="559"/>
      <c r="LSW617" s="559"/>
      <c r="LSX617" s="559"/>
      <c r="LSY617" s="559"/>
      <c r="LSZ617" s="559"/>
      <c r="LTA617" s="559"/>
      <c r="LTB617" s="559"/>
      <c r="LTC617" s="559"/>
      <c r="LTD617" s="559"/>
      <c r="LTE617" s="559"/>
      <c r="LTF617" s="559"/>
      <c r="LTG617" s="559"/>
      <c r="LTH617" s="559"/>
      <c r="LTI617" s="559"/>
      <c r="LTJ617" s="559"/>
      <c r="LTK617" s="559"/>
      <c r="LTL617" s="559"/>
      <c r="LTM617" s="559"/>
      <c r="LTN617" s="559"/>
      <c r="LTO617" s="559"/>
      <c r="LTP617" s="559"/>
      <c r="LTQ617" s="559"/>
      <c r="LTR617" s="559"/>
      <c r="LTS617" s="559"/>
      <c r="LTT617" s="559"/>
      <c r="LTU617" s="559"/>
      <c r="LTV617" s="559"/>
      <c r="LTW617" s="559"/>
      <c r="LTX617" s="559"/>
      <c r="LTY617" s="559"/>
      <c r="LTZ617" s="559"/>
      <c r="LUA617" s="559"/>
      <c r="LUB617" s="559"/>
      <c r="LUC617" s="559"/>
      <c r="LUD617" s="559"/>
      <c r="LUE617" s="559"/>
      <c r="LUF617" s="559"/>
      <c r="LUG617" s="559"/>
      <c r="LUH617" s="559"/>
      <c r="LUI617" s="559"/>
      <c r="LUJ617" s="559"/>
      <c r="LUK617" s="559"/>
      <c r="LUL617" s="559"/>
      <c r="LUM617" s="559"/>
      <c r="LUN617" s="559"/>
      <c r="LUO617" s="559"/>
      <c r="LUP617" s="559"/>
      <c r="LUQ617" s="559"/>
      <c r="LUR617" s="559"/>
      <c r="LUS617" s="559"/>
      <c r="LUT617" s="559"/>
      <c r="LUU617" s="559"/>
      <c r="LUV617" s="559"/>
      <c r="LUW617" s="559"/>
      <c r="LUX617" s="559"/>
      <c r="LUY617" s="559"/>
      <c r="LUZ617" s="559"/>
      <c r="LVA617" s="559"/>
      <c r="LVB617" s="559"/>
      <c r="LVC617" s="559"/>
      <c r="LVD617" s="559"/>
      <c r="LVE617" s="559"/>
      <c r="LVF617" s="559"/>
      <c r="LVG617" s="559"/>
      <c r="LVH617" s="559"/>
      <c r="LVI617" s="559"/>
      <c r="LVJ617" s="559"/>
      <c r="LVK617" s="559"/>
      <c r="LVL617" s="559"/>
      <c r="LVM617" s="559"/>
      <c r="LVN617" s="559"/>
      <c r="LVO617" s="559"/>
      <c r="LVP617" s="559"/>
      <c r="LVQ617" s="559"/>
      <c r="LVR617" s="559"/>
      <c r="LVS617" s="559"/>
      <c r="LVT617" s="559"/>
      <c r="LVU617" s="559"/>
      <c r="LVV617" s="559"/>
      <c r="LVW617" s="559"/>
      <c r="LVX617" s="559"/>
      <c r="LVY617" s="559"/>
      <c r="LVZ617" s="559"/>
      <c r="LWA617" s="559"/>
      <c r="LWB617" s="559"/>
      <c r="LWC617" s="559"/>
      <c r="LWD617" s="559"/>
      <c r="LWE617" s="559"/>
      <c r="LWF617" s="559"/>
      <c r="LWG617" s="559"/>
      <c r="LWH617" s="559"/>
      <c r="LWI617" s="559"/>
      <c r="LWJ617" s="559"/>
      <c r="LWK617" s="559"/>
      <c r="LWL617" s="559"/>
      <c r="LWM617" s="559"/>
      <c r="LWN617" s="559"/>
      <c r="LWO617" s="559"/>
      <c r="LWP617" s="559"/>
      <c r="LWQ617" s="559"/>
      <c r="LWR617" s="559"/>
      <c r="LWS617" s="559"/>
      <c r="LWT617" s="559"/>
      <c r="LWU617" s="559"/>
      <c r="LWV617" s="559"/>
      <c r="LWW617" s="559"/>
      <c r="LWX617" s="559"/>
      <c r="LWY617" s="559"/>
      <c r="LWZ617" s="559"/>
      <c r="LXA617" s="559"/>
      <c r="LXB617" s="559"/>
      <c r="LXC617" s="559"/>
      <c r="LXD617" s="559"/>
      <c r="LXE617" s="559"/>
      <c r="LXF617" s="559"/>
      <c r="LXG617" s="559"/>
      <c r="LXH617" s="559"/>
      <c r="LXI617" s="559"/>
      <c r="LXJ617" s="559"/>
      <c r="LXK617" s="559"/>
      <c r="LXL617" s="559"/>
      <c r="LXM617" s="559"/>
      <c r="LXN617" s="559"/>
      <c r="LXO617" s="559"/>
      <c r="LXP617" s="559"/>
      <c r="LXQ617" s="559"/>
      <c r="LXR617" s="559"/>
      <c r="LXS617" s="559"/>
      <c r="LXT617" s="559"/>
      <c r="LXU617" s="559"/>
      <c r="LXV617" s="559"/>
      <c r="LXW617" s="559"/>
      <c r="LXX617" s="559"/>
      <c r="LXY617" s="559"/>
      <c r="LXZ617" s="559"/>
      <c r="LYA617" s="559"/>
      <c r="LYB617" s="559"/>
      <c r="LYC617" s="559"/>
      <c r="LYD617" s="559"/>
      <c r="LYE617" s="559"/>
      <c r="LYF617" s="559"/>
      <c r="LYG617" s="559"/>
      <c r="LYH617" s="559"/>
      <c r="LYI617" s="559"/>
      <c r="LYJ617" s="559"/>
      <c r="LYK617" s="559"/>
      <c r="LYL617" s="559"/>
      <c r="LYM617" s="559"/>
      <c r="LYN617" s="559"/>
      <c r="LYO617" s="559"/>
      <c r="LYP617" s="559"/>
      <c r="LYQ617" s="559"/>
      <c r="LYR617" s="559"/>
      <c r="LYS617" s="559"/>
      <c r="LYT617" s="559"/>
      <c r="LYU617" s="559"/>
      <c r="LYV617" s="559"/>
      <c r="LYW617" s="559"/>
      <c r="LYX617" s="559"/>
      <c r="LYY617" s="559"/>
      <c r="LYZ617" s="559"/>
      <c r="LZA617" s="559"/>
      <c r="LZB617" s="559"/>
      <c r="LZC617" s="559"/>
      <c r="LZD617" s="559"/>
      <c r="LZE617" s="559"/>
      <c r="LZF617" s="559"/>
      <c r="LZG617" s="559"/>
      <c r="LZH617" s="559"/>
      <c r="LZI617" s="559"/>
      <c r="LZJ617" s="559"/>
      <c r="LZK617" s="559"/>
      <c r="LZL617" s="559"/>
      <c r="LZM617" s="559"/>
      <c r="LZN617" s="559"/>
      <c r="LZO617" s="559"/>
      <c r="LZP617" s="559"/>
      <c r="LZQ617" s="559"/>
      <c r="LZR617" s="559"/>
      <c r="LZS617" s="559"/>
      <c r="LZT617" s="559"/>
      <c r="LZU617" s="559"/>
      <c r="LZV617" s="559"/>
      <c r="LZW617" s="559"/>
      <c r="LZX617" s="559"/>
      <c r="LZY617" s="559"/>
      <c r="LZZ617" s="559"/>
      <c r="MAA617" s="559"/>
      <c r="MAB617" s="559"/>
      <c r="MAC617" s="559"/>
      <c r="MAD617" s="559"/>
      <c r="MAE617" s="559"/>
      <c r="MAF617" s="559"/>
      <c r="MAG617" s="559"/>
      <c r="MAH617" s="559"/>
      <c r="MAI617" s="559"/>
      <c r="MAJ617" s="559"/>
      <c r="MAK617" s="559"/>
      <c r="MAL617" s="559"/>
      <c r="MAM617" s="559"/>
      <c r="MAN617" s="559"/>
      <c r="MAO617" s="559"/>
      <c r="MAP617" s="559"/>
      <c r="MAQ617" s="559"/>
      <c r="MAR617" s="559"/>
      <c r="MAS617" s="559"/>
      <c r="MAT617" s="559"/>
      <c r="MAU617" s="559"/>
      <c r="MAV617" s="559"/>
      <c r="MAW617" s="559"/>
      <c r="MAX617" s="559"/>
      <c r="MAY617" s="559"/>
      <c r="MAZ617" s="559"/>
      <c r="MBA617" s="559"/>
      <c r="MBB617" s="559"/>
      <c r="MBC617" s="559"/>
      <c r="MBD617" s="559"/>
      <c r="MBE617" s="559"/>
      <c r="MBF617" s="559"/>
      <c r="MBG617" s="559"/>
      <c r="MBH617" s="559"/>
      <c r="MBI617" s="559"/>
      <c r="MBJ617" s="559"/>
      <c r="MBK617" s="559"/>
      <c r="MBL617" s="559"/>
      <c r="MBM617" s="559"/>
      <c r="MBN617" s="559"/>
      <c r="MBO617" s="559"/>
      <c r="MBP617" s="559"/>
      <c r="MBQ617" s="559"/>
      <c r="MBR617" s="559"/>
      <c r="MBS617" s="559"/>
      <c r="MBT617" s="559"/>
      <c r="MBU617" s="559"/>
      <c r="MBV617" s="559"/>
      <c r="MBW617" s="559"/>
      <c r="MBX617" s="559"/>
      <c r="MBY617" s="559"/>
      <c r="MBZ617" s="559"/>
      <c r="MCA617" s="559"/>
      <c r="MCB617" s="559"/>
      <c r="MCC617" s="559"/>
      <c r="MCD617" s="559"/>
      <c r="MCE617" s="559"/>
      <c r="MCF617" s="559"/>
      <c r="MCG617" s="559"/>
      <c r="MCH617" s="559"/>
      <c r="MCI617" s="559"/>
      <c r="MCJ617" s="559"/>
      <c r="MCK617" s="559"/>
      <c r="MCL617" s="559"/>
      <c r="MCM617" s="559"/>
      <c r="MCN617" s="559"/>
      <c r="MCO617" s="559"/>
      <c r="MCP617" s="559"/>
      <c r="MCQ617" s="559"/>
      <c r="MCR617" s="559"/>
      <c r="MCS617" s="559"/>
      <c r="MCT617" s="559"/>
      <c r="MCU617" s="559"/>
      <c r="MCV617" s="559"/>
      <c r="MCW617" s="559"/>
      <c r="MCX617" s="559"/>
      <c r="MCY617" s="559"/>
      <c r="MCZ617" s="559"/>
      <c r="MDA617" s="559"/>
      <c r="MDB617" s="559"/>
      <c r="MDC617" s="559"/>
      <c r="MDD617" s="559"/>
      <c r="MDE617" s="559"/>
      <c r="MDF617" s="559"/>
      <c r="MDG617" s="559"/>
      <c r="MDH617" s="559"/>
      <c r="MDI617" s="559"/>
      <c r="MDJ617" s="559"/>
      <c r="MDK617" s="559"/>
      <c r="MDL617" s="559"/>
      <c r="MDM617" s="559"/>
      <c r="MDN617" s="559"/>
      <c r="MDO617" s="559"/>
      <c r="MDP617" s="559"/>
      <c r="MDQ617" s="559"/>
      <c r="MDR617" s="559"/>
      <c r="MDS617" s="559"/>
      <c r="MDT617" s="559"/>
      <c r="MDU617" s="559"/>
      <c r="MDV617" s="559"/>
      <c r="MDW617" s="559"/>
      <c r="MDX617" s="559"/>
      <c r="MDY617" s="559"/>
      <c r="MDZ617" s="559"/>
      <c r="MEA617" s="559"/>
      <c r="MEB617" s="559"/>
      <c r="MEC617" s="559"/>
      <c r="MED617" s="559"/>
      <c r="MEE617" s="559"/>
      <c r="MEF617" s="559"/>
      <c r="MEG617" s="559"/>
      <c r="MEH617" s="559"/>
      <c r="MEI617" s="559"/>
      <c r="MEJ617" s="559"/>
      <c r="MEK617" s="559"/>
      <c r="MEL617" s="559"/>
      <c r="MEM617" s="559"/>
      <c r="MEN617" s="559"/>
      <c r="MEO617" s="559"/>
      <c r="MEP617" s="559"/>
      <c r="MEQ617" s="559"/>
      <c r="MER617" s="559"/>
      <c r="MES617" s="559"/>
      <c r="MET617" s="559"/>
      <c r="MEU617" s="559"/>
      <c r="MEV617" s="559"/>
      <c r="MEW617" s="559"/>
      <c r="MEX617" s="559"/>
      <c r="MEY617" s="559"/>
      <c r="MEZ617" s="559"/>
      <c r="MFA617" s="559"/>
      <c r="MFB617" s="559"/>
      <c r="MFC617" s="559"/>
      <c r="MFD617" s="559"/>
      <c r="MFE617" s="559"/>
      <c r="MFF617" s="559"/>
      <c r="MFG617" s="559"/>
      <c r="MFH617" s="559"/>
      <c r="MFI617" s="559"/>
      <c r="MFJ617" s="559"/>
      <c r="MFK617" s="559"/>
      <c r="MFL617" s="559"/>
      <c r="MFM617" s="559"/>
      <c r="MFN617" s="559"/>
      <c r="MFO617" s="559"/>
      <c r="MFP617" s="559"/>
      <c r="MFQ617" s="559"/>
      <c r="MFR617" s="559"/>
      <c r="MFS617" s="559"/>
      <c r="MFT617" s="559"/>
      <c r="MFU617" s="559"/>
      <c r="MFV617" s="559"/>
      <c r="MFW617" s="559"/>
      <c r="MFX617" s="559"/>
      <c r="MFY617" s="559"/>
      <c r="MFZ617" s="559"/>
      <c r="MGA617" s="559"/>
      <c r="MGB617" s="559"/>
      <c r="MGC617" s="559"/>
      <c r="MGD617" s="559"/>
      <c r="MGE617" s="559"/>
      <c r="MGF617" s="559"/>
      <c r="MGG617" s="559"/>
      <c r="MGH617" s="559"/>
      <c r="MGI617" s="559"/>
      <c r="MGJ617" s="559"/>
      <c r="MGK617" s="559"/>
      <c r="MGL617" s="559"/>
      <c r="MGM617" s="559"/>
      <c r="MGN617" s="559"/>
      <c r="MGO617" s="559"/>
      <c r="MGP617" s="559"/>
      <c r="MGQ617" s="559"/>
      <c r="MGR617" s="559"/>
      <c r="MGS617" s="559"/>
      <c r="MGT617" s="559"/>
      <c r="MGU617" s="559"/>
      <c r="MGV617" s="559"/>
      <c r="MGW617" s="559"/>
      <c r="MGX617" s="559"/>
      <c r="MGY617" s="559"/>
      <c r="MGZ617" s="559"/>
      <c r="MHA617" s="559"/>
      <c r="MHB617" s="559"/>
      <c r="MHC617" s="559"/>
      <c r="MHD617" s="559"/>
      <c r="MHE617" s="559"/>
      <c r="MHF617" s="559"/>
      <c r="MHG617" s="559"/>
      <c r="MHH617" s="559"/>
      <c r="MHI617" s="559"/>
      <c r="MHJ617" s="559"/>
      <c r="MHK617" s="559"/>
      <c r="MHL617" s="559"/>
      <c r="MHM617" s="559"/>
      <c r="MHN617" s="559"/>
      <c r="MHO617" s="559"/>
      <c r="MHP617" s="559"/>
      <c r="MHQ617" s="559"/>
      <c r="MHR617" s="559"/>
      <c r="MHS617" s="559"/>
      <c r="MHT617" s="559"/>
      <c r="MHU617" s="559"/>
      <c r="MHV617" s="559"/>
      <c r="MHW617" s="559"/>
      <c r="MHX617" s="559"/>
      <c r="MHY617" s="559"/>
      <c r="MHZ617" s="559"/>
      <c r="MIA617" s="559"/>
      <c r="MIB617" s="559"/>
      <c r="MIC617" s="559"/>
      <c r="MID617" s="559"/>
      <c r="MIE617" s="559"/>
      <c r="MIF617" s="559"/>
      <c r="MIG617" s="559"/>
      <c r="MIH617" s="559"/>
      <c r="MII617" s="559"/>
      <c r="MIJ617" s="559"/>
      <c r="MIK617" s="559"/>
      <c r="MIL617" s="559"/>
      <c r="MIM617" s="559"/>
      <c r="MIN617" s="559"/>
      <c r="MIO617" s="559"/>
      <c r="MIP617" s="559"/>
      <c r="MIQ617" s="559"/>
      <c r="MIR617" s="559"/>
      <c r="MIS617" s="559"/>
      <c r="MIT617" s="559"/>
      <c r="MIU617" s="559"/>
      <c r="MIV617" s="559"/>
      <c r="MIW617" s="559"/>
      <c r="MIX617" s="559"/>
      <c r="MIY617" s="559"/>
      <c r="MIZ617" s="559"/>
      <c r="MJA617" s="559"/>
      <c r="MJB617" s="559"/>
      <c r="MJC617" s="559"/>
      <c r="MJD617" s="559"/>
      <c r="MJE617" s="559"/>
      <c r="MJF617" s="559"/>
      <c r="MJG617" s="559"/>
      <c r="MJH617" s="559"/>
      <c r="MJI617" s="559"/>
      <c r="MJJ617" s="559"/>
      <c r="MJK617" s="559"/>
      <c r="MJL617" s="559"/>
      <c r="MJM617" s="559"/>
      <c r="MJN617" s="559"/>
      <c r="MJO617" s="559"/>
      <c r="MJP617" s="559"/>
      <c r="MJQ617" s="559"/>
      <c r="MJR617" s="559"/>
      <c r="MJS617" s="559"/>
      <c r="MJT617" s="559"/>
      <c r="MJU617" s="559"/>
      <c r="MJV617" s="559"/>
      <c r="MJW617" s="559"/>
      <c r="MJX617" s="559"/>
      <c r="MJY617" s="559"/>
      <c r="MJZ617" s="559"/>
      <c r="MKA617" s="559"/>
      <c r="MKB617" s="559"/>
      <c r="MKC617" s="559"/>
      <c r="MKD617" s="559"/>
      <c r="MKE617" s="559"/>
      <c r="MKF617" s="559"/>
      <c r="MKG617" s="559"/>
      <c r="MKH617" s="559"/>
      <c r="MKI617" s="559"/>
      <c r="MKJ617" s="559"/>
      <c r="MKK617" s="559"/>
      <c r="MKL617" s="559"/>
      <c r="MKM617" s="559"/>
      <c r="MKN617" s="559"/>
      <c r="MKO617" s="559"/>
      <c r="MKP617" s="559"/>
      <c r="MKQ617" s="559"/>
      <c r="MKR617" s="559"/>
      <c r="MKS617" s="559"/>
      <c r="MKT617" s="559"/>
      <c r="MKU617" s="559"/>
      <c r="MKV617" s="559"/>
      <c r="MKW617" s="559"/>
      <c r="MKX617" s="559"/>
      <c r="MKY617" s="559"/>
      <c r="MKZ617" s="559"/>
      <c r="MLA617" s="559"/>
      <c r="MLB617" s="559"/>
      <c r="MLC617" s="559"/>
      <c r="MLD617" s="559"/>
      <c r="MLE617" s="559"/>
      <c r="MLF617" s="559"/>
      <c r="MLG617" s="559"/>
      <c r="MLH617" s="559"/>
      <c r="MLI617" s="559"/>
      <c r="MLJ617" s="559"/>
      <c r="MLK617" s="559"/>
      <c r="MLL617" s="559"/>
      <c r="MLM617" s="559"/>
      <c r="MLN617" s="559"/>
      <c r="MLO617" s="559"/>
      <c r="MLP617" s="559"/>
      <c r="MLQ617" s="559"/>
      <c r="MLR617" s="559"/>
      <c r="MLS617" s="559"/>
      <c r="MLT617" s="559"/>
      <c r="MLU617" s="559"/>
      <c r="MLV617" s="559"/>
      <c r="MLW617" s="559"/>
      <c r="MLX617" s="559"/>
      <c r="MLY617" s="559"/>
      <c r="MLZ617" s="559"/>
      <c r="MMA617" s="559"/>
      <c r="MMB617" s="559"/>
      <c r="MMC617" s="559"/>
      <c r="MMD617" s="559"/>
      <c r="MME617" s="559"/>
      <c r="MMF617" s="559"/>
      <c r="MMG617" s="559"/>
      <c r="MMH617" s="559"/>
      <c r="MMI617" s="559"/>
      <c r="MMJ617" s="559"/>
      <c r="MMK617" s="559"/>
      <c r="MML617" s="559"/>
      <c r="MMM617" s="559"/>
      <c r="MMN617" s="559"/>
      <c r="MMO617" s="559"/>
      <c r="MMP617" s="559"/>
      <c r="MMQ617" s="559"/>
      <c r="MMR617" s="559"/>
      <c r="MMS617" s="559"/>
      <c r="MMT617" s="559"/>
      <c r="MMU617" s="559"/>
      <c r="MMV617" s="559"/>
      <c r="MMW617" s="559"/>
      <c r="MMX617" s="559"/>
      <c r="MMY617" s="559"/>
      <c r="MMZ617" s="559"/>
      <c r="MNA617" s="559"/>
      <c r="MNB617" s="559"/>
      <c r="MNC617" s="559"/>
      <c r="MND617" s="559"/>
      <c r="MNE617" s="559"/>
      <c r="MNF617" s="559"/>
      <c r="MNG617" s="559"/>
      <c r="MNH617" s="559"/>
      <c r="MNI617" s="559"/>
      <c r="MNJ617" s="559"/>
      <c r="MNK617" s="559"/>
      <c r="MNL617" s="559"/>
      <c r="MNM617" s="559"/>
      <c r="MNN617" s="559"/>
      <c r="MNO617" s="559"/>
      <c r="MNP617" s="559"/>
      <c r="MNQ617" s="559"/>
      <c r="MNR617" s="559"/>
      <c r="MNS617" s="559"/>
      <c r="MNT617" s="559"/>
      <c r="MNU617" s="559"/>
      <c r="MNV617" s="559"/>
      <c r="MNW617" s="559"/>
      <c r="MNX617" s="559"/>
      <c r="MNY617" s="559"/>
      <c r="MNZ617" s="559"/>
      <c r="MOA617" s="559"/>
      <c r="MOB617" s="559"/>
      <c r="MOC617" s="559"/>
      <c r="MOD617" s="559"/>
      <c r="MOE617" s="559"/>
      <c r="MOF617" s="559"/>
      <c r="MOG617" s="559"/>
      <c r="MOH617" s="559"/>
      <c r="MOI617" s="559"/>
      <c r="MOJ617" s="559"/>
      <c r="MOK617" s="559"/>
      <c r="MOL617" s="559"/>
      <c r="MOM617" s="559"/>
      <c r="MON617" s="559"/>
      <c r="MOO617" s="559"/>
      <c r="MOP617" s="559"/>
      <c r="MOQ617" s="559"/>
      <c r="MOR617" s="559"/>
      <c r="MOS617" s="559"/>
      <c r="MOT617" s="559"/>
      <c r="MOU617" s="559"/>
      <c r="MOV617" s="559"/>
      <c r="MOW617" s="559"/>
      <c r="MOX617" s="559"/>
      <c r="MOY617" s="559"/>
      <c r="MOZ617" s="559"/>
      <c r="MPA617" s="559"/>
      <c r="MPB617" s="559"/>
      <c r="MPC617" s="559"/>
      <c r="MPD617" s="559"/>
      <c r="MPE617" s="559"/>
      <c r="MPF617" s="559"/>
      <c r="MPG617" s="559"/>
      <c r="MPH617" s="559"/>
      <c r="MPI617" s="559"/>
      <c r="MPJ617" s="559"/>
      <c r="MPK617" s="559"/>
      <c r="MPL617" s="559"/>
      <c r="MPM617" s="559"/>
      <c r="MPN617" s="559"/>
      <c r="MPO617" s="559"/>
      <c r="MPP617" s="559"/>
      <c r="MPQ617" s="559"/>
      <c r="MPR617" s="559"/>
      <c r="MPS617" s="559"/>
      <c r="MPT617" s="559"/>
      <c r="MPU617" s="559"/>
      <c r="MPV617" s="559"/>
      <c r="MPW617" s="559"/>
      <c r="MPX617" s="559"/>
      <c r="MPY617" s="559"/>
      <c r="MPZ617" s="559"/>
      <c r="MQA617" s="559"/>
      <c r="MQB617" s="559"/>
      <c r="MQC617" s="559"/>
      <c r="MQD617" s="559"/>
      <c r="MQE617" s="559"/>
      <c r="MQF617" s="559"/>
      <c r="MQG617" s="559"/>
      <c r="MQH617" s="559"/>
      <c r="MQI617" s="559"/>
      <c r="MQJ617" s="559"/>
      <c r="MQK617" s="559"/>
      <c r="MQL617" s="559"/>
      <c r="MQM617" s="559"/>
      <c r="MQN617" s="559"/>
      <c r="MQO617" s="559"/>
      <c r="MQP617" s="559"/>
      <c r="MQQ617" s="559"/>
      <c r="MQR617" s="559"/>
      <c r="MQS617" s="559"/>
      <c r="MQT617" s="559"/>
      <c r="MQU617" s="559"/>
      <c r="MQV617" s="559"/>
      <c r="MQW617" s="559"/>
      <c r="MQX617" s="559"/>
      <c r="MQY617" s="559"/>
      <c r="MQZ617" s="559"/>
      <c r="MRA617" s="559"/>
      <c r="MRB617" s="559"/>
      <c r="MRC617" s="559"/>
      <c r="MRD617" s="559"/>
      <c r="MRE617" s="559"/>
      <c r="MRF617" s="559"/>
      <c r="MRG617" s="559"/>
      <c r="MRH617" s="559"/>
      <c r="MRI617" s="559"/>
      <c r="MRJ617" s="559"/>
      <c r="MRK617" s="559"/>
      <c r="MRL617" s="559"/>
      <c r="MRM617" s="559"/>
      <c r="MRN617" s="559"/>
      <c r="MRO617" s="559"/>
      <c r="MRP617" s="559"/>
      <c r="MRQ617" s="559"/>
      <c r="MRR617" s="559"/>
      <c r="MRS617" s="559"/>
      <c r="MRT617" s="559"/>
      <c r="MRU617" s="559"/>
      <c r="MRV617" s="559"/>
      <c r="MRW617" s="559"/>
      <c r="MRX617" s="559"/>
      <c r="MRY617" s="559"/>
      <c r="MRZ617" s="559"/>
      <c r="MSA617" s="559"/>
      <c r="MSB617" s="559"/>
      <c r="MSC617" s="559"/>
      <c r="MSD617" s="559"/>
      <c r="MSE617" s="559"/>
      <c r="MSF617" s="559"/>
      <c r="MSG617" s="559"/>
      <c r="MSH617" s="559"/>
      <c r="MSI617" s="559"/>
      <c r="MSJ617" s="559"/>
      <c r="MSK617" s="559"/>
      <c r="MSL617" s="559"/>
      <c r="MSM617" s="559"/>
      <c r="MSN617" s="559"/>
      <c r="MSO617" s="559"/>
      <c r="MSP617" s="559"/>
      <c r="MSQ617" s="559"/>
      <c r="MSR617" s="559"/>
      <c r="MSS617" s="559"/>
      <c r="MST617" s="559"/>
      <c r="MSU617" s="559"/>
      <c r="MSV617" s="559"/>
      <c r="MSW617" s="559"/>
      <c r="MSX617" s="559"/>
      <c r="MSY617" s="559"/>
      <c r="MSZ617" s="559"/>
      <c r="MTA617" s="559"/>
      <c r="MTB617" s="559"/>
      <c r="MTC617" s="559"/>
      <c r="MTD617" s="559"/>
      <c r="MTE617" s="559"/>
      <c r="MTF617" s="559"/>
      <c r="MTG617" s="559"/>
      <c r="MTH617" s="559"/>
      <c r="MTI617" s="559"/>
      <c r="MTJ617" s="559"/>
      <c r="MTK617" s="559"/>
      <c r="MTL617" s="559"/>
      <c r="MTM617" s="559"/>
      <c r="MTN617" s="559"/>
      <c r="MTO617" s="559"/>
      <c r="MTP617" s="559"/>
      <c r="MTQ617" s="559"/>
      <c r="MTR617" s="559"/>
      <c r="MTS617" s="559"/>
      <c r="MTT617" s="559"/>
      <c r="MTU617" s="559"/>
      <c r="MTV617" s="559"/>
      <c r="MTW617" s="559"/>
      <c r="MTX617" s="559"/>
      <c r="MTY617" s="559"/>
      <c r="MTZ617" s="559"/>
      <c r="MUA617" s="559"/>
      <c r="MUB617" s="559"/>
      <c r="MUC617" s="559"/>
      <c r="MUD617" s="559"/>
      <c r="MUE617" s="559"/>
      <c r="MUF617" s="559"/>
      <c r="MUG617" s="559"/>
      <c r="MUH617" s="559"/>
      <c r="MUI617" s="559"/>
      <c r="MUJ617" s="559"/>
      <c r="MUK617" s="559"/>
      <c r="MUL617" s="559"/>
      <c r="MUM617" s="559"/>
      <c r="MUN617" s="559"/>
      <c r="MUO617" s="559"/>
      <c r="MUP617" s="559"/>
      <c r="MUQ617" s="559"/>
      <c r="MUR617" s="559"/>
      <c r="MUS617" s="559"/>
      <c r="MUT617" s="559"/>
      <c r="MUU617" s="559"/>
      <c r="MUV617" s="559"/>
      <c r="MUW617" s="559"/>
      <c r="MUX617" s="559"/>
      <c r="MUY617" s="559"/>
      <c r="MUZ617" s="559"/>
      <c r="MVA617" s="559"/>
      <c r="MVB617" s="559"/>
      <c r="MVC617" s="559"/>
      <c r="MVD617" s="559"/>
      <c r="MVE617" s="559"/>
      <c r="MVF617" s="559"/>
      <c r="MVG617" s="559"/>
      <c r="MVH617" s="559"/>
      <c r="MVI617" s="559"/>
      <c r="MVJ617" s="559"/>
      <c r="MVK617" s="559"/>
      <c r="MVL617" s="559"/>
      <c r="MVM617" s="559"/>
      <c r="MVN617" s="559"/>
      <c r="MVO617" s="559"/>
      <c r="MVP617" s="559"/>
      <c r="MVQ617" s="559"/>
      <c r="MVR617" s="559"/>
      <c r="MVS617" s="559"/>
      <c r="MVT617" s="559"/>
      <c r="MVU617" s="559"/>
      <c r="MVV617" s="559"/>
      <c r="MVW617" s="559"/>
      <c r="MVX617" s="559"/>
      <c r="MVY617" s="559"/>
      <c r="MVZ617" s="559"/>
      <c r="MWA617" s="559"/>
      <c r="MWB617" s="559"/>
      <c r="MWC617" s="559"/>
      <c r="MWD617" s="559"/>
      <c r="MWE617" s="559"/>
      <c r="MWF617" s="559"/>
      <c r="MWG617" s="559"/>
      <c r="MWH617" s="559"/>
      <c r="MWI617" s="559"/>
      <c r="MWJ617" s="559"/>
      <c r="MWK617" s="559"/>
      <c r="MWL617" s="559"/>
      <c r="MWM617" s="559"/>
      <c r="MWN617" s="559"/>
      <c r="MWO617" s="559"/>
      <c r="MWP617" s="559"/>
      <c r="MWQ617" s="559"/>
      <c r="MWR617" s="559"/>
      <c r="MWS617" s="559"/>
      <c r="MWT617" s="559"/>
      <c r="MWU617" s="559"/>
      <c r="MWV617" s="559"/>
      <c r="MWW617" s="559"/>
      <c r="MWX617" s="559"/>
      <c r="MWY617" s="559"/>
      <c r="MWZ617" s="559"/>
      <c r="MXA617" s="559"/>
      <c r="MXB617" s="559"/>
      <c r="MXC617" s="559"/>
      <c r="MXD617" s="559"/>
      <c r="MXE617" s="559"/>
      <c r="MXF617" s="559"/>
      <c r="MXG617" s="559"/>
      <c r="MXH617" s="559"/>
      <c r="MXI617" s="559"/>
      <c r="MXJ617" s="559"/>
      <c r="MXK617" s="559"/>
      <c r="MXL617" s="559"/>
      <c r="MXM617" s="559"/>
      <c r="MXN617" s="559"/>
      <c r="MXO617" s="559"/>
      <c r="MXP617" s="559"/>
      <c r="MXQ617" s="559"/>
      <c r="MXR617" s="559"/>
      <c r="MXS617" s="559"/>
      <c r="MXT617" s="559"/>
      <c r="MXU617" s="559"/>
      <c r="MXV617" s="559"/>
      <c r="MXW617" s="559"/>
      <c r="MXX617" s="559"/>
      <c r="MXY617" s="559"/>
      <c r="MXZ617" s="559"/>
      <c r="MYA617" s="559"/>
      <c r="MYB617" s="559"/>
      <c r="MYC617" s="559"/>
      <c r="MYD617" s="559"/>
      <c r="MYE617" s="559"/>
      <c r="MYF617" s="559"/>
      <c r="MYG617" s="559"/>
      <c r="MYH617" s="559"/>
      <c r="MYI617" s="559"/>
      <c r="MYJ617" s="559"/>
      <c r="MYK617" s="559"/>
      <c r="MYL617" s="559"/>
      <c r="MYM617" s="559"/>
      <c r="MYN617" s="559"/>
      <c r="MYO617" s="559"/>
      <c r="MYP617" s="559"/>
      <c r="MYQ617" s="559"/>
      <c r="MYR617" s="559"/>
      <c r="MYS617" s="559"/>
      <c r="MYT617" s="559"/>
      <c r="MYU617" s="559"/>
      <c r="MYV617" s="559"/>
      <c r="MYW617" s="559"/>
      <c r="MYX617" s="559"/>
      <c r="MYY617" s="559"/>
      <c r="MYZ617" s="559"/>
      <c r="MZA617" s="559"/>
      <c r="MZB617" s="559"/>
      <c r="MZC617" s="559"/>
      <c r="MZD617" s="559"/>
      <c r="MZE617" s="559"/>
      <c r="MZF617" s="559"/>
      <c r="MZG617" s="559"/>
      <c r="MZH617" s="559"/>
      <c r="MZI617" s="559"/>
      <c r="MZJ617" s="559"/>
      <c r="MZK617" s="559"/>
      <c r="MZL617" s="559"/>
      <c r="MZM617" s="559"/>
      <c r="MZN617" s="559"/>
      <c r="MZO617" s="559"/>
      <c r="MZP617" s="559"/>
      <c r="MZQ617" s="559"/>
      <c r="MZR617" s="559"/>
      <c r="MZS617" s="559"/>
      <c r="MZT617" s="559"/>
      <c r="MZU617" s="559"/>
      <c r="MZV617" s="559"/>
      <c r="MZW617" s="559"/>
      <c r="MZX617" s="559"/>
      <c r="MZY617" s="559"/>
      <c r="MZZ617" s="559"/>
      <c r="NAA617" s="559"/>
      <c r="NAB617" s="559"/>
      <c r="NAC617" s="559"/>
      <c r="NAD617" s="559"/>
      <c r="NAE617" s="559"/>
      <c r="NAF617" s="559"/>
      <c r="NAG617" s="559"/>
      <c r="NAH617" s="559"/>
      <c r="NAI617" s="559"/>
      <c r="NAJ617" s="559"/>
      <c r="NAK617" s="559"/>
      <c r="NAL617" s="559"/>
      <c r="NAM617" s="559"/>
      <c r="NAN617" s="559"/>
      <c r="NAO617" s="559"/>
      <c r="NAP617" s="559"/>
      <c r="NAQ617" s="559"/>
      <c r="NAR617" s="559"/>
      <c r="NAS617" s="559"/>
      <c r="NAT617" s="559"/>
      <c r="NAU617" s="559"/>
      <c r="NAV617" s="559"/>
      <c r="NAW617" s="559"/>
      <c r="NAX617" s="559"/>
      <c r="NAY617" s="559"/>
      <c r="NAZ617" s="559"/>
      <c r="NBA617" s="559"/>
      <c r="NBB617" s="559"/>
      <c r="NBC617" s="559"/>
      <c r="NBD617" s="559"/>
      <c r="NBE617" s="559"/>
      <c r="NBF617" s="559"/>
      <c r="NBG617" s="559"/>
      <c r="NBH617" s="559"/>
      <c r="NBI617" s="559"/>
      <c r="NBJ617" s="559"/>
      <c r="NBK617" s="559"/>
      <c r="NBL617" s="559"/>
      <c r="NBM617" s="559"/>
      <c r="NBN617" s="559"/>
      <c r="NBO617" s="559"/>
      <c r="NBP617" s="559"/>
      <c r="NBQ617" s="559"/>
      <c r="NBR617" s="559"/>
      <c r="NBS617" s="559"/>
      <c r="NBT617" s="559"/>
      <c r="NBU617" s="559"/>
      <c r="NBV617" s="559"/>
      <c r="NBW617" s="559"/>
      <c r="NBX617" s="559"/>
      <c r="NBY617" s="559"/>
      <c r="NBZ617" s="559"/>
      <c r="NCA617" s="559"/>
      <c r="NCB617" s="559"/>
      <c r="NCC617" s="559"/>
      <c r="NCD617" s="559"/>
      <c r="NCE617" s="559"/>
      <c r="NCF617" s="559"/>
      <c r="NCG617" s="559"/>
      <c r="NCH617" s="559"/>
      <c r="NCI617" s="559"/>
      <c r="NCJ617" s="559"/>
      <c r="NCK617" s="559"/>
      <c r="NCL617" s="559"/>
      <c r="NCM617" s="559"/>
      <c r="NCN617" s="559"/>
      <c r="NCO617" s="559"/>
      <c r="NCP617" s="559"/>
      <c r="NCQ617" s="559"/>
      <c r="NCR617" s="559"/>
      <c r="NCS617" s="559"/>
      <c r="NCT617" s="559"/>
      <c r="NCU617" s="559"/>
      <c r="NCV617" s="559"/>
      <c r="NCW617" s="559"/>
      <c r="NCX617" s="559"/>
      <c r="NCY617" s="559"/>
      <c r="NCZ617" s="559"/>
      <c r="NDA617" s="559"/>
      <c r="NDB617" s="559"/>
      <c r="NDC617" s="559"/>
      <c r="NDD617" s="559"/>
      <c r="NDE617" s="559"/>
      <c r="NDF617" s="559"/>
      <c r="NDG617" s="559"/>
      <c r="NDH617" s="559"/>
      <c r="NDI617" s="559"/>
      <c r="NDJ617" s="559"/>
      <c r="NDK617" s="559"/>
      <c r="NDL617" s="559"/>
      <c r="NDM617" s="559"/>
      <c r="NDN617" s="559"/>
      <c r="NDO617" s="559"/>
      <c r="NDP617" s="559"/>
      <c r="NDQ617" s="559"/>
      <c r="NDR617" s="559"/>
      <c r="NDS617" s="559"/>
      <c r="NDT617" s="559"/>
      <c r="NDU617" s="559"/>
      <c r="NDV617" s="559"/>
      <c r="NDW617" s="559"/>
      <c r="NDX617" s="559"/>
      <c r="NDY617" s="559"/>
      <c r="NDZ617" s="559"/>
      <c r="NEA617" s="559"/>
      <c r="NEB617" s="559"/>
      <c r="NEC617" s="559"/>
      <c r="NED617" s="559"/>
      <c r="NEE617" s="559"/>
      <c r="NEF617" s="559"/>
      <c r="NEG617" s="559"/>
      <c r="NEH617" s="559"/>
      <c r="NEI617" s="559"/>
      <c r="NEJ617" s="559"/>
      <c r="NEK617" s="559"/>
      <c r="NEL617" s="559"/>
      <c r="NEM617" s="559"/>
      <c r="NEN617" s="559"/>
      <c r="NEO617" s="559"/>
      <c r="NEP617" s="559"/>
      <c r="NEQ617" s="559"/>
      <c r="NER617" s="559"/>
      <c r="NES617" s="559"/>
      <c r="NET617" s="559"/>
      <c r="NEU617" s="559"/>
      <c r="NEV617" s="559"/>
      <c r="NEW617" s="559"/>
      <c r="NEX617" s="559"/>
      <c r="NEY617" s="559"/>
      <c r="NEZ617" s="559"/>
      <c r="NFA617" s="559"/>
      <c r="NFB617" s="559"/>
      <c r="NFC617" s="559"/>
      <c r="NFD617" s="559"/>
      <c r="NFE617" s="559"/>
      <c r="NFF617" s="559"/>
      <c r="NFG617" s="559"/>
      <c r="NFH617" s="559"/>
      <c r="NFI617" s="559"/>
      <c r="NFJ617" s="559"/>
      <c r="NFK617" s="559"/>
      <c r="NFL617" s="559"/>
      <c r="NFM617" s="559"/>
      <c r="NFN617" s="559"/>
      <c r="NFO617" s="559"/>
      <c r="NFP617" s="559"/>
      <c r="NFQ617" s="559"/>
      <c r="NFR617" s="559"/>
      <c r="NFS617" s="559"/>
      <c r="NFT617" s="559"/>
      <c r="NFU617" s="559"/>
      <c r="NFV617" s="559"/>
      <c r="NFW617" s="559"/>
      <c r="NFX617" s="559"/>
      <c r="NFY617" s="559"/>
      <c r="NFZ617" s="559"/>
      <c r="NGA617" s="559"/>
      <c r="NGB617" s="559"/>
      <c r="NGC617" s="559"/>
      <c r="NGD617" s="559"/>
      <c r="NGE617" s="559"/>
      <c r="NGF617" s="559"/>
      <c r="NGG617" s="559"/>
      <c r="NGH617" s="559"/>
      <c r="NGI617" s="559"/>
      <c r="NGJ617" s="559"/>
      <c r="NGK617" s="559"/>
      <c r="NGL617" s="559"/>
      <c r="NGM617" s="559"/>
      <c r="NGN617" s="559"/>
      <c r="NGO617" s="559"/>
      <c r="NGP617" s="559"/>
      <c r="NGQ617" s="559"/>
      <c r="NGR617" s="559"/>
      <c r="NGS617" s="559"/>
      <c r="NGT617" s="559"/>
      <c r="NGU617" s="559"/>
      <c r="NGV617" s="559"/>
      <c r="NGW617" s="559"/>
      <c r="NGX617" s="559"/>
      <c r="NGY617" s="559"/>
      <c r="NGZ617" s="559"/>
      <c r="NHA617" s="559"/>
      <c r="NHB617" s="559"/>
      <c r="NHC617" s="559"/>
      <c r="NHD617" s="559"/>
      <c r="NHE617" s="559"/>
      <c r="NHF617" s="559"/>
      <c r="NHG617" s="559"/>
      <c r="NHH617" s="559"/>
      <c r="NHI617" s="559"/>
      <c r="NHJ617" s="559"/>
      <c r="NHK617" s="559"/>
      <c r="NHL617" s="559"/>
      <c r="NHM617" s="559"/>
      <c r="NHN617" s="559"/>
      <c r="NHO617" s="559"/>
      <c r="NHP617" s="559"/>
      <c r="NHQ617" s="559"/>
      <c r="NHR617" s="559"/>
      <c r="NHS617" s="559"/>
      <c r="NHT617" s="559"/>
      <c r="NHU617" s="559"/>
      <c r="NHV617" s="559"/>
      <c r="NHW617" s="559"/>
      <c r="NHX617" s="559"/>
      <c r="NHY617" s="559"/>
      <c r="NHZ617" s="559"/>
      <c r="NIA617" s="559"/>
      <c r="NIB617" s="559"/>
      <c r="NIC617" s="559"/>
      <c r="NID617" s="559"/>
      <c r="NIE617" s="559"/>
      <c r="NIF617" s="559"/>
      <c r="NIG617" s="559"/>
      <c r="NIH617" s="559"/>
      <c r="NII617" s="559"/>
      <c r="NIJ617" s="559"/>
      <c r="NIK617" s="559"/>
      <c r="NIL617" s="559"/>
      <c r="NIM617" s="559"/>
      <c r="NIN617" s="559"/>
      <c r="NIO617" s="559"/>
      <c r="NIP617" s="559"/>
      <c r="NIQ617" s="559"/>
      <c r="NIR617" s="559"/>
      <c r="NIS617" s="559"/>
      <c r="NIT617" s="559"/>
      <c r="NIU617" s="559"/>
      <c r="NIV617" s="559"/>
      <c r="NIW617" s="559"/>
      <c r="NIX617" s="559"/>
      <c r="NIY617" s="559"/>
      <c r="NIZ617" s="559"/>
      <c r="NJA617" s="559"/>
      <c r="NJB617" s="559"/>
      <c r="NJC617" s="559"/>
      <c r="NJD617" s="559"/>
      <c r="NJE617" s="559"/>
      <c r="NJF617" s="559"/>
      <c r="NJG617" s="559"/>
      <c r="NJH617" s="559"/>
      <c r="NJI617" s="559"/>
      <c r="NJJ617" s="559"/>
      <c r="NJK617" s="559"/>
      <c r="NJL617" s="559"/>
      <c r="NJM617" s="559"/>
      <c r="NJN617" s="559"/>
      <c r="NJO617" s="559"/>
      <c r="NJP617" s="559"/>
      <c r="NJQ617" s="559"/>
      <c r="NJR617" s="559"/>
      <c r="NJS617" s="559"/>
      <c r="NJT617" s="559"/>
      <c r="NJU617" s="559"/>
      <c r="NJV617" s="559"/>
      <c r="NJW617" s="559"/>
      <c r="NJX617" s="559"/>
      <c r="NJY617" s="559"/>
      <c r="NJZ617" s="559"/>
      <c r="NKA617" s="559"/>
      <c r="NKB617" s="559"/>
      <c r="NKC617" s="559"/>
      <c r="NKD617" s="559"/>
      <c r="NKE617" s="559"/>
      <c r="NKF617" s="559"/>
      <c r="NKG617" s="559"/>
      <c r="NKH617" s="559"/>
      <c r="NKI617" s="559"/>
      <c r="NKJ617" s="559"/>
      <c r="NKK617" s="559"/>
      <c r="NKL617" s="559"/>
      <c r="NKM617" s="559"/>
      <c r="NKN617" s="559"/>
      <c r="NKO617" s="559"/>
      <c r="NKP617" s="559"/>
      <c r="NKQ617" s="559"/>
      <c r="NKR617" s="559"/>
      <c r="NKS617" s="559"/>
      <c r="NKT617" s="559"/>
      <c r="NKU617" s="559"/>
      <c r="NKV617" s="559"/>
      <c r="NKW617" s="559"/>
      <c r="NKX617" s="559"/>
      <c r="NKY617" s="559"/>
      <c r="NKZ617" s="559"/>
      <c r="NLA617" s="559"/>
      <c r="NLB617" s="559"/>
      <c r="NLC617" s="559"/>
      <c r="NLD617" s="559"/>
      <c r="NLE617" s="559"/>
      <c r="NLF617" s="559"/>
      <c r="NLG617" s="559"/>
      <c r="NLH617" s="559"/>
      <c r="NLI617" s="559"/>
      <c r="NLJ617" s="559"/>
      <c r="NLK617" s="559"/>
      <c r="NLL617" s="559"/>
      <c r="NLM617" s="559"/>
      <c r="NLN617" s="559"/>
      <c r="NLO617" s="559"/>
      <c r="NLP617" s="559"/>
      <c r="NLQ617" s="559"/>
      <c r="NLR617" s="559"/>
      <c r="NLS617" s="559"/>
      <c r="NLT617" s="559"/>
      <c r="NLU617" s="559"/>
      <c r="NLV617" s="559"/>
      <c r="NLW617" s="559"/>
      <c r="NLX617" s="559"/>
      <c r="NLY617" s="559"/>
      <c r="NLZ617" s="559"/>
      <c r="NMA617" s="559"/>
      <c r="NMB617" s="559"/>
      <c r="NMC617" s="559"/>
      <c r="NMD617" s="559"/>
      <c r="NME617" s="559"/>
      <c r="NMF617" s="559"/>
      <c r="NMG617" s="559"/>
      <c r="NMH617" s="559"/>
      <c r="NMI617" s="559"/>
      <c r="NMJ617" s="559"/>
      <c r="NMK617" s="559"/>
      <c r="NML617" s="559"/>
      <c r="NMM617" s="559"/>
      <c r="NMN617" s="559"/>
      <c r="NMO617" s="559"/>
      <c r="NMP617" s="559"/>
      <c r="NMQ617" s="559"/>
      <c r="NMR617" s="559"/>
      <c r="NMS617" s="559"/>
      <c r="NMT617" s="559"/>
      <c r="NMU617" s="559"/>
      <c r="NMV617" s="559"/>
      <c r="NMW617" s="559"/>
      <c r="NMX617" s="559"/>
      <c r="NMY617" s="559"/>
      <c r="NMZ617" s="559"/>
      <c r="NNA617" s="559"/>
      <c r="NNB617" s="559"/>
      <c r="NNC617" s="559"/>
      <c r="NND617" s="559"/>
      <c r="NNE617" s="559"/>
      <c r="NNF617" s="559"/>
      <c r="NNG617" s="559"/>
      <c r="NNH617" s="559"/>
      <c r="NNI617" s="559"/>
      <c r="NNJ617" s="559"/>
      <c r="NNK617" s="559"/>
      <c r="NNL617" s="559"/>
      <c r="NNM617" s="559"/>
      <c r="NNN617" s="559"/>
      <c r="NNO617" s="559"/>
      <c r="NNP617" s="559"/>
      <c r="NNQ617" s="559"/>
      <c r="NNR617" s="559"/>
      <c r="NNS617" s="559"/>
      <c r="NNT617" s="559"/>
      <c r="NNU617" s="559"/>
      <c r="NNV617" s="559"/>
      <c r="NNW617" s="559"/>
      <c r="NNX617" s="559"/>
      <c r="NNY617" s="559"/>
      <c r="NNZ617" s="559"/>
      <c r="NOA617" s="559"/>
      <c r="NOB617" s="559"/>
      <c r="NOC617" s="559"/>
      <c r="NOD617" s="559"/>
      <c r="NOE617" s="559"/>
      <c r="NOF617" s="559"/>
      <c r="NOG617" s="559"/>
      <c r="NOH617" s="559"/>
      <c r="NOI617" s="559"/>
      <c r="NOJ617" s="559"/>
      <c r="NOK617" s="559"/>
      <c r="NOL617" s="559"/>
      <c r="NOM617" s="559"/>
      <c r="NON617" s="559"/>
      <c r="NOO617" s="559"/>
      <c r="NOP617" s="559"/>
      <c r="NOQ617" s="559"/>
      <c r="NOR617" s="559"/>
      <c r="NOS617" s="559"/>
      <c r="NOT617" s="559"/>
      <c r="NOU617" s="559"/>
      <c r="NOV617" s="559"/>
      <c r="NOW617" s="559"/>
      <c r="NOX617" s="559"/>
      <c r="NOY617" s="559"/>
      <c r="NOZ617" s="559"/>
      <c r="NPA617" s="559"/>
      <c r="NPB617" s="559"/>
      <c r="NPC617" s="559"/>
      <c r="NPD617" s="559"/>
      <c r="NPE617" s="559"/>
      <c r="NPF617" s="559"/>
      <c r="NPG617" s="559"/>
      <c r="NPH617" s="559"/>
      <c r="NPI617" s="559"/>
      <c r="NPJ617" s="559"/>
      <c r="NPK617" s="559"/>
      <c r="NPL617" s="559"/>
      <c r="NPM617" s="559"/>
      <c r="NPN617" s="559"/>
      <c r="NPO617" s="559"/>
      <c r="NPP617" s="559"/>
      <c r="NPQ617" s="559"/>
      <c r="NPR617" s="559"/>
      <c r="NPS617" s="559"/>
      <c r="NPT617" s="559"/>
      <c r="NPU617" s="559"/>
      <c r="NPV617" s="559"/>
      <c r="NPW617" s="559"/>
      <c r="NPX617" s="559"/>
      <c r="NPY617" s="559"/>
      <c r="NPZ617" s="559"/>
      <c r="NQA617" s="559"/>
      <c r="NQB617" s="559"/>
      <c r="NQC617" s="559"/>
      <c r="NQD617" s="559"/>
      <c r="NQE617" s="559"/>
      <c r="NQF617" s="559"/>
      <c r="NQG617" s="559"/>
      <c r="NQH617" s="559"/>
      <c r="NQI617" s="559"/>
      <c r="NQJ617" s="559"/>
      <c r="NQK617" s="559"/>
      <c r="NQL617" s="559"/>
      <c r="NQM617" s="559"/>
      <c r="NQN617" s="559"/>
      <c r="NQO617" s="559"/>
      <c r="NQP617" s="559"/>
      <c r="NQQ617" s="559"/>
      <c r="NQR617" s="559"/>
      <c r="NQS617" s="559"/>
      <c r="NQT617" s="559"/>
      <c r="NQU617" s="559"/>
      <c r="NQV617" s="559"/>
      <c r="NQW617" s="559"/>
      <c r="NQX617" s="559"/>
      <c r="NQY617" s="559"/>
      <c r="NQZ617" s="559"/>
      <c r="NRA617" s="559"/>
      <c r="NRB617" s="559"/>
      <c r="NRC617" s="559"/>
      <c r="NRD617" s="559"/>
      <c r="NRE617" s="559"/>
      <c r="NRF617" s="559"/>
      <c r="NRG617" s="559"/>
      <c r="NRH617" s="559"/>
      <c r="NRI617" s="559"/>
      <c r="NRJ617" s="559"/>
      <c r="NRK617" s="559"/>
      <c r="NRL617" s="559"/>
      <c r="NRM617" s="559"/>
      <c r="NRN617" s="559"/>
      <c r="NRO617" s="559"/>
      <c r="NRP617" s="559"/>
      <c r="NRQ617" s="559"/>
      <c r="NRR617" s="559"/>
      <c r="NRS617" s="559"/>
      <c r="NRT617" s="559"/>
      <c r="NRU617" s="559"/>
      <c r="NRV617" s="559"/>
      <c r="NRW617" s="559"/>
      <c r="NRX617" s="559"/>
      <c r="NRY617" s="559"/>
      <c r="NRZ617" s="559"/>
      <c r="NSA617" s="559"/>
      <c r="NSB617" s="559"/>
      <c r="NSC617" s="559"/>
      <c r="NSD617" s="559"/>
      <c r="NSE617" s="559"/>
      <c r="NSF617" s="559"/>
      <c r="NSG617" s="559"/>
      <c r="NSH617" s="559"/>
      <c r="NSI617" s="559"/>
      <c r="NSJ617" s="559"/>
      <c r="NSK617" s="559"/>
      <c r="NSL617" s="559"/>
      <c r="NSM617" s="559"/>
      <c r="NSN617" s="559"/>
      <c r="NSO617" s="559"/>
      <c r="NSP617" s="559"/>
      <c r="NSQ617" s="559"/>
      <c r="NSR617" s="559"/>
      <c r="NSS617" s="559"/>
      <c r="NST617" s="559"/>
      <c r="NSU617" s="559"/>
      <c r="NSV617" s="559"/>
      <c r="NSW617" s="559"/>
      <c r="NSX617" s="559"/>
      <c r="NSY617" s="559"/>
      <c r="NSZ617" s="559"/>
      <c r="NTA617" s="559"/>
      <c r="NTB617" s="559"/>
      <c r="NTC617" s="559"/>
      <c r="NTD617" s="559"/>
      <c r="NTE617" s="559"/>
      <c r="NTF617" s="559"/>
      <c r="NTG617" s="559"/>
      <c r="NTH617" s="559"/>
      <c r="NTI617" s="559"/>
      <c r="NTJ617" s="559"/>
      <c r="NTK617" s="559"/>
      <c r="NTL617" s="559"/>
      <c r="NTM617" s="559"/>
      <c r="NTN617" s="559"/>
      <c r="NTO617" s="559"/>
      <c r="NTP617" s="559"/>
      <c r="NTQ617" s="559"/>
      <c r="NTR617" s="559"/>
      <c r="NTS617" s="559"/>
      <c r="NTT617" s="559"/>
      <c r="NTU617" s="559"/>
      <c r="NTV617" s="559"/>
      <c r="NTW617" s="559"/>
      <c r="NTX617" s="559"/>
      <c r="NTY617" s="559"/>
      <c r="NTZ617" s="559"/>
      <c r="NUA617" s="559"/>
      <c r="NUB617" s="559"/>
      <c r="NUC617" s="559"/>
      <c r="NUD617" s="559"/>
      <c r="NUE617" s="559"/>
      <c r="NUF617" s="559"/>
      <c r="NUG617" s="559"/>
      <c r="NUH617" s="559"/>
      <c r="NUI617" s="559"/>
      <c r="NUJ617" s="559"/>
      <c r="NUK617" s="559"/>
      <c r="NUL617" s="559"/>
      <c r="NUM617" s="559"/>
      <c r="NUN617" s="559"/>
      <c r="NUO617" s="559"/>
      <c r="NUP617" s="559"/>
      <c r="NUQ617" s="559"/>
      <c r="NUR617" s="559"/>
      <c r="NUS617" s="559"/>
      <c r="NUT617" s="559"/>
      <c r="NUU617" s="559"/>
      <c r="NUV617" s="559"/>
      <c r="NUW617" s="559"/>
      <c r="NUX617" s="559"/>
      <c r="NUY617" s="559"/>
      <c r="NUZ617" s="559"/>
      <c r="NVA617" s="559"/>
      <c r="NVB617" s="559"/>
      <c r="NVC617" s="559"/>
      <c r="NVD617" s="559"/>
      <c r="NVE617" s="559"/>
      <c r="NVF617" s="559"/>
      <c r="NVG617" s="559"/>
      <c r="NVH617" s="559"/>
      <c r="NVI617" s="559"/>
      <c r="NVJ617" s="559"/>
      <c r="NVK617" s="559"/>
      <c r="NVL617" s="559"/>
      <c r="NVM617" s="559"/>
      <c r="NVN617" s="559"/>
      <c r="NVO617" s="559"/>
      <c r="NVP617" s="559"/>
      <c r="NVQ617" s="559"/>
      <c r="NVR617" s="559"/>
      <c r="NVS617" s="559"/>
      <c r="NVT617" s="559"/>
      <c r="NVU617" s="559"/>
      <c r="NVV617" s="559"/>
      <c r="NVW617" s="559"/>
      <c r="NVX617" s="559"/>
      <c r="NVY617" s="559"/>
      <c r="NVZ617" s="559"/>
      <c r="NWA617" s="559"/>
      <c r="NWB617" s="559"/>
      <c r="NWC617" s="559"/>
      <c r="NWD617" s="559"/>
      <c r="NWE617" s="559"/>
      <c r="NWF617" s="559"/>
      <c r="NWG617" s="559"/>
      <c r="NWH617" s="559"/>
      <c r="NWI617" s="559"/>
      <c r="NWJ617" s="559"/>
      <c r="NWK617" s="559"/>
      <c r="NWL617" s="559"/>
      <c r="NWM617" s="559"/>
      <c r="NWN617" s="559"/>
      <c r="NWO617" s="559"/>
      <c r="NWP617" s="559"/>
      <c r="NWQ617" s="559"/>
      <c r="NWR617" s="559"/>
      <c r="NWS617" s="559"/>
      <c r="NWT617" s="559"/>
      <c r="NWU617" s="559"/>
      <c r="NWV617" s="559"/>
      <c r="NWW617" s="559"/>
      <c r="NWX617" s="559"/>
      <c r="NWY617" s="559"/>
      <c r="NWZ617" s="559"/>
      <c r="NXA617" s="559"/>
      <c r="NXB617" s="559"/>
      <c r="NXC617" s="559"/>
      <c r="NXD617" s="559"/>
      <c r="NXE617" s="559"/>
      <c r="NXF617" s="559"/>
      <c r="NXG617" s="559"/>
      <c r="NXH617" s="559"/>
      <c r="NXI617" s="559"/>
      <c r="NXJ617" s="559"/>
      <c r="NXK617" s="559"/>
      <c r="NXL617" s="559"/>
      <c r="NXM617" s="559"/>
      <c r="NXN617" s="559"/>
      <c r="NXO617" s="559"/>
      <c r="NXP617" s="559"/>
      <c r="NXQ617" s="559"/>
      <c r="NXR617" s="559"/>
      <c r="NXS617" s="559"/>
      <c r="NXT617" s="559"/>
      <c r="NXU617" s="559"/>
      <c r="NXV617" s="559"/>
      <c r="NXW617" s="559"/>
      <c r="NXX617" s="559"/>
      <c r="NXY617" s="559"/>
      <c r="NXZ617" s="559"/>
      <c r="NYA617" s="559"/>
      <c r="NYB617" s="559"/>
      <c r="NYC617" s="559"/>
      <c r="NYD617" s="559"/>
      <c r="NYE617" s="559"/>
      <c r="NYF617" s="559"/>
      <c r="NYG617" s="559"/>
      <c r="NYH617" s="559"/>
      <c r="NYI617" s="559"/>
      <c r="NYJ617" s="559"/>
      <c r="NYK617" s="559"/>
      <c r="NYL617" s="559"/>
      <c r="NYM617" s="559"/>
      <c r="NYN617" s="559"/>
      <c r="NYO617" s="559"/>
      <c r="NYP617" s="559"/>
      <c r="NYQ617" s="559"/>
      <c r="NYR617" s="559"/>
      <c r="NYS617" s="559"/>
      <c r="NYT617" s="559"/>
      <c r="NYU617" s="559"/>
      <c r="NYV617" s="559"/>
      <c r="NYW617" s="559"/>
      <c r="NYX617" s="559"/>
      <c r="NYY617" s="559"/>
      <c r="NYZ617" s="559"/>
      <c r="NZA617" s="559"/>
      <c r="NZB617" s="559"/>
      <c r="NZC617" s="559"/>
      <c r="NZD617" s="559"/>
      <c r="NZE617" s="559"/>
      <c r="NZF617" s="559"/>
      <c r="NZG617" s="559"/>
      <c r="NZH617" s="559"/>
      <c r="NZI617" s="559"/>
      <c r="NZJ617" s="559"/>
      <c r="NZK617" s="559"/>
      <c r="NZL617" s="559"/>
      <c r="NZM617" s="559"/>
      <c r="NZN617" s="559"/>
      <c r="NZO617" s="559"/>
      <c r="NZP617" s="559"/>
      <c r="NZQ617" s="559"/>
      <c r="NZR617" s="559"/>
      <c r="NZS617" s="559"/>
      <c r="NZT617" s="559"/>
      <c r="NZU617" s="559"/>
      <c r="NZV617" s="559"/>
      <c r="NZW617" s="559"/>
      <c r="NZX617" s="559"/>
      <c r="NZY617" s="559"/>
      <c r="NZZ617" s="559"/>
      <c r="OAA617" s="559"/>
      <c r="OAB617" s="559"/>
      <c r="OAC617" s="559"/>
      <c r="OAD617" s="559"/>
      <c r="OAE617" s="559"/>
      <c r="OAF617" s="559"/>
      <c r="OAG617" s="559"/>
      <c r="OAH617" s="559"/>
      <c r="OAI617" s="559"/>
      <c r="OAJ617" s="559"/>
      <c r="OAK617" s="559"/>
      <c r="OAL617" s="559"/>
      <c r="OAM617" s="559"/>
      <c r="OAN617" s="559"/>
      <c r="OAO617" s="559"/>
      <c r="OAP617" s="559"/>
      <c r="OAQ617" s="559"/>
      <c r="OAR617" s="559"/>
      <c r="OAS617" s="559"/>
      <c r="OAT617" s="559"/>
      <c r="OAU617" s="559"/>
      <c r="OAV617" s="559"/>
      <c r="OAW617" s="559"/>
      <c r="OAX617" s="559"/>
      <c r="OAY617" s="559"/>
      <c r="OAZ617" s="559"/>
      <c r="OBA617" s="559"/>
      <c r="OBB617" s="559"/>
      <c r="OBC617" s="559"/>
      <c r="OBD617" s="559"/>
      <c r="OBE617" s="559"/>
      <c r="OBF617" s="559"/>
      <c r="OBG617" s="559"/>
      <c r="OBH617" s="559"/>
      <c r="OBI617" s="559"/>
      <c r="OBJ617" s="559"/>
      <c r="OBK617" s="559"/>
      <c r="OBL617" s="559"/>
      <c r="OBM617" s="559"/>
      <c r="OBN617" s="559"/>
      <c r="OBO617" s="559"/>
      <c r="OBP617" s="559"/>
      <c r="OBQ617" s="559"/>
      <c r="OBR617" s="559"/>
      <c r="OBS617" s="559"/>
      <c r="OBT617" s="559"/>
      <c r="OBU617" s="559"/>
      <c r="OBV617" s="559"/>
      <c r="OBW617" s="559"/>
      <c r="OBX617" s="559"/>
      <c r="OBY617" s="559"/>
      <c r="OBZ617" s="559"/>
      <c r="OCA617" s="559"/>
      <c r="OCB617" s="559"/>
      <c r="OCC617" s="559"/>
      <c r="OCD617" s="559"/>
      <c r="OCE617" s="559"/>
      <c r="OCF617" s="559"/>
      <c r="OCG617" s="559"/>
      <c r="OCH617" s="559"/>
      <c r="OCI617" s="559"/>
      <c r="OCJ617" s="559"/>
      <c r="OCK617" s="559"/>
      <c r="OCL617" s="559"/>
      <c r="OCM617" s="559"/>
      <c r="OCN617" s="559"/>
      <c r="OCO617" s="559"/>
      <c r="OCP617" s="559"/>
      <c r="OCQ617" s="559"/>
      <c r="OCR617" s="559"/>
      <c r="OCS617" s="559"/>
      <c r="OCT617" s="559"/>
      <c r="OCU617" s="559"/>
      <c r="OCV617" s="559"/>
      <c r="OCW617" s="559"/>
      <c r="OCX617" s="559"/>
      <c r="OCY617" s="559"/>
      <c r="OCZ617" s="559"/>
      <c r="ODA617" s="559"/>
      <c r="ODB617" s="559"/>
      <c r="ODC617" s="559"/>
      <c r="ODD617" s="559"/>
      <c r="ODE617" s="559"/>
      <c r="ODF617" s="559"/>
      <c r="ODG617" s="559"/>
      <c r="ODH617" s="559"/>
      <c r="ODI617" s="559"/>
      <c r="ODJ617" s="559"/>
      <c r="ODK617" s="559"/>
      <c r="ODL617" s="559"/>
      <c r="ODM617" s="559"/>
      <c r="ODN617" s="559"/>
      <c r="ODO617" s="559"/>
      <c r="ODP617" s="559"/>
      <c r="ODQ617" s="559"/>
      <c r="ODR617" s="559"/>
      <c r="ODS617" s="559"/>
      <c r="ODT617" s="559"/>
      <c r="ODU617" s="559"/>
      <c r="ODV617" s="559"/>
      <c r="ODW617" s="559"/>
      <c r="ODX617" s="559"/>
      <c r="ODY617" s="559"/>
      <c r="ODZ617" s="559"/>
      <c r="OEA617" s="559"/>
      <c r="OEB617" s="559"/>
      <c r="OEC617" s="559"/>
      <c r="OED617" s="559"/>
      <c r="OEE617" s="559"/>
      <c r="OEF617" s="559"/>
      <c r="OEG617" s="559"/>
      <c r="OEH617" s="559"/>
      <c r="OEI617" s="559"/>
      <c r="OEJ617" s="559"/>
      <c r="OEK617" s="559"/>
      <c r="OEL617" s="559"/>
      <c r="OEM617" s="559"/>
      <c r="OEN617" s="559"/>
      <c r="OEO617" s="559"/>
      <c r="OEP617" s="559"/>
      <c r="OEQ617" s="559"/>
      <c r="OER617" s="559"/>
      <c r="OES617" s="559"/>
      <c r="OET617" s="559"/>
      <c r="OEU617" s="559"/>
      <c r="OEV617" s="559"/>
      <c r="OEW617" s="559"/>
      <c r="OEX617" s="559"/>
      <c r="OEY617" s="559"/>
      <c r="OEZ617" s="559"/>
      <c r="OFA617" s="559"/>
      <c r="OFB617" s="559"/>
      <c r="OFC617" s="559"/>
      <c r="OFD617" s="559"/>
      <c r="OFE617" s="559"/>
      <c r="OFF617" s="559"/>
      <c r="OFG617" s="559"/>
      <c r="OFH617" s="559"/>
      <c r="OFI617" s="559"/>
      <c r="OFJ617" s="559"/>
      <c r="OFK617" s="559"/>
      <c r="OFL617" s="559"/>
      <c r="OFM617" s="559"/>
      <c r="OFN617" s="559"/>
      <c r="OFO617" s="559"/>
      <c r="OFP617" s="559"/>
      <c r="OFQ617" s="559"/>
      <c r="OFR617" s="559"/>
      <c r="OFS617" s="559"/>
      <c r="OFT617" s="559"/>
      <c r="OFU617" s="559"/>
      <c r="OFV617" s="559"/>
      <c r="OFW617" s="559"/>
      <c r="OFX617" s="559"/>
      <c r="OFY617" s="559"/>
      <c r="OFZ617" s="559"/>
      <c r="OGA617" s="559"/>
      <c r="OGB617" s="559"/>
      <c r="OGC617" s="559"/>
      <c r="OGD617" s="559"/>
      <c r="OGE617" s="559"/>
      <c r="OGF617" s="559"/>
      <c r="OGG617" s="559"/>
      <c r="OGH617" s="559"/>
      <c r="OGI617" s="559"/>
      <c r="OGJ617" s="559"/>
      <c r="OGK617" s="559"/>
      <c r="OGL617" s="559"/>
      <c r="OGM617" s="559"/>
      <c r="OGN617" s="559"/>
      <c r="OGO617" s="559"/>
      <c r="OGP617" s="559"/>
      <c r="OGQ617" s="559"/>
      <c r="OGR617" s="559"/>
      <c r="OGS617" s="559"/>
      <c r="OGT617" s="559"/>
      <c r="OGU617" s="559"/>
      <c r="OGV617" s="559"/>
      <c r="OGW617" s="559"/>
      <c r="OGX617" s="559"/>
      <c r="OGY617" s="559"/>
      <c r="OGZ617" s="559"/>
      <c r="OHA617" s="559"/>
      <c r="OHB617" s="559"/>
      <c r="OHC617" s="559"/>
      <c r="OHD617" s="559"/>
      <c r="OHE617" s="559"/>
      <c r="OHF617" s="559"/>
      <c r="OHG617" s="559"/>
      <c r="OHH617" s="559"/>
      <c r="OHI617" s="559"/>
      <c r="OHJ617" s="559"/>
      <c r="OHK617" s="559"/>
      <c r="OHL617" s="559"/>
      <c r="OHM617" s="559"/>
      <c r="OHN617" s="559"/>
      <c r="OHO617" s="559"/>
      <c r="OHP617" s="559"/>
      <c r="OHQ617" s="559"/>
      <c r="OHR617" s="559"/>
      <c r="OHS617" s="559"/>
      <c r="OHT617" s="559"/>
      <c r="OHU617" s="559"/>
      <c r="OHV617" s="559"/>
      <c r="OHW617" s="559"/>
      <c r="OHX617" s="559"/>
      <c r="OHY617" s="559"/>
      <c r="OHZ617" s="559"/>
      <c r="OIA617" s="559"/>
      <c r="OIB617" s="559"/>
      <c r="OIC617" s="559"/>
      <c r="OID617" s="559"/>
      <c r="OIE617" s="559"/>
      <c r="OIF617" s="559"/>
      <c r="OIG617" s="559"/>
      <c r="OIH617" s="559"/>
      <c r="OII617" s="559"/>
      <c r="OIJ617" s="559"/>
      <c r="OIK617" s="559"/>
      <c r="OIL617" s="559"/>
      <c r="OIM617" s="559"/>
      <c r="OIN617" s="559"/>
      <c r="OIO617" s="559"/>
      <c r="OIP617" s="559"/>
      <c r="OIQ617" s="559"/>
      <c r="OIR617" s="559"/>
      <c r="OIS617" s="559"/>
      <c r="OIT617" s="559"/>
      <c r="OIU617" s="559"/>
      <c r="OIV617" s="559"/>
      <c r="OIW617" s="559"/>
      <c r="OIX617" s="559"/>
      <c r="OIY617" s="559"/>
      <c r="OIZ617" s="559"/>
      <c r="OJA617" s="559"/>
      <c r="OJB617" s="559"/>
      <c r="OJC617" s="559"/>
      <c r="OJD617" s="559"/>
      <c r="OJE617" s="559"/>
      <c r="OJF617" s="559"/>
      <c r="OJG617" s="559"/>
      <c r="OJH617" s="559"/>
      <c r="OJI617" s="559"/>
      <c r="OJJ617" s="559"/>
      <c r="OJK617" s="559"/>
      <c r="OJL617" s="559"/>
      <c r="OJM617" s="559"/>
      <c r="OJN617" s="559"/>
      <c r="OJO617" s="559"/>
      <c r="OJP617" s="559"/>
      <c r="OJQ617" s="559"/>
      <c r="OJR617" s="559"/>
      <c r="OJS617" s="559"/>
      <c r="OJT617" s="559"/>
      <c r="OJU617" s="559"/>
      <c r="OJV617" s="559"/>
      <c r="OJW617" s="559"/>
      <c r="OJX617" s="559"/>
      <c r="OJY617" s="559"/>
      <c r="OJZ617" s="559"/>
      <c r="OKA617" s="559"/>
      <c r="OKB617" s="559"/>
      <c r="OKC617" s="559"/>
      <c r="OKD617" s="559"/>
      <c r="OKE617" s="559"/>
      <c r="OKF617" s="559"/>
      <c r="OKG617" s="559"/>
      <c r="OKH617" s="559"/>
      <c r="OKI617" s="559"/>
      <c r="OKJ617" s="559"/>
      <c r="OKK617" s="559"/>
      <c r="OKL617" s="559"/>
      <c r="OKM617" s="559"/>
      <c r="OKN617" s="559"/>
      <c r="OKO617" s="559"/>
      <c r="OKP617" s="559"/>
      <c r="OKQ617" s="559"/>
      <c r="OKR617" s="559"/>
      <c r="OKS617" s="559"/>
      <c r="OKT617" s="559"/>
      <c r="OKU617" s="559"/>
      <c r="OKV617" s="559"/>
      <c r="OKW617" s="559"/>
      <c r="OKX617" s="559"/>
      <c r="OKY617" s="559"/>
      <c r="OKZ617" s="559"/>
      <c r="OLA617" s="559"/>
      <c r="OLB617" s="559"/>
      <c r="OLC617" s="559"/>
      <c r="OLD617" s="559"/>
      <c r="OLE617" s="559"/>
      <c r="OLF617" s="559"/>
      <c r="OLG617" s="559"/>
      <c r="OLH617" s="559"/>
      <c r="OLI617" s="559"/>
      <c r="OLJ617" s="559"/>
      <c r="OLK617" s="559"/>
      <c r="OLL617" s="559"/>
      <c r="OLM617" s="559"/>
      <c r="OLN617" s="559"/>
      <c r="OLO617" s="559"/>
      <c r="OLP617" s="559"/>
      <c r="OLQ617" s="559"/>
      <c r="OLR617" s="559"/>
      <c r="OLS617" s="559"/>
      <c r="OLT617" s="559"/>
      <c r="OLU617" s="559"/>
      <c r="OLV617" s="559"/>
      <c r="OLW617" s="559"/>
      <c r="OLX617" s="559"/>
      <c r="OLY617" s="559"/>
      <c r="OLZ617" s="559"/>
      <c r="OMA617" s="559"/>
      <c r="OMB617" s="559"/>
      <c r="OMC617" s="559"/>
      <c r="OMD617" s="559"/>
      <c r="OME617" s="559"/>
      <c r="OMF617" s="559"/>
      <c r="OMG617" s="559"/>
      <c r="OMH617" s="559"/>
      <c r="OMI617" s="559"/>
      <c r="OMJ617" s="559"/>
      <c r="OMK617" s="559"/>
      <c r="OML617" s="559"/>
      <c r="OMM617" s="559"/>
      <c r="OMN617" s="559"/>
      <c r="OMO617" s="559"/>
      <c r="OMP617" s="559"/>
      <c r="OMQ617" s="559"/>
      <c r="OMR617" s="559"/>
      <c r="OMS617" s="559"/>
      <c r="OMT617" s="559"/>
      <c r="OMU617" s="559"/>
      <c r="OMV617" s="559"/>
      <c r="OMW617" s="559"/>
      <c r="OMX617" s="559"/>
      <c r="OMY617" s="559"/>
      <c r="OMZ617" s="559"/>
      <c r="ONA617" s="559"/>
      <c r="ONB617" s="559"/>
      <c r="ONC617" s="559"/>
      <c r="OND617" s="559"/>
      <c r="ONE617" s="559"/>
      <c r="ONF617" s="559"/>
      <c r="ONG617" s="559"/>
      <c r="ONH617" s="559"/>
      <c r="ONI617" s="559"/>
      <c r="ONJ617" s="559"/>
      <c r="ONK617" s="559"/>
      <c r="ONL617" s="559"/>
      <c r="ONM617" s="559"/>
      <c r="ONN617" s="559"/>
      <c r="ONO617" s="559"/>
      <c r="ONP617" s="559"/>
      <c r="ONQ617" s="559"/>
      <c r="ONR617" s="559"/>
      <c r="ONS617" s="559"/>
      <c r="ONT617" s="559"/>
      <c r="ONU617" s="559"/>
      <c r="ONV617" s="559"/>
      <c r="ONW617" s="559"/>
      <c r="ONX617" s="559"/>
      <c r="ONY617" s="559"/>
      <c r="ONZ617" s="559"/>
      <c r="OOA617" s="559"/>
      <c r="OOB617" s="559"/>
      <c r="OOC617" s="559"/>
      <c r="OOD617" s="559"/>
      <c r="OOE617" s="559"/>
      <c r="OOF617" s="559"/>
      <c r="OOG617" s="559"/>
      <c r="OOH617" s="559"/>
      <c r="OOI617" s="559"/>
      <c r="OOJ617" s="559"/>
      <c r="OOK617" s="559"/>
      <c r="OOL617" s="559"/>
      <c r="OOM617" s="559"/>
      <c r="OON617" s="559"/>
      <c r="OOO617" s="559"/>
      <c r="OOP617" s="559"/>
      <c r="OOQ617" s="559"/>
      <c r="OOR617" s="559"/>
      <c r="OOS617" s="559"/>
      <c r="OOT617" s="559"/>
      <c r="OOU617" s="559"/>
      <c r="OOV617" s="559"/>
      <c r="OOW617" s="559"/>
      <c r="OOX617" s="559"/>
      <c r="OOY617" s="559"/>
      <c r="OOZ617" s="559"/>
      <c r="OPA617" s="559"/>
      <c r="OPB617" s="559"/>
      <c r="OPC617" s="559"/>
      <c r="OPD617" s="559"/>
      <c r="OPE617" s="559"/>
      <c r="OPF617" s="559"/>
      <c r="OPG617" s="559"/>
      <c r="OPH617" s="559"/>
      <c r="OPI617" s="559"/>
      <c r="OPJ617" s="559"/>
      <c r="OPK617" s="559"/>
      <c r="OPL617" s="559"/>
      <c r="OPM617" s="559"/>
      <c r="OPN617" s="559"/>
      <c r="OPO617" s="559"/>
      <c r="OPP617" s="559"/>
      <c r="OPQ617" s="559"/>
      <c r="OPR617" s="559"/>
      <c r="OPS617" s="559"/>
      <c r="OPT617" s="559"/>
      <c r="OPU617" s="559"/>
      <c r="OPV617" s="559"/>
      <c r="OPW617" s="559"/>
      <c r="OPX617" s="559"/>
      <c r="OPY617" s="559"/>
      <c r="OPZ617" s="559"/>
      <c r="OQA617" s="559"/>
      <c r="OQB617" s="559"/>
      <c r="OQC617" s="559"/>
      <c r="OQD617" s="559"/>
      <c r="OQE617" s="559"/>
      <c r="OQF617" s="559"/>
      <c r="OQG617" s="559"/>
      <c r="OQH617" s="559"/>
      <c r="OQI617" s="559"/>
      <c r="OQJ617" s="559"/>
      <c r="OQK617" s="559"/>
      <c r="OQL617" s="559"/>
      <c r="OQM617" s="559"/>
      <c r="OQN617" s="559"/>
      <c r="OQO617" s="559"/>
      <c r="OQP617" s="559"/>
      <c r="OQQ617" s="559"/>
      <c r="OQR617" s="559"/>
      <c r="OQS617" s="559"/>
      <c r="OQT617" s="559"/>
      <c r="OQU617" s="559"/>
      <c r="OQV617" s="559"/>
      <c r="OQW617" s="559"/>
      <c r="OQX617" s="559"/>
      <c r="OQY617" s="559"/>
      <c r="OQZ617" s="559"/>
      <c r="ORA617" s="559"/>
      <c r="ORB617" s="559"/>
      <c r="ORC617" s="559"/>
      <c r="ORD617" s="559"/>
      <c r="ORE617" s="559"/>
      <c r="ORF617" s="559"/>
      <c r="ORG617" s="559"/>
      <c r="ORH617" s="559"/>
      <c r="ORI617" s="559"/>
      <c r="ORJ617" s="559"/>
      <c r="ORK617" s="559"/>
      <c r="ORL617" s="559"/>
      <c r="ORM617" s="559"/>
      <c r="ORN617" s="559"/>
      <c r="ORO617" s="559"/>
      <c r="ORP617" s="559"/>
      <c r="ORQ617" s="559"/>
      <c r="ORR617" s="559"/>
      <c r="ORS617" s="559"/>
      <c r="ORT617" s="559"/>
      <c r="ORU617" s="559"/>
      <c r="ORV617" s="559"/>
      <c r="ORW617" s="559"/>
      <c r="ORX617" s="559"/>
      <c r="ORY617" s="559"/>
      <c r="ORZ617" s="559"/>
      <c r="OSA617" s="559"/>
      <c r="OSB617" s="559"/>
      <c r="OSC617" s="559"/>
      <c r="OSD617" s="559"/>
      <c r="OSE617" s="559"/>
      <c r="OSF617" s="559"/>
      <c r="OSG617" s="559"/>
      <c r="OSH617" s="559"/>
      <c r="OSI617" s="559"/>
      <c r="OSJ617" s="559"/>
      <c r="OSK617" s="559"/>
      <c r="OSL617" s="559"/>
      <c r="OSM617" s="559"/>
      <c r="OSN617" s="559"/>
      <c r="OSO617" s="559"/>
      <c r="OSP617" s="559"/>
      <c r="OSQ617" s="559"/>
      <c r="OSR617" s="559"/>
      <c r="OSS617" s="559"/>
      <c r="OST617" s="559"/>
      <c r="OSU617" s="559"/>
      <c r="OSV617" s="559"/>
      <c r="OSW617" s="559"/>
      <c r="OSX617" s="559"/>
      <c r="OSY617" s="559"/>
      <c r="OSZ617" s="559"/>
      <c r="OTA617" s="559"/>
      <c r="OTB617" s="559"/>
      <c r="OTC617" s="559"/>
      <c r="OTD617" s="559"/>
      <c r="OTE617" s="559"/>
      <c r="OTF617" s="559"/>
      <c r="OTG617" s="559"/>
      <c r="OTH617" s="559"/>
      <c r="OTI617" s="559"/>
      <c r="OTJ617" s="559"/>
      <c r="OTK617" s="559"/>
      <c r="OTL617" s="559"/>
      <c r="OTM617" s="559"/>
      <c r="OTN617" s="559"/>
      <c r="OTO617" s="559"/>
      <c r="OTP617" s="559"/>
      <c r="OTQ617" s="559"/>
      <c r="OTR617" s="559"/>
      <c r="OTS617" s="559"/>
      <c r="OTT617" s="559"/>
      <c r="OTU617" s="559"/>
      <c r="OTV617" s="559"/>
      <c r="OTW617" s="559"/>
      <c r="OTX617" s="559"/>
      <c r="OTY617" s="559"/>
      <c r="OTZ617" s="559"/>
      <c r="OUA617" s="559"/>
      <c r="OUB617" s="559"/>
      <c r="OUC617" s="559"/>
      <c r="OUD617" s="559"/>
      <c r="OUE617" s="559"/>
      <c r="OUF617" s="559"/>
      <c r="OUG617" s="559"/>
      <c r="OUH617" s="559"/>
      <c r="OUI617" s="559"/>
      <c r="OUJ617" s="559"/>
      <c r="OUK617" s="559"/>
      <c r="OUL617" s="559"/>
      <c r="OUM617" s="559"/>
      <c r="OUN617" s="559"/>
      <c r="OUO617" s="559"/>
      <c r="OUP617" s="559"/>
      <c r="OUQ617" s="559"/>
      <c r="OUR617" s="559"/>
      <c r="OUS617" s="559"/>
      <c r="OUT617" s="559"/>
      <c r="OUU617" s="559"/>
      <c r="OUV617" s="559"/>
      <c r="OUW617" s="559"/>
      <c r="OUX617" s="559"/>
      <c r="OUY617" s="559"/>
      <c r="OUZ617" s="559"/>
      <c r="OVA617" s="559"/>
      <c r="OVB617" s="559"/>
      <c r="OVC617" s="559"/>
      <c r="OVD617" s="559"/>
      <c r="OVE617" s="559"/>
      <c r="OVF617" s="559"/>
      <c r="OVG617" s="559"/>
      <c r="OVH617" s="559"/>
      <c r="OVI617" s="559"/>
      <c r="OVJ617" s="559"/>
      <c r="OVK617" s="559"/>
      <c r="OVL617" s="559"/>
      <c r="OVM617" s="559"/>
      <c r="OVN617" s="559"/>
      <c r="OVO617" s="559"/>
      <c r="OVP617" s="559"/>
      <c r="OVQ617" s="559"/>
      <c r="OVR617" s="559"/>
      <c r="OVS617" s="559"/>
      <c r="OVT617" s="559"/>
      <c r="OVU617" s="559"/>
      <c r="OVV617" s="559"/>
      <c r="OVW617" s="559"/>
      <c r="OVX617" s="559"/>
      <c r="OVY617" s="559"/>
      <c r="OVZ617" s="559"/>
      <c r="OWA617" s="559"/>
      <c r="OWB617" s="559"/>
      <c r="OWC617" s="559"/>
      <c r="OWD617" s="559"/>
      <c r="OWE617" s="559"/>
      <c r="OWF617" s="559"/>
      <c r="OWG617" s="559"/>
      <c r="OWH617" s="559"/>
      <c r="OWI617" s="559"/>
      <c r="OWJ617" s="559"/>
      <c r="OWK617" s="559"/>
      <c r="OWL617" s="559"/>
      <c r="OWM617" s="559"/>
      <c r="OWN617" s="559"/>
      <c r="OWO617" s="559"/>
      <c r="OWP617" s="559"/>
      <c r="OWQ617" s="559"/>
      <c r="OWR617" s="559"/>
      <c r="OWS617" s="559"/>
      <c r="OWT617" s="559"/>
      <c r="OWU617" s="559"/>
      <c r="OWV617" s="559"/>
      <c r="OWW617" s="559"/>
      <c r="OWX617" s="559"/>
      <c r="OWY617" s="559"/>
      <c r="OWZ617" s="559"/>
      <c r="OXA617" s="559"/>
      <c r="OXB617" s="559"/>
      <c r="OXC617" s="559"/>
      <c r="OXD617" s="559"/>
      <c r="OXE617" s="559"/>
      <c r="OXF617" s="559"/>
      <c r="OXG617" s="559"/>
      <c r="OXH617" s="559"/>
      <c r="OXI617" s="559"/>
      <c r="OXJ617" s="559"/>
      <c r="OXK617" s="559"/>
      <c r="OXL617" s="559"/>
      <c r="OXM617" s="559"/>
      <c r="OXN617" s="559"/>
      <c r="OXO617" s="559"/>
      <c r="OXP617" s="559"/>
      <c r="OXQ617" s="559"/>
      <c r="OXR617" s="559"/>
      <c r="OXS617" s="559"/>
      <c r="OXT617" s="559"/>
      <c r="OXU617" s="559"/>
      <c r="OXV617" s="559"/>
      <c r="OXW617" s="559"/>
      <c r="OXX617" s="559"/>
      <c r="OXY617" s="559"/>
      <c r="OXZ617" s="559"/>
      <c r="OYA617" s="559"/>
      <c r="OYB617" s="559"/>
      <c r="OYC617" s="559"/>
      <c r="OYD617" s="559"/>
      <c r="OYE617" s="559"/>
      <c r="OYF617" s="559"/>
      <c r="OYG617" s="559"/>
      <c r="OYH617" s="559"/>
      <c r="OYI617" s="559"/>
      <c r="OYJ617" s="559"/>
      <c r="OYK617" s="559"/>
      <c r="OYL617" s="559"/>
      <c r="OYM617" s="559"/>
      <c r="OYN617" s="559"/>
      <c r="OYO617" s="559"/>
      <c r="OYP617" s="559"/>
      <c r="OYQ617" s="559"/>
      <c r="OYR617" s="559"/>
      <c r="OYS617" s="559"/>
      <c r="OYT617" s="559"/>
      <c r="OYU617" s="559"/>
      <c r="OYV617" s="559"/>
      <c r="OYW617" s="559"/>
      <c r="OYX617" s="559"/>
      <c r="OYY617" s="559"/>
      <c r="OYZ617" s="559"/>
      <c r="OZA617" s="559"/>
      <c r="OZB617" s="559"/>
      <c r="OZC617" s="559"/>
      <c r="OZD617" s="559"/>
      <c r="OZE617" s="559"/>
      <c r="OZF617" s="559"/>
      <c r="OZG617" s="559"/>
      <c r="OZH617" s="559"/>
      <c r="OZI617" s="559"/>
      <c r="OZJ617" s="559"/>
      <c r="OZK617" s="559"/>
      <c r="OZL617" s="559"/>
      <c r="OZM617" s="559"/>
      <c r="OZN617" s="559"/>
      <c r="OZO617" s="559"/>
      <c r="OZP617" s="559"/>
      <c r="OZQ617" s="559"/>
      <c r="OZR617" s="559"/>
      <c r="OZS617" s="559"/>
      <c r="OZT617" s="559"/>
      <c r="OZU617" s="559"/>
      <c r="OZV617" s="559"/>
      <c r="OZW617" s="559"/>
      <c r="OZX617" s="559"/>
      <c r="OZY617" s="559"/>
      <c r="OZZ617" s="559"/>
      <c r="PAA617" s="559"/>
      <c r="PAB617" s="559"/>
      <c r="PAC617" s="559"/>
      <c r="PAD617" s="559"/>
      <c r="PAE617" s="559"/>
      <c r="PAF617" s="559"/>
      <c r="PAG617" s="559"/>
      <c r="PAH617" s="559"/>
      <c r="PAI617" s="559"/>
      <c r="PAJ617" s="559"/>
      <c r="PAK617" s="559"/>
      <c r="PAL617" s="559"/>
      <c r="PAM617" s="559"/>
      <c r="PAN617" s="559"/>
      <c r="PAO617" s="559"/>
      <c r="PAP617" s="559"/>
      <c r="PAQ617" s="559"/>
      <c r="PAR617" s="559"/>
      <c r="PAS617" s="559"/>
      <c r="PAT617" s="559"/>
      <c r="PAU617" s="559"/>
      <c r="PAV617" s="559"/>
      <c r="PAW617" s="559"/>
      <c r="PAX617" s="559"/>
      <c r="PAY617" s="559"/>
      <c r="PAZ617" s="559"/>
      <c r="PBA617" s="559"/>
      <c r="PBB617" s="559"/>
      <c r="PBC617" s="559"/>
      <c r="PBD617" s="559"/>
      <c r="PBE617" s="559"/>
      <c r="PBF617" s="559"/>
      <c r="PBG617" s="559"/>
      <c r="PBH617" s="559"/>
      <c r="PBI617" s="559"/>
      <c r="PBJ617" s="559"/>
      <c r="PBK617" s="559"/>
      <c r="PBL617" s="559"/>
      <c r="PBM617" s="559"/>
      <c r="PBN617" s="559"/>
      <c r="PBO617" s="559"/>
      <c r="PBP617" s="559"/>
      <c r="PBQ617" s="559"/>
      <c r="PBR617" s="559"/>
      <c r="PBS617" s="559"/>
      <c r="PBT617" s="559"/>
      <c r="PBU617" s="559"/>
      <c r="PBV617" s="559"/>
      <c r="PBW617" s="559"/>
      <c r="PBX617" s="559"/>
      <c r="PBY617" s="559"/>
      <c r="PBZ617" s="559"/>
      <c r="PCA617" s="559"/>
      <c r="PCB617" s="559"/>
      <c r="PCC617" s="559"/>
      <c r="PCD617" s="559"/>
      <c r="PCE617" s="559"/>
      <c r="PCF617" s="559"/>
      <c r="PCG617" s="559"/>
      <c r="PCH617" s="559"/>
      <c r="PCI617" s="559"/>
      <c r="PCJ617" s="559"/>
      <c r="PCK617" s="559"/>
      <c r="PCL617" s="559"/>
      <c r="PCM617" s="559"/>
      <c r="PCN617" s="559"/>
      <c r="PCO617" s="559"/>
      <c r="PCP617" s="559"/>
      <c r="PCQ617" s="559"/>
      <c r="PCR617" s="559"/>
      <c r="PCS617" s="559"/>
      <c r="PCT617" s="559"/>
      <c r="PCU617" s="559"/>
      <c r="PCV617" s="559"/>
      <c r="PCW617" s="559"/>
      <c r="PCX617" s="559"/>
      <c r="PCY617" s="559"/>
      <c r="PCZ617" s="559"/>
      <c r="PDA617" s="559"/>
      <c r="PDB617" s="559"/>
      <c r="PDC617" s="559"/>
      <c r="PDD617" s="559"/>
      <c r="PDE617" s="559"/>
      <c r="PDF617" s="559"/>
      <c r="PDG617" s="559"/>
      <c r="PDH617" s="559"/>
      <c r="PDI617" s="559"/>
      <c r="PDJ617" s="559"/>
      <c r="PDK617" s="559"/>
      <c r="PDL617" s="559"/>
      <c r="PDM617" s="559"/>
      <c r="PDN617" s="559"/>
      <c r="PDO617" s="559"/>
      <c r="PDP617" s="559"/>
      <c r="PDQ617" s="559"/>
      <c r="PDR617" s="559"/>
      <c r="PDS617" s="559"/>
      <c r="PDT617" s="559"/>
      <c r="PDU617" s="559"/>
      <c r="PDV617" s="559"/>
      <c r="PDW617" s="559"/>
      <c r="PDX617" s="559"/>
      <c r="PDY617" s="559"/>
      <c r="PDZ617" s="559"/>
      <c r="PEA617" s="559"/>
      <c r="PEB617" s="559"/>
      <c r="PEC617" s="559"/>
      <c r="PED617" s="559"/>
      <c r="PEE617" s="559"/>
      <c r="PEF617" s="559"/>
      <c r="PEG617" s="559"/>
      <c r="PEH617" s="559"/>
      <c r="PEI617" s="559"/>
      <c r="PEJ617" s="559"/>
      <c r="PEK617" s="559"/>
      <c r="PEL617" s="559"/>
      <c r="PEM617" s="559"/>
      <c r="PEN617" s="559"/>
      <c r="PEO617" s="559"/>
      <c r="PEP617" s="559"/>
      <c r="PEQ617" s="559"/>
      <c r="PER617" s="559"/>
      <c r="PES617" s="559"/>
      <c r="PET617" s="559"/>
      <c r="PEU617" s="559"/>
      <c r="PEV617" s="559"/>
      <c r="PEW617" s="559"/>
      <c r="PEX617" s="559"/>
      <c r="PEY617" s="559"/>
      <c r="PEZ617" s="559"/>
      <c r="PFA617" s="559"/>
      <c r="PFB617" s="559"/>
      <c r="PFC617" s="559"/>
      <c r="PFD617" s="559"/>
      <c r="PFE617" s="559"/>
      <c r="PFF617" s="559"/>
      <c r="PFG617" s="559"/>
      <c r="PFH617" s="559"/>
      <c r="PFI617" s="559"/>
      <c r="PFJ617" s="559"/>
      <c r="PFK617" s="559"/>
      <c r="PFL617" s="559"/>
      <c r="PFM617" s="559"/>
      <c r="PFN617" s="559"/>
      <c r="PFO617" s="559"/>
      <c r="PFP617" s="559"/>
      <c r="PFQ617" s="559"/>
      <c r="PFR617" s="559"/>
      <c r="PFS617" s="559"/>
      <c r="PFT617" s="559"/>
      <c r="PFU617" s="559"/>
      <c r="PFV617" s="559"/>
      <c r="PFW617" s="559"/>
      <c r="PFX617" s="559"/>
      <c r="PFY617" s="559"/>
      <c r="PFZ617" s="559"/>
      <c r="PGA617" s="559"/>
      <c r="PGB617" s="559"/>
      <c r="PGC617" s="559"/>
      <c r="PGD617" s="559"/>
      <c r="PGE617" s="559"/>
      <c r="PGF617" s="559"/>
      <c r="PGG617" s="559"/>
      <c r="PGH617" s="559"/>
      <c r="PGI617" s="559"/>
      <c r="PGJ617" s="559"/>
      <c r="PGK617" s="559"/>
      <c r="PGL617" s="559"/>
      <c r="PGM617" s="559"/>
      <c r="PGN617" s="559"/>
      <c r="PGO617" s="559"/>
      <c r="PGP617" s="559"/>
      <c r="PGQ617" s="559"/>
      <c r="PGR617" s="559"/>
      <c r="PGS617" s="559"/>
      <c r="PGT617" s="559"/>
      <c r="PGU617" s="559"/>
      <c r="PGV617" s="559"/>
      <c r="PGW617" s="559"/>
      <c r="PGX617" s="559"/>
      <c r="PGY617" s="559"/>
      <c r="PGZ617" s="559"/>
      <c r="PHA617" s="559"/>
      <c r="PHB617" s="559"/>
      <c r="PHC617" s="559"/>
      <c r="PHD617" s="559"/>
      <c r="PHE617" s="559"/>
      <c r="PHF617" s="559"/>
      <c r="PHG617" s="559"/>
      <c r="PHH617" s="559"/>
      <c r="PHI617" s="559"/>
      <c r="PHJ617" s="559"/>
      <c r="PHK617" s="559"/>
      <c r="PHL617" s="559"/>
      <c r="PHM617" s="559"/>
      <c r="PHN617" s="559"/>
      <c r="PHO617" s="559"/>
      <c r="PHP617" s="559"/>
      <c r="PHQ617" s="559"/>
      <c r="PHR617" s="559"/>
      <c r="PHS617" s="559"/>
      <c r="PHT617" s="559"/>
      <c r="PHU617" s="559"/>
      <c r="PHV617" s="559"/>
      <c r="PHW617" s="559"/>
      <c r="PHX617" s="559"/>
      <c r="PHY617" s="559"/>
      <c r="PHZ617" s="559"/>
      <c r="PIA617" s="559"/>
      <c r="PIB617" s="559"/>
      <c r="PIC617" s="559"/>
      <c r="PID617" s="559"/>
      <c r="PIE617" s="559"/>
      <c r="PIF617" s="559"/>
      <c r="PIG617" s="559"/>
      <c r="PIH617" s="559"/>
      <c r="PII617" s="559"/>
      <c r="PIJ617" s="559"/>
      <c r="PIK617" s="559"/>
      <c r="PIL617" s="559"/>
      <c r="PIM617" s="559"/>
      <c r="PIN617" s="559"/>
      <c r="PIO617" s="559"/>
      <c r="PIP617" s="559"/>
      <c r="PIQ617" s="559"/>
      <c r="PIR617" s="559"/>
      <c r="PIS617" s="559"/>
      <c r="PIT617" s="559"/>
      <c r="PIU617" s="559"/>
      <c r="PIV617" s="559"/>
      <c r="PIW617" s="559"/>
      <c r="PIX617" s="559"/>
      <c r="PIY617" s="559"/>
      <c r="PIZ617" s="559"/>
      <c r="PJA617" s="559"/>
      <c r="PJB617" s="559"/>
      <c r="PJC617" s="559"/>
      <c r="PJD617" s="559"/>
      <c r="PJE617" s="559"/>
      <c r="PJF617" s="559"/>
      <c r="PJG617" s="559"/>
      <c r="PJH617" s="559"/>
      <c r="PJI617" s="559"/>
      <c r="PJJ617" s="559"/>
      <c r="PJK617" s="559"/>
      <c r="PJL617" s="559"/>
      <c r="PJM617" s="559"/>
      <c r="PJN617" s="559"/>
      <c r="PJO617" s="559"/>
      <c r="PJP617" s="559"/>
      <c r="PJQ617" s="559"/>
      <c r="PJR617" s="559"/>
      <c r="PJS617" s="559"/>
      <c r="PJT617" s="559"/>
      <c r="PJU617" s="559"/>
      <c r="PJV617" s="559"/>
      <c r="PJW617" s="559"/>
      <c r="PJX617" s="559"/>
      <c r="PJY617" s="559"/>
      <c r="PJZ617" s="559"/>
      <c r="PKA617" s="559"/>
      <c r="PKB617" s="559"/>
      <c r="PKC617" s="559"/>
      <c r="PKD617" s="559"/>
      <c r="PKE617" s="559"/>
      <c r="PKF617" s="559"/>
      <c r="PKG617" s="559"/>
      <c r="PKH617" s="559"/>
      <c r="PKI617" s="559"/>
      <c r="PKJ617" s="559"/>
      <c r="PKK617" s="559"/>
      <c r="PKL617" s="559"/>
      <c r="PKM617" s="559"/>
      <c r="PKN617" s="559"/>
      <c r="PKO617" s="559"/>
      <c r="PKP617" s="559"/>
      <c r="PKQ617" s="559"/>
      <c r="PKR617" s="559"/>
      <c r="PKS617" s="559"/>
      <c r="PKT617" s="559"/>
      <c r="PKU617" s="559"/>
      <c r="PKV617" s="559"/>
      <c r="PKW617" s="559"/>
      <c r="PKX617" s="559"/>
      <c r="PKY617" s="559"/>
      <c r="PKZ617" s="559"/>
      <c r="PLA617" s="559"/>
      <c r="PLB617" s="559"/>
      <c r="PLC617" s="559"/>
      <c r="PLD617" s="559"/>
      <c r="PLE617" s="559"/>
      <c r="PLF617" s="559"/>
      <c r="PLG617" s="559"/>
      <c r="PLH617" s="559"/>
      <c r="PLI617" s="559"/>
      <c r="PLJ617" s="559"/>
      <c r="PLK617" s="559"/>
      <c r="PLL617" s="559"/>
      <c r="PLM617" s="559"/>
      <c r="PLN617" s="559"/>
      <c r="PLO617" s="559"/>
      <c r="PLP617" s="559"/>
      <c r="PLQ617" s="559"/>
      <c r="PLR617" s="559"/>
      <c r="PLS617" s="559"/>
      <c r="PLT617" s="559"/>
      <c r="PLU617" s="559"/>
      <c r="PLV617" s="559"/>
      <c r="PLW617" s="559"/>
      <c r="PLX617" s="559"/>
      <c r="PLY617" s="559"/>
      <c r="PLZ617" s="559"/>
      <c r="PMA617" s="559"/>
      <c r="PMB617" s="559"/>
      <c r="PMC617" s="559"/>
      <c r="PMD617" s="559"/>
      <c r="PME617" s="559"/>
      <c r="PMF617" s="559"/>
      <c r="PMG617" s="559"/>
      <c r="PMH617" s="559"/>
      <c r="PMI617" s="559"/>
      <c r="PMJ617" s="559"/>
      <c r="PMK617" s="559"/>
      <c r="PML617" s="559"/>
      <c r="PMM617" s="559"/>
      <c r="PMN617" s="559"/>
      <c r="PMO617" s="559"/>
      <c r="PMP617" s="559"/>
      <c r="PMQ617" s="559"/>
      <c r="PMR617" s="559"/>
      <c r="PMS617" s="559"/>
      <c r="PMT617" s="559"/>
      <c r="PMU617" s="559"/>
      <c r="PMV617" s="559"/>
      <c r="PMW617" s="559"/>
      <c r="PMX617" s="559"/>
      <c r="PMY617" s="559"/>
      <c r="PMZ617" s="559"/>
      <c r="PNA617" s="559"/>
      <c r="PNB617" s="559"/>
      <c r="PNC617" s="559"/>
      <c r="PND617" s="559"/>
      <c r="PNE617" s="559"/>
      <c r="PNF617" s="559"/>
      <c r="PNG617" s="559"/>
      <c r="PNH617" s="559"/>
      <c r="PNI617" s="559"/>
      <c r="PNJ617" s="559"/>
      <c r="PNK617" s="559"/>
      <c r="PNL617" s="559"/>
      <c r="PNM617" s="559"/>
      <c r="PNN617" s="559"/>
      <c r="PNO617" s="559"/>
      <c r="PNP617" s="559"/>
      <c r="PNQ617" s="559"/>
      <c r="PNR617" s="559"/>
      <c r="PNS617" s="559"/>
      <c r="PNT617" s="559"/>
      <c r="PNU617" s="559"/>
      <c r="PNV617" s="559"/>
      <c r="PNW617" s="559"/>
      <c r="PNX617" s="559"/>
      <c r="PNY617" s="559"/>
      <c r="PNZ617" s="559"/>
      <c r="POA617" s="559"/>
      <c r="POB617" s="559"/>
      <c r="POC617" s="559"/>
      <c r="POD617" s="559"/>
      <c r="POE617" s="559"/>
      <c r="POF617" s="559"/>
      <c r="POG617" s="559"/>
      <c r="POH617" s="559"/>
      <c r="POI617" s="559"/>
      <c r="POJ617" s="559"/>
      <c r="POK617" s="559"/>
      <c r="POL617" s="559"/>
      <c r="POM617" s="559"/>
      <c r="PON617" s="559"/>
      <c r="POO617" s="559"/>
      <c r="POP617" s="559"/>
      <c r="POQ617" s="559"/>
      <c r="POR617" s="559"/>
      <c r="POS617" s="559"/>
      <c r="POT617" s="559"/>
      <c r="POU617" s="559"/>
      <c r="POV617" s="559"/>
      <c r="POW617" s="559"/>
      <c r="POX617" s="559"/>
      <c r="POY617" s="559"/>
      <c r="POZ617" s="559"/>
      <c r="PPA617" s="559"/>
      <c r="PPB617" s="559"/>
      <c r="PPC617" s="559"/>
      <c r="PPD617" s="559"/>
      <c r="PPE617" s="559"/>
      <c r="PPF617" s="559"/>
      <c r="PPG617" s="559"/>
      <c r="PPH617" s="559"/>
      <c r="PPI617" s="559"/>
      <c r="PPJ617" s="559"/>
      <c r="PPK617" s="559"/>
      <c r="PPL617" s="559"/>
      <c r="PPM617" s="559"/>
      <c r="PPN617" s="559"/>
      <c r="PPO617" s="559"/>
      <c r="PPP617" s="559"/>
      <c r="PPQ617" s="559"/>
      <c r="PPR617" s="559"/>
      <c r="PPS617" s="559"/>
      <c r="PPT617" s="559"/>
      <c r="PPU617" s="559"/>
      <c r="PPV617" s="559"/>
      <c r="PPW617" s="559"/>
      <c r="PPX617" s="559"/>
      <c r="PPY617" s="559"/>
      <c r="PPZ617" s="559"/>
      <c r="PQA617" s="559"/>
      <c r="PQB617" s="559"/>
      <c r="PQC617" s="559"/>
      <c r="PQD617" s="559"/>
      <c r="PQE617" s="559"/>
      <c r="PQF617" s="559"/>
      <c r="PQG617" s="559"/>
      <c r="PQH617" s="559"/>
      <c r="PQI617" s="559"/>
      <c r="PQJ617" s="559"/>
      <c r="PQK617" s="559"/>
      <c r="PQL617" s="559"/>
      <c r="PQM617" s="559"/>
      <c r="PQN617" s="559"/>
      <c r="PQO617" s="559"/>
      <c r="PQP617" s="559"/>
      <c r="PQQ617" s="559"/>
      <c r="PQR617" s="559"/>
      <c r="PQS617" s="559"/>
      <c r="PQT617" s="559"/>
      <c r="PQU617" s="559"/>
      <c r="PQV617" s="559"/>
      <c r="PQW617" s="559"/>
      <c r="PQX617" s="559"/>
      <c r="PQY617" s="559"/>
      <c r="PQZ617" s="559"/>
      <c r="PRA617" s="559"/>
      <c r="PRB617" s="559"/>
      <c r="PRC617" s="559"/>
      <c r="PRD617" s="559"/>
      <c r="PRE617" s="559"/>
      <c r="PRF617" s="559"/>
      <c r="PRG617" s="559"/>
      <c r="PRH617" s="559"/>
      <c r="PRI617" s="559"/>
      <c r="PRJ617" s="559"/>
      <c r="PRK617" s="559"/>
      <c r="PRL617" s="559"/>
      <c r="PRM617" s="559"/>
      <c r="PRN617" s="559"/>
      <c r="PRO617" s="559"/>
      <c r="PRP617" s="559"/>
      <c r="PRQ617" s="559"/>
      <c r="PRR617" s="559"/>
      <c r="PRS617" s="559"/>
      <c r="PRT617" s="559"/>
      <c r="PRU617" s="559"/>
      <c r="PRV617" s="559"/>
      <c r="PRW617" s="559"/>
      <c r="PRX617" s="559"/>
      <c r="PRY617" s="559"/>
      <c r="PRZ617" s="559"/>
      <c r="PSA617" s="559"/>
      <c r="PSB617" s="559"/>
      <c r="PSC617" s="559"/>
      <c r="PSD617" s="559"/>
      <c r="PSE617" s="559"/>
      <c r="PSF617" s="559"/>
      <c r="PSG617" s="559"/>
      <c r="PSH617" s="559"/>
      <c r="PSI617" s="559"/>
      <c r="PSJ617" s="559"/>
      <c r="PSK617" s="559"/>
      <c r="PSL617" s="559"/>
      <c r="PSM617" s="559"/>
      <c r="PSN617" s="559"/>
      <c r="PSO617" s="559"/>
      <c r="PSP617" s="559"/>
      <c r="PSQ617" s="559"/>
      <c r="PSR617" s="559"/>
      <c r="PSS617" s="559"/>
      <c r="PST617" s="559"/>
      <c r="PSU617" s="559"/>
      <c r="PSV617" s="559"/>
      <c r="PSW617" s="559"/>
      <c r="PSX617" s="559"/>
      <c r="PSY617" s="559"/>
      <c r="PSZ617" s="559"/>
      <c r="PTA617" s="559"/>
      <c r="PTB617" s="559"/>
      <c r="PTC617" s="559"/>
      <c r="PTD617" s="559"/>
      <c r="PTE617" s="559"/>
      <c r="PTF617" s="559"/>
      <c r="PTG617" s="559"/>
      <c r="PTH617" s="559"/>
      <c r="PTI617" s="559"/>
      <c r="PTJ617" s="559"/>
      <c r="PTK617" s="559"/>
      <c r="PTL617" s="559"/>
      <c r="PTM617" s="559"/>
      <c r="PTN617" s="559"/>
      <c r="PTO617" s="559"/>
      <c r="PTP617" s="559"/>
      <c r="PTQ617" s="559"/>
      <c r="PTR617" s="559"/>
      <c r="PTS617" s="559"/>
      <c r="PTT617" s="559"/>
      <c r="PTU617" s="559"/>
      <c r="PTV617" s="559"/>
      <c r="PTW617" s="559"/>
      <c r="PTX617" s="559"/>
      <c r="PTY617" s="559"/>
      <c r="PTZ617" s="559"/>
      <c r="PUA617" s="559"/>
      <c r="PUB617" s="559"/>
      <c r="PUC617" s="559"/>
      <c r="PUD617" s="559"/>
      <c r="PUE617" s="559"/>
      <c r="PUF617" s="559"/>
      <c r="PUG617" s="559"/>
      <c r="PUH617" s="559"/>
      <c r="PUI617" s="559"/>
      <c r="PUJ617" s="559"/>
      <c r="PUK617" s="559"/>
      <c r="PUL617" s="559"/>
      <c r="PUM617" s="559"/>
      <c r="PUN617" s="559"/>
      <c r="PUO617" s="559"/>
      <c r="PUP617" s="559"/>
      <c r="PUQ617" s="559"/>
      <c r="PUR617" s="559"/>
      <c r="PUS617" s="559"/>
      <c r="PUT617" s="559"/>
      <c r="PUU617" s="559"/>
      <c r="PUV617" s="559"/>
      <c r="PUW617" s="559"/>
      <c r="PUX617" s="559"/>
      <c r="PUY617" s="559"/>
      <c r="PUZ617" s="559"/>
      <c r="PVA617" s="559"/>
      <c r="PVB617" s="559"/>
      <c r="PVC617" s="559"/>
      <c r="PVD617" s="559"/>
      <c r="PVE617" s="559"/>
      <c r="PVF617" s="559"/>
      <c r="PVG617" s="559"/>
      <c r="PVH617" s="559"/>
      <c r="PVI617" s="559"/>
      <c r="PVJ617" s="559"/>
      <c r="PVK617" s="559"/>
      <c r="PVL617" s="559"/>
      <c r="PVM617" s="559"/>
      <c r="PVN617" s="559"/>
      <c r="PVO617" s="559"/>
      <c r="PVP617" s="559"/>
      <c r="PVQ617" s="559"/>
      <c r="PVR617" s="559"/>
      <c r="PVS617" s="559"/>
      <c r="PVT617" s="559"/>
      <c r="PVU617" s="559"/>
      <c r="PVV617" s="559"/>
      <c r="PVW617" s="559"/>
      <c r="PVX617" s="559"/>
      <c r="PVY617" s="559"/>
      <c r="PVZ617" s="559"/>
      <c r="PWA617" s="559"/>
      <c r="PWB617" s="559"/>
      <c r="PWC617" s="559"/>
      <c r="PWD617" s="559"/>
      <c r="PWE617" s="559"/>
      <c r="PWF617" s="559"/>
      <c r="PWG617" s="559"/>
      <c r="PWH617" s="559"/>
      <c r="PWI617" s="559"/>
      <c r="PWJ617" s="559"/>
      <c r="PWK617" s="559"/>
      <c r="PWL617" s="559"/>
      <c r="PWM617" s="559"/>
      <c r="PWN617" s="559"/>
      <c r="PWO617" s="559"/>
      <c r="PWP617" s="559"/>
      <c r="PWQ617" s="559"/>
      <c r="PWR617" s="559"/>
      <c r="PWS617" s="559"/>
      <c r="PWT617" s="559"/>
      <c r="PWU617" s="559"/>
      <c r="PWV617" s="559"/>
      <c r="PWW617" s="559"/>
      <c r="PWX617" s="559"/>
      <c r="PWY617" s="559"/>
      <c r="PWZ617" s="559"/>
      <c r="PXA617" s="559"/>
      <c r="PXB617" s="559"/>
      <c r="PXC617" s="559"/>
      <c r="PXD617" s="559"/>
      <c r="PXE617" s="559"/>
      <c r="PXF617" s="559"/>
      <c r="PXG617" s="559"/>
      <c r="PXH617" s="559"/>
      <c r="PXI617" s="559"/>
      <c r="PXJ617" s="559"/>
      <c r="PXK617" s="559"/>
      <c r="PXL617" s="559"/>
      <c r="PXM617" s="559"/>
      <c r="PXN617" s="559"/>
      <c r="PXO617" s="559"/>
      <c r="PXP617" s="559"/>
      <c r="PXQ617" s="559"/>
      <c r="PXR617" s="559"/>
      <c r="PXS617" s="559"/>
      <c r="PXT617" s="559"/>
      <c r="PXU617" s="559"/>
      <c r="PXV617" s="559"/>
      <c r="PXW617" s="559"/>
      <c r="PXX617" s="559"/>
      <c r="PXY617" s="559"/>
      <c r="PXZ617" s="559"/>
      <c r="PYA617" s="559"/>
      <c r="PYB617" s="559"/>
      <c r="PYC617" s="559"/>
      <c r="PYD617" s="559"/>
      <c r="PYE617" s="559"/>
      <c r="PYF617" s="559"/>
      <c r="PYG617" s="559"/>
      <c r="PYH617" s="559"/>
      <c r="PYI617" s="559"/>
      <c r="PYJ617" s="559"/>
      <c r="PYK617" s="559"/>
      <c r="PYL617" s="559"/>
      <c r="PYM617" s="559"/>
      <c r="PYN617" s="559"/>
      <c r="PYO617" s="559"/>
      <c r="PYP617" s="559"/>
      <c r="PYQ617" s="559"/>
      <c r="PYR617" s="559"/>
      <c r="PYS617" s="559"/>
      <c r="PYT617" s="559"/>
      <c r="PYU617" s="559"/>
      <c r="PYV617" s="559"/>
      <c r="PYW617" s="559"/>
      <c r="PYX617" s="559"/>
      <c r="PYY617" s="559"/>
      <c r="PYZ617" s="559"/>
      <c r="PZA617" s="559"/>
      <c r="PZB617" s="559"/>
      <c r="PZC617" s="559"/>
      <c r="PZD617" s="559"/>
      <c r="PZE617" s="559"/>
      <c r="PZF617" s="559"/>
      <c r="PZG617" s="559"/>
      <c r="PZH617" s="559"/>
      <c r="PZI617" s="559"/>
      <c r="PZJ617" s="559"/>
      <c r="PZK617" s="559"/>
      <c r="PZL617" s="559"/>
      <c r="PZM617" s="559"/>
      <c r="PZN617" s="559"/>
      <c r="PZO617" s="559"/>
      <c r="PZP617" s="559"/>
      <c r="PZQ617" s="559"/>
      <c r="PZR617" s="559"/>
      <c r="PZS617" s="559"/>
      <c r="PZT617" s="559"/>
      <c r="PZU617" s="559"/>
      <c r="PZV617" s="559"/>
      <c r="PZW617" s="559"/>
      <c r="PZX617" s="559"/>
      <c r="PZY617" s="559"/>
      <c r="PZZ617" s="559"/>
      <c r="QAA617" s="559"/>
      <c r="QAB617" s="559"/>
      <c r="QAC617" s="559"/>
      <c r="QAD617" s="559"/>
      <c r="QAE617" s="559"/>
      <c r="QAF617" s="559"/>
      <c r="QAG617" s="559"/>
      <c r="QAH617" s="559"/>
      <c r="QAI617" s="559"/>
      <c r="QAJ617" s="559"/>
      <c r="QAK617" s="559"/>
      <c r="QAL617" s="559"/>
      <c r="QAM617" s="559"/>
      <c r="QAN617" s="559"/>
      <c r="QAO617" s="559"/>
      <c r="QAP617" s="559"/>
      <c r="QAQ617" s="559"/>
      <c r="QAR617" s="559"/>
      <c r="QAS617" s="559"/>
      <c r="QAT617" s="559"/>
      <c r="QAU617" s="559"/>
      <c r="QAV617" s="559"/>
      <c r="QAW617" s="559"/>
      <c r="QAX617" s="559"/>
      <c r="QAY617" s="559"/>
      <c r="QAZ617" s="559"/>
      <c r="QBA617" s="559"/>
      <c r="QBB617" s="559"/>
      <c r="QBC617" s="559"/>
      <c r="QBD617" s="559"/>
      <c r="QBE617" s="559"/>
      <c r="QBF617" s="559"/>
      <c r="QBG617" s="559"/>
      <c r="QBH617" s="559"/>
      <c r="QBI617" s="559"/>
      <c r="QBJ617" s="559"/>
      <c r="QBK617" s="559"/>
      <c r="QBL617" s="559"/>
      <c r="QBM617" s="559"/>
      <c r="QBN617" s="559"/>
      <c r="QBO617" s="559"/>
      <c r="QBP617" s="559"/>
      <c r="QBQ617" s="559"/>
      <c r="QBR617" s="559"/>
      <c r="QBS617" s="559"/>
      <c r="QBT617" s="559"/>
      <c r="QBU617" s="559"/>
      <c r="QBV617" s="559"/>
      <c r="QBW617" s="559"/>
      <c r="QBX617" s="559"/>
      <c r="QBY617" s="559"/>
      <c r="QBZ617" s="559"/>
      <c r="QCA617" s="559"/>
      <c r="QCB617" s="559"/>
      <c r="QCC617" s="559"/>
      <c r="QCD617" s="559"/>
      <c r="QCE617" s="559"/>
      <c r="QCF617" s="559"/>
      <c r="QCG617" s="559"/>
      <c r="QCH617" s="559"/>
      <c r="QCI617" s="559"/>
      <c r="QCJ617" s="559"/>
      <c r="QCK617" s="559"/>
      <c r="QCL617" s="559"/>
      <c r="QCM617" s="559"/>
      <c r="QCN617" s="559"/>
      <c r="QCO617" s="559"/>
      <c r="QCP617" s="559"/>
      <c r="QCQ617" s="559"/>
      <c r="QCR617" s="559"/>
      <c r="QCS617" s="559"/>
      <c r="QCT617" s="559"/>
      <c r="QCU617" s="559"/>
      <c r="QCV617" s="559"/>
      <c r="QCW617" s="559"/>
      <c r="QCX617" s="559"/>
      <c r="QCY617" s="559"/>
      <c r="QCZ617" s="559"/>
      <c r="QDA617" s="559"/>
      <c r="QDB617" s="559"/>
      <c r="QDC617" s="559"/>
      <c r="QDD617" s="559"/>
      <c r="QDE617" s="559"/>
      <c r="QDF617" s="559"/>
      <c r="QDG617" s="559"/>
      <c r="QDH617" s="559"/>
      <c r="QDI617" s="559"/>
      <c r="QDJ617" s="559"/>
      <c r="QDK617" s="559"/>
      <c r="QDL617" s="559"/>
      <c r="QDM617" s="559"/>
      <c r="QDN617" s="559"/>
      <c r="QDO617" s="559"/>
      <c r="QDP617" s="559"/>
      <c r="QDQ617" s="559"/>
      <c r="QDR617" s="559"/>
      <c r="QDS617" s="559"/>
      <c r="QDT617" s="559"/>
      <c r="QDU617" s="559"/>
      <c r="QDV617" s="559"/>
      <c r="QDW617" s="559"/>
      <c r="QDX617" s="559"/>
      <c r="QDY617" s="559"/>
      <c r="QDZ617" s="559"/>
      <c r="QEA617" s="559"/>
      <c r="QEB617" s="559"/>
      <c r="QEC617" s="559"/>
      <c r="QED617" s="559"/>
      <c r="QEE617" s="559"/>
      <c r="QEF617" s="559"/>
      <c r="QEG617" s="559"/>
      <c r="QEH617" s="559"/>
      <c r="QEI617" s="559"/>
      <c r="QEJ617" s="559"/>
      <c r="QEK617" s="559"/>
      <c r="QEL617" s="559"/>
      <c r="QEM617" s="559"/>
      <c r="QEN617" s="559"/>
      <c r="QEO617" s="559"/>
      <c r="QEP617" s="559"/>
      <c r="QEQ617" s="559"/>
      <c r="QER617" s="559"/>
      <c r="QES617" s="559"/>
      <c r="QET617" s="559"/>
      <c r="QEU617" s="559"/>
      <c r="QEV617" s="559"/>
      <c r="QEW617" s="559"/>
      <c r="QEX617" s="559"/>
      <c r="QEY617" s="559"/>
      <c r="QEZ617" s="559"/>
      <c r="QFA617" s="559"/>
      <c r="QFB617" s="559"/>
      <c r="QFC617" s="559"/>
      <c r="QFD617" s="559"/>
      <c r="QFE617" s="559"/>
      <c r="QFF617" s="559"/>
      <c r="QFG617" s="559"/>
      <c r="QFH617" s="559"/>
      <c r="QFI617" s="559"/>
      <c r="QFJ617" s="559"/>
      <c r="QFK617" s="559"/>
      <c r="QFL617" s="559"/>
      <c r="QFM617" s="559"/>
      <c r="QFN617" s="559"/>
      <c r="QFO617" s="559"/>
      <c r="QFP617" s="559"/>
      <c r="QFQ617" s="559"/>
      <c r="QFR617" s="559"/>
      <c r="QFS617" s="559"/>
      <c r="QFT617" s="559"/>
      <c r="QFU617" s="559"/>
      <c r="QFV617" s="559"/>
      <c r="QFW617" s="559"/>
      <c r="QFX617" s="559"/>
      <c r="QFY617" s="559"/>
      <c r="QFZ617" s="559"/>
      <c r="QGA617" s="559"/>
      <c r="QGB617" s="559"/>
      <c r="QGC617" s="559"/>
      <c r="QGD617" s="559"/>
      <c r="QGE617" s="559"/>
      <c r="QGF617" s="559"/>
      <c r="QGG617" s="559"/>
      <c r="QGH617" s="559"/>
      <c r="QGI617" s="559"/>
      <c r="QGJ617" s="559"/>
      <c r="QGK617" s="559"/>
      <c r="QGL617" s="559"/>
      <c r="QGM617" s="559"/>
      <c r="QGN617" s="559"/>
      <c r="QGO617" s="559"/>
      <c r="QGP617" s="559"/>
      <c r="QGQ617" s="559"/>
      <c r="QGR617" s="559"/>
      <c r="QGS617" s="559"/>
      <c r="QGT617" s="559"/>
      <c r="QGU617" s="559"/>
      <c r="QGV617" s="559"/>
      <c r="QGW617" s="559"/>
      <c r="QGX617" s="559"/>
      <c r="QGY617" s="559"/>
      <c r="QGZ617" s="559"/>
      <c r="QHA617" s="559"/>
      <c r="QHB617" s="559"/>
      <c r="QHC617" s="559"/>
      <c r="QHD617" s="559"/>
      <c r="QHE617" s="559"/>
      <c r="QHF617" s="559"/>
      <c r="QHG617" s="559"/>
      <c r="QHH617" s="559"/>
      <c r="QHI617" s="559"/>
      <c r="QHJ617" s="559"/>
      <c r="QHK617" s="559"/>
      <c r="QHL617" s="559"/>
      <c r="QHM617" s="559"/>
      <c r="QHN617" s="559"/>
      <c r="QHO617" s="559"/>
      <c r="QHP617" s="559"/>
      <c r="QHQ617" s="559"/>
      <c r="QHR617" s="559"/>
      <c r="QHS617" s="559"/>
      <c r="QHT617" s="559"/>
      <c r="QHU617" s="559"/>
      <c r="QHV617" s="559"/>
      <c r="QHW617" s="559"/>
      <c r="QHX617" s="559"/>
      <c r="QHY617" s="559"/>
      <c r="QHZ617" s="559"/>
      <c r="QIA617" s="559"/>
      <c r="QIB617" s="559"/>
      <c r="QIC617" s="559"/>
      <c r="QID617" s="559"/>
      <c r="QIE617" s="559"/>
      <c r="QIF617" s="559"/>
      <c r="QIG617" s="559"/>
      <c r="QIH617" s="559"/>
      <c r="QII617" s="559"/>
      <c r="QIJ617" s="559"/>
      <c r="QIK617" s="559"/>
      <c r="QIL617" s="559"/>
      <c r="QIM617" s="559"/>
      <c r="QIN617" s="559"/>
      <c r="QIO617" s="559"/>
      <c r="QIP617" s="559"/>
      <c r="QIQ617" s="559"/>
      <c r="QIR617" s="559"/>
      <c r="QIS617" s="559"/>
      <c r="QIT617" s="559"/>
      <c r="QIU617" s="559"/>
      <c r="QIV617" s="559"/>
      <c r="QIW617" s="559"/>
      <c r="QIX617" s="559"/>
      <c r="QIY617" s="559"/>
      <c r="QIZ617" s="559"/>
      <c r="QJA617" s="559"/>
      <c r="QJB617" s="559"/>
      <c r="QJC617" s="559"/>
      <c r="QJD617" s="559"/>
      <c r="QJE617" s="559"/>
      <c r="QJF617" s="559"/>
      <c r="QJG617" s="559"/>
      <c r="QJH617" s="559"/>
      <c r="QJI617" s="559"/>
      <c r="QJJ617" s="559"/>
      <c r="QJK617" s="559"/>
      <c r="QJL617" s="559"/>
      <c r="QJM617" s="559"/>
      <c r="QJN617" s="559"/>
      <c r="QJO617" s="559"/>
      <c r="QJP617" s="559"/>
      <c r="QJQ617" s="559"/>
      <c r="QJR617" s="559"/>
      <c r="QJS617" s="559"/>
      <c r="QJT617" s="559"/>
      <c r="QJU617" s="559"/>
      <c r="QJV617" s="559"/>
      <c r="QJW617" s="559"/>
      <c r="QJX617" s="559"/>
      <c r="QJY617" s="559"/>
      <c r="QJZ617" s="559"/>
      <c r="QKA617" s="559"/>
      <c r="QKB617" s="559"/>
      <c r="QKC617" s="559"/>
      <c r="QKD617" s="559"/>
      <c r="QKE617" s="559"/>
      <c r="QKF617" s="559"/>
      <c r="QKG617" s="559"/>
      <c r="QKH617" s="559"/>
      <c r="QKI617" s="559"/>
      <c r="QKJ617" s="559"/>
      <c r="QKK617" s="559"/>
      <c r="QKL617" s="559"/>
      <c r="QKM617" s="559"/>
      <c r="QKN617" s="559"/>
      <c r="QKO617" s="559"/>
      <c r="QKP617" s="559"/>
      <c r="QKQ617" s="559"/>
      <c r="QKR617" s="559"/>
      <c r="QKS617" s="559"/>
      <c r="QKT617" s="559"/>
      <c r="QKU617" s="559"/>
      <c r="QKV617" s="559"/>
      <c r="QKW617" s="559"/>
      <c r="QKX617" s="559"/>
      <c r="QKY617" s="559"/>
      <c r="QKZ617" s="559"/>
      <c r="QLA617" s="559"/>
      <c r="QLB617" s="559"/>
      <c r="QLC617" s="559"/>
      <c r="QLD617" s="559"/>
      <c r="QLE617" s="559"/>
      <c r="QLF617" s="559"/>
      <c r="QLG617" s="559"/>
      <c r="QLH617" s="559"/>
      <c r="QLI617" s="559"/>
      <c r="QLJ617" s="559"/>
      <c r="QLK617" s="559"/>
      <c r="QLL617" s="559"/>
      <c r="QLM617" s="559"/>
      <c r="QLN617" s="559"/>
      <c r="QLO617" s="559"/>
      <c r="QLP617" s="559"/>
      <c r="QLQ617" s="559"/>
      <c r="QLR617" s="559"/>
      <c r="QLS617" s="559"/>
      <c r="QLT617" s="559"/>
      <c r="QLU617" s="559"/>
      <c r="QLV617" s="559"/>
      <c r="QLW617" s="559"/>
      <c r="QLX617" s="559"/>
      <c r="QLY617" s="559"/>
      <c r="QLZ617" s="559"/>
      <c r="QMA617" s="559"/>
      <c r="QMB617" s="559"/>
      <c r="QMC617" s="559"/>
      <c r="QMD617" s="559"/>
      <c r="QME617" s="559"/>
      <c r="QMF617" s="559"/>
      <c r="QMG617" s="559"/>
      <c r="QMH617" s="559"/>
      <c r="QMI617" s="559"/>
      <c r="QMJ617" s="559"/>
      <c r="QMK617" s="559"/>
      <c r="QML617" s="559"/>
      <c r="QMM617" s="559"/>
      <c r="QMN617" s="559"/>
      <c r="QMO617" s="559"/>
      <c r="QMP617" s="559"/>
      <c r="QMQ617" s="559"/>
      <c r="QMR617" s="559"/>
      <c r="QMS617" s="559"/>
      <c r="QMT617" s="559"/>
      <c r="QMU617" s="559"/>
      <c r="QMV617" s="559"/>
      <c r="QMW617" s="559"/>
      <c r="QMX617" s="559"/>
      <c r="QMY617" s="559"/>
      <c r="QMZ617" s="559"/>
      <c r="QNA617" s="559"/>
      <c r="QNB617" s="559"/>
      <c r="QNC617" s="559"/>
      <c r="QND617" s="559"/>
      <c r="QNE617" s="559"/>
      <c r="QNF617" s="559"/>
      <c r="QNG617" s="559"/>
      <c r="QNH617" s="559"/>
      <c r="QNI617" s="559"/>
      <c r="QNJ617" s="559"/>
      <c r="QNK617" s="559"/>
      <c r="QNL617" s="559"/>
      <c r="QNM617" s="559"/>
      <c r="QNN617" s="559"/>
      <c r="QNO617" s="559"/>
      <c r="QNP617" s="559"/>
      <c r="QNQ617" s="559"/>
      <c r="QNR617" s="559"/>
      <c r="QNS617" s="559"/>
      <c r="QNT617" s="559"/>
      <c r="QNU617" s="559"/>
      <c r="QNV617" s="559"/>
      <c r="QNW617" s="559"/>
      <c r="QNX617" s="559"/>
      <c r="QNY617" s="559"/>
      <c r="QNZ617" s="559"/>
      <c r="QOA617" s="559"/>
      <c r="QOB617" s="559"/>
      <c r="QOC617" s="559"/>
      <c r="QOD617" s="559"/>
      <c r="QOE617" s="559"/>
      <c r="QOF617" s="559"/>
      <c r="QOG617" s="559"/>
      <c r="QOH617" s="559"/>
      <c r="QOI617" s="559"/>
      <c r="QOJ617" s="559"/>
      <c r="QOK617" s="559"/>
      <c r="QOL617" s="559"/>
      <c r="QOM617" s="559"/>
      <c r="QON617" s="559"/>
      <c r="QOO617" s="559"/>
      <c r="QOP617" s="559"/>
      <c r="QOQ617" s="559"/>
      <c r="QOR617" s="559"/>
      <c r="QOS617" s="559"/>
      <c r="QOT617" s="559"/>
      <c r="QOU617" s="559"/>
      <c r="QOV617" s="559"/>
      <c r="QOW617" s="559"/>
      <c r="QOX617" s="559"/>
      <c r="QOY617" s="559"/>
      <c r="QOZ617" s="559"/>
      <c r="QPA617" s="559"/>
      <c r="QPB617" s="559"/>
      <c r="QPC617" s="559"/>
      <c r="QPD617" s="559"/>
      <c r="QPE617" s="559"/>
      <c r="QPF617" s="559"/>
      <c r="QPG617" s="559"/>
      <c r="QPH617" s="559"/>
      <c r="QPI617" s="559"/>
      <c r="QPJ617" s="559"/>
      <c r="QPK617" s="559"/>
      <c r="QPL617" s="559"/>
      <c r="QPM617" s="559"/>
      <c r="QPN617" s="559"/>
      <c r="QPO617" s="559"/>
      <c r="QPP617" s="559"/>
      <c r="QPQ617" s="559"/>
      <c r="QPR617" s="559"/>
      <c r="QPS617" s="559"/>
      <c r="QPT617" s="559"/>
      <c r="QPU617" s="559"/>
      <c r="QPV617" s="559"/>
      <c r="QPW617" s="559"/>
      <c r="QPX617" s="559"/>
      <c r="QPY617" s="559"/>
      <c r="QPZ617" s="559"/>
      <c r="QQA617" s="559"/>
      <c r="QQB617" s="559"/>
      <c r="QQC617" s="559"/>
      <c r="QQD617" s="559"/>
      <c r="QQE617" s="559"/>
      <c r="QQF617" s="559"/>
      <c r="QQG617" s="559"/>
      <c r="QQH617" s="559"/>
      <c r="QQI617" s="559"/>
      <c r="QQJ617" s="559"/>
      <c r="QQK617" s="559"/>
      <c r="QQL617" s="559"/>
      <c r="QQM617" s="559"/>
      <c r="QQN617" s="559"/>
      <c r="QQO617" s="559"/>
      <c r="QQP617" s="559"/>
      <c r="QQQ617" s="559"/>
      <c r="QQR617" s="559"/>
      <c r="QQS617" s="559"/>
      <c r="QQT617" s="559"/>
      <c r="QQU617" s="559"/>
      <c r="QQV617" s="559"/>
      <c r="QQW617" s="559"/>
      <c r="QQX617" s="559"/>
      <c r="QQY617" s="559"/>
      <c r="QQZ617" s="559"/>
      <c r="QRA617" s="559"/>
      <c r="QRB617" s="559"/>
      <c r="QRC617" s="559"/>
      <c r="QRD617" s="559"/>
      <c r="QRE617" s="559"/>
      <c r="QRF617" s="559"/>
      <c r="QRG617" s="559"/>
      <c r="QRH617" s="559"/>
      <c r="QRI617" s="559"/>
      <c r="QRJ617" s="559"/>
      <c r="QRK617" s="559"/>
      <c r="QRL617" s="559"/>
      <c r="QRM617" s="559"/>
      <c r="QRN617" s="559"/>
      <c r="QRO617" s="559"/>
      <c r="QRP617" s="559"/>
      <c r="QRQ617" s="559"/>
      <c r="QRR617" s="559"/>
      <c r="QRS617" s="559"/>
      <c r="QRT617" s="559"/>
      <c r="QRU617" s="559"/>
      <c r="QRV617" s="559"/>
      <c r="QRW617" s="559"/>
      <c r="QRX617" s="559"/>
      <c r="QRY617" s="559"/>
      <c r="QRZ617" s="559"/>
      <c r="QSA617" s="559"/>
      <c r="QSB617" s="559"/>
      <c r="QSC617" s="559"/>
      <c r="QSD617" s="559"/>
      <c r="QSE617" s="559"/>
      <c r="QSF617" s="559"/>
      <c r="QSG617" s="559"/>
      <c r="QSH617" s="559"/>
      <c r="QSI617" s="559"/>
      <c r="QSJ617" s="559"/>
      <c r="QSK617" s="559"/>
      <c r="QSL617" s="559"/>
      <c r="QSM617" s="559"/>
      <c r="QSN617" s="559"/>
      <c r="QSO617" s="559"/>
      <c r="QSP617" s="559"/>
      <c r="QSQ617" s="559"/>
      <c r="QSR617" s="559"/>
      <c r="QSS617" s="559"/>
      <c r="QST617" s="559"/>
      <c r="QSU617" s="559"/>
      <c r="QSV617" s="559"/>
      <c r="QSW617" s="559"/>
      <c r="QSX617" s="559"/>
      <c r="QSY617" s="559"/>
      <c r="QSZ617" s="559"/>
      <c r="QTA617" s="559"/>
      <c r="QTB617" s="559"/>
      <c r="QTC617" s="559"/>
      <c r="QTD617" s="559"/>
      <c r="QTE617" s="559"/>
      <c r="QTF617" s="559"/>
      <c r="QTG617" s="559"/>
      <c r="QTH617" s="559"/>
      <c r="QTI617" s="559"/>
      <c r="QTJ617" s="559"/>
      <c r="QTK617" s="559"/>
      <c r="QTL617" s="559"/>
      <c r="QTM617" s="559"/>
      <c r="QTN617" s="559"/>
      <c r="QTO617" s="559"/>
      <c r="QTP617" s="559"/>
      <c r="QTQ617" s="559"/>
      <c r="QTR617" s="559"/>
      <c r="QTS617" s="559"/>
      <c r="QTT617" s="559"/>
      <c r="QTU617" s="559"/>
      <c r="QTV617" s="559"/>
      <c r="QTW617" s="559"/>
      <c r="QTX617" s="559"/>
      <c r="QTY617" s="559"/>
      <c r="QTZ617" s="559"/>
      <c r="QUA617" s="559"/>
      <c r="QUB617" s="559"/>
      <c r="QUC617" s="559"/>
      <c r="QUD617" s="559"/>
      <c r="QUE617" s="559"/>
      <c r="QUF617" s="559"/>
      <c r="QUG617" s="559"/>
      <c r="QUH617" s="559"/>
      <c r="QUI617" s="559"/>
      <c r="QUJ617" s="559"/>
      <c r="QUK617" s="559"/>
      <c r="QUL617" s="559"/>
      <c r="QUM617" s="559"/>
      <c r="QUN617" s="559"/>
      <c r="QUO617" s="559"/>
      <c r="QUP617" s="559"/>
      <c r="QUQ617" s="559"/>
      <c r="QUR617" s="559"/>
      <c r="QUS617" s="559"/>
      <c r="QUT617" s="559"/>
      <c r="QUU617" s="559"/>
      <c r="QUV617" s="559"/>
      <c r="QUW617" s="559"/>
      <c r="QUX617" s="559"/>
      <c r="QUY617" s="559"/>
      <c r="QUZ617" s="559"/>
      <c r="QVA617" s="559"/>
      <c r="QVB617" s="559"/>
      <c r="QVC617" s="559"/>
      <c r="QVD617" s="559"/>
      <c r="QVE617" s="559"/>
      <c r="QVF617" s="559"/>
      <c r="QVG617" s="559"/>
      <c r="QVH617" s="559"/>
      <c r="QVI617" s="559"/>
      <c r="QVJ617" s="559"/>
      <c r="QVK617" s="559"/>
      <c r="QVL617" s="559"/>
      <c r="QVM617" s="559"/>
      <c r="QVN617" s="559"/>
      <c r="QVO617" s="559"/>
      <c r="QVP617" s="559"/>
      <c r="QVQ617" s="559"/>
      <c r="QVR617" s="559"/>
      <c r="QVS617" s="559"/>
      <c r="QVT617" s="559"/>
      <c r="QVU617" s="559"/>
      <c r="QVV617" s="559"/>
      <c r="QVW617" s="559"/>
      <c r="QVX617" s="559"/>
      <c r="QVY617" s="559"/>
      <c r="QVZ617" s="559"/>
      <c r="QWA617" s="559"/>
      <c r="QWB617" s="559"/>
      <c r="QWC617" s="559"/>
      <c r="QWD617" s="559"/>
      <c r="QWE617" s="559"/>
      <c r="QWF617" s="559"/>
      <c r="QWG617" s="559"/>
      <c r="QWH617" s="559"/>
      <c r="QWI617" s="559"/>
      <c r="QWJ617" s="559"/>
      <c r="QWK617" s="559"/>
      <c r="QWL617" s="559"/>
      <c r="QWM617" s="559"/>
      <c r="QWN617" s="559"/>
      <c r="QWO617" s="559"/>
      <c r="QWP617" s="559"/>
      <c r="QWQ617" s="559"/>
      <c r="QWR617" s="559"/>
      <c r="QWS617" s="559"/>
      <c r="QWT617" s="559"/>
      <c r="QWU617" s="559"/>
      <c r="QWV617" s="559"/>
      <c r="QWW617" s="559"/>
      <c r="QWX617" s="559"/>
      <c r="QWY617" s="559"/>
      <c r="QWZ617" s="559"/>
      <c r="QXA617" s="559"/>
      <c r="QXB617" s="559"/>
      <c r="QXC617" s="559"/>
      <c r="QXD617" s="559"/>
      <c r="QXE617" s="559"/>
      <c r="QXF617" s="559"/>
      <c r="QXG617" s="559"/>
      <c r="QXH617" s="559"/>
      <c r="QXI617" s="559"/>
      <c r="QXJ617" s="559"/>
      <c r="QXK617" s="559"/>
      <c r="QXL617" s="559"/>
      <c r="QXM617" s="559"/>
      <c r="QXN617" s="559"/>
      <c r="QXO617" s="559"/>
      <c r="QXP617" s="559"/>
      <c r="QXQ617" s="559"/>
      <c r="QXR617" s="559"/>
      <c r="QXS617" s="559"/>
      <c r="QXT617" s="559"/>
      <c r="QXU617" s="559"/>
      <c r="QXV617" s="559"/>
      <c r="QXW617" s="559"/>
      <c r="QXX617" s="559"/>
      <c r="QXY617" s="559"/>
      <c r="QXZ617" s="559"/>
      <c r="QYA617" s="559"/>
      <c r="QYB617" s="559"/>
      <c r="QYC617" s="559"/>
      <c r="QYD617" s="559"/>
      <c r="QYE617" s="559"/>
      <c r="QYF617" s="559"/>
      <c r="QYG617" s="559"/>
      <c r="QYH617" s="559"/>
      <c r="QYI617" s="559"/>
      <c r="QYJ617" s="559"/>
      <c r="QYK617" s="559"/>
      <c r="QYL617" s="559"/>
      <c r="QYM617" s="559"/>
      <c r="QYN617" s="559"/>
      <c r="QYO617" s="559"/>
      <c r="QYP617" s="559"/>
      <c r="QYQ617" s="559"/>
      <c r="QYR617" s="559"/>
      <c r="QYS617" s="559"/>
      <c r="QYT617" s="559"/>
      <c r="QYU617" s="559"/>
      <c r="QYV617" s="559"/>
      <c r="QYW617" s="559"/>
      <c r="QYX617" s="559"/>
      <c r="QYY617" s="559"/>
      <c r="QYZ617" s="559"/>
      <c r="QZA617" s="559"/>
      <c r="QZB617" s="559"/>
      <c r="QZC617" s="559"/>
      <c r="QZD617" s="559"/>
      <c r="QZE617" s="559"/>
      <c r="QZF617" s="559"/>
      <c r="QZG617" s="559"/>
      <c r="QZH617" s="559"/>
      <c r="QZI617" s="559"/>
      <c r="QZJ617" s="559"/>
      <c r="QZK617" s="559"/>
      <c r="QZL617" s="559"/>
      <c r="QZM617" s="559"/>
      <c r="QZN617" s="559"/>
      <c r="QZO617" s="559"/>
      <c r="QZP617" s="559"/>
      <c r="QZQ617" s="559"/>
      <c r="QZR617" s="559"/>
      <c r="QZS617" s="559"/>
      <c r="QZT617" s="559"/>
      <c r="QZU617" s="559"/>
      <c r="QZV617" s="559"/>
      <c r="QZW617" s="559"/>
      <c r="QZX617" s="559"/>
      <c r="QZY617" s="559"/>
      <c r="QZZ617" s="559"/>
      <c r="RAA617" s="559"/>
      <c r="RAB617" s="559"/>
      <c r="RAC617" s="559"/>
      <c r="RAD617" s="559"/>
      <c r="RAE617" s="559"/>
      <c r="RAF617" s="559"/>
      <c r="RAG617" s="559"/>
      <c r="RAH617" s="559"/>
      <c r="RAI617" s="559"/>
      <c r="RAJ617" s="559"/>
      <c r="RAK617" s="559"/>
      <c r="RAL617" s="559"/>
      <c r="RAM617" s="559"/>
      <c r="RAN617" s="559"/>
      <c r="RAO617" s="559"/>
      <c r="RAP617" s="559"/>
      <c r="RAQ617" s="559"/>
      <c r="RAR617" s="559"/>
      <c r="RAS617" s="559"/>
      <c r="RAT617" s="559"/>
      <c r="RAU617" s="559"/>
      <c r="RAV617" s="559"/>
      <c r="RAW617" s="559"/>
      <c r="RAX617" s="559"/>
      <c r="RAY617" s="559"/>
      <c r="RAZ617" s="559"/>
      <c r="RBA617" s="559"/>
      <c r="RBB617" s="559"/>
      <c r="RBC617" s="559"/>
      <c r="RBD617" s="559"/>
      <c r="RBE617" s="559"/>
      <c r="RBF617" s="559"/>
      <c r="RBG617" s="559"/>
      <c r="RBH617" s="559"/>
      <c r="RBI617" s="559"/>
      <c r="RBJ617" s="559"/>
      <c r="RBK617" s="559"/>
      <c r="RBL617" s="559"/>
      <c r="RBM617" s="559"/>
      <c r="RBN617" s="559"/>
      <c r="RBO617" s="559"/>
      <c r="RBP617" s="559"/>
      <c r="RBQ617" s="559"/>
      <c r="RBR617" s="559"/>
      <c r="RBS617" s="559"/>
      <c r="RBT617" s="559"/>
      <c r="RBU617" s="559"/>
      <c r="RBV617" s="559"/>
      <c r="RBW617" s="559"/>
      <c r="RBX617" s="559"/>
      <c r="RBY617" s="559"/>
      <c r="RBZ617" s="559"/>
      <c r="RCA617" s="559"/>
      <c r="RCB617" s="559"/>
      <c r="RCC617" s="559"/>
      <c r="RCD617" s="559"/>
      <c r="RCE617" s="559"/>
      <c r="RCF617" s="559"/>
      <c r="RCG617" s="559"/>
      <c r="RCH617" s="559"/>
      <c r="RCI617" s="559"/>
      <c r="RCJ617" s="559"/>
      <c r="RCK617" s="559"/>
      <c r="RCL617" s="559"/>
      <c r="RCM617" s="559"/>
      <c r="RCN617" s="559"/>
      <c r="RCO617" s="559"/>
      <c r="RCP617" s="559"/>
      <c r="RCQ617" s="559"/>
      <c r="RCR617" s="559"/>
      <c r="RCS617" s="559"/>
      <c r="RCT617" s="559"/>
      <c r="RCU617" s="559"/>
      <c r="RCV617" s="559"/>
      <c r="RCW617" s="559"/>
      <c r="RCX617" s="559"/>
      <c r="RCY617" s="559"/>
      <c r="RCZ617" s="559"/>
      <c r="RDA617" s="559"/>
      <c r="RDB617" s="559"/>
      <c r="RDC617" s="559"/>
      <c r="RDD617" s="559"/>
      <c r="RDE617" s="559"/>
      <c r="RDF617" s="559"/>
      <c r="RDG617" s="559"/>
      <c r="RDH617" s="559"/>
      <c r="RDI617" s="559"/>
      <c r="RDJ617" s="559"/>
      <c r="RDK617" s="559"/>
      <c r="RDL617" s="559"/>
      <c r="RDM617" s="559"/>
      <c r="RDN617" s="559"/>
      <c r="RDO617" s="559"/>
      <c r="RDP617" s="559"/>
      <c r="RDQ617" s="559"/>
      <c r="RDR617" s="559"/>
      <c r="RDS617" s="559"/>
      <c r="RDT617" s="559"/>
      <c r="RDU617" s="559"/>
      <c r="RDV617" s="559"/>
      <c r="RDW617" s="559"/>
      <c r="RDX617" s="559"/>
      <c r="RDY617" s="559"/>
      <c r="RDZ617" s="559"/>
      <c r="REA617" s="559"/>
      <c r="REB617" s="559"/>
      <c r="REC617" s="559"/>
      <c r="RED617" s="559"/>
      <c r="REE617" s="559"/>
      <c r="REF617" s="559"/>
      <c r="REG617" s="559"/>
      <c r="REH617" s="559"/>
      <c r="REI617" s="559"/>
      <c r="REJ617" s="559"/>
      <c r="REK617" s="559"/>
      <c r="REL617" s="559"/>
      <c r="REM617" s="559"/>
      <c r="REN617" s="559"/>
      <c r="REO617" s="559"/>
      <c r="REP617" s="559"/>
      <c r="REQ617" s="559"/>
      <c r="RER617" s="559"/>
      <c r="RES617" s="559"/>
      <c r="RET617" s="559"/>
      <c r="REU617" s="559"/>
      <c r="REV617" s="559"/>
      <c r="REW617" s="559"/>
      <c r="REX617" s="559"/>
      <c r="REY617" s="559"/>
      <c r="REZ617" s="559"/>
      <c r="RFA617" s="559"/>
      <c r="RFB617" s="559"/>
      <c r="RFC617" s="559"/>
      <c r="RFD617" s="559"/>
      <c r="RFE617" s="559"/>
      <c r="RFF617" s="559"/>
      <c r="RFG617" s="559"/>
      <c r="RFH617" s="559"/>
      <c r="RFI617" s="559"/>
      <c r="RFJ617" s="559"/>
      <c r="RFK617" s="559"/>
      <c r="RFL617" s="559"/>
      <c r="RFM617" s="559"/>
      <c r="RFN617" s="559"/>
      <c r="RFO617" s="559"/>
      <c r="RFP617" s="559"/>
      <c r="RFQ617" s="559"/>
      <c r="RFR617" s="559"/>
      <c r="RFS617" s="559"/>
      <c r="RFT617" s="559"/>
      <c r="RFU617" s="559"/>
      <c r="RFV617" s="559"/>
      <c r="RFW617" s="559"/>
      <c r="RFX617" s="559"/>
      <c r="RFY617" s="559"/>
      <c r="RFZ617" s="559"/>
      <c r="RGA617" s="559"/>
      <c r="RGB617" s="559"/>
      <c r="RGC617" s="559"/>
      <c r="RGD617" s="559"/>
      <c r="RGE617" s="559"/>
      <c r="RGF617" s="559"/>
      <c r="RGG617" s="559"/>
      <c r="RGH617" s="559"/>
      <c r="RGI617" s="559"/>
      <c r="RGJ617" s="559"/>
      <c r="RGK617" s="559"/>
      <c r="RGL617" s="559"/>
      <c r="RGM617" s="559"/>
      <c r="RGN617" s="559"/>
      <c r="RGO617" s="559"/>
      <c r="RGP617" s="559"/>
      <c r="RGQ617" s="559"/>
      <c r="RGR617" s="559"/>
      <c r="RGS617" s="559"/>
      <c r="RGT617" s="559"/>
      <c r="RGU617" s="559"/>
      <c r="RGV617" s="559"/>
      <c r="RGW617" s="559"/>
      <c r="RGX617" s="559"/>
      <c r="RGY617" s="559"/>
      <c r="RGZ617" s="559"/>
      <c r="RHA617" s="559"/>
      <c r="RHB617" s="559"/>
      <c r="RHC617" s="559"/>
      <c r="RHD617" s="559"/>
      <c r="RHE617" s="559"/>
      <c r="RHF617" s="559"/>
      <c r="RHG617" s="559"/>
      <c r="RHH617" s="559"/>
      <c r="RHI617" s="559"/>
      <c r="RHJ617" s="559"/>
      <c r="RHK617" s="559"/>
      <c r="RHL617" s="559"/>
      <c r="RHM617" s="559"/>
      <c r="RHN617" s="559"/>
      <c r="RHO617" s="559"/>
      <c r="RHP617" s="559"/>
      <c r="RHQ617" s="559"/>
      <c r="RHR617" s="559"/>
      <c r="RHS617" s="559"/>
      <c r="RHT617" s="559"/>
      <c r="RHU617" s="559"/>
      <c r="RHV617" s="559"/>
      <c r="RHW617" s="559"/>
      <c r="RHX617" s="559"/>
      <c r="RHY617" s="559"/>
      <c r="RHZ617" s="559"/>
      <c r="RIA617" s="559"/>
      <c r="RIB617" s="559"/>
      <c r="RIC617" s="559"/>
      <c r="RID617" s="559"/>
      <c r="RIE617" s="559"/>
      <c r="RIF617" s="559"/>
      <c r="RIG617" s="559"/>
      <c r="RIH617" s="559"/>
      <c r="RII617" s="559"/>
      <c r="RIJ617" s="559"/>
      <c r="RIK617" s="559"/>
      <c r="RIL617" s="559"/>
      <c r="RIM617" s="559"/>
      <c r="RIN617" s="559"/>
      <c r="RIO617" s="559"/>
      <c r="RIP617" s="559"/>
      <c r="RIQ617" s="559"/>
      <c r="RIR617" s="559"/>
      <c r="RIS617" s="559"/>
      <c r="RIT617" s="559"/>
      <c r="RIU617" s="559"/>
      <c r="RIV617" s="559"/>
      <c r="RIW617" s="559"/>
      <c r="RIX617" s="559"/>
      <c r="RIY617" s="559"/>
      <c r="RIZ617" s="559"/>
      <c r="RJA617" s="559"/>
      <c r="RJB617" s="559"/>
      <c r="RJC617" s="559"/>
      <c r="RJD617" s="559"/>
      <c r="RJE617" s="559"/>
      <c r="RJF617" s="559"/>
      <c r="RJG617" s="559"/>
      <c r="RJH617" s="559"/>
      <c r="RJI617" s="559"/>
      <c r="RJJ617" s="559"/>
      <c r="RJK617" s="559"/>
      <c r="RJL617" s="559"/>
      <c r="RJM617" s="559"/>
      <c r="RJN617" s="559"/>
      <c r="RJO617" s="559"/>
      <c r="RJP617" s="559"/>
      <c r="RJQ617" s="559"/>
      <c r="RJR617" s="559"/>
      <c r="RJS617" s="559"/>
      <c r="RJT617" s="559"/>
      <c r="RJU617" s="559"/>
      <c r="RJV617" s="559"/>
      <c r="RJW617" s="559"/>
      <c r="RJX617" s="559"/>
      <c r="RJY617" s="559"/>
      <c r="RJZ617" s="559"/>
      <c r="RKA617" s="559"/>
      <c r="RKB617" s="559"/>
      <c r="RKC617" s="559"/>
      <c r="RKD617" s="559"/>
      <c r="RKE617" s="559"/>
      <c r="RKF617" s="559"/>
      <c r="RKG617" s="559"/>
      <c r="RKH617" s="559"/>
      <c r="RKI617" s="559"/>
      <c r="RKJ617" s="559"/>
      <c r="RKK617" s="559"/>
      <c r="RKL617" s="559"/>
      <c r="RKM617" s="559"/>
      <c r="RKN617" s="559"/>
      <c r="RKO617" s="559"/>
      <c r="RKP617" s="559"/>
      <c r="RKQ617" s="559"/>
      <c r="RKR617" s="559"/>
      <c r="RKS617" s="559"/>
      <c r="RKT617" s="559"/>
      <c r="RKU617" s="559"/>
      <c r="RKV617" s="559"/>
      <c r="RKW617" s="559"/>
      <c r="RKX617" s="559"/>
      <c r="RKY617" s="559"/>
      <c r="RKZ617" s="559"/>
      <c r="RLA617" s="559"/>
      <c r="RLB617" s="559"/>
      <c r="RLC617" s="559"/>
      <c r="RLD617" s="559"/>
      <c r="RLE617" s="559"/>
      <c r="RLF617" s="559"/>
      <c r="RLG617" s="559"/>
      <c r="RLH617" s="559"/>
      <c r="RLI617" s="559"/>
      <c r="RLJ617" s="559"/>
      <c r="RLK617" s="559"/>
      <c r="RLL617" s="559"/>
      <c r="RLM617" s="559"/>
      <c r="RLN617" s="559"/>
      <c r="RLO617" s="559"/>
      <c r="RLP617" s="559"/>
      <c r="RLQ617" s="559"/>
      <c r="RLR617" s="559"/>
      <c r="RLS617" s="559"/>
      <c r="RLT617" s="559"/>
      <c r="RLU617" s="559"/>
      <c r="RLV617" s="559"/>
      <c r="RLW617" s="559"/>
      <c r="RLX617" s="559"/>
      <c r="RLY617" s="559"/>
      <c r="RLZ617" s="559"/>
      <c r="RMA617" s="559"/>
      <c r="RMB617" s="559"/>
      <c r="RMC617" s="559"/>
      <c r="RMD617" s="559"/>
      <c r="RME617" s="559"/>
      <c r="RMF617" s="559"/>
      <c r="RMG617" s="559"/>
      <c r="RMH617" s="559"/>
      <c r="RMI617" s="559"/>
      <c r="RMJ617" s="559"/>
      <c r="RMK617" s="559"/>
      <c r="RML617" s="559"/>
      <c r="RMM617" s="559"/>
      <c r="RMN617" s="559"/>
      <c r="RMO617" s="559"/>
      <c r="RMP617" s="559"/>
      <c r="RMQ617" s="559"/>
      <c r="RMR617" s="559"/>
      <c r="RMS617" s="559"/>
      <c r="RMT617" s="559"/>
      <c r="RMU617" s="559"/>
      <c r="RMV617" s="559"/>
      <c r="RMW617" s="559"/>
      <c r="RMX617" s="559"/>
      <c r="RMY617" s="559"/>
      <c r="RMZ617" s="559"/>
      <c r="RNA617" s="559"/>
      <c r="RNB617" s="559"/>
      <c r="RNC617" s="559"/>
      <c r="RND617" s="559"/>
      <c r="RNE617" s="559"/>
      <c r="RNF617" s="559"/>
      <c r="RNG617" s="559"/>
      <c r="RNH617" s="559"/>
      <c r="RNI617" s="559"/>
      <c r="RNJ617" s="559"/>
      <c r="RNK617" s="559"/>
      <c r="RNL617" s="559"/>
      <c r="RNM617" s="559"/>
      <c r="RNN617" s="559"/>
      <c r="RNO617" s="559"/>
      <c r="RNP617" s="559"/>
      <c r="RNQ617" s="559"/>
      <c r="RNR617" s="559"/>
      <c r="RNS617" s="559"/>
      <c r="RNT617" s="559"/>
      <c r="RNU617" s="559"/>
      <c r="RNV617" s="559"/>
      <c r="RNW617" s="559"/>
      <c r="RNX617" s="559"/>
      <c r="RNY617" s="559"/>
      <c r="RNZ617" s="559"/>
      <c r="ROA617" s="559"/>
      <c r="ROB617" s="559"/>
      <c r="ROC617" s="559"/>
      <c r="ROD617" s="559"/>
      <c r="ROE617" s="559"/>
      <c r="ROF617" s="559"/>
      <c r="ROG617" s="559"/>
      <c r="ROH617" s="559"/>
      <c r="ROI617" s="559"/>
      <c r="ROJ617" s="559"/>
      <c r="ROK617" s="559"/>
      <c r="ROL617" s="559"/>
      <c r="ROM617" s="559"/>
      <c r="RON617" s="559"/>
      <c r="ROO617" s="559"/>
      <c r="ROP617" s="559"/>
      <c r="ROQ617" s="559"/>
      <c r="ROR617" s="559"/>
      <c r="ROS617" s="559"/>
      <c r="ROT617" s="559"/>
      <c r="ROU617" s="559"/>
      <c r="ROV617" s="559"/>
      <c r="ROW617" s="559"/>
      <c r="ROX617" s="559"/>
      <c r="ROY617" s="559"/>
      <c r="ROZ617" s="559"/>
      <c r="RPA617" s="559"/>
      <c r="RPB617" s="559"/>
      <c r="RPC617" s="559"/>
      <c r="RPD617" s="559"/>
      <c r="RPE617" s="559"/>
      <c r="RPF617" s="559"/>
      <c r="RPG617" s="559"/>
      <c r="RPH617" s="559"/>
      <c r="RPI617" s="559"/>
      <c r="RPJ617" s="559"/>
      <c r="RPK617" s="559"/>
      <c r="RPL617" s="559"/>
      <c r="RPM617" s="559"/>
      <c r="RPN617" s="559"/>
      <c r="RPO617" s="559"/>
      <c r="RPP617" s="559"/>
      <c r="RPQ617" s="559"/>
      <c r="RPR617" s="559"/>
      <c r="RPS617" s="559"/>
      <c r="RPT617" s="559"/>
      <c r="RPU617" s="559"/>
      <c r="RPV617" s="559"/>
      <c r="RPW617" s="559"/>
      <c r="RPX617" s="559"/>
      <c r="RPY617" s="559"/>
      <c r="RPZ617" s="559"/>
      <c r="RQA617" s="559"/>
      <c r="RQB617" s="559"/>
      <c r="RQC617" s="559"/>
      <c r="RQD617" s="559"/>
      <c r="RQE617" s="559"/>
      <c r="RQF617" s="559"/>
      <c r="RQG617" s="559"/>
      <c r="RQH617" s="559"/>
      <c r="RQI617" s="559"/>
      <c r="RQJ617" s="559"/>
      <c r="RQK617" s="559"/>
      <c r="RQL617" s="559"/>
      <c r="RQM617" s="559"/>
      <c r="RQN617" s="559"/>
      <c r="RQO617" s="559"/>
      <c r="RQP617" s="559"/>
      <c r="RQQ617" s="559"/>
      <c r="RQR617" s="559"/>
      <c r="RQS617" s="559"/>
      <c r="RQT617" s="559"/>
      <c r="RQU617" s="559"/>
      <c r="RQV617" s="559"/>
      <c r="RQW617" s="559"/>
      <c r="RQX617" s="559"/>
      <c r="RQY617" s="559"/>
      <c r="RQZ617" s="559"/>
      <c r="RRA617" s="559"/>
      <c r="RRB617" s="559"/>
      <c r="RRC617" s="559"/>
      <c r="RRD617" s="559"/>
      <c r="RRE617" s="559"/>
      <c r="RRF617" s="559"/>
      <c r="RRG617" s="559"/>
      <c r="RRH617" s="559"/>
      <c r="RRI617" s="559"/>
      <c r="RRJ617" s="559"/>
      <c r="RRK617" s="559"/>
      <c r="RRL617" s="559"/>
      <c r="RRM617" s="559"/>
      <c r="RRN617" s="559"/>
      <c r="RRO617" s="559"/>
      <c r="RRP617" s="559"/>
      <c r="RRQ617" s="559"/>
      <c r="RRR617" s="559"/>
      <c r="RRS617" s="559"/>
      <c r="RRT617" s="559"/>
      <c r="RRU617" s="559"/>
      <c r="RRV617" s="559"/>
      <c r="RRW617" s="559"/>
      <c r="RRX617" s="559"/>
      <c r="RRY617" s="559"/>
      <c r="RRZ617" s="559"/>
      <c r="RSA617" s="559"/>
      <c r="RSB617" s="559"/>
      <c r="RSC617" s="559"/>
      <c r="RSD617" s="559"/>
      <c r="RSE617" s="559"/>
      <c r="RSF617" s="559"/>
      <c r="RSG617" s="559"/>
      <c r="RSH617" s="559"/>
      <c r="RSI617" s="559"/>
      <c r="RSJ617" s="559"/>
      <c r="RSK617" s="559"/>
      <c r="RSL617" s="559"/>
      <c r="RSM617" s="559"/>
      <c r="RSN617" s="559"/>
      <c r="RSO617" s="559"/>
      <c r="RSP617" s="559"/>
      <c r="RSQ617" s="559"/>
      <c r="RSR617" s="559"/>
      <c r="RSS617" s="559"/>
      <c r="RST617" s="559"/>
      <c r="RSU617" s="559"/>
      <c r="RSV617" s="559"/>
      <c r="RSW617" s="559"/>
      <c r="RSX617" s="559"/>
      <c r="RSY617" s="559"/>
      <c r="RSZ617" s="559"/>
      <c r="RTA617" s="559"/>
      <c r="RTB617" s="559"/>
      <c r="RTC617" s="559"/>
      <c r="RTD617" s="559"/>
      <c r="RTE617" s="559"/>
      <c r="RTF617" s="559"/>
      <c r="RTG617" s="559"/>
      <c r="RTH617" s="559"/>
      <c r="RTI617" s="559"/>
      <c r="RTJ617" s="559"/>
      <c r="RTK617" s="559"/>
      <c r="RTL617" s="559"/>
      <c r="RTM617" s="559"/>
      <c r="RTN617" s="559"/>
      <c r="RTO617" s="559"/>
      <c r="RTP617" s="559"/>
      <c r="RTQ617" s="559"/>
      <c r="RTR617" s="559"/>
      <c r="RTS617" s="559"/>
      <c r="RTT617" s="559"/>
      <c r="RTU617" s="559"/>
      <c r="RTV617" s="559"/>
      <c r="RTW617" s="559"/>
      <c r="RTX617" s="559"/>
      <c r="RTY617" s="559"/>
      <c r="RTZ617" s="559"/>
      <c r="RUA617" s="559"/>
      <c r="RUB617" s="559"/>
      <c r="RUC617" s="559"/>
      <c r="RUD617" s="559"/>
      <c r="RUE617" s="559"/>
      <c r="RUF617" s="559"/>
      <c r="RUG617" s="559"/>
      <c r="RUH617" s="559"/>
      <c r="RUI617" s="559"/>
      <c r="RUJ617" s="559"/>
      <c r="RUK617" s="559"/>
      <c r="RUL617" s="559"/>
      <c r="RUM617" s="559"/>
      <c r="RUN617" s="559"/>
      <c r="RUO617" s="559"/>
      <c r="RUP617" s="559"/>
      <c r="RUQ617" s="559"/>
      <c r="RUR617" s="559"/>
      <c r="RUS617" s="559"/>
      <c r="RUT617" s="559"/>
      <c r="RUU617" s="559"/>
      <c r="RUV617" s="559"/>
      <c r="RUW617" s="559"/>
      <c r="RUX617" s="559"/>
      <c r="RUY617" s="559"/>
      <c r="RUZ617" s="559"/>
      <c r="RVA617" s="559"/>
      <c r="RVB617" s="559"/>
      <c r="RVC617" s="559"/>
      <c r="RVD617" s="559"/>
      <c r="RVE617" s="559"/>
      <c r="RVF617" s="559"/>
      <c r="RVG617" s="559"/>
      <c r="RVH617" s="559"/>
      <c r="RVI617" s="559"/>
      <c r="RVJ617" s="559"/>
      <c r="RVK617" s="559"/>
      <c r="RVL617" s="559"/>
      <c r="RVM617" s="559"/>
      <c r="RVN617" s="559"/>
      <c r="RVO617" s="559"/>
      <c r="RVP617" s="559"/>
      <c r="RVQ617" s="559"/>
      <c r="RVR617" s="559"/>
      <c r="RVS617" s="559"/>
      <c r="RVT617" s="559"/>
      <c r="RVU617" s="559"/>
      <c r="RVV617" s="559"/>
      <c r="RVW617" s="559"/>
      <c r="RVX617" s="559"/>
      <c r="RVY617" s="559"/>
      <c r="RVZ617" s="559"/>
      <c r="RWA617" s="559"/>
      <c r="RWB617" s="559"/>
      <c r="RWC617" s="559"/>
      <c r="RWD617" s="559"/>
      <c r="RWE617" s="559"/>
      <c r="RWF617" s="559"/>
      <c r="RWG617" s="559"/>
      <c r="RWH617" s="559"/>
      <c r="RWI617" s="559"/>
      <c r="RWJ617" s="559"/>
      <c r="RWK617" s="559"/>
      <c r="RWL617" s="559"/>
      <c r="RWM617" s="559"/>
      <c r="RWN617" s="559"/>
      <c r="RWO617" s="559"/>
      <c r="RWP617" s="559"/>
      <c r="RWQ617" s="559"/>
      <c r="RWR617" s="559"/>
      <c r="RWS617" s="559"/>
      <c r="RWT617" s="559"/>
      <c r="RWU617" s="559"/>
      <c r="RWV617" s="559"/>
      <c r="RWW617" s="559"/>
      <c r="RWX617" s="559"/>
      <c r="RWY617" s="559"/>
      <c r="RWZ617" s="559"/>
      <c r="RXA617" s="559"/>
      <c r="RXB617" s="559"/>
      <c r="RXC617" s="559"/>
      <c r="RXD617" s="559"/>
      <c r="RXE617" s="559"/>
      <c r="RXF617" s="559"/>
      <c r="RXG617" s="559"/>
      <c r="RXH617" s="559"/>
      <c r="RXI617" s="559"/>
      <c r="RXJ617" s="559"/>
      <c r="RXK617" s="559"/>
      <c r="RXL617" s="559"/>
      <c r="RXM617" s="559"/>
      <c r="RXN617" s="559"/>
      <c r="RXO617" s="559"/>
      <c r="RXP617" s="559"/>
      <c r="RXQ617" s="559"/>
      <c r="RXR617" s="559"/>
      <c r="RXS617" s="559"/>
      <c r="RXT617" s="559"/>
      <c r="RXU617" s="559"/>
      <c r="RXV617" s="559"/>
      <c r="RXW617" s="559"/>
      <c r="RXX617" s="559"/>
      <c r="RXY617" s="559"/>
      <c r="RXZ617" s="559"/>
      <c r="RYA617" s="559"/>
      <c r="RYB617" s="559"/>
      <c r="RYC617" s="559"/>
      <c r="RYD617" s="559"/>
      <c r="RYE617" s="559"/>
      <c r="RYF617" s="559"/>
      <c r="RYG617" s="559"/>
      <c r="RYH617" s="559"/>
      <c r="RYI617" s="559"/>
      <c r="RYJ617" s="559"/>
      <c r="RYK617" s="559"/>
      <c r="RYL617" s="559"/>
      <c r="RYM617" s="559"/>
      <c r="RYN617" s="559"/>
      <c r="RYO617" s="559"/>
      <c r="RYP617" s="559"/>
      <c r="RYQ617" s="559"/>
      <c r="RYR617" s="559"/>
      <c r="RYS617" s="559"/>
      <c r="RYT617" s="559"/>
      <c r="RYU617" s="559"/>
      <c r="RYV617" s="559"/>
      <c r="RYW617" s="559"/>
      <c r="RYX617" s="559"/>
      <c r="RYY617" s="559"/>
      <c r="RYZ617" s="559"/>
      <c r="RZA617" s="559"/>
      <c r="RZB617" s="559"/>
      <c r="RZC617" s="559"/>
      <c r="RZD617" s="559"/>
      <c r="RZE617" s="559"/>
      <c r="RZF617" s="559"/>
      <c r="RZG617" s="559"/>
      <c r="RZH617" s="559"/>
      <c r="RZI617" s="559"/>
      <c r="RZJ617" s="559"/>
      <c r="RZK617" s="559"/>
      <c r="RZL617" s="559"/>
      <c r="RZM617" s="559"/>
      <c r="RZN617" s="559"/>
      <c r="RZO617" s="559"/>
      <c r="RZP617" s="559"/>
      <c r="RZQ617" s="559"/>
      <c r="RZR617" s="559"/>
      <c r="RZS617" s="559"/>
      <c r="RZT617" s="559"/>
      <c r="RZU617" s="559"/>
      <c r="RZV617" s="559"/>
      <c r="RZW617" s="559"/>
      <c r="RZX617" s="559"/>
      <c r="RZY617" s="559"/>
      <c r="RZZ617" s="559"/>
      <c r="SAA617" s="559"/>
      <c r="SAB617" s="559"/>
      <c r="SAC617" s="559"/>
      <c r="SAD617" s="559"/>
      <c r="SAE617" s="559"/>
      <c r="SAF617" s="559"/>
      <c r="SAG617" s="559"/>
      <c r="SAH617" s="559"/>
      <c r="SAI617" s="559"/>
      <c r="SAJ617" s="559"/>
      <c r="SAK617" s="559"/>
      <c r="SAL617" s="559"/>
      <c r="SAM617" s="559"/>
      <c r="SAN617" s="559"/>
      <c r="SAO617" s="559"/>
      <c r="SAP617" s="559"/>
      <c r="SAQ617" s="559"/>
      <c r="SAR617" s="559"/>
      <c r="SAS617" s="559"/>
      <c r="SAT617" s="559"/>
      <c r="SAU617" s="559"/>
      <c r="SAV617" s="559"/>
      <c r="SAW617" s="559"/>
      <c r="SAX617" s="559"/>
      <c r="SAY617" s="559"/>
      <c r="SAZ617" s="559"/>
      <c r="SBA617" s="559"/>
      <c r="SBB617" s="559"/>
      <c r="SBC617" s="559"/>
      <c r="SBD617" s="559"/>
      <c r="SBE617" s="559"/>
      <c r="SBF617" s="559"/>
      <c r="SBG617" s="559"/>
      <c r="SBH617" s="559"/>
      <c r="SBI617" s="559"/>
      <c r="SBJ617" s="559"/>
      <c r="SBK617" s="559"/>
      <c r="SBL617" s="559"/>
      <c r="SBM617" s="559"/>
      <c r="SBN617" s="559"/>
      <c r="SBO617" s="559"/>
      <c r="SBP617" s="559"/>
      <c r="SBQ617" s="559"/>
      <c r="SBR617" s="559"/>
      <c r="SBS617" s="559"/>
      <c r="SBT617" s="559"/>
      <c r="SBU617" s="559"/>
      <c r="SBV617" s="559"/>
      <c r="SBW617" s="559"/>
      <c r="SBX617" s="559"/>
      <c r="SBY617" s="559"/>
      <c r="SBZ617" s="559"/>
      <c r="SCA617" s="559"/>
      <c r="SCB617" s="559"/>
      <c r="SCC617" s="559"/>
      <c r="SCD617" s="559"/>
      <c r="SCE617" s="559"/>
      <c r="SCF617" s="559"/>
      <c r="SCG617" s="559"/>
      <c r="SCH617" s="559"/>
      <c r="SCI617" s="559"/>
      <c r="SCJ617" s="559"/>
      <c r="SCK617" s="559"/>
      <c r="SCL617" s="559"/>
      <c r="SCM617" s="559"/>
      <c r="SCN617" s="559"/>
      <c r="SCO617" s="559"/>
      <c r="SCP617" s="559"/>
      <c r="SCQ617" s="559"/>
      <c r="SCR617" s="559"/>
      <c r="SCS617" s="559"/>
      <c r="SCT617" s="559"/>
      <c r="SCU617" s="559"/>
      <c r="SCV617" s="559"/>
      <c r="SCW617" s="559"/>
      <c r="SCX617" s="559"/>
      <c r="SCY617" s="559"/>
      <c r="SCZ617" s="559"/>
      <c r="SDA617" s="559"/>
      <c r="SDB617" s="559"/>
      <c r="SDC617" s="559"/>
      <c r="SDD617" s="559"/>
      <c r="SDE617" s="559"/>
      <c r="SDF617" s="559"/>
      <c r="SDG617" s="559"/>
      <c r="SDH617" s="559"/>
      <c r="SDI617" s="559"/>
      <c r="SDJ617" s="559"/>
      <c r="SDK617" s="559"/>
      <c r="SDL617" s="559"/>
      <c r="SDM617" s="559"/>
      <c r="SDN617" s="559"/>
      <c r="SDO617" s="559"/>
      <c r="SDP617" s="559"/>
      <c r="SDQ617" s="559"/>
      <c r="SDR617" s="559"/>
      <c r="SDS617" s="559"/>
      <c r="SDT617" s="559"/>
      <c r="SDU617" s="559"/>
      <c r="SDV617" s="559"/>
      <c r="SDW617" s="559"/>
      <c r="SDX617" s="559"/>
      <c r="SDY617" s="559"/>
      <c r="SDZ617" s="559"/>
      <c r="SEA617" s="559"/>
      <c r="SEB617" s="559"/>
      <c r="SEC617" s="559"/>
      <c r="SED617" s="559"/>
      <c r="SEE617" s="559"/>
      <c r="SEF617" s="559"/>
      <c r="SEG617" s="559"/>
      <c r="SEH617" s="559"/>
      <c r="SEI617" s="559"/>
      <c r="SEJ617" s="559"/>
      <c r="SEK617" s="559"/>
      <c r="SEL617" s="559"/>
      <c r="SEM617" s="559"/>
      <c r="SEN617" s="559"/>
      <c r="SEO617" s="559"/>
      <c r="SEP617" s="559"/>
      <c r="SEQ617" s="559"/>
      <c r="SER617" s="559"/>
      <c r="SES617" s="559"/>
      <c r="SET617" s="559"/>
      <c r="SEU617" s="559"/>
      <c r="SEV617" s="559"/>
      <c r="SEW617" s="559"/>
      <c r="SEX617" s="559"/>
      <c r="SEY617" s="559"/>
      <c r="SEZ617" s="559"/>
      <c r="SFA617" s="559"/>
      <c r="SFB617" s="559"/>
      <c r="SFC617" s="559"/>
      <c r="SFD617" s="559"/>
      <c r="SFE617" s="559"/>
      <c r="SFF617" s="559"/>
      <c r="SFG617" s="559"/>
      <c r="SFH617" s="559"/>
      <c r="SFI617" s="559"/>
      <c r="SFJ617" s="559"/>
      <c r="SFK617" s="559"/>
      <c r="SFL617" s="559"/>
      <c r="SFM617" s="559"/>
      <c r="SFN617" s="559"/>
      <c r="SFO617" s="559"/>
      <c r="SFP617" s="559"/>
      <c r="SFQ617" s="559"/>
      <c r="SFR617" s="559"/>
      <c r="SFS617" s="559"/>
      <c r="SFT617" s="559"/>
      <c r="SFU617" s="559"/>
      <c r="SFV617" s="559"/>
      <c r="SFW617" s="559"/>
      <c r="SFX617" s="559"/>
      <c r="SFY617" s="559"/>
      <c r="SFZ617" s="559"/>
      <c r="SGA617" s="559"/>
      <c r="SGB617" s="559"/>
      <c r="SGC617" s="559"/>
      <c r="SGD617" s="559"/>
      <c r="SGE617" s="559"/>
      <c r="SGF617" s="559"/>
      <c r="SGG617" s="559"/>
      <c r="SGH617" s="559"/>
      <c r="SGI617" s="559"/>
      <c r="SGJ617" s="559"/>
      <c r="SGK617" s="559"/>
      <c r="SGL617" s="559"/>
      <c r="SGM617" s="559"/>
      <c r="SGN617" s="559"/>
      <c r="SGO617" s="559"/>
      <c r="SGP617" s="559"/>
      <c r="SGQ617" s="559"/>
      <c r="SGR617" s="559"/>
      <c r="SGS617" s="559"/>
      <c r="SGT617" s="559"/>
      <c r="SGU617" s="559"/>
      <c r="SGV617" s="559"/>
      <c r="SGW617" s="559"/>
      <c r="SGX617" s="559"/>
      <c r="SGY617" s="559"/>
      <c r="SGZ617" s="559"/>
      <c r="SHA617" s="559"/>
      <c r="SHB617" s="559"/>
      <c r="SHC617" s="559"/>
      <c r="SHD617" s="559"/>
      <c r="SHE617" s="559"/>
      <c r="SHF617" s="559"/>
      <c r="SHG617" s="559"/>
      <c r="SHH617" s="559"/>
      <c r="SHI617" s="559"/>
      <c r="SHJ617" s="559"/>
      <c r="SHK617" s="559"/>
      <c r="SHL617" s="559"/>
      <c r="SHM617" s="559"/>
      <c r="SHN617" s="559"/>
      <c r="SHO617" s="559"/>
      <c r="SHP617" s="559"/>
      <c r="SHQ617" s="559"/>
      <c r="SHR617" s="559"/>
      <c r="SHS617" s="559"/>
      <c r="SHT617" s="559"/>
      <c r="SHU617" s="559"/>
      <c r="SHV617" s="559"/>
      <c r="SHW617" s="559"/>
      <c r="SHX617" s="559"/>
      <c r="SHY617" s="559"/>
      <c r="SHZ617" s="559"/>
      <c r="SIA617" s="559"/>
      <c r="SIB617" s="559"/>
      <c r="SIC617" s="559"/>
      <c r="SID617" s="559"/>
      <c r="SIE617" s="559"/>
      <c r="SIF617" s="559"/>
      <c r="SIG617" s="559"/>
      <c r="SIH617" s="559"/>
      <c r="SII617" s="559"/>
      <c r="SIJ617" s="559"/>
      <c r="SIK617" s="559"/>
      <c r="SIL617" s="559"/>
      <c r="SIM617" s="559"/>
      <c r="SIN617" s="559"/>
      <c r="SIO617" s="559"/>
      <c r="SIP617" s="559"/>
      <c r="SIQ617" s="559"/>
      <c r="SIR617" s="559"/>
      <c r="SIS617" s="559"/>
      <c r="SIT617" s="559"/>
      <c r="SIU617" s="559"/>
      <c r="SIV617" s="559"/>
      <c r="SIW617" s="559"/>
      <c r="SIX617" s="559"/>
      <c r="SIY617" s="559"/>
      <c r="SIZ617" s="559"/>
      <c r="SJA617" s="559"/>
      <c r="SJB617" s="559"/>
      <c r="SJC617" s="559"/>
      <c r="SJD617" s="559"/>
      <c r="SJE617" s="559"/>
      <c r="SJF617" s="559"/>
      <c r="SJG617" s="559"/>
      <c r="SJH617" s="559"/>
      <c r="SJI617" s="559"/>
      <c r="SJJ617" s="559"/>
      <c r="SJK617" s="559"/>
      <c r="SJL617" s="559"/>
      <c r="SJM617" s="559"/>
      <c r="SJN617" s="559"/>
      <c r="SJO617" s="559"/>
      <c r="SJP617" s="559"/>
      <c r="SJQ617" s="559"/>
      <c r="SJR617" s="559"/>
      <c r="SJS617" s="559"/>
      <c r="SJT617" s="559"/>
      <c r="SJU617" s="559"/>
      <c r="SJV617" s="559"/>
      <c r="SJW617" s="559"/>
      <c r="SJX617" s="559"/>
      <c r="SJY617" s="559"/>
      <c r="SJZ617" s="559"/>
      <c r="SKA617" s="559"/>
      <c r="SKB617" s="559"/>
      <c r="SKC617" s="559"/>
      <c r="SKD617" s="559"/>
      <c r="SKE617" s="559"/>
      <c r="SKF617" s="559"/>
      <c r="SKG617" s="559"/>
      <c r="SKH617" s="559"/>
      <c r="SKI617" s="559"/>
      <c r="SKJ617" s="559"/>
      <c r="SKK617" s="559"/>
      <c r="SKL617" s="559"/>
      <c r="SKM617" s="559"/>
      <c r="SKN617" s="559"/>
      <c r="SKO617" s="559"/>
      <c r="SKP617" s="559"/>
      <c r="SKQ617" s="559"/>
      <c r="SKR617" s="559"/>
      <c r="SKS617" s="559"/>
      <c r="SKT617" s="559"/>
      <c r="SKU617" s="559"/>
      <c r="SKV617" s="559"/>
      <c r="SKW617" s="559"/>
      <c r="SKX617" s="559"/>
      <c r="SKY617" s="559"/>
      <c r="SKZ617" s="559"/>
      <c r="SLA617" s="559"/>
      <c r="SLB617" s="559"/>
      <c r="SLC617" s="559"/>
      <c r="SLD617" s="559"/>
      <c r="SLE617" s="559"/>
      <c r="SLF617" s="559"/>
      <c r="SLG617" s="559"/>
      <c r="SLH617" s="559"/>
      <c r="SLI617" s="559"/>
      <c r="SLJ617" s="559"/>
      <c r="SLK617" s="559"/>
      <c r="SLL617" s="559"/>
      <c r="SLM617" s="559"/>
      <c r="SLN617" s="559"/>
      <c r="SLO617" s="559"/>
      <c r="SLP617" s="559"/>
      <c r="SLQ617" s="559"/>
      <c r="SLR617" s="559"/>
      <c r="SLS617" s="559"/>
      <c r="SLT617" s="559"/>
      <c r="SLU617" s="559"/>
      <c r="SLV617" s="559"/>
      <c r="SLW617" s="559"/>
      <c r="SLX617" s="559"/>
      <c r="SLY617" s="559"/>
      <c r="SLZ617" s="559"/>
      <c r="SMA617" s="559"/>
      <c r="SMB617" s="559"/>
      <c r="SMC617" s="559"/>
      <c r="SMD617" s="559"/>
      <c r="SME617" s="559"/>
      <c r="SMF617" s="559"/>
      <c r="SMG617" s="559"/>
      <c r="SMH617" s="559"/>
      <c r="SMI617" s="559"/>
      <c r="SMJ617" s="559"/>
      <c r="SMK617" s="559"/>
      <c r="SML617" s="559"/>
      <c r="SMM617" s="559"/>
      <c r="SMN617" s="559"/>
      <c r="SMO617" s="559"/>
      <c r="SMP617" s="559"/>
      <c r="SMQ617" s="559"/>
      <c r="SMR617" s="559"/>
      <c r="SMS617" s="559"/>
      <c r="SMT617" s="559"/>
      <c r="SMU617" s="559"/>
      <c r="SMV617" s="559"/>
      <c r="SMW617" s="559"/>
      <c r="SMX617" s="559"/>
      <c r="SMY617" s="559"/>
      <c r="SMZ617" s="559"/>
      <c r="SNA617" s="559"/>
      <c r="SNB617" s="559"/>
      <c r="SNC617" s="559"/>
      <c r="SND617" s="559"/>
      <c r="SNE617" s="559"/>
      <c r="SNF617" s="559"/>
      <c r="SNG617" s="559"/>
      <c r="SNH617" s="559"/>
      <c r="SNI617" s="559"/>
      <c r="SNJ617" s="559"/>
      <c r="SNK617" s="559"/>
      <c r="SNL617" s="559"/>
      <c r="SNM617" s="559"/>
      <c r="SNN617" s="559"/>
      <c r="SNO617" s="559"/>
      <c r="SNP617" s="559"/>
      <c r="SNQ617" s="559"/>
      <c r="SNR617" s="559"/>
      <c r="SNS617" s="559"/>
      <c r="SNT617" s="559"/>
      <c r="SNU617" s="559"/>
      <c r="SNV617" s="559"/>
      <c r="SNW617" s="559"/>
      <c r="SNX617" s="559"/>
      <c r="SNY617" s="559"/>
      <c r="SNZ617" s="559"/>
      <c r="SOA617" s="559"/>
      <c r="SOB617" s="559"/>
      <c r="SOC617" s="559"/>
      <c r="SOD617" s="559"/>
      <c r="SOE617" s="559"/>
      <c r="SOF617" s="559"/>
      <c r="SOG617" s="559"/>
      <c r="SOH617" s="559"/>
      <c r="SOI617" s="559"/>
      <c r="SOJ617" s="559"/>
      <c r="SOK617" s="559"/>
      <c r="SOL617" s="559"/>
      <c r="SOM617" s="559"/>
      <c r="SON617" s="559"/>
      <c r="SOO617" s="559"/>
      <c r="SOP617" s="559"/>
      <c r="SOQ617" s="559"/>
      <c r="SOR617" s="559"/>
      <c r="SOS617" s="559"/>
      <c r="SOT617" s="559"/>
      <c r="SOU617" s="559"/>
      <c r="SOV617" s="559"/>
      <c r="SOW617" s="559"/>
      <c r="SOX617" s="559"/>
      <c r="SOY617" s="559"/>
      <c r="SOZ617" s="559"/>
      <c r="SPA617" s="559"/>
      <c r="SPB617" s="559"/>
      <c r="SPC617" s="559"/>
      <c r="SPD617" s="559"/>
      <c r="SPE617" s="559"/>
      <c r="SPF617" s="559"/>
      <c r="SPG617" s="559"/>
      <c r="SPH617" s="559"/>
      <c r="SPI617" s="559"/>
      <c r="SPJ617" s="559"/>
      <c r="SPK617" s="559"/>
      <c r="SPL617" s="559"/>
      <c r="SPM617" s="559"/>
      <c r="SPN617" s="559"/>
      <c r="SPO617" s="559"/>
      <c r="SPP617" s="559"/>
      <c r="SPQ617" s="559"/>
      <c r="SPR617" s="559"/>
      <c r="SPS617" s="559"/>
      <c r="SPT617" s="559"/>
      <c r="SPU617" s="559"/>
      <c r="SPV617" s="559"/>
      <c r="SPW617" s="559"/>
      <c r="SPX617" s="559"/>
      <c r="SPY617" s="559"/>
      <c r="SPZ617" s="559"/>
      <c r="SQA617" s="559"/>
      <c r="SQB617" s="559"/>
      <c r="SQC617" s="559"/>
      <c r="SQD617" s="559"/>
      <c r="SQE617" s="559"/>
      <c r="SQF617" s="559"/>
      <c r="SQG617" s="559"/>
      <c r="SQH617" s="559"/>
      <c r="SQI617" s="559"/>
      <c r="SQJ617" s="559"/>
      <c r="SQK617" s="559"/>
      <c r="SQL617" s="559"/>
      <c r="SQM617" s="559"/>
      <c r="SQN617" s="559"/>
      <c r="SQO617" s="559"/>
      <c r="SQP617" s="559"/>
      <c r="SQQ617" s="559"/>
      <c r="SQR617" s="559"/>
      <c r="SQS617" s="559"/>
      <c r="SQT617" s="559"/>
      <c r="SQU617" s="559"/>
      <c r="SQV617" s="559"/>
      <c r="SQW617" s="559"/>
      <c r="SQX617" s="559"/>
      <c r="SQY617" s="559"/>
      <c r="SQZ617" s="559"/>
      <c r="SRA617" s="559"/>
      <c r="SRB617" s="559"/>
      <c r="SRC617" s="559"/>
      <c r="SRD617" s="559"/>
      <c r="SRE617" s="559"/>
      <c r="SRF617" s="559"/>
      <c r="SRG617" s="559"/>
      <c r="SRH617" s="559"/>
      <c r="SRI617" s="559"/>
      <c r="SRJ617" s="559"/>
      <c r="SRK617" s="559"/>
      <c r="SRL617" s="559"/>
      <c r="SRM617" s="559"/>
      <c r="SRN617" s="559"/>
      <c r="SRO617" s="559"/>
      <c r="SRP617" s="559"/>
      <c r="SRQ617" s="559"/>
      <c r="SRR617" s="559"/>
      <c r="SRS617" s="559"/>
      <c r="SRT617" s="559"/>
      <c r="SRU617" s="559"/>
      <c r="SRV617" s="559"/>
      <c r="SRW617" s="559"/>
      <c r="SRX617" s="559"/>
      <c r="SRY617" s="559"/>
      <c r="SRZ617" s="559"/>
      <c r="SSA617" s="559"/>
      <c r="SSB617" s="559"/>
      <c r="SSC617" s="559"/>
      <c r="SSD617" s="559"/>
      <c r="SSE617" s="559"/>
      <c r="SSF617" s="559"/>
      <c r="SSG617" s="559"/>
      <c r="SSH617" s="559"/>
      <c r="SSI617" s="559"/>
      <c r="SSJ617" s="559"/>
      <c r="SSK617" s="559"/>
      <c r="SSL617" s="559"/>
      <c r="SSM617" s="559"/>
      <c r="SSN617" s="559"/>
      <c r="SSO617" s="559"/>
      <c r="SSP617" s="559"/>
      <c r="SSQ617" s="559"/>
      <c r="SSR617" s="559"/>
      <c r="SSS617" s="559"/>
      <c r="SST617" s="559"/>
      <c r="SSU617" s="559"/>
      <c r="SSV617" s="559"/>
      <c r="SSW617" s="559"/>
      <c r="SSX617" s="559"/>
      <c r="SSY617" s="559"/>
      <c r="SSZ617" s="559"/>
      <c r="STA617" s="559"/>
      <c r="STB617" s="559"/>
      <c r="STC617" s="559"/>
      <c r="STD617" s="559"/>
      <c r="STE617" s="559"/>
      <c r="STF617" s="559"/>
      <c r="STG617" s="559"/>
      <c r="STH617" s="559"/>
      <c r="STI617" s="559"/>
      <c r="STJ617" s="559"/>
      <c r="STK617" s="559"/>
      <c r="STL617" s="559"/>
      <c r="STM617" s="559"/>
      <c r="STN617" s="559"/>
      <c r="STO617" s="559"/>
      <c r="STP617" s="559"/>
      <c r="STQ617" s="559"/>
      <c r="STR617" s="559"/>
      <c r="STS617" s="559"/>
      <c r="STT617" s="559"/>
      <c r="STU617" s="559"/>
      <c r="STV617" s="559"/>
      <c r="STW617" s="559"/>
      <c r="STX617" s="559"/>
      <c r="STY617" s="559"/>
      <c r="STZ617" s="559"/>
      <c r="SUA617" s="559"/>
      <c r="SUB617" s="559"/>
      <c r="SUC617" s="559"/>
      <c r="SUD617" s="559"/>
      <c r="SUE617" s="559"/>
      <c r="SUF617" s="559"/>
      <c r="SUG617" s="559"/>
      <c r="SUH617" s="559"/>
      <c r="SUI617" s="559"/>
      <c r="SUJ617" s="559"/>
      <c r="SUK617" s="559"/>
      <c r="SUL617" s="559"/>
      <c r="SUM617" s="559"/>
      <c r="SUN617" s="559"/>
      <c r="SUO617" s="559"/>
      <c r="SUP617" s="559"/>
      <c r="SUQ617" s="559"/>
      <c r="SUR617" s="559"/>
      <c r="SUS617" s="559"/>
      <c r="SUT617" s="559"/>
      <c r="SUU617" s="559"/>
      <c r="SUV617" s="559"/>
      <c r="SUW617" s="559"/>
      <c r="SUX617" s="559"/>
      <c r="SUY617" s="559"/>
      <c r="SUZ617" s="559"/>
      <c r="SVA617" s="559"/>
      <c r="SVB617" s="559"/>
      <c r="SVC617" s="559"/>
      <c r="SVD617" s="559"/>
      <c r="SVE617" s="559"/>
      <c r="SVF617" s="559"/>
      <c r="SVG617" s="559"/>
      <c r="SVH617" s="559"/>
      <c r="SVI617" s="559"/>
      <c r="SVJ617" s="559"/>
      <c r="SVK617" s="559"/>
      <c r="SVL617" s="559"/>
      <c r="SVM617" s="559"/>
      <c r="SVN617" s="559"/>
      <c r="SVO617" s="559"/>
      <c r="SVP617" s="559"/>
      <c r="SVQ617" s="559"/>
      <c r="SVR617" s="559"/>
      <c r="SVS617" s="559"/>
      <c r="SVT617" s="559"/>
      <c r="SVU617" s="559"/>
      <c r="SVV617" s="559"/>
      <c r="SVW617" s="559"/>
      <c r="SVX617" s="559"/>
      <c r="SVY617" s="559"/>
      <c r="SVZ617" s="559"/>
      <c r="SWA617" s="559"/>
      <c r="SWB617" s="559"/>
      <c r="SWC617" s="559"/>
      <c r="SWD617" s="559"/>
      <c r="SWE617" s="559"/>
      <c r="SWF617" s="559"/>
      <c r="SWG617" s="559"/>
      <c r="SWH617" s="559"/>
      <c r="SWI617" s="559"/>
      <c r="SWJ617" s="559"/>
      <c r="SWK617" s="559"/>
      <c r="SWL617" s="559"/>
      <c r="SWM617" s="559"/>
      <c r="SWN617" s="559"/>
      <c r="SWO617" s="559"/>
      <c r="SWP617" s="559"/>
      <c r="SWQ617" s="559"/>
      <c r="SWR617" s="559"/>
      <c r="SWS617" s="559"/>
      <c r="SWT617" s="559"/>
      <c r="SWU617" s="559"/>
      <c r="SWV617" s="559"/>
      <c r="SWW617" s="559"/>
      <c r="SWX617" s="559"/>
      <c r="SWY617" s="559"/>
      <c r="SWZ617" s="559"/>
      <c r="SXA617" s="559"/>
      <c r="SXB617" s="559"/>
      <c r="SXC617" s="559"/>
      <c r="SXD617" s="559"/>
      <c r="SXE617" s="559"/>
      <c r="SXF617" s="559"/>
      <c r="SXG617" s="559"/>
      <c r="SXH617" s="559"/>
      <c r="SXI617" s="559"/>
      <c r="SXJ617" s="559"/>
      <c r="SXK617" s="559"/>
      <c r="SXL617" s="559"/>
      <c r="SXM617" s="559"/>
      <c r="SXN617" s="559"/>
      <c r="SXO617" s="559"/>
      <c r="SXP617" s="559"/>
      <c r="SXQ617" s="559"/>
      <c r="SXR617" s="559"/>
      <c r="SXS617" s="559"/>
      <c r="SXT617" s="559"/>
      <c r="SXU617" s="559"/>
      <c r="SXV617" s="559"/>
      <c r="SXW617" s="559"/>
      <c r="SXX617" s="559"/>
      <c r="SXY617" s="559"/>
      <c r="SXZ617" s="559"/>
      <c r="SYA617" s="559"/>
      <c r="SYB617" s="559"/>
      <c r="SYC617" s="559"/>
      <c r="SYD617" s="559"/>
      <c r="SYE617" s="559"/>
      <c r="SYF617" s="559"/>
      <c r="SYG617" s="559"/>
      <c r="SYH617" s="559"/>
      <c r="SYI617" s="559"/>
      <c r="SYJ617" s="559"/>
      <c r="SYK617" s="559"/>
      <c r="SYL617" s="559"/>
      <c r="SYM617" s="559"/>
      <c r="SYN617" s="559"/>
      <c r="SYO617" s="559"/>
      <c r="SYP617" s="559"/>
      <c r="SYQ617" s="559"/>
      <c r="SYR617" s="559"/>
      <c r="SYS617" s="559"/>
      <c r="SYT617" s="559"/>
      <c r="SYU617" s="559"/>
      <c r="SYV617" s="559"/>
      <c r="SYW617" s="559"/>
      <c r="SYX617" s="559"/>
      <c r="SYY617" s="559"/>
      <c r="SYZ617" s="559"/>
      <c r="SZA617" s="559"/>
      <c r="SZB617" s="559"/>
      <c r="SZC617" s="559"/>
      <c r="SZD617" s="559"/>
      <c r="SZE617" s="559"/>
      <c r="SZF617" s="559"/>
      <c r="SZG617" s="559"/>
      <c r="SZH617" s="559"/>
      <c r="SZI617" s="559"/>
      <c r="SZJ617" s="559"/>
      <c r="SZK617" s="559"/>
      <c r="SZL617" s="559"/>
      <c r="SZM617" s="559"/>
      <c r="SZN617" s="559"/>
      <c r="SZO617" s="559"/>
      <c r="SZP617" s="559"/>
      <c r="SZQ617" s="559"/>
      <c r="SZR617" s="559"/>
      <c r="SZS617" s="559"/>
      <c r="SZT617" s="559"/>
      <c r="SZU617" s="559"/>
      <c r="SZV617" s="559"/>
      <c r="SZW617" s="559"/>
      <c r="SZX617" s="559"/>
      <c r="SZY617" s="559"/>
      <c r="SZZ617" s="559"/>
      <c r="TAA617" s="559"/>
      <c r="TAB617" s="559"/>
      <c r="TAC617" s="559"/>
      <c r="TAD617" s="559"/>
      <c r="TAE617" s="559"/>
      <c r="TAF617" s="559"/>
      <c r="TAG617" s="559"/>
      <c r="TAH617" s="559"/>
      <c r="TAI617" s="559"/>
      <c r="TAJ617" s="559"/>
      <c r="TAK617" s="559"/>
      <c r="TAL617" s="559"/>
      <c r="TAM617" s="559"/>
      <c r="TAN617" s="559"/>
      <c r="TAO617" s="559"/>
      <c r="TAP617" s="559"/>
      <c r="TAQ617" s="559"/>
      <c r="TAR617" s="559"/>
      <c r="TAS617" s="559"/>
      <c r="TAT617" s="559"/>
      <c r="TAU617" s="559"/>
      <c r="TAV617" s="559"/>
      <c r="TAW617" s="559"/>
      <c r="TAX617" s="559"/>
      <c r="TAY617" s="559"/>
      <c r="TAZ617" s="559"/>
      <c r="TBA617" s="559"/>
      <c r="TBB617" s="559"/>
      <c r="TBC617" s="559"/>
      <c r="TBD617" s="559"/>
      <c r="TBE617" s="559"/>
      <c r="TBF617" s="559"/>
      <c r="TBG617" s="559"/>
      <c r="TBH617" s="559"/>
      <c r="TBI617" s="559"/>
      <c r="TBJ617" s="559"/>
      <c r="TBK617" s="559"/>
      <c r="TBL617" s="559"/>
      <c r="TBM617" s="559"/>
      <c r="TBN617" s="559"/>
      <c r="TBO617" s="559"/>
      <c r="TBP617" s="559"/>
      <c r="TBQ617" s="559"/>
      <c r="TBR617" s="559"/>
      <c r="TBS617" s="559"/>
      <c r="TBT617" s="559"/>
      <c r="TBU617" s="559"/>
      <c r="TBV617" s="559"/>
      <c r="TBW617" s="559"/>
      <c r="TBX617" s="559"/>
      <c r="TBY617" s="559"/>
      <c r="TBZ617" s="559"/>
      <c r="TCA617" s="559"/>
      <c r="TCB617" s="559"/>
      <c r="TCC617" s="559"/>
      <c r="TCD617" s="559"/>
      <c r="TCE617" s="559"/>
      <c r="TCF617" s="559"/>
      <c r="TCG617" s="559"/>
      <c r="TCH617" s="559"/>
      <c r="TCI617" s="559"/>
      <c r="TCJ617" s="559"/>
      <c r="TCK617" s="559"/>
      <c r="TCL617" s="559"/>
      <c r="TCM617" s="559"/>
      <c r="TCN617" s="559"/>
      <c r="TCO617" s="559"/>
      <c r="TCP617" s="559"/>
      <c r="TCQ617" s="559"/>
      <c r="TCR617" s="559"/>
      <c r="TCS617" s="559"/>
      <c r="TCT617" s="559"/>
      <c r="TCU617" s="559"/>
      <c r="TCV617" s="559"/>
      <c r="TCW617" s="559"/>
      <c r="TCX617" s="559"/>
      <c r="TCY617" s="559"/>
      <c r="TCZ617" s="559"/>
      <c r="TDA617" s="559"/>
      <c r="TDB617" s="559"/>
      <c r="TDC617" s="559"/>
      <c r="TDD617" s="559"/>
      <c r="TDE617" s="559"/>
      <c r="TDF617" s="559"/>
      <c r="TDG617" s="559"/>
      <c r="TDH617" s="559"/>
      <c r="TDI617" s="559"/>
      <c r="TDJ617" s="559"/>
      <c r="TDK617" s="559"/>
      <c r="TDL617" s="559"/>
      <c r="TDM617" s="559"/>
      <c r="TDN617" s="559"/>
      <c r="TDO617" s="559"/>
      <c r="TDP617" s="559"/>
      <c r="TDQ617" s="559"/>
      <c r="TDR617" s="559"/>
      <c r="TDS617" s="559"/>
      <c r="TDT617" s="559"/>
      <c r="TDU617" s="559"/>
      <c r="TDV617" s="559"/>
      <c r="TDW617" s="559"/>
      <c r="TDX617" s="559"/>
      <c r="TDY617" s="559"/>
      <c r="TDZ617" s="559"/>
      <c r="TEA617" s="559"/>
      <c r="TEB617" s="559"/>
      <c r="TEC617" s="559"/>
      <c r="TED617" s="559"/>
      <c r="TEE617" s="559"/>
      <c r="TEF617" s="559"/>
      <c r="TEG617" s="559"/>
      <c r="TEH617" s="559"/>
      <c r="TEI617" s="559"/>
      <c r="TEJ617" s="559"/>
      <c r="TEK617" s="559"/>
      <c r="TEL617" s="559"/>
      <c r="TEM617" s="559"/>
      <c r="TEN617" s="559"/>
      <c r="TEO617" s="559"/>
      <c r="TEP617" s="559"/>
      <c r="TEQ617" s="559"/>
      <c r="TER617" s="559"/>
      <c r="TES617" s="559"/>
      <c r="TET617" s="559"/>
      <c r="TEU617" s="559"/>
      <c r="TEV617" s="559"/>
      <c r="TEW617" s="559"/>
      <c r="TEX617" s="559"/>
      <c r="TEY617" s="559"/>
      <c r="TEZ617" s="559"/>
      <c r="TFA617" s="559"/>
      <c r="TFB617" s="559"/>
      <c r="TFC617" s="559"/>
      <c r="TFD617" s="559"/>
      <c r="TFE617" s="559"/>
      <c r="TFF617" s="559"/>
      <c r="TFG617" s="559"/>
      <c r="TFH617" s="559"/>
      <c r="TFI617" s="559"/>
      <c r="TFJ617" s="559"/>
      <c r="TFK617" s="559"/>
      <c r="TFL617" s="559"/>
      <c r="TFM617" s="559"/>
      <c r="TFN617" s="559"/>
      <c r="TFO617" s="559"/>
      <c r="TFP617" s="559"/>
      <c r="TFQ617" s="559"/>
      <c r="TFR617" s="559"/>
      <c r="TFS617" s="559"/>
      <c r="TFT617" s="559"/>
      <c r="TFU617" s="559"/>
      <c r="TFV617" s="559"/>
      <c r="TFW617" s="559"/>
      <c r="TFX617" s="559"/>
      <c r="TFY617" s="559"/>
      <c r="TFZ617" s="559"/>
      <c r="TGA617" s="559"/>
      <c r="TGB617" s="559"/>
      <c r="TGC617" s="559"/>
      <c r="TGD617" s="559"/>
      <c r="TGE617" s="559"/>
      <c r="TGF617" s="559"/>
      <c r="TGG617" s="559"/>
      <c r="TGH617" s="559"/>
      <c r="TGI617" s="559"/>
      <c r="TGJ617" s="559"/>
      <c r="TGK617" s="559"/>
      <c r="TGL617" s="559"/>
      <c r="TGM617" s="559"/>
      <c r="TGN617" s="559"/>
      <c r="TGO617" s="559"/>
      <c r="TGP617" s="559"/>
      <c r="TGQ617" s="559"/>
      <c r="TGR617" s="559"/>
      <c r="TGS617" s="559"/>
      <c r="TGT617" s="559"/>
      <c r="TGU617" s="559"/>
      <c r="TGV617" s="559"/>
      <c r="TGW617" s="559"/>
      <c r="TGX617" s="559"/>
      <c r="TGY617" s="559"/>
      <c r="TGZ617" s="559"/>
      <c r="THA617" s="559"/>
      <c r="THB617" s="559"/>
      <c r="THC617" s="559"/>
      <c r="THD617" s="559"/>
      <c r="THE617" s="559"/>
      <c r="THF617" s="559"/>
      <c r="THG617" s="559"/>
      <c r="THH617" s="559"/>
      <c r="THI617" s="559"/>
      <c r="THJ617" s="559"/>
      <c r="THK617" s="559"/>
      <c r="THL617" s="559"/>
      <c r="THM617" s="559"/>
      <c r="THN617" s="559"/>
      <c r="THO617" s="559"/>
      <c r="THP617" s="559"/>
      <c r="THQ617" s="559"/>
      <c r="THR617" s="559"/>
      <c r="THS617" s="559"/>
      <c r="THT617" s="559"/>
      <c r="THU617" s="559"/>
      <c r="THV617" s="559"/>
      <c r="THW617" s="559"/>
      <c r="THX617" s="559"/>
      <c r="THY617" s="559"/>
      <c r="THZ617" s="559"/>
      <c r="TIA617" s="559"/>
      <c r="TIB617" s="559"/>
      <c r="TIC617" s="559"/>
      <c r="TID617" s="559"/>
      <c r="TIE617" s="559"/>
      <c r="TIF617" s="559"/>
      <c r="TIG617" s="559"/>
      <c r="TIH617" s="559"/>
      <c r="TII617" s="559"/>
      <c r="TIJ617" s="559"/>
      <c r="TIK617" s="559"/>
      <c r="TIL617" s="559"/>
      <c r="TIM617" s="559"/>
      <c r="TIN617" s="559"/>
      <c r="TIO617" s="559"/>
      <c r="TIP617" s="559"/>
      <c r="TIQ617" s="559"/>
      <c r="TIR617" s="559"/>
      <c r="TIS617" s="559"/>
      <c r="TIT617" s="559"/>
      <c r="TIU617" s="559"/>
      <c r="TIV617" s="559"/>
      <c r="TIW617" s="559"/>
      <c r="TIX617" s="559"/>
      <c r="TIY617" s="559"/>
      <c r="TIZ617" s="559"/>
      <c r="TJA617" s="559"/>
      <c r="TJB617" s="559"/>
      <c r="TJC617" s="559"/>
      <c r="TJD617" s="559"/>
      <c r="TJE617" s="559"/>
      <c r="TJF617" s="559"/>
      <c r="TJG617" s="559"/>
      <c r="TJH617" s="559"/>
      <c r="TJI617" s="559"/>
      <c r="TJJ617" s="559"/>
      <c r="TJK617" s="559"/>
      <c r="TJL617" s="559"/>
      <c r="TJM617" s="559"/>
      <c r="TJN617" s="559"/>
      <c r="TJO617" s="559"/>
      <c r="TJP617" s="559"/>
      <c r="TJQ617" s="559"/>
      <c r="TJR617" s="559"/>
      <c r="TJS617" s="559"/>
      <c r="TJT617" s="559"/>
      <c r="TJU617" s="559"/>
      <c r="TJV617" s="559"/>
      <c r="TJW617" s="559"/>
      <c r="TJX617" s="559"/>
      <c r="TJY617" s="559"/>
      <c r="TJZ617" s="559"/>
      <c r="TKA617" s="559"/>
      <c r="TKB617" s="559"/>
      <c r="TKC617" s="559"/>
      <c r="TKD617" s="559"/>
      <c r="TKE617" s="559"/>
      <c r="TKF617" s="559"/>
      <c r="TKG617" s="559"/>
      <c r="TKH617" s="559"/>
      <c r="TKI617" s="559"/>
      <c r="TKJ617" s="559"/>
      <c r="TKK617" s="559"/>
      <c r="TKL617" s="559"/>
      <c r="TKM617" s="559"/>
      <c r="TKN617" s="559"/>
      <c r="TKO617" s="559"/>
      <c r="TKP617" s="559"/>
      <c r="TKQ617" s="559"/>
      <c r="TKR617" s="559"/>
      <c r="TKS617" s="559"/>
      <c r="TKT617" s="559"/>
      <c r="TKU617" s="559"/>
      <c r="TKV617" s="559"/>
      <c r="TKW617" s="559"/>
      <c r="TKX617" s="559"/>
      <c r="TKY617" s="559"/>
      <c r="TKZ617" s="559"/>
      <c r="TLA617" s="559"/>
      <c r="TLB617" s="559"/>
      <c r="TLC617" s="559"/>
      <c r="TLD617" s="559"/>
      <c r="TLE617" s="559"/>
      <c r="TLF617" s="559"/>
      <c r="TLG617" s="559"/>
      <c r="TLH617" s="559"/>
      <c r="TLI617" s="559"/>
      <c r="TLJ617" s="559"/>
      <c r="TLK617" s="559"/>
      <c r="TLL617" s="559"/>
      <c r="TLM617" s="559"/>
      <c r="TLN617" s="559"/>
      <c r="TLO617" s="559"/>
      <c r="TLP617" s="559"/>
      <c r="TLQ617" s="559"/>
      <c r="TLR617" s="559"/>
      <c r="TLS617" s="559"/>
      <c r="TLT617" s="559"/>
      <c r="TLU617" s="559"/>
      <c r="TLV617" s="559"/>
      <c r="TLW617" s="559"/>
      <c r="TLX617" s="559"/>
      <c r="TLY617" s="559"/>
      <c r="TLZ617" s="559"/>
      <c r="TMA617" s="559"/>
      <c r="TMB617" s="559"/>
      <c r="TMC617" s="559"/>
      <c r="TMD617" s="559"/>
      <c r="TME617" s="559"/>
      <c r="TMF617" s="559"/>
      <c r="TMG617" s="559"/>
      <c r="TMH617" s="559"/>
      <c r="TMI617" s="559"/>
      <c r="TMJ617" s="559"/>
      <c r="TMK617" s="559"/>
      <c r="TML617" s="559"/>
      <c r="TMM617" s="559"/>
      <c r="TMN617" s="559"/>
      <c r="TMO617" s="559"/>
      <c r="TMP617" s="559"/>
      <c r="TMQ617" s="559"/>
      <c r="TMR617" s="559"/>
      <c r="TMS617" s="559"/>
      <c r="TMT617" s="559"/>
      <c r="TMU617" s="559"/>
      <c r="TMV617" s="559"/>
      <c r="TMW617" s="559"/>
      <c r="TMX617" s="559"/>
      <c r="TMY617" s="559"/>
      <c r="TMZ617" s="559"/>
      <c r="TNA617" s="559"/>
      <c r="TNB617" s="559"/>
      <c r="TNC617" s="559"/>
      <c r="TND617" s="559"/>
      <c r="TNE617" s="559"/>
      <c r="TNF617" s="559"/>
      <c r="TNG617" s="559"/>
      <c r="TNH617" s="559"/>
      <c r="TNI617" s="559"/>
      <c r="TNJ617" s="559"/>
      <c r="TNK617" s="559"/>
      <c r="TNL617" s="559"/>
      <c r="TNM617" s="559"/>
      <c r="TNN617" s="559"/>
      <c r="TNO617" s="559"/>
      <c r="TNP617" s="559"/>
      <c r="TNQ617" s="559"/>
      <c r="TNR617" s="559"/>
      <c r="TNS617" s="559"/>
      <c r="TNT617" s="559"/>
      <c r="TNU617" s="559"/>
      <c r="TNV617" s="559"/>
      <c r="TNW617" s="559"/>
      <c r="TNX617" s="559"/>
      <c r="TNY617" s="559"/>
      <c r="TNZ617" s="559"/>
      <c r="TOA617" s="559"/>
      <c r="TOB617" s="559"/>
      <c r="TOC617" s="559"/>
      <c r="TOD617" s="559"/>
      <c r="TOE617" s="559"/>
      <c r="TOF617" s="559"/>
      <c r="TOG617" s="559"/>
      <c r="TOH617" s="559"/>
      <c r="TOI617" s="559"/>
      <c r="TOJ617" s="559"/>
      <c r="TOK617" s="559"/>
      <c r="TOL617" s="559"/>
      <c r="TOM617" s="559"/>
      <c r="TON617" s="559"/>
      <c r="TOO617" s="559"/>
      <c r="TOP617" s="559"/>
      <c r="TOQ617" s="559"/>
      <c r="TOR617" s="559"/>
      <c r="TOS617" s="559"/>
      <c r="TOT617" s="559"/>
      <c r="TOU617" s="559"/>
      <c r="TOV617" s="559"/>
      <c r="TOW617" s="559"/>
      <c r="TOX617" s="559"/>
      <c r="TOY617" s="559"/>
      <c r="TOZ617" s="559"/>
      <c r="TPA617" s="559"/>
      <c r="TPB617" s="559"/>
      <c r="TPC617" s="559"/>
      <c r="TPD617" s="559"/>
      <c r="TPE617" s="559"/>
      <c r="TPF617" s="559"/>
      <c r="TPG617" s="559"/>
      <c r="TPH617" s="559"/>
      <c r="TPI617" s="559"/>
      <c r="TPJ617" s="559"/>
      <c r="TPK617" s="559"/>
      <c r="TPL617" s="559"/>
      <c r="TPM617" s="559"/>
      <c r="TPN617" s="559"/>
      <c r="TPO617" s="559"/>
      <c r="TPP617" s="559"/>
      <c r="TPQ617" s="559"/>
      <c r="TPR617" s="559"/>
      <c r="TPS617" s="559"/>
      <c r="TPT617" s="559"/>
      <c r="TPU617" s="559"/>
      <c r="TPV617" s="559"/>
      <c r="TPW617" s="559"/>
      <c r="TPX617" s="559"/>
      <c r="TPY617" s="559"/>
      <c r="TPZ617" s="559"/>
      <c r="TQA617" s="559"/>
      <c r="TQB617" s="559"/>
      <c r="TQC617" s="559"/>
      <c r="TQD617" s="559"/>
      <c r="TQE617" s="559"/>
      <c r="TQF617" s="559"/>
      <c r="TQG617" s="559"/>
      <c r="TQH617" s="559"/>
      <c r="TQI617" s="559"/>
      <c r="TQJ617" s="559"/>
      <c r="TQK617" s="559"/>
      <c r="TQL617" s="559"/>
      <c r="TQM617" s="559"/>
      <c r="TQN617" s="559"/>
      <c r="TQO617" s="559"/>
      <c r="TQP617" s="559"/>
      <c r="TQQ617" s="559"/>
      <c r="TQR617" s="559"/>
      <c r="TQS617" s="559"/>
      <c r="TQT617" s="559"/>
      <c r="TQU617" s="559"/>
      <c r="TQV617" s="559"/>
      <c r="TQW617" s="559"/>
      <c r="TQX617" s="559"/>
      <c r="TQY617" s="559"/>
      <c r="TQZ617" s="559"/>
      <c r="TRA617" s="559"/>
      <c r="TRB617" s="559"/>
      <c r="TRC617" s="559"/>
      <c r="TRD617" s="559"/>
      <c r="TRE617" s="559"/>
      <c r="TRF617" s="559"/>
      <c r="TRG617" s="559"/>
      <c r="TRH617" s="559"/>
      <c r="TRI617" s="559"/>
      <c r="TRJ617" s="559"/>
      <c r="TRK617" s="559"/>
      <c r="TRL617" s="559"/>
      <c r="TRM617" s="559"/>
      <c r="TRN617" s="559"/>
      <c r="TRO617" s="559"/>
      <c r="TRP617" s="559"/>
      <c r="TRQ617" s="559"/>
      <c r="TRR617" s="559"/>
      <c r="TRS617" s="559"/>
      <c r="TRT617" s="559"/>
      <c r="TRU617" s="559"/>
      <c r="TRV617" s="559"/>
      <c r="TRW617" s="559"/>
      <c r="TRX617" s="559"/>
      <c r="TRY617" s="559"/>
      <c r="TRZ617" s="559"/>
      <c r="TSA617" s="559"/>
      <c r="TSB617" s="559"/>
      <c r="TSC617" s="559"/>
      <c r="TSD617" s="559"/>
      <c r="TSE617" s="559"/>
      <c r="TSF617" s="559"/>
      <c r="TSG617" s="559"/>
      <c r="TSH617" s="559"/>
      <c r="TSI617" s="559"/>
      <c r="TSJ617" s="559"/>
      <c r="TSK617" s="559"/>
      <c r="TSL617" s="559"/>
      <c r="TSM617" s="559"/>
      <c r="TSN617" s="559"/>
      <c r="TSO617" s="559"/>
      <c r="TSP617" s="559"/>
      <c r="TSQ617" s="559"/>
      <c r="TSR617" s="559"/>
      <c r="TSS617" s="559"/>
      <c r="TST617" s="559"/>
      <c r="TSU617" s="559"/>
      <c r="TSV617" s="559"/>
      <c r="TSW617" s="559"/>
      <c r="TSX617" s="559"/>
      <c r="TSY617" s="559"/>
      <c r="TSZ617" s="559"/>
      <c r="TTA617" s="559"/>
      <c r="TTB617" s="559"/>
      <c r="TTC617" s="559"/>
      <c r="TTD617" s="559"/>
      <c r="TTE617" s="559"/>
      <c r="TTF617" s="559"/>
      <c r="TTG617" s="559"/>
      <c r="TTH617" s="559"/>
      <c r="TTI617" s="559"/>
      <c r="TTJ617" s="559"/>
      <c r="TTK617" s="559"/>
      <c r="TTL617" s="559"/>
      <c r="TTM617" s="559"/>
      <c r="TTN617" s="559"/>
      <c r="TTO617" s="559"/>
      <c r="TTP617" s="559"/>
      <c r="TTQ617" s="559"/>
      <c r="TTR617" s="559"/>
      <c r="TTS617" s="559"/>
      <c r="TTT617" s="559"/>
      <c r="TTU617" s="559"/>
      <c r="TTV617" s="559"/>
      <c r="TTW617" s="559"/>
      <c r="TTX617" s="559"/>
      <c r="TTY617" s="559"/>
      <c r="TTZ617" s="559"/>
      <c r="TUA617" s="559"/>
      <c r="TUB617" s="559"/>
      <c r="TUC617" s="559"/>
      <c r="TUD617" s="559"/>
      <c r="TUE617" s="559"/>
      <c r="TUF617" s="559"/>
      <c r="TUG617" s="559"/>
      <c r="TUH617" s="559"/>
      <c r="TUI617" s="559"/>
      <c r="TUJ617" s="559"/>
      <c r="TUK617" s="559"/>
      <c r="TUL617" s="559"/>
      <c r="TUM617" s="559"/>
      <c r="TUN617" s="559"/>
      <c r="TUO617" s="559"/>
      <c r="TUP617" s="559"/>
      <c r="TUQ617" s="559"/>
      <c r="TUR617" s="559"/>
      <c r="TUS617" s="559"/>
      <c r="TUT617" s="559"/>
      <c r="TUU617" s="559"/>
      <c r="TUV617" s="559"/>
      <c r="TUW617" s="559"/>
      <c r="TUX617" s="559"/>
      <c r="TUY617" s="559"/>
      <c r="TUZ617" s="559"/>
      <c r="TVA617" s="559"/>
      <c r="TVB617" s="559"/>
      <c r="TVC617" s="559"/>
      <c r="TVD617" s="559"/>
      <c r="TVE617" s="559"/>
      <c r="TVF617" s="559"/>
      <c r="TVG617" s="559"/>
      <c r="TVH617" s="559"/>
      <c r="TVI617" s="559"/>
      <c r="TVJ617" s="559"/>
      <c r="TVK617" s="559"/>
      <c r="TVL617" s="559"/>
      <c r="TVM617" s="559"/>
      <c r="TVN617" s="559"/>
      <c r="TVO617" s="559"/>
      <c r="TVP617" s="559"/>
      <c r="TVQ617" s="559"/>
      <c r="TVR617" s="559"/>
      <c r="TVS617" s="559"/>
      <c r="TVT617" s="559"/>
      <c r="TVU617" s="559"/>
      <c r="TVV617" s="559"/>
      <c r="TVW617" s="559"/>
      <c r="TVX617" s="559"/>
      <c r="TVY617" s="559"/>
      <c r="TVZ617" s="559"/>
      <c r="TWA617" s="559"/>
      <c r="TWB617" s="559"/>
      <c r="TWC617" s="559"/>
      <c r="TWD617" s="559"/>
      <c r="TWE617" s="559"/>
      <c r="TWF617" s="559"/>
      <c r="TWG617" s="559"/>
      <c r="TWH617" s="559"/>
      <c r="TWI617" s="559"/>
      <c r="TWJ617" s="559"/>
      <c r="TWK617" s="559"/>
      <c r="TWL617" s="559"/>
      <c r="TWM617" s="559"/>
      <c r="TWN617" s="559"/>
      <c r="TWO617" s="559"/>
      <c r="TWP617" s="559"/>
      <c r="TWQ617" s="559"/>
      <c r="TWR617" s="559"/>
      <c r="TWS617" s="559"/>
      <c r="TWT617" s="559"/>
      <c r="TWU617" s="559"/>
      <c r="TWV617" s="559"/>
      <c r="TWW617" s="559"/>
      <c r="TWX617" s="559"/>
      <c r="TWY617" s="559"/>
      <c r="TWZ617" s="559"/>
      <c r="TXA617" s="559"/>
      <c r="TXB617" s="559"/>
      <c r="TXC617" s="559"/>
      <c r="TXD617" s="559"/>
      <c r="TXE617" s="559"/>
      <c r="TXF617" s="559"/>
      <c r="TXG617" s="559"/>
      <c r="TXH617" s="559"/>
      <c r="TXI617" s="559"/>
      <c r="TXJ617" s="559"/>
      <c r="TXK617" s="559"/>
      <c r="TXL617" s="559"/>
      <c r="TXM617" s="559"/>
      <c r="TXN617" s="559"/>
      <c r="TXO617" s="559"/>
      <c r="TXP617" s="559"/>
      <c r="TXQ617" s="559"/>
      <c r="TXR617" s="559"/>
      <c r="TXS617" s="559"/>
      <c r="TXT617" s="559"/>
      <c r="TXU617" s="559"/>
      <c r="TXV617" s="559"/>
      <c r="TXW617" s="559"/>
      <c r="TXX617" s="559"/>
      <c r="TXY617" s="559"/>
      <c r="TXZ617" s="559"/>
      <c r="TYA617" s="559"/>
      <c r="TYB617" s="559"/>
      <c r="TYC617" s="559"/>
      <c r="TYD617" s="559"/>
      <c r="TYE617" s="559"/>
      <c r="TYF617" s="559"/>
      <c r="TYG617" s="559"/>
      <c r="TYH617" s="559"/>
      <c r="TYI617" s="559"/>
      <c r="TYJ617" s="559"/>
      <c r="TYK617" s="559"/>
      <c r="TYL617" s="559"/>
      <c r="TYM617" s="559"/>
      <c r="TYN617" s="559"/>
      <c r="TYO617" s="559"/>
      <c r="TYP617" s="559"/>
      <c r="TYQ617" s="559"/>
      <c r="TYR617" s="559"/>
      <c r="TYS617" s="559"/>
      <c r="TYT617" s="559"/>
      <c r="TYU617" s="559"/>
      <c r="TYV617" s="559"/>
      <c r="TYW617" s="559"/>
      <c r="TYX617" s="559"/>
      <c r="TYY617" s="559"/>
      <c r="TYZ617" s="559"/>
      <c r="TZA617" s="559"/>
      <c r="TZB617" s="559"/>
      <c r="TZC617" s="559"/>
      <c r="TZD617" s="559"/>
      <c r="TZE617" s="559"/>
      <c r="TZF617" s="559"/>
      <c r="TZG617" s="559"/>
      <c r="TZH617" s="559"/>
      <c r="TZI617" s="559"/>
      <c r="TZJ617" s="559"/>
      <c r="TZK617" s="559"/>
      <c r="TZL617" s="559"/>
      <c r="TZM617" s="559"/>
      <c r="TZN617" s="559"/>
      <c r="TZO617" s="559"/>
      <c r="TZP617" s="559"/>
      <c r="TZQ617" s="559"/>
      <c r="TZR617" s="559"/>
      <c r="TZS617" s="559"/>
      <c r="TZT617" s="559"/>
      <c r="TZU617" s="559"/>
      <c r="TZV617" s="559"/>
      <c r="TZW617" s="559"/>
      <c r="TZX617" s="559"/>
      <c r="TZY617" s="559"/>
      <c r="TZZ617" s="559"/>
      <c r="UAA617" s="559"/>
      <c r="UAB617" s="559"/>
      <c r="UAC617" s="559"/>
      <c r="UAD617" s="559"/>
      <c r="UAE617" s="559"/>
      <c r="UAF617" s="559"/>
      <c r="UAG617" s="559"/>
      <c r="UAH617" s="559"/>
      <c r="UAI617" s="559"/>
      <c r="UAJ617" s="559"/>
      <c r="UAK617" s="559"/>
      <c r="UAL617" s="559"/>
      <c r="UAM617" s="559"/>
      <c r="UAN617" s="559"/>
      <c r="UAO617" s="559"/>
      <c r="UAP617" s="559"/>
      <c r="UAQ617" s="559"/>
      <c r="UAR617" s="559"/>
      <c r="UAS617" s="559"/>
      <c r="UAT617" s="559"/>
      <c r="UAU617" s="559"/>
      <c r="UAV617" s="559"/>
      <c r="UAW617" s="559"/>
      <c r="UAX617" s="559"/>
      <c r="UAY617" s="559"/>
      <c r="UAZ617" s="559"/>
      <c r="UBA617" s="559"/>
      <c r="UBB617" s="559"/>
      <c r="UBC617" s="559"/>
      <c r="UBD617" s="559"/>
      <c r="UBE617" s="559"/>
      <c r="UBF617" s="559"/>
      <c r="UBG617" s="559"/>
      <c r="UBH617" s="559"/>
      <c r="UBI617" s="559"/>
      <c r="UBJ617" s="559"/>
      <c r="UBK617" s="559"/>
      <c r="UBL617" s="559"/>
      <c r="UBM617" s="559"/>
      <c r="UBN617" s="559"/>
      <c r="UBO617" s="559"/>
      <c r="UBP617" s="559"/>
      <c r="UBQ617" s="559"/>
      <c r="UBR617" s="559"/>
      <c r="UBS617" s="559"/>
      <c r="UBT617" s="559"/>
      <c r="UBU617" s="559"/>
      <c r="UBV617" s="559"/>
      <c r="UBW617" s="559"/>
      <c r="UBX617" s="559"/>
      <c r="UBY617" s="559"/>
      <c r="UBZ617" s="559"/>
      <c r="UCA617" s="559"/>
      <c r="UCB617" s="559"/>
      <c r="UCC617" s="559"/>
      <c r="UCD617" s="559"/>
      <c r="UCE617" s="559"/>
      <c r="UCF617" s="559"/>
      <c r="UCG617" s="559"/>
      <c r="UCH617" s="559"/>
      <c r="UCI617" s="559"/>
      <c r="UCJ617" s="559"/>
      <c r="UCK617" s="559"/>
      <c r="UCL617" s="559"/>
      <c r="UCM617" s="559"/>
      <c r="UCN617" s="559"/>
      <c r="UCO617" s="559"/>
      <c r="UCP617" s="559"/>
      <c r="UCQ617" s="559"/>
      <c r="UCR617" s="559"/>
      <c r="UCS617" s="559"/>
      <c r="UCT617" s="559"/>
      <c r="UCU617" s="559"/>
      <c r="UCV617" s="559"/>
      <c r="UCW617" s="559"/>
      <c r="UCX617" s="559"/>
      <c r="UCY617" s="559"/>
      <c r="UCZ617" s="559"/>
      <c r="UDA617" s="559"/>
      <c r="UDB617" s="559"/>
      <c r="UDC617" s="559"/>
      <c r="UDD617" s="559"/>
      <c r="UDE617" s="559"/>
      <c r="UDF617" s="559"/>
      <c r="UDG617" s="559"/>
      <c r="UDH617" s="559"/>
      <c r="UDI617" s="559"/>
      <c r="UDJ617" s="559"/>
      <c r="UDK617" s="559"/>
      <c r="UDL617" s="559"/>
      <c r="UDM617" s="559"/>
      <c r="UDN617" s="559"/>
      <c r="UDO617" s="559"/>
      <c r="UDP617" s="559"/>
      <c r="UDQ617" s="559"/>
      <c r="UDR617" s="559"/>
      <c r="UDS617" s="559"/>
      <c r="UDT617" s="559"/>
      <c r="UDU617" s="559"/>
      <c r="UDV617" s="559"/>
      <c r="UDW617" s="559"/>
      <c r="UDX617" s="559"/>
      <c r="UDY617" s="559"/>
      <c r="UDZ617" s="559"/>
      <c r="UEA617" s="559"/>
      <c r="UEB617" s="559"/>
      <c r="UEC617" s="559"/>
      <c r="UED617" s="559"/>
      <c r="UEE617" s="559"/>
      <c r="UEF617" s="559"/>
      <c r="UEG617" s="559"/>
      <c r="UEH617" s="559"/>
      <c r="UEI617" s="559"/>
      <c r="UEJ617" s="559"/>
      <c r="UEK617" s="559"/>
      <c r="UEL617" s="559"/>
      <c r="UEM617" s="559"/>
      <c r="UEN617" s="559"/>
      <c r="UEO617" s="559"/>
      <c r="UEP617" s="559"/>
      <c r="UEQ617" s="559"/>
      <c r="UER617" s="559"/>
      <c r="UES617" s="559"/>
      <c r="UET617" s="559"/>
      <c r="UEU617" s="559"/>
      <c r="UEV617" s="559"/>
      <c r="UEW617" s="559"/>
      <c r="UEX617" s="559"/>
      <c r="UEY617" s="559"/>
      <c r="UEZ617" s="559"/>
      <c r="UFA617" s="559"/>
      <c r="UFB617" s="559"/>
      <c r="UFC617" s="559"/>
      <c r="UFD617" s="559"/>
      <c r="UFE617" s="559"/>
      <c r="UFF617" s="559"/>
      <c r="UFG617" s="559"/>
      <c r="UFH617" s="559"/>
      <c r="UFI617" s="559"/>
      <c r="UFJ617" s="559"/>
      <c r="UFK617" s="559"/>
      <c r="UFL617" s="559"/>
      <c r="UFM617" s="559"/>
      <c r="UFN617" s="559"/>
      <c r="UFO617" s="559"/>
      <c r="UFP617" s="559"/>
      <c r="UFQ617" s="559"/>
      <c r="UFR617" s="559"/>
      <c r="UFS617" s="559"/>
      <c r="UFT617" s="559"/>
      <c r="UFU617" s="559"/>
      <c r="UFV617" s="559"/>
      <c r="UFW617" s="559"/>
      <c r="UFX617" s="559"/>
      <c r="UFY617" s="559"/>
      <c r="UFZ617" s="559"/>
      <c r="UGA617" s="559"/>
      <c r="UGB617" s="559"/>
      <c r="UGC617" s="559"/>
      <c r="UGD617" s="559"/>
      <c r="UGE617" s="559"/>
      <c r="UGF617" s="559"/>
      <c r="UGG617" s="559"/>
      <c r="UGH617" s="559"/>
      <c r="UGI617" s="559"/>
      <c r="UGJ617" s="559"/>
      <c r="UGK617" s="559"/>
      <c r="UGL617" s="559"/>
      <c r="UGM617" s="559"/>
      <c r="UGN617" s="559"/>
      <c r="UGO617" s="559"/>
      <c r="UGP617" s="559"/>
      <c r="UGQ617" s="559"/>
      <c r="UGR617" s="559"/>
      <c r="UGS617" s="559"/>
      <c r="UGT617" s="559"/>
      <c r="UGU617" s="559"/>
      <c r="UGV617" s="559"/>
      <c r="UGW617" s="559"/>
      <c r="UGX617" s="559"/>
      <c r="UGY617" s="559"/>
      <c r="UGZ617" s="559"/>
      <c r="UHA617" s="559"/>
      <c r="UHB617" s="559"/>
      <c r="UHC617" s="559"/>
      <c r="UHD617" s="559"/>
      <c r="UHE617" s="559"/>
      <c r="UHF617" s="559"/>
      <c r="UHG617" s="559"/>
      <c r="UHH617" s="559"/>
      <c r="UHI617" s="559"/>
      <c r="UHJ617" s="559"/>
      <c r="UHK617" s="559"/>
      <c r="UHL617" s="559"/>
      <c r="UHM617" s="559"/>
      <c r="UHN617" s="559"/>
      <c r="UHO617" s="559"/>
      <c r="UHP617" s="559"/>
      <c r="UHQ617" s="559"/>
      <c r="UHR617" s="559"/>
      <c r="UHS617" s="559"/>
      <c r="UHT617" s="559"/>
      <c r="UHU617" s="559"/>
      <c r="UHV617" s="559"/>
      <c r="UHW617" s="559"/>
      <c r="UHX617" s="559"/>
      <c r="UHY617" s="559"/>
      <c r="UHZ617" s="559"/>
      <c r="UIA617" s="559"/>
      <c r="UIB617" s="559"/>
      <c r="UIC617" s="559"/>
      <c r="UID617" s="559"/>
      <c r="UIE617" s="559"/>
      <c r="UIF617" s="559"/>
      <c r="UIG617" s="559"/>
      <c r="UIH617" s="559"/>
      <c r="UII617" s="559"/>
      <c r="UIJ617" s="559"/>
      <c r="UIK617" s="559"/>
      <c r="UIL617" s="559"/>
      <c r="UIM617" s="559"/>
      <c r="UIN617" s="559"/>
      <c r="UIO617" s="559"/>
      <c r="UIP617" s="559"/>
      <c r="UIQ617" s="559"/>
      <c r="UIR617" s="559"/>
      <c r="UIS617" s="559"/>
      <c r="UIT617" s="559"/>
      <c r="UIU617" s="559"/>
      <c r="UIV617" s="559"/>
      <c r="UIW617" s="559"/>
      <c r="UIX617" s="559"/>
      <c r="UIY617" s="559"/>
      <c r="UIZ617" s="559"/>
      <c r="UJA617" s="559"/>
      <c r="UJB617" s="559"/>
      <c r="UJC617" s="559"/>
      <c r="UJD617" s="559"/>
      <c r="UJE617" s="559"/>
      <c r="UJF617" s="559"/>
      <c r="UJG617" s="559"/>
      <c r="UJH617" s="559"/>
      <c r="UJI617" s="559"/>
      <c r="UJJ617" s="559"/>
      <c r="UJK617" s="559"/>
      <c r="UJL617" s="559"/>
      <c r="UJM617" s="559"/>
      <c r="UJN617" s="559"/>
      <c r="UJO617" s="559"/>
      <c r="UJP617" s="559"/>
      <c r="UJQ617" s="559"/>
      <c r="UJR617" s="559"/>
      <c r="UJS617" s="559"/>
      <c r="UJT617" s="559"/>
      <c r="UJU617" s="559"/>
      <c r="UJV617" s="559"/>
      <c r="UJW617" s="559"/>
      <c r="UJX617" s="559"/>
      <c r="UJY617" s="559"/>
      <c r="UJZ617" s="559"/>
      <c r="UKA617" s="559"/>
      <c r="UKB617" s="559"/>
      <c r="UKC617" s="559"/>
      <c r="UKD617" s="559"/>
      <c r="UKE617" s="559"/>
      <c r="UKF617" s="559"/>
      <c r="UKG617" s="559"/>
      <c r="UKH617" s="559"/>
      <c r="UKI617" s="559"/>
      <c r="UKJ617" s="559"/>
      <c r="UKK617" s="559"/>
      <c r="UKL617" s="559"/>
      <c r="UKM617" s="559"/>
      <c r="UKN617" s="559"/>
      <c r="UKO617" s="559"/>
      <c r="UKP617" s="559"/>
      <c r="UKQ617" s="559"/>
      <c r="UKR617" s="559"/>
      <c r="UKS617" s="559"/>
      <c r="UKT617" s="559"/>
      <c r="UKU617" s="559"/>
      <c r="UKV617" s="559"/>
      <c r="UKW617" s="559"/>
      <c r="UKX617" s="559"/>
      <c r="UKY617" s="559"/>
      <c r="UKZ617" s="559"/>
      <c r="ULA617" s="559"/>
      <c r="ULB617" s="559"/>
      <c r="ULC617" s="559"/>
      <c r="ULD617" s="559"/>
      <c r="ULE617" s="559"/>
      <c r="ULF617" s="559"/>
      <c r="ULG617" s="559"/>
      <c r="ULH617" s="559"/>
      <c r="ULI617" s="559"/>
      <c r="ULJ617" s="559"/>
      <c r="ULK617" s="559"/>
      <c r="ULL617" s="559"/>
      <c r="ULM617" s="559"/>
      <c r="ULN617" s="559"/>
      <c r="ULO617" s="559"/>
      <c r="ULP617" s="559"/>
      <c r="ULQ617" s="559"/>
      <c r="ULR617" s="559"/>
      <c r="ULS617" s="559"/>
      <c r="ULT617" s="559"/>
      <c r="ULU617" s="559"/>
      <c r="ULV617" s="559"/>
      <c r="ULW617" s="559"/>
      <c r="ULX617" s="559"/>
      <c r="ULY617" s="559"/>
      <c r="ULZ617" s="559"/>
      <c r="UMA617" s="559"/>
      <c r="UMB617" s="559"/>
      <c r="UMC617" s="559"/>
      <c r="UMD617" s="559"/>
      <c r="UME617" s="559"/>
      <c r="UMF617" s="559"/>
      <c r="UMG617" s="559"/>
      <c r="UMH617" s="559"/>
      <c r="UMI617" s="559"/>
      <c r="UMJ617" s="559"/>
      <c r="UMK617" s="559"/>
      <c r="UML617" s="559"/>
      <c r="UMM617" s="559"/>
      <c r="UMN617" s="559"/>
      <c r="UMO617" s="559"/>
      <c r="UMP617" s="559"/>
      <c r="UMQ617" s="559"/>
      <c r="UMR617" s="559"/>
      <c r="UMS617" s="559"/>
      <c r="UMT617" s="559"/>
      <c r="UMU617" s="559"/>
      <c r="UMV617" s="559"/>
      <c r="UMW617" s="559"/>
      <c r="UMX617" s="559"/>
      <c r="UMY617" s="559"/>
      <c r="UMZ617" s="559"/>
      <c r="UNA617" s="559"/>
      <c r="UNB617" s="559"/>
      <c r="UNC617" s="559"/>
      <c r="UND617" s="559"/>
      <c r="UNE617" s="559"/>
      <c r="UNF617" s="559"/>
      <c r="UNG617" s="559"/>
      <c r="UNH617" s="559"/>
      <c r="UNI617" s="559"/>
      <c r="UNJ617" s="559"/>
      <c r="UNK617" s="559"/>
      <c r="UNL617" s="559"/>
      <c r="UNM617" s="559"/>
      <c r="UNN617" s="559"/>
      <c r="UNO617" s="559"/>
      <c r="UNP617" s="559"/>
      <c r="UNQ617" s="559"/>
      <c r="UNR617" s="559"/>
      <c r="UNS617" s="559"/>
      <c r="UNT617" s="559"/>
      <c r="UNU617" s="559"/>
      <c r="UNV617" s="559"/>
      <c r="UNW617" s="559"/>
      <c r="UNX617" s="559"/>
      <c r="UNY617" s="559"/>
      <c r="UNZ617" s="559"/>
      <c r="UOA617" s="559"/>
      <c r="UOB617" s="559"/>
      <c r="UOC617" s="559"/>
      <c r="UOD617" s="559"/>
      <c r="UOE617" s="559"/>
      <c r="UOF617" s="559"/>
      <c r="UOG617" s="559"/>
      <c r="UOH617" s="559"/>
      <c r="UOI617" s="559"/>
      <c r="UOJ617" s="559"/>
      <c r="UOK617" s="559"/>
      <c r="UOL617" s="559"/>
      <c r="UOM617" s="559"/>
      <c r="UON617" s="559"/>
      <c r="UOO617" s="559"/>
      <c r="UOP617" s="559"/>
      <c r="UOQ617" s="559"/>
      <c r="UOR617" s="559"/>
      <c r="UOS617" s="559"/>
      <c r="UOT617" s="559"/>
      <c r="UOU617" s="559"/>
      <c r="UOV617" s="559"/>
      <c r="UOW617" s="559"/>
      <c r="UOX617" s="559"/>
      <c r="UOY617" s="559"/>
      <c r="UOZ617" s="559"/>
      <c r="UPA617" s="559"/>
      <c r="UPB617" s="559"/>
      <c r="UPC617" s="559"/>
      <c r="UPD617" s="559"/>
      <c r="UPE617" s="559"/>
      <c r="UPF617" s="559"/>
      <c r="UPG617" s="559"/>
      <c r="UPH617" s="559"/>
      <c r="UPI617" s="559"/>
      <c r="UPJ617" s="559"/>
      <c r="UPK617" s="559"/>
      <c r="UPL617" s="559"/>
      <c r="UPM617" s="559"/>
      <c r="UPN617" s="559"/>
      <c r="UPO617" s="559"/>
      <c r="UPP617" s="559"/>
      <c r="UPQ617" s="559"/>
      <c r="UPR617" s="559"/>
      <c r="UPS617" s="559"/>
      <c r="UPT617" s="559"/>
      <c r="UPU617" s="559"/>
      <c r="UPV617" s="559"/>
      <c r="UPW617" s="559"/>
      <c r="UPX617" s="559"/>
      <c r="UPY617" s="559"/>
      <c r="UPZ617" s="559"/>
      <c r="UQA617" s="559"/>
      <c r="UQB617" s="559"/>
      <c r="UQC617" s="559"/>
      <c r="UQD617" s="559"/>
      <c r="UQE617" s="559"/>
      <c r="UQF617" s="559"/>
      <c r="UQG617" s="559"/>
      <c r="UQH617" s="559"/>
      <c r="UQI617" s="559"/>
      <c r="UQJ617" s="559"/>
      <c r="UQK617" s="559"/>
      <c r="UQL617" s="559"/>
      <c r="UQM617" s="559"/>
      <c r="UQN617" s="559"/>
      <c r="UQO617" s="559"/>
      <c r="UQP617" s="559"/>
      <c r="UQQ617" s="559"/>
      <c r="UQR617" s="559"/>
      <c r="UQS617" s="559"/>
      <c r="UQT617" s="559"/>
      <c r="UQU617" s="559"/>
      <c r="UQV617" s="559"/>
      <c r="UQW617" s="559"/>
      <c r="UQX617" s="559"/>
      <c r="UQY617" s="559"/>
      <c r="UQZ617" s="559"/>
      <c r="URA617" s="559"/>
      <c r="URB617" s="559"/>
      <c r="URC617" s="559"/>
      <c r="URD617" s="559"/>
      <c r="URE617" s="559"/>
      <c r="URF617" s="559"/>
      <c r="URG617" s="559"/>
      <c r="URH617" s="559"/>
      <c r="URI617" s="559"/>
      <c r="URJ617" s="559"/>
      <c r="URK617" s="559"/>
      <c r="URL617" s="559"/>
      <c r="URM617" s="559"/>
      <c r="URN617" s="559"/>
      <c r="URO617" s="559"/>
      <c r="URP617" s="559"/>
      <c r="URQ617" s="559"/>
      <c r="URR617" s="559"/>
      <c r="URS617" s="559"/>
      <c r="URT617" s="559"/>
      <c r="URU617" s="559"/>
      <c r="URV617" s="559"/>
      <c r="URW617" s="559"/>
      <c r="URX617" s="559"/>
      <c r="URY617" s="559"/>
      <c r="URZ617" s="559"/>
      <c r="USA617" s="559"/>
      <c r="USB617" s="559"/>
      <c r="USC617" s="559"/>
      <c r="USD617" s="559"/>
      <c r="USE617" s="559"/>
      <c r="USF617" s="559"/>
      <c r="USG617" s="559"/>
      <c r="USH617" s="559"/>
      <c r="USI617" s="559"/>
      <c r="USJ617" s="559"/>
      <c r="USK617" s="559"/>
      <c r="USL617" s="559"/>
      <c r="USM617" s="559"/>
      <c r="USN617" s="559"/>
      <c r="USO617" s="559"/>
      <c r="USP617" s="559"/>
      <c r="USQ617" s="559"/>
      <c r="USR617" s="559"/>
      <c r="USS617" s="559"/>
      <c r="UST617" s="559"/>
      <c r="USU617" s="559"/>
      <c r="USV617" s="559"/>
      <c r="USW617" s="559"/>
      <c r="USX617" s="559"/>
      <c r="USY617" s="559"/>
      <c r="USZ617" s="559"/>
      <c r="UTA617" s="559"/>
      <c r="UTB617" s="559"/>
      <c r="UTC617" s="559"/>
      <c r="UTD617" s="559"/>
      <c r="UTE617" s="559"/>
      <c r="UTF617" s="559"/>
      <c r="UTG617" s="559"/>
      <c r="UTH617" s="559"/>
      <c r="UTI617" s="559"/>
      <c r="UTJ617" s="559"/>
      <c r="UTK617" s="559"/>
      <c r="UTL617" s="559"/>
      <c r="UTM617" s="559"/>
      <c r="UTN617" s="559"/>
      <c r="UTO617" s="559"/>
      <c r="UTP617" s="559"/>
      <c r="UTQ617" s="559"/>
      <c r="UTR617" s="559"/>
      <c r="UTS617" s="559"/>
      <c r="UTT617" s="559"/>
      <c r="UTU617" s="559"/>
      <c r="UTV617" s="559"/>
      <c r="UTW617" s="559"/>
      <c r="UTX617" s="559"/>
      <c r="UTY617" s="559"/>
      <c r="UTZ617" s="559"/>
      <c r="UUA617" s="559"/>
      <c r="UUB617" s="559"/>
      <c r="UUC617" s="559"/>
      <c r="UUD617" s="559"/>
      <c r="UUE617" s="559"/>
      <c r="UUF617" s="559"/>
      <c r="UUG617" s="559"/>
      <c r="UUH617" s="559"/>
      <c r="UUI617" s="559"/>
      <c r="UUJ617" s="559"/>
      <c r="UUK617" s="559"/>
      <c r="UUL617" s="559"/>
      <c r="UUM617" s="559"/>
      <c r="UUN617" s="559"/>
      <c r="UUO617" s="559"/>
      <c r="UUP617" s="559"/>
      <c r="UUQ617" s="559"/>
      <c r="UUR617" s="559"/>
      <c r="UUS617" s="559"/>
      <c r="UUT617" s="559"/>
      <c r="UUU617" s="559"/>
      <c r="UUV617" s="559"/>
      <c r="UUW617" s="559"/>
      <c r="UUX617" s="559"/>
      <c r="UUY617" s="559"/>
      <c r="UUZ617" s="559"/>
      <c r="UVA617" s="559"/>
      <c r="UVB617" s="559"/>
      <c r="UVC617" s="559"/>
      <c r="UVD617" s="559"/>
      <c r="UVE617" s="559"/>
      <c r="UVF617" s="559"/>
      <c r="UVG617" s="559"/>
      <c r="UVH617" s="559"/>
      <c r="UVI617" s="559"/>
      <c r="UVJ617" s="559"/>
      <c r="UVK617" s="559"/>
      <c r="UVL617" s="559"/>
      <c r="UVM617" s="559"/>
      <c r="UVN617" s="559"/>
      <c r="UVO617" s="559"/>
      <c r="UVP617" s="559"/>
      <c r="UVQ617" s="559"/>
      <c r="UVR617" s="559"/>
      <c r="UVS617" s="559"/>
      <c r="UVT617" s="559"/>
      <c r="UVU617" s="559"/>
      <c r="UVV617" s="559"/>
      <c r="UVW617" s="559"/>
      <c r="UVX617" s="559"/>
      <c r="UVY617" s="559"/>
      <c r="UVZ617" s="559"/>
      <c r="UWA617" s="559"/>
      <c r="UWB617" s="559"/>
      <c r="UWC617" s="559"/>
      <c r="UWD617" s="559"/>
      <c r="UWE617" s="559"/>
      <c r="UWF617" s="559"/>
      <c r="UWG617" s="559"/>
      <c r="UWH617" s="559"/>
      <c r="UWI617" s="559"/>
      <c r="UWJ617" s="559"/>
      <c r="UWK617" s="559"/>
      <c r="UWL617" s="559"/>
      <c r="UWM617" s="559"/>
      <c r="UWN617" s="559"/>
      <c r="UWO617" s="559"/>
      <c r="UWP617" s="559"/>
      <c r="UWQ617" s="559"/>
      <c r="UWR617" s="559"/>
      <c r="UWS617" s="559"/>
      <c r="UWT617" s="559"/>
      <c r="UWU617" s="559"/>
      <c r="UWV617" s="559"/>
      <c r="UWW617" s="559"/>
      <c r="UWX617" s="559"/>
      <c r="UWY617" s="559"/>
      <c r="UWZ617" s="559"/>
      <c r="UXA617" s="559"/>
      <c r="UXB617" s="559"/>
      <c r="UXC617" s="559"/>
      <c r="UXD617" s="559"/>
      <c r="UXE617" s="559"/>
      <c r="UXF617" s="559"/>
      <c r="UXG617" s="559"/>
      <c r="UXH617" s="559"/>
      <c r="UXI617" s="559"/>
      <c r="UXJ617" s="559"/>
      <c r="UXK617" s="559"/>
      <c r="UXL617" s="559"/>
      <c r="UXM617" s="559"/>
      <c r="UXN617" s="559"/>
      <c r="UXO617" s="559"/>
      <c r="UXP617" s="559"/>
      <c r="UXQ617" s="559"/>
      <c r="UXR617" s="559"/>
      <c r="UXS617" s="559"/>
      <c r="UXT617" s="559"/>
      <c r="UXU617" s="559"/>
      <c r="UXV617" s="559"/>
      <c r="UXW617" s="559"/>
      <c r="UXX617" s="559"/>
      <c r="UXY617" s="559"/>
      <c r="UXZ617" s="559"/>
      <c r="UYA617" s="559"/>
      <c r="UYB617" s="559"/>
      <c r="UYC617" s="559"/>
      <c r="UYD617" s="559"/>
      <c r="UYE617" s="559"/>
      <c r="UYF617" s="559"/>
      <c r="UYG617" s="559"/>
      <c r="UYH617" s="559"/>
      <c r="UYI617" s="559"/>
      <c r="UYJ617" s="559"/>
      <c r="UYK617" s="559"/>
      <c r="UYL617" s="559"/>
      <c r="UYM617" s="559"/>
      <c r="UYN617" s="559"/>
      <c r="UYO617" s="559"/>
      <c r="UYP617" s="559"/>
      <c r="UYQ617" s="559"/>
      <c r="UYR617" s="559"/>
      <c r="UYS617" s="559"/>
      <c r="UYT617" s="559"/>
      <c r="UYU617" s="559"/>
      <c r="UYV617" s="559"/>
      <c r="UYW617" s="559"/>
      <c r="UYX617" s="559"/>
      <c r="UYY617" s="559"/>
      <c r="UYZ617" s="559"/>
      <c r="UZA617" s="559"/>
      <c r="UZB617" s="559"/>
      <c r="UZC617" s="559"/>
      <c r="UZD617" s="559"/>
      <c r="UZE617" s="559"/>
      <c r="UZF617" s="559"/>
      <c r="UZG617" s="559"/>
      <c r="UZH617" s="559"/>
      <c r="UZI617" s="559"/>
      <c r="UZJ617" s="559"/>
      <c r="UZK617" s="559"/>
      <c r="UZL617" s="559"/>
      <c r="UZM617" s="559"/>
      <c r="UZN617" s="559"/>
      <c r="UZO617" s="559"/>
      <c r="UZP617" s="559"/>
      <c r="UZQ617" s="559"/>
      <c r="UZR617" s="559"/>
      <c r="UZS617" s="559"/>
      <c r="UZT617" s="559"/>
      <c r="UZU617" s="559"/>
      <c r="UZV617" s="559"/>
      <c r="UZW617" s="559"/>
      <c r="UZX617" s="559"/>
      <c r="UZY617" s="559"/>
      <c r="UZZ617" s="559"/>
      <c r="VAA617" s="559"/>
      <c r="VAB617" s="559"/>
      <c r="VAC617" s="559"/>
      <c r="VAD617" s="559"/>
      <c r="VAE617" s="559"/>
      <c r="VAF617" s="559"/>
      <c r="VAG617" s="559"/>
      <c r="VAH617" s="559"/>
      <c r="VAI617" s="559"/>
      <c r="VAJ617" s="559"/>
      <c r="VAK617" s="559"/>
      <c r="VAL617" s="559"/>
      <c r="VAM617" s="559"/>
      <c r="VAN617" s="559"/>
      <c r="VAO617" s="559"/>
      <c r="VAP617" s="559"/>
      <c r="VAQ617" s="559"/>
      <c r="VAR617" s="559"/>
      <c r="VAS617" s="559"/>
      <c r="VAT617" s="559"/>
      <c r="VAU617" s="559"/>
      <c r="VAV617" s="559"/>
      <c r="VAW617" s="559"/>
      <c r="VAX617" s="559"/>
      <c r="VAY617" s="559"/>
      <c r="VAZ617" s="559"/>
      <c r="VBA617" s="559"/>
      <c r="VBB617" s="559"/>
      <c r="VBC617" s="559"/>
      <c r="VBD617" s="559"/>
      <c r="VBE617" s="559"/>
      <c r="VBF617" s="559"/>
      <c r="VBG617" s="559"/>
      <c r="VBH617" s="559"/>
      <c r="VBI617" s="559"/>
      <c r="VBJ617" s="559"/>
      <c r="VBK617" s="559"/>
      <c r="VBL617" s="559"/>
      <c r="VBM617" s="559"/>
      <c r="VBN617" s="559"/>
      <c r="VBO617" s="559"/>
      <c r="VBP617" s="559"/>
      <c r="VBQ617" s="559"/>
      <c r="VBR617" s="559"/>
      <c r="VBS617" s="559"/>
      <c r="VBT617" s="559"/>
      <c r="VBU617" s="559"/>
      <c r="VBV617" s="559"/>
      <c r="VBW617" s="559"/>
      <c r="VBX617" s="559"/>
      <c r="VBY617" s="559"/>
      <c r="VBZ617" s="559"/>
      <c r="VCA617" s="559"/>
      <c r="VCB617" s="559"/>
      <c r="VCC617" s="559"/>
      <c r="VCD617" s="559"/>
      <c r="VCE617" s="559"/>
      <c r="VCF617" s="559"/>
      <c r="VCG617" s="559"/>
      <c r="VCH617" s="559"/>
      <c r="VCI617" s="559"/>
      <c r="VCJ617" s="559"/>
      <c r="VCK617" s="559"/>
      <c r="VCL617" s="559"/>
      <c r="VCM617" s="559"/>
      <c r="VCN617" s="559"/>
      <c r="VCO617" s="559"/>
      <c r="VCP617" s="559"/>
      <c r="VCQ617" s="559"/>
      <c r="VCR617" s="559"/>
      <c r="VCS617" s="559"/>
      <c r="VCT617" s="559"/>
      <c r="VCU617" s="559"/>
      <c r="VCV617" s="559"/>
      <c r="VCW617" s="559"/>
      <c r="VCX617" s="559"/>
      <c r="VCY617" s="559"/>
      <c r="VCZ617" s="559"/>
      <c r="VDA617" s="559"/>
      <c r="VDB617" s="559"/>
      <c r="VDC617" s="559"/>
      <c r="VDD617" s="559"/>
      <c r="VDE617" s="559"/>
      <c r="VDF617" s="559"/>
      <c r="VDG617" s="559"/>
      <c r="VDH617" s="559"/>
      <c r="VDI617" s="559"/>
      <c r="VDJ617" s="559"/>
      <c r="VDK617" s="559"/>
      <c r="VDL617" s="559"/>
      <c r="VDM617" s="559"/>
      <c r="VDN617" s="559"/>
      <c r="VDO617" s="559"/>
      <c r="VDP617" s="559"/>
      <c r="VDQ617" s="559"/>
      <c r="VDR617" s="559"/>
      <c r="VDS617" s="559"/>
      <c r="VDT617" s="559"/>
      <c r="VDU617" s="559"/>
      <c r="VDV617" s="559"/>
      <c r="VDW617" s="559"/>
      <c r="VDX617" s="559"/>
      <c r="VDY617" s="559"/>
      <c r="VDZ617" s="559"/>
      <c r="VEA617" s="559"/>
      <c r="VEB617" s="559"/>
      <c r="VEC617" s="559"/>
      <c r="VED617" s="559"/>
      <c r="VEE617" s="559"/>
      <c r="VEF617" s="559"/>
      <c r="VEG617" s="559"/>
      <c r="VEH617" s="559"/>
      <c r="VEI617" s="559"/>
      <c r="VEJ617" s="559"/>
      <c r="VEK617" s="559"/>
      <c r="VEL617" s="559"/>
      <c r="VEM617" s="559"/>
      <c r="VEN617" s="559"/>
      <c r="VEO617" s="559"/>
      <c r="VEP617" s="559"/>
      <c r="VEQ617" s="559"/>
      <c r="VER617" s="559"/>
      <c r="VES617" s="559"/>
      <c r="VET617" s="559"/>
      <c r="VEU617" s="559"/>
      <c r="VEV617" s="559"/>
      <c r="VEW617" s="559"/>
      <c r="VEX617" s="559"/>
      <c r="VEY617" s="559"/>
      <c r="VEZ617" s="559"/>
      <c r="VFA617" s="559"/>
      <c r="VFB617" s="559"/>
      <c r="VFC617" s="559"/>
      <c r="VFD617" s="559"/>
      <c r="VFE617" s="559"/>
      <c r="VFF617" s="559"/>
      <c r="VFG617" s="559"/>
      <c r="VFH617" s="559"/>
      <c r="VFI617" s="559"/>
      <c r="VFJ617" s="559"/>
      <c r="VFK617" s="559"/>
      <c r="VFL617" s="559"/>
      <c r="VFM617" s="559"/>
      <c r="VFN617" s="559"/>
      <c r="VFO617" s="559"/>
      <c r="VFP617" s="559"/>
      <c r="VFQ617" s="559"/>
      <c r="VFR617" s="559"/>
      <c r="VFS617" s="559"/>
      <c r="VFT617" s="559"/>
      <c r="VFU617" s="559"/>
      <c r="VFV617" s="559"/>
      <c r="VFW617" s="559"/>
      <c r="VFX617" s="559"/>
      <c r="VFY617" s="559"/>
      <c r="VFZ617" s="559"/>
      <c r="VGA617" s="559"/>
      <c r="VGB617" s="559"/>
      <c r="VGC617" s="559"/>
      <c r="VGD617" s="559"/>
      <c r="VGE617" s="559"/>
      <c r="VGF617" s="559"/>
      <c r="VGG617" s="559"/>
      <c r="VGH617" s="559"/>
      <c r="VGI617" s="559"/>
      <c r="VGJ617" s="559"/>
      <c r="VGK617" s="559"/>
      <c r="VGL617" s="559"/>
      <c r="VGM617" s="559"/>
      <c r="VGN617" s="559"/>
      <c r="VGO617" s="559"/>
      <c r="VGP617" s="559"/>
      <c r="VGQ617" s="559"/>
      <c r="VGR617" s="559"/>
      <c r="VGS617" s="559"/>
      <c r="VGT617" s="559"/>
      <c r="VGU617" s="559"/>
      <c r="VGV617" s="559"/>
      <c r="VGW617" s="559"/>
      <c r="VGX617" s="559"/>
      <c r="VGY617" s="559"/>
      <c r="VGZ617" s="559"/>
      <c r="VHA617" s="559"/>
      <c r="VHB617" s="559"/>
      <c r="VHC617" s="559"/>
      <c r="VHD617" s="559"/>
      <c r="VHE617" s="559"/>
      <c r="VHF617" s="559"/>
      <c r="VHG617" s="559"/>
      <c r="VHH617" s="559"/>
      <c r="VHI617" s="559"/>
      <c r="VHJ617" s="559"/>
      <c r="VHK617" s="559"/>
      <c r="VHL617" s="559"/>
      <c r="VHM617" s="559"/>
      <c r="VHN617" s="559"/>
      <c r="VHO617" s="559"/>
      <c r="VHP617" s="559"/>
      <c r="VHQ617" s="559"/>
      <c r="VHR617" s="559"/>
      <c r="VHS617" s="559"/>
      <c r="VHT617" s="559"/>
      <c r="VHU617" s="559"/>
      <c r="VHV617" s="559"/>
      <c r="VHW617" s="559"/>
      <c r="VHX617" s="559"/>
      <c r="VHY617" s="559"/>
      <c r="VHZ617" s="559"/>
      <c r="VIA617" s="559"/>
      <c r="VIB617" s="559"/>
      <c r="VIC617" s="559"/>
      <c r="VID617" s="559"/>
      <c r="VIE617" s="559"/>
      <c r="VIF617" s="559"/>
      <c r="VIG617" s="559"/>
      <c r="VIH617" s="559"/>
      <c r="VII617" s="559"/>
      <c r="VIJ617" s="559"/>
      <c r="VIK617" s="559"/>
      <c r="VIL617" s="559"/>
      <c r="VIM617" s="559"/>
      <c r="VIN617" s="559"/>
      <c r="VIO617" s="559"/>
      <c r="VIP617" s="559"/>
      <c r="VIQ617" s="559"/>
      <c r="VIR617" s="559"/>
      <c r="VIS617" s="559"/>
      <c r="VIT617" s="559"/>
      <c r="VIU617" s="559"/>
      <c r="VIV617" s="559"/>
      <c r="VIW617" s="559"/>
      <c r="VIX617" s="559"/>
      <c r="VIY617" s="559"/>
      <c r="VIZ617" s="559"/>
      <c r="VJA617" s="559"/>
      <c r="VJB617" s="559"/>
      <c r="VJC617" s="559"/>
      <c r="VJD617" s="559"/>
      <c r="VJE617" s="559"/>
      <c r="VJF617" s="559"/>
      <c r="VJG617" s="559"/>
      <c r="VJH617" s="559"/>
      <c r="VJI617" s="559"/>
      <c r="VJJ617" s="559"/>
      <c r="VJK617" s="559"/>
      <c r="VJL617" s="559"/>
      <c r="VJM617" s="559"/>
      <c r="VJN617" s="559"/>
      <c r="VJO617" s="559"/>
      <c r="VJP617" s="559"/>
      <c r="VJQ617" s="559"/>
      <c r="VJR617" s="559"/>
      <c r="VJS617" s="559"/>
      <c r="VJT617" s="559"/>
      <c r="VJU617" s="559"/>
      <c r="VJV617" s="559"/>
      <c r="VJW617" s="559"/>
      <c r="VJX617" s="559"/>
      <c r="VJY617" s="559"/>
      <c r="VJZ617" s="559"/>
      <c r="VKA617" s="559"/>
      <c r="VKB617" s="559"/>
      <c r="VKC617" s="559"/>
      <c r="VKD617" s="559"/>
      <c r="VKE617" s="559"/>
      <c r="VKF617" s="559"/>
      <c r="VKG617" s="559"/>
      <c r="VKH617" s="559"/>
      <c r="VKI617" s="559"/>
      <c r="VKJ617" s="559"/>
      <c r="VKK617" s="559"/>
      <c r="VKL617" s="559"/>
      <c r="VKM617" s="559"/>
      <c r="VKN617" s="559"/>
      <c r="VKO617" s="559"/>
      <c r="VKP617" s="559"/>
      <c r="VKQ617" s="559"/>
      <c r="VKR617" s="559"/>
      <c r="VKS617" s="559"/>
      <c r="VKT617" s="559"/>
      <c r="VKU617" s="559"/>
      <c r="VKV617" s="559"/>
      <c r="VKW617" s="559"/>
      <c r="VKX617" s="559"/>
      <c r="VKY617" s="559"/>
      <c r="VKZ617" s="559"/>
      <c r="VLA617" s="559"/>
      <c r="VLB617" s="559"/>
      <c r="VLC617" s="559"/>
      <c r="VLD617" s="559"/>
      <c r="VLE617" s="559"/>
      <c r="VLF617" s="559"/>
      <c r="VLG617" s="559"/>
      <c r="VLH617" s="559"/>
      <c r="VLI617" s="559"/>
      <c r="VLJ617" s="559"/>
      <c r="VLK617" s="559"/>
      <c r="VLL617" s="559"/>
      <c r="VLM617" s="559"/>
      <c r="VLN617" s="559"/>
      <c r="VLO617" s="559"/>
      <c r="VLP617" s="559"/>
      <c r="VLQ617" s="559"/>
      <c r="VLR617" s="559"/>
      <c r="VLS617" s="559"/>
      <c r="VLT617" s="559"/>
      <c r="VLU617" s="559"/>
      <c r="VLV617" s="559"/>
      <c r="VLW617" s="559"/>
      <c r="VLX617" s="559"/>
      <c r="VLY617" s="559"/>
      <c r="VLZ617" s="559"/>
      <c r="VMA617" s="559"/>
      <c r="VMB617" s="559"/>
      <c r="VMC617" s="559"/>
      <c r="VMD617" s="559"/>
      <c r="VME617" s="559"/>
      <c r="VMF617" s="559"/>
      <c r="VMG617" s="559"/>
      <c r="VMH617" s="559"/>
      <c r="VMI617" s="559"/>
      <c r="VMJ617" s="559"/>
      <c r="VMK617" s="559"/>
      <c r="VML617" s="559"/>
      <c r="VMM617" s="559"/>
      <c r="VMN617" s="559"/>
      <c r="VMO617" s="559"/>
      <c r="VMP617" s="559"/>
      <c r="VMQ617" s="559"/>
      <c r="VMR617" s="559"/>
      <c r="VMS617" s="559"/>
      <c r="VMT617" s="559"/>
      <c r="VMU617" s="559"/>
      <c r="VMV617" s="559"/>
      <c r="VMW617" s="559"/>
      <c r="VMX617" s="559"/>
      <c r="VMY617" s="559"/>
      <c r="VMZ617" s="559"/>
      <c r="VNA617" s="559"/>
      <c r="VNB617" s="559"/>
      <c r="VNC617" s="559"/>
      <c r="VND617" s="559"/>
      <c r="VNE617" s="559"/>
      <c r="VNF617" s="559"/>
      <c r="VNG617" s="559"/>
      <c r="VNH617" s="559"/>
      <c r="VNI617" s="559"/>
      <c r="VNJ617" s="559"/>
      <c r="VNK617" s="559"/>
      <c r="VNL617" s="559"/>
      <c r="VNM617" s="559"/>
      <c r="VNN617" s="559"/>
      <c r="VNO617" s="559"/>
      <c r="VNP617" s="559"/>
      <c r="VNQ617" s="559"/>
      <c r="VNR617" s="559"/>
      <c r="VNS617" s="559"/>
      <c r="VNT617" s="559"/>
      <c r="VNU617" s="559"/>
      <c r="VNV617" s="559"/>
      <c r="VNW617" s="559"/>
      <c r="VNX617" s="559"/>
      <c r="VNY617" s="559"/>
      <c r="VNZ617" s="559"/>
      <c r="VOA617" s="559"/>
      <c r="VOB617" s="559"/>
      <c r="VOC617" s="559"/>
      <c r="VOD617" s="559"/>
      <c r="VOE617" s="559"/>
      <c r="VOF617" s="559"/>
      <c r="VOG617" s="559"/>
      <c r="VOH617" s="559"/>
      <c r="VOI617" s="559"/>
      <c r="VOJ617" s="559"/>
      <c r="VOK617" s="559"/>
      <c r="VOL617" s="559"/>
      <c r="VOM617" s="559"/>
      <c r="VON617" s="559"/>
      <c r="VOO617" s="559"/>
      <c r="VOP617" s="559"/>
      <c r="VOQ617" s="559"/>
      <c r="VOR617" s="559"/>
      <c r="VOS617" s="559"/>
      <c r="VOT617" s="559"/>
      <c r="VOU617" s="559"/>
      <c r="VOV617" s="559"/>
      <c r="VOW617" s="559"/>
      <c r="VOX617" s="559"/>
      <c r="VOY617" s="559"/>
      <c r="VOZ617" s="559"/>
      <c r="VPA617" s="559"/>
      <c r="VPB617" s="559"/>
      <c r="VPC617" s="559"/>
      <c r="VPD617" s="559"/>
      <c r="VPE617" s="559"/>
      <c r="VPF617" s="559"/>
      <c r="VPG617" s="559"/>
      <c r="VPH617" s="559"/>
      <c r="VPI617" s="559"/>
      <c r="VPJ617" s="559"/>
      <c r="VPK617" s="559"/>
      <c r="VPL617" s="559"/>
      <c r="VPM617" s="559"/>
      <c r="VPN617" s="559"/>
      <c r="VPO617" s="559"/>
      <c r="VPP617" s="559"/>
      <c r="VPQ617" s="559"/>
      <c r="VPR617" s="559"/>
      <c r="VPS617" s="559"/>
      <c r="VPT617" s="559"/>
      <c r="VPU617" s="559"/>
      <c r="VPV617" s="559"/>
      <c r="VPW617" s="559"/>
      <c r="VPX617" s="559"/>
      <c r="VPY617" s="559"/>
      <c r="VPZ617" s="559"/>
      <c r="VQA617" s="559"/>
      <c r="VQB617" s="559"/>
      <c r="VQC617" s="559"/>
      <c r="VQD617" s="559"/>
      <c r="VQE617" s="559"/>
      <c r="VQF617" s="559"/>
      <c r="VQG617" s="559"/>
      <c r="VQH617" s="559"/>
      <c r="VQI617" s="559"/>
      <c r="VQJ617" s="559"/>
      <c r="VQK617" s="559"/>
      <c r="VQL617" s="559"/>
      <c r="VQM617" s="559"/>
      <c r="VQN617" s="559"/>
      <c r="VQO617" s="559"/>
      <c r="VQP617" s="559"/>
      <c r="VQQ617" s="559"/>
      <c r="VQR617" s="559"/>
      <c r="VQS617" s="559"/>
      <c r="VQT617" s="559"/>
      <c r="VQU617" s="559"/>
      <c r="VQV617" s="559"/>
      <c r="VQW617" s="559"/>
      <c r="VQX617" s="559"/>
      <c r="VQY617" s="559"/>
      <c r="VQZ617" s="559"/>
      <c r="VRA617" s="559"/>
      <c r="VRB617" s="559"/>
      <c r="VRC617" s="559"/>
      <c r="VRD617" s="559"/>
      <c r="VRE617" s="559"/>
      <c r="VRF617" s="559"/>
      <c r="VRG617" s="559"/>
      <c r="VRH617" s="559"/>
      <c r="VRI617" s="559"/>
      <c r="VRJ617" s="559"/>
      <c r="VRK617" s="559"/>
      <c r="VRL617" s="559"/>
      <c r="VRM617" s="559"/>
      <c r="VRN617" s="559"/>
      <c r="VRO617" s="559"/>
      <c r="VRP617" s="559"/>
      <c r="VRQ617" s="559"/>
      <c r="VRR617" s="559"/>
      <c r="VRS617" s="559"/>
      <c r="VRT617" s="559"/>
      <c r="VRU617" s="559"/>
      <c r="VRV617" s="559"/>
      <c r="VRW617" s="559"/>
      <c r="VRX617" s="559"/>
      <c r="VRY617" s="559"/>
      <c r="VRZ617" s="559"/>
      <c r="VSA617" s="559"/>
      <c r="VSB617" s="559"/>
      <c r="VSC617" s="559"/>
      <c r="VSD617" s="559"/>
      <c r="VSE617" s="559"/>
      <c r="VSF617" s="559"/>
      <c r="VSG617" s="559"/>
      <c r="VSH617" s="559"/>
      <c r="VSI617" s="559"/>
      <c r="VSJ617" s="559"/>
      <c r="VSK617" s="559"/>
      <c r="VSL617" s="559"/>
      <c r="VSM617" s="559"/>
      <c r="VSN617" s="559"/>
      <c r="VSO617" s="559"/>
      <c r="VSP617" s="559"/>
      <c r="VSQ617" s="559"/>
      <c r="VSR617" s="559"/>
      <c r="VSS617" s="559"/>
      <c r="VST617" s="559"/>
      <c r="VSU617" s="559"/>
      <c r="VSV617" s="559"/>
      <c r="VSW617" s="559"/>
      <c r="VSX617" s="559"/>
      <c r="VSY617" s="559"/>
      <c r="VSZ617" s="559"/>
      <c r="VTA617" s="559"/>
      <c r="VTB617" s="559"/>
      <c r="VTC617" s="559"/>
      <c r="VTD617" s="559"/>
      <c r="VTE617" s="559"/>
      <c r="VTF617" s="559"/>
      <c r="VTG617" s="559"/>
      <c r="VTH617" s="559"/>
      <c r="VTI617" s="559"/>
      <c r="VTJ617" s="559"/>
      <c r="VTK617" s="559"/>
      <c r="VTL617" s="559"/>
      <c r="VTM617" s="559"/>
      <c r="VTN617" s="559"/>
      <c r="VTO617" s="559"/>
      <c r="VTP617" s="559"/>
      <c r="VTQ617" s="559"/>
      <c r="VTR617" s="559"/>
      <c r="VTS617" s="559"/>
      <c r="VTT617" s="559"/>
      <c r="VTU617" s="559"/>
      <c r="VTV617" s="559"/>
      <c r="VTW617" s="559"/>
      <c r="VTX617" s="559"/>
      <c r="VTY617" s="559"/>
      <c r="VTZ617" s="559"/>
      <c r="VUA617" s="559"/>
      <c r="VUB617" s="559"/>
      <c r="VUC617" s="559"/>
      <c r="VUD617" s="559"/>
      <c r="VUE617" s="559"/>
      <c r="VUF617" s="559"/>
      <c r="VUG617" s="559"/>
      <c r="VUH617" s="559"/>
      <c r="VUI617" s="559"/>
      <c r="VUJ617" s="559"/>
      <c r="VUK617" s="559"/>
      <c r="VUL617" s="559"/>
      <c r="VUM617" s="559"/>
      <c r="VUN617" s="559"/>
      <c r="VUO617" s="559"/>
      <c r="VUP617" s="559"/>
      <c r="VUQ617" s="559"/>
      <c r="VUR617" s="559"/>
      <c r="VUS617" s="559"/>
      <c r="VUT617" s="559"/>
      <c r="VUU617" s="559"/>
      <c r="VUV617" s="559"/>
      <c r="VUW617" s="559"/>
      <c r="VUX617" s="559"/>
      <c r="VUY617" s="559"/>
      <c r="VUZ617" s="559"/>
      <c r="VVA617" s="559"/>
      <c r="VVB617" s="559"/>
      <c r="VVC617" s="559"/>
      <c r="VVD617" s="559"/>
      <c r="VVE617" s="559"/>
      <c r="VVF617" s="559"/>
      <c r="VVG617" s="559"/>
      <c r="VVH617" s="559"/>
      <c r="VVI617" s="559"/>
      <c r="VVJ617" s="559"/>
      <c r="VVK617" s="559"/>
      <c r="VVL617" s="559"/>
      <c r="VVM617" s="559"/>
      <c r="VVN617" s="559"/>
      <c r="VVO617" s="559"/>
      <c r="VVP617" s="559"/>
      <c r="VVQ617" s="559"/>
      <c r="VVR617" s="559"/>
      <c r="VVS617" s="559"/>
      <c r="VVT617" s="559"/>
      <c r="VVU617" s="559"/>
      <c r="VVV617" s="559"/>
      <c r="VVW617" s="559"/>
      <c r="VVX617" s="559"/>
      <c r="VVY617" s="559"/>
      <c r="VVZ617" s="559"/>
      <c r="VWA617" s="559"/>
      <c r="VWB617" s="559"/>
      <c r="VWC617" s="559"/>
      <c r="VWD617" s="559"/>
      <c r="VWE617" s="559"/>
      <c r="VWF617" s="559"/>
      <c r="VWG617" s="559"/>
      <c r="VWH617" s="559"/>
      <c r="VWI617" s="559"/>
      <c r="VWJ617" s="559"/>
      <c r="VWK617" s="559"/>
      <c r="VWL617" s="559"/>
      <c r="VWM617" s="559"/>
      <c r="VWN617" s="559"/>
      <c r="VWO617" s="559"/>
      <c r="VWP617" s="559"/>
      <c r="VWQ617" s="559"/>
      <c r="VWR617" s="559"/>
      <c r="VWS617" s="559"/>
      <c r="VWT617" s="559"/>
      <c r="VWU617" s="559"/>
      <c r="VWV617" s="559"/>
      <c r="VWW617" s="559"/>
      <c r="VWX617" s="559"/>
      <c r="VWY617" s="559"/>
      <c r="VWZ617" s="559"/>
      <c r="VXA617" s="559"/>
      <c r="VXB617" s="559"/>
      <c r="VXC617" s="559"/>
      <c r="VXD617" s="559"/>
      <c r="VXE617" s="559"/>
      <c r="VXF617" s="559"/>
      <c r="VXG617" s="559"/>
      <c r="VXH617" s="559"/>
      <c r="VXI617" s="559"/>
      <c r="VXJ617" s="559"/>
      <c r="VXK617" s="559"/>
      <c r="VXL617" s="559"/>
      <c r="VXM617" s="559"/>
      <c r="VXN617" s="559"/>
      <c r="VXO617" s="559"/>
      <c r="VXP617" s="559"/>
      <c r="VXQ617" s="559"/>
      <c r="VXR617" s="559"/>
      <c r="VXS617" s="559"/>
      <c r="VXT617" s="559"/>
      <c r="VXU617" s="559"/>
      <c r="VXV617" s="559"/>
      <c r="VXW617" s="559"/>
      <c r="VXX617" s="559"/>
      <c r="VXY617" s="559"/>
      <c r="VXZ617" s="559"/>
      <c r="VYA617" s="559"/>
      <c r="VYB617" s="559"/>
      <c r="VYC617" s="559"/>
      <c r="VYD617" s="559"/>
      <c r="VYE617" s="559"/>
      <c r="VYF617" s="559"/>
      <c r="VYG617" s="559"/>
      <c r="VYH617" s="559"/>
      <c r="VYI617" s="559"/>
      <c r="VYJ617" s="559"/>
      <c r="VYK617" s="559"/>
      <c r="VYL617" s="559"/>
      <c r="VYM617" s="559"/>
      <c r="VYN617" s="559"/>
      <c r="VYO617" s="559"/>
      <c r="VYP617" s="559"/>
      <c r="VYQ617" s="559"/>
      <c r="VYR617" s="559"/>
      <c r="VYS617" s="559"/>
      <c r="VYT617" s="559"/>
      <c r="VYU617" s="559"/>
      <c r="VYV617" s="559"/>
      <c r="VYW617" s="559"/>
      <c r="VYX617" s="559"/>
      <c r="VYY617" s="559"/>
      <c r="VYZ617" s="559"/>
      <c r="VZA617" s="559"/>
      <c r="VZB617" s="559"/>
      <c r="VZC617" s="559"/>
      <c r="VZD617" s="559"/>
      <c r="VZE617" s="559"/>
      <c r="VZF617" s="559"/>
      <c r="VZG617" s="559"/>
      <c r="VZH617" s="559"/>
      <c r="VZI617" s="559"/>
      <c r="VZJ617" s="559"/>
      <c r="VZK617" s="559"/>
      <c r="VZL617" s="559"/>
      <c r="VZM617" s="559"/>
      <c r="VZN617" s="559"/>
      <c r="VZO617" s="559"/>
      <c r="VZP617" s="559"/>
      <c r="VZQ617" s="559"/>
      <c r="VZR617" s="559"/>
      <c r="VZS617" s="559"/>
      <c r="VZT617" s="559"/>
      <c r="VZU617" s="559"/>
      <c r="VZV617" s="559"/>
      <c r="VZW617" s="559"/>
      <c r="VZX617" s="559"/>
      <c r="VZY617" s="559"/>
      <c r="VZZ617" s="559"/>
      <c r="WAA617" s="559"/>
      <c r="WAB617" s="559"/>
      <c r="WAC617" s="559"/>
      <c r="WAD617" s="559"/>
      <c r="WAE617" s="559"/>
      <c r="WAF617" s="559"/>
      <c r="WAG617" s="559"/>
      <c r="WAH617" s="559"/>
      <c r="WAI617" s="559"/>
      <c r="WAJ617" s="559"/>
      <c r="WAK617" s="559"/>
      <c r="WAL617" s="559"/>
      <c r="WAM617" s="559"/>
      <c r="WAN617" s="559"/>
      <c r="WAO617" s="559"/>
      <c r="WAP617" s="559"/>
      <c r="WAQ617" s="559"/>
      <c r="WAR617" s="559"/>
      <c r="WAS617" s="559"/>
      <c r="WAT617" s="559"/>
      <c r="WAU617" s="559"/>
      <c r="WAV617" s="559"/>
      <c r="WAW617" s="559"/>
      <c r="WAX617" s="559"/>
      <c r="WAY617" s="559"/>
      <c r="WAZ617" s="559"/>
      <c r="WBA617" s="559"/>
      <c r="WBB617" s="559"/>
      <c r="WBC617" s="559"/>
      <c r="WBD617" s="559"/>
      <c r="WBE617" s="559"/>
      <c r="WBF617" s="559"/>
      <c r="WBG617" s="559"/>
      <c r="WBH617" s="559"/>
      <c r="WBI617" s="559"/>
      <c r="WBJ617" s="559"/>
      <c r="WBK617" s="559"/>
      <c r="WBL617" s="559"/>
      <c r="WBM617" s="559"/>
      <c r="WBN617" s="559"/>
      <c r="WBO617" s="559"/>
      <c r="WBP617" s="559"/>
      <c r="WBQ617" s="559"/>
      <c r="WBR617" s="559"/>
      <c r="WBS617" s="559"/>
      <c r="WBT617" s="559"/>
      <c r="WBU617" s="559"/>
      <c r="WBV617" s="559"/>
      <c r="WBW617" s="559"/>
      <c r="WBX617" s="559"/>
      <c r="WBY617" s="559"/>
      <c r="WBZ617" s="559"/>
      <c r="WCA617" s="559"/>
      <c r="WCB617" s="559"/>
      <c r="WCC617" s="559"/>
      <c r="WCD617" s="559"/>
      <c r="WCE617" s="559"/>
      <c r="WCF617" s="559"/>
      <c r="WCG617" s="559"/>
      <c r="WCH617" s="559"/>
      <c r="WCI617" s="559"/>
      <c r="WCJ617" s="559"/>
      <c r="WCK617" s="559"/>
      <c r="WCL617" s="559"/>
      <c r="WCM617" s="559"/>
      <c r="WCN617" s="559"/>
      <c r="WCO617" s="559"/>
      <c r="WCP617" s="559"/>
      <c r="WCQ617" s="559"/>
      <c r="WCR617" s="559"/>
      <c r="WCS617" s="559"/>
      <c r="WCT617" s="559"/>
      <c r="WCU617" s="559"/>
      <c r="WCV617" s="559"/>
      <c r="WCW617" s="559"/>
      <c r="WCX617" s="559"/>
      <c r="WCY617" s="559"/>
      <c r="WCZ617" s="559"/>
      <c r="WDA617" s="559"/>
      <c r="WDB617" s="559"/>
      <c r="WDC617" s="559"/>
      <c r="WDD617" s="559"/>
      <c r="WDE617" s="559"/>
      <c r="WDF617" s="559"/>
      <c r="WDG617" s="559"/>
      <c r="WDH617" s="559"/>
      <c r="WDI617" s="559"/>
      <c r="WDJ617" s="559"/>
      <c r="WDK617" s="559"/>
      <c r="WDL617" s="559"/>
      <c r="WDM617" s="559"/>
      <c r="WDN617" s="559"/>
      <c r="WDO617" s="559"/>
      <c r="WDP617" s="559"/>
      <c r="WDQ617" s="559"/>
      <c r="WDR617" s="559"/>
      <c r="WDS617" s="559"/>
      <c r="WDT617" s="559"/>
      <c r="WDU617" s="559"/>
      <c r="WDV617" s="559"/>
      <c r="WDW617" s="559"/>
      <c r="WDX617" s="559"/>
      <c r="WDY617" s="559"/>
      <c r="WDZ617" s="559"/>
      <c r="WEA617" s="559"/>
      <c r="WEB617" s="559"/>
      <c r="WEC617" s="559"/>
      <c r="WED617" s="559"/>
      <c r="WEE617" s="559"/>
      <c r="WEF617" s="559"/>
      <c r="WEG617" s="559"/>
      <c r="WEH617" s="559"/>
      <c r="WEI617" s="559"/>
      <c r="WEJ617" s="559"/>
      <c r="WEK617" s="559"/>
      <c r="WEL617" s="559"/>
      <c r="WEM617" s="559"/>
      <c r="WEN617" s="559"/>
      <c r="WEO617" s="559"/>
      <c r="WEP617" s="559"/>
      <c r="WEQ617" s="559"/>
      <c r="WER617" s="559"/>
      <c r="WES617" s="559"/>
      <c r="WET617" s="559"/>
      <c r="WEU617" s="559"/>
      <c r="WEV617" s="559"/>
      <c r="WEW617" s="559"/>
      <c r="WEX617" s="559"/>
      <c r="WEY617" s="559"/>
      <c r="WEZ617" s="559"/>
      <c r="WFA617" s="559"/>
      <c r="WFB617" s="559"/>
      <c r="WFC617" s="559"/>
      <c r="WFD617" s="559"/>
      <c r="WFE617" s="559"/>
      <c r="WFF617" s="559"/>
      <c r="WFG617" s="559"/>
      <c r="WFH617" s="559"/>
      <c r="WFI617" s="559"/>
      <c r="WFJ617" s="559"/>
      <c r="WFK617" s="559"/>
      <c r="WFL617" s="559"/>
      <c r="WFM617" s="559"/>
      <c r="WFN617" s="559"/>
      <c r="WFO617" s="559"/>
      <c r="WFP617" s="559"/>
      <c r="WFQ617" s="559"/>
      <c r="WFR617" s="559"/>
      <c r="WFS617" s="559"/>
      <c r="WFT617" s="559"/>
      <c r="WFU617" s="559"/>
      <c r="WFV617" s="559"/>
      <c r="WFW617" s="559"/>
      <c r="WFX617" s="559"/>
      <c r="WFY617" s="559"/>
      <c r="WFZ617" s="559"/>
      <c r="WGA617" s="559"/>
      <c r="WGB617" s="559"/>
      <c r="WGC617" s="559"/>
      <c r="WGD617" s="559"/>
      <c r="WGE617" s="559"/>
      <c r="WGF617" s="559"/>
      <c r="WGG617" s="559"/>
      <c r="WGH617" s="559"/>
      <c r="WGI617" s="559"/>
      <c r="WGJ617" s="559"/>
      <c r="WGK617" s="559"/>
      <c r="WGL617" s="559"/>
      <c r="WGM617" s="559"/>
      <c r="WGN617" s="559"/>
      <c r="WGO617" s="559"/>
      <c r="WGP617" s="559"/>
      <c r="WGQ617" s="559"/>
      <c r="WGR617" s="559"/>
      <c r="WGS617" s="559"/>
      <c r="WGT617" s="559"/>
      <c r="WGU617" s="559"/>
      <c r="WGV617" s="559"/>
      <c r="WGW617" s="559"/>
      <c r="WGX617" s="559"/>
      <c r="WGY617" s="559"/>
      <c r="WGZ617" s="559"/>
      <c r="WHA617" s="559"/>
      <c r="WHB617" s="559"/>
      <c r="WHC617" s="559"/>
      <c r="WHD617" s="559"/>
      <c r="WHE617" s="559"/>
      <c r="WHF617" s="559"/>
      <c r="WHG617" s="559"/>
      <c r="WHH617" s="559"/>
      <c r="WHI617" s="559"/>
      <c r="WHJ617" s="559"/>
      <c r="WHK617" s="559"/>
      <c r="WHL617" s="559"/>
      <c r="WHM617" s="559"/>
      <c r="WHN617" s="559"/>
      <c r="WHO617" s="559"/>
      <c r="WHP617" s="559"/>
      <c r="WHQ617" s="559"/>
      <c r="WHR617" s="559"/>
      <c r="WHS617" s="559"/>
      <c r="WHT617" s="559"/>
      <c r="WHU617" s="559"/>
      <c r="WHV617" s="559"/>
      <c r="WHW617" s="559"/>
      <c r="WHX617" s="559"/>
      <c r="WHY617" s="559"/>
      <c r="WHZ617" s="559"/>
      <c r="WIA617" s="559"/>
      <c r="WIB617" s="559"/>
      <c r="WIC617" s="559"/>
      <c r="WID617" s="559"/>
      <c r="WIE617" s="559"/>
      <c r="WIF617" s="559"/>
      <c r="WIG617" s="559"/>
      <c r="WIH617" s="559"/>
      <c r="WII617" s="559"/>
      <c r="WIJ617" s="559"/>
      <c r="WIK617" s="559"/>
      <c r="WIL617" s="559"/>
      <c r="WIM617" s="559"/>
      <c r="WIN617" s="559"/>
      <c r="WIO617" s="559"/>
      <c r="WIP617" s="559"/>
      <c r="WIQ617" s="559"/>
      <c r="WIR617" s="559"/>
      <c r="WIS617" s="559"/>
      <c r="WIT617" s="559"/>
      <c r="WIU617" s="559"/>
      <c r="WIV617" s="559"/>
      <c r="WIW617" s="559"/>
      <c r="WIX617" s="559"/>
      <c r="WIY617" s="559"/>
      <c r="WIZ617" s="559"/>
      <c r="WJA617" s="559"/>
      <c r="WJB617" s="559"/>
      <c r="WJC617" s="559"/>
      <c r="WJD617" s="559"/>
      <c r="WJE617" s="559"/>
      <c r="WJF617" s="559"/>
      <c r="WJG617" s="559"/>
      <c r="WJH617" s="559"/>
      <c r="WJI617" s="559"/>
      <c r="WJJ617" s="559"/>
      <c r="WJK617" s="559"/>
      <c r="WJL617" s="559"/>
      <c r="WJM617" s="559"/>
      <c r="WJN617" s="559"/>
      <c r="WJO617" s="559"/>
      <c r="WJP617" s="559"/>
      <c r="WJQ617" s="559"/>
      <c r="WJR617" s="559"/>
      <c r="WJS617" s="559"/>
      <c r="WJT617" s="559"/>
      <c r="WJU617" s="559"/>
      <c r="WJV617" s="559"/>
      <c r="WJW617" s="559"/>
      <c r="WJX617" s="559"/>
      <c r="WJY617" s="559"/>
      <c r="WJZ617" s="559"/>
      <c r="WKA617" s="559"/>
      <c r="WKB617" s="559"/>
      <c r="WKC617" s="559"/>
      <c r="WKD617" s="559"/>
      <c r="WKE617" s="559"/>
      <c r="WKF617" s="559"/>
      <c r="WKG617" s="559"/>
      <c r="WKH617" s="559"/>
      <c r="WKI617" s="559"/>
      <c r="WKJ617" s="559"/>
      <c r="WKK617" s="559"/>
      <c r="WKL617" s="559"/>
      <c r="WKM617" s="559"/>
      <c r="WKN617" s="559"/>
      <c r="WKO617" s="559"/>
      <c r="WKP617" s="559"/>
      <c r="WKQ617" s="559"/>
      <c r="WKR617" s="559"/>
      <c r="WKS617" s="559"/>
      <c r="WKT617" s="559"/>
      <c r="WKU617" s="559"/>
      <c r="WKV617" s="559"/>
      <c r="WKW617" s="559"/>
      <c r="WKX617" s="559"/>
      <c r="WKY617" s="559"/>
      <c r="WKZ617" s="559"/>
      <c r="WLA617" s="559"/>
      <c r="WLB617" s="559"/>
      <c r="WLC617" s="559"/>
      <c r="WLD617" s="559"/>
      <c r="WLE617" s="559"/>
      <c r="WLF617" s="559"/>
      <c r="WLG617" s="559"/>
      <c r="WLH617" s="559"/>
      <c r="WLI617" s="559"/>
      <c r="WLJ617" s="559"/>
      <c r="WLK617" s="559"/>
      <c r="WLL617" s="559"/>
      <c r="WLM617" s="559"/>
      <c r="WLN617" s="559"/>
      <c r="WLO617" s="559"/>
      <c r="WLP617" s="559"/>
      <c r="WLQ617" s="559"/>
      <c r="WLR617" s="559"/>
      <c r="WLS617" s="559"/>
      <c r="WLT617" s="559"/>
      <c r="WLU617" s="559"/>
      <c r="WLV617" s="559"/>
      <c r="WLW617" s="559"/>
      <c r="WLX617" s="559"/>
      <c r="WLY617" s="559"/>
      <c r="WLZ617" s="559"/>
      <c r="WMA617" s="559"/>
      <c r="WMB617" s="559"/>
      <c r="WMC617" s="559"/>
      <c r="WMD617" s="559"/>
      <c r="WME617" s="559"/>
      <c r="WMF617" s="559"/>
      <c r="WMG617" s="559"/>
      <c r="WMH617" s="559"/>
      <c r="WMI617" s="559"/>
      <c r="WMJ617" s="559"/>
      <c r="WMK617" s="559"/>
      <c r="WML617" s="559"/>
      <c r="WMM617" s="559"/>
      <c r="WMN617" s="559"/>
      <c r="WMO617" s="559"/>
      <c r="WMP617" s="559"/>
      <c r="WMQ617" s="559"/>
      <c r="WMR617" s="559"/>
      <c r="WMS617" s="559"/>
      <c r="WMT617" s="559"/>
      <c r="WMU617" s="559"/>
      <c r="WMV617" s="559"/>
      <c r="WMW617" s="559"/>
      <c r="WMX617" s="559"/>
      <c r="WMY617" s="559"/>
      <c r="WMZ617" s="559"/>
      <c r="WNA617" s="559"/>
      <c r="WNB617" s="559"/>
      <c r="WNC617" s="559"/>
      <c r="WND617" s="559"/>
      <c r="WNE617" s="559"/>
      <c r="WNF617" s="559"/>
      <c r="WNG617" s="559"/>
      <c r="WNH617" s="559"/>
      <c r="WNI617" s="559"/>
      <c r="WNJ617" s="559"/>
      <c r="WNK617" s="559"/>
      <c r="WNL617" s="559"/>
      <c r="WNM617" s="559"/>
      <c r="WNN617" s="559"/>
      <c r="WNO617" s="559"/>
      <c r="WNP617" s="559"/>
      <c r="WNQ617" s="559"/>
      <c r="WNR617" s="559"/>
      <c r="WNS617" s="559"/>
      <c r="WNT617" s="559"/>
      <c r="WNU617" s="559"/>
      <c r="WNV617" s="559"/>
      <c r="WNW617" s="559"/>
      <c r="WNX617" s="559"/>
      <c r="WNY617" s="559"/>
      <c r="WNZ617" s="559"/>
      <c r="WOA617" s="559"/>
      <c r="WOB617" s="559"/>
      <c r="WOC617" s="559"/>
      <c r="WOD617" s="559"/>
      <c r="WOE617" s="559"/>
      <c r="WOF617" s="559"/>
      <c r="WOG617" s="559"/>
      <c r="WOH617" s="559"/>
      <c r="WOI617" s="559"/>
      <c r="WOJ617" s="559"/>
      <c r="WOK617" s="559"/>
      <c r="WOL617" s="559"/>
      <c r="WOM617" s="559"/>
      <c r="WON617" s="559"/>
      <c r="WOO617" s="559"/>
      <c r="WOP617" s="559"/>
      <c r="WOQ617" s="559"/>
      <c r="WOR617" s="559"/>
      <c r="WOS617" s="559"/>
      <c r="WOT617" s="559"/>
      <c r="WOU617" s="559"/>
      <c r="WOV617" s="559"/>
      <c r="WOW617" s="559"/>
      <c r="WOX617" s="559"/>
      <c r="WOY617" s="559"/>
      <c r="WOZ617" s="559"/>
      <c r="WPA617" s="559"/>
      <c r="WPB617" s="559"/>
      <c r="WPC617" s="559"/>
      <c r="WPD617" s="559"/>
      <c r="WPE617" s="559"/>
      <c r="WPF617" s="559"/>
      <c r="WPG617" s="559"/>
      <c r="WPH617" s="559"/>
      <c r="WPI617" s="559"/>
      <c r="WPJ617" s="559"/>
      <c r="WPK617" s="559"/>
      <c r="WPL617" s="559"/>
      <c r="WPM617" s="559"/>
      <c r="WPN617" s="559"/>
      <c r="WPO617" s="559"/>
      <c r="WPP617" s="559"/>
      <c r="WPQ617" s="559"/>
      <c r="WPR617" s="559"/>
      <c r="WPS617" s="559"/>
      <c r="WPT617" s="559"/>
      <c r="WPU617" s="559"/>
      <c r="WPV617" s="559"/>
      <c r="WPW617" s="559"/>
      <c r="WPX617" s="559"/>
      <c r="WPY617" s="559"/>
      <c r="WPZ617" s="559"/>
      <c r="WQA617" s="559"/>
      <c r="WQB617" s="559"/>
      <c r="WQC617" s="559"/>
      <c r="WQD617" s="559"/>
      <c r="WQE617" s="559"/>
      <c r="WQF617" s="559"/>
      <c r="WQG617" s="559"/>
      <c r="WQH617" s="559"/>
      <c r="WQI617" s="559"/>
      <c r="WQJ617" s="559"/>
      <c r="WQK617" s="559"/>
      <c r="WQL617" s="559"/>
      <c r="WQM617" s="559"/>
      <c r="WQN617" s="559"/>
      <c r="WQO617" s="559"/>
      <c r="WQP617" s="559"/>
      <c r="WQQ617" s="559"/>
      <c r="WQR617" s="559"/>
      <c r="WQS617" s="559"/>
      <c r="WQT617" s="559"/>
      <c r="WQU617" s="559"/>
      <c r="WQV617" s="559"/>
      <c r="WQW617" s="559"/>
      <c r="WQX617" s="559"/>
      <c r="WQY617" s="559"/>
      <c r="WQZ617" s="559"/>
      <c r="WRA617" s="559"/>
      <c r="WRB617" s="559"/>
      <c r="WRC617" s="559"/>
      <c r="WRD617" s="559"/>
      <c r="WRE617" s="559"/>
      <c r="WRF617" s="559"/>
      <c r="WRG617" s="559"/>
      <c r="WRH617" s="559"/>
      <c r="WRI617" s="559"/>
      <c r="WRJ617" s="559"/>
      <c r="WRK617" s="559"/>
      <c r="WRL617" s="559"/>
      <c r="WRM617" s="559"/>
      <c r="WRN617" s="559"/>
      <c r="WRO617" s="559"/>
      <c r="WRP617" s="559"/>
      <c r="WRQ617" s="559"/>
      <c r="WRR617" s="559"/>
      <c r="WRS617" s="559"/>
      <c r="WRT617" s="559"/>
      <c r="WRU617" s="559"/>
      <c r="WRV617" s="559"/>
      <c r="WRW617" s="559"/>
      <c r="WRX617" s="559"/>
      <c r="WRY617" s="559"/>
      <c r="WRZ617" s="559"/>
      <c r="WSA617" s="559"/>
      <c r="WSB617" s="559"/>
      <c r="WSC617" s="559"/>
      <c r="WSD617" s="559"/>
      <c r="WSE617" s="559"/>
      <c r="WSF617" s="559"/>
      <c r="WSG617" s="559"/>
      <c r="WSH617" s="559"/>
      <c r="WSI617" s="559"/>
      <c r="WSJ617" s="559"/>
      <c r="WSK617" s="559"/>
      <c r="WSL617" s="559"/>
      <c r="WSM617" s="559"/>
      <c r="WSN617" s="559"/>
      <c r="WSO617" s="559"/>
      <c r="WSP617" s="559"/>
      <c r="WSQ617" s="559"/>
      <c r="WSR617" s="559"/>
      <c r="WSS617" s="559"/>
      <c r="WST617" s="559"/>
      <c r="WSU617" s="559"/>
      <c r="WSV617" s="559"/>
      <c r="WSW617" s="559"/>
      <c r="WSX617" s="559"/>
      <c r="WSY617" s="559"/>
      <c r="WSZ617" s="559"/>
      <c r="WTA617" s="559"/>
      <c r="WTB617" s="559"/>
      <c r="WTC617" s="559"/>
      <c r="WTD617" s="559"/>
      <c r="WTE617" s="559"/>
      <c r="WTF617" s="559"/>
      <c r="WTG617" s="559"/>
      <c r="WTH617" s="559"/>
      <c r="WTI617" s="559"/>
      <c r="WTJ617" s="559"/>
      <c r="WTK617" s="559"/>
      <c r="WTL617" s="559"/>
      <c r="WTM617" s="559"/>
      <c r="WTN617" s="559"/>
      <c r="WTO617" s="559"/>
      <c r="WTP617" s="559"/>
      <c r="WTQ617" s="559"/>
      <c r="WTR617" s="559"/>
      <c r="WTS617" s="559"/>
      <c r="WTT617" s="559"/>
      <c r="WTU617" s="559"/>
      <c r="WTV617" s="559"/>
      <c r="WTW617" s="559"/>
      <c r="WTX617" s="559"/>
      <c r="WTY617" s="559"/>
      <c r="WTZ617" s="559"/>
      <c r="WUA617" s="559"/>
      <c r="WUB617" s="559"/>
      <c r="WUC617" s="559"/>
      <c r="WUD617" s="559"/>
      <c r="WUE617" s="559"/>
      <c r="WUF617" s="559"/>
      <c r="WUG617" s="559"/>
      <c r="WUH617" s="559"/>
      <c r="WUI617" s="559"/>
      <c r="WUJ617" s="559"/>
      <c r="WUK617" s="559"/>
      <c r="WUL617" s="559"/>
      <c r="WUM617" s="559"/>
      <c r="WUN617" s="559"/>
      <c r="WUO617" s="559"/>
      <c r="WUP617" s="559"/>
      <c r="WUQ617" s="559"/>
      <c r="WUR617" s="559"/>
      <c r="WUS617" s="559"/>
      <c r="WUT617" s="559"/>
      <c r="WUU617" s="559"/>
      <c r="WUV617" s="559"/>
      <c r="WUW617" s="559"/>
      <c r="WUX617" s="559"/>
      <c r="WUY617" s="559"/>
      <c r="WUZ617" s="559"/>
      <c r="WVA617" s="559"/>
      <c r="WVB617" s="559"/>
      <c r="WVC617" s="559"/>
      <c r="WVD617" s="559"/>
      <c r="WVE617" s="559"/>
      <c r="WVF617" s="559"/>
      <c r="WVG617" s="559"/>
      <c r="WVH617" s="559"/>
      <c r="WVI617" s="559"/>
      <c r="WVJ617" s="559"/>
      <c r="WVK617" s="559"/>
      <c r="WVL617" s="559"/>
      <c r="WVM617" s="559"/>
      <c r="WVN617" s="559"/>
      <c r="WVO617" s="559"/>
      <c r="WVP617" s="559"/>
      <c r="WVQ617" s="559"/>
      <c r="WVR617" s="559"/>
      <c r="WVS617" s="559"/>
      <c r="WVT617" s="559"/>
      <c r="WVU617" s="559"/>
      <c r="WVV617" s="559"/>
      <c r="WVW617" s="559"/>
      <c r="WVX617" s="559"/>
      <c r="WVY617" s="559"/>
      <c r="WVZ617" s="559"/>
      <c r="WWA617" s="559"/>
      <c r="WWB617" s="559"/>
      <c r="WWC617" s="559"/>
      <c r="WWD617" s="559"/>
      <c r="WWE617" s="559"/>
      <c r="WWF617" s="559"/>
      <c r="WWG617" s="559"/>
      <c r="WWH617" s="559"/>
      <c r="WWI617" s="559"/>
      <c r="WWJ617" s="559"/>
      <c r="WWK617" s="559"/>
      <c r="WWL617" s="559"/>
      <c r="WWM617" s="559"/>
      <c r="WWN617" s="559"/>
      <c r="WWO617" s="559"/>
      <c r="WWP617" s="559"/>
      <c r="WWQ617" s="559"/>
      <c r="WWR617" s="559"/>
      <c r="WWS617" s="559"/>
      <c r="WWT617" s="559"/>
      <c r="WWU617" s="559"/>
      <c r="WWV617" s="559"/>
      <c r="WWW617" s="559"/>
      <c r="WWX617" s="559"/>
      <c r="WWY617" s="559"/>
      <c r="WWZ617" s="559"/>
      <c r="WXA617" s="559"/>
      <c r="WXB617" s="559"/>
      <c r="WXC617" s="559"/>
      <c r="WXD617" s="559"/>
      <c r="WXE617" s="559"/>
      <c r="WXF617" s="559"/>
      <c r="WXG617" s="559"/>
      <c r="WXH617" s="559"/>
      <c r="WXI617" s="559"/>
      <c r="WXJ617" s="559"/>
      <c r="WXK617" s="559"/>
      <c r="WXL617" s="559"/>
      <c r="WXM617" s="559"/>
      <c r="WXN617" s="559"/>
      <c r="WXO617" s="559"/>
      <c r="WXP617" s="559"/>
      <c r="WXQ617" s="559"/>
      <c r="WXR617" s="559"/>
      <c r="WXS617" s="559"/>
      <c r="WXT617" s="559"/>
      <c r="WXU617" s="559"/>
      <c r="WXV617" s="559"/>
      <c r="WXW617" s="559"/>
      <c r="WXX617" s="559"/>
      <c r="WXY617" s="559"/>
      <c r="WXZ617" s="559"/>
      <c r="WYA617" s="559"/>
      <c r="WYB617" s="559"/>
      <c r="WYC617" s="559"/>
      <c r="WYD617" s="559"/>
      <c r="WYE617" s="559"/>
      <c r="WYF617" s="559"/>
      <c r="WYG617" s="559"/>
      <c r="WYH617" s="559"/>
      <c r="WYI617" s="559"/>
      <c r="WYJ617" s="559"/>
      <c r="WYK617" s="559"/>
      <c r="WYL617" s="559"/>
      <c r="WYM617" s="559"/>
      <c r="WYN617" s="559"/>
      <c r="WYO617" s="559"/>
      <c r="WYP617" s="559"/>
      <c r="WYQ617" s="559"/>
      <c r="WYR617" s="559"/>
      <c r="WYS617" s="559"/>
      <c r="WYT617" s="559"/>
      <c r="WYU617" s="559"/>
      <c r="WYV617" s="559"/>
      <c r="WYW617" s="559"/>
      <c r="WYX617" s="559"/>
      <c r="WYY617" s="559"/>
      <c r="WYZ617" s="559"/>
      <c r="WZA617" s="559"/>
      <c r="WZB617" s="559"/>
      <c r="WZC617" s="559"/>
      <c r="WZD617" s="559"/>
      <c r="WZE617" s="559"/>
      <c r="WZF617" s="559"/>
      <c r="WZG617" s="559"/>
      <c r="WZH617" s="559"/>
      <c r="WZI617" s="559"/>
      <c r="WZJ617" s="559"/>
      <c r="WZK617" s="559"/>
      <c r="WZL617" s="559"/>
      <c r="WZM617" s="559"/>
      <c r="WZN617" s="559"/>
      <c r="WZO617" s="559"/>
      <c r="WZP617" s="559"/>
      <c r="WZQ617" s="559"/>
      <c r="WZR617" s="559"/>
      <c r="WZS617" s="559"/>
      <c r="WZT617" s="559"/>
      <c r="WZU617" s="559"/>
      <c r="WZV617" s="559"/>
      <c r="WZW617" s="559"/>
      <c r="WZX617" s="559"/>
      <c r="WZY617" s="559"/>
      <c r="WZZ617" s="559"/>
      <c r="XAA617" s="559"/>
      <c r="XAB617" s="559"/>
      <c r="XAC617" s="559"/>
      <c r="XAD617" s="559"/>
      <c r="XAE617" s="559"/>
      <c r="XAF617" s="559"/>
      <c r="XAG617" s="559"/>
      <c r="XAH617" s="559"/>
      <c r="XAI617" s="559"/>
      <c r="XAJ617" s="559"/>
      <c r="XAK617" s="559"/>
      <c r="XAL617" s="559"/>
      <c r="XAM617" s="559"/>
      <c r="XAN617" s="559"/>
      <c r="XAO617" s="559"/>
      <c r="XAP617" s="559"/>
      <c r="XAQ617" s="559"/>
      <c r="XAR617" s="559"/>
      <c r="XAS617" s="559"/>
      <c r="XAT617" s="559"/>
      <c r="XAU617" s="559"/>
      <c r="XAV617" s="559"/>
      <c r="XAW617" s="559"/>
      <c r="XAX617" s="559"/>
      <c r="XAY617" s="559"/>
      <c r="XAZ617" s="559"/>
      <c r="XBA617" s="559"/>
      <c r="XBB617" s="559"/>
      <c r="XBC617" s="559"/>
      <c r="XBD617" s="559"/>
      <c r="XBE617" s="559"/>
      <c r="XBF617" s="559"/>
      <c r="XBG617" s="559"/>
      <c r="XBH617" s="559"/>
      <c r="XBI617" s="559"/>
      <c r="XBJ617" s="559"/>
      <c r="XBK617" s="559"/>
      <c r="XBL617" s="559"/>
      <c r="XBM617" s="559"/>
      <c r="XBN617" s="559"/>
      <c r="XBO617" s="559"/>
      <c r="XBP617" s="559"/>
      <c r="XBQ617" s="559"/>
      <c r="XBR617" s="559"/>
      <c r="XBS617" s="559"/>
      <c r="XBT617" s="559"/>
      <c r="XBU617" s="559"/>
      <c r="XBV617" s="559"/>
      <c r="XBW617" s="559"/>
      <c r="XBX617" s="559"/>
      <c r="XBY617" s="559"/>
      <c r="XBZ617" s="559"/>
      <c r="XCA617" s="559"/>
      <c r="XCB617" s="559"/>
      <c r="XCC617" s="559"/>
      <c r="XCD617" s="559"/>
      <c r="XCE617" s="559"/>
      <c r="XCF617" s="559"/>
      <c r="XCG617" s="559"/>
      <c r="XCH617" s="559"/>
      <c r="XCI617" s="559"/>
      <c r="XCJ617" s="559"/>
      <c r="XCK617" s="559"/>
      <c r="XCL617" s="559"/>
      <c r="XCM617" s="559"/>
      <c r="XCN617" s="559"/>
      <c r="XCO617" s="559"/>
      <c r="XCP617" s="559"/>
      <c r="XCQ617" s="559"/>
      <c r="XCR617" s="559"/>
      <c r="XCS617" s="559"/>
      <c r="XCT617" s="559"/>
      <c r="XCU617" s="559"/>
      <c r="XCV617" s="559"/>
      <c r="XCW617" s="559"/>
      <c r="XCX617" s="559"/>
      <c r="XCY617" s="559"/>
      <c r="XCZ617" s="559"/>
      <c r="XDA617" s="559"/>
      <c r="XDB617" s="559"/>
      <c r="XDC617" s="559"/>
      <c r="XDD617" s="559"/>
      <c r="XDE617" s="559"/>
      <c r="XDF617" s="559"/>
      <c r="XDG617" s="559"/>
      <c r="XDH617" s="559"/>
      <c r="XDI617" s="559"/>
      <c r="XDJ617" s="559"/>
      <c r="XDK617" s="559"/>
      <c r="XDL617" s="559"/>
      <c r="XDM617" s="559"/>
      <c r="XDN617" s="559"/>
      <c r="XDO617" s="559"/>
      <c r="XDP617" s="559"/>
      <c r="XDQ617" s="559"/>
      <c r="XDR617" s="559"/>
      <c r="XDS617" s="559"/>
      <c r="XDT617" s="559"/>
      <c r="XDU617" s="559"/>
      <c r="XDV617" s="559"/>
      <c r="XDW617" s="559"/>
      <c r="XDX617" s="559"/>
      <c r="XDY617" s="559"/>
      <c r="XDZ617" s="559"/>
      <c r="XEA617" s="559"/>
      <c r="XEB617" s="559"/>
      <c r="XEC617" s="559"/>
      <c r="XED617" s="559"/>
      <c r="XEE617" s="559"/>
      <c r="XEF617" s="559"/>
      <c r="XEG617" s="559"/>
      <c r="XEH617" s="559"/>
      <c r="XEI617" s="559"/>
      <c r="XEJ617" s="559"/>
      <c r="XEK617" s="559"/>
      <c r="XEL617" s="559"/>
      <c r="XEM617" s="559"/>
      <c r="XEN617" s="559"/>
      <c r="XEO617" s="559"/>
      <c r="XEP617" s="559"/>
      <c r="XEQ617" s="559"/>
      <c r="XER617" s="559"/>
    </row>
    <row r="618" spans="1:16372" s="43" customFormat="1">
      <c r="A618" s="970"/>
      <c r="B618" s="516">
        <v>1847110110</v>
      </c>
      <c r="C618" s="970">
        <v>110</v>
      </c>
      <c r="D618" s="970">
        <v>847110</v>
      </c>
      <c r="E618" s="480">
        <v>1</v>
      </c>
      <c r="F618" s="970" t="s">
        <v>2478</v>
      </c>
      <c r="G618" s="67">
        <v>105300</v>
      </c>
      <c r="H618" s="915">
        <v>0</v>
      </c>
      <c r="I618" s="915">
        <v>0</v>
      </c>
      <c r="J618" s="230" t="s">
        <v>274</v>
      </c>
      <c r="K618" s="969"/>
      <c r="N618" s="478"/>
    </row>
    <row r="619" spans="1:16372" s="43" customFormat="1">
      <c r="A619" s="970"/>
      <c r="B619" s="1049">
        <v>1847110810</v>
      </c>
      <c r="C619" s="970">
        <v>810</v>
      </c>
      <c r="D619" s="970">
        <v>847110</v>
      </c>
      <c r="E619" s="970">
        <v>1</v>
      </c>
      <c r="F619" s="970" t="s">
        <v>2479</v>
      </c>
      <c r="G619" s="67">
        <v>4000</v>
      </c>
      <c r="H619" s="915">
        <v>0</v>
      </c>
      <c r="I619" s="915">
        <v>0</v>
      </c>
      <c r="J619" s="230"/>
      <c r="K619" s="969"/>
      <c r="N619" s="478"/>
    </row>
    <row r="620" spans="1:16372">
      <c r="A620" s="970"/>
      <c r="B620" s="516">
        <v>1847200110</v>
      </c>
      <c r="C620" s="970">
        <v>110</v>
      </c>
      <c r="D620" s="970">
        <v>847200</v>
      </c>
      <c r="E620" s="480">
        <v>1</v>
      </c>
      <c r="F620" s="970" t="s">
        <v>199</v>
      </c>
      <c r="G620" s="67">
        <v>164000</v>
      </c>
      <c r="H620" s="915">
        <v>196000</v>
      </c>
      <c r="I620" s="915">
        <v>184000</v>
      </c>
      <c r="J620" s="230" t="s">
        <v>274</v>
      </c>
      <c r="K620" s="969"/>
      <c r="N620" s="478"/>
    </row>
    <row r="621" spans="1:16372" s="43" customFormat="1">
      <c r="A621" s="970"/>
      <c r="B621" s="516">
        <v>1847300110</v>
      </c>
      <c r="C621" s="970">
        <v>110</v>
      </c>
      <c r="D621" s="970">
        <v>847300</v>
      </c>
      <c r="E621" s="480">
        <v>1</v>
      </c>
      <c r="F621" s="970" t="s">
        <v>2213</v>
      </c>
      <c r="G621" s="67">
        <v>65000</v>
      </c>
      <c r="H621" s="915">
        <v>43000</v>
      </c>
      <c r="I621" s="915">
        <v>0</v>
      </c>
      <c r="J621" s="1051" t="s">
        <v>346</v>
      </c>
      <c r="K621" s="969"/>
      <c r="N621" s="478"/>
    </row>
    <row r="622" spans="1:16372">
      <c r="A622" s="970"/>
      <c r="B622" s="1049">
        <v>1847300813</v>
      </c>
      <c r="C622" s="970">
        <v>813</v>
      </c>
      <c r="D622" s="970">
        <v>847300</v>
      </c>
      <c r="E622" s="970">
        <v>1</v>
      </c>
      <c r="F622" s="970" t="s">
        <v>799</v>
      </c>
      <c r="G622" s="67">
        <v>123000</v>
      </c>
      <c r="H622" s="915">
        <v>122000</v>
      </c>
      <c r="I622" s="915">
        <v>0</v>
      </c>
      <c r="J622" s="230" t="s">
        <v>800</v>
      </c>
      <c r="K622" s="969"/>
      <c r="N622" s="478"/>
    </row>
    <row r="623" spans="1:16372" ht="28.5">
      <c r="A623" s="970"/>
      <c r="B623" s="1049">
        <v>1847300814</v>
      </c>
      <c r="C623" s="970">
        <v>814</v>
      </c>
      <c r="D623" s="970">
        <v>847300</v>
      </c>
      <c r="E623" s="970">
        <v>1</v>
      </c>
      <c r="F623" s="970" t="s">
        <v>2214</v>
      </c>
      <c r="G623" s="67">
        <v>240000</v>
      </c>
      <c r="H623" s="915">
        <v>240000</v>
      </c>
      <c r="I623" s="915">
        <v>624000</v>
      </c>
      <c r="J623" s="230" t="s">
        <v>3153</v>
      </c>
      <c r="K623" s="969"/>
      <c r="N623" s="478"/>
    </row>
    <row r="624" spans="1:16372">
      <c r="A624" s="970"/>
      <c r="B624" s="1049">
        <v>1847300820</v>
      </c>
      <c r="C624" s="970">
        <v>820</v>
      </c>
      <c r="D624" s="970">
        <v>847300</v>
      </c>
      <c r="E624" s="970">
        <v>1</v>
      </c>
      <c r="F624" s="970" t="s">
        <v>801</v>
      </c>
      <c r="G624" s="67">
        <v>0</v>
      </c>
      <c r="H624" s="915">
        <v>589000</v>
      </c>
      <c r="I624" s="915">
        <v>0</v>
      </c>
      <c r="J624" s="230" t="s">
        <v>802</v>
      </c>
      <c r="K624" s="969"/>
      <c r="N624" s="478"/>
    </row>
    <row r="625" spans="1:14">
      <c r="A625" s="970"/>
      <c r="B625" s="1049">
        <v>1847300822</v>
      </c>
      <c r="C625" s="970">
        <v>822</v>
      </c>
      <c r="D625" s="970">
        <v>847300</v>
      </c>
      <c r="E625" s="970">
        <v>1</v>
      </c>
      <c r="F625" s="970" t="s">
        <v>803</v>
      </c>
      <c r="G625" s="67">
        <v>30000</v>
      </c>
      <c r="H625" s="915">
        <v>30000</v>
      </c>
      <c r="I625" s="915">
        <v>35000</v>
      </c>
      <c r="J625" s="230"/>
      <c r="K625" s="969"/>
      <c r="N625" s="478"/>
    </row>
    <row r="626" spans="1:14">
      <c r="A626" s="970"/>
      <c r="B626" s="516">
        <v>1847400110</v>
      </c>
      <c r="C626" s="970">
        <v>110</v>
      </c>
      <c r="D626" s="970">
        <v>847400</v>
      </c>
      <c r="E626" s="480">
        <v>1</v>
      </c>
      <c r="F626" s="970" t="s">
        <v>2215</v>
      </c>
      <c r="G626" s="67">
        <v>148000</v>
      </c>
      <c r="H626" s="915">
        <v>113000</v>
      </c>
      <c r="I626" s="915">
        <v>271000</v>
      </c>
      <c r="J626" s="230" t="s">
        <v>274</v>
      </c>
      <c r="K626" s="969"/>
      <c r="N626" s="478"/>
    </row>
    <row r="627" spans="1:14">
      <c r="A627" s="970"/>
      <c r="B627" s="1049">
        <v>1847400821</v>
      </c>
      <c r="C627" s="970">
        <v>821</v>
      </c>
      <c r="D627" s="970">
        <v>847400</v>
      </c>
      <c r="E627" s="970">
        <v>1</v>
      </c>
      <c r="F627" s="970" t="s">
        <v>804</v>
      </c>
      <c r="G627" s="67">
        <v>362000</v>
      </c>
      <c r="H627" s="915">
        <v>285000</v>
      </c>
      <c r="I627" s="915">
        <v>487000</v>
      </c>
      <c r="J627" s="1055" t="s">
        <v>3546</v>
      </c>
      <c r="K627" s="969"/>
      <c r="N627" s="478"/>
    </row>
    <row r="628" spans="1:14">
      <c r="A628" s="970"/>
      <c r="B628" s="1049">
        <v>1847400822</v>
      </c>
      <c r="C628" s="970">
        <v>822</v>
      </c>
      <c r="D628" s="970">
        <v>847400</v>
      </c>
      <c r="E628" s="970">
        <v>1</v>
      </c>
      <c r="F628" s="970" t="s">
        <v>205</v>
      </c>
      <c r="G628" s="67">
        <v>151000</v>
      </c>
      <c r="H628" s="915">
        <v>37000</v>
      </c>
      <c r="I628" s="915">
        <v>59000</v>
      </c>
      <c r="J628" s="230" t="s">
        <v>116</v>
      </c>
      <c r="K628" s="969"/>
      <c r="N628" s="478"/>
    </row>
    <row r="629" spans="1:14">
      <c r="A629" s="970"/>
      <c r="B629" s="1049">
        <v>1847400823</v>
      </c>
      <c r="C629" s="970">
        <v>823</v>
      </c>
      <c r="D629" s="970">
        <v>847400</v>
      </c>
      <c r="E629" s="970">
        <v>1</v>
      </c>
      <c r="F629" s="970" t="s">
        <v>202</v>
      </c>
      <c r="G629" s="67">
        <v>74000</v>
      </c>
      <c r="H629" s="915">
        <v>44000</v>
      </c>
      <c r="I629" s="915">
        <v>90000</v>
      </c>
      <c r="J629" s="230"/>
      <c r="K629" s="969"/>
      <c r="N629" s="478"/>
    </row>
    <row r="630" spans="1:14">
      <c r="A630" s="970"/>
      <c r="B630" s="516">
        <v>1847410110</v>
      </c>
      <c r="C630" s="970">
        <v>110</v>
      </c>
      <c r="D630" s="970">
        <v>847410</v>
      </c>
      <c r="E630" s="480">
        <v>1</v>
      </c>
      <c r="F630" s="970" t="s">
        <v>805</v>
      </c>
      <c r="G630" s="67">
        <v>969000</v>
      </c>
      <c r="H630" s="915">
        <v>1041000</v>
      </c>
      <c r="I630" s="915">
        <v>1255000</v>
      </c>
      <c r="J630" s="230" t="s">
        <v>274</v>
      </c>
      <c r="K630" s="969"/>
      <c r="N630" s="478"/>
    </row>
    <row r="631" spans="1:14">
      <c r="A631" s="970"/>
      <c r="B631" s="516">
        <v>1847420110</v>
      </c>
      <c r="C631" s="970">
        <v>110</v>
      </c>
      <c r="D631" s="970">
        <v>847420</v>
      </c>
      <c r="E631" s="480">
        <v>1</v>
      </c>
      <c r="F631" s="970" t="s">
        <v>806</v>
      </c>
      <c r="G631" s="67">
        <v>201000</v>
      </c>
      <c r="H631" s="915">
        <v>207000</v>
      </c>
      <c r="I631" s="915">
        <v>200000</v>
      </c>
      <c r="J631" s="230" t="s">
        <v>274</v>
      </c>
      <c r="K631" s="969"/>
      <c r="N631" s="478"/>
    </row>
    <row r="632" spans="1:14">
      <c r="A632" s="970"/>
      <c r="B632" s="516">
        <v>1847500110</v>
      </c>
      <c r="C632" s="970">
        <v>110</v>
      </c>
      <c r="D632" s="970">
        <v>847500</v>
      </c>
      <c r="E632" s="480">
        <v>1</v>
      </c>
      <c r="F632" s="970" t="s">
        <v>201</v>
      </c>
      <c r="G632" s="67">
        <v>294000</v>
      </c>
      <c r="H632" s="915">
        <v>160000</v>
      </c>
      <c r="I632" s="915">
        <v>256000</v>
      </c>
      <c r="J632" s="230" t="s">
        <v>274</v>
      </c>
      <c r="K632" s="969"/>
      <c r="N632" s="478"/>
    </row>
    <row r="633" spans="1:14">
      <c r="A633" s="970"/>
      <c r="B633" s="516">
        <v>1847600110</v>
      </c>
      <c r="C633" s="970">
        <v>110</v>
      </c>
      <c r="D633" s="970">
        <v>847600</v>
      </c>
      <c r="E633" s="480">
        <v>1</v>
      </c>
      <c r="F633" s="970" t="s">
        <v>807</v>
      </c>
      <c r="G633" s="67">
        <v>766000</v>
      </c>
      <c r="H633" s="915">
        <v>741000</v>
      </c>
      <c r="I633" s="915">
        <v>763000</v>
      </c>
      <c r="J633" s="230" t="s">
        <v>274</v>
      </c>
      <c r="K633" s="969"/>
      <c r="N633" s="478"/>
    </row>
    <row r="634" spans="1:14">
      <c r="A634" s="970"/>
      <c r="B634" s="1049">
        <v>1847600830</v>
      </c>
      <c r="C634" s="970">
        <v>830</v>
      </c>
      <c r="D634" s="970">
        <v>847600</v>
      </c>
      <c r="E634" s="970">
        <v>1</v>
      </c>
      <c r="F634" s="970" t="s">
        <v>206</v>
      </c>
      <c r="G634" s="67">
        <v>72000</v>
      </c>
      <c r="H634" s="915">
        <v>93000</v>
      </c>
      <c r="I634" s="915">
        <v>75000</v>
      </c>
      <c r="J634" s="230" t="s">
        <v>808</v>
      </c>
      <c r="K634" s="969"/>
      <c r="N634" s="478"/>
    </row>
    <row r="635" spans="1:14" s="43" customFormat="1">
      <c r="A635" s="970"/>
      <c r="B635" s="516">
        <v>1847700110</v>
      </c>
      <c r="C635" s="970">
        <v>110</v>
      </c>
      <c r="D635" s="970">
        <v>847700</v>
      </c>
      <c r="E635" s="480">
        <v>1</v>
      </c>
      <c r="F635" s="970" t="s">
        <v>2216</v>
      </c>
      <c r="G635" s="67">
        <v>149600</v>
      </c>
      <c r="H635" s="915">
        <v>3000</v>
      </c>
      <c r="I635" s="915">
        <v>0</v>
      </c>
      <c r="J635" s="1051" t="s">
        <v>346</v>
      </c>
      <c r="K635" s="969"/>
      <c r="N635" s="478"/>
    </row>
    <row r="636" spans="1:14" s="43" customFormat="1">
      <c r="A636" s="970"/>
      <c r="B636" s="1049">
        <v>1847700810</v>
      </c>
      <c r="C636" s="970">
        <v>810</v>
      </c>
      <c r="D636" s="970">
        <v>847700</v>
      </c>
      <c r="E636" s="970">
        <v>1</v>
      </c>
      <c r="F636" s="970" t="s">
        <v>2217</v>
      </c>
      <c r="G636" s="67">
        <v>49333</v>
      </c>
      <c r="H636" s="915">
        <v>0</v>
      </c>
      <c r="I636" s="915">
        <v>0</v>
      </c>
      <c r="J636" s="230"/>
      <c r="K636" s="969"/>
      <c r="N636" s="478"/>
    </row>
    <row r="637" spans="1:14">
      <c r="A637" s="970"/>
      <c r="B637" s="516">
        <v>1847800110</v>
      </c>
      <c r="C637" s="970">
        <v>110</v>
      </c>
      <c r="D637" s="970">
        <v>847800</v>
      </c>
      <c r="E637" s="480">
        <v>1</v>
      </c>
      <c r="F637" s="970" t="s">
        <v>809</v>
      </c>
      <c r="G637" s="67">
        <v>179000</v>
      </c>
      <c r="H637" s="915">
        <v>126000</v>
      </c>
      <c r="I637" s="915">
        <v>156000</v>
      </c>
      <c r="J637" s="230" t="s">
        <v>274</v>
      </c>
      <c r="K637" s="969"/>
      <c r="N637" s="478"/>
    </row>
    <row r="638" spans="1:14">
      <c r="A638" s="970"/>
      <c r="B638" s="1049">
        <v>1847800810</v>
      </c>
      <c r="C638" s="970">
        <v>810</v>
      </c>
      <c r="D638" s="970">
        <v>847800</v>
      </c>
      <c r="E638" s="970">
        <v>1</v>
      </c>
      <c r="F638" s="970" t="s">
        <v>810</v>
      </c>
      <c r="G638" s="67">
        <v>43000</v>
      </c>
      <c r="H638" s="915">
        <v>95000</v>
      </c>
      <c r="I638" s="915">
        <v>78000</v>
      </c>
      <c r="J638" s="230" t="s">
        <v>811</v>
      </c>
      <c r="K638" s="969"/>
      <c r="N638" s="478"/>
    </row>
    <row r="639" spans="1:14">
      <c r="A639" s="970"/>
      <c r="B639" s="516">
        <v>1847810110</v>
      </c>
      <c r="C639" s="970">
        <v>110</v>
      </c>
      <c r="D639" s="970">
        <v>847810</v>
      </c>
      <c r="E639" s="480">
        <v>1</v>
      </c>
      <c r="F639" s="970" t="s">
        <v>812</v>
      </c>
      <c r="G639" s="67">
        <v>81000</v>
      </c>
      <c r="H639" s="915">
        <v>86000</v>
      </c>
      <c r="I639" s="915">
        <v>78000</v>
      </c>
      <c r="J639" s="230" t="s">
        <v>274</v>
      </c>
      <c r="K639" s="969"/>
      <c r="N639" s="478"/>
    </row>
    <row r="640" spans="1:14">
      <c r="A640" s="970"/>
      <c r="B640" s="1049">
        <v>1847810810</v>
      </c>
      <c r="C640" s="970">
        <v>810</v>
      </c>
      <c r="D640" s="970">
        <v>847810</v>
      </c>
      <c r="E640" s="970">
        <v>1</v>
      </c>
      <c r="F640" s="970" t="s">
        <v>813</v>
      </c>
      <c r="G640" s="67">
        <v>70000</v>
      </c>
      <c r="H640" s="915">
        <v>54000</v>
      </c>
      <c r="I640" s="915">
        <v>73000</v>
      </c>
      <c r="J640" s="230"/>
      <c r="K640" s="969"/>
      <c r="N640" s="478"/>
    </row>
    <row r="641" spans="1:14">
      <c r="A641" s="970"/>
      <c r="B641" s="1049">
        <v>1847810820</v>
      </c>
      <c r="C641" s="970">
        <v>820</v>
      </c>
      <c r="D641" s="970">
        <v>847810</v>
      </c>
      <c r="E641" s="970">
        <v>1</v>
      </c>
      <c r="F641" s="970" t="s">
        <v>209</v>
      </c>
      <c r="G641" s="67">
        <v>238000</v>
      </c>
      <c r="H641" s="915">
        <v>362000</v>
      </c>
      <c r="I641" s="915">
        <v>410000</v>
      </c>
      <c r="J641" s="230"/>
      <c r="K641" s="969"/>
      <c r="N641" s="478"/>
    </row>
    <row r="642" spans="1:14">
      <c r="A642" s="970"/>
      <c r="B642" s="516">
        <v>1847900110</v>
      </c>
      <c r="C642" s="970">
        <v>110</v>
      </c>
      <c r="D642" s="970">
        <v>847900</v>
      </c>
      <c r="E642" s="480">
        <v>1</v>
      </c>
      <c r="F642" s="970" t="s">
        <v>814</v>
      </c>
      <c r="G642" s="67">
        <v>460000</v>
      </c>
      <c r="H642" s="915">
        <v>479000</v>
      </c>
      <c r="I642" s="915">
        <v>703000</v>
      </c>
      <c r="J642" s="230" t="s">
        <v>274</v>
      </c>
      <c r="K642" s="969"/>
      <c r="N642" s="478"/>
    </row>
    <row r="643" spans="1:14">
      <c r="A643" s="970"/>
      <c r="B643" s="1049">
        <v>1847900820</v>
      </c>
      <c r="C643" s="970">
        <v>820</v>
      </c>
      <c r="D643" s="970">
        <v>847900</v>
      </c>
      <c r="E643" s="970">
        <v>1</v>
      </c>
      <c r="F643" s="970" t="s">
        <v>815</v>
      </c>
      <c r="G643" s="67">
        <v>289000</v>
      </c>
      <c r="H643" s="915">
        <v>280000</v>
      </c>
      <c r="I643" s="915">
        <v>691000</v>
      </c>
      <c r="J643" s="230" t="s">
        <v>116</v>
      </c>
      <c r="K643" s="969"/>
      <c r="N643" s="478"/>
    </row>
    <row r="644" spans="1:14">
      <c r="A644" s="970"/>
      <c r="B644" s="1049">
        <v>1847900822</v>
      </c>
      <c r="C644" s="970">
        <v>822</v>
      </c>
      <c r="D644" s="970">
        <v>847900</v>
      </c>
      <c r="E644" s="970">
        <v>1</v>
      </c>
      <c r="F644" s="970" t="s">
        <v>211</v>
      </c>
      <c r="G644" s="67">
        <v>87000</v>
      </c>
      <c r="H644" s="915">
        <v>96000</v>
      </c>
      <c r="I644" s="915">
        <v>49000</v>
      </c>
      <c r="J644" s="230" t="s">
        <v>808</v>
      </c>
      <c r="K644" s="969"/>
      <c r="N644" s="478"/>
    </row>
    <row r="645" spans="1:14" s="566" customFormat="1">
      <c r="A645" s="970"/>
      <c r="B645" s="1049">
        <v>1847900082</v>
      </c>
      <c r="C645" s="970">
        <v>826</v>
      </c>
      <c r="D645" s="970">
        <v>847900</v>
      </c>
      <c r="E645" s="970">
        <v>1</v>
      </c>
      <c r="F645" s="970" t="s">
        <v>3025</v>
      </c>
      <c r="G645" s="67">
        <v>0</v>
      </c>
      <c r="H645" s="915">
        <v>0</v>
      </c>
      <c r="I645" s="915">
        <v>1057000</v>
      </c>
      <c r="J645" s="230" t="s">
        <v>808</v>
      </c>
      <c r="K645" s="969"/>
      <c r="N645" s="478"/>
    </row>
    <row r="646" spans="1:14" ht="15">
      <c r="A646" s="68" t="s">
        <v>816</v>
      </c>
      <c r="B646" s="68"/>
      <c r="C646" s="68">
        <v>999</v>
      </c>
      <c r="D646" s="68">
        <v>847000</v>
      </c>
      <c r="E646" s="970">
        <v>1</v>
      </c>
      <c r="F646" s="68" t="s">
        <v>4</v>
      </c>
      <c r="G646" s="69">
        <v>7164233</v>
      </c>
      <c r="H646" s="945">
        <v>6647000</v>
      </c>
      <c r="I646" s="916">
        <v>8921000</v>
      </c>
      <c r="J646" s="1050"/>
      <c r="K646" s="969"/>
      <c r="N646" s="478"/>
    </row>
    <row r="647" spans="1:14" ht="28.5">
      <c r="A647" s="970" t="s">
        <v>817</v>
      </c>
      <c r="B647" s="1049">
        <v>1848200820</v>
      </c>
      <c r="C647" s="970">
        <v>820</v>
      </c>
      <c r="D647" s="970">
        <v>848200</v>
      </c>
      <c r="E647" s="970">
        <v>1</v>
      </c>
      <c r="F647" s="970" t="s">
        <v>213</v>
      </c>
      <c r="G647" s="67">
        <v>30000</v>
      </c>
      <c r="H647" s="915">
        <v>10000</v>
      </c>
      <c r="I647" s="915">
        <v>30000</v>
      </c>
      <c r="J647" s="230" t="s">
        <v>818</v>
      </c>
      <c r="K647" s="969"/>
      <c r="N647" s="478"/>
    </row>
    <row r="648" spans="1:14">
      <c r="A648" s="970"/>
      <c r="B648" s="1049">
        <v>1848300820</v>
      </c>
      <c r="C648" s="970">
        <v>820</v>
      </c>
      <c r="D648" s="970">
        <v>848300</v>
      </c>
      <c r="E648" s="970">
        <v>1</v>
      </c>
      <c r="F648" s="970" t="s">
        <v>819</v>
      </c>
      <c r="G648" s="67">
        <v>50000</v>
      </c>
      <c r="H648" s="915">
        <v>11000</v>
      </c>
      <c r="I648" s="915">
        <v>50000</v>
      </c>
      <c r="J648" s="230" t="s">
        <v>820</v>
      </c>
      <c r="K648" s="969"/>
      <c r="N648" s="478"/>
    </row>
    <row r="649" spans="1:14">
      <c r="A649" s="970"/>
      <c r="B649" s="1049">
        <v>1848400750</v>
      </c>
      <c r="C649" s="970">
        <v>750</v>
      </c>
      <c r="D649" s="970">
        <v>848400</v>
      </c>
      <c r="E649" s="970">
        <v>1</v>
      </c>
      <c r="F649" s="970" t="s">
        <v>821</v>
      </c>
      <c r="G649" s="67">
        <v>15000</v>
      </c>
      <c r="H649" s="915">
        <v>12000</v>
      </c>
      <c r="I649" s="915">
        <v>15000</v>
      </c>
      <c r="J649" s="230" t="s">
        <v>822</v>
      </c>
      <c r="K649" s="969"/>
      <c r="N649" s="478"/>
    </row>
    <row r="650" spans="1:14" ht="15">
      <c r="A650" s="68" t="s">
        <v>823</v>
      </c>
      <c r="B650" s="68"/>
      <c r="C650" s="68">
        <v>999</v>
      </c>
      <c r="D650" s="68">
        <v>848000</v>
      </c>
      <c r="E650" s="970">
        <v>1</v>
      </c>
      <c r="F650" s="68" t="s">
        <v>4</v>
      </c>
      <c r="G650" s="69">
        <v>95000</v>
      </c>
      <c r="H650" s="945">
        <v>33000</v>
      </c>
      <c r="I650" s="916">
        <v>95000</v>
      </c>
      <c r="J650" s="1050"/>
      <c r="K650" s="969"/>
      <c r="N650" s="478"/>
    </row>
    <row r="651" spans="1:14">
      <c r="A651" s="970"/>
      <c r="B651" s="1049">
        <v>1848500780</v>
      </c>
      <c r="C651" s="970">
        <v>780</v>
      </c>
      <c r="D651" s="970">
        <v>848500</v>
      </c>
      <c r="E651" s="970">
        <v>1</v>
      </c>
      <c r="F651" s="970" t="s">
        <v>824</v>
      </c>
      <c r="G651" s="67">
        <v>30000</v>
      </c>
      <c r="H651" s="915">
        <v>0</v>
      </c>
      <c r="I651" s="915">
        <v>30000</v>
      </c>
      <c r="J651" s="1066" t="s">
        <v>2360</v>
      </c>
      <c r="K651" s="969"/>
      <c r="N651" s="478"/>
    </row>
    <row r="652" spans="1:14">
      <c r="A652" s="970"/>
      <c r="B652" s="1049">
        <v>1848500820</v>
      </c>
      <c r="C652" s="970">
        <v>820</v>
      </c>
      <c r="D652" s="970">
        <v>848500</v>
      </c>
      <c r="E652" s="970">
        <v>1</v>
      </c>
      <c r="F652" s="970" t="s">
        <v>825</v>
      </c>
      <c r="G652" s="67">
        <v>19000</v>
      </c>
      <c r="H652" s="915">
        <v>17000</v>
      </c>
      <c r="I652" s="915">
        <v>19000</v>
      </c>
      <c r="J652" s="230" t="s">
        <v>2361</v>
      </c>
      <c r="K652" s="969"/>
      <c r="N652" s="478"/>
    </row>
    <row r="653" spans="1:14" ht="15">
      <c r="A653" s="68" t="s">
        <v>826</v>
      </c>
      <c r="B653" s="68"/>
      <c r="C653" s="68">
        <v>999</v>
      </c>
      <c r="D653" s="68">
        <v>848500</v>
      </c>
      <c r="E653" s="970">
        <v>1</v>
      </c>
      <c r="F653" s="68"/>
      <c r="G653" s="69">
        <v>49000</v>
      </c>
      <c r="H653" s="945">
        <v>17000</v>
      </c>
      <c r="I653" s="916">
        <v>49000</v>
      </c>
      <c r="J653" s="1050"/>
      <c r="K653" s="969"/>
      <c r="N653" s="478"/>
    </row>
    <row r="654" spans="1:14">
      <c r="A654" s="970"/>
      <c r="B654" s="1049">
        <v>1849000829</v>
      </c>
      <c r="C654" s="970">
        <v>829</v>
      </c>
      <c r="D654" s="970">
        <v>849000</v>
      </c>
      <c r="E654" s="970">
        <v>1</v>
      </c>
      <c r="F654" s="970" t="s">
        <v>221</v>
      </c>
      <c r="G654" s="67">
        <v>1197000</v>
      </c>
      <c r="H654" s="915">
        <v>1185000</v>
      </c>
      <c r="I654" s="915">
        <v>1229000</v>
      </c>
      <c r="J654" s="230" t="s">
        <v>4</v>
      </c>
      <c r="K654" s="969"/>
      <c r="N654" s="478"/>
    </row>
    <row r="655" spans="1:14" ht="28.5">
      <c r="A655" s="970"/>
      <c r="B655" s="1049">
        <v>1849000830</v>
      </c>
      <c r="C655" s="970">
        <v>830</v>
      </c>
      <c r="D655" s="970">
        <v>849000</v>
      </c>
      <c r="E655" s="970">
        <v>1</v>
      </c>
      <c r="F655" s="970" t="s">
        <v>222</v>
      </c>
      <c r="G655" s="67">
        <v>30000</v>
      </c>
      <c r="H655" s="915">
        <v>18000</v>
      </c>
      <c r="I655" s="915">
        <v>18000</v>
      </c>
      <c r="J655" s="230" t="s">
        <v>827</v>
      </c>
      <c r="K655" s="969"/>
      <c r="N655" s="478"/>
    </row>
    <row r="656" spans="1:14" ht="28.5">
      <c r="A656" s="970"/>
      <c r="B656" s="1049">
        <v>1849000833</v>
      </c>
      <c r="C656" s="970">
        <v>833</v>
      </c>
      <c r="D656" s="970">
        <v>849000</v>
      </c>
      <c r="E656" s="970">
        <v>1</v>
      </c>
      <c r="F656" s="970" t="s">
        <v>828</v>
      </c>
      <c r="G656" s="67">
        <v>35000</v>
      </c>
      <c r="H656" s="915">
        <v>24000</v>
      </c>
      <c r="I656" s="915">
        <v>28000</v>
      </c>
      <c r="J656" s="230" t="s">
        <v>829</v>
      </c>
      <c r="K656" s="969"/>
      <c r="N656" s="478"/>
    </row>
    <row r="657" spans="1:14" ht="15">
      <c r="A657" s="68" t="s">
        <v>224</v>
      </c>
      <c r="B657" s="68"/>
      <c r="C657" s="68">
        <v>999</v>
      </c>
      <c r="D657" s="68">
        <v>849000</v>
      </c>
      <c r="E657" s="970">
        <v>1</v>
      </c>
      <c r="F657" s="68" t="s">
        <v>4</v>
      </c>
      <c r="G657" s="69">
        <v>1262000</v>
      </c>
      <c r="H657" s="945">
        <v>1227000</v>
      </c>
      <c r="I657" s="916">
        <v>1275000</v>
      </c>
      <c r="J657" s="1050"/>
      <c r="K657" s="969"/>
      <c r="N657" s="478"/>
    </row>
    <row r="658" spans="1:14" ht="28.5">
      <c r="A658" s="970" t="s">
        <v>830</v>
      </c>
      <c r="B658" s="1049">
        <v>1851000810</v>
      </c>
      <c r="C658" s="970">
        <v>810</v>
      </c>
      <c r="D658" s="970">
        <v>851000</v>
      </c>
      <c r="E658" s="970">
        <v>1</v>
      </c>
      <c r="F658" s="970" t="s">
        <v>831</v>
      </c>
      <c r="G658" s="67">
        <v>5400000</v>
      </c>
      <c r="H658" s="915">
        <v>5110000</v>
      </c>
      <c r="I658" s="915">
        <v>5000000</v>
      </c>
      <c r="J658" s="1066" t="s">
        <v>3517</v>
      </c>
      <c r="K658" s="969"/>
      <c r="N658" s="478"/>
    </row>
    <row r="659" spans="1:14" ht="15">
      <c r="A659" s="68" t="s">
        <v>832</v>
      </c>
      <c r="B659" s="68"/>
      <c r="C659" s="68">
        <v>999</v>
      </c>
      <c r="D659" s="68">
        <v>851000</v>
      </c>
      <c r="E659" s="970">
        <v>1</v>
      </c>
      <c r="F659" s="68" t="s">
        <v>4</v>
      </c>
      <c r="G659" s="69">
        <v>5400000</v>
      </c>
      <c r="H659" s="945">
        <v>5110000</v>
      </c>
      <c r="I659" s="916">
        <v>5000000</v>
      </c>
      <c r="J659" s="1050"/>
      <c r="K659" s="969"/>
      <c r="N659" s="478"/>
    </row>
    <row r="660" spans="1:14">
      <c r="A660" s="970" t="s">
        <v>833</v>
      </c>
      <c r="B660" s="516">
        <v>1860000110</v>
      </c>
      <c r="C660" s="970">
        <v>110</v>
      </c>
      <c r="D660" s="970">
        <v>860000</v>
      </c>
      <c r="E660" s="480">
        <v>1</v>
      </c>
      <c r="F660" s="970" t="s">
        <v>834</v>
      </c>
      <c r="G660" s="67">
        <v>730000</v>
      </c>
      <c r="H660" s="915">
        <v>951000</v>
      </c>
      <c r="I660" s="915">
        <v>1209000</v>
      </c>
      <c r="J660" s="230" t="s">
        <v>274</v>
      </c>
      <c r="K660" s="969"/>
      <c r="N660" s="478"/>
    </row>
    <row r="661" spans="1:14">
      <c r="A661" s="970"/>
      <c r="B661" s="1049">
        <v>1860000410</v>
      </c>
      <c r="C661" s="970">
        <v>410</v>
      </c>
      <c r="D661" s="970">
        <v>860000</v>
      </c>
      <c r="E661" s="970">
        <v>1</v>
      </c>
      <c r="F661" s="970" t="s">
        <v>304</v>
      </c>
      <c r="G661" s="67">
        <v>0</v>
      </c>
      <c r="H661" s="915">
        <v>0</v>
      </c>
      <c r="I661" s="915"/>
      <c r="J661" s="230" t="s">
        <v>305</v>
      </c>
      <c r="K661" s="969"/>
      <c r="N661" s="478"/>
    </row>
    <row r="662" spans="1:14" s="448" customFormat="1">
      <c r="A662" s="970"/>
      <c r="B662" s="1049">
        <v>1860000430</v>
      </c>
      <c r="C662" s="970">
        <v>430</v>
      </c>
      <c r="D662" s="970">
        <v>860000</v>
      </c>
      <c r="E662" s="970">
        <v>1</v>
      </c>
      <c r="F662" s="970" t="s">
        <v>311</v>
      </c>
      <c r="G662" s="67">
        <v>28000</v>
      </c>
      <c r="H662" s="915">
        <v>27000</v>
      </c>
      <c r="I662" s="915">
        <v>28000</v>
      </c>
      <c r="J662" s="230" t="s">
        <v>529</v>
      </c>
      <c r="K662" s="969"/>
      <c r="N662" s="478"/>
    </row>
    <row r="663" spans="1:14">
      <c r="A663" s="970"/>
      <c r="B663" s="1049">
        <v>1860000540</v>
      </c>
      <c r="C663" s="970">
        <v>540</v>
      </c>
      <c r="D663" s="970">
        <v>860000</v>
      </c>
      <c r="E663" s="970">
        <v>1</v>
      </c>
      <c r="F663" s="970" t="s">
        <v>279</v>
      </c>
      <c r="G663" s="67">
        <v>11000</v>
      </c>
      <c r="H663" s="915">
        <v>10000</v>
      </c>
      <c r="I663" s="915">
        <v>11000</v>
      </c>
      <c r="J663" s="230"/>
      <c r="K663" s="969"/>
      <c r="N663" s="478"/>
    </row>
    <row r="664" spans="1:14">
      <c r="A664" s="970"/>
      <c r="B664" s="1049">
        <v>1860000750</v>
      </c>
      <c r="C664" s="970">
        <v>750</v>
      </c>
      <c r="D664" s="970">
        <v>860000</v>
      </c>
      <c r="E664" s="970">
        <v>1</v>
      </c>
      <c r="F664" s="970" t="s">
        <v>288</v>
      </c>
      <c r="G664" s="67">
        <v>300000</v>
      </c>
      <c r="H664" s="915">
        <v>311000</v>
      </c>
      <c r="I664" s="915">
        <v>450000</v>
      </c>
      <c r="J664" s="230" t="s">
        <v>2362</v>
      </c>
      <c r="K664" s="969"/>
      <c r="N664" s="478"/>
    </row>
    <row r="665" spans="1:14" ht="28.5">
      <c r="A665" s="970"/>
      <c r="B665" s="1049">
        <v>1860000751</v>
      </c>
      <c r="C665" s="970">
        <v>751</v>
      </c>
      <c r="D665" s="970">
        <v>860000</v>
      </c>
      <c r="E665" s="970">
        <v>1</v>
      </c>
      <c r="F665" s="970" t="s">
        <v>835</v>
      </c>
      <c r="G665" s="67">
        <v>150000</v>
      </c>
      <c r="H665" s="915">
        <v>109000</v>
      </c>
      <c r="I665" s="915">
        <v>150000</v>
      </c>
      <c r="J665" s="230" t="s">
        <v>2472</v>
      </c>
      <c r="K665" s="969"/>
      <c r="N665" s="478"/>
    </row>
    <row r="666" spans="1:14">
      <c r="A666" s="970"/>
      <c r="B666" s="1049">
        <v>1860000752</v>
      </c>
      <c r="C666" s="970">
        <v>752</v>
      </c>
      <c r="D666" s="970">
        <v>860000</v>
      </c>
      <c r="E666" s="970">
        <v>1</v>
      </c>
      <c r="F666" s="970" t="s">
        <v>836</v>
      </c>
      <c r="G666" s="67">
        <v>137000</v>
      </c>
      <c r="H666" s="915">
        <v>137000</v>
      </c>
      <c r="I666" s="915">
        <v>137000</v>
      </c>
      <c r="J666" s="230" t="s">
        <v>2363</v>
      </c>
      <c r="K666" s="969"/>
      <c r="N666" s="478"/>
    </row>
    <row r="667" spans="1:14">
      <c r="A667" s="970"/>
      <c r="B667" s="1049">
        <v>1860000753</v>
      </c>
      <c r="C667" s="970">
        <v>753</v>
      </c>
      <c r="D667" s="970">
        <v>860000</v>
      </c>
      <c r="E667" s="970">
        <v>1</v>
      </c>
      <c r="F667" s="970" t="s">
        <v>1539</v>
      </c>
      <c r="G667" s="67">
        <v>100000</v>
      </c>
      <c r="H667" s="915">
        <v>113000</v>
      </c>
      <c r="I667" s="915">
        <v>100000</v>
      </c>
      <c r="J667" s="230" t="s">
        <v>1544</v>
      </c>
      <c r="K667" s="969"/>
      <c r="N667" s="478"/>
    </row>
    <row r="668" spans="1:14" s="43" customFormat="1">
      <c r="A668" s="970"/>
      <c r="B668" s="1049">
        <v>1860000780</v>
      </c>
      <c r="C668" s="970">
        <v>780</v>
      </c>
      <c r="D668" s="970">
        <v>860000</v>
      </c>
      <c r="E668" s="970">
        <v>1</v>
      </c>
      <c r="F668" s="970" t="s">
        <v>280</v>
      </c>
      <c r="G668" s="67">
        <v>5000</v>
      </c>
      <c r="H668" s="915">
        <v>5000</v>
      </c>
      <c r="I668" s="915">
        <v>5000</v>
      </c>
      <c r="J668" s="230" t="s">
        <v>837</v>
      </c>
      <c r="K668" s="969"/>
      <c r="N668" s="478"/>
    </row>
    <row r="669" spans="1:14" ht="15">
      <c r="A669" s="68" t="s">
        <v>838</v>
      </c>
      <c r="B669" s="68"/>
      <c r="C669" s="68">
        <v>999</v>
      </c>
      <c r="D669" s="68">
        <v>860000</v>
      </c>
      <c r="E669" s="970">
        <v>1</v>
      </c>
      <c r="F669" s="68"/>
      <c r="G669" s="69">
        <v>1461000</v>
      </c>
      <c r="H669" s="945">
        <v>1663000</v>
      </c>
      <c r="I669" s="916">
        <v>2090000</v>
      </c>
      <c r="J669" s="1050"/>
      <c r="K669" s="969"/>
      <c r="N669" s="478"/>
    </row>
    <row r="670" spans="1:14">
      <c r="A670" s="970" t="s">
        <v>229</v>
      </c>
      <c r="B670" s="516">
        <v>1870000110</v>
      </c>
      <c r="C670" s="970">
        <v>110</v>
      </c>
      <c r="D670" s="970">
        <v>870000</v>
      </c>
      <c r="E670" s="480">
        <v>1</v>
      </c>
      <c r="F670" s="970" t="s">
        <v>839</v>
      </c>
      <c r="G670" s="67">
        <v>590000</v>
      </c>
      <c r="H670" s="915">
        <v>364000</v>
      </c>
      <c r="I670" s="915">
        <v>736000</v>
      </c>
      <c r="J670" s="230" t="s">
        <v>274</v>
      </c>
      <c r="K670" s="969"/>
      <c r="N670" s="478"/>
    </row>
    <row r="671" spans="1:14">
      <c r="A671" s="970"/>
      <c r="B671" s="1049">
        <v>1870000530</v>
      </c>
      <c r="C671" s="970">
        <v>530</v>
      </c>
      <c r="D671" s="970">
        <v>870000</v>
      </c>
      <c r="E671" s="970">
        <v>1</v>
      </c>
      <c r="F671" s="970" t="s">
        <v>277</v>
      </c>
      <c r="G671" s="67">
        <v>80000</v>
      </c>
      <c r="H671" s="915">
        <v>44000</v>
      </c>
      <c r="I671" s="915">
        <v>110000</v>
      </c>
      <c r="J671" s="230" t="s">
        <v>287</v>
      </c>
      <c r="K671" s="969"/>
      <c r="N671" s="478"/>
    </row>
    <row r="672" spans="1:14" ht="28.5">
      <c r="A672" s="970"/>
      <c r="B672" s="1049">
        <v>1870000750</v>
      </c>
      <c r="C672" s="970">
        <v>750</v>
      </c>
      <c r="D672" s="970">
        <v>870000</v>
      </c>
      <c r="E672" s="970">
        <v>1</v>
      </c>
      <c r="F672" s="970" t="s">
        <v>288</v>
      </c>
      <c r="G672" s="67">
        <v>120000</v>
      </c>
      <c r="H672" s="915">
        <v>73000</v>
      </c>
      <c r="I672" s="915">
        <v>120000</v>
      </c>
      <c r="J672" s="230" t="s">
        <v>3850</v>
      </c>
      <c r="K672" s="969"/>
      <c r="N672" s="478"/>
    </row>
    <row r="673" spans="1:14">
      <c r="A673" s="970" t="s">
        <v>4</v>
      </c>
      <c r="B673" s="1049">
        <v>1870000780</v>
      </c>
      <c r="C673" s="970">
        <v>780</v>
      </c>
      <c r="D673" s="970">
        <v>870000</v>
      </c>
      <c r="E673" s="970">
        <v>1</v>
      </c>
      <c r="F673" s="970" t="s">
        <v>840</v>
      </c>
      <c r="G673" s="67">
        <v>10000</v>
      </c>
      <c r="H673" s="915">
        <v>5000</v>
      </c>
      <c r="I673" s="915">
        <v>10000</v>
      </c>
      <c r="J673" s="970" t="s">
        <v>841</v>
      </c>
      <c r="K673" s="969"/>
      <c r="N673" s="478"/>
    </row>
    <row r="674" spans="1:14" ht="15">
      <c r="A674" s="68" t="s">
        <v>231</v>
      </c>
      <c r="B674" s="68"/>
      <c r="C674" s="68">
        <v>999</v>
      </c>
      <c r="D674" s="68">
        <v>879000</v>
      </c>
      <c r="E674" s="970">
        <v>1</v>
      </c>
      <c r="F674" s="68"/>
      <c r="G674" s="69">
        <v>800000</v>
      </c>
      <c r="H674" s="945">
        <v>486000</v>
      </c>
      <c r="I674" s="916">
        <v>976000</v>
      </c>
      <c r="J674" s="1050"/>
      <c r="K674" s="969"/>
      <c r="N674" s="478"/>
    </row>
    <row r="675" spans="1:14">
      <c r="A675" s="970" t="s">
        <v>842</v>
      </c>
      <c r="B675" s="1049">
        <v>1937000430</v>
      </c>
      <c r="C675" s="970">
        <v>430</v>
      </c>
      <c r="D675" s="970">
        <v>937000</v>
      </c>
      <c r="E675" s="970">
        <v>1</v>
      </c>
      <c r="F675" s="970" t="s">
        <v>311</v>
      </c>
      <c r="G675" s="67">
        <v>30000</v>
      </c>
      <c r="H675" s="915">
        <v>21000</v>
      </c>
      <c r="I675" s="915">
        <v>30000</v>
      </c>
      <c r="J675" s="230" t="s">
        <v>843</v>
      </c>
      <c r="K675" s="969"/>
      <c r="N675" s="478"/>
    </row>
    <row r="676" spans="1:14">
      <c r="A676" s="970" t="s">
        <v>4</v>
      </c>
      <c r="B676" s="1049">
        <v>1937000750</v>
      </c>
      <c r="C676" s="970">
        <v>750</v>
      </c>
      <c r="D676" s="970">
        <v>937000</v>
      </c>
      <c r="E676" s="970">
        <v>1</v>
      </c>
      <c r="F676" s="970" t="s">
        <v>844</v>
      </c>
      <c r="G676" s="67">
        <v>16000</v>
      </c>
      <c r="H676" s="915">
        <v>0</v>
      </c>
      <c r="I676" s="915">
        <v>16187</v>
      </c>
      <c r="J676" s="230" t="s">
        <v>845</v>
      </c>
      <c r="K676" s="969"/>
      <c r="N676" s="478"/>
    </row>
    <row r="677" spans="1:14" ht="15">
      <c r="A677" s="68" t="s">
        <v>846</v>
      </c>
      <c r="B677" s="68"/>
      <c r="C677" s="68">
        <v>999</v>
      </c>
      <c r="D677" s="68">
        <v>937000</v>
      </c>
      <c r="E677" s="970">
        <v>1</v>
      </c>
      <c r="F677" s="68"/>
      <c r="G677" s="69">
        <v>46000</v>
      </c>
      <c r="H677" s="945">
        <v>21000</v>
      </c>
      <c r="I677" s="916">
        <v>46187</v>
      </c>
      <c r="J677" s="1050"/>
      <c r="K677" s="969"/>
      <c r="N677" s="478"/>
    </row>
    <row r="678" spans="1:14">
      <c r="A678" s="970" t="s">
        <v>241</v>
      </c>
      <c r="B678" s="516">
        <v>1941000110</v>
      </c>
      <c r="C678" s="970">
        <v>110</v>
      </c>
      <c r="D678" s="970">
        <v>941000</v>
      </c>
      <c r="E678" s="480">
        <v>1</v>
      </c>
      <c r="F678" s="970" t="s">
        <v>847</v>
      </c>
      <c r="G678" s="67">
        <v>618000</v>
      </c>
      <c r="H678" s="915">
        <v>656000</v>
      </c>
      <c r="I678" s="915">
        <v>682000</v>
      </c>
      <c r="J678" s="230" t="s">
        <v>274</v>
      </c>
      <c r="K678" s="969"/>
      <c r="N678" s="478"/>
    </row>
    <row r="679" spans="1:14">
      <c r="A679" s="970"/>
      <c r="B679" s="1049">
        <v>1941000530</v>
      </c>
      <c r="C679" s="970">
        <v>530</v>
      </c>
      <c r="D679" s="970">
        <v>941000</v>
      </c>
      <c r="E679" s="970">
        <v>1</v>
      </c>
      <c r="F679" s="970" t="s">
        <v>277</v>
      </c>
      <c r="G679" s="67">
        <v>65000</v>
      </c>
      <c r="H679" s="915">
        <v>57000</v>
      </c>
      <c r="I679" s="915">
        <v>67000</v>
      </c>
      <c r="J679" s="230" t="s">
        <v>287</v>
      </c>
      <c r="K679" s="969"/>
      <c r="N679" s="478"/>
    </row>
    <row r="680" spans="1:14" ht="28.5">
      <c r="A680" s="970"/>
      <c r="B680" s="1049">
        <v>1941000780</v>
      </c>
      <c r="C680" s="970">
        <v>780</v>
      </c>
      <c r="D680" s="970">
        <v>941000</v>
      </c>
      <c r="E680" s="970">
        <v>1</v>
      </c>
      <c r="F680" s="970" t="s">
        <v>280</v>
      </c>
      <c r="G680" s="67">
        <v>200000</v>
      </c>
      <c r="H680" s="915">
        <v>170000</v>
      </c>
      <c r="I680" s="915">
        <v>250000</v>
      </c>
      <c r="J680" s="230" t="s">
        <v>848</v>
      </c>
      <c r="K680" s="969"/>
      <c r="N680" s="478"/>
    </row>
    <row r="681" spans="1:14" ht="15">
      <c r="A681" s="68" t="s">
        <v>243</v>
      </c>
      <c r="B681" s="920"/>
      <c r="C681" s="68">
        <v>999</v>
      </c>
      <c r="D681" s="68">
        <v>941000</v>
      </c>
      <c r="E681" s="970">
        <v>1</v>
      </c>
      <c r="F681" s="68"/>
      <c r="G681" s="69">
        <v>883000</v>
      </c>
      <c r="H681" s="945">
        <v>883000</v>
      </c>
      <c r="I681" s="916">
        <v>999000</v>
      </c>
      <c r="J681" s="1050"/>
      <c r="K681" s="969"/>
      <c r="N681" s="478"/>
    </row>
    <row r="682" spans="1:14" s="566" customFormat="1">
      <c r="A682" s="970" t="s">
        <v>3156</v>
      </c>
      <c r="B682" s="516">
        <v>1960000782</v>
      </c>
      <c r="C682" s="970">
        <v>782</v>
      </c>
      <c r="D682" s="970">
        <v>960000</v>
      </c>
      <c r="E682" s="480">
        <v>1</v>
      </c>
      <c r="F682" s="970" t="s">
        <v>2993</v>
      </c>
      <c r="G682" s="67">
        <v>0</v>
      </c>
      <c r="H682" s="915">
        <v>0</v>
      </c>
      <c r="I682" s="915">
        <v>8370000</v>
      </c>
      <c r="J682" s="230" t="s">
        <v>2994</v>
      </c>
      <c r="K682" s="969"/>
      <c r="N682" s="478"/>
    </row>
    <row r="683" spans="1:14" s="566" customFormat="1" ht="15">
      <c r="A683" s="68" t="s">
        <v>3167</v>
      </c>
      <c r="B683" s="68"/>
      <c r="C683" s="68">
        <v>999</v>
      </c>
      <c r="D683" s="68">
        <v>960000</v>
      </c>
      <c r="E683" s="970">
        <v>1</v>
      </c>
      <c r="F683" s="68"/>
      <c r="G683" s="69">
        <v>0</v>
      </c>
      <c r="H683" s="916">
        <v>0</v>
      </c>
      <c r="I683" s="916">
        <v>8370000</v>
      </c>
      <c r="J683" s="1050"/>
      <c r="K683" s="969"/>
      <c r="N683" s="478"/>
    </row>
    <row r="684" spans="1:14">
      <c r="A684" s="970" t="s">
        <v>849</v>
      </c>
      <c r="B684" s="516">
        <v>1980000110</v>
      </c>
      <c r="C684" s="970">
        <v>110</v>
      </c>
      <c r="D684" s="970">
        <v>980000</v>
      </c>
      <c r="E684" s="480">
        <v>1</v>
      </c>
      <c r="F684" s="970" t="s">
        <v>850</v>
      </c>
      <c r="G684" s="67">
        <v>44500000</v>
      </c>
      <c r="H684" s="915">
        <v>44518000</v>
      </c>
      <c r="I684" s="915">
        <v>43200000.399999999</v>
      </c>
      <c r="J684" s="230" t="s">
        <v>851</v>
      </c>
      <c r="K684" s="969"/>
      <c r="N684" s="478"/>
    </row>
    <row r="685" spans="1:14" ht="15">
      <c r="A685" s="68" t="s">
        <v>852</v>
      </c>
      <c r="B685" s="68"/>
      <c r="C685" s="68">
        <v>999</v>
      </c>
      <c r="D685" s="68">
        <v>980000</v>
      </c>
      <c r="E685" s="970">
        <v>1</v>
      </c>
      <c r="F685" s="68"/>
      <c r="G685" s="69">
        <v>44500000</v>
      </c>
      <c r="H685" s="945">
        <v>44518000</v>
      </c>
      <c r="I685" s="916">
        <v>43200000.399999999</v>
      </c>
      <c r="J685" s="1050"/>
      <c r="K685" s="969"/>
      <c r="N685" s="478"/>
    </row>
    <row r="686" spans="1:14">
      <c r="A686" s="970" t="s">
        <v>853</v>
      </c>
      <c r="B686" s="1049">
        <v>1995000860</v>
      </c>
      <c r="C686" s="970">
        <v>860</v>
      </c>
      <c r="D686" s="970">
        <v>995000</v>
      </c>
      <c r="E686" s="970">
        <v>1</v>
      </c>
      <c r="F686" s="970" t="s">
        <v>854</v>
      </c>
      <c r="G686" s="67">
        <v>61000000</v>
      </c>
      <c r="H686" s="915">
        <v>61000000</v>
      </c>
      <c r="I686" s="915">
        <v>63999999.5</v>
      </c>
      <c r="J686" s="230" t="s">
        <v>855</v>
      </c>
      <c r="K686" s="969"/>
      <c r="N686" s="478"/>
    </row>
    <row r="687" spans="1:14" ht="15">
      <c r="A687" s="68" t="s">
        <v>856</v>
      </c>
      <c r="B687" s="68"/>
      <c r="C687" s="68">
        <v>999</v>
      </c>
      <c r="D687" s="68">
        <v>995000</v>
      </c>
      <c r="E687" s="970">
        <v>1</v>
      </c>
      <c r="F687" s="68"/>
      <c r="G687" s="69">
        <v>61000000</v>
      </c>
      <c r="H687" s="945">
        <v>61000000</v>
      </c>
      <c r="I687" s="916">
        <v>63999999.5</v>
      </c>
      <c r="J687" s="1050"/>
      <c r="K687" s="969"/>
      <c r="N687" s="478"/>
    </row>
    <row r="688" spans="1:14">
      <c r="A688" s="970" t="s">
        <v>857</v>
      </c>
      <c r="B688" s="1049">
        <v>1999999997</v>
      </c>
      <c r="C688" s="970">
        <v>997</v>
      </c>
      <c r="D688" s="970">
        <v>999999</v>
      </c>
      <c r="E688" s="970">
        <v>1</v>
      </c>
      <c r="F688" s="970" t="s">
        <v>858</v>
      </c>
      <c r="G688" s="67">
        <v>250000</v>
      </c>
      <c r="H688" s="915">
        <v>250000</v>
      </c>
      <c r="I688" s="915">
        <v>250000.4</v>
      </c>
      <c r="J688" s="230" t="s">
        <v>4</v>
      </c>
      <c r="K688" s="969"/>
      <c r="N688" s="478"/>
    </row>
    <row r="689" spans="1:14" ht="15">
      <c r="A689" s="68" t="s">
        <v>859</v>
      </c>
      <c r="B689" s="68"/>
      <c r="C689" s="68">
        <v>999</v>
      </c>
      <c r="D689" s="68">
        <v>999999</v>
      </c>
      <c r="E689" s="970">
        <v>1</v>
      </c>
      <c r="F689" s="68"/>
      <c r="G689" s="69">
        <v>250000</v>
      </c>
      <c r="H689" s="945">
        <v>250000</v>
      </c>
      <c r="I689" s="916">
        <v>250000.4</v>
      </c>
      <c r="J689" s="1050"/>
      <c r="K689" s="969"/>
      <c r="N689" s="478"/>
    </row>
    <row r="690" spans="1:14" ht="15.75">
      <c r="A690" s="472"/>
      <c r="B690" s="970"/>
      <c r="C690" s="472"/>
      <c r="D690" s="472"/>
      <c r="E690" s="970"/>
      <c r="F690" s="472"/>
      <c r="G690" s="9">
        <v>1586263999.52</v>
      </c>
      <c r="H690" s="9">
        <v>1579807400</v>
      </c>
      <c r="I690" s="919">
        <v>1676119999.6200004</v>
      </c>
      <c r="J690" s="1084"/>
      <c r="K690" s="969"/>
      <c r="N690" s="478"/>
    </row>
    <row r="691" spans="1:14" ht="24" thickBot="1">
      <c r="A691" s="200" t="s">
        <v>860</v>
      </c>
      <c r="B691" s="278"/>
      <c r="C691" s="201"/>
      <c r="D691" s="201"/>
      <c r="E691" s="501"/>
      <c r="F691" s="201"/>
      <c r="G691" s="99">
        <v>793131999.75999999</v>
      </c>
      <c r="H691" s="99">
        <v>789903700</v>
      </c>
      <c r="I691" s="99">
        <v>838059999.81000018</v>
      </c>
      <c r="J691" s="202"/>
      <c r="K691" s="969"/>
      <c r="N691" s="478"/>
    </row>
    <row r="692" spans="1:14" ht="15">
      <c r="A692" s="23"/>
      <c r="B692" s="276"/>
      <c r="C692" s="22"/>
      <c r="D692" s="22"/>
      <c r="E692" s="231"/>
      <c r="F692" s="22"/>
      <c r="G692" s="24"/>
      <c r="H692" s="24" t="s">
        <v>4</v>
      </c>
      <c r="I692" s="918"/>
      <c r="J692" s="25"/>
      <c r="K692" s="969"/>
      <c r="N692" s="478"/>
    </row>
    <row r="693" spans="1:14">
      <c r="B693"/>
      <c r="E693"/>
      <c r="H693" t="s">
        <v>4</v>
      </c>
      <c r="I693"/>
      <c r="K693" s="969"/>
      <c r="N693" s="478"/>
    </row>
    <row r="694" spans="1:14">
      <c r="B694"/>
      <c r="E694"/>
      <c r="I694"/>
    </row>
    <row r="695" spans="1:14">
      <c r="I695" s="729"/>
    </row>
    <row r="696" spans="1:14">
      <c r="I696" s="729"/>
    </row>
    <row r="697" spans="1:14">
      <c r="I697" s="729"/>
    </row>
    <row r="698" spans="1:14">
      <c r="I698" s="729"/>
    </row>
    <row r="699" spans="1:14">
      <c r="I699" s="729"/>
    </row>
    <row r="700" spans="1:14">
      <c r="I700" s="729"/>
    </row>
    <row r="701" spans="1:14">
      <c r="I701" s="729"/>
    </row>
    <row r="702" spans="1:14">
      <c r="I702" s="729"/>
    </row>
    <row r="703" spans="1:14">
      <c r="I703" s="729"/>
    </row>
    <row r="704" spans="1:14">
      <c r="I704" s="729"/>
    </row>
    <row r="705" spans="2:9">
      <c r="I705" s="729"/>
    </row>
    <row r="706" spans="2:9">
      <c r="I706" s="729"/>
    </row>
    <row r="707" spans="2:9">
      <c r="I707" s="729"/>
    </row>
    <row r="708" spans="2:9">
      <c r="B708"/>
      <c r="E708"/>
      <c r="I708" s="729"/>
    </row>
    <row r="709" spans="2:9">
      <c r="B709"/>
      <c r="E709"/>
      <c r="I709" s="729"/>
    </row>
    <row r="710" spans="2:9">
      <c r="B710"/>
      <c r="E710"/>
      <c r="I710" s="729"/>
    </row>
    <row r="711" spans="2:9">
      <c r="B711"/>
      <c r="E711"/>
      <c r="I711" s="729"/>
    </row>
    <row r="712" spans="2:9">
      <c r="B712"/>
      <c r="E712"/>
      <c r="I712" s="729"/>
    </row>
    <row r="713" spans="2:9">
      <c r="B713"/>
      <c r="E713"/>
      <c r="I713" s="729"/>
    </row>
    <row r="714" spans="2:9">
      <c r="B714"/>
      <c r="E714"/>
      <c r="I714" s="729"/>
    </row>
    <row r="715" spans="2:9">
      <c r="B715"/>
      <c r="E715"/>
      <c r="I715" s="729"/>
    </row>
    <row r="716" spans="2:9">
      <c r="B716"/>
      <c r="E716"/>
      <c r="I716" s="729"/>
    </row>
    <row r="717" spans="2:9">
      <c r="B717"/>
      <c r="E717"/>
      <c r="I717" s="729"/>
    </row>
    <row r="718" spans="2:9">
      <c r="B718"/>
      <c r="E718"/>
      <c r="I718" s="729"/>
    </row>
    <row r="719" spans="2:9">
      <c r="B719"/>
      <c r="E719"/>
      <c r="I719" s="729"/>
    </row>
    <row r="720" spans="2:9">
      <c r="B720"/>
      <c r="E720"/>
      <c r="I720" s="729"/>
    </row>
  </sheetData>
  <autoFilter ref="A2:XER693"/>
  <sortState ref="A586:I616">
    <sortCondition ref="D586:D616"/>
    <sortCondition ref="C586:C616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firstPageNumber="16" fitToHeight="0" orientation="landscape" useFirstPageNumber="1" r:id="rId1"/>
  <headerFooter>
    <oddFooter>&amp;L&amp;P&amp;Cלאישור מועצת העיר</oddFooter>
  </headerFooter>
  <rowBreaks count="20" manualBreakCount="20">
    <brk id="38" max="9" man="1"/>
    <brk id="72" max="9" man="1"/>
    <brk id="108" max="9" man="1"/>
    <brk id="143" max="9" man="1"/>
    <brk id="177" max="9" man="1"/>
    <brk id="206" max="9" man="1"/>
    <brk id="238" max="9" man="1"/>
    <brk id="273" max="9" man="1"/>
    <brk id="309" max="9" man="1"/>
    <brk id="341" max="9" man="1"/>
    <brk id="372" max="9" man="1"/>
    <brk id="402" max="9" man="1"/>
    <brk id="435" max="9" man="1"/>
    <brk id="467" max="9" man="1"/>
    <brk id="502" max="9" man="1"/>
    <brk id="529" max="9" man="1"/>
    <brk id="562" max="9" man="1"/>
    <brk id="599" max="9" man="1"/>
    <brk id="640" max="9" man="1"/>
    <brk id="669" max="9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J57"/>
  <sheetViews>
    <sheetView rightToLeft="1" topLeftCell="A37" zoomScale="55" zoomScaleNormal="55" workbookViewId="0">
      <selection activeCell="I32" sqref="I32"/>
    </sheetView>
  </sheetViews>
  <sheetFormatPr defaultColWidth="30.125" defaultRowHeight="30"/>
  <cols>
    <col min="1" max="6" width="30.125" style="72"/>
    <col min="7" max="7" width="35.375" style="72" customWidth="1"/>
    <col min="8" max="16384" width="30.125" style="72"/>
  </cols>
  <sheetData>
    <row r="1" spans="1:10">
      <c r="A1" s="1102" t="s">
        <v>3178</v>
      </c>
      <c r="B1" s="1102"/>
      <c r="C1" s="1102"/>
      <c r="D1" s="1102"/>
      <c r="E1" s="1102"/>
      <c r="F1" s="1102"/>
      <c r="G1" s="1102"/>
      <c r="H1" s="1102"/>
      <c r="I1" s="1102"/>
      <c r="J1" s="1102"/>
    </row>
    <row r="2" spans="1:10" ht="30.75" thickBot="1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0" ht="30.75" thickBot="1">
      <c r="A3" s="1103" t="s">
        <v>1334</v>
      </c>
      <c r="B3" s="1104"/>
      <c r="C3" s="1104"/>
      <c r="D3" s="1104"/>
      <c r="E3" s="1105"/>
      <c r="F3" s="1103" t="s">
        <v>1335</v>
      </c>
      <c r="G3" s="1104"/>
      <c r="H3" s="1104"/>
      <c r="I3" s="1104"/>
      <c r="J3" s="1105"/>
    </row>
    <row r="4" spans="1:10">
      <c r="A4" s="146" t="s">
        <v>1336</v>
      </c>
      <c r="B4" s="146" t="s">
        <v>1337</v>
      </c>
      <c r="C4" s="146" t="s">
        <v>1338</v>
      </c>
      <c r="D4" s="147" t="s">
        <v>1339</v>
      </c>
      <c r="E4" s="147" t="s">
        <v>888</v>
      </c>
      <c r="F4" s="146" t="s">
        <v>1340</v>
      </c>
      <c r="G4" s="146" t="s">
        <v>1337</v>
      </c>
      <c r="H4" s="146" t="s">
        <v>1341</v>
      </c>
      <c r="I4" s="147" t="s">
        <v>1342</v>
      </c>
      <c r="J4" s="147" t="s">
        <v>888</v>
      </c>
    </row>
    <row r="5" spans="1:10">
      <c r="A5" s="1099" t="s">
        <v>1343</v>
      </c>
      <c r="B5" s="1100"/>
      <c r="C5" s="1100"/>
      <c r="D5" s="1100"/>
      <c r="E5" s="1101"/>
      <c r="F5" s="1099" t="s">
        <v>1344</v>
      </c>
      <c r="G5" s="1100"/>
      <c r="H5" s="1100"/>
      <c r="I5" s="1100"/>
      <c r="J5" s="1101"/>
    </row>
    <row r="6" spans="1:10">
      <c r="A6" s="75"/>
      <c r="B6" s="76"/>
      <c r="C6" s="77"/>
      <c r="D6" s="77"/>
      <c r="E6" s="78"/>
      <c r="F6" s="75"/>
      <c r="G6" s="77"/>
      <c r="H6" s="77"/>
      <c r="I6" s="77"/>
      <c r="J6" s="78"/>
    </row>
    <row r="7" spans="1:10">
      <c r="A7" s="79">
        <v>61</v>
      </c>
      <c r="B7" s="80" t="s">
        <v>1345</v>
      </c>
      <c r="C7" s="81">
        <f>+'הוצאות '!G3+'הוצאות '!G9+'הוצאות '!G28+'הוצאות '!G34+'הוצאות '!G45+'הוצאות '!G52+'הוצאות '!G61+'הוצאות '!G63+'הוצאות '!G67+'הוצאות '!G76+'הוצאות '!G64+'הוצאות '!G83</f>
        <v>18265000</v>
      </c>
      <c r="D7" s="81">
        <f>+E7-C7</f>
        <v>16894000</v>
      </c>
      <c r="E7" s="82">
        <f>+'הוצאות '!G8+'הוצאות '!G27+'הוצאות '!G33+'הוצאות '!G44+'הוצאות '!G51+'הוצאות '!G62+'הוצאות '!G66+'הוצאות '!G75+'הוצאות '!G82+'הוצאות '!G85</f>
        <v>35159000</v>
      </c>
      <c r="F7" s="79">
        <v>11</v>
      </c>
      <c r="G7" s="80" t="s">
        <v>6</v>
      </c>
      <c r="H7" s="81">
        <v>0</v>
      </c>
      <c r="I7" s="81">
        <f t="shared" ref="I7:I12" si="0">J7-H7</f>
        <v>405824000</v>
      </c>
      <c r="J7" s="82">
        <f>'הכנסות '!G7-'הכנסות '!G5</f>
        <v>405824000</v>
      </c>
    </row>
    <row r="8" spans="1:10">
      <c r="A8" s="83"/>
      <c r="B8" s="84"/>
      <c r="C8" s="85"/>
      <c r="D8" s="85">
        <f>+E8-C8</f>
        <v>0</v>
      </c>
      <c r="E8" s="86"/>
      <c r="F8" s="83">
        <v>11</v>
      </c>
      <c r="G8" s="84" t="s">
        <v>9</v>
      </c>
      <c r="H8" s="85">
        <v>0</v>
      </c>
      <c r="I8" s="85">
        <f t="shared" si="0"/>
        <v>61000000</v>
      </c>
      <c r="J8" s="86">
        <f>'הכנסות '!G5</f>
        <v>61000000</v>
      </c>
    </row>
    <row r="9" spans="1:10">
      <c r="A9" s="79">
        <v>62</v>
      </c>
      <c r="B9" s="80" t="s">
        <v>1346</v>
      </c>
      <c r="C9" s="81">
        <f>+'הוצאות '!G86+'הוצאות '!G92+'הוצאות '!G98</f>
        <v>9348000</v>
      </c>
      <c r="D9" s="81">
        <f>+E9-C9</f>
        <v>3717000</v>
      </c>
      <c r="E9" s="82">
        <f>+'הוצאות '!G91+'הוצאות '!G97+'הוצאות '!G104</f>
        <v>13065000</v>
      </c>
      <c r="F9" s="79">
        <v>12</v>
      </c>
      <c r="G9" s="80" t="s">
        <v>11</v>
      </c>
      <c r="H9" s="81">
        <v>0</v>
      </c>
      <c r="I9" s="81">
        <f t="shared" si="0"/>
        <v>6200000</v>
      </c>
      <c r="J9" s="82">
        <f>+'הכנסות '!G10</f>
        <v>6200000</v>
      </c>
    </row>
    <row r="10" spans="1:10">
      <c r="A10" s="83">
        <v>63</v>
      </c>
      <c r="B10" s="84" t="s">
        <v>1347</v>
      </c>
      <c r="C10" s="85"/>
      <c r="D10" s="85">
        <f>+E10-C10</f>
        <v>1650000</v>
      </c>
      <c r="E10" s="86">
        <f>+'הוצאות '!G108</f>
        <v>1650000</v>
      </c>
      <c r="F10" s="83">
        <v>13</v>
      </c>
      <c r="G10" s="84" t="s">
        <v>1348</v>
      </c>
      <c r="H10" s="85">
        <v>0</v>
      </c>
      <c r="I10" s="85">
        <f t="shared" si="0"/>
        <v>0</v>
      </c>
      <c r="J10" s="86">
        <v>0</v>
      </c>
    </row>
    <row r="11" spans="1:10">
      <c r="A11" s="79">
        <v>64</v>
      </c>
      <c r="B11" s="80" t="s">
        <v>1349</v>
      </c>
      <c r="C11" s="81"/>
      <c r="D11" s="81">
        <f>+E11-C11</f>
        <v>29623000</v>
      </c>
      <c r="E11" s="82">
        <f>+'הוצאות '!G113</f>
        <v>29623000</v>
      </c>
      <c r="F11" s="79">
        <v>18</v>
      </c>
      <c r="G11" s="80" t="s">
        <v>1350</v>
      </c>
      <c r="H11" s="81">
        <v>0</v>
      </c>
      <c r="I11" s="81">
        <f t="shared" si="0"/>
        <v>90000</v>
      </c>
      <c r="J11" s="82">
        <f>+'הכנסות '!G12</f>
        <v>90000</v>
      </c>
    </row>
    <row r="12" spans="1:10">
      <c r="A12" s="83"/>
      <c r="B12" s="84"/>
      <c r="C12" s="85"/>
      <c r="D12" s="85"/>
      <c r="E12" s="86"/>
      <c r="F12" s="83">
        <v>19</v>
      </c>
      <c r="G12" s="84" t="s">
        <v>1351</v>
      </c>
      <c r="H12" s="85">
        <v>0</v>
      </c>
      <c r="I12" s="85">
        <f t="shared" si="0"/>
        <v>0</v>
      </c>
      <c r="J12" s="86">
        <v>0</v>
      </c>
    </row>
    <row r="13" spans="1:10">
      <c r="A13" s="79" t="s">
        <v>1352</v>
      </c>
      <c r="B13" s="80"/>
      <c r="C13" s="81">
        <f>SUM(C7:C11)</f>
        <v>27613000</v>
      </c>
      <c r="D13" s="81">
        <f>SUM(D7:D11)</f>
        <v>51884000</v>
      </c>
      <c r="E13" s="82">
        <f>SUM(E7:E11)</f>
        <v>79497000</v>
      </c>
      <c r="F13" s="79" t="s">
        <v>1353</v>
      </c>
      <c r="G13" s="80"/>
      <c r="H13" s="81">
        <f>SUM(H7:H12)</f>
        <v>0</v>
      </c>
      <c r="I13" s="81">
        <f>SUM(I7:I12)</f>
        <v>473114000</v>
      </c>
      <c r="J13" s="82">
        <f>SUM(J7:J12)</f>
        <v>473114000</v>
      </c>
    </row>
    <row r="14" spans="1:10">
      <c r="A14" s="1099" t="s">
        <v>1354</v>
      </c>
      <c r="B14" s="1100"/>
      <c r="C14" s="1100"/>
      <c r="D14" s="1100"/>
      <c r="E14" s="1101"/>
      <c r="F14" s="1099" t="s">
        <v>1355</v>
      </c>
      <c r="G14" s="1100"/>
      <c r="H14" s="1100"/>
      <c r="I14" s="1100"/>
      <c r="J14" s="1101"/>
    </row>
    <row r="15" spans="1:10">
      <c r="A15" s="79"/>
      <c r="B15" s="87"/>
      <c r="C15" s="81"/>
      <c r="D15" s="81"/>
      <c r="E15" s="82"/>
      <c r="F15" s="79"/>
      <c r="G15" s="87"/>
      <c r="H15" s="81"/>
      <c r="I15" s="81"/>
      <c r="J15" s="82"/>
    </row>
    <row r="16" spans="1:10">
      <c r="A16" s="83">
        <v>71</v>
      </c>
      <c r="B16" s="84" t="s">
        <v>17</v>
      </c>
      <c r="C16" s="81">
        <f>+'הוצאות '!G114+'הוצאות '!G122+'הוצאות '!G131+'הוצאות '!G136</f>
        <v>9936000</v>
      </c>
      <c r="D16" s="81">
        <f>+E16-C16</f>
        <v>69327000</v>
      </c>
      <c r="E16" s="82">
        <f>+'הוצאות '!G121+'הוצאות '!G125+'הוצאות '!G127+'הוצאות '!G130+'הוצאות '!G135+'הוצאות '!G143+'הוצאות '!G145</f>
        <v>79263000</v>
      </c>
      <c r="F16" s="83">
        <v>21</v>
      </c>
      <c r="G16" s="84" t="s">
        <v>17</v>
      </c>
      <c r="H16" s="81">
        <f>'הכנסות '!G16</f>
        <v>600000</v>
      </c>
      <c r="I16" s="81">
        <f>J16-H16</f>
        <v>1270000</v>
      </c>
      <c r="J16" s="82">
        <f>+'הכנסות '!G17</f>
        <v>1870000</v>
      </c>
    </row>
    <row r="17" spans="1:10">
      <c r="A17" s="79">
        <v>72</v>
      </c>
      <c r="B17" s="80" t="s">
        <v>22</v>
      </c>
      <c r="C17" s="85">
        <f>+'הוצאות '!G146+'הוצאות '!G155+'הוצאות '!G160+'הוצאות '!G162</f>
        <v>5092000</v>
      </c>
      <c r="D17" s="85">
        <f>+E17-C17</f>
        <v>1382000</v>
      </c>
      <c r="E17" s="86">
        <f>+'הוצאות '!G150+'הוצאות '!G154+'הוצאות '!G159+'הוצאות '!G161+'הוצאות '!G166</f>
        <v>6474000</v>
      </c>
      <c r="F17" s="79">
        <v>22</v>
      </c>
      <c r="G17" s="80" t="s">
        <v>22</v>
      </c>
      <c r="H17" s="85">
        <f>'הכנסות '!G19+'הכנסות '!G20</f>
        <v>4914000</v>
      </c>
      <c r="I17" s="85">
        <f t="shared" ref="I17:I24" si="1">J17-H17</f>
        <v>6700000</v>
      </c>
      <c r="J17" s="86">
        <f>+'הכנסות '!G22</f>
        <v>11614000</v>
      </c>
    </row>
    <row r="18" spans="1:10">
      <c r="A18" s="83">
        <v>73</v>
      </c>
      <c r="B18" s="84" t="s">
        <v>1356</v>
      </c>
      <c r="C18" s="81">
        <f>+'הוצאות '!G167+'הוצאות '!G176+'הוצאות '!G180+'הוצאות '!G183+'הוצאות '!G188</f>
        <v>14623000</v>
      </c>
      <c r="D18" s="81">
        <f>+E18-C18</f>
        <v>4471000</v>
      </c>
      <c r="E18" s="82">
        <f>+'הוצאות '!G175+'הוצאות '!G179+'הוצאות '!G182+'הוצאות '!G187+'הוצאות '!G190</f>
        <v>19094000</v>
      </c>
      <c r="F18" s="83">
        <v>23</v>
      </c>
      <c r="G18" s="84" t="s">
        <v>1356</v>
      </c>
      <c r="H18" s="81">
        <v>0</v>
      </c>
      <c r="I18" s="81">
        <f t="shared" si="1"/>
        <v>6380000</v>
      </c>
      <c r="J18" s="82">
        <f>+'הכנסות '!G25</f>
        <v>6380000</v>
      </c>
    </row>
    <row r="19" spans="1:10">
      <c r="A19" s="79">
        <v>74</v>
      </c>
      <c r="B19" s="80" t="s">
        <v>31</v>
      </c>
      <c r="C19" s="85">
        <f>+'הוצאות '!G191+'הוצאות '!G196+'הוצאות '!G204+'הוצאות '!G207+'הוצאות '!G218+'הוצאות '!G227</f>
        <v>18661000</v>
      </c>
      <c r="D19" s="85">
        <f>+E19-C19</f>
        <v>28779840.079999998</v>
      </c>
      <c r="E19" s="86">
        <f>+'הוצאות '!G195+'הוצאות '!G203+'הוצאות '!G206+'הוצאות '!G217+'הוצאות '!G226+'הוצאות '!G238</f>
        <v>47440840.079999998</v>
      </c>
      <c r="F19" s="79">
        <v>24</v>
      </c>
      <c r="G19" s="80" t="s">
        <v>31</v>
      </c>
      <c r="H19" s="85">
        <f>+'הכנסות '!G27+'הכנסות '!G28</f>
        <v>450000</v>
      </c>
      <c r="I19" s="85">
        <f t="shared" si="1"/>
        <v>0</v>
      </c>
      <c r="J19" s="86">
        <f>+'הכנסות '!G29</f>
        <v>450000</v>
      </c>
    </row>
    <row r="20" spans="1:10">
      <c r="A20" s="83">
        <v>75</v>
      </c>
      <c r="B20" s="84" t="s">
        <v>1357</v>
      </c>
      <c r="C20" s="81">
        <f>+'הוצאות '!G239+'הוצאות '!G240</f>
        <v>8001000</v>
      </c>
      <c r="D20" s="81">
        <f>+E20-C20</f>
        <v>2052000</v>
      </c>
      <c r="E20" s="82">
        <f>+'הוצאות '!G246</f>
        <v>10053000</v>
      </c>
      <c r="F20" s="83">
        <v>25</v>
      </c>
      <c r="G20" s="84" t="s">
        <v>1358</v>
      </c>
      <c r="H20" s="81">
        <v>0</v>
      </c>
      <c r="I20" s="81">
        <f t="shared" si="1"/>
        <v>0</v>
      </c>
      <c r="J20" s="82">
        <v>0</v>
      </c>
    </row>
    <row r="21" spans="1:10">
      <c r="A21" s="79">
        <v>76</v>
      </c>
      <c r="B21" s="80" t="s">
        <v>1359</v>
      </c>
      <c r="C21" s="85">
        <f>+'הוצאות '!G247+'הוצאות '!G252+'הוצאות '!G262</f>
        <v>2797000</v>
      </c>
      <c r="D21" s="85">
        <f>+E21-C21+0.4</f>
        <v>7656000.4000000004</v>
      </c>
      <c r="E21" s="86">
        <f>+'הוצאות '!G251+'הוצאות '!G255+'הוצאות '!G261+'הוצאות '!G264</f>
        <v>10453000</v>
      </c>
      <c r="F21" s="79">
        <v>26</v>
      </c>
      <c r="G21" s="80" t="s">
        <v>1359</v>
      </c>
      <c r="H21" s="85">
        <v>0</v>
      </c>
      <c r="I21" s="85">
        <v>0</v>
      </c>
      <c r="J21" s="86">
        <v>0</v>
      </c>
    </row>
    <row r="22" spans="1:10">
      <c r="A22" s="83">
        <v>77</v>
      </c>
      <c r="B22" s="84" t="s">
        <v>1360</v>
      </c>
      <c r="C22" s="81">
        <f>+'הוצאות '!G270+'הוצאות '!G265</f>
        <v>1668000</v>
      </c>
      <c r="D22" s="81">
        <f>+E22-C22</f>
        <v>5167500</v>
      </c>
      <c r="E22" s="82">
        <f>+'הוצאות '!G269+'הוצאות '!G273</f>
        <v>6835500</v>
      </c>
      <c r="F22" s="83">
        <v>27</v>
      </c>
      <c r="G22" s="84" t="s">
        <v>1361</v>
      </c>
      <c r="H22" s="81">
        <v>0</v>
      </c>
      <c r="I22" s="81">
        <f t="shared" si="1"/>
        <v>0</v>
      </c>
      <c r="J22" s="82">
        <v>0</v>
      </c>
    </row>
    <row r="23" spans="1:10">
      <c r="A23" s="79">
        <v>78</v>
      </c>
      <c r="B23" s="80" t="s">
        <v>36</v>
      </c>
      <c r="C23" s="85">
        <f>+'הוצאות '!G274+'הוצאות '!G281+'הוצאות '!G288+'הוצאות '!G294+'הוצאות '!G297</f>
        <v>7519000</v>
      </c>
      <c r="D23" s="85">
        <f>+E23-C23</f>
        <v>5233000</v>
      </c>
      <c r="E23" s="86">
        <f>+'הוצאות '!G280+'הוצאות '!G287+'הוצאות '!G293+'הוצאות '!G296+'הוצאות '!G301</f>
        <v>12752000</v>
      </c>
      <c r="F23" s="79">
        <v>28</v>
      </c>
      <c r="G23" s="80" t="s">
        <v>36</v>
      </c>
      <c r="H23" s="85">
        <v>0</v>
      </c>
      <c r="I23" s="85">
        <f t="shared" si="1"/>
        <v>12290000</v>
      </c>
      <c r="J23" s="86">
        <f>+'הכנסות '!G36</f>
        <v>12290000</v>
      </c>
    </row>
    <row r="24" spans="1:10">
      <c r="A24" s="83">
        <v>79</v>
      </c>
      <c r="B24" s="84" t="s">
        <v>1362</v>
      </c>
      <c r="C24" s="81">
        <f>+'הוצאות '!G313</f>
        <v>340000</v>
      </c>
      <c r="D24" s="81">
        <f>+E24-C24</f>
        <v>96000</v>
      </c>
      <c r="E24" s="82">
        <f>+'הוצאות '!G317</f>
        <v>436000</v>
      </c>
      <c r="F24" s="83">
        <v>29</v>
      </c>
      <c r="G24" s="84" t="s">
        <v>44</v>
      </c>
      <c r="H24" s="81">
        <v>0</v>
      </c>
      <c r="I24" s="81">
        <f t="shared" si="1"/>
        <v>100000</v>
      </c>
      <c r="J24" s="82">
        <f>+'הכנסות '!G38</f>
        <v>100000</v>
      </c>
    </row>
    <row r="25" spans="1:10">
      <c r="A25" s="79" t="s">
        <v>1363</v>
      </c>
      <c r="B25" s="80"/>
      <c r="C25" s="81">
        <f>SUM(C16:C24)</f>
        <v>68637000</v>
      </c>
      <c r="D25" s="81">
        <f>SUM(D16:D24)</f>
        <v>124164340.48</v>
      </c>
      <c r="E25" s="82">
        <f>SUM(E16:E24)</f>
        <v>192801340.07999998</v>
      </c>
      <c r="F25" s="79" t="s">
        <v>1364</v>
      </c>
      <c r="G25" s="80"/>
      <c r="H25" s="81">
        <f>SUM(H16:H24)</f>
        <v>5964000</v>
      </c>
      <c r="I25" s="81">
        <f>SUM(I16:I24)</f>
        <v>26740000</v>
      </c>
      <c r="J25" s="82">
        <f>SUM(J16:J24)</f>
        <v>32704000</v>
      </c>
    </row>
    <row r="26" spans="1:10">
      <c r="A26" s="1099" t="s">
        <v>1365</v>
      </c>
      <c r="B26" s="1100"/>
      <c r="C26" s="1100"/>
      <c r="D26" s="1100"/>
      <c r="E26" s="1101"/>
      <c r="F26" s="1099" t="s">
        <v>1366</v>
      </c>
      <c r="G26" s="1100"/>
      <c r="H26" s="1100"/>
      <c r="I26" s="1100"/>
      <c r="J26" s="1101"/>
    </row>
    <row r="27" spans="1:10">
      <c r="A27" s="79"/>
      <c r="B27" s="87"/>
      <c r="C27" s="81"/>
      <c r="D27" s="81"/>
      <c r="E27" s="82"/>
      <c r="F27" s="79"/>
      <c r="G27" s="87"/>
      <c r="H27" s="81"/>
      <c r="I27" s="81"/>
      <c r="J27" s="82"/>
    </row>
    <row r="28" spans="1:10">
      <c r="A28" s="83">
        <v>80</v>
      </c>
      <c r="B28" s="84" t="s">
        <v>1391</v>
      </c>
      <c r="C28" s="81">
        <f>'הוצאות '!G302</f>
        <v>3621000</v>
      </c>
      <c r="D28" s="85">
        <f t="shared" ref="D28:D35" si="2">+E28-C28</f>
        <v>4041215</v>
      </c>
      <c r="E28" s="82">
        <f>+'הוצאות '!G312</f>
        <v>7662215</v>
      </c>
      <c r="F28" s="83">
        <v>30</v>
      </c>
      <c r="G28" s="84" t="s">
        <v>1391</v>
      </c>
      <c r="H28" s="81">
        <v>0</v>
      </c>
      <c r="I28" s="81">
        <f>J28-H28</f>
        <v>1000000</v>
      </c>
      <c r="J28" s="82">
        <f>+'הכנסות '!G40</f>
        <v>1000000</v>
      </c>
    </row>
    <row r="29" spans="1:10">
      <c r="A29" s="79">
        <v>81</v>
      </c>
      <c r="B29" s="80" t="s">
        <v>914</v>
      </c>
      <c r="C29" s="85">
        <f>+'הוצאות '!G318+'הוצאות '!G332+'הוצאות '!G333+'הוצאות '!G335+'הוצאות '!G345+'הוצאות '!G352+'הוצאות '!G354+'הוצאות '!G355+'הוצאות '!G366+'הוצאות '!G371+'הוצאות '!G378+'הוצאות '!G381+'הוצאות '!G389+'הוצאות '!G397+'הוצאות '!G403+'הוצאות '!G408</f>
        <v>113796000</v>
      </c>
      <c r="D29" s="85">
        <f t="shared" si="2"/>
        <v>107542000.08000001</v>
      </c>
      <c r="E29" s="86">
        <f>+'הוצאות '!G331+'הוצאות '!G344+'הוצאות '!G353+'הוצאות '!G365+'הוצאות '!G370+'הוצאות '!G375+'הוצאות '!G377+'הוצאות '!G380+'הוצאות '!G384+'הוצאות '!G388+'הוצאות '!G393+'הוצאות '!G396+'הוצאות '!G402+'הוצאות '!G409+'הוצאות '!G412+'הוצאות '!G414+'הוצאות '!G417</f>
        <v>221338000.08000001</v>
      </c>
      <c r="F29" s="79">
        <v>31</v>
      </c>
      <c r="G29" s="80" t="s">
        <v>914</v>
      </c>
      <c r="H29" s="85">
        <f>+'הכנסות '!G44+'הכנסות '!G45+'הכנסות '!G47+'הכנסות '!G48+'הכנסות '!G49+'הכנסות '!G50+'הכנסות '!G55+'הכנסות '!G56+'הכנסות '!G58+'הכנסות '!G59+'הכנסות '!G60+'הכנסות '!G61+'הכנסות '!G62+'הכנסות '!G63+'הכנסות '!G64+'הכנסות '!G66+'הכנסות '!G67+'הכנסות '!G68+'הכנסות '!G69+'הכנסות '!G70+'הכנסות '!G72+'הכנסות '!G73+'הכנסות '!G75+'הכנסות '!G77+'הכנסות '!G78+'הכנסות '!G79+'הכנסות '!G80+'הכנסות '!G81+'הכנסות '!G82+'הכנסות '!G83+'הכנסות '!G84+'הכנסות '!G86+'הכנסות '!G87+'הכנסות '!G88+'הכנסות '!G90+'הכנסות '!G92</f>
        <v>118385000</v>
      </c>
      <c r="I29" s="85">
        <f>+J29-H29</f>
        <v>9723000</v>
      </c>
      <c r="J29" s="86">
        <f>+'הכנסות '!G51+'הכנסות '!G74+'הכנסות '!G76+'הכנסות '!G93</f>
        <v>128108000</v>
      </c>
    </row>
    <row r="30" spans="1:10">
      <c r="A30" s="83">
        <v>82</v>
      </c>
      <c r="B30" s="84" t="s">
        <v>1367</v>
      </c>
      <c r="C30" s="81">
        <f>'הוצאות '!G420+'הוצאות '!G428+'הוצאות '!G438+'הוצאות '!G460+'הוצאות '!G468+'הוצאות '!G473+'הוצאות '!G479+'הוצאות '!G481+'הוצאות '!G485+'הוצאות '!G489</f>
        <v>10951000</v>
      </c>
      <c r="D30" s="81">
        <f t="shared" si="2"/>
        <v>30357043</v>
      </c>
      <c r="E30" s="82">
        <f>+'הוצאות '!G419+'הוצאות '!G427+'הוצאות '!G433+'הוצאות '!G437+'הוצאות '!G442+'הוצאות '!G449+'הוצאות '!G455+'הוצאות '!G457+'הוצאות '!G459+'הוצאות '!G467+'הוצאות '!G472+'הוצאות '!G478+'הוצאות '!G480+'הוצאות '!G484+'הוצאות '!G488+'הוצאות '!G498-2</f>
        <v>41308043</v>
      </c>
      <c r="F30" s="83">
        <v>32</v>
      </c>
      <c r="G30" s="84" t="s">
        <v>1367</v>
      </c>
      <c r="H30" s="81">
        <f>+'הכנסות '!G94+'הכנסות '!G96+'הכנסות '!G97+'הכנסות '!G101+'הכנסות '!G106+'הכנסות '!G107+'הכנסות '!G108+'הכנסות '!G111</f>
        <v>4175483</v>
      </c>
      <c r="I30" s="81">
        <f>J30-H30</f>
        <v>2970732</v>
      </c>
      <c r="J30" s="82">
        <f>+'הכנסות '!G112</f>
        <v>7146215</v>
      </c>
    </row>
    <row r="31" spans="1:10">
      <c r="A31" s="79">
        <v>83</v>
      </c>
      <c r="B31" s="80" t="s">
        <v>1368</v>
      </c>
      <c r="C31" s="85"/>
      <c r="D31" s="85">
        <f t="shared" si="2"/>
        <v>262000</v>
      </c>
      <c r="E31" s="86">
        <f>+'הוצאות '!G500+'הוצאות '!G502</f>
        <v>262000</v>
      </c>
      <c r="F31" s="79">
        <v>33</v>
      </c>
      <c r="G31" s="80" t="s">
        <v>1368</v>
      </c>
      <c r="H31" s="85">
        <v>0</v>
      </c>
      <c r="I31" s="85">
        <f>J31-H31</f>
        <v>0</v>
      </c>
      <c r="J31" s="86">
        <v>0</v>
      </c>
    </row>
    <row r="32" spans="1:10">
      <c r="A32" s="83">
        <v>84</v>
      </c>
      <c r="B32" s="84" t="s">
        <v>918</v>
      </c>
      <c r="C32" s="81">
        <f>'הוצאות '!G503+'הוצאות '!G513+'הוצאות '!G514+'הוצאות '!G520+'הוצאות '!G521+'הוצאות '!G525+'הוצאות '!G526+'הוצאות '!G530+'הוצאות '!G531+'הוצאות '!G536+'הוצאות '!G537+'הוצאות '!G539+'הוצאות '!G543+'הוצאות '!G576+'הוצאות '!G586+'הוצאות '!G595+'הוצאות '!G602+'הוצאות '!G609+'הוצאות '!G612+'הוצאות '!G618+'הוצאות '!G620+'הוצאות '!G621+'הוצאות '!G626+'הוצאות '!G630+'הוצאות '!G631+'הוצאות '!G632+'הוצאות '!G633+'הוצאות '!G635+'הוצאות '!G637+'הוצאות '!G639+'הוצאות '!G642</f>
        <v>33433567</v>
      </c>
      <c r="D32" s="81">
        <f t="shared" si="2"/>
        <v>102489832.59999999</v>
      </c>
      <c r="E32" s="82">
        <f>'הוצאות '!G512+'הוצאות '!G529+'הוצאות '!G547+'הוצאות '!G562+'הוצאות '!G585+'הוצאות '!G611+'הוצאות '!G646+'הוצאות '!G650+'הוצאות '!G653+'הוצאות '!G657</f>
        <v>135923399.59999999</v>
      </c>
      <c r="F32" s="83">
        <v>34</v>
      </c>
      <c r="G32" s="84" t="s">
        <v>918</v>
      </c>
      <c r="H32" s="81">
        <f>+J32-I32</f>
        <v>96758784.775000006</v>
      </c>
      <c r="I32" s="81">
        <f>+'הכנסות '!G113+'הכנסות '!G118+'הכנסות '!G133+'הכנסות '!G142+'הכנסות '!G175</f>
        <v>2139000</v>
      </c>
      <c r="J32" s="82">
        <f>+'הכנסות '!G117+'הכנסות '!G128+'הכנסות '!G141+'הכנסות '!G157+'הכנסות '!G177+'הכנסות '!G200+'הכנסות '!G225+'הכנסות '!G229+'הכנסות '!G232+'הכנסות '!G236</f>
        <v>98897784.775000006</v>
      </c>
    </row>
    <row r="33" spans="1:10">
      <c r="A33" s="79">
        <v>85</v>
      </c>
      <c r="B33" s="80" t="s">
        <v>1369</v>
      </c>
      <c r="C33" s="85"/>
      <c r="D33" s="85">
        <f t="shared" si="2"/>
        <v>5400000</v>
      </c>
      <c r="E33" s="86">
        <f>+'הוצאות '!G659</f>
        <v>5400000</v>
      </c>
      <c r="F33" s="79">
        <v>35</v>
      </c>
      <c r="G33" s="80" t="s">
        <v>1369</v>
      </c>
      <c r="H33" s="85">
        <v>0</v>
      </c>
      <c r="I33" s="85">
        <f>J33-H33</f>
        <v>0</v>
      </c>
      <c r="J33" s="86">
        <v>0</v>
      </c>
    </row>
    <row r="34" spans="1:10">
      <c r="A34" s="83">
        <v>86</v>
      </c>
      <c r="B34" s="84" t="s">
        <v>1370</v>
      </c>
      <c r="C34" s="81">
        <f>+'הוצאות '!G660</f>
        <v>730000</v>
      </c>
      <c r="D34" s="81">
        <f t="shared" si="2"/>
        <v>731000</v>
      </c>
      <c r="E34" s="82">
        <f>+'הוצאות '!G669</f>
        <v>1461000</v>
      </c>
      <c r="F34" s="83">
        <v>36</v>
      </c>
      <c r="G34" s="84" t="s">
        <v>1370</v>
      </c>
      <c r="H34" s="81">
        <f>+'הכנסות '!G238</f>
        <v>661000</v>
      </c>
      <c r="I34" s="81">
        <f>J34-H34</f>
        <v>40000</v>
      </c>
      <c r="J34" s="82">
        <f>+'הכנסות '!G239</f>
        <v>701000</v>
      </c>
    </row>
    <row r="35" spans="1:10">
      <c r="A35" s="79">
        <v>87</v>
      </c>
      <c r="B35" s="80" t="s">
        <v>229</v>
      </c>
      <c r="C35" s="81">
        <f>+'הוצאות '!G670</f>
        <v>590000</v>
      </c>
      <c r="D35" s="81">
        <f t="shared" si="2"/>
        <v>210000</v>
      </c>
      <c r="E35" s="82">
        <f>+'הוצאות '!G674</f>
        <v>800000</v>
      </c>
      <c r="F35" s="79">
        <v>37</v>
      </c>
      <c r="G35" s="80" t="s">
        <v>229</v>
      </c>
      <c r="H35" s="81">
        <v>0</v>
      </c>
      <c r="I35" s="81">
        <f>J35-H35</f>
        <v>500000</v>
      </c>
      <c r="J35" s="82">
        <f>+'הכנסות '!G241</f>
        <v>500000</v>
      </c>
    </row>
    <row r="36" spans="1:10">
      <c r="A36" s="79" t="s">
        <v>1371</v>
      </c>
      <c r="B36" s="80"/>
      <c r="C36" s="81">
        <f>SUM(C28:C35)</f>
        <v>163121567</v>
      </c>
      <c r="D36" s="81">
        <f>SUM(D28:D35)</f>
        <v>251033090.68000001</v>
      </c>
      <c r="E36" s="82">
        <f>SUM(E28:E35)</f>
        <v>414154657.68000007</v>
      </c>
      <c r="F36" s="79" t="s">
        <v>1372</v>
      </c>
      <c r="G36" s="80"/>
      <c r="H36" s="81">
        <f>SUM(H28:H35)</f>
        <v>219980267.77500001</v>
      </c>
      <c r="I36" s="81">
        <f>SUM(I28:I35)</f>
        <v>16372732</v>
      </c>
      <c r="J36" s="82">
        <f>SUM(J28:J35)</f>
        <v>236352999.77500001</v>
      </c>
    </row>
    <row r="37" spans="1:10">
      <c r="A37" s="1099" t="s">
        <v>1373</v>
      </c>
      <c r="B37" s="1100"/>
      <c r="C37" s="1100"/>
      <c r="D37" s="1100"/>
      <c r="E37" s="1101"/>
      <c r="F37" s="1099" t="s">
        <v>1374</v>
      </c>
      <c r="G37" s="1100"/>
      <c r="H37" s="1100"/>
      <c r="I37" s="1100"/>
      <c r="J37" s="1101"/>
    </row>
    <row r="38" spans="1:10">
      <c r="A38" s="79"/>
      <c r="B38" s="87"/>
      <c r="C38" s="81"/>
      <c r="D38" s="81"/>
      <c r="E38" s="82"/>
      <c r="F38" s="79"/>
      <c r="G38" s="87"/>
      <c r="H38" s="81"/>
      <c r="I38" s="81"/>
      <c r="J38" s="82"/>
    </row>
    <row r="39" spans="1:10">
      <c r="A39" s="79">
        <v>91</v>
      </c>
      <c r="B39" s="80" t="s">
        <v>462</v>
      </c>
      <c r="C39" s="85"/>
      <c r="D39" s="85">
        <v>0</v>
      </c>
      <c r="E39" s="86"/>
      <c r="F39" s="79">
        <v>41</v>
      </c>
      <c r="G39" s="80" t="s">
        <v>462</v>
      </c>
      <c r="H39" s="85">
        <v>0</v>
      </c>
      <c r="I39" s="85">
        <f>+'הכנסות '!I242</f>
        <v>10000</v>
      </c>
      <c r="J39" s="86">
        <f>+'הכנסות '!G243</f>
        <v>10000</v>
      </c>
    </row>
    <row r="40" spans="1:10">
      <c r="A40" s="83">
        <v>92</v>
      </c>
      <c r="B40" s="84" t="s">
        <v>1375</v>
      </c>
      <c r="C40" s="81"/>
      <c r="D40" s="81">
        <v>0</v>
      </c>
      <c r="E40" s="82"/>
      <c r="F40" s="83">
        <v>42</v>
      </c>
      <c r="G40" s="84" t="s">
        <v>1375</v>
      </c>
      <c r="H40" s="81">
        <v>0</v>
      </c>
      <c r="I40" s="81">
        <v>0</v>
      </c>
      <c r="J40" s="82">
        <f>+H40+I40</f>
        <v>0</v>
      </c>
    </row>
    <row r="41" spans="1:10">
      <c r="A41" s="79">
        <v>93</v>
      </c>
      <c r="B41" s="80" t="s">
        <v>1376</v>
      </c>
      <c r="C41" s="85"/>
      <c r="D41" s="85">
        <f>+E41-C41</f>
        <v>46000</v>
      </c>
      <c r="E41" s="86">
        <f>+'הוצאות '!G677</f>
        <v>46000</v>
      </c>
      <c r="F41" s="79">
        <v>43</v>
      </c>
      <c r="G41" s="80" t="s">
        <v>1376</v>
      </c>
      <c r="H41" s="85">
        <v>0</v>
      </c>
      <c r="I41" s="85">
        <f>+'הכנסות '!G244+'הכנסות '!G246</f>
        <v>1020000</v>
      </c>
      <c r="J41" s="86">
        <f>+'הכנסות '!G245+'הכנסות '!G247</f>
        <v>1020000</v>
      </c>
    </row>
    <row r="42" spans="1:10">
      <c r="A42" s="83">
        <v>94</v>
      </c>
      <c r="B42" s="84" t="s">
        <v>241</v>
      </c>
      <c r="C42" s="81">
        <f>+'הוצאות '!G678</f>
        <v>618000</v>
      </c>
      <c r="D42" s="81">
        <f>+E42-C42</f>
        <v>265000</v>
      </c>
      <c r="E42" s="82">
        <f>+'הוצאות '!G681</f>
        <v>883000</v>
      </c>
      <c r="F42" s="83">
        <v>44</v>
      </c>
      <c r="G42" s="84" t="s">
        <v>241</v>
      </c>
      <c r="H42" s="81">
        <v>0</v>
      </c>
      <c r="I42" s="81">
        <f>+'הכנסות '!G248</f>
        <v>7500000</v>
      </c>
      <c r="J42" s="82">
        <f>+'הכנסות '!G249</f>
        <v>7500000</v>
      </c>
    </row>
    <row r="43" spans="1:10">
      <c r="A43" s="75">
        <v>96</v>
      </c>
      <c r="B43" s="76" t="s">
        <v>3156</v>
      </c>
      <c r="C43" s="81"/>
      <c r="D43" s="81">
        <f>+E43-C43</f>
        <v>0</v>
      </c>
      <c r="E43" s="82">
        <f>+'הוצאות '!G682</f>
        <v>0</v>
      </c>
      <c r="F43" s="75"/>
      <c r="G43" s="76"/>
      <c r="H43" s="81"/>
      <c r="I43" s="81"/>
      <c r="J43" s="82"/>
    </row>
    <row r="44" spans="1:10">
      <c r="A44" s="79">
        <v>97</v>
      </c>
      <c r="B44" s="80" t="s">
        <v>244</v>
      </c>
      <c r="C44" s="81"/>
      <c r="D44" s="81" t="s">
        <v>4</v>
      </c>
      <c r="E44" s="82"/>
      <c r="F44" s="79">
        <v>47</v>
      </c>
      <c r="G44" s="80" t="s">
        <v>1377</v>
      </c>
      <c r="H44" s="81">
        <v>0</v>
      </c>
      <c r="I44" s="81">
        <f>+'הכנסות '!G250</f>
        <v>10000</v>
      </c>
      <c r="J44" s="82">
        <f>+'הכנסות '!G251</f>
        <v>10000</v>
      </c>
    </row>
    <row r="45" spans="1:10">
      <c r="A45" s="79" t="s">
        <v>1378</v>
      </c>
      <c r="B45" s="80"/>
      <c r="C45" s="81">
        <f>SUM(C39:C44)</f>
        <v>618000</v>
      </c>
      <c r="D45" s="81">
        <f>SUM(D39:D44)</f>
        <v>311000</v>
      </c>
      <c r="E45" s="82">
        <f>SUM(E39:E44)</f>
        <v>929000</v>
      </c>
      <c r="F45" s="79" t="s">
        <v>1379</v>
      </c>
      <c r="G45" s="80"/>
      <c r="H45" s="81">
        <f>SUM(H39:H44)</f>
        <v>0</v>
      </c>
      <c r="I45" s="81">
        <f>SUM(I39:I44)</f>
        <v>8540000</v>
      </c>
      <c r="J45" s="82">
        <f>SUM(J39:J44)</f>
        <v>8540000</v>
      </c>
    </row>
    <row r="46" spans="1:10">
      <c r="A46" s="1099" t="s">
        <v>1380</v>
      </c>
      <c r="B46" s="1100"/>
      <c r="C46" s="1100"/>
      <c r="D46" s="1100"/>
      <c r="E46" s="1101"/>
      <c r="F46" s="1099" t="s">
        <v>1381</v>
      </c>
      <c r="G46" s="1100"/>
      <c r="H46" s="1100"/>
      <c r="I46" s="1100"/>
      <c r="J46" s="1101"/>
    </row>
    <row r="47" spans="1:10">
      <c r="A47" s="79"/>
      <c r="B47" s="87"/>
      <c r="C47" s="81"/>
      <c r="D47" s="81"/>
      <c r="E47" s="82"/>
      <c r="F47" s="79"/>
      <c r="G47" s="87"/>
      <c r="H47" s="81"/>
      <c r="I47" s="81"/>
      <c r="J47" s="82"/>
    </row>
    <row r="48" spans="1:10">
      <c r="A48" s="79">
        <v>98</v>
      </c>
      <c r="B48" s="80" t="s">
        <v>1382</v>
      </c>
      <c r="C48" s="85">
        <f>+'הוצאות '!G684</f>
        <v>44500000</v>
      </c>
      <c r="D48" s="85">
        <f>+E48-C48</f>
        <v>0</v>
      </c>
      <c r="E48" s="86">
        <f>+'הוצאות '!G685</f>
        <v>44500000</v>
      </c>
      <c r="F48" s="79"/>
      <c r="G48" s="80" t="s">
        <v>1383</v>
      </c>
      <c r="H48" s="85">
        <v>0</v>
      </c>
      <c r="I48" s="85">
        <v>0</v>
      </c>
      <c r="J48" s="86">
        <f>+I48+H48</f>
        <v>0</v>
      </c>
    </row>
    <row r="49" spans="1:10">
      <c r="A49" s="83"/>
      <c r="B49" s="84" t="s">
        <v>9</v>
      </c>
      <c r="C49" s="81"/>
      <c r="D49" s="81">
        <f>+E49-C49</f>
        <v>61000000</v>
      </c>
      <c r="E49" s="82">
        <f>+'הוצאות '!G687</f>
        <v>61000000</v>
      </c>
      <c r="F49" s="83"/>
      <c r="G49" s="84" t="s">
        <v>1384</v>
      </c>
      <c r="H49" s="81">
        <v>0</v>
      </c>
      <c r="I49" s="81">
        <v>0</v>
      </c>
      <c r="J49" s="82">
        <f>+I49+H49</f>
        <v>0</v>
      </c>
    </row>
    <row r="50" spans="1:10">
      <c r="A50" s="79">
        <v>99</v>
      </c>
      <c r="B50" s="80" t="s">
        <v>1385</v>
      </c>
      <c r="C50" s="81"/>
      <c r="D50" s="81">
        <f>+E50-C50</f>
        <v>250000</v>
      </c>
      <c r="E50" s="82">
        <f>+'הוצאות '!G689</f>
        <v>250000</v>
      </c>
      <c r="F50" s="79"/>
      <c r="G50" s="80" t="s">
        <v>1386</v>
      </c>
      <c r="H50" s="81">
        <f>+'הכנסות '!G262</f>
        <v>6000000</v>
      </c>
      <c r="I50" s="81">
        <f>+'הכנסות '!G252+'הכנסות '!G253+'הכנסות '!G255+'הכנסות '!G256+'הכנסות '!G257+'הכנסות '!G258+'הכנסות '!G260+'הכנסות '!G259+'הכנסות '!G261</f>
        <v>36421000</v>
      </c>
      <c r="J50" s="82">
        <f>+'הכנסות '!G254+'הכנסות '!G263</f>
        <v>42421000</v>
      </c>
    </row>
    <row r="51" spans="1:10" ht="30.75" thickBot="1">
      <c r="A51" s="79" t="s">
        <v>1387</v>
      </c>
      <c r="B51" s="80"/>
      <c r="C51" s="81">
        <f>SUM(C48:C50)</f>
        <v>44500000</v>
      </c>
      <c r="D51" s="81">
        <f>SUM(D48:D50)</f>
        <v>61250000</v>
      </c>
      <c r="E51" s="82">
        <f>SUM(E48:E50)</f>
        <v>105750000</v>
      </c>
      <c r="F51" s="79" t="s">
        <v>1388</v>
      </c>
      <c r="G51" s="80"/>
      <c r="H51" s="81">
        <f>SUM(H48:H50)</f>
        <v>6000000</v>
      </c>
      <c r="I51" s="81">
        <f>SUM(I48:I50)</f>
        <v>36421000</v>
      </c>
      <c r="J51" s="82">
        <f>SUM(J48:J50)</f>
        <v>42421000</v>
      </c>
    </row>
    <row r="52" spans="1:10">
      <c r="A52" s="146" t="s">
        <v>1389</v>
      </c>
      <c r="B52" s="146"/>
      <c r="C52" s="146">
        <f>+C13+C25+C36+C45+C51</f>
        <v>304489567</v>
      </c>
      <c r="D52" s="147">
        <f>+D13+D25+D36+D45+D51</f>
        <v>488642431.16000003</v>
      </c>
      <c r="E52" s="147">
        <f>+E13+E25+E36+E45+E51+2</f>
        <v>793131999.75999999</v>
      </c>
      <c r="F52" s="146" t="s">
        <v>1390</v>
      </c>
      <c r="G52" s="146"/>
      <c r="H52" s="146">
        <f>+H13+H25+H36+H45+H51</f>
        <v>231944267.77500001</v>
      </c>
      <c r="I52" s="147">
        <f>+I13+I25+I36+I45+I51</f>
        <v>561187732</v>
      </c>
      <c r="J52" s="147">
        <f>+J51+J45+J36+J25+J13</f>
        <v>793131999.77499998</v>
      </c>
    </row>
    <row r="53" spans="1:10">
      <c r="E53" s="121" t="s">
        <v>4</v>
      </c>
      <c r="H53" s="72" t="s">
        <v>4</v>
      </c>
      <c r="J53" s="73"/>
    </row>
    <row r="54" spans="1:10">
      <c r="C54" s="73"/>
      <c r="E54" s="73" t="s">
        <v>3179</v>
      </c>
      <c r="F54" s="73">
        <f>J52-E52</f>
        <v>1.4999985694885254E-2</v>
      </c>
      <c r="J54" s="73"/>
    </row>
    <row r="55" spans="1:10">
      <c r="E55" s="73"/>
      <c r="J55" s="73"/>
    </row>
    <row r="56" spans="1:10">
      <c r="E56" s="73"/>
    </row>
    <row r="57" spans="1:10">
      <c r="E57" s="73"/>
    </row>
  </sheetData>
  <mergeCells count="13">
    <mergeCell ref="A14:E14"/>
    <mergeCell ref="F14:J14"/>
    <mergeCell ref="A1:J1"/>
    <mergeCell ref="A3:E3"/>
    <mergeCell ref="F3:J3"/>
    <mergeCell ref="A5:E5"/>
    <mergeCell ref="F5:J5"/>
    <mergeCell ref="A26:E26"/>
    <mergeCell ref="F26:J26"/>
    <mergeCell ref="A37:E37"/>
    <mergeCell ref="F37:J37"/>
    <mergeCell ref="A46:E46"/>
    <mergeCell ref="F46:J4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G32"/>
  <sheetViews>
    <sheetView rightToLeft="1" view="pageLayout" topLeftCell="A25" zoomScaleNormal="85" workbookViewId="0">
      <selection activeCell="B31" sqref="B31"/>
    </sheetView>
  </sheetViews>
  <sheetFormatPr defaultColWidth="9" defaultRowHeight="23.25"/>
  <cols>
    <col min="1" max="1" width="19.5" style="237" customWidth="1"/>
    <col min="2" max="2" width="26.25" style="237" customWidth="1"/>
    <col min="3" max="3" width="58.875" style="237" customWidth="1"/>
    <col min="4" max="4" width="22.25" style="237" bestFit="1" customWidth="1"/>
    <col min="5" max="5" width="23.625" style="237" customWidth="1"/>
    <col min="6" max="6" width="22.125" style="237" customWidth="1"/>
    <col min="7" max="7" width="11" style="237" customWidth="1"/>
    <col min="8" max="16384" width="9" style="237"/>
  </cols>
  <sheetData>
    <row r="1" spans="1:7" ht="27" customHeight="1">
      <c r="A1" s="1097" t="s">
        <v>3722</v>
      </c>
      <c r="B1" s="1097"/>
      <c r="C1" s="1097"/>
      <c r="D1" s="1097"/>
      <c r="E1" s="1097"/>
      <c r="F1" s="1097"/>
    </row>
    <row r="2" spans="1:7" ht="24" thickBot="1"/>
    <row r="3" spans="1:7" s="242" customFormat="1" ht="24" thickBot="1">
      <c r="A3" s="953" t="s">
        <v>2509</v>
      </c>
      <c r="B3" s="238" t="s">
        <v>1394</v>
      </c>
      <c r="C3" s="239" t="s">
        <v>271</v>
      </c>
      <c r="D3" s="240" t="s">
        <v>3460</v>
      </c>
      <c r="E3" s="240" t="s">
        <v>2510</v>
      </c>
      <c r="F3" s="241" t="s">
        <v>2511</v>
      </c>
      <c r="G3" s="241" t="s">
        <v>5</v>
      </c>
    </row>
    <row r="4" spans="1:7" ht="26.25" customHeight="1">
      <c r="A4" s="955">
        <v>1611100782</v>
      </c>
      <c r="B4" s="950" t="s">
        <v>1395</v>
      </c>
      <c r="C4" s="244" t="str">
        <f>VLOOKUP(A4,'הוצאות '!B2:F672,5,0)</f>
        <v>שירות לתושב</v>
      </c>
      <c r="D4" s="244">
        <f>VLOOKUP(A4,'הוצאות '!B2:I689,8,0)</f>
        <v>1300000</v>
      </c>
      <c r="E4" s="244">
        <v>100000</v>
      </c>
      <c r="F4" s="244">
        <f>+D4-E4</f>
        <v>1200000</v>
      </c>
      <c r="G4" s="245"/>
    </row>
    <row r="5" spans="1:7" ht="26.25" customHeight="1">
      <c r="A5" s="955">
        <v>1614000751</v>
      </c>
      <c r="B5" s="237" t="s">
        <v>316</v>
      </c>
      <c r="C5" s="244" t="str">
        <f>VLOOKUP(A5,'הוצאות '!B3:F673,5,0)</f>
        <v>ניו מדיה</v>
      </c>
      <c r="D5" s="244">
        <f>VLOOKUP(A5,'הוצאות '!B3:I690,8,0)</f>
        <v>850000</v>
      </c>
      <c r="E5" s="247">
        <v>200000</v>
      </c>
      <c r="F5" s="244">
        <f t="shared" ref="F5:F24" si="0">+D5-E5</f>
        <v>650000</v>
      </c>
      <c r="G5" s="248"/>
    </row>
    <row r="6" spans="1:7" ht="26.25" customHeight="1">
      <c r="A6" s="955">
        <v>1615000521</v>
      </c>
      <c r="B6" s="951" t="s">
        <v>324</v>
      </c>
      <c r="C6" s="244" t="str">
        <f>VLOOKUP(A6,'הוצאות '!B4:F674,5,0)</f>
        <v>השתלמויות</v>
      </c>
      <c r="D6" s="244">
        <f>VLOOKUP(A6,'הוצאות '!B4:I691,8,0)</f>
        <v>300000</v>
      </c>
      <c r="E6" s="247">
        <v>50000</v>
      </c>
      <c r="F6" s="244">
        <f t="shared" si="0"/>
        <v>250000</v>
      </c>
      <c r="G6" s="248"/>
    </row>
    <row r="7" spans="1:7" ht="26.25" customHeight="1">
      <c r="A7" s="955">
        <v>1710000750</v>
      </c>
      <c r="B7" s="951" t="s">
        <v>899</v>
      </c>
      <c r="C7" s="244" t="str">
        <f>VLOOKUP(A7,'הוצאות '!B5:F675,5,0)</f>
        <v>עבודות קבלניות</v>
      </c>
      <c r="D7" s="244">
        <f>VLOOKUP(A7,'הוצאות '!B5:I692,8,0)</f>
        <v>450000</v>
      </c>
      <c r="E7" s="247">
        <v>50000</v>
      </c>
      <c r="F7" s="244">
        <f t="shared" si="0"/>
        <v>400000</v>
      </c>
      <c r="G7" s="248"/>
    </row>
    <row r="8" spans="1:7" ht="26.25" customHeight="1">
      <c r="A8" s="955">
        <v>1712200750</v>
      </c>
      <c r="B8" s="951" t="s">
        <v>899</v>
      </c>
      <c r="C8" s="244" t="str">
        <f>VLOOKUP(A8,'הוצאות '!B6:F676,5,0)</f>
        <v>עבודות קבלניות</v>
      </c>
      <c r="D8" s="244">
        <f>VLOOKUP(A8,'הוצאות '!B6:I693,8,0)</f>
        <v>22000000</v>
      </c>
      <c r="E8" s="247">
        <v>3500000</v>
      </c>
      <c r="F8" s="244">
        <f t="shared" si="0"/>
        <v>18500000</v>
      </c>
      <c r="G8" s="248"/>
    </row>
    <row r="9" spans="1:7" ht="26.25" customHeight="1">
      <c r="A9" s="955">
        <v>1712300750</v>
      </c>
      <c r="B9" s="951" t="s">
        <v>899</v>
      </c>
      <c r="C9" s="244" t="str">
        <f>VLOOKUP(A9,'הוצאות '!B6:F676,5,0)</f>
        <v>איסוף אשפה</v>
      </c>
      <c r="D9" s="244">
        <f>VLOOKUP(A9,'הוצאות '!B6:I693,8,0)</f>
        <v>48700000</v>
      </c>
      <c r="E9" s="247">
        <v>300000</v>
      </c>
      <c r="F9" s="244">
        <f t="shared" si="0"/>
        <v>48400000</v>
      </c>
      <c r="G9" s="248"/>
    </row>
    <row r="10" spans="1:7" ht="26.25" customHeight="1">
      <c r="A10" s="955">
        <v>1746000751</v>
      </c>
      <c r="B10" s="951" t="s">
        <v>899</v>
      </c>
      <c r="C10" s="244" t="str">
        <f>VLOOKUP(A10,'הוצאות '!B7:F677,5,0)</f>
        <v>תחזוקת פארקים</v>
      </c>
      <c r="D10" s="244">
        <f>VLOOKUP(A10,'הוצאות '!B7:I694,8,0)</f>
        <v>650000</v>
      </c>
      <c r="E10" s="247">
        <v>150000</v>
      </c>
      <c r="F10" s="244">
        <f t="shared" si="0"/>
        <v>500000</v>
      </c>
      <c r="G10" s="248"/>
    </row>
    <row r="11" spans="1:7" ht="26.25" customHeight="1">
      <c r="A11" s="955">
        <v>1747000751</v>
      </c>
      <c r="B11" s="237" t="s">
        <v>471</v>
      </c>
      <c r="C11" s="244" t="str">
        <f>VLOOKUP(A11,'הוצאות '!B8:F678,5,0)</f>
        <v>קבלניות לפארקים צמודי חוף וחופים לא מוכרזים</v>
      </c>
      <c r="D11" s="244">
        <f>VLOOKUP(A11,'הוצאות '!B8:I695,8,0)</f>
        <v>800000</v>
      </c>
      <c r="E11" s="247">
        <v>100000</v>
      </c>
      <c r="F11" s="244">
        <f t="shared" si="0"/>
        <v>700000</v>
      </c>
      <c r="G11" s="248"/>
    </row>
    <row r="12" spans="1:7" ht="26.25" customHeight="1">
      <c r="A12" s="955">
        <v>1752000780</v>
      </c>
      <c r="B12" s="952" t="s">
        <v>1104</v>
      </c>
      <c r="C12" s="244" t="str">
        <f>VLOOKUP(A12,'הוצאות '!B10:F680,5,0)</f>
        <v>הוצאות אחרות</v>
      </c>
      <c r="D12" s="244">
        <f>VLOOKUP(A12,'הוצאות '!B9:I696,8,0)</f>
        <v>250000</v>
      </c>
      <c r="E12" s="247">
        <v>50000</v>
      </c>
      <c r="F12" s="244">
        <f t="shared" si="0"/>
        <v>200000</v>
      </c>
      <c r="G12" s="248"/>
    </row>
    <row r="13" spans="1:7" ht="26.25" customHeight="1">
      <c r="A13" s="955">
        <v>1771000810</v>
      </c>
      <c r="B13" s="951" t="s">
        <v>1403</v>
      </c>
      <c r="C13" s="244" t="str">
        <f>VLOOKUP(A13,'הוצאות '!B11:F681,5,0)</f>
        <v>החברה לתיירות</v>
      </c>
      <c r="D13" s="244">
        <f>VLOOKUP(A13,'הוצאות '!B10:I697,8,0)</f>
        <v>1300000</v>
      </c>
      <c r="E13" s="247">
        <v>350000</v>
      </c>
      <c r="F13" s="244">
        <f t="shared" si="0"/>
        <v>950000</v>
      </c>
      <c r="G13" s="256"/>
    </row>
    <row r="14" spans="1:7" ht="26.25" customHeight="1">
      <c r="A14" s="955">
        <v>1811000110</v>
      </c>
      <c r="B14" s="952" t="s">
        <v>914</v>
      </c>
      <c r="C14" s="244" t="str">
        <f>VLOOKUP(A14,'הוצאות '!B12:F682,5,0)</f>
        <v>שכר אגף החינוך</v>
      </c>
      <c r="D14" s="244">
        <f>VLOOKUP(A14,'הוצאות '!B11:I698,8,0)</f>
        <v>12532000</v>
      </c>
      <c r="E14" s="247">
        <v>220000</v>
      </c>
      <c r="F14" s="244">
        <f t="shared" si="0"/>
        <v>12312000</v>
      </c>
      <c r="G14" s="248"/>
    </row>
    <row r="15" spans="1:7" ht="26.25" customHeight="1">
      <c r="A15" s="955">
        <v>1812200743</v>
      </c>
      <c r="B15" s="952" t="s">
        <v>914</v>
      </c>
      <c r="C15" s="244" t="str">
        <f>VLOOKUP(A15,'הוצאות '!B13:F683,5,0)</f>
        <v>מחשבים לגני ילדים</v>
      </c>
      <c r="D15" s="244">
        <f>VLOOKUP(A15,'הוצאות '!B12:I699,8,0)</f>
        <v>253000</v>
      </c>
      <c r="E15" s="247">
        <v>50000</v>
      </c>
      <c r="F15" s="244">
        <f t="shared" si="0"/>
        <v>203000</v>
      </c>
      <c r="G15" s="248"/>
    </row>
    <row r="16" spans="1:7" ht="26.25" customHeight="1">
      <c r="A16" s="955">
        <v>1812200780</v>
      </c>
      <c r="B16" s="952" t="s">
        <v>914</v>
      </c>
      <c r="C16" s="244" t="str">
        <f>VLOOKUP(A16,'הוצאות '!B14:F684,5,0)</f>
        <v>הוצאות אחרות</v>
      </c>
      <c r="D16" s="244">
        <f>VLOOKUP(A16,'הוצאות '!B13:I700,8,0)</f>
        <v>1928000</v>
      </c>
      <c r="E16" s="247">
        <v>200000</v>
      </c>
      <c r="F16" s="244">
        <f t="shared" si="0"/>
        <v>1728000</v>
      </c>
      <c r="G16" s="248"/>
    </row>
    <row r="17" spans="1:7" ht="26.25" customHeight="1">
      <c r="A17" s="955">
        <v>1812200781</v>
      </c>
      <c r="B17" s="952" t="s">
        <v>914</v>
      </c>
      <c r="C17" s="244" t="str">
        <f>VLOOKUP(A17,'הוצאות '!B15:F685,5,0)</f>
        <v>אגרות הורים גנ"י</v>
      </c>
      <c r="D17" s="244">
        <f>VLOOKUP(A17,'הוצאות '!B14:I701,8,0)</f>
        <v>3285000</v>
      </c>
      <c r="E17" s="247">
        <v>200000</v>
      </c>
      <c r="F17" s="244">
        <f t="shared" si="0"/>
        <v>3085000</v>
      </c>
      <c r="G17" s="248"/>
    </row>
    <row r="18" spans="1:7" ht="26.25" customHeight="1">
      <c r="A18" s="955">
        <v>1812300780</v>
      </c>
      <c r="B18" s="952" t="s">
        <v>914</v>
      </c>
      <c r="C18" s="244" t="str">
        <f>VLOOKUP(A18,'הוצאות '!B16:F686,5,0)</f>
        <v>הוצאות אחרות</v>
      </c>
      <c r="D18" s="244">
        <f>VLOOKUP(A18,'הוצאות '!B15:I702,8,0)</f>
        <v>1240000</v>
      </c>
      <c r="E18" s="247">
        <v>200000</v>
      </c>
      <c r="F18" s="244">
        <f>+D18-E18</f>
        <v>1040000</v>
      </c>
      <c r="G18" s="1043"/>
    </row>
    <row r="19" spans="1:7" ht="26.25" customHeight="1">
      <c r="A19" s="955">
        <v>1813200780</v>
      </c>
      <c r="B19" s="952" t="s">
        <v>914</v>
      </c>
      <c r="C19" s="244" t="str">
        <f>VLOOKUP(A19,'הוצאות '!B17:F687,5,0)</f>
        <v>הוצאות אחרות</v>
      </c>
      <c r="D19" s="244">
        <f>VLOOKUP(A19,'הוצאות '!B16:I703,8,0)</f>
        <v>4265000</v>
      </c>
      <c r="E19" s="247">
        <v>650000</v>
      </c>
      <c r="F19" s="244">
        <f t="shared" si="0"/>
        <v>3615000</v>
      </c>
      <c r="G19" s="1043"/>
    </row>
    <row r="20" spans="1:7" ht="26.25" customHeight="1">
      <c r="A20" s="955">
        <v>1813400550</v>
      </c>
      <c r="B20" s="952" t="s">
        <v>914</v>
      </c>
      <c r="C20" s="244" t="str">
        <f>VLOOKUP(A20,'הוצאות '!B18:F688,5,0)</f>
        <v>הוצאות פרסום</v>
      </c>
      <c r="D20" s="244">
        <f>VLOOKUP(A20,'הוצאות '!B17:I704,8,0)</f>
        <v>300000</v>
      </c>
      <c r="E20" s="247">
        <v>300000</v>
      </c>
      <c r="F20" s="244">
        <f t="shared" si="0"/>
        <v>0</v>
      </c>
      <c r="G20" s="1043"/>
    </row>
    <row r="21" spans="1:7" ht="26.25" customHeight="1">
      <c r="A21" s="955">
        <v>1814000810</v>
      </c>
      <c r="B21" s="952" t="s">
        <v>914</v>
      </c>
      <c r="C21" s="244" t="str">
        <f>VLOOKUP(A21,'הוצאות '!B19:F689,5,0)</f>
        <v>הקצבות לחט"ב</v>
      </c>
      <c r="D21" s="244">
        <f>VLOOKUP(A21,'הוצאות '!B18:I705,8,0)</f>
        <v>4125000</v>
      </c>
      <c r="E21" s="247">
        <v>850000</v>
      </c>
      <c r="F21" s="244">
        <f t="shared" si="0"/>
        <v>3275000</v>
      </c>
      <c r="G21" s="1043"/>
    </row>
    <row r="22" spans="1:7" ht="26.25" customHeight="1">
      <c r="A22" s="955">
        <v>1815200980</v>
      </c>
      <c r="B22" s="952" t="s">
        <v>914</v>
      </c>
      <c r="C22" s="244" t="str">
        <f>VLOOKUP(A22,'הוצאות '!B20:F690,5,0)</f>
        <v>יוזמות חינוכיות</v>
      </c>
      <c r="D22" s="244">
        <f>VLOOKUP(A22,'הוצאות '!B19:I706,8,0)</f>
        <v>1500000</v>
      </c>
      <c r="E22" s="247">
        <v>300000</v>
      </c>
      <c r="F22" s="244">
        <f t="shared" si="0"/>
        <v>1200000</v>
      </c>
      <c r="G22" s="1043"/>
    </row>
    <row r="23" spans="1:7" ht="26.25" customHeight="1">
      <c r="A23" s="955">
        <v>1817300780</v>
      </c>
      <c r="B23" s="952" t="s">
        <v>914</v>
      </c>
      <c r="C23" s="244" t="str">
        <f>VLOOKUP(A23,'הוצאות '!B21:F691,5,0)</f>
        <v>הוצאות אחרות</v>
      </c>
      <c r="D23" s="244">
        <f>VLOOKUP(A23,'הוצאות '!B20:I707,8,0)</f>
        <v>150000</v>
      </c>
      <c r="E23" s="247">
        <v>50000</v>
      </c>
      <c r="F23" s="244">
        <f t="shared" si="0"/>
        <v>100000</v>
      </c>
      <c r="G23" s="1043"/>
    </row>
    <row r="24" spans="1:7" ht="26.25" customHeight="1" thickBot="1">
      <c r="A24" s="955">
        <v>1825200781</v>
      </c>
      <c r="B24" s="952" t="s">
        <v>1400</v>
      </c>
      <c r="C24" s="244" t="str">
        <f>VLOOKUP(A24,'הוצאות '!B22:F692,5,0)</f>
        <v>הוצאות שונות רנה שני</v>
      </c>
      <c r="D24" s="244">
        <f>VLOOKUP(A24,'הוצאות '!B21:I708,8,0)</f>
        <v>900000</v>
      </c>
      <c r="E24" s="247">
        <v>130000</v>
      </c>
      <c r="F24" s="244">
        <f t="shared" si="0"/>
        <v>770000</v>
      </c>
      <c r="G24" s="1043"/>
    </row>
    <row r="25" spans="1:7" s="242" customFormat="1" ht="31.5" thickBot="1">
      <c r="A25" s="954" t="s">
        <v>888</v>
      </c>
      <c r="B25" s="251"/>
      <c r="C25" s="128"/>
      <c r="D25" s="252" t="s">
        <v>4</v>
      </c>
      <c r="E25" s="236">
        <f>SUM(E4:E24)</f>
        <v>8000000</v>
      </c>
      <c r="F25" s="252" t="s">
        <v>4</v>
      </c>
      <c r="G25" s="253"/>
    </row>
    <row r="26" spans="1:7">
      <c r="C26" s="254"/>
      <c r="D26" s="254"/>
      <c r="E26" s="254"/>
    </row>
    <row r="28" spans="1:7" ht="27" customHeight="1">
      <c r="A28" s="1097" t="s">
        <v>2508</v>
      </c>
      <c r="B28" s="1097"/>
      <c r="C28" s="1097"/>
      <c r="D28" s="1097"/>
      <c r="E28" s="1097"/>
      <c r="F28" s="1097"/>
    </row>
    <row r="29" spans="1:7" ht="24" thickBot="1">
      <c r="A29" s="255"/>
      <c r="B29" s="255"/>
      <c r="C29" s="255"/>
      <c r="D29" s="255"/>
      <c r="E29" s="255"/>
    </row>
    <row r="30" spans="1:7" s="242" customFormat="1" ht="24" thickBot="1">
      <c r="A30" s="238" t="s">
        <v>2509</v>
      </c>
      <c r="B30" s="238" t="s">
        <v>1394</v>
      </c>
      <c r="C30" s="239" t="s">
        <v>271</v>
      </c>
      <c r="D30" s="240" t="s">
        <v>3460</v>
      </c>
      <c r="E30" s="240" t="s">
        <v>2510</v>
      </c>
      <c r="F30" s="241" t="s">
        <v>2511</v>
      </c>
      <c r="G30" s="241" t="s">
        <v>5</v>
      </c>
    </row>
    <row r="31" spans="1:7" ht="24" thickBot="1">
      <c r="A31" s="250">
        <v>1111100100</v>
      </c>
      <c r="B31" s="237" t="s">
        <v>1049</v>
      </c>
      <c r="C31" s="249" t="s">
        <v>7</v>
      </c>
      <c r="D31" s="244">
        <f>'הכנסות '!I3</f>
        <v>427100000</v>
      </c>
      <c r="E31" s="247">
        <f>E25</f>
        <v>8000000</v>
      </c>
      <c r="F31" s="247">
        <f>+D31-E31</f>
        <v>419100000</v>
      </c>
      <c r="G31" s="248"/>
    </row>
    <row r="32" spans="1:7" s="242" customFormat="1" ht="31.5" thickBot="1">
      <c r="A32" s="251" t="s">
        <v>888</v>
      </c>
      <c r="B32" s="128"/>
      <c r="C32" s="128"/>
      <c r="D32" s="252" t="s">
        <v>4</v>
      </c>
      <c r="E32" s="236">
        <f>SUM(E31)</f>
        <v>8000000</v>
      </c>
      <c r="F32" s="252" t="s">
        <v>4</v>
      </c>
      <c r="G32" s="253"/>
    </row>
  </sheetData>
  <mergeCells count="2">
    <mergeCell ref="A1:F1"/>
    <mergeCell ref="A28:F28"/>
  </mergeCells>
  <pageMargins left="0.70866141732283472" right="0.70866141732283472" top="0.74803149606299213" bottom="0.74803149606299213" header="0.31496062992125984" footer="0.31496062992125984"/>
  <pageSetup paperSize="9" scale="60" firstPageNumber="37" orientation="landscape" useFirstPageNumber="1" r:id="rId1"/>
  <headerFooter>
    <oddFooter>&amp;L&amp;P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G29"/>
  <sheetViews>
    <sheetView rightToLeft="1" topLeftCell="A5" zoomScaleNormal="100" workbookViewId="0">
      <selection activeCell="B29" sqref="B29"/>
    </sheetView>
  </sheetViews>
  <sheetFormatPr defaultRowHeight="14.25"/>
  <cols>
    <col min="1" max="1" width="20.75" customWidth="1"/>
    <col min="2" max="2" width="26.75" customWidth="1"/>
    <col min="3" max="3" width="37.375" customWidth="1"/>
    <col min="4" max="4" width="20.625" customWidth="1"/>
    <col min="5" max="5" width="21.875" customWidth="1"/>
    <col min="6" max="6" width="23.25" bestFit="1" customWidth="1"/>
    <col min="7" max="7" width="10.875" bestFit="1" customWidth="1"/>
  </cols>
  <sheetData>
    <row r="1" spans="1:7" ht="30.75">
      <c r="A1" s="1097" t="s">
        <v>3459</v>
      </c>
      <c r="B1" s="1097"/>
      <c r="C1" s="1097"/>
      <c r="D1" s="1097"/>
      <c r="E1" s="1097"/>
      <c r="F1" s="1097"/>
    </row>
    <row r="2" spans="1:7" ht="24" thickBot="1">
      <c r="A2" s="237"/>
      <c r="B2" s="237"/>
      <c r="C2" s="237"/>
      <c r="D2" s="237"/>
      <c r="E2" s="237"/>
      <c r="F2" s="237"/>
    </row>
    <row r="3" spans="1:7" ht="24" thickBot="1">
      <c r="A3" s="238" t="s">
        <v>2509</v>
      </c>
      <c r="B3" s="238" t="s">
        <v>1394</v>
      </c>
      <c r="C3" s="239" t="s">
        <v>271</v>
      </c>
      <c r="D3" s="240" t="s">
        <v>3460</v>
      </c>
      <c r="E3" s="240" t="s">
        <v>3461</v>
      </c>
      <c r="F3" s="241" t="s">
        <v>3462</v>
      </c>
    </row>
    <row r="4" spans="1:7" ht="23.25">
      <c r="A4" s="243">
        <v>1712200750</v>
      </c>
      <c r="B4" s="246" t="s">
        <v>3724</v>
      </c>
      <c r="C4" s="243" t="str">
        <f>VLOOKUP(A4,'הוצאות '!B3:I690,5,0)</f>
        <v>עבודות קבלניות</v>
      </c>
      <c r="D4" s="244">
        <f t="shared" ref="D4:D13" si="0">F4+E4</f>
        <v>23000000</v>
      </c>
      <c r="E4" s="247">
        <v>1000000</v>
      </c>
      <c r="F4" s="244">
        <f>VLOOKUP(A4,'הוצאות '!B3:I690,8,1)</f>
        <v>22000000</v>
      </c>
      <c r="G4" s="478"/>
    </row>
    <row r="5" spans="1:7" ht="23.25">
      <c r="A5" s="243">
        <v>1746000750</v>
      </c>
      <c r="B5" s="246" t="s">
        <v>3725</v>
      </c>
      <c r="C5" s="243" t="str">
        <f>VLOOKUP(A5,'הוצאות '!B4:I691,5,0)</f>
        <v>עבודות קבלניות</v>
      </c>
      <c r="D5" s="244">
        <f t="shared" si="0"/>
        <v>6900000</v>
      </c>
      <c r="E5" s="247">
        <v>2000000</v>
      </c>
      <c r="F5" s="244">
        <f>VLOOKUP(A5,'הוצאות '!B4:I691,8,1)</f>
        <v>4900000</v>
      </c>
      <c r="G5" s="478"/>
    </row>
    <row r="6" spans="1:7" s="968" customFormat="1" ht="23.25">
      <c r="A6" s="243">
        <v>1766000780</v>
      </c>
      <c r="B6" s="246" t="s">
        <v>3994</v>
      </c>
      <c r="C6" s="243" t="str">
        <f>VLOOKUP(A6,'הוצאות '!B5:I692,5,0)</f>
        <v xml:space="preserve">פעילויות לעובדים </v>
      </c>
      <c r="D6" s="244">
        <f t="shared" si="0"/>
        <v>3000000</v>
      </c>
      <c r="E6" s="244">
        <v>1000000</v>
      </c>
      <c r="F6" s="244">
        <f>VLOOKUP(A6,'הוצאות '!B5:I692,8,1)</f>
        <v>2000000</v>
      </c>
      <c r="G6" s="969"/>
    </row>
    <row r="7" spans="1:7" ht="23.25">
      <c r="A7" s="243">
        <v>1780000780</v>
      </c>
      <c r="B7" s="246" t="s">
        <v>949</v>
      </c>
      <c r="C7" s="243" t="str">
        <f>VLOOKUP(A7,'הוצאות '!B5:I692,5,0)</f>
        <v>הוצאות אחרות</v>
      </c>
      <c r="D7" s="244">
        <f t="shared" si="0"/>
        <v>400000</v>
      </c>
      <c r="E7" s="247">
        <v>100000</v>
      </c>
      <c r="F7" s="244">
        <f>VLOOKUP(A7,'הוצאות '!B5:I692,8,1)</f>
        <v>300000</v>
      </c>
      <c r="G7" s="566"/>
    </row>
    <row r="8" spans="1:7" ht="23.25">
      <c r="A8" s="243">
        <v>1812200780</v>
      </c>
      <c r="B8" s="246" t="s">
        <v>914</v>
      </c>
      <c r="C8" s="243" t="str">
        <f>VLOOKUP(A8,'הוצאות '!B6:I693,5,0)</f>
        <v>הוצאות אחרות</v>
      </c>
      <c r="D8" s="244">
        <f t="shared" si="0"/>
        <v>2030000</v>
      </c>
      <c r="E8" s="247">
        <v>102000</v>
      </c>
      <c r="F8" s="244">
        <f>VLOOKUP(A8,'הוצאות '!B6:I693,8,1)</f>
        <v>1928000</v>
      </c>
      <c r="G8" s="566"/>
    </row>
    <row r="9" spans="1:7" ht="23.25">
      <c r="A9" s="243">
        <v>1813400810</v>
      </c>
      <c r="B9" s="246" t="s">
        <v>914</v>
      </c>
      <c r="C9" s="243" t="str">
        <f>VLOOKUP(A9,'הוצאות '!B7:I694,5,0)</f>
        <v>השתתפות בטכנודע</v>
      </c>
      <c r="D9" s="244">
        <f t="shared" si="0"/>
        <v>4500000</v>
      </c>
      <c r="E9" s="247">
        <v>1000000</v>
      </c>
      <c r="F9" s="244">
        <f>VLOOKUP(A9,'הוצאות '!B7:I694,8,1)</f>
        <v>3500000</v>
      </c>
      <c r="G9" s="566"/>
    </row>
    <row r="10" spans="1:7" ht="23.25">
      <c r="A10" s="243">
        <v>1822000810</v>
      </c>
      <c r="B10" s="246" t="s">
        <v>1402</v>
      </c>
      <c r="C10" s="243" t="str">
        <f>VLOOKUP(A10,'הוצאות '!B8:I695,5,0)</f>
        <v>השתתפות בעמותת פנאי העיר</v>
      </c>
      <c r="D10" s="244">
        <f t="shared" si="0"/>
        <v>3550000</v>
      </c>
      <c r="E10" s="247">
        <v>1000000</v>
      </c>
      <c r="F10" s="244">
        <f>VLOOKUP(A10,'הוצאות '!B8:I695,8,1)</f>
        <v>2550000</v>
      </c>
      <c r="G10" s="566"/>
    </row>
    <row r="11" spans="1:7" s="566" customFormat="1" ht="23.25">
      <c r="A11" s="243">
        <v>1826000810</v>
      </c>
      <c r="B11" s="246" t="s">
        <v>1400</v>
      </c>
      <c r="C11" s="243" t="str">
        <f>VLOOKUP(A11,'הוצאות '!B9:I696,5,0)</f>
        <v>אירועים עירוניים</v>
      </c>
      <c r="D11" s="244">
        <f t="shared" si="0"/>
        <v>6200000</v>
      </c>
      <c r="E11" s="247">
        <v>1500000</v>
      </c>
      <c r="F11" s="244">
        <f>VLOOKUP(A11,'הוצאות '!B9:I696,8,1)</f>
        <v>4700000</v>
      </c>
    </row>
    <row r="12" spans="1:7" s="566" customFormat="1" ht="23.25">
      <c r="A12" s="243">
        <v>1829300780</v>
      </c>
      <c r="B12" s="246" t="s">
        <v>1400</v>
      </c>
      <c r="C12" s="243" t="str">
        <f>VLOOKUP(A12,'הוצאות '!B10:I697,5,0)</f>
        <v>הוצאות אחרות</v>
      </c>
      <c r="D12" s="244">
        <f t="shared" si="0"/>
        <v>300000</v>
      </c>
      <c r="E12" s="247">
        <v>138000</v>
      </c>
      <c r="F12" s="244">
        <f>VLOOKUP(A12,'הוצאות '!B10:I697,8,1)</f>
        <v>162000</v>
      </c>
    </row>
    <row r="13" spans="1:7" s="566" customFormat="1" ht="23.25">
      <c r="A13" s="243">
        <v>1829300812</v>
      </c>
      <c r="B13" s="246" t="s">
        <v>1400</v>
      </c>
      <c r="C13" s="243" t="str">
        <f>VLOOKUP(A13,'הוצאות '!B11:I698,5,0)</f>
        <v>הפעלת אנרבוקס</v>
      </c>
      <c r="D13" s="244">
        <f t="shared" si="0"/>
        <v>1800000</v>
      </c>
      <c r="E13" s="247">
        <v>500000</v>
      </c>
      <c r="F13" s="244">
        <f>VLOOKUP(A13,'הוצאות '!B11:I698,8,1)</f>
        <v>1300000</v>
      </c>
    </row>
    <row r="14" spans="1:7" s="968" customFormat="1" ht="24" thickBot="1">
      <c r="A14" s="243">
        <v>1841000781</v>
      </c>
      <c r="B14" s="1045" t="s">
        <v>918</v>
      </c>
      <c r="C14" s="243" t="str">
        <f>VLOOKUP(A14,'הוצאות '!B12:I699,5,0)</f>
        <v>יוזמות אגפיות</v>
      </c>
      <c r="D14" s="244">
        <f>F14+E14</f>
        <v>250000</v>
      </c>
      <c r="E14" s="247">
        <v>30000</v>
      </c>
      <c r="F14" s="244">
        <f>VLOOKUP(A14,'הוצאות '!B12:I699,8,1)</f>
        <v>220000</v>
      </c>
    </row>
    <row r="15" spans="1:7" ht="31.5" thickBot="1">
      <c r="A15" s="251" t="s">
        <v>888</v>
      </c>
      <c r="B15" s="252" t="s">
        <v>4</v>
      </c>
      <c r="C15" s="252" t="s">
        <v>4</v>
      </c>
      <c r="D15" s="252" t="s">
        <v>4</v>
      </c>
      <c r="E15" s="236">
        <f>SUM(E4:E14)</f>
        <v>8370000</v>
      </c>
      <c r="F15" s="252" t="s">
        <v>4</v>
      </c>
      <c r="G15" s="566"/>
    </row>
    <row r="16" spans="1:7" ht="23.25">
      <c r="A16" s="237"/>
      <c r="B16" s="237"/>
      <c r="C16" s="254"/>
      <c r="D16" s="254"/>
      <c r="E16" s="254"/>
      <c r="F16" s="237"/>
      <c r="G16" s="566"/>
    </row>
    <row r="17" spans="1:7" ht="30.75">
      <c r="A17" s="1097" t="s">
        <v>3463</v>
      </c>
      <c r="B17" s="1097"/>
      <c r="C17" s="1097"/>
      <c r="D17" s="1097"/>
      <c r="E17" s="1097"/>
      <c r="F17" s="1097"/>
      <c r="G17" s="566"/>
    </row>
    <row r="18" spans="1:7" ht="24" thickBot="1">
      <c r="A18" s="255"/>
      <c r="B18" s="255"/>
      <c r="C18" s="255"/>
      <c r="D18" s="255"/>
      <c r="E18" s="255"/>
      <c r="F18" s="237"/>
    </row>
    <row r="19" spans="1:7" ht="24" thickBot="1">
      <c r="A19" s="238" t="s">
        <v>2509</v>
      </c>
      <c r="B19" s="239" t="s">
        <v>271</v>
      </c>
      <c r="C19" s="240"/>
      <c r="D19" s="240" t="s">
        <v>3461</v>
      </c>
      <c r="E19" s="1114"/>
      <c r="F19" s="1115"/>
    </row>
    <row r="20" spans="1:7" ht="24" thickBot="1">
      <c r="A20" s="243">
        <v>1960000782</v>
      </c>
      <c r="B20" s="249" t="s">
        <v>3458</v>
      </c>
      <c r="C20" s="247"/>
      <c r="D20" s="247">
        <f>'הוצאות '!I682</f>
        <v>8370000</v>
      </c>
      <c r="E20" s="1112"/>
      <c r="F20" s="1113"/>
    </row>
    <row r="21" spans="1:7" ht="31.5" thickBot="1">
      <c r="A21" s="251" t="s">
        <v>888</v>
      </c>
      <c r="B21" s="128"/>
      <c r="C21" s="252" t="s">
        <v>4</v>
      </c>
      <c r="D21" s="236">
        <f>SUM(D20)</f>
        <v>8370000</v>
      </c>
      <c r="E21" s="252" t="s">
        <v>4</v>
      </c>
      <c r="F21" s="253"/>
    </row>
    <row r="22" spans="1:7" ht="23.25">
      <c r="A22" s="237"/>
      <c r="B22" s="237"/>
      <c r="C22" s="237"/>
      <c r="D22" s="237"/>
      <c r="E22" s="237"/>
      <c r="F22" s="237"/>
    </row>
    <row r="29" spans="1:7">
      <c r="D29" s="969">
        <f>D21-E15</f>
        <v>0</v>
      </c>
    </row>
  </sheetData>
  <mergeCells count="4">
    <mergeCell ref="A1:F1"/>
    <mergeCell ref="A17:F17"/>
    <mergeCell ref="E20:F20"/>
    <mergeCell ref="E19:F19"/>
  </mergeCells>
  <pageMargins left="0.7" right="0.7" top="0.75" bottom="0.75" header="0.3" footer="0.3"/>
  <pageSetup paperSize="9" scale="80" fitToHeight="0" orientation="landscape" r:id="rId1"/>
  <headerFooter>
    <oddFooter>&amp;L38&amp;Cלאישור מועצת העיר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FF"/>
    <pageSetUpPr fitToPage="1"/>
  </sheetPr>
  <dimension ref="A1:XEZ31"/>
  <sheetViews>
    <sheetView rightToLeft="1" view="pageBreakPreview" topLeftCell="D1" zoomScale="80" zoomScaleNormal="70" zoomScaleSheetLayoutView="80" zoomScalePageLayoutView="55" workbookViewId="0">
      <selection activeCell="P8" sqref="P8"/>
    </sheetView>
  </sheetViews>
  <sheetFormatPr defaultColWidth="18.125" defaultRowHeight="18.75"/>
  <cols>
    <col min="1" max="1" width="7.5" style="772" customWidth="1"/>
    <col min="2" max="2" width="18.125" style="772"/>
    <col min="3" max="3" width="15.5" style="772" customWidth="1"/>
    <col min="4" max="4" width="28.125" style="772" customWidth="1"/>
    <col min="5" max="5" width="30.75" style="772" customWidth="1"/>
    <col min="6" max="6" width="25.25" style="772" customWidth="1"/>
    <col min="7" max="7" width="18.125" style="772"/>
    <col min="8" max="8" width="18.125" style="818"/>
    <col min="9" max="9" width="17" style="819" customWidth="1"/>
    <col min="10" max="10" width="18.125" style="819" hidden="1" customWidth="1"/>
    <col min="11" max="13" width="18.125" style="820" hidden="1" customWidth="1"/>
    <col min="14" max="14" width="20.5" style="821" hidden="1" customWidth="1"/>
    <col min="15" max="16" width="22.5" style="819" customWidth="1"/>
    <col min="17" max="17" width="18.125" style="942"/>
    <col min="18" max="18" width="18.125" style="822"/>
    <col min="19" max="19" width="18.125" style="823"/>
    <col min="20" max="16384" width="18.125" style="772"/>
  </cols>
  <sheetData>
    <row r="1" spans="1:16380" ht="27.75">
      <c r="A1" s="1116" t="s">
        <v>3508</v>
      </c>
      <c r="B1" s="1116"/>
      <c r="C1" s="1116"/>
      <c r="D1" s="1116"/>
      <c r="E1" s="1116"/>
      <c r="F1" s="1116"/>
      <c r="G1" s="1116"/>
      <c r="H1" s="1116"/>
      <c r="I1" s="1116"/>
      <c r="J1" s="1116"/>
      <c r="K1" s="1116"/>
      <c r="L1" s="1116"/>
      <c r="M1" s="1116"/>
      <c r="N1" s="1116"/>
      <c r="O1" s="1116"/>
      <c r="P1" s="1116"/>
      <c r="Q1" s="1116"/>
      <c r="R1" s="824"/>
      <c r="S1" s="772"/>
    </row>
    <row r="2" spans="1:16380" ht="19.5" thickBot="1">
      <c r="A2" s="773"/>
      <c r="B2" s="773"/>
      <c r="C2" s="773"/>
      <c r="D2" s="773"/>
      <c r="E2" s="773"/>
      <c r="F2" s="773"/>
      <c r="G2" s="773"/>
      <c r="H2" s="774"/>
      <c r="I2" s="775"/>
      <c r="J2" s="775"/>
      <c r="K2" s="776"/>
      <c r="L2" s="776"/>
      <c r="M2" s="776"/>
      <c r="N2" s="777"/>
      <c r="O2" s="775"/>
      <c r="P2" s="775"/>
      <c r="Q2" s="935"/>
      <c r="R2" s="778"/>
      <c r="S2" s="772"/>
    </row>
    <row r="3" spans="1:16380" s="787" customFormat="1" ht="135" customHeight="1">
      <c r="A3" s="779" t="s">
        <v>3466</v>
      </c>
      <c r="B3" s="780" t="s">
        <v>879</v>
      </c>
      <c r="C3" s="780" t="s">
        <v>880</v>
      </c>
      <c r="D3" s="780" t="s">
        <v>881</v>
      </c>
      <c r="E3" s="780" t="s">
        <v>882</v>
      </c>
      <c r="F3" s="780" t="s">
        <v>883</v>
      </c>
      <c r="G3" s="780" t="s">
        <v>2414</v>
      </c>
      <c r="H3" s="780" t="s">
        <v>884</v>
      </c>
      <c r="I3" s="780" t="s">
        <v>885</v>
      </c>
      <c r="J3" s="780" t="s">
        <v>3467</v>
      </c>
      <c r="K3" s="781" t="s">
        <v>3468</v>
      </c>
      <c r="L3" s="781" t="s">
        <v>3469</v>
      </c>
      <c r="M3" s="782" t="s">
        <v>3470</v>
      </c>
      <c r="N3" s="780" t="s">
        <v>3471</v>
      </c>
      <c r="O3" s="780" t="s">
        <v>3802</v>
      </c>
      <c r="P3" s="780" t="s">
        <v>3804</v>
      </c>
      <c r="Q3" s="936" t="s">
        <v>3472</v>
      </c>
      <c r="R3" s="780" t="s">
        <v>3512</v>
      </c>
      <c r="S3" s="780" t="s">
        <v>3998</v>
      </c>
      <c r="T3" s="783" t="s">
        <v>3999</v>
      </c>
      <c r="U3" s="784"/>
      <c r="V3" s="784"/>
      <c r="W3" s="784"/>
      <c r="X3" s="784"/>
      <c r="Y3" s="784"/>
      <c r="Z3" s="785"/>
      <c r="AA3" s="786"/>
      <c r="AB3" s="784"/>
      <c r="AC3" s="784"/>
      <c r="AD3" s="784"/>
      <c r="AE3" s="784"/>
      <c r="AF3" s="784"/>
      <c r="AG3" s="784"/>
      <c r="AH3" s="784"/>
      <c r="AI3" s="784"/>
      <c r="AJ3" s="784"/>
      <c r="AK3" s="784"/>
      <c r="AL3" s="784"/>
      <c r="AM3" s="784"/>
      <c r="AN3" s="784"/>
      <c r="AO3" s="785"/>
      <c r="AP3" s="786"/>
      <c r="AQ3" s="784"/>
      <c r="AR3" s="784"/>
      <c r="AS3" s="784"/>
      <c r="AT3" s="784"/>
      <c r="AU3" s="784"/>
      <c r="AV3" s="784"/>
      <c r="AW3" s="784"/>
      <c r="AX3" s="784"/>
      <c r="AY3" s="784"/>
      <c r="AZ3" s="784"/>
      <c r="BA3" s="784"/>
      <c r="BB3" s="784"/>
      <c r="BC3" s="784"/>
      <c r="BD3" s="785"/>
      <c r="BE3" s="786"/>
      <c r="BF3" s="784"/>
      <c r="BG3" s="784"/>
      <c r="BH3" s="784"/>
      <c r="BI3" s="784"/>
      <c r="BJ3" s="784"/>
      <c r="BK3" s="784"/>
      <c r="BL3" s="784"/>
      <c r="BM3" s="784"/>
      <c r="BN3" s="784"/>
      <c r="BO3" s="784"/>
      <c r="BP3" s="784"/>
      <c r="BQ3" s="784"/>
      <c r="BR3" s="784"/>
      <c r="BS3" s="785"/>
      <c r="BT3" s="786"/>
      <c r="BU3" s="784"/>
      <c r="BV3" s="784"/>
      <c r="BW3" s="784"/>
      <c r="BX3" s="784"/>
      <c r="BY3" s="784"/>
      <c r="BZ3" s="784"/>
      <c r="CA3" s="784"/>
      <c r="CB3" s="784"/>
      <c r="CC3" s="784"/>
      <c r="CD3" s="784"/>
      <c r="CE3" s="784"/>
      <c r="CF3" s="784"/>
      <c r="CG3" s="784"/>
      <c r="CH3" s="785"/>
      <c r="CI3" s="786"/>
      <c r="CJ3" s="784"/>
      <c r="CK3" s="784"/>
      <c r="CL3" s="784"/>
      <c r="CM3" s="784"/>
      <c r="CN3" s="784"/>
      <c r="CO3" s="784"/>
      <c r="CP3" s="784"/>
      <c r="CQ3" s="784"/>
      <c r="CR3" s="784"/>
      <c r="CS3" s="784"/>
      <c r="CT3" s="784"/>
      <c r="CU3" s="784"/>
      <c r="CV3" s="784"/>
      <c r="CW3" s="785"/>
      <c r="CX3" s="786"/>
      <c r="CY3" s="784"/>
      <c r="CZ3" s="784"/>
      <c r="DA3" s="784"/>
      <c r="DB3" s="784"/>
      <c r="DC3" s="784"/>
      <c r="DD3" s="784"/>
      <c r="DE3" s="784"/>
      <c r="DF3" s="784"/>
      <c r="DG3" s="784"/>
      <c r="DH3" s="784"/>
      <c r="DI3" s="784"/>
      <c r="DJ3" s="784"/>
      <c r="DK3" s="784"/>
      <c r="DL3" s="785"/>
      <c r="DM3" s="786"/>
      <c r="DN3" s="784"/>
      <c r="DO3" s="784"/>
      <c r="DP3" s="784"/>
      <c r="DQ3" s="784"/>
      <c r="DR3" s="784"/>
      <c r="DS3" s="784"/>
      <c r="DT3" s="784"/>
      <c r="DU3" s="784"/>
      <c r="DV3" s="784"/>
      <c r="DW3" s="784"/>
      <c r="DX3" s="784"/>
      <c r="DY3" s="784"/>
      <c r="DZ3" s="784"/>
      <c r="EA3" s="785"/>
      <c r="EB3" s="786"/>
      <c r="EC3" s="784"/>
      <c r="ED3" s="784"/>
      <c r="EE3" s="784"/>
      <c r="EF3" s="784"/>
      <c r="EG3" s="784"/>
      <c r="EH3" s="784"/>
      <c r="EI3" s="784"/>
      <c r="EJ3" s="784"/>
      <c r="EK3" s="784"/>
      <c r="EL3" s="784"/>
      <c r="EM3" s="784"/>
      <c r="EN3" s="784"/>
      <c r="EO3" s="784"/>
      <c r="EP3" s="785"/>
      <c r="EQ3" s="786"/>
      <c r="ER3" s="784"/>
      <c r="ES3" s="784"/>
      <c r="ET3" s="784"/>
      <c r="EU3" s="784"/>
      <c r="EV3" s="784"/>
      <c r="EW3" s="784"/>
      <c r="EX3" s="784"/>
      <c r="EY3" s="784"/>
      <c r="EZ3" s="784"/>
      <c r="FA3" s="784"/>
      <c r="FB3" s="784"/>
      <c r="FC3" s="784"/>
      <c r="FD3" s="784"/>
      <c r="FE3" s="785"/>
      <c r="FF3" s="786"/>
      <c r="FG3" s="784"/>
      <c r="FH3" s="784"/>
      <c r="FI3" s="784"/>
      <c r="FJ3" s="784"/>
      <c r="FK3" s="784"/>
      <c r="FL3" s="784"/>
      <c r="FM3" s="784"/>
      <c r="FN3" s="784"/>
      <c r="FO3" s="784"/>
      <c r="FP3" s="784"/>
      <c r="FQ3" s="784"/>
      <c r="FR3" s="784"/>
      <c r="FS3" s="784"/>
      <c r="FT3" s="785"/>
      <c r="FU3" s="786"/>
      <c r="FV3" s="784"/>
      <c r="FW3" s="784"/>
      <c r="FX3" s="784"/>
      <c r="FY3" s="784"/>
      <c r="FZ3" s="784"/>
      <c r="GA3" s="784"/>
      <c r="GB3" s="784"/>
      <c r="GC3" s="784"/>
      <c r="GD3" s="784"/>
      <c r="GE3" s="784"/>
      <c r="GF3" s="784"/>
      <c r="GG3" s="784"/>
      <c r="GH3" s="784"/>
      <c r="GI3" s="785"/>
      <c r="GJ3" s="786"/>
      <c r="GK3" s="784"/>
      <c r="GL3" s="784"/>
      <c r="GM3" s="784"/>
      <c r="GN3" s="784"/>
      <c r="GO3" s="784"/>
      <c r="GP3" s="784"/>
      <c r="GQ3" s="784"/>
      <c r="GR3" s="784"/>
      <c r="GS3" s="784"/>
      <c r="GT3" s="784"/>
      <c r="GU3" s="784"/>
      <c r="GV3" s="784"/>
      <c r="GW3" s="784"/>
      <c r="GX3" s="785"/>
      <c r="GY3" s="786"/>
      <c r="GZ3" s="784"/>
      <c r="HA3" s="784"/>
      <c r="HB3" s="784"/>
      <c r="HC3" s="784"/>
      <c r="HD3" s="784"/>
      <c r="HE3" s="784"/>
      <c r="HF3" s="784"/>
      <c r="HG3" s="784"/>
      <c r="HH3" s="784"/>
      <c r="HI3" s="784"/>
      <c r="HJ3" s="784"/>
      <c r="HK3" s="784"/>
      <c r="HL3" s="784"/>
      <c r="HM3" s="785"/>
      <c r="HN3" s="786"/>
      <c r="HO3" s="784"/>
      <c r="HP3" s="784"/>
      <c r="HQ3" s="784"/>
      <c r="HR3" s="784"/>
      <c r="HS3" s="784"/>
      <c r="HT3" s="784"/>
      <c r="HU3" s="784"/>
      <c r="HV3" s="784"/>
      <c r="HW3" s="784"/>
      <c r="HX3" s="784"/>
      <c r="HY3" s="784"/>
      <c r="HZ3" s="784"/>
      <c r="IA3" s="784"/>
      <c r="IB3" s="785"/>
      <c r="IC3" s="786"/>
      <c r="ID3" s="784"/>
      <c r="IE3" s="784"/>
      <c r="IF3" s="784"/>
      <c r="IG3" s="784"/>
      <c r="IH3" s="784"/>
      <c r="II3" s="784"/>
      <c r="IJ3" s="784"/>
      <c r="IK3" s="784"/>
      <c r="IL3" s="784"/>
      <c r="IM3" s="784"/>
      <c r="IN3" s="784"/>
      <c r="IO3" s="784"/>
      <c r="IP3" s="784"/>
      <c r="IQ3" s="785"/>
      <c r="IR3" s="786"/>
      <c r="IS3" s="784"/>
      <c r="IT3" s="784"/>
      <c r="IU3" s="784"/>
      <c r="IV3" s="784"/>
      <c r="IW3" s="784"/>
      <c r="IX3" s="784"/>
      <c r="IY3" s="784"/>
      <c r="IZ3" s="784"/>
      <c r="JA3" s="784"/>
      <c r="JB3" s="784"/>
      <c r="JC3" s="784"/>
      <c r="JD3" s="784"/>
      <c r="JE3" s="784"/>
      <c r="JF3" s="785"/>
      <c r="JG3" s="786"/>
      <c r="JH3" s="784"/>
      <c r="JI3" s="784"/>
      <c r="JJ3" s="784"/>
      <c r="JK3" s="784"/>
      <c r="JL3" s="784"/>
      <c r="JM3" s="784"/>
      <c r="JN3" s="784"/>
      <c r="JO3" s="784"/>
      <c r="JP3" s="784"/>
      <c r="JQ3" s="784"/>
      <c r="JR3" s="784"/>
      <c r="JS3" s="784"/>
      <c r="JT3" s="784"/>
      <c r="JU3" s="785"/>
      <c r="JV3" s="786"/>
      <c r="JW3" s="784"/>
      <c r="JX3" s="784"/>
      <c r="JY3" s="784"/>
      <c r="JZ3" s="784"/>
      <c r="KA3" s="784"/>
      <c r="KB3" s="784"/>
      <c r="KC3" s="784"/>
      <c r="KD3" s="784"/>
      <c r="KE3" s="784"/>
      <c r="KF3" s="784"/>
      <c r="KG3" s="784"/>
      <c r="KH3" s="784"/>
      <c r="KI3" s="784"/>
      <c r="KJ3" s="785"/>
      <c r="KK3" s="786"/>
      <c r="KL3" s="784"/>
      <c r="KM3" s="784"/>
      <c r="KN3" s="784"/>
      <c r="KO3" s="784"/>
      <c r="KP3" s="784"/>
      <c r="KQ3" s="784"/>
      <c r="KR3" s="784"/>
      <c r="KS3" s="784"/>
      <c r="KT3" s="784"/>
      <c r="KU3" s="784"/>
      <c r="KV3" s="784"/>
      <c r="KW3" s="784"/>
      <c r="KX3" s="784"/>
      <c r="KY3" s="785"/>
      <c r="KZ3" s="786"/>
      <c r="LA3" s="784"/>
      <c r="LB3" s="784"/>
      <c r="LC3" s="784"/>
      <c r="LD3" s="784"/>
      <c r="LE3" s="784"/>
      <c r="LF3" s="784"/>
      <c r="LG3" s="784"/>
      <c r="LH3" s="784"/>
      <c r="LI3" s="784"/>
      <c r="LJ3" s="784"/>
      <c r="LK3" s="784"/>
      <c r="LL3" s="784"/>
      <c r="LM3" s="784"/>
      <c r="LN3" s="785"/>
      <c r="LO3" s="786"/>
      <c r="LP3" s="784"/>
      <c r="LQ3" s="784"/>
      <c r="LR3" s="784"/>
      <c r="LS3" s="784"/>
      <c r="LT3" s="784"/>
      <c r="LU3" s="784"/>
      <c r="LV3" s="784"/>
      <c r="LW3" s="784"/>
      <c r="LX3" s="784"/>
      <c r="LY3" s="784"/>
      <c r="LZ3" s="784"/>
      <c r="MA3" s="784"/>
      <c r="MB3" s="784"/>
      <c r="MC3" s="785"/>
      <c r="MD3" s="786"/>
      <c r="ME3" s="784"/>
      <c r="MF3" s="784"/>
      <c r="MG3" s="784"/>
      <c r="MH3" s="784"/>
      <c r="MI3" s="784"/>
      <c r="MJ3" s="784"/>
      <c r="MK3" s="784"/>
      <c r="ML3" s="784"/>
      <c r="MM3" s="784"/>
      <c r="MN3" s="784"/>
      <c r="MO3" s="784"/>
      <c r="MP3" s="784"/>
      <c r="MQ3" s="784"/>
      <c r="MR3" s="785"/>
      <c r="MS3" s="786"/>
      <c r="MT3" s="784"/>
      <c r="MU3" s="784"/>
      <c r="MV3" s="784"/>
      <c r="MW3" s="784"/>
      <c r="MX3" s="784"/>
      <c r="MY3" s="784"/>
      <c r="MZ3" s="784"/>
      <c r="NA3" s="784"/>
      <c r="NB3" s="784"/>
      <c r="NC3" s="784"/>
      <c r="ND3" s="784"/>
      <c r="NE3" s="784"/>
      <c r="NF3" s="784"/>
      <c r="NG3" s="785"/>
      <c r="NH3" s="786"/>
      <c r="NI3" s="784"/>
      <c r="NJ3" s="784"/>
      <c r="NK3" s="784"/>
      <c r="NL3" s="784"/>
      <c r="NM3" s="784"/>
      <c r="NN3" s="784"/>
      <c r="NO3" s="784"/>
      <c r="NP3" s="784"/>
      <c r="NQ3" s="784"/>
      <c r="NR3" s="784"/>
      <c r="NS3" s="784"/>
      <c r="NT3" s="784"/>
      <c r="NU3" s="784"/>
      <c r="NV3" s="785"/>
      <c r="NW3" s="786"/>
      <c r="NX3" s="784"/>
      <c r="NY3" s="784"/>
      <c r="NZ3" s="784"/>
      <c r="OA3" s="784"/>
      <c r="OB3" s="784"/>
      <c r="OC3" s="784"/>
      <c r="OD3" s="784"/>
      <c r="OE3" s="784"/>
      <c r="OF3" s="784"/>
      <c r="OG3" s="784"/>
      <c r="OH3" s="784"/>
      <c r="OI3" s="784"/>
      <c r="OJ3" s="784"/>
      <c r="OK3" s="785"/>
      <c r="OL3" s="786"/>
      <c r="OM3" s="784"/>
      <c r="ON3" s="784"/>
      <c r="OO3" s="784"/>
      <c r="OP3" s="784"/>
      <c r="OQ3" s="784"/>
      <c r="OR3" s="784"/>
      <c r="OS3" s="784"/>
      <c r="OT3" s="784"/>
      <c r="OU3" s="784"/>
      <c r="OV3" s="784"/>
      <c r="OW3" s="784"/>
      <c r="OX3" s="784"/>
      <c r="OY3" s="784"/>
      <c r="OZ3" s="785"/>
      <c r="PA3" s="786"/>
      <c r="PB3" s="784"/>
      <c r="PC3" s="784"/>
      <c r="PD3" s="784"/>
      <c r="PE3" s="784"/>
      <c r="PF3" s="784"/>
      <c r="PG3" s="784"/>
      <c r="PH3" s="784"/>
      <c r="PI3" s="784"/>
      <c r="PJ3" s="784"/>
      <c r="PK3" s="784"/>
      <c r="PL3" s="784"/>
      <c r="PM3" s="784"/>
      <c r="PN3" s="784"/>
      <c r="PO3" s="785"/>
      <c r="PP3" s="786"/>
      <c r="PQ3" s="784"/>
      <c r="PR3" s="784"/>
      <c r="PS3" s="784"/>
      <c r="PT3" s="784"/>
      <c r="PU3" s="784"/>
      <c r="PV3" s="784"/>
      <c r="PW3" s="784"/>
      <c r="PX3" s="784"/>
      <c r="PY3" s="784"/>
      <c r="PZ3" s="784"/>
      <c r="QA3" s="784"/>
      <c r="QB3" s="784"/>
      <c r="QC3" s="784"/>
      <c r="QD3" s="785"/>
      <c r="QE3" s="786"/>
      <c r="QF3" s="784"/>
      <c r="QG3" s="784"/>
      <c r="QH3" s="784"/>
      <c r="QI3" s="784"/>
      <c r="QJ3" s="784"/>
      <c r="QK3" s="784"/>
      <c r="QL3" s="784"/>
      <c r="QM3" s="784"/>
      <c r="QN3" s="784"/>
      <c r="QO3" s="784"/>
      <c r="QP3" s="784"/>
      <c r="QQ3" s="784"/>
      <c r="QR3" s="784"/>
      <c r="QS3" s="785"/>
      <c r="QT3" s="786"/>
      <c r="QU3" s="784"/>
      <c r="QV3" s="784"/>
      <c r="QW3" s="784"/>
      <c r="QX3" s="784"/>
      <c r="QY3" s="784"/>
      <c r="QZ3" s="784"/>
      <c r="RA3" s="784"/>
      <c r="RB3" s="784"/>
      <c r="RC3" s="784"/>
      <c r="RD3" s="784"/>
      <c r="RE3" s="784"/>
      <c r="RF3" s="784"/>
      <c r="RG3" s="784"/>
      <c r="RH3" s="785"/>
      <c r="RI3" s="786"/>
      <c r="RJ3" s="784"/>
      <c r="RK3" s="784"/>
      <c r="RL3" s="784"/>
      <c r="RM3" s="784"/>
      <c r="RN3" s="784"/>
      <c r="RO3" s="784"/>
      <c r="RP3" s="784"/>
      <c r="RQ3" s="784"/>
      <c r="RR3" s="784"/>
      <c r="RS3" s="784"/>
      <c r="RT3" s="784"/>
      <c r="RU3" s="784"/>
      <c r="RV3" s="784"/>
      <c r="RW3" s="785"/>
      <c r="RX3" s="786"/>
      <c r="RY3" s="784"/>
      <c r="RZ3" s="784"/>
      <c r="SA3" s="784"/>
      <c r="SB3" s="784"/>
      <c r="SC3" s="784"/>
      <c r="SD3" s="784"/>
      <c r="SE3" s="784"/>
      <c r="SF3" s="784"/>
      <c r="SG3" s="784"/>
      <c r="SH3" s="784"/>
      <c r="SI3" s="784"/>
      <c r="SJ3" s="784"/>
      <c r="SK3" s="784"/>
      <c r="SL3" s="785"/>
      <c r="SM3" s="786"/>
      <c r="SN3" s="784"/>
      <c r="SO3" s="784"/>
      <c r="SP3" s="784"/>
      <c r="SQ3" s="784"/>
      <c r="SR3" s="784"/>
      <c r="SS3" s="784"/>
      <c r="ST3" s="784"/>
      <c r="SU3" s="784"/>
      <c r="SV3" s="784"/>
      <c r="SW3" s="784"/>
      <c r="SX3" s="784"/>
      <c r="SY3" s="784"/>
      <c r="SZ3" s="784"/>
      <c r="TA3" s="785"/>
      <c r="TB3" s="786"/>
      <c r="TC3" s="784"/>
      <c r="TD3" s="784"/>
      <c r="TE3" s="784"/>
      <c r="TF3" s="784"/>
      <c r="TG3" s="784"/>
      <c r="TH3" s="784"/>
      <c r="TI3" s="784"/>
      <c r="TJ3" s="784"/>
      <c r="TK3" s="784"/>
      <c r="TL3" s="784"/>
      <c r="TM3" s="784"/>
      <c r="TN3" s="784"/>
      <c r="TO3" s="784"/>
      <c r="TP3" s="785"/>
      <c r="TQ3" s="786"/>
      <c r="TR3" s="784"/>
      <c r="TS3" s="784"/>
      <c r="TT3" s="784"/>
      <c r="TU3" s="784"/>
      <c r="TV3" s="784"/>
      <c r="TW3" s="784"/>
      <c r="TX3" s="784"/>
      <c r="TY3" s="784"/>
      <c r="TZ3" s="784"/>
      <c r="UA3" s="784"/>
      <c r="UB3" s="784"/>
      <c r="UC3" s="784"/>
      <c r="UD3" s="784"/>
      <c r="UE3" s="785"/>
      <c r="UF3" s="786"/>
      <c r="UG3" s="784"/>
      <c r="UH3" s="784"/>
      <c r="UI3" s="784"/>
      <c r="UJ3" s="784"/>
      <c r="UK3" s="784"/>
      <c r="UL3" s="784"/>
      <c r="UM3" s="784"/>
      <c r="UN3" s="784"/>
      <c r="UO3" s="784"/>
      <c r="UP3" s="784"/>
      <c r="UQ3" s="784"/>
      <c r="UR3" s="784"/>
      <c r="US3" s="784"/>
      <c r="UT3" s="785"/>
      <c r="UU3" s="786"/>
      <c r="UV3" s="784"/>
      <c r="UW3" s="784"/>
      <c r="UX3" s="784"/>
      <c r="UY3" s="784"/>
      <c r="UZ3" s="784"/>
      <c r="VA3" s="784"/>
      <c r="VB3" s="784"/>
      <c r="VC3" s="784"/>
      <c r="VD3" s="784"/>
      <c r="VE3" s="784"/>
      <c r="VF3" s="784"/>
      <c r="VG3" s="784"/>
      <c r="VH3" s="784"/>
      <c r="VI3" s="785"/>
      <c r="VJ3" s="786"/>
      <c r="VK3" s="784"/>
      <c r="VL3" s="784"/>
      <c r="VM3" s="784"/>
      <c r="VN3" s="784"/>
      <c r="VO3" s="784"/>
      <c r="VP3" s="784"/>
      <c r="VQ3" s="784"/>
      <c r="VR3" s="784"/>
      <c r="VS3" s="784"/>
      <c r="VT3" s="784"/>
      <c r="VU3" s="784"/>
      <c r="VV3" s="784"/>
      <c r="VW3" s="784"/>
      <c r="VX3" s="785"/>
      <c r="VY3" s="786"/>
      <c r="VZ3" s="784"/>
      <c r="WA3" s="784"/>
      <c r="WB3" s="784"/>
      <c r="WC3" s="784"/>
      <c r="WD3" s="784"/>
      <c r="WE3" s="784"/>
      <c r="WF3" s="784"/>
      <c r="WG3" s="784"/>
      <c r="WH3" s="784"/>
      <c r="WI3" s="784"/>
      <c r="WJ3" s="784"/>
      <c r="WK3" s="784"/>
      <c r="WL3" s="784"/>
      <c r="WM3" s="785"/>
      <c r="WN3" s="786"/>
      <c r="WO3" s="784"/>
      <c r="WP3" s="784"/>
      <c r="WQ3" s="784"/>
      <c r="WR3" s="784"/>
      <c r="WS3" s="784"/>
      <c r="WT3" s="784"/>
      <c r="WU3" s="784"/>
      <c r="WV3" s="784"/>
      <c r="WW3" s="784"/>
      <c r="WX3" s="784"/>
      <c r="WY3" s="784"/>
      <c r="WZ3" s="784"/>
      <c r="XA3" s="784"/>
      <c r="XB3" s="785"/>
      <c r="XC3" s="786"/>
      <c r="XD3" s="784"/>
      <c r="XE3" s="784"/>
      <c r="XF3" s="784"/>
      <c r="XG3" s="784"/>
      <c r="XH3" s="784"/>
      <c r="XI3" s="784"/>
      <c r="XJ3" s="784"/>
      <c r="XK3" s="784"/>
      <c r="XL3" s="784"/>
      <c r="XM3" s="784"/>
      <c r="XN3" s="784"/>
      <c r="XO3" s="784"/>
      <c r="XP3" s="784"/>
      <c r="XQ3" s="785"/>
      <c r="XR3" s="786"/>
      <c r="XS3" s="784"/>
      <c r="XT3" s="784"/>
      <c r="XU3" s="784"/>
      <c r="XV3" s="784"/>
      <c r="XW3" s="784"/>
      <c r="XX3" s="784"/>
      <c r="XY3" s="784"/>
      <c r="XZ3" s="784"/>
      <c r="YA3" s="784"/>
      <c r="YB3" s="784"/>
      <c r="YC3" s="784"/>
      <c r="YD3" s="784"/>
      <c r="YE3" s="784"/>
      <c r="YF3" s="785"/>
      <c r="YG3" s="786"/>
      <c r="YH3" s="784"/>
      <c r="YI3" s="784"/>
      <c r="YJ3" s="784"/>
      <c r="YK3" s="784"/>
      <c r="YL3" s="784"/>
      <c r="YM3" s="784"/>
      <c r="YN3" s="784"/>
      <c r="YO3" s="784"/>
      <c r="YP3" s="784"/>
      <c r="YQ3" s="784"/>
      <c r="YR3" s="784"/>
      <c r="YS3" s="784"/>
      <c r="YT3" s="784"/>
      <c r="YU3" s="785"/>
      <c r="YV3" s="786"/>
      <c r="YW3" s="784"/>
      <c r="YX3" s="784"/>
      <c r="YY3" s="784"/>
      <c r="YZ3" s="784"/>
      <c r="ZA3" s="784"/>
      <c r="ZB3" s="784"/>
      <c r="ZC3" s="784"/>
      <c r="ZD3" s="784"/>
      <c r="ZE3" s="784"/>
      <c r="ZF3" s="784"/>
      <c r="ZG3" s="784"/>
      <c r="ZH3" s="784"/>
      <c r="ZI3" s="784"/>
      <c r="ZJ3" s="785"/>
      <c r="ZK3" s="786"/>
      <c r="ZL3" s="784"/>
      <c r="ZM3" s="784"/>
      <c r="ZN3" s="784"/>
      <c r="ZO3" s="784"/>
      <c r="ZP3" s="784"/>
      <c r="ZQ3" s="784"/>
      <c r="ZR3" s="784"/>
      <c r="ZS3" s="784"/>
      <c r="ZT3" s="784"/>
      <c r="ZU3" s="784"/>
      <c r="ZV3" s="784"/>
      <c r="ZW3" s="784"/>
      <c r="ZX3" s="784"/>
      <c r="ZY3" s="785"/>
      <c r="ZZ3" s="786"/>
      <c r="AAA3" s="784"/>
      <c r="AAB3" s="784"/>
      <c r="AAC3" s="784"/>
      <c r="AAD3" s="784"/>
      <c r="AAE3" s="784"/>
      <c r="AAF3" s="784"/>
      <c r="AAG3" s="784"/>
      <c r="AAH3" s="784"/>
      <c r="AAI3" s="784"/>
      <c r="AAJ3" s="784"/>
      <c r="AAK3" s="784"/>
      <c r="AAL3" s="784"/>
      <c r="AAM3" s="784"/>
      <c r="AAN3" s="785"/>
      <c r="AAO3" s="786"/>
      <c r="AAP3" s="784"/>
      <c r="AAQ3" s="784"/>
      <c r="AAR3" s="784"/>
      <c r="AAS3" s="784"/>
      <c r="AAT3" s="784"/>
      <c r="AAU3" s="784"/>
      <c r="AAV3" s="784"/>
      <c r="AAW3" s="784"/>
      <c r="AAX3" s="784"/>
      <c r="AAY3" s="784"/>
      <c r="AAZ3" s="784"/>
      <c r="ABA3" s="784"/>
      <c r="ABB3" s="784"/>
      <c r="ABC3" s="785"/>
      <c r="ABD3" s="786"/>
      <c r="ABE3" s="784"/>
      <c r="ABF3" s="784"/>
      <c r="ABG3" s="784"/>
      <c r="ABH3" s="784"/>
      <c r="ABI3" s="784"/>
      <c r="ABJ3" s="784"/>
      <c r="ABK3" s="784"/>
      <c r="ABL3" s="784"/>
      <c r="ABM3" s="784"/>
      <c r="ABN3" s="784"/>
      <c r="ABO3" s="784"/>
      <c r="ABP3" s="784"/>
      <c r="ABQ3" s="784"/>
      <c r="ABR3" s="785"/>
      <c r="ABS3" s="786"/>
      <c r="ABT3" s="784"/>
      <c r="ABU3" s="784"/>
      <c r="ABV3" s="784"/>
      <c r="ABW3" s="784"/>
      <c r="ABX3" s="784"/>
      <c r="ABY3" s="784"/>
      <c r="ABZ3" s="784"/>
      <c r="ACA3" s="784"/>
      <c r="ACB3" s="784"/>
      <c r="ACC3" s="784"/>
      <c r="ACD3" s="784"/>
      <c r="ACE3" s="784"/>
      <c r="ACF3" s="784"/>
      <c r="ACG3" s="785"/>
      <c r="ACH3" s="786"/>
      <c r="ACI3" s="784"/>
      <c r="ACJ3" s="784"/>
      <c r="ACK3" s="784"/>
      <c r="ACL3" s="784"/>
      <c r="ACM3" s="784"/>
      <c r="ACN3" s="784"/>
      <c r="ACO3" s="784"/>
      <c r="ACP3" s="784"/>
      <c r="ACQ3" s="784"/>
      <c r="ACR3" s="784"/>
      <c r="ACS3" s="784"/>
      <c r="ACT3" s="784"/>
      <c r="ACU3" s="784"/>
      <c r="ACV3" s="785"/>
      <c r="ACW3" s="786"/>
      <c r="ACX3" s="784"/>
      <c r="ACY3" s="784"/>
      <c r="ACZ3" s="784"/>
      <c r="ADA3" s="784"/>
      <c r="ADB3" s="784"/>
      <c r="ADC3" s="784"/>
      <c r="ADD3" s="784"/>
      <c r="ADE3" s="784"/>
      <c r="ADF3" s="784"/>
      <c r="ADG3" s="784"/>
      <c r="ADH3" s="784"/>
      <c r="ADI3" s="784"/>
      <c r="ADJ3" s="784"/>
      <c r="ADK3" s="785"/>
      <c r="ADL3" s="786"/>
      <c r="ADM3" s="784"/>
      <c r="ADN3" s="784"/>
      <c r="ADO3" s="784"/>
      <c r="ADP3" s="784"/>
      <c r="ADQ3" s="784"/>
      <c r="ADR3" s="784"/>
      <c r="ADS3" s="784"/>
      <c r="ADT3" s="784"/>
      <c r="ADU3" s="784"/>
      <c r="ADV3" s="784"/>
      <c r="ADW3" s="784"/>
      <c r="ADX3" s="784"/>
      <c r="ADY3" s="784"/>
      <c r="ADZ3" s="785"/>
      <c r="AEA3" s="786"/>
      <c r="AEB3" s="784"/>
      <c r="AEC3" s="784"/>
      <c r="AED3" s="784"/>
      <c r="AEE3" s="784"/>
      <c r="AEF3" s="784"/>
      <c r="AEG3" s="784"/>
      <c r="AEH3" s="784"/>
      <c r="AEI3" s="784"/>
      <c r="AEJ3" s="784"/>
      <c r="AEK3" s="784"/>
      <c r="AEL3" s="784"/>
      <c r="AEM3" s="784"/>
      <c r="AEN3" s="784"/>
      <c r="AEO3" s="785"/>
      <c r="AEP3" s="786"/>
      <c r="AEQ3" s="784"/>
      <c r="AER3" s="784"/>
      <c r="AES3" s="784"/>
      <c r="AET3" s="784"/>
      <c r="AEU3" s="784"/>
      <c r="AEV3" s="784"/>
      <c r="AEW3" s="784"/>
      <c r="AEX3" s="784"/>
      <c r="AEY3" s="784"/>
      <c r="AEZ3" s="784"/>
      <c r="AFA3" s="784"/>
      <c r="AFB3" s="784"/>
      <c r="AFC3" s="784"/>
      <c r="AFD3" s="785"/>
      <c r="AFE3" s="786"/>
      <c r="AFF3" s="784"/>
      <c r="AFG3" s="784"/>
      <c r="AFH3" s="784"/>
      <c r="AFI3" s="784"/>
      <c r="AFJ3" s="784"/>
      <c r="AFK3" s="784"/>
      <c r="AFL3" s="784"/>
      <c r="AFM3" s="784"/>
      <c r="AFN3" s="784"/>
      <c r="AFO3" s="784"/>
      <c r="AFP3" s="784"/>
      <c r="AFQ3" s="784"/>
      <c r="AFR3" s="784"/>
      <c r="AFS3" s="785"/>
      <c r="AFT3" s="786"/>
      <c r="AFU3" s="784"/>
      <c r="AFV3" s="784"/>
      <c r="AFW3" s="784"/>
      <c r="AFX3" s="784"/>
      <c r="AFY3" s="784"/>
      <c r="AFZ3" s="784"/>
      <c r="AGA3" s="784"/>
      <c r="AGB3" s="784"/>
      <c r="AGC3" s="784"/>
      <c r="AGD3" s="784"/>
      <c r="AGE3" s="784"/>
      <c r="AGF3" s="784"/>
      <c r="AGG3" s="784"/>
      <c r="AGH3" s="785"/>
      <c r="AGI3" s="786"/>
      <c r="AGJ3" s="784"/>
      <c r="AGK3" s="784"/>
      <c r="AGL3" s="784"/>
      <c r="AGM3" s="784"/>
      <c r="AGN3" s="784"/>
      <c r="AGO3" s="784"/>
      <c r="AGP3" s="784"/>
      <c r="AGQ3" s="784"/>
      <c r="AGR3" s="784"/>
      <c r="AGS3" s="784"/>
      <c r="AGT3" s="784"/>
      <c r="AGU3" s="784"/>
      <c r="AGV3" s="784"/>
      <c r="AGW3" s="785"/>
      <c r="AGX3" s="786"/>
      <c r="AGY3" s="784"/>
      <c r="AGZ3" s="784"/>
      <c r="AHA3" s="784"/>
      <c r="AHB3" s="784"/>
      <c r="AHC3" s="784"/>
      <c r="AHD3" s="784"/>
      <c r="AHE3" s="784"/>
      <c r="AHF3" s="784"/>
      <c r="AHG3" s="784"/>
      <c r="AHH3" s="784"/>
      <c r="AHI3" s="784"/>
      <c r="AHJ3" s="784"/>
      <c r="AHK3" s="784"/>
      <c r="AHL3" s="785"/>
      <c r="AHM3" s="786"/>
      <c r="AHN3" s="784"/>
      <c r="AHO3" s="784"/>
      <c r="AHP3" s="784"/>
      <c r="AHQ3" s="784"/>
      <c r="AHR3" s="784"/>
      <c r="AHS3" s="784"/>
      <c r="AHT3" s="784"/>
      <c r="AHU3" s="784"/>
      <c r="AHV3" s="784"/>
      <c r="AHW3" s="784"/>
      <c r="AHX3" s="784"/>
      <c r="AHY3" s="784"/>
      <c r="AHZ3" s="784"/>
      <c r="AIA3" s="785"/>
      <c r="AIB3" s="786"/>
      <c r="AIC3" s="784"/>
      <c r="AID3" s="784"/>
      <c r="AIE3" s="784"/>
      <c r="AIF3" s="784"/>
      <c r="AIG3" s="784"/>
      <c r="AIH3" s="784"/>
      <c r="AII3" s="784"/>
      <c r="AIJ3" s="784"/>
      <c r="AIK3" s="784"/>
      <c r="AIL3" s="784"/>
      <c r="AIM3" s="784"/>
      <c r="AIN3" s="784"/>
      <c r="AIO3" s="784"/>
      <c r="AIP3" s="785"/>
      <c r="AIQ3" s="786"/>
      <c r="AIR3" s="784"/>
      <c r="AIS3" s="784"/>
      <c r="AIT3" s="784"/>
      <c r="AIU3" s="784"/>
      <c r="AIV3" s="784"/>
      <c r="AIW3" s="784"/>
      <c r="AIX3" s="784"/>
      <c r="AIY3" s="784"/>
      <c r="AIZ3" s="784"/>
      <c r="AJA3" s="784"/>
      <c r="AJB3" s="784"/>
      <c r="AJC3" s="784"/>
      <c r="AJD3" s="784"/>
      <c r="AJE3" s="785"/>
      <c r="AJF3" s="786"/>
      <c r="AJG3" s="784"/>
      <c r="AJH3" s="784"/>
      <c r="AJI3" s="784"/>
      <c r="AJJ3" s="784"/>
      <c r="AJK3" s="784"/>
      <c r="AJL3" s="784"/>
      <c r="AJM3" s="784"/>
      <c r="AJN3" s="784"/>
      <c r="AJO3" s="784"/>
      <c r="AJP3" s="784"/>
      <c r="AJQ3" s="784"/>
      <c r="AJR3" s="784"/>
      <c r="AJS3" s="784"/>
      <c r="AJT3" s="785"/>
      <c r="AJU3" s="786"/>
      <c r="AJV3" s="784"/>
      <c r="AJW3" s="784"/>
      <c r="AJX3" s="784"/>
      <c r="AJY3" s="784"/>
      <c r="AJZ3" s="784"/>
      <c r="AKA3" s="784"/>
      <c r="AKB3" s="784"/>
      <c r="AKC3" s="784"/>
      <c r="AKD3" s="784"/>
      <c r="AKE3" s="784"/>
      <c r="AKF3" s="784"/>
      <c r="AKG3" s="784"/>
      <c r="AKH3" s="784"/>
      <c r="AKI3" s="785"/>
      <c r="AKJ3" s="786"/>
      <c r="AKK3" s="784"/>
      <c r="AKL3" s="784"/>
      <c r="AKM3" s="784"/>
      <c r="AKN3" s="784"/>
      <c r="AKO3" s="784"/>
      <c r="AKP3" s="784"/>
      <c r="AKQ3" s="784"/>
      <c r="AKR3" s="784"/>
      <c r="AKS3" s="784"/>
      <c r="AKT3" s="784"/>
      <c r="AKU3" s="784"/>
      <c r="AKV3" s="784"/>
      <c r="AKW3" s="784"/>
      <c r="AKX3" s="785"/>
      <c r="AKY3" s="786"/>
      <c r="AKZ3" s="784"/>
      <c r="ALA3" s="784"/>
      <c r="ALB3" s="784"/>
      <c r="ALC3" s="784"/>
      <c r="ALD3" s="784"/>
      <c r="ALE3" s="784"/>
      <c r="ALF3" s="784"/>
      <c r="ALG3" s="784"/>
      <c r="ALH3" s="784"/>
      <c r="ALI3" s="784"/>
      <c r="ALJ3" s="784"/>
      <c r="ALK3" s="784"/>
      <c r="ALL3" s="784"/>
      <c r="ALM3" s="785"/>
      <c r="ALN3" s="786"/>
      <c r="ALO3" s="784"/>
      <c r="ALP3" s="784"/>
      <c r="ALQ3" s="784"/>
      <c r="ALR3" s="784"/>
      <c r="ALS3" s="784"/>
      <c r="ALT3" s="784"/>
      <c r="ALU3" s="784"/>
      <c r="ALV3" s="784"/>
      <c r="ALW3" s="784"/>
      <c r="ALX3" s="784"/>
      <c r="ALY3" s="784"/>
      <c r="ALZ3" s="784"/>
      <c r="AMA3" s="784"/>
      <c r="AMB3" s="785"/>
      <c r="AMC3" s="786"/>
      <c r="AMD3" s="784"/>
      <c r="AME3" s="784"/>
      <c r="AMF3" s="784"/>
      <c r="AMG3" s="784"/>
      <c r="AMH3" s="784"/>
      <c r="AMI3" s="784"/>
      <c r="AMJ3" s="784"/>
      <c r="AMK3" s="784"/>
      <c r="AML3" s="784"/>
      <c r="AMM3" s="784"/>
      <c r="AMN3" s="784"/>
      <c r="AMO3" s="784"/>
      <c r="AMP3" s="784"/>
      <c r="AMQ3" s="785"/>
      <c r="AMR3" s="786"/>
      <c r="AMS3" s="784"/>
      <c r="AMT3" s="784"/>
      <c r="AMU3" s="784"/>
      <c r="AMV3" s="784"/>
      <c r="AMW3" s="784"/>
      <c r="AMX3" s="784"/>
      <c r="AMY3" s="784"/>
      <c r="AMZ3" s="784"/>
      <c r="ANA3" s="784"/>
      <c r="ANB3" s="784"/>
      <c r="ANC3" s="784"/>
      <c r="AND3" s="784"/>
      <c r="ANE3" s="784"/>
      <c r="ANF3" s="785"/>
      <c r="ANG3" s="786"/>
      <c r="ANH3" s="784"/>
      <c r="ANI3" s="784"/>
      <c r="ANJ3" s="784"/>
      <c r="ANK3" s="784"/>
      <c r="ANL3" s="784"/>
      <c r="ANM3" s="784"/>
      <c r="ANN3" s="784"/>
      <c r="ANO3" s="784"/>
      <c r="ANP3" s="784"/>
      <c r="ANQ3" s="784"/>
      <c r="ANR3" s="784"/>
      <c r="ANS3" s="784"/>
      <c r="ANT3" s="784"/>
      <c r="ANU3" s="785"/>
      <c r="ANV3" s="786"/>
      <c r="ANW3" s="784"/>
      <c r="ANX3" s="784"/>
      <c r="ANY3" s="784"/>
      <c r="ANZ3" s="784"/>
      <c r="AOA3" s="784"/>
      <c r="AOB3" s="784"/>
      <c r="AOC3" s="784"/>
      <c r="AOD3" s="784"/>
      <c r="AOE3" s="784"/>
      <c r="AOF3" s="784"/>
      <c r="AOG3" s="784"/>
      <c r="AOH3" s="784"/>
      <c r="AOI3" s="784"/>
      <c r="AOJ3" s="785"/>
      <c r="AOK3" s="786"/>
      <c r="AOL3" s="784"/>
      <c r="AOM3" s="784"/>
      <c r="AON3" s="784"/>
      <c r="AOO3" s="784"/>
      <c r="AOP3" s="784"/>
      <c r="AOQ3" s="784"/>
      <c r="AOR3" s="784"/>
      <c r="AOS3" s="784"/>
      <c r="AOT3" s="784"/>
      <c r="AOU3" s="784"/>
      <c r="AOV3" s="784"/>
      <c r="AOW3" s="784"/>
      <c r="AOX3" s="784"/>
      <c r="AOY3" s="785"/>
      <c r="AOZ3" s="786"/>
      <c r="APA3" s="784"/>
      <c r="APB3" s="784"/>
      <c r="APC3" s="784"/>
      <c r="APD3" s="784"/>
      <c r="APE3" s="784"/>
      <c r="APF3" s="784"/>
      <c r="APG3" s="784"/>
      <c r="APH3" s="784"/>
      <c r="API3" s="784"/>
      <c r="APJ3" s="784"/>
      <c r="APK3" s="784"/>
      <c r="APL3" s="784"/>
      <c r="APM3" s="784"/>
      <c r="APN3" s="785"/>
      <c r="APO3" s="786"/>
      <c r="APP3" s="784"/>
      <c r="APQ3" s="784"/>
      <c r="APR3" s="784"/>
      <c r="APS3" s="784"/>
      <c r="APT3" s="784"/>
      <c r="APU3" s="784"/>
      <c r="APV3" s="784"/>
      <c r="APW3" s="784"/>
      <c r="APX3" s="784"/>
      <c r="APY3" s="784"/>
      <c r="APZ3" s="784"/>
      <c r="AQA3" s="784"/>
      <c r="AQB3" s="784"/>
      <c r="AQC3" s="785"/>
      <c r="AQD3" s="786"/>
      <c r="AQE3" s="784"/>
      <c r="AQF3" s="784"/>
      <c r="AQG3" s="784"/>
      <c r="AQH3" s="784"/>
      <c r="AQI3" s="784"/>
      <c r="AQJ3" s="784"/>
      <c r="AQK3" s="784"/>
      <c r="AQL3" s="784"/>
      <c r="AQM3" s="784"/>
      <c r="AQN3" s="784"/>
      <c r="AQO3" s="784"/>
      <c r="AQP3" s="784"/>
      <c r="AQQ3" s="784"/>
      <c r="AQR3" s="785"/>
      <c r="AQS3" s="786"/>
      <c r="AQT3" s="784"/>
      <c r="AQU3" s="784"/>
      <c r="AQV3" s="784"/>
      <c r="AQW3" s="784"/>
      <c r="AQX3" s="784"/>
      <c r="AQY3" s="784"/>
      <c r="AQZ3" s="784"/>
      <c r="ARA3" s="784"/>
      <c r="ARB3" s="784"/>
      <c r="ARC3" s="784"/>
      <c r="ARD3" s="784"/>
      <c r="ARE3" s="784"/>
      <c r="ARF3" s="784"/>
      <c r="ARG3" s="785"/>
      <c r="ARH3" s="786"/>
      <c r="ARI3" s="784"/>
      <c r="ARJ3" s="784"/>
      <c r="ARK3" s="784"/>
      <c r="ARL3" s="784"/>
      <c r="ARM3" s="784"/>
      <c r="ARN3" s="784"/>
      <c r="ARO3" s="784"/>
      <c r="ARP3" s="784"/>
      <c r="ARQ3" s="784"/>
      <c r="ARR3" s="784"/>
      <c r="ARS3" s="784"/>
      <c r="ART3" s="784"/>
      <c r="ARU3" s="784"/>
      <c r="ARV3" s="785"/>
      <c r="ARW3" s="786"/>
      <c r="ARX3" s="784"/>
      <c r="ARY3" s="784"/>
      <c r="ARZ3" s="784"/>
      <c r="ASA3" s="784"/>
      <c r="ASB3" s="784"/>
      <c r="ASC3" s="784"/>
      <c r="ASD3" s="784"/>
      <c r="ASE3" s="784"/>
      <c r="ASF3" s="784"/>
      <c r="ASG3" s="784"/>
      <c r="ASH3" s="784"/>
      <c r="ASI3" s="784"/>
      <c r="ASJ3" s="784"/>
      <c r="ASK3" s="785"/>
      <c r="ASL3" s="786"/>
      <c r="ASM3" s="784"/>
      <c r="ASN3" s="784"/>
      <c r="ASO3" s="784"/>
      <c r="ASP3" s="784"/>
      <c r="ASQ3" s="784"/>
      <c r="ASR3" s="784"/>
      <c r="ASS3" s="784"/>
      <c r="AST3" s="784"/>
      <c r="ASU3" s="784"/>
      <c r="ASV3" s="784"/>
      <c r="ASW3" s="784"/>
      <c r="ASX3" s="784"/>
      <c r="ASY3" s="784"/>
      <c r="ASZ3" s="785"/>
      <c r="ATA3" s="786"/>
      <c r="ATB3" s="784"/>
      <c r="ATC3" s="784"/>
      <c r="ATD3" s="784"/>
      <c r="ATE3" s="784"/>
      <c r="ATF3" s="784"/>
      <c r="ATG3" s="784"/>
      <c r="ATH3" s="784"/>
      <c r="ATI3" s="784"/>
      <c r="ATJ3" s="784"/>
      <c r="ATK3" s="784"/>
      <c r="ATL3" s="784"/>
      <c r="ATM3" s="784"/>
      <c r="ATN3" s="784"/>
      <c r="ATO3" s="785"/>
      <c r="ATP3" s="786"/>
      <c r="ATQ3" s="784"/>
      <c r="ATR3" s="784"/>
      <c r="ATS3" s="784"/>
      <c r="ATT3" s="784"/>
      <c r="ATU3" s="784"/>
      <c r="ATV3" s="784"/>
      <c r="ATW3" s="784"/>
      <c r="ATX3" s="784"/>
      <c r="ATY3" s="784"/>
      <c r="ATZ3" s="784"/>
      <c r="AUA3" s="784"/>
      <c r="AUB3" s="784"/>
      <c r="AUC3" s="784"/>
      <c r="AUD3" s="785"/>
      <c r="AUE3" s="786"/>
      <c r="AUF3" s="784"/>
      <c r="AUG3" s="784"/>
      <c r="AUH3" s="784"/>
      <c r="AUI3" s="784"/>
      <c r="AUJ3" s="784"/>
      <c r="AUK3" s="784"/>
      <c r="AUL3" s="784"/>
      <c r="AUM3" s="784"/>
      <c r="AUN3" s="784"/>
      <c r="AUO3" s="784"/>
      <c r="AUP3" s="784"/>
      <c r="AUQ3" s="784"/>
      <c r="AUR3" s="784"/>
      <c r="AUS3" s="785"/>
      <c r="AUT3" s="786"/>
      <c r="AUU3" s="784"/>
      <c r="AUV3" s="784"/>
      <c r="AUW3" s="784"/>
      <c r="AUX3" s="784"/>
      <c r="AUY3" s="784"/>
      <c r="AUZ3" s="784"/>
      <c r="AVA3" s="784"/>
      <c r="AVB3" s="784"/>
      <c r="AVC3" s="784"/>
      <c r="AVD3" s="784"/>
      <c r="AVE3" s="784"/>
      <c r="AVF3" s="784"/>
      <c r="AVG3" s="784"/>
      <c r="AVH3" s="785"/>
      <c r="AVI3" s="786"/>
      <c r="AVJ3" s="784"/>
      <c r="AVK3" s="784"/>
      <c r="AVL3" s="784"/>
      <c r="AVM3" s="784"/>
      <c r="AVN3" s="784"/>
      <c r="AVO3" s="784"/>
      <c r="AVP3" s="784"/>
      <c r="AVQ3" s="784"/>
      <c r="AVR3" s="784"/>
      <c r="AVS3" s="784"/>
      <c r="AVT3" s="784"/>
      <c r="AVU3" s="784"/>
      <c r="AVV3" s="784"/>
      <c r="AVW3" s="785"/>
      <c r="AVX3" s="786"/>
      <c r="AVY3" s="784"/>
      <c r="AVZ3" s="784"/>
      <c r="AWA3" s="784"/>
      <c r="AWB3" s="784"/>
      <c r="AWC3" s="784"/>
      <c r="AWD3" s="784"/>
      <c r="AWE3" s="784"/>
      <c r="AWF3" s="784"/>
      <c r="AWG3" s="784"/>
      <c r="AWH3" s="784"/>
      <c r="AWI3" s="784"/>
      <c r="AWJ3" s="784"/>
      <c r="AWK3" s="784"/>
      <c r="AWL3" s="785"/>
      <c r="AWM3" s="786"/>
      <c r="AWN3" s="784"/>
      <c r="AWO3" s="784"/>
      <c r="AWP3" s="784"/>
      <c r="AWQ3" s="784"/>
      <c r="AWR3" s="784"/>
      <c r="AWS3" s="784"/>
      <c r="AWT3" s="784"/>
      <c r="AWU3" s="784"/>
      <c r="AWV3" s="784"/>
      <c r="AWW3" s="784"/>
      <c r="AWX3" s="784"/>
      <c r="AWY3" s="784"/>
      <c r="AWZ3" s="784"/>
      <c r="AXA3" s="785"/>
      <c r="AXB3" s="786"/>
      <c r="AXC3" s="784"/>
      <c r="AXD3" s="784"/>
      <c r="AXE3" s="784"/>
      <c r="AXF3" s="784"/>
      <c r="AXG3" s="784"/>
      <c r="AXH3" s="784"/>
      <c r="AXI3" s="784"/>
      <c r="AXJ3" s="784"/>
      <c r="AXK3" s="784"/>
      <c r="AXL3" s="784"/>
      <c r="AXM3" s="784"/>
      <c r="AXN3" s="784"/>
      <c r="AXO3" s="784"/>
      <c r="AXP3" s="785"/>
      <c r="AXQ3" s="786"/>
      <c r="AXR3" s="784"/>
      <c r="AXS3" s="784"/>
      <c r="AXT3" s="784"/>
      <c r="AXU3" s="784"/>
      <c r="AXV3" s="784"/>
      <c r="AXW3" s="784"/>
      <c r="AXX3" s="784"/>
      <c r="AXY3" s="784"/>
      <c r="AXZ3" s="784"/>
      <c r="AYA3" s="784"/>
      <c r="AYB3" s="784"/>
      <c r="AYC3" s="784"/>
      <c r="AYD3" s="784"/>
      <c r="AYE3" s="785"/>
      <c r="AYF3" s="786"/>
      <c r="AYG3" s="784"/>
      <c r="AYH3" s="784"/>
      <c r="AYI3" s="784"/>
      <c r="AYJ3" s="784"/>
      <c r="AYK3" s="784"/>
      <c r="AYL3" s="784"/>
      <c r="AYM3" s="784"/>
      <c r="AYN3" s="784"/>
      <c r="AYO3" s="784"/>
      <c r="AYP3" s="784"/>
      <c r="AYQ3" s="784"/>
      <c r="AYR3" s="784"/>
      <c r="AYS3" s="784"/>
      <c r="AYT3" s="785"/>
      <c r="AYU3" s="786"/>
      <c r="AYV3" s="784"/>
      <c r="AYW3" s="784"/>
      <c r="AYX3" s="784"/>
      <c r="AYY3" s="784"/>
      <c r="AYZ3" s="784"/>
      <c r="AZA3" s="784"/>
      <c r="AZB3" s="784"/>
      <c r="AZC3" s="784"/>
      <c r="AZD3" s="784"/>
      <c r="AZE3" s="784"/>
      <c r="AZF3" s="784"/>
      <c r="AZG3" s="784"/>
      <c r="AZH3" s="784"/>
      <c r="AZI3" s="785"/>
      <c r="AZJ3" s="786"/>
      <c r="AZK3" s="784"/>
      <c r="AZL3" s="784"/>
      <c r="AZM3" s="784"/>
      <c r="AZN3" s="784"/>
      <c r="AZO3" s="784"/>
      <c r="AZP3" s="784"/>
      <c r="AZQ3" s="784"/>
      <c r="AZR3" s="784"/>
      <c r="AZS3" s="784"/>
      <c r="AZT3" s="784"/>
      <c r="AZU3" s="784"/>
      <c r="AZV3" s="784"/>
      <c r="AZW3" s="784"/>
      <c r="AZX3" s="785"/>
      <c r="AZY3" s="786"/>
      <c r="AZZ3" s="784"/>
      <c r="BAA3" s="784"/>
      <c r="BAB3" s="784"/>
      <c r="BAC3" s="784"/>
      <c r="BAD3" s="784"/>
      <c r="BAE3" s="784"/>
      <c r="BAF3" s="784"/>
      <c r="BAG3" s="784"/>
      <c r="BAH3" s="784"/>
      <c r="BAI3" s="784"/>
      <c r="BAJ3" s="784"/>
      <c r="BAK3" s="784"/>
      <c r="BAL3" s="784"/>
      <c r="BAM3" s="785"/>
      <c r="BAN3" s="786"/>
      <c r="BAO3" s="784"/>
      <c r="BAP3" s="784"/>
      <c r="BAQ3" s="784"/>
      <c r="BAR3" s="784"/>
      <c r="BAS3" s="784"/>
      <c r="BAT3" s="784"/>
      <c r="BAU3" s="784"/>
      <c r="BAV3" s="784"/>
      <c r="BAW3" s="784"/>
      <c r="BAX3" s="784"/>
      <c r="BAY3" s="784"/>
      <c r="BAZ3" s="784"/>
      <c r="BBA3" s="784"/>
      <c r="BBB3" s="785"/>
      <c r="BBC3" s="786"/>
      <c r="BBD3" s="784"/>
      <c r="BBE3" s="784"/>
      <c r="BBF3" s="784"/>
      <c r="BBG3" s="784"/>
      <c r="BBH3" s="784"/>
      <c r="BBI3" s="784"/>
      <c r="BBJ3" s="784"/>
      <c r="BBK3" s="784"/>
      <c r="BBL3" s="784"/>
      <c r="BBM3" s="784"/>
      <c r="BBN3" s="784"/>
      <c r="BBO3" s="784"/>
      <c r="BBP3" s="784"/>
      <c r="BBQ3" s="785"/>
      <c r="BBR3" s="786"/>
      <c r="BBS3" s="784"/>
      <c r="BBT3" s="784"/>
      <c r="BBU3" s="784"/>
      <c r="BBV3" s="784"/>
      <c r="BBW3" s="784"/>
      <c r="BBX3" s="784"/>
      <c r="BBY3" s="784"/>
      <c r="BBZ3" s="784"/>
      <c r="BCA3" s="784"/>
      <c r="BCB3" s="784"/>
      <c r="BCC3" s="784"/>
      <c r="BCD3" s="784"/>
      <c r="BCE3" s="784"/>
      <c r="BCF3" s="785"/>
      <c r="BCG3" s="786"/>
      <c r="BCH3" s="784"/>
      <c r="BCI3" s="784"/>
      <c r="BCJ3" s="784"/>
      <c r="BCK3" s="784"/>
      <c r="BCL3" s="784"/>
      <c r="BCM3" s="784"/>
      <c r="BCN3" s="784"/>
      <c r="BCO3" s="784"/>
      <c r="BCP3" s="784"/>
      <c r="BCQ3" s="784"/>
      <c r="BCR3" s="784"/>
      <c r="BCS3" s="784"/>
      <c r="BCT3" s="784"/>
      <c r="BCU3" s="785"/>
      <c r="BCV3" s="786"/>
      <c r="BCW3" s="784"/>
      <c r="BCX3" s="784"/>
      <c r="BCY3" s="784"/>
      <c r="BCZ3" s="784"/>
      <c r="BDA3" s="784"/>
      <c r="BDB3" s="784"/>
      <c r="BDC3" s="784"/>
      <c r="BDD3" s="784"/>
      <c r="BDE3" s="784"/>
      <c r="BDF3" s="784"/>
      <c r="BDG3" s="784"/>
      <c r="BDH3" s="784"/>
      <c r="BDI3" s="784"/>
      <c r="BDJ3" s="785"/>
      <c r="BDK3" s="786"/>
      <c r="BDL3" s="784"/>
      <c r="BDM3" s="784"/>
      <c r="BDN3" s="784"/>
      <c r="BDO3" s="784"/>
      <c r="BDP3" s="784"/>
      <c r="BDQ3" s="784"/>
      <c r="BDR3" s="784"/>
      <c r="BDS3" s="784"/>
      <c r="BDT3" s="784"/>
      <c r="BDU3" s="784"/>
      <c r="BDV3" s="784"/>
      <c r="BDW3" s="784"/>
      <c r="BDX3" s="784"/>
      <c r="BDY3" s="785"/>
      <c r="BDZ3" s="786"/>
      <c r="BEA3" s="784"/>
      <c r="BEB3" s="784"/>
      <c r="BEC3" s="784"/>
      <c r="BED3" s="784"/>
      <c r="BEE3" s="784"/>
      <c r="BEF3" s="784"/>
      <c r="BEG3" s="784"/>
      <c r="BEH3" s="784"/>
      <c r="BEI3" s="784"/>
      <c r="BEJ3" s="784"/>
      <c r="BEK3" s="784"/>
      <c r="BEL3" s="784"/>
      <c r="BEM3" s="784"/>
      <c r="BEN3" s="785"/>
      <c r="BEO3" s="786"/>
      <c r="BEP3" s="784"/>
      <c r="BEQ3" s="784"/>
      <c r="BER3" s="784"/>
      <c r="BES3" s="784"/>
      <c r="BET3" s="784"/>
      <c r="BEU3" s="784"/>
      <c r="BEV3" s="784"/>
      <c r="BEW3" s="784"/>
      <c r="BEX3" s="784"/>
      <c r="BEY3" s="784"/>
      <c r="BEZ3" s="784"/>
      <c r="BFA3" s="784"/>
      <c r="BFB3" s="784"/>
      <c r="BFC3" s="785"/>
      <c r="BFD3" s="786"/>
      <c r="BFE3" s="784"/>
      <c r="BFF3" s="784"/>
      <c r="BFG3" s="784"/>
      <c r="BFH3" s="784"/>
      <c r="BFI3" s="784"/>
      <c r="BFJ3" s="784"/>
      <c r="BFK3" s="784"/>
      <c r="BFL3" s="784"/>
      <c r="BFM3" s="784"/>
      <c r="BFN3" s="784"/>
      <c r="BFO3" s="784"/>
      <c r="BFP3" s="784"/>
      <c r="BFQ3" s="784"/>
      <c r="BFR3" s="785"/>
      <c r="BFS3" s="786"/>
      <c r="BFT3" s="784"/>
      <c r="BFU3" s="784"/>
      <c r="BFV3" s="784"/>
      <c r="BFW3" s="784"/>
      <c r="BFX3" s="784"/>
      <c r="BFY3" s="784"/>
      <c r="BFZ3" s="784"/>
      <c r="BGA3" s="784"/>
      <c r="BGB3" s="784"/>
      <c r="BGC3" s="784"/>
      <c r="BGD3" s="784"/>
      <c r="BGE3" s="784"/>
      <c r="BGF3" s="784"/>
      <c r="BGG3" s="785"/>
      <c r="BGH3" s="786"/>
      <c r="BGI3" s="784"/>
      <c r="BGJ3" s="784"/>
      <c r="BGK3" s="784"/>
      <c r="BGL3" s="784"/>
      <c r="BGM3" s="784"/>
      <c r="BGN3" s="784"/>
      <c r="BGO3" s="784"/>
      <c r="BGP3" s="784"/>
      <c r="BGQ3" s="784"/>
      <c r="BGR3" s="784"/>
      <c r="BGS3" s="784"/>
      <c r="BGT3" s="784"/>
      <c r="BGU3" s="784"/>
      <c r="BGV3" s="785"/>
      <c r="BGW3" s="786"/>
      <c r="BGX3" s="784"/>
      <c r="BGY3" s="784"/>
      <c r="BGZ3" s="784"/>
      <c r="BHA3" s="784"/>
      <c r="BHB3" s="784"/>
      <c r="BHC3" s="784"/>
      <c r="BHD3" s="784"/>
      <c r="BHE3" s="784"/>
      <c r="BHF3" s="784"/>
      <c r="BHG3" s="784"/>
      <c r="BHH3" s="784"/>
      <c r="BHI3" s="784"/>
      <c r="BHJ3" s="784"/>
      <c r="BHK3" s="785"/>
      <c r="BHL3" s="786"/>
      <c r="BHM3" s="784"/>
      <c r="BHN3" s="784"/>
      <c r="BHO3" s="784"/>
      <c r="BHP3" s="784"/>
      <c r="BHQ3" s="784"/>
      <c r="BHR3" s="784"/>
      <c r="BHS3" s="784"/>
      <c r="BHT3" s="784"/>
      <c r="BHU3" s="784"/>
      <c r="BHV3" s="784"/>
      <c r="BHW3" s="784"/>
      <c r="BHX3" s="784"/>
      <c r="BHY3" s="784"/>
      <c r="BHZ3" s="785"/>
      <c r="BIA3" s="786"/>
      <c r="BIB3" s="784"/>
      <c r="BIC3" s="784"/>
      <c r="BID3" s="784"/>
      <c r="BIE3" s="784"/>
      <c r="BIF3" s="784"/>
      <c r="BIG3" s="784"/>
      <c r="BIH3" s="784"/>
      <c r="BII3" s="784"/>
      <c r="BIJ3" s="784"/>
      <c r="BIK3" s="784"/>
      <c r="BIL3" s="784"/>
      <c r="BIM3" s="784"/>
      <c r="BIN3" s="784"/>
      <c r="BIO3" s="785"/>
      <c r="BIP3" s="786"/>
      <c r="BIQ3" s="784"/>
      <c r="BIR3" s="784"/>
      <c r="BIS3" s="784"/>
      <c r="BIT3" s="784"/>
      <c r="BIU3" s="784"/>
      <c r="BIV3" s="784"/>
      <c r="BIW3" s="784"/>
      <c r="BIX3" s="784"/>
      <c r="BIY3" s="784"/>
      <c r="BIZ3" s="784"/>
      <c r="BJA3" s="784"/>
      <c r="BJB3" s="784"/>
      <c r="BJC3" s="784"/>
      <c r="BJD3" s="785"/>
      <c r="BJE3" s="786"/>
      <c r="BJF3" s="784"/>
      <c r="BJG3" s="784"/>
      <c r="BJH3" s="784"/>
      <c r="BJI3" s="784"/>
      <c r="BJJ3" s="784"/>
      <c r="BJK3" s="784"/>
      <c r="BJL3" s="784"/>
      <c r="BJM3" s="784"/>
      <c r="BJN3" s="784"/>
      <c r="BJO3" s="784"/>
      <c r="BJP3" s="784"/>
      <c r="BJQ3" s="784"/>
      <c r="BJR3" s="784"/>
      <c r="BJS3" s="785"/>
      <c r="BJT3" s="786"/>
      <c r="BJU3" s="784"/>
      <c r="BJV3" s="784"/>
      <c r="BJW3" s="784"/>
      <c r="BJX3" s="784"/>
      <c r="BJY3" s="784"/>
      <c r="BJZ3" s="784"/>
      <c r="BKA3" s="784"/>
      <c r="BKB3" s="784"/>
      <c r="BKC3" s="784"/>
      <c r="BKD3" s="784"/>
      <c r="BKE3" s="784"/>
      <c r="BKF3" s="784"/>
      <c r="BKG3" s="784"/>
      <c r="BKH3" s="785"/>
      <c r="BKI3" s="786"/>
      <c r="BKJ3" s="784"/>
      <c r="BKK3" s="784"/>
      <c r="BKL3" s="784"/>
      <c r="BKM3" s="784"/>
      <c r="BKN3" s="784"/>
      <c r="BKO3" s="784"/>
      <c r="BKP3" s="784"/>
      <c r="BKQ3" s="784"/>
      <c r="BKR3" s="784"/>
      <c r="BKS3" s="784"/>
      <c r="BKT3" s="784"/>
      <c r="BKU3" s="784"/>
      <c r="BKV3" s="784"/>
      <c r="BKW3" s="785"/>
      <c r="BKX3" s="786"/>
      <c r="BKY3" s="784"/>
      <c r="BKZ3" s="784"/>
      <c r="BLA3" s="784"/>
      <c r="BLB3" s="784"/>
      <c r="BLC3" s="784"/>
      <c r="BLD3" s="784"/>
      <c r="BLE3" s="784"/>
      <c r="BLF3" s="784"/>
      <c r="BLG3" s="784"/>
      <c r="BLH3" s="784"/>
      <c r="BLI3" s="784"/>
      <c r="BLJ3" s="784"/>
      <c r="BLK3" s="784"/>
      <c r="BLL3" s="785"/>
      <c r="BLM3" s="786"/>
      <c r="BLN3" s="784"/>
      <c r="BLO3" s="784"/>
      <c r="BLP3" s="784"/>
      <c r="BLQ3" s="784"/>
      <c r="BLR3" s="784"/>
      <c r="BLS3" s="784"/>
      <c r="BLT3" s="784"/>
      <c r="BLU3" s="784"/>
      <c r="BLV3" s="784"/>
      <c r="BLW3" s="784"/>
      <c r="BLX3" s="784"/>
      <c r="BLY3" s="784"/>
      <c r="BLZ3" s="784"/>
      <c r="BMA3" s="785"/>
      <c r="BMB3" s="786"/>
      <c r="BMC3" s="784"/>
      <c r="BMD3" s="784"/>
      <c r="BME3" s="784"/>
      <c r="BMF3" s="784"/>
      <c r="BMG3" s="784"/>
      <c r="BMH3" s="784"/>
      <c r="BMI3" s="784"/>
      <c r="BMJ3" s="784"/>
      <c r="BMK3" s="784"/>
      <c r="BML3" s="784"/>
      <c r="BMM3" s="784"/>
      <c r="BMN3" s="784"/>
      <c r="BMO3" s="784"/>
      <c r="BMP3" s="785"/>
      <c r="BMQ3" s="786"/>
      <c r="BMR3" s="784"/>
      <c r="BMS3" s="784"/>
      <c r="BMT3" s="784"/>
      <c r="BMU3" s="784"/>
      <c r="BMV3" s="784"/>
      <c r="BMW3" s="784"/>
      <c r="BMX3" s="784"/>
      <c r="BMY3" s="784"/>
      <c r="BMZ3" s="784"/>
      <c r="BNA3" s="784"/>
      <c r="BNB3" s="784"/>
      <c r="BNC3" s="784"/>
      <c r="BND3" s="784"/>
      <c r="BNE3" s="785"/>
      <c r="BNF3" s="786"/>
      <c r="BNG3" s="784"/>
      <c r="BNH3" s="784"/>
      <c r="BNI3" s="784"/>
      <c r="BNJ3" s="784"/>
      <c r="BNK3" s="784"/>
      <c r="BNL3" s="784"/>
      <c r="BNM3" s="784"/>
      <c r="BNN3" s="784"/>
      <c r="BNO3" s="784"/>
      <c r="BNP3" s="784"/>
      <c r="BNQ3" s="784"/>
      <c r="BNR3" s="784"/>
      <c r="BNS3" s="784"/>
      <c r="BNT3" s="785"/>
      <c r="BNU3" s="786"/>
      <c r="BNV3" s="784"/>
      <c r="BNW3" s="784"/>
      <c r="BNX3" s="784"/>
      <c r="BNY3" s="784"/>
      <c r="BNZ3" s="784"/>
      <c r="BOA3" s="784"/>
      <c r="BOB3" s="784"/>
      <c r="BOC3" s="784"/>
      <c r="BOD3" s="784"/>
      <c r="BOE3" s="784"/>
      <c r="BOF3" s="784"/>
      <c r="BOG3" s="784"/>
      <c r="BOH3" s="784"/>
      <c r="BOI3" s="785"/>
      <c r="BOJ3" s="786"/>
      <c r="BOK3" s="784"/>
      <c r="BOL3" s="784"/>
      <c r="BOM3" s="784"/>
      <c r="BON3" s="784"/>
      <c r="BOO3" s="784"/>
      <c r="BOP3" s="784"/>
      <c r="BOQ3" s="784"/>
      <c r="BOR3" s="784"/>
      <c r="BOS3" s="784"/>
      <c r="BOT3" s="784"/>
      <c r="BOU3" s="784"/>
      <c r="BOV3" s="784"/>
      <c r="BOW3" s="784"/>
      <c r="BOX3" s="785"/>
      <c r="BOY3" s="786"/>
      <c r="BOZ3" s="784"/>
      <c r="BPA3" s="784"/>
      <c r="BPB3" s="784"/>
      <c r="BPC3" s="784"/>
      <c r="BPD3" s="784"/>
      <c r="BPE3" s="784"/>
      <c r="BPF3" s="784"/>
      <c r="BPG3" s="784"/>
      <c r="BPH3" s="784"/>
      <c r="BPI3" s="784"/>
      <c r="BPJ3" s="784"/>
      <c r="BPK3" s="784"/>
      <c r="BPL3" s="784"/>
      <c r="BPM3" s="785"/>
      <c r="BPN3" s="786"/>
      <c r="BPO3" s="784"/>
      <c r="BPP3" s="784"/>
      <c r="BPQ3" s="784"/>
      <c r="BPR3" s="784"/>
      <c r="BPS3" s="784"/>
      <c r="BPT3" s="784"/>
      <c r="BPU3" s="784"/>
      <c r="BPV3" s="784"/>
      <c r="BPW3" s="784"/>
      <c r="BPX3" s="784"/>
      <c r="BPY3" s="784"/>
      <c r="BPZ3" s="784"/>
      <c r="BQA3" s="784"/>
      <c r="BQB3" s="785"/>
      <c r="BQC3" s="786"/>
      <c r="BQD3" s="784"/>
      <c r="BQE3" s="784"/>
      <c r="BQF3" s="784"/>
      <c r="BQG3" s="784"/>
      <c r="BQH3" s="784"/>
      <c r="BQI3" s="784"/>
      <c r="BQJ3" s="784"/>
      <c r="BQK3" s="784"/>
      <c r="BQL3" s="784"/>
      <c r="BQM3" s="784"/>
      <c r="BQN3" s="784"/>
      <c r="BQO3" s="784"/>
      <c r="BQP3" s="784"/>
      <c r="BQQ3" s="785"/>
      <c r="BQR3" s="786"/>
      <c r="BQS3" s="784"/>
      <c r="BQT3" s="784"/>
      <c r="BQU3" s="784"/>
      <c r="BQV3" s="784"/>
      <c r="BQW3" s="784"/>
      <c r="BQX3" s="784"/>
      <c r="BQY3" s="784"/>
      <c r="BQZ3" s="784"/>
      <c r="BRA3" s="784"/>
      <c r="BRB3" s="784"/>
      <c r="BRC3" s="784"/>
      <c r="BRD3" s="784"/>
      <c r="BRE3" s="784"/>
      <c r="BRF3" s="785"/>
      <c r="BRG3" s="786"/>
      <c r="BRH3" s="784"/>
      <c r="BRI3" s="784"/>
      <c r="BRJ3" s="784"/>
      <c r="BRK3" s="784"/>
      <c r="BRL3" s="784"/>
      <c r="BRM3" s="784"/>
      <c r="BRN3" s="784"/>
      <c r="BRO3" s="784"/>
      <c r="BRP3" s="784"/>
      <c r="BRQ3" s="784"/>
      <c r="BRR3" s="784"/>
      <c r="BRS3" s="784"/>
      <c r="BRT3" s="784"/>
      <c r="BRU3" s="785"/>
      <c r="BRV3" s="786"/>
      <c r="BRW3" s="784"/>
      <c r="BRX3" s="784"/>
      <c r="BRY3" s="784"/>
      <c r="BRZ3" s="784"/>
      <c r="BSA3" s="784"/>
      <c r="BSB3" s="784"/>
      <c r="BSC3" s="784"/>
      <c r="BSD3" s="784"/>
      <c r="BSE3" s="784"/>
      <c r="BSF3" s="784"/>
      <c r="BSG3" s="784"/>
      <c r="BSH3" s="784"/>
      <c r="BSI3" s="784"/>
      <c r="BSJ3" s="785"/>
      <c r="BSK3" s="786"/>
      <c r="BSL3" s="784"/>
      <c r="BSM3" s="784"/>
      <c r="BSN3" s="784"/>
      <c r="BSO3" s="784"/>
      <c r="BSP3" s="784"/>
      <c r="BSQ3" s="784"/>
      <c r="BSR3" s="784"/>
      <c r="BSS3" s="784"/>
      <c r="BST3" s="784"/>
      <c r="BSU3" s="784"/>
      <c r="BSV3" s="784"/>
      <c r="BSW3" s="784"/>
      <c r="BSX3" s="784"/>
      <c r="BSY3" s="785"/>
      <c r="BSZ3" s="786"/>
      <c r="BTA3" s="784"/>
      <c r="BTB3" s="784"/>
      <c r="BTC3" s="784"/>
      <c r="BTD3" s="784"/>
      <c r="BTE3" s="784"/>
      <c r="BTF3" s="784"/>
      <c r="BTG3" s="784"/>
      <c r="BTH3" s="784"/>
      <c r="BTI3" s="784"/>
      <c r="BTJ3" s="784"/>
      <c r="BTK3" s="784"/>
      <c r="BTL3" s="784"/>
      <c r="BTM3" s="784"/>
      <c r="BTN3" s="785"/>
      <c r="BTO3" s="786"/>
      <c r="BTP3" s="784"/>
      <c r="BTQ3" s="784"/>
      <c r="BTR3" s="784"/>
      <c r="BTS3" s="784"/>
      <c r="BTT3" s="784"/>
      <c r="BTU3" s="784"/>
      <c r="BTV3" s="784"/>
      <c r="BTW3" s="784"/>
      <c r="BTX3" s="784"/>
      <c r="BTY3" s="784"/>
      <c r="BTZ3" s="784"/>
      <c r="BUA3" s="784"/>
      <c r="BUB3" s="784"/>
      <c r="BUC3" s="785"/>
      <c r="BUD3" s="786"/>
      <c r="BUE3" s="784"/>
      <c r="BUF3" s="784"/>
      <c r="BUG3" s="784"/>
      <c r="BUH3" s="784"/>
      <c r="BUI3" s="784"/>
      <c r="BUJ3" s="784"/>
      <c r="BUK3" s="784"/>
      <c r="BUL3" s="784"/>
      <c r="BUM3" s="784"/>
      <c r="BUN3" s="784"/>
      <c r="BUO3" s="784"/>
      <c r="BUP3" s="784"/>
      <c r="BUQ3" s="784"/>
      <c r="BUR3" s="785"/>
      <c r="BUS3" s="786"/>
      <c r="BUT3" s="784"/>
      <c r="BUU3" s="784"/>
      <c r="BUV3" s="784"/>
      <c r="BUW3" s="784"/>
      <c r="BUX3" s="784"/>
      <c r="BUY3" s="784"/>
      <c r="BUZ3" s="784"/>
      <c r="BVA3" s="784"/>
      <c r="BVB3" s="784"/>
      <c r="BVC3" s="784"/>
      <c r="BVD3" s="784"/>
      <c r="BVE3" s="784"/>
      <c r="BVF3" s="784"/>
      <c r="BVG3" s="785"/>
      <c r="BVH3" s="786"/>
      <c r="BVI3" s="784"/>
      <c r="BVJ3" s="784"/>
      <c r="BVK3" s="784"/>
      <c r="BVL3" s="784"/>
      <c r="BVM3" s="784"/>
      <c r="BVN3" s="784"/>
      <c r="BVO3" s="784"/>
      <c r="BVP3" s="784"/>
      <c r="BVQ3" s="784"/>
      <c r="BVR3" s="784"/>
      <c r="BVS3" s="784"/>
      <c r="BVT3" s="784"/>
      <c r="BVU3" s="784"/>
      <c r="BVV3" s="785"/>
      <c r="BVW3" s="786"/>
      <c r="BVX3" s="784"/>
      <c r="BVY3" s="784"/>
      <c r="BVZ3" s="784"/>
      <c r="BWA3" s="784"/>
      <c r="BWB3" s="784"/>
      <c r="BWC3" s="784"/>
      <c r="BWD3" s="784"/>
      <c r="BWE3" s="784"/>
      <c r="BWF3" s="784"/>
      <c r="BWG3" s="784"/>
      <c r="BWH3" s="784"/>
      <c r="BWI3" s="784"/>
      <c r="BWJ3" s="784"/>
      <c r="BWK3" s="785"/>
      <c r="BWL3" s="786"/>
      <c r="BWM3" s="784"/>
      <c r="BWN3" s="784"/>
      <c r="BWO3" s="784"/>
      <c r="BWP3" s="784"/>
      <c r="BWQ3" s="784"/>
      <c r="BWR3" s="784"/>
      <c r="BWS3" s="784"/>
      <c r="BWT3" s="784"/>
      <c r="BWU3" s="784"/>
      <c r="BWV3" s="784"/>
      <c r="BWW3" s="784"/>
      <c r="BWX3" s="784"/>
      <c r="BWY3" s="784"/>
      <c r="BWZ3" s="785"/>
      <c r="BXA3" s="786"/>
      <c r="BXB3" s="784"/>
      <c r="BXC3" s="784"/>
      <c r="BXD3" s="784"/>
      <c r="BXE3" s="784"/>
      <c r="BXF3" s="784"/>
      <c r="BXG3" s="784"/>
      <c r="BXH3" s="784"/>
      <c r="BXI3" s="784"/>
      <c r="BXJ3" s="784"/>
      <c r="BXK3" s="784"/>
      <c r="BXL3" s="784"/>
      <c r="BXM3" s="784"/>
      <c r="BXN3" s="784"/>
      <c r="BXO3" s="785"/>
      <c r="BXP3" s="786"/>
      <c r="BXQ3" s="784"/>
      <c r="BXR3" s="784"/>
      <c r="BXS3" s="784"/>
      <c r="BXT3" s="784"/>
      <c r="BXU3" s="784"/>
      <c r="BXV3" s="784"/>
      <c r="BXW3" s="784"/>
      <c r="BXX3" s="784"/>
      <c r="BXY3" s="784"/>
      <c r="BXZ3" s="784"/>
      <c r="BYA3" s="784"/>
      <c r="BYB3" s="784"/>
      <c r="BYC3" s="784"/>
      <c r="BYD3" s="785"/>
      <c r="BYE3" s="786"/>
      <c r="BYF3" s="784"/>
      <c r="BYG3" s="784"/>
      <c r="BYH3" s="784"/>
      <c r="BYI3" s="784"/>
      <c r="BYJ3" s="784"/>
      <c r="BYK3" s="784"/>
      <c r="BYL3" s="784"/>
      <c r="BYM3" s="784"/>
      <c r="BYN3" s="784"/>
      <c r="BYO3" s="784"/>
      <c r="BYP3" s="784"/>
      <c r="BYQ3" s="784"/>
      <c r="BYR3" s="784"/>
      <c r="BYS3" s="785"/>
      <c r="BYT3" s="786"/>
      <c r="BYU3" s="784"/>
      <c r="BYV3" s="784"/>
      <c r="BYW3" s="784"/>
      <c r="BYX3" s="784"/>
      <c r="BYY3" s="784"/>
      <c r="BYZ3" s="784"/>
      <c r="BZA3" s="784"/>
      <c r="BZB3" s="784"/>
      <c r="BZC3" s="784"/>
      <c r="BZD3" s="784"/>
      <c r="BZE3" s="784"/>
      <c r="BZF3" s="784"/>
      <c r="BZG3" s="784"/>
      <c r="BZH3" s="785"/>
      <c r="BZI3" s="786"/>
      <c r="BZJ3" s="784"/>
      <c r="BZK3" s="784"/>
      <c r="BZL3" s="784"/>
      <c r="BZM3" s="784"/>
      <c r="BZN3" s="784"/>
      <c r="BZO3" s="784"/>
      <c r="BZP3" s="784"/>
      <c r="BZQ3" s="784"/>
      <c r="BZR3" s="784"/>
      <c r="BZS3" s="784"/>
      <c r="BZT3" s="784"/>
      <c r="BZU3" s="784"/>
      <c r="BZV3" s="784"/>
      <c r="BZW3" s="785"/>
      <c r="BZX3" s="786"/>
      <c r="BZY3" s="784"/>
      <c r="BZZ3" s="784"/>
      <c r="CAA3" s="784"/>
      <c r="CAB3" s="784"/>
      <c r="CAC3" s="784"/>
      <c r="CAD3" s="784"/>
      <c r="CAE3" s="784"/>
      <c r="CAF3" s="784"/>
      <c r="CAG3" s="784"/>
      <c r="CAH3" s="784"/>
      <c r="CAI3" s="784"/>
      <c r="CAJ3" s="784"/>
      <c r="CAK3" s="784"/>
      <c r="CAL3" s="785"/>
      <c r="CAM3" s="786"/>
      <c r="CAN3" s="784"/>
      <c r="CAO3" s="784"/>
      <c r="CAP3" s="784"/>
      <c r="CAQ3" s="784"/>
      <c r="CAR3" s="784"/>
      <c r="CAS3" s="784"/>
      <c r="CAT3" s="784"/>
      <c r="CAU3" s="784"/>
      <c r="CAV3" s="784"/>
      <c r="CAW3" s="784"/>
      <c r="CAX3" s="784"/>
      <c r="CAY3" s="784"/>
      <c r="CAZ3" s="784"/>
      <c r="CBA3" s="785"/>
      <c r="CBB3" s="786"/>
      <c r="CBC3" s="784"/>
      <c r="CBD3" s="784"/>
      <c r="CBE3" s="784"/>
      <c r="CBF3" s="784"/>
      <c r="CBG3" s="784"/>
      <c r="CBH3" s="784"/>
      <c r="CBI3" s="784"/>
      <c r="CBJ3" s="784"/>
      <c r="CBK3" s="784"/>
      <c r="CBL3" s="784"/>
      <c r="CBM3" s="784"/>
      <c r="CBN3" s="784"/>
      <c r="CBO3" s="784"/>
      <c r="CBP3" s="785"/>
      <c r="CBQ3" s="786"/>
      <c r="CBR3" s="784"/>
      <c r="CBS3" s="784"/>
      <c r="CBT3" s="784"/>
      <c r="CBU3" s="784"/>
      <c r="CBV3" s="784"/>
      <c r="CBW3" s="784"/>
      <c r="CBX3" s="784"/>
      <c r="CBY3" s="784"/>
      <c r="CBZ3" s="784"/>
      <c r="CCA3" s="784"/>
      <c r="CCB3" s="784"/>
      <c r="CCC3" s="784"/>
      <c r="CCD3" s="784"/>
      <c r="CCE3" s="785"/>
      <c r="CCF3" s="786"/>
      <c r="CCG3" s="784"/>
      <c r="CCH3" s="784"/>
      <c r="CCI3" s="784"/>
      <c r="CCJ3" s="784"/>
      <c r="CCK3" s="784"/>
      <c r="CCL3" s="784"/>
      <c r="CCM3" s="784"/>
      <c r="CCN3" s="784"/>
      <c r="CCO3" s="784"/>
      <c r="CCP3" s="784"/>
      <c r="CCQ3" s="784"/>
      <c r="CCR3" s="784"/>
      <c r="CCS3" s="784"/>
      <c r="CCT3" s="785"/>
      <c r="CCU3" s="786"/>
      <c r="CCV3" s="784"/>
      <c r="CCW3" s="784"/>
      <c r="CCX3" s="784"/>
      <c r="CCY3" s="784"/>
      <c r="CCZ3" s="784"/>
      <c r="CDA3" s="784"/>
      <c r="CDB3" s="784"/>
      <c r="CDC3" s="784"/>
      <c r="CDD3" s="784"/>
      <c r="CDE3" s="784"/>
      <c r="CDF3" s="784"/>
      <c r="CDG3" s="784"/>
      <c r="CDH3" s="784"/>
      <c r="CDI3" s="785"/>
      <c r="CDJ3" s="786"/>
      <c r="CDK3" s="784"/>
      <c r="CDL3" s="784"/>
      <c r="CDM3" s="784"/>
      <c r="CDN3" s="784"/>
      <c r="CDO3" s="784"/>
      <c r="CDP3" s="784"/>
      <c r="CDQ3" s="784"/>
      <c r="CDR3" s="784"/>
      <c r="CDS3" s="784"/>
      <c r="CDT3" s="784"/>
      <c r="CDU3" s="784"/>
      <c r="CDV3" s="784"/>
      <c r="CDW3" s="784"/>
      <c r="CDX3" s="785"/>
      <c r="CDY3" s="786"/>
      <c r="CDZ3" s="784"/>
      <c r="CEA3" s="784"/>
      <c r="CEB3" s="784"/>
      <c r="CEC3" s="784"/>
      <c r="CED3" s="784"/>
      <c r="CEE3" s="784"/>
      <c r="CEF3" s="784"/>
      <c r="CEG3" s="784"/>
      <c r="CEH3" s="784"/>
      <c r="CEI3" s="784"/>
      <c r="CEJ3" s="784"/>
      <c r="CEK3" s="784"/>
      <c r="CEL3" s="784"/>
      <c r="CEM3" s="785"/>
      <c r="CEN3" s="786"/>
      <c r="CEO3" s="784"/>
      <c r="CEP3" s="784"/>
      <c r="CEQ3" s="784"/>
      <c r="CER3" s="784"/>
      <c r="CES3" s="784"/>
      <c r="CET3" s="784"/>
      <c r="CEU3" s="784"/>
      <c r="CEV3" s="784"/>
      <c r="CEW3" s="784"/>
      <c r="CEX3" s="784"/>
      <c r="CEY3" s="784"/>
      <c r="CEZ3" s="784"/>
      <c r="CFA3" s="784"/>
      <c r="CFB3" s="785"/>
      <c r="CFC3" s="786"/>
      <c r="CFD3" s="784"/>
      <c r="CFE3" s="784"/>
      <c r="CFF3" s="784"/>
      <c r="CFG3" s="784"/>
      <c r="CFH3" s="784"/>
      <c r="CFI3" s="784"/>
      <c r="CFJ3" s="784"/>
      <c r="CFK3" s="784"/>
      <c r="CFL3" s="784"/>
      <c r="CFM3" s="784"/>
      <c r="CFN3" s="784"/>
      <c r="CFO3" s="784"/>
      <c r="CFP3" s="784"/>
      <c r="CFQ3" s="785"/>
      <c r="CFR3" s="786"/>
      <c r="CFS3" s="784"/>
      <c r="CFT3" s="784"/>
      <c r="CFU3" s="784"/>
      <c r="CFV3" s="784"/>
      <c r="CFW3" s="784"/>
      <c r="CFX3" s="784"/>
      <c r="CFY3" s="784"/>
      <c r="CFZ3" s="784"/>
      <c r="CGA3" s="784"/>
      <c r="CGB3" s="784"/>
      <c r="CGC3" s="784"/>
      <c r="CGD3" s="784"/>
      <c r="CGE3" s="784"/>
      <c r="CGF3" s="785"/>
      <c r="CGG3" s="786"/>
      <c r="CGH3" s="784"/>
      <c r="CGI3" s="784"/>
      <c r="CGJ3" s="784"/>
      <c r="CGK3" s="784"/>
      <c r="CGL3" s="784"/>
      <c r="CGM3" s="784"/>
      <c r="CGN3" s="784"/>
      <c r="CGO3" s="784"/>
      <c r="CGP3" s="784"/>
      <c r="CGQ3" s="784"/>
      <c r="CGR3" s="784"/>
      <c r="CGS3" s="784"/>
      <c r="CGT3" s="784"/>
      <c r="CGU3" s="785"/>
      <c r="CGV3" s="786"/>
      <c r="CGW3" s="784"/>
      <c r="CGX3" s="784"/>
      <c r="CGY3" s="784"/>
      <c r="CGZ3" s="784"/>
      <c r="CHA3" s="784"/>
      <c r="CHB3" s="784"/>
      <c r="CHC3" s="784"/>
      <c r="CHD3" s="784"/>
      <c r="CHE3" s="784"/>
      <c r="CHF3" s="784"/>
      <c r="CHG3" s="784"/>
      <c r="CHH3" s="784"/>
      <c r="CHI3" s="784"/>
      <c r="CHJ3" s="785"/>
      <c r="CHK3" s="786"/>
      <c r="CHL3" s="784"/>
      <c r="CHM3" s="784"/>
      <c r="CHN3" s="784"/>
      <c r="CHO3" s="784"/>
      <c r="CHP3" s="784"/>
      <c r="CHQ3" s="784"/>
      <c r="CHR3" s="784"/>
      <c r="CHS3" s="784"/>
      <c r="CHT3" s="784"/>
      <c r="CHU3" s="784"/>
      <c r="CHV3" s="784"/>
      <c r="CHW3" s="784"/>
      <c r="CHX3" s="784"/>
      <c r="CHY3" s="785"/>
      <c r="CHZ3" s="786"/>
      <c r="CIA3" s="784"/>
      <c r="CIB3" s="784"/>
      <c r="CIC3" s="784"/>
      <c r="CID3" s="784"/>
      <c r="CIE3" s="784"/>
      <c r="CIF3" s="784"/>
      <c r="CIG3" s="784"/>
      <c r="CIH3" s="784"/>
      <c r="CII3" s="784"/>
      <c r="CIJ3" s="784"/>
      <c r="CIK3" s="784"/>
      <c r="CIL3" s="784"/>
      <c r="CIM3" s="784"/>
      <c r="CIN3" s="785"/>
      <c r="CIO3" s="786"/>
      <c r="CIP3" s="784"/>
      <c r="CIQ3" s="784"/>
      <c r="CIR3" s="784"/>
      <c r="CIS3" s="784"/>
      <c r="CIT3" s="784"/>
      <c r="CIU3" s="784"/>
      <c r="CIV3" s="784"/>
      <c r="CIW3" s="784"/>
      <c r="CIX3" s="784"/>
      <c r="CIY3" s="784"/>
      <c r="CIZ3" s="784"/>
      <c r="CJA3" s="784"/>
      <c r="CJB3" s="784"/>
      <c r="CJC3" s="785"/>
      <c r="CJD3" s="786"/>
      <c r="CJE3" s="784"/>
      <c r="CJF3" s="784"/>
      <c r="CJG3" s="784"/>
      <c r="CJH3" s="784"/>
      <c r="CJI3" s="784"/>
      <c r="CJJ3" s="784"/>
      <c r="CJK3" s="784"/>
      <c r="CJL3" s="784"/>
      <c r="CJM3" s="784"/>
      <c r="CJN3" s="784"/>
      <c r="CJO3" s="784"/>
      <c r="CJP3" s="784"/>
      <c r="CJQ3" s="784"/>
      <c r="CJR3" s="785"/>
      <c r="CJS3" s="786"/>
      <c r="CJT3" s="784"/>
      <c r="CJU3" s="784"/>
      <c r="CJV3" s="784"/>
      <c r="CJW3" s="784"/>
      <c r="CJX3" s="784"/>
      <c r="CJY3" s="784"/>
      <c r="CJZ3" s="784"/>
      <c r="CKA3" s="784"/>
      <c r="CKB3" s="784"/>
      <c r="CKC3" s="784"/>
      <c r="CKD3" s="784"/>
      <c r="CKE3" s="784"/>
      <c r="CKF3" s="784"/>
      <c r="CKG3" s="785"/>
      <c r="CKH3" s="786"/>
      <c r="CKI3" s="784"/>
      <c r="CKJ3" s="784"/>
      <c r="CKK3" s="784"/>
      <c r="CKL3" s="784"/>
      <c r="CKM3" s="784"/>
      <c r="CKN3" s="784"/>
      <c r="CKO3" s="784"/>
      <c r="CKP3" s="784"/>
      <c r="CKQ3" s="784"/>
      <c r="CKR3" s="784"/>
      <c r="CKS3" s="784"/>
      <c r="CKT3" s="784"/>
      <c r="CKU3" s="784"/>
      <c r="CKV3" s="785"/>
      <c r="CKW3" s="786"/>
      <c r="CKX3" s="784"/>
      <c r="CKY3" s="784"/>
      <c r="CKZ3" s="784"/>
      <c r="CLA3" s="784"/>
      <c r="CLB3" s="784"/>
      <c r="CLC3" s="784"/>
      <c r="CLD3" s="784"/>
      <c r="CLE3" s="784"/>
      <c r="CLF3" s="784"/>
      <c r="CLG3" s="784"/>
      <c r="CLH3" s="784"/>
      <c r="CLI3" s="784"/>
      <c r="CLJ3" s="784"/>
      <c r="CLK3" s="785"/>
      <c r="CLL3" s="786"/>
      <c r="CLM3" s="784"/>
      <c r="CLN3" s="784"/>
      <c r="CLO3" s="784"/>
      <c r="CLP3" s="784"/>
      <c r="CLQ3" s="784"/>
      <c r="CLR3" s="784"/>
      <c r="CLS3" s="784"/>
      <c r="CLT3" s="784"/>
      <c r="CLU3" s="784"/>
      <c r="CLV3" s="784"/>
      <c r="CLW3" s="784"/>
      <c r="CLX3" s="784"/>
      <c r="CLY3" s="784"/>
      <c r="CLZ3" s="785"/>
      <c r="CMA3" s="786"/>
      <c r="CMB3" s="784"/>
      <c r="CMC3" s="784"/>
      <c r="CMD3" s="784"/>
      <c r="CME3" s="784"/>
      <c r="CMF3" s="784"/>
      <c r="CMG3" s="784"/>
      <c r="CMH3" s="784"/>
      <c r="CMI3" s="784"/>
      <c r="CMJ3" s="784"/>
      <c r="CMK3" s="784"/>
      <c r="CML3" s="784"/>
      <c r="CMM3" s="784"/>
      <c r="CMN3" s="784"/>
      <c r="CMO3" s="785"/>
      <c r="CMP3" s="786"/>
      <c r="CMQ3" s="784"/>
      <c r="CMR3" s="784"/>
      <c r="CMS3" s="784"/>
      <c r="CMT3" s="784"/>
      <c r="CMU3" s="784"/>
      <c r="CMV3" s="784"/>
      <c r="CMW3" s="784"/>
      <c r="CMX3" s="784"/>
      <c r="CMY3" s="784"/>
      <c r="CMZ3" s="784"/>
      <c r="CNA3" s="784"/>
      <c r="CNB3" s="784"/>
      <c r="CNC3" s="784"/>
      <c r="CND3" s="785"/>
      <c r="CNE3" s="786"/>
      <c r="CNF3" s="784"/>
      <c r="CNG3" s="784"/>
      <c r="CNH3" s="784"/>
      <c r="CNI3" s="784"/>
      <c r="CNJ3" s="784"/>
      <c r="CNK3" s="784"/>
      <c r="CNL3" s="784"/>
      <c r="CNM3" s="784"/>
      <c r="CNN3" s="784"/>
      <c r="CNO3" s="784"/>
      <c r="CNP3" s="784"/>
      <c r="CNQ3" s="784"/>
      <c r="CNR3" s="784"/>
      <c r="CNS3" s="785"/>
      <c r="CNT3" s="786"/>
      <c r="CNU3" s="784"/>
      <c r="CNV3" s="784"/>
      <c r="CNW3" s="784"/>
      <c r="CNX3" s="784"/>
      <c r="CNY3" s="784"/>
      <c r="CNZ3" s="784"/>
      <c r="COA3" s="784"/>
      <c r="COB3" s="784"/>
      <c r="COC3" s="784"/>
      <c r="COD3" s="784"/>
      <c r="COE3" s="784"/>
      <c r="COF3" s="784"/>
      <c r="COG3" s="784"/>
      <c r="COH3" s="785"/>
      <c r="COI3" s="786"/>
      <c r="COJ3" s="784"/>
      <c r="COK3" s="784"/>
      <c r="COL3" s="784"/>
      <c r="COM3" s="784"/>
      <c r="CON3" s="784"/>
      <c r="COO3" s="784"/>
      <c r="COP3" s="784"/>
      <c r="COQ3" s="784"/>
      <c r="COR3" s="784"/>
      <c r="COS3" s="784"/>
      <c r="COT3" s="784"/>
      <c r="COU3" s="784"/>
      <c r="COV3" s="784"/>
      <c r="COW3" s="785"/>
      <c r="COX3" s="786"/>
      <c r="COY3" s="784"/>
      <c r="COZ3" s="784"/>
      <c r="CPA3" s="784"/>
      <c r="CPB3" s="784"/>
      <c r="CPC3" s="784"/>
      <c r="CPD3" s="784"/>
      <c r="CPE3" s="784"/>
      <c r="CPF3" s="784"/>
      <c r="CPG3" s="784"/>
      <c r="CPH3" s="784"/>
      <c r="CPI3" s="784"/>
      <c r="CPJ3" s="784"/>
      <c r="CPK3" s="784"/>
      <c r="CPL3" s="785"/>
      <c r="CPM3" s="786"/>
      <c r="CPN3" s="784"/>
      <c r="CPO3" s="784"/>
      <c r="CPP3" s="784"/>
      <c r="CPQ3" s="784"/>
      <c r="CPR3" s="784"/>
      <c r="CPS3" s="784"/>
      <c r="CPT3" s="784"/>
      <c r="CPU3" s="784"/>
      <c r="CPV3" s="784"/>
      <c r="CPW3" s="784"/>
      <c r="CPX3" s="784"/>
      <c r="CPY3" s="784"/>
      <c r="CPZ3" s="784"/>
      <c r="CQA3" s="785"/>
      <c r="CQB3" s="786"/>
      <c r="CQC3" s="784"/>
      <c r="CQD3" s="784"/>
      <c r="CQE3" s="784"/>
      <c r="CQF3" s="784"/>
      <c r="CQG3" s="784"/>
      <c r="CQH3" s="784"/>
      <c r="CQI3" s="784"/>
      <c r="CQJ3" s="784"/>
      <c r="CQK3" s="784"/>
      <c r="CQL3" s="784"/>
      <c r="CQM3" s="784"/>
      <c r="CQN3" s="784"/>
      <c r="CQO3" s="784"/>
      <c r="CQP3" s="785"/>
      <c r="CQQ3" s="786"/>
      <c r="CQR3" s="784"/>
      <c r="CQS3" s="784"/>
      <c r="CQT3" s="784"/>
      <c r="CQU3" s="784"/>
      <c r="CQV3" s="784"/>
      <c r="CQW3" s="784"/>
      <c r="CQX3" s="784"/>
      <c r="CQY3" s="784"/>
      <c r="CQZ3" s="784"/>
      <c r="CRA3" s="784"/>
      <c r="CRB3" s="784"/>
      <c r="CRC3" s="784"/>
      <c r="CRD3" s="784"/>
      <c r="CRE3" s="785"/>
      <c r="CRF3" s="786"/>
      <c r="CRG3" s="784"/>
      <c r="CRH3" s="784"/>
      <c r="CRI3" s="784"/>
      <c r="CRJ3" s="784"/>
      <c r="CRK3" s="784"/>
      <c r="CRL3" s="784"/>
      <c r="CRM3" s="784"/>
      <c r="CRN3" s="784"/>
      <c r="CRO3" s="784"/>
      <c r="CRP3" s="784"/>
      <c r="CRQ3" s="784"/>
      <c r="CRR3" s="784"/>
      <c r="CRS3" s="784"/>
      <c r="CRT3" s="785"/>
      <c r="CRU3" s="786"/>
      <c r="CRV3" s="784"/>
      <c r="CRW3" s="784"/>
      <c r="CRX3" s="784"/>
      <c r="CRY3" s="784"/>
      <c r="CRZ3" s="784"/>
      <c r="CSA3" s="784"/>
      <c r="CSB3" s="784"/>
      <c r="CSC3" s="784"/>
      <c r="CSD3" s="784"/>
      <c r="CSE3" s="784"/>
      <c r="CSF3" s="784"/>
      <c r="CSG3" s="784"/>
      <c r="CSH3" s="784"/>
      <c r="CSI3" s="785"/>
      <c r="CSJ3" s="786"/>
      <c r="CSK3" s="784"/>
      <c r="CSL3" s="784"/>
      <c r="CSM3" s="784"/>
      <c r="CSN3" s="784"/>
      <c r="CSO3" s="784"/>
      <c r="CSP3" s="784"/>
      <c r="CSQ3" s="784"/>
      <c r="CSR3" s="784"/>
      <c r="CSS3" s="784"/>
      <c r="CST3" s="784"/>
      <c r="CSU3" s="784"/>
      <c r="CSV3" s="784"/>
      <c r="CSW3" s="784"/>
      <c r="CSX3" s="785"/>
      <c r="CSY3" s="786"/>
      <c r="CSZ3" s="784"/>
      <c r="CTA3" s="784"/>
      <c r="CTB3" s="784"/>
      <c r="CTC3" s="784"/>
      <c r="CTD3" s="784"/>
      <c r="CTE3" s="784"/>
      <c r="CTF3" s="784"/>
      <c r="CTG3" s="784"/>
      <c r="CTH3" s="784"/>
      <c r="CTI3" s="784"/>
      <c r="CTJ3" s="784"/>
      <c r="CTK3" s="784"/>
      <c r="CTL3" s="784"/>
      <c r="CTM3" s="785"/>
      <c r="CTN3" s="786"/>
      <c r="CTO3" s="784"/>
      <c r="CTP3" s="784"/>
      <c r="CTQ3" s="784"/>
      <c r="CTR3" s="784"/>
      <c r="CTS3" s="784"/>
      <c r="CTT3" s="784"/>
      <c r="CTU3" s="784"/>
      <c r="CTV3" s="784"/>
      <c r="CTW3" s="784"/>
      <c r="CTX3" s="784"/>
      <c r="CTY3" s="784"/>
      <c r="CTZ3" s="784"/>
      <c r="CUA3" s="784"/>
      <c r="CUB3" s="785"/>
      <c r="CUC3" s="786"/>
      <c r="CUD3" s="784"/>
      <c r="CUE3" s="784"/>
      <c r="CUF3" s="784"/>
      <c r="CUG3" s="784"/>
      <c r="CUH3" s="784"/>
      <c r="CUI3" s="784"/>
      <c r="CUJ3" s="784"/>
      <c r="CUK3" s="784"/>
      <c r="CUL3" s="784"/>
      <c r="CUM3" s="784"/>
      <c r="CUN3" s="784"/>
      <c r="CUO3" s="784"/>
      <c r="CUP3" s="784"/>
      <c r="CUQ3" s="785"/>
      <c r="CUR3" s="786"/>
      <c r="CUS3" s="784"/>
      <c r="CUT3" s="784"/>
      <c r="CUU3" s="784"/>
      <c r="CUV3" s="784"/>
      <c r="CUW3" s="784"/>
      <c r="CUX3" s="784"/>
      <c r="CUY3" s="784"/>
      <c r="CUZ3" s="784"/>
      <c r="CVA3" s="784"/>
      <c r="CVB3" s="784"/>
      <c r="CVC3" s="784"/>
      <c r="CVD3" s="784"/>
      <c r="CVE3" s="784"/>
      <c r="CVF3" s="785"/>
      <c r="CVG3" s="786"/>
      <c r="CVH3" s="784"/>
      <c r="CVI3" s="784"/>
      <c r="CVJ3" s="784"/>
      <c r="CVK3" s="784"/>
      <c r="CVL3" s="784"/>
      <c r="CVM3" s="784"/>
      <c r="CVN3" s="784"/>
      <c r="CVO3" s="784"/>
      <c r="CVP3" s="784"/>
      <c r="CVQ3" s="784"/>
      <c r="CVR3" s="784"/>
      <c r="CVS3" s="784"/>
      <c r="CVT3" s="784"/>
      <c r="CVU3" s="785"/>
      <c r="CVV3" s="786"/>
      <c r="CVW3" s="784"/>
      <c r="CVX3" s="784"/>
      <c r="CVY3" s="784"/>
      <c r="CVZ3" s="784"/>
      <c r="CWA3" s="784"/>
      <c r="CWB3" s="784"/>
      <c r="CWC3" s="784"/>
      <c r="CWD3" s="784"/>
      <c r="CWE3" s="784"/>
      <c r="CWF3" s="784"/>
      <c r="CWG3" s="784"/>
      <c r="CWH3" s="784"/>
      <c r="CWI3" s="784"/>
      <c r="CWJ3" s="785"/>
      <c r="CWK3" s="786"/>
      <c r="CWL3" s="784"/>
      <c r="CWM3" s="784"/>
      <c r="CWN3" s="784"/>
      <c r="CWO3" s="784"/>
      <c r="CWP3" s="784"/>
      <c r="CWQ3" s="784"/>
      <c r="CWR3" s="784"/>
      <c r="CWS3" s="784"/>
      <c r="CWT3" s="784"/>
      <c r="CWU3" s="784"/>
      <c r="CWV3" s="784"/>
      <c r="CWW3" s="784"/>
      <c r="CWX3" s="784"/>
      <c r="CWY3" s="785"/>
      <c r="CWZ3" s="786"/>
      <c r="CXA3" s="784"/>
      <c r="CXB3" s="784"/>
      <c r="CXC3" s="784"/>
      <c r="CXD3" s="784"/>
      <c r="CXE3" s="784"/>
      <c r="CXF3" s="784"/>
      <c r="CXG3" s="784"/>
      <c r="CXH3" s="784"/>
      <c r="CXI3" s="784"/>
      <c r="CXJ3" s="784"/>
      <c r="CXK3" s="784"/>
      <c r="CXL3" s="784"/>
      <c r="CXM3" s="784"/>
      <c r="CXN3" s="785"/>
      <c r="CXO3" s="786"/>
      <c r="CXP3" s="784"/>
      <c r="CXQ3" s="784"/>
      <c r="CXR3" s="784"/>
      <c r="CXS3" s="784"/>
      <c r="CXT3" s="784"/>
      <c r="CXU3" s="784"/>
      <c r="CXV3" s="784"/>
      <c r="CXW3" s="784"/>
      <c r="CXX3" s="784"/>
      <c r="CXY3" s="784"/>
      <c r="CXZ3" s="784"/>
      <c r="CYA3" s="784"/>
      <c r="CYB3" s="784"/>
      <c r="CYC3" s="785"/>
      <c r="CYD3" s="786"/>
      <c r="CYE3" s="784"/>
      <c r="CYF3" s="784"/>
      <c r="CYG3" s="784"/>
      <c r="CYH3" s="784"/>
      <c r="CYI3" s="784"/>
      <c r="CYJ3" s="784"/>
      <c r="CYK3" s="784"/>
      <c r="CYL3" s="784"/>
      <c r="CYM3" s="784"/>
      <c r="CYN3" s="784"/>
      <c r="CYO3" s="784"/>
      <c r="CYP3" s="784"/>
      <c r="CYQ3" s="784"/>
      <c r="CYR3" s="785"/>
      <c r="CYS3" s="786"/>
      <c r="CYT3" s="784"/>
      <c r="CYU3" s="784"/>
      <c r="CYV3" s="784"/>
      <c r="CYW3" s="784"/>
      <c r="CYX3" s="784"/>
      <c r="CYY3" s="784"/>
      <c r="CYZ3" s="784"/>
      <c r="CZA3" s="784"/>
      <c r="CZB3" s="784"/>
      <c r="CZC3" s="784"/>
      <c r="CZD3" s="784"/>
      <c r="CZE3" s="784"/>
      <c r="CZF3" s="784"/>
      <c r="CZG3" s="785"/>
      <c r="CZH3" s="786"/>
      <c r="CZI3" s="784"/>
      <c r="CZJ3" s="784"/>
      <c r="CZK3" s="784"/>
      <c r="CZL3" s="784"/>
      <c r="CZM3" s="784"/>
      <c r="CZN3" s="784"/>
      <c r="CZO3" s="784"/>
      <c r="CZP3" s="784"/>
      <c r="CZQ3" s="784"/>
      <c r="CZR3" s="784"/>
      <c r="CZS3" s="784"/>
      <c r="CZT3" s="784"/>
      <c r="CZU3" s="784"/>
      <c r="CZV3" s="785"/>
      <c r="CZW3" s="786"/>
      <c r="CZX3" s="784"/>
      <c r="CZY3" s="784"/>
      <c r="CZZ3" s="784"/>
      <c r="DAA3" s="784"/>
      <c r="DAB3" s="784"/>
      <c r="DAC3" s="784"/>
      <c r="DAD3" s="784"/>
      <c r="DAE3" s="784"/>
      <c r="DAF3" s="784"/>
      <c r="DAG3" s="784"/>
      <c r="DAH3" s="784"/>
      <c r="DAI3" s="784"/>
      <c r="DAJ3" s="784"/>
      <c r="DAK3" s="785"/>
      <c r="DAL3" s="786"/>
      <c r="DAM3" s="784"/>
      <c r="DAN3" s="784"/>
      <c r="DAO3" s="784"/>
      <c r="DAP3" s="784"/>
      <c r="DAQ3" s="784"/>
      <c r="DAR3" s="784"/>
      <c r="DAS3" s="784"/>
      <c r="DAT3" s="784"/>
      <c r="DAU3" s="784"/>
      <c r="DAV3" s="784"/>
      <c r="DAW3" s="784"/>
      <c r="DAX3" s="784"/>
      <c r="DAY3" s="784"/>
      <c r="DAZ3" s="785"/>
      <c r="DBA3" s="786"/>
      <c r="DBB3" s="784"/>
      <c r="DBC3" s="784"/>
      <c r="DBD3" s="784"/>
      <c r="DBE3" s="784"/>
      <c r="DBF3" s="784"/>
      <c r="DBG3" s="784"/>
      <c r="DBH3" s="784"/>
      <c r="DBI3" s="784"/>
      <c r="DBJ3" s="784"/>
      <c r="DBK3" s="784"/>
      <c r="DBL3" s="784"/>
      <c r="DBM3" s="784"/>
      <c r="DBN3" s="784"/>
      <c r="DBO3" s="785"/>
      <c r="DBP3" s="786"/>
      <c r="DBQ3" s="784"/>
      <c r="DBR3" s="784"/>
      <c r="DBS3" s="784"/>
      <c r="DBT3" s="784"/>
      <c r="DBU3" s="784"/>
      <c r="DBV3" s="784"/>
      <c r="DBW3" s="784"/>
      <c r="DBX3" s="784"/>
      <c r="DBY3" s="784"/>
      <c r="DBZ3" s="784"/>
      <c r="DCA3" s="784"/>
      <c r="DCB3" s="784"/>
      <c r="DCC3" s="784"/>
      <c r="DCD3" s="785"/>
      <c r="DCE3" s="786"/>
      <c r="DCF3" s="784"/>
      <c r="DCG3" s="784"/>
      <c r="DCH3" s="784"/>
      <c r="DCI3" s="784"/>
      <c r="DCJ3" s="784"/>
      <c r="DCK3" s="784"/>
      <c r="DCL3" s="784"/>
      <c r="DCM3" s="784"/>
      <c r="DCN3" s="784"/>
      <c r="DCO3" s="784"/>
      <c r="DCP3" s="784"/>
      <c r="DCQ3" s="784"/>
      <c r="DCR3" s="784"/>
      <c r="DCS3" s="785"/>
      <c r="DCT3" s="786"/>
      <c r="DCU3" s="784"/>
      <c r="DCV3" s="784"/>
      <c r="DCW3" s="784"/>
      <c r="DCX3" s="784"/>
      <c r="DCY3" s="784"/>
      <c r="DCZ3" s="784"/>
      <c r="DDA3" s="784"/>
      <c r="DDB3" s="784"/>
      <c r="DDC3" s="784"/>
      <c r="DDD3" s="784"/>
      <c r="DDE3" s="784"/>
      <c r="DDF3" s="784"/>
      <c r="DDG3" s="784"/>
      <c r="DDH3" s="785"/>
      <c r="DDI3" s="786"/>
      <c r="DDJ3" s="784"/>
      <c r="DDK3" s="784"/>
      <c r="DDL3" s="784"/>
      <c r="DDM3" s="784"/>
      <c r="DDN3" s="784"/>
      <c r="DDO3" s="784"/>
      <c r="DDP3" s="784"/>
      <c r="DDQ3" s="784"/>
      <c r="DDR3" s="784"/>
      <c r="DDS3" s="784"/>
      <c r="DDT3" s="784"/>
      <c r="DDU3" s="784"/>
      <c r="DDV3" s="784"/>
      <c r="DDW3" s="785"/>
      <c r="DDX3" s="786"/>
      <c r="DDY3" s="784"/>
      <c r="DDZ3" s="784"/>
      <c r="DEA3" s="784"/>
      <c r="DEB3" s="784"/>
      <c r="DEC3" s="784"/>
      <c r="DED3" s="784"/>
      <c r="DEE3" s="784"/>
      <c r="DEF3" s="784"/>
      <c r="DEG3" s="784"/>
      <c r="DEH3" s="784"/>
      <c r="DEI3" s="784"/>
      <c r="DEJ3" s="784"/>
      <c r="DEK3" s="784"/>
      <c r="DEL3" s="785"/>
      <c r="DEM3" s="786"/>
      <c r="DEN3" s="784"/>
      <c r="DEO3" s="784"/>
      <c r="DEP3" s="784"/>
      <c r="DEQ3" s="784"/>
      <c r="DER3" s="784"/>
      <c r="DES3" s="784"/>
      <c r="DET3" s="784"/>
      <c r="DEU3" s="784"/>
      <c r="DEV3" s="784"/>
      <c r="DEW3" s="784"/>
      <c r="DEX3" s="784"/>
      <c r="DEY3" s="784"/>
      <c r="DEZ3" s="784"/>
      <c r="DFA3" s="785"/>
      <c r="DFB3" s="786"/>
      <c r="DFC3" s="784"/>
      <c r="DFD3" s="784"/>
      <c r="DFE3" s="784"/>
      <c r="DFF3" s="784"/>
      <c r="DFG3" s="784"/>
      <c r="DFH3" s="784"/>
      <c r="DFI3" s="784"/>
      <c r="DFJ3" s="784"/>
      <c r="DFK3" s="784"/>
      <c r="DFL3" s="784"/>
      <c r="DFM3" s="784"/>
      <c r="DFN3" s="784"/>
      <c r="DFO3" s="784"/>
      <c r="DFP3" s="785"/>
      <c r="DFQ3" s="786"/>
      <c r="DFR3" s="784"/>
      <c r="DFS3" s="784"/>
      <c r="DFT3" s="784"/>
      <c r="DFU3" s="784"/>
      <c r="DFV3" s="784"/>
      <c r="DFW3" s="784"/>
      <c r="DFX3" s="784"/>
      <c r="DFY3" s="784"/>
      <c r="DFZ3" s="784"/>
      <c r="DGA3" s="784"/>
      <c r="DGB3" s="784"/>
      <c r="DGC3" s="784"/>
      <c r="DGD3" s="784"/>
      <c r="DGE3" s="785"/>
      <c r="DGF3" s="786"/>
      <c r="DGG3" s="784"/>
      <c r="DGH3" s="784"/>
      <c r="DGI3" s="784"/>
      <c r="DGJ3" s="784"/>
      <c r="DGK3" s="784"/>
      <c r="DGL3" s="784"/>
      <c r="DGM3" s="784"/>
      <c r="DGN3" s="784"/>
      <c r="DGO3" s="784"/>
      <c r="DGP3" s="784"/>
      <c r="DGQ3" s="784"/>
      <c r="DGR3" s="784"/>
      <c r="DGS3" s="784"/>
      <c r="DGT3" s="785"/>
      <c r="DGU3" s="786"/>
      <c r="DGV3" s="784"/>
      <c r="DGW3" s="784"/>
      <c r="DGX3" s="784"/>
      <c r="DGY3" s="784"/>
      <c r="DGZ3" s="784"/>
      <c r="DHA3" s="784"/>
      <c r="DHB3" s="784"/>
      <c r="DHC3" s="784"/>
      <c r="DHD3" s="784"/>
      <c r="DHE3" s="784"/>
      <c r="DHF3" s="784"/>
      <c r="DHG3" s="784"/>
      <c r="DHH3" s="784"/>
      <c r="DHI3" s="785"/>
      <c r="DHJ3" s="786"/>
      <c r="DHK3" s="784"/>
      <c r="DHL3" s="784"/>
      <c r="DHM3" s="784"/>
      <c r="DHN3" s="784"/>
      <c r="DHO3" s="784"/>
      <c r="DHP3" s="784"/>
      <c r="DHQ3" s="784"/>
      <c r="DHR3" s="784"/>
      <c r="DHS3" s="784"/>
      <c r="DHT3" s="784"/>
      <c r="DHU3" s="784"/>
      <c r="DHV3" s="784"/>
      <c r="DHW3" s="784"/>
      <c r="DHX3" s="785"/>
      <c r="DHY3" s="786"/>
      <c r="DHZ3" s="784"/>
      <c r="DIA3" s="784"/>
      <c r="DIB3" s="784"/>
      <c r="DIC3" s="784"/>
      <c r="DID3" s="784"/>
      <c r="DIE3" s="784"/>
      <c r="DIF3" s="784"/>
      <c r="DIG3" s="784"/>
      <c r="DIH3" s="784"/>
      <c r="DII3" s="784"/>
      <c r="DIJ3" s="784"/>
      <c r="DIK3" s="784"/>
      <c r="DIL3" s="784"/>
      <c r="DIM3" s="785"/>
      <c r="DIN3" s="786"/>
      <c r="DIO3" s="784"/>
      <c r="DIP3" s="784"/>
      <c r="DIQ3" s="784"/>
      <c r="DIR3" s="784"/>
      <c r="DIS3" s="784"/>
      <c r="DIT3" s="784"/>
      <c r="DIU3" s="784"/>
      <c r="DIV3" s="784"/>
      <c r="DIW3" s="784"/>
      <c r="DIX3" s="784"/>
      <c r="DIY3" s="784"/>
      <c r="DIZ3" s="784"/>
      <c r="DJA3" s="784"/>
      <c r="DJB3" s="785"/>
      <c r="DJC3" s="786"/>
      <c r="DJD3" s="784"/>
      <c r="DJE3" s="784"/>
      <c r="DJF3" s="784"/>
      <c r="DJG3" s="784"/>
      <c r="DJH3" s="784"/>
      <c r="DJI3" s="784"/>
      <c r="DJJ3" s="784"/>
      <c r="DJK3" s="784"/>
      <c r="DJL3" s="784"/>
      <c r="DJM3" s="784"/>
      <c r="DJN3" s="784"/>
      <c r="DJO3" s="784"/>
      <c r="DJP3" s="784"/>
      <c r="DJQ3" s="785"/>
      <c r="DJR3" s="786"/>
      <c r="DJS3" s="784"/>
      <c r="DJT3" s="784"/>
      <c r="DJU3" s="784"/>
      <c r="DJV3" s="784"/>
      <c r="DJW3" s="784"/>
      <c r="DJX3" s="784"/>
      <c r="DJY3" s="784"/>
      <c r="DJZ3" s="784"/>
      <c r="DKA3" s="784"/>
      <c r="DKB3" s="784"/>
      <c r="DKC3" s="784"/>
      <c r="DKD3" s="784"/>
      <c r="DKE3" s="784"/>
      <c r="DKF3" s="785"/>
      <c r="DKG3" s="786"/>
      <c r="DKH3" s="784"/>
      <c r="DKI3" s="784"/>
      <c r="DKJ3" s="784"/>
      <c r="DKK3" s="784"/>
      <c r="DKL3" s="784"/>
      <c r="DKM3" s="784"/>
      <c r="DKN3" s="784"/>
      <c r="DKO3" s="784"/>
      <c r="DKP3" s="784"/>
      <c r="DKQ3" s="784"/>
      <c r="DKR3" s="784"/>
      <c r="DKS3" s="784"/>
      <c r="DKT3" s="784"/>
      <c r="DKU3" s="785"/>
      <c r="DKV3" s="786"/>
      <c r="DKW3" s="784"/>
      <c r="DKX3" s="784"/>
      <c r="DKY3" s="784"/>
      <c r="DKZ3" s="784"/>
      <c r="DLA3" s="784"/>
      <c r="DLB3" s="784"/>
      <c r="DLC3" s="784"/>
      <c r="DLD3" s="784"/>
      <c r="DLE3" s="784"/>
      <c r="DLF3" s="784"/>
      <c r="DLG3" s="784"/>
      <c r="DLH3" s="784"/>
      <c r="DLI3" s="784"/>
      <c r="DLJ3" s="785"/>
      <c r="DLK3" s="786"/>
      <c r="DLL3" s="784"/>
      <c r="DLM3" s="784"/>
      <c r="DLN3" s="784"/>
      <c r="DLO3" s="784"/>
      <c r="DLP3" s="784"/>
      <c r="DLQ3" s="784"/>
      <c r="DLR3" s="784"/>
      <c r="DLS3" s="784"/>
      <c r="DLT3" s="784"/>
      <c r="DLU3" s="784"/>
      <c r="DLV3" s="784"/>
      <c r="DLW3" s="784"/>
      <c r="DLX3" s="784"/>
      <c r="DLY3" s="785"/>
      <c r="DLZ3" s="786"/>
      <c r="DMA3" s="784"/>
      <c r="DMB3" s="784"/>
      <c r="DMC3" s="784"/>
      <c r="DMD3" s="784"/>
      <c r="DME3" s="784"/>
      <c r="DMF3" s="784"/>
      <c r="DMG3" s="784"/>
      <c r="DMH3" s="784"/>
      <c r="DMI3" s="784"/>
      <c r="DMJ3" s="784"/>
      <c r="DMK3" s="784"/>
      <c r="DML3" s="784"/>
      <c r="DMM3" s="784"/>
      <c r="DMN3" s="785"/>
      <c r="DMO3" s="786"/>
      <c r="DMP3" s="784"/>
      <c r="DMQ3" s="784"/>
      <c r="DMR3" s="784"/>
      <c r="DMS3" s="784"/>
      <c r="DMT3" s="784"/>
      <c r="DMU3" s="784"/>
      <c r="DMV3" s="784"/>
      <c r="DMW3" s="784"/>
      <c r="DMX3" s="784"/>
      <c r="DMY3" s="784"/>
      <c r="DMZ3" s="784"/>
      <c r="DNA3" s="784"/>
      <c r="DNB3" s="784"/>
      <c r="DNC3" s="785"/>
      <c r="DND3" s="786"/>
      <c r="DNE3" s="784"/>
      <c r="DNF3" s="784"/>
      <c r="DNG3" s="784"/>
      <c r="DNH3" s="784"/>
      <c r="DNI3" s="784"/>
      <c r="DNJ3" s="784"/>
      <c r="DNK3" s="784"/>
      <c r="DNL3" s="784"/>
      <c r="DNM3" s="784"/>
      <c r="DNN3" s="784"/>
      <c r="DNO3" s="784"/>
      <c r="DNP3" s="784"/>
      <c r="DNQ3" s="784"/>
      <c r="DNR3" s="785"/>
      <c r="DNS3" s="786"/>
      <c r="DNT3" s="784"/>
      <c r="DNU3" s="784"/>
      <c r="DNV3" s="784"/>
      <c r="DNW3" s="784"/>
      <c r="DNX3" s="784"/>
      <c r="DNY3" s="784"/>
      <c r="DNZ3" s="784"/>
      <c r="DOA3" s="784"/>
      <c r="DOB3" s="784"/>
      <c r="DOC3" s="784"/>
      <c r="DOD3" s="784"/>
      <c r="DOE3" s="784"/>
      <c r="DOF3" s="784"/>
      <c r="DOG3" s="785"/>
      <c r="DOH3" s="786"/>
      <c r="DOI3" s="784"/>
      <c r="DOJ3" s="784"/>
      <c r="DOK3" s="784"/>
      <c r="DOL3" s="784"/>
      <c r="DOM3" s="784"/>
      <c r="DON3" s="784"/>
      <c r="DOO3" s="784"/>
      <c r="DOP3" s="784"/>
      <c r="DOQ3" s="784"/>
      <c r="DOR3" s="784"/>
      <c r="DOS3" s="784"/>
      <c r="DOT3" s="784"/>
      <c r="DOU3" s="784"/>
      <c r="DOV3" s="785"/>
      <c r="DOW3" s="786"/>
      <c r="DOX3" s="784"/>
      <c r="DOY3" s="784"/>
      <c r="DOZ3" s="784"/>
      <c r="DPA3" s="784"/>
      <c r="DPB3" s="784"/>
      <c r="DPC3" s="784"/>
      <c r="DPD3" s="784"/>
      <c r="DPE3" s="784"/>
      <c r="DPF3" s="784"/>
      <c r="DPG3" s="784"/>
      <c r="DPH3" s="784"/>
      <c r="DPI3" s="784"/>
      <c r="DPJ3" s="784"/>
      <c r="DPK3" s="785"/>
      <c r="DPL3" s="786"/>
      <c r="DPM3" s="784"/>
      <c r="DPN3" s="784"/>
      <c r="DPO3" s="784"/>
      <c r="DPP3" s="784"/>
      <c r="DPQ3" s="784"/>
      <c r="DPR3" s="784"/>
      <c r="DPS3" s="784"/>
      <c r="DPT3" s="784"/>
      <c r="DPU3" s="784"/>
      <c r="DPV3" s="784"/>
      <c r="DPW3" s="784"/>
      <c r="DPX3" s="784"/>
      <c r="DPY3" s="784"/>
      <c r="DPZ3" s="785"/>
      <c r="DQA3" s="786"/>
      <c r="DQB3" s="784"/>
      <c r="DQC3" s="784"/>
      <c r="DQD3" s="784"/>
      <c r="DQE3" s="784"/>
      <c r="DQF3" s="784"/>
      <c r="DQG3" s="784"/>
      <c r="DQH3" s="784"/>
      <c r="DQI3" s="784"/>
      <c r="DQJ3" s="784"/>
      <c r="DQK3" s="784"/>
      <c r="DQL3" s="784"/>
      <c r="DQM3" s="784"/>
      <c r="DQN3" s="784"/>
      <c r="DQO3" s="785"/>
      <c r="DQP3" s="786"/>
      <c r="DQQ3" s="784"/>
      <c r="DQR3" s="784"/>
      <c r="DQS3" s="784"/>
      <c r="DQT3" s="784"/>
      <c r="DQU3" s="784"/>
      <c r="DQV3" s="784"/>
      <c r="DQW3" s="784"/>
      <c r="DQX3" s="784"/>
      <c r="DQY3" s="784"/>
      <c r="DQZ3" s="784"/>
      <c r="DRA3" s="784"/>
      <c r="DRB3" s="784"/>
      <c r="DRC3" s="784"/>
      <c r="DRD3" s="785"/>
      <c r="DRE3" s="786"/>
      <c r="DRF3" s="784"/>
      <c r="DRG3" s="784"/>
      <c r="DRH3" s="784"/>
      <c r="DRI3" s="784"/>
      <c r="DRJ3" s="784"/>
      <c r="DRK3" s="784"/>
      <c r="DRL3" s="784"/>
      <c r="DRM3" s="784"/>
      <c r="DRN3" s="784"/>
      <c r="DRO3" s="784"/>
      <c r="DRP3" s="784"/>
      <c r="DRQ3" s="784"/>
      <c r="DRR3" s="784"/>
      <c r="DRS3" s="785"/>
      <c r="DRT3" s="786"/>
      <c r="DRU3" s="784"/>
      <c r="DRV3" s="784"/>
      <c r="DRW3" s="784"/>
      <c r="DRX3" s="784"/>
      <c r="DRY3" s="784"/>
      <c r="DRZ3" s="784"/>
      <c r="DSA3" s="784"/>
      <c r="DSB3" s="784"/>
      <c r="DSC3" s="784"/>
      <c r="DSD3" s="784"/>
      <c r="DSE3" s="784"/>
      <c r="DSF3" s="784"/>
      <c r="DSG3" s="784"/>
      <c r="DSH3" s="785"/>
      <c r="DSI3" s="786"/>
      <c r="DSJ3" s="784"/>
      <c r="DSK3" s="784"/>
      <c r="DSL3" s="784"/>
      <c r="DSM3" s="784"/>
      <c r="DSN3" s="784"/>
      <c r="DSO3" s="784"/>
      <c r="DSP3" s="784"/>
      <c r="DSQ3" s="784"/>
      <c r="DSR3" s="784"/>
      <c r="DSS3" s="784"/>
      <c r="DST3" s="784"/>
      <c r="DSU3" s="784"/>
      <c r="DSV3" s="784"/>
      <c r="DSW3" s="785"/>
      <c r="DSX3" s="786"/>
      <c r="DSY3" s="784"/>
      <c r="DSZ3" s="784"/>
      <c r="DTA3" s="784"/>
      <c r="DTB3" s="784"/>
      <c r="DTC3" s="784"/>
      <c r="DTD3" s="784"/>
      <c r="DTE3" s="784"/>
      <c r="DTF3" s="784"/>
      <c r="DTG3" s="784"/>
      <c r="DTH3" s="784"/>
      <c r="DTI3" s="784"/>
      <c r="DTJ3" s="784"/>
      <c r="DTK3" s="784"/>
      <c r="DTL3" s="785"/>
      <c r="DTM3" s="786"/>
      <c r="DTN3" s="784"/>
      <c r="DTO3" s="784"/>
      <c r="DTP3" s="784"/>
      <c r="DTQ3" s="784"/>
      <c r="DTR3" s="784"/>
      <c r="DTS3" s="784"/>
      <c r="DTT3" s="784"/>
      <c r="DTU3" s="784"/>
      <c r="DTV3" s="784"/>
      <c r="DTW3" s="784"/>
      <c r="DTX3" s="784"/>
      <c r="DTY3" s="784"/>
      <c r="DTZ3" s="784"/>
      <c r="DUA3" s="785"/>
      <c r="DUB3" s="786"/>
      <c r="DUC3" s="784"/>
      <c r="DUD3" s="784"/>
      <c r="DUE3" s="784"/>
      <c r="DUF3" s="784"/>
      <c r="DUG3" s="784"/>
      <c r="DUH3" s="784"/>
      <c r="DUI3" s="784"/>
      <c r="DUJ3" s="784"/>
      <c r="DUK3" s="784"/>
      <c r="DUL3" s="784"/>
      <c r="DUM3" s="784"/>
      <c r="DUN3" s="784"/>
      <c r="DUO3" s="784"/>
      <c r="DUP3" s="785"/>
      <c r="DUQ3" s="786"/>
      <c r="DUR3" s="784"/>
      <c r="DUS3" s="784"/>
      <c r="DUT3" s="784"/>
      <c r="DUU3" s="784"/>
      <c r="DUV3" s="784"/>
      <c r="DUW3" s="784"/>
      <c r="DUX3" s="784"/>
      <c r="DUY3" s="784"/>
      <c r="DUZ3" s="784"/>
      <c r="DVA3" s="784"/>
      <c r="DVB3" s="784"/>
      <c r="DVC3" s="784"/>
      <c r="DVD3" s="784"/>
      <c r="DVE3" s="785"/>
      <c r="DVF3" s="786"/>
      <c r="DVG3" s="784"/>
      <c r="DVH3" s="784"/>
      <c r="DVI3" s="784"/>
      <c r="DVJ3" s="784"/>
      <c r="DVK3" s="784"/>
      <c r="DVL3" s="784"/>
      <c r="DVM3" s="784"/>
      <c r="DVN3" s="784"/>
      <c r="DVO3" s="784"/>
      <c r="DVP3" s="784"/>
      <c r="DVQ3" s="784"/>
      <c r="DVR3" s="784"/>
      <c r="DVS3" s="784"/>
      <c r="DVT3" s="785"/>
      <c r="DVU3" s="786"/>
      <c r="DVV3" s="784"/>
      <c r="DVW3" s="784"/>
      <c r="DVX3" s="784"/>
      <c r="DVY3" s="784"/>
      <c r="DVZ3" s="784"/>
      <c r="DWA3" s="784"/>
      <c r="DWB3" s="784"/>
      <c r="DWC3" s="784"/>
      <c r="DWD3" s="784"/>
      <c r="DWE3" s="784"/>
      <c r="DWF3" s="784"/>
      <c r="DWG3" s="784"/>
      <c r="DWH3" s="784"/>
      <c r="DWI3" s="785"/>
      <c r="DWJ3" s="786"/>
      <c r="DWK3" s="784"/>
      <c r="DWL3" s="784"/>
      <c r="DWM3" s="784"/>
      <c r="DWN3" s="784"/>
      <c r="DWO3" s="784"/>
      <c r="DWP3" s="784"/>
      <c r="DWQ3" s="784"/>
      <c r="DWR3" s="784"/>
      <c r="DWS3" s="784"/>
      <c r="DWT3" s="784"/>
      <c r="DWU3" s="784"/>
      <c r="DWV3" s="784"/>
      <c r="DWW3" s="784"/>
      <c r="DWX3" s="785"/>
      <c r="DWY3" s="786"/>
      <c r="DWZ3" s="784"/>
      <c r="DXA3" s="784"/>
      <c r="DXB3" s="784"/>
      <c r="DXC3" s="784"/>
      <c r="DXD3" s="784"/>
      <c r="DXE3" s="784"/>
      <c r="DXF3" s="784"/>
      <c r="DXG3" s="784"/>
      <c r="DXH3" s="784"/>
      <c r="DXI3" s="784"/>
      <c r="DXJ3" s="784"/>
      <c r="DXK3" s="784"/>
      <c r="DXL3" s="784"/>
      <c r="DXM3" s="785"/>
      <c r="DXN3" s="786"/>
      <c r="DXO3" s="784"/>
      <c r="DXP3" s="784"/>
      <c r="DXQ3" s="784"/>
      <c r="DXR3" s="784"/>
      <c r="DXS3" s="784"/>
      <c r="DXT3" s="784"/>
      <c r="DXU3" s="784"/>
      <c r="DXV3" s="784"/>
      <c r="DXW3" s="784"/>
      <c r="DXX3" s="784"/>
      <c r="DXY3" s="784"/>
      <c r="DXZ3" s="784"/>
      <c r="DYA3" s="784"/>
      <c r="DYB3" s="785"/>
      <c r="DYC3" s="786"/>
      <c r="DYD3" s="784"/>
      <c r="DYE3" s="784"/>
      <c r="DYF3" s="784"/>
      <c r="DYG3" s="784"/>
      <c r="DYH3" s="784"/>
      <c r="DYI3" s="784"/>
      <c r="DYJ3" s="784"/>
      <c r="DYK3" s="784"/>
      <c r="DYL3" s="784"/>
      <c r="DYM3" s="784"/>
      <c r="DYN3" s="784"/>
      <c r="DYO3" s="784"/>
      <c r="DYP3" s="784"/>
      <c r="DYQ3" s="785"/>
      <c r="DYR3" s="786"/>
      <c r="DYS3" s="784"/>
      <c r="DYT3" s="784"/>
      <c r="DYU3" s="784"/>
      <c r="DYV3" s="784"/>
      <c r="DYW3" s="784"/>
      <c r="DYX3" s="784"/>
      <c r="DYY3" s="784"/>
      <c r="DYZ3" s="784"/>
      <c r="DZA3" s="784"/>
      <c r="DZB3" s="784"/>
      <c r="DZC3" s="784"/>
      <c r="DZD3" s="784"/>
      <c r="DZE3" s="784"/>
      <c r="DZF3" s="785"/>
      <c r="DZG3" s="786"/>
      <c r="DZH3" s="784"/>
      <c r="DZI3" s="784"/>
      <c r="DZJ3" s="784"/>
      <c r="DZK3" s="784"/>
      <c r="DZL3" s="784"/>
      <c r="DZM3" s="784"/>
      <c r="DZN3" s="784"/>
      <c r="DZO3" s="784"/>
      <c r="DZP3" s="784"/>
      <c r="DZQ3" s="784"/>
      <c r="DZR3" s="784"/>
      <c r="DZS3" s="784"/>
      <c r="DZT3" s="784"/>
      <c r="DZU3" s="785"/>
      <c r="DZV3" s="786"/>
      <c r="DZW3" s="784"/>
      <c r="DZX3" s="784"/>
      <c r="DZY3" s="784"/>
      <c r="DZZ3" s="784"/>
      <c r="EAA3" s="784"/>
      <c r="EAB3" s="784"/>
      <c r="EAC3" s="784"/>
      <c r="EAD3" s="784"/>
      <c r="EAE3" s="784"/>
      <c r="EAF3" s="784"/>
      <c r="EAG3" s="784"/>
      <c r="EAH3" s="784"/>
      <c r="EAI3" s="784"/>
      <c r="EAJ3" s="785"/>
      <c r="EAK3" s="786"/>
      <c r="EAL3" s="784"/>
      <c r="EAM3" s="784"/>
      <c r="EAN3" s="784"/>
      <c r="EAO3" s="784"/>
      <c r="EAP3" s="784"/>
      <c r="EAQ3" s="784"/>
      <c r="EAR3" s="784"/>
      <c r="EAS3" s="784"/>
      <c r="EAT3" s="784"/>
      <c r="EAU3" s="784"/>
      <c r="EAV3" s="784"/>
      <c r="EAW3" s="784"/>
      <c r="EAX3" s="784"/>
      <c r="EAY3" s="785"/>
      <c r="EAZ3" s="786"/>
      <c r="EBA3" s="784"/>
      <c r="EBB3" s="784"/>
      <c r="EBC3" s="784"/>
      <c r="EBD3" s="784"/>
      <c r="EBE3" s="784"/>
      <c r="EBF3" s="784"/>
      <c r="EBG3" s="784"/>
      <c r="EBH3" s="784"/>
      <c r="EBI3" s="784"/>
      <c r="EBJ3" s="784"/>
      <c r="EBK3" s="784"/>
      <c r="EBL3" s="784"/>
      <c r="EBM3" s="784"/>
      <c r="EBN3" s="785"/>
      <c r="EBO3" s="786"/>
      <c r="EBP3" s="784"/>
      <c r="EBQ3" s="784"/>
      <c r="EBR3" s="784"/>
      <c r="EBS3" s="784"/>
      <c r="EBT3" s="784"/>
      <c r="EBU3" s="784"/>
      <c r="EBV3" s="784"/>
      <c r="EBW3" s="784"/>
      <c r="EBX3" s="784"/>
      <c r="EBY3" s="784"/>
      <c r="EBZ3" s="784"/>
      <c r="ECA3" s="784"/>
      <c r="ECB3" s="784"/>
      <c r="ECC3" s="785"/>
      <c r="ECD3" s="786"/>
      <c r="ECE3" s="784"/>
      <c r="ECF3" s="784"/>
      <c r="ECG3" s="784"/>
      <c r="ECH3" s="784"/>
      <c r="ECI3" s="784"/>
      <c r="ECJ3" s="784"/>
      <c r="ECK3" s="784"/>
      <c r="ECL3" s="784"/>
      <c r="ECM3" s="784"/>
      <c r="ECN3" s="784"/>
      <c r="ECO3" s="784"/>
      <c r="ECP3" s="784"/>
      <c r="ECQ3" s="784"/>
      <c r="ECR3" s="785"/>
      <c r="ECS3" s="786"/>
      <c r="ECT3" s="784"/>
      <c r="ECU3" s="784"/>
      <c r="ECV3" s="784"/>
      <c r="ECW3" s="784"/>
      <c r="ECX3" s="784"/>
      <c r="ECY3" s="784"/>
      <c r="ECZ3" s="784"/>
      <c r="EDA3" s="784"/>
      <c r="EDB3" s="784"/>
      <c r="EDC3" s="784"/>
      <c r="EDD3" s="784"/>
      <c r="EDE3" s="784"/>
      <c r="EDF3" s="784"/>
      <c r="EDG3" s="785"/>
      <c r="EDH3" s="786"/>
      <c r="EDI3" s="784"/>
      <c r="EDJ3" s="784"/>
      <c r="EDK3" s="784"/>
      <c r="EDL3" s="784"/>
      <c r="EDM3" s="784"/>
      <c r="EDN3" s="784"/>
      <c r="EDO3" s="784"/>
      <c r="EDP3" s="784"/>
      <c r="EDQ3" s="784"/>
      <c r="EDR3" s="784"/>
      <c r="EDS3" s="784"/>
      <c r="EDT3" s="784"/>
      <c r="EDU3" s="784"/>
      <c r="EDV3" s="785"/>
      <c r="EDW3" s="786"/>
      <c r="EDX3" s="784"/>
      <c r="EDY3" s="784"/>
      <c r="EDZ3" s="784"/>
      <c r="EEA3" s="784"/>
      <c r="EEB3" s="784"/>
      <c r="EEC3" s="784"/>
      <c r="EED3" s="784"/>
      <c r="EEE3" s="784"/>
      <c r="EEF3" s="784"/>
      <c r="EEG3" s="784"/>
      <c r="EEH3" s="784"/>
      <c r="EEI3" s="784"/>
      <c r="EEJ3" s="784"/>
      <c r="EEK3" s="785"/>
      <c r="EEL3" s="786"/>
      <c r="EEM3" s="784"/>
      <c r="EEN3" s="784"/>
      <c r="EEO3" s="784"/>
      <c r="EEP3" s="784"/>
      <c r="EEQ3" s="784"/>
      <c r="EER3" s="784"/>
      <c r="EES3" s="784"/>
      <c r="EET3" s="784"/>
      <c r="EEU3" s="784"/>
      <c r="EEV3" s="784"/>
      <c r="EEW3" s="784"/>
      <c r="EEX3" s="784"/>
      <c r="EEY3" s="784"/>
      <c r="EEZ3" s="785"/>
      <c r="EFA3" s="786"/>
      <c r="EFB3" s="784"/>
      <c r="EFC3" s="784"/>
      <c r="EFD3" s="784"/>
      <c r="EFE3" s="784"/>
      <c r="EFF3" s="784"/>
      <c r="EFG3" s="784"/>
      <c r="EFH3" s="784"/>
      <c r="EFI3" s="784"/>
      <c r="EFJ3" s="784"/>
      <c r="EFK3" s="784"/>
      <c r="EFL3" s="784"/>
      <c r="EFM3" s="784"/>
      <c r="EFN3" s="784"/>
      <c r="EFO3" s="785"/>
      <c r="EFP3" s="786"/>
      <c r="EFQ3" s="784"/>
      <c r="EFR3" s="784"/>
      <c r="EFS3" s="784"/>
      <c r="EFT3" s="784"/>
      <c r="EFU3" s="784"/>
      <c r="EFV3" s="784"/>
      <c r="EFW3" s="784"/>
      <c r="EFX3" s="784"/>
      <c r="EFY3" s="784"/>
      <c r="EFZ3" s="784"/>
      <c r="EGA3" s="784"/>
      <c r="EGB3" s="784"/>
      <c r="EGC3" s="784"/>
      <c r="EGD3" s="785"/>
      <c r="EGE3" s="786"/>
      <c r="EGF3" s="784"/>
      <c r="EGG3" s="784"/>
      <c r="EGH3" s="784"/>
      <c r="EGI3" s="784"/>
      <c r="EGJ3" s="784"/>
      <c r="EGK3" s="784"/>
      <c r="EGL3" s="784"/>
      <c r="EGM3" s="784"/>
      <c r="EGN3" s="784"/>
      <c r="EGO3" s="784"/>
      <c r="EGP3" s="784"/>
      <c r="EGQ3" s="784"/>
      <c r="EGR3" s="784"/>
      <c r="EGS3" s="785"/>
      <c r="EGT3" s="786"/>
      <c r="EGU3" s="784"/>
      <c r="EGV3" s="784"/>
      <c r="EGW3" s="784"/>
      <c r="EGX3" s="784"/>
      <c r="EGY3" s="784"/>
      <c r="EGZ3" s="784"/>
      <c r="EHA3" s="784"/>
      <c r="EHB3" s="784"/>
      <c r="EHC3" s="784"/>
      <c r="EHD3" s="784"/>
      <c r="EHE3" s="784"/>
      <c r="EHF3" s="784"/>
      <c r="EHG3" s="784"/>
      <c r="EHH3" s="785"/>
      <c r="EHI3" s="786"/>
      <c r="EHJ3" s="784"/>
      <c r="EHK3" s="784"/>
      <c r="EHL3" s="784"/>
      <c r="EHM3" s="784"/>
      <c r="EHN3" s="784"/>
      <c r="EHO3" s="784"/>
      <c r="EHP3" s="784"/>
      <c r="EHQ3" s="784"/>
      <c r="EHR3" s="784"/>
      <c r="EHS3" s="784"/>
      <c r="EHT3" s="784"/>
      <c r="EHU3" s="784"/>
      <c r="EHV3" s="784"/>
      <c r="EHW3" s="785"/>
      <c r="EHX3" s="786"/>
      <c r="EHY3" s="784"/>
      <c r="EHZ3" s="784"/>
      <c r="EIA3" s="784"/>
      <c r="EIB3" s="784"/>
      <c r="EIC3" s="784"/>
      <c r="EID3" s="784"/>
      <c r="EIE3" s="784"/>
      <c r="EIF3" s="784"/>
      <c r="EIG3" s="784"/>
      <c r="EIH3" s="784"/>
      <c r="EII3" s="784"/>
      <c r="EIJ3" s="784"/>
      <c r="EIK3" s="784"/>
      <c r="EIL3" s="785"/>
      <c r="EIM3" s="786"/>
      <c r="EIN3" s="784"/>
      <c r="EIO3" s="784"/>
      <c r="EIP3" s="784"/>
      <c r="EIQ3" s="784"/>
      <c r="EIR3" s="784"/>
      <c r="EIS3" s="784"/>
      <c r="EIT3" s="784"/>
      <c r="EIU3" s="784"/>
      <c r="EIV3" s="784"/>
      <c r="EIW3" s="784"/>
      <c r="EIX3" s="784"/>
      <c r="EIY3" s="784"/>
      <c r="EIZ3" s="784"/>
      <c r="EJA3" s="785"/>
      <c r="EJB3" s="786"/>
      <c r="EJC3" s="784"/>
      <c r="EJD3" s="784"/>
      <c r="EJE3" s="784"/>
      <c r="EJF3" s="784"/>
      <c r="EJG3" s="784"/>
      <c r="EJH3" s="784"/>
      <c r="EJI3" s="784"/>
      <c r="EJJ3" s="784"/>
      <c r="EJK3" s="784"/>
      <c r="EJL3" s="784"/>
      <c r="EJM3" s="784"/>
      <c r="EJN3" s="784"/>
      <c r="EJO3" s="784"/>
      <c r="EJP3" s="785"/>
      <c r="EJQ3" s="786"/>
      <c r="EJR3" s="784"/>
      <c r="EJS3" s="784"/>
      <c r="EJT3" s="784"/>
      <c r="EJU3" s="784"/>
      <c r="EJV3" s="784"/>
      <c r="EJW3" s="784"/>
      <c r="EJX3" s="784"/>
      <c r="EJY3" s="784"/>
      <c r="EJZ3" s="784"/>
      <c r="EKA3" s="784"/>
      <c r="EKB3" s="784"/>
      <c r="EKC3" s="784"/>
      <c r="EKD3" s="784"/>
      <c r="EKE3" s="785"/>
      <c r="EKF3" s="786"/>
      <c r="EKG3" s="784"/>
      <c r="EKH3" s="784"/>
      <c r="EKI3" s="784"/>
      <c r="EKJ3" s="784"/>
      <c r="EKK3" s="784"/>
      <c r="EKL3" s="784"/>
      <c r="EKM3" s="784"/>
      <c r="EKN3" s="784"/>
      <c r="EKO3" s="784"/>
      <c r="EKP3" s="784"/>
      <c r="EKQ3" s="784"/>
      <c r="EKR3" s="784"/>
      <c r="EKS3" s="784"/>
      <c r="EKT3" s="785"/>
      <c r="EKU3" s="786"/>
      <c r="EKV3" s="784"/>
      <c r="EKW3" s="784"/>
      <c r="EKX3" s="784"/>
      <c r="EKY3" s="784"/>
      <c r="EKZ3" s="784"/>
      <c r="ELA3" s="784"/>
      <c r="ELB3" s="784"/>
      <c r="ELC3" s="784"/>
      <c r="ELD3" s="784"/>
      <c r="ELE3" s="784"/>
      <c r="ELF3" s="784"/>
      <c r="ELG3" s="784"/>
      <c r="ELH3" s="784"/>
      <c r="ELI3" s="785"/>
      <c r="ELJ3" s="786"/>
      <c r="ELK3" s="784"/>
      <c r="ELL3" s="784"/>
      <c r="ELM3" s="784"/>
      <c r="ELN3" s="784"/>
      <c r="ELO3" s="784"/>
      <c r="ELP3" s="784"/>
      <c r="ELQ3" s="784"/>
      <c r="ELR3" s="784"/>
      <c r="ELS3" s="784"/>
      <c r="ELT3" s="784"/>
      <c r="ELU3" s="784"/>
      <c r="ELV3" s="784"/>
      <c r="ELW3" s="784"/>
      <c r="ELX3" s="785"/>
      <c r="ELY3" s="786"/>
      <c r="ELZ3" s="784"/>
      <c r="EMA3" s="784"/>
      <c r="EMB3" s="784"/>
      <c r="EMC3" s="784"/>
      <c r="EMD3" s="784"/>
      <c r="EME3" s="784"/>
      <c r="EMF3" s="784"/>
      <c r="EMG3" s="784"/>
      <c r="EMH3" s="784"/>
      <c r="EMI3" s="784"/>
      <c r="EMJ3" s="784"/>
      <c r="EMK3" s="784"/>
      <c r="EML3" s="784"/>
      <c r="EMM3" s="785"/>
      <c r="EMN3" s="786"/>
      <c r="EMO3" s="784"/>
      <c r="EMP3" s="784"/>
      <c r="EMQ3" s="784"/>
      <c r="EMR3" s="784"/>
      <c r="EMS3" s="784"/>
      <c r="EMT3" s="784"/>
      <c r="EMU3" s="784"/>
      <c r="EMV3" s="784"/>
      <c r="EMW3" s="784"/>
      <c r="EMX3" s="784"/>
      <c r="EMY3" s="784"/>
      <c r="EMZ3" s="784"/>
      <c r="ENA3" s="784"/>
      <c r="ENB3" s="785"/>
      <c r="ENC3" s="786"/>
      <c r="END3" s="784"/>
      <c r="ENE3" s="784"/>
      <c r="ENF3" s="784"/>
      <c r="ENG3" s="784"/>
      <c r="ENH3" s="784"/>
      <c r="ENI3" s="784"/>
      <c r="ENJ3" s="784"/>
      <c r="ENK3" s="784"/>
      <c r="ENL3" s="784"/>
      <c r="ENM3" s="784"/>
      <c r="ENN3" s="784"/>
      <c r="ENO3" s="784"/>
      <c r="ENP3" s="784"/>
      <c r="ENQ3" s="785"/>
      <c r="ENR3" s="786"/>
      <c r="ENS3" s="784"/>
      <c r="ENT3" s="784"/>
      <c r="ENU3" s="784"/>
      <c r="ENV3" s="784"/>
      <c r="ENW3" s="784"/>
      <c r="ENX3" s="784"/>
      <c r="ENY3" s="784"/>
      <c r="ENZ3" s="784"/>
      <c r="EOA3" s="784"/>
      <c r="EOB3" s="784"/>
      <c r="EOC3" s="784"/>
      <c r="EOD3" s="784"/>
      <c r="EOE3" s="784"/>
      <c r="EOF3" s="785"/>
      <c r="EOG3" s="786"/>
      <c r="EOH3" s="784"/>
      <c r="EOI3" s="784"/>
      <c r="EOJ3" s="784"/>
      <c r="EOK3" s="784"/>
      <c r="EOL3" s="784"/>
      <c r="EOM3" s="784"/>
      <c r="EON3" s="784"/>
      <c r="EOO3" s="784"/>
      <c r="EOP3" s="784"/>
      <c r="EOQ3" s="784"/>
      <c r="EOR3" s="784"/>
      <c r="EOS3" s="784"/>
      <c r="EOT3" s="784"/>
      <c r="EOU3" s="785"/>
      <c r="EOV3" s="786"/>
      <c r="EOW3" s="784"/>
      <c r="EOX3" s="784"/>
      <c r="EOY3" s="784"/>
      <c r="EOZ3" s="784"/>
      <c r="EPA3" s="784"/>
      <c r="EPB3" s="784"/>
      <c r="EPC3" s="784"/>
      <c r="EPD3" s="784"/>
      <c r="EPE3" s="784"/>
      <c r="EPF3" s="784"/>
      <c r="EPG3" s="784"/>
      <c r="EPH3" s="784"/>
      <c r="EPI3" s="784"/>
      <c r="EPJ3" s="785"/>
      <c r="EPK3" s="786"/>
      <c r="EPL3" s="784"/>
      <c r="EPM3" s="784"/>
      <c r="EPN3" s="784"/>
      <c r="EPO3" s="784"/>
      <c r="EPP3" s="784"/>
      <c r="EPQ3" s="784"/>
      <c r="EPR3" s="784"/>
      <c r="EPS3" s="784"/>
      <c r="EPT3" s="784"/>
      <c r="EPU3" s="784"/>
      <c r="EPV3" s="784"/>
      <c r="EPW3" s="784"/>
      <c r="EPX3" s="784"/>
      <c r="EPY3" s="785"/>
      <c r="EPZ3" s="786"/>
      <c r="EQA3" s="784"/>
      <c r="EQB3" s="784"/>
      <c r="EQC3" s="784"/>
      <c r="EQD3" s="784"/>
      <c r="EQE3" s="784"/>
      <c r="EQF3" s="784"/>
      <c r="EQG3" s="784"/>
      <c r="EQH3" s="784"/>
      <c r="EQI3" s="784"/>
      <c r="EQJ3" s="784"/>
      <c r="EQK3" s="784"/>
      <c r="EQL3" s="784"/>
      <c r="EQM3" s="784"/>
      <c r="EQN3" s="785"/>
      <c r="EQO3" s="786"/>
      <c r="EQP3" s="784"/>
      <c r="EQQ3" s="784"/>
      <c r="EQR3" s="784"/>
      <c r="EQS3" s="784"/>
      <c r="EQT3" s="784"/>
      <c r="EQU3" s="784"/>
      <c r="EQV3" s="784"/>
      <c r="EQW3" s="784"/>
      <c r="EQX3" s="784"/>
      <c r="EQY3" s="784"/>
      <c r="EQZ3" s="784"/>
      <c r="ERA3" s="784"/>
      <c r="ERB3" s="784"/>
      <c r="ERC3" s="785"/>
      <c r="ERD3" s="786"/>
      <c r="ERE3" s="784"/>
      <c r="ERF3" s="784"/>
      <c r="ERG3" s="784"/>
      <c r="ERH3" s="784"/>
      <c r="ERI3" s="784"/>
      <c r="ERJ3" s="784"/>
      <c r="ERK3" s="784"/>
      <c r="ERL3" s="784"/>
      <c r="ERM3" s="784"/>
      <c r="ERN3" s="784"/>
      <c r="ERO3" s="784"/>
      <c r="ERP3" s="784"/>
      <c r="ERQ3" s="784"/>
      <c r="ERR3" s="785"/>
      <c r="ERS3" s="786"/>
      <c r="ERT3" s="784"/>
      <c r="ERU3" s="784"/>
      <c r="ERV3" s="784"/>
      <c r="ERW3" s="784"/>
      <c r="ERX3" s="784"/>
      <c r="ERY3" s="784"/>
      <c r="ERZ3" s="784"/>
      <c r="ESA3" s="784"/>
      <c r="ESB3" s="784"/>
      <c r="ESC3" s="784"/>
      <c r="ESD3" s="784"/>
      <c r="ESE3" s="784"/>
      <c r="ESF3" s="784"/>
      <c r="ESG3" s="785"/>
      <c r="ESH3" s="786"/>
      <c r="ESI3" s="784"/>
      <c r="ESJ3" s="784"/>
      <c r="ESK3" s="784"/>
      <c r="ESL3" s="784"/>
      <c r="ESM3" s="784"/>
      <c r="ESN3" s="784"/>
      <c r="ESO3" s="784"/>
      <c r="ESP3" s="784"/>
      <c r="ESQ3" s="784"/>
      <c r="ESR3" s="784"/>
      <c r="ESS3" s="784"/>
      <c r="EST3" s="784"/>
      <c r="ESU3" s="784"/>
      <c r="ESV3" s="785"/>
      <c r="ESW3" s="786"/>
      <c r="ESX3" s="784"/>
      <c r="ESY3" s="784"/>
      <c r="ESZ3" s="784"/>
      <c r="ETA3" s="784"/>
      <c r="ETB3" s="784"/>
      <c r="ETC3" s="784"/>
      <c r="ETD3" s="784"/>
      <c r="ETE3" s="784"/>
      <c r="ETF3" s="784"/>
      <c r="ETG3" s="784"/>
      <c r="ETH3" s="784"/>
      <c r="ETI3" s="784"/>
      <c r="ETJ3" s="784"/>
      <c r="ETK3" s="785"/>
      <c r="ETL3" s="786"/>
      <c r="ETM3" s="784"/>
      <c r="ETN3" s="784"/>
      <c r="ETO3" s="784"/>
      <c r="ETP3" s="784"/>
      <c r="ETQ3" s="784"/>
      <c r="ETR3" s="784"/>
      <c r="ETS3" s="784"/>
      <c r="ETT3" s="784"/>
      <c r="ETU3" s="784"/>
      <c r="ETV3" s="784"/>
      <c r="ETW3" s="784"/>
      <c r="ETX3" s="784"/>
      <c r="ETY3" s="784"/>
      <c r="ETZ3" s="785"/>
      <c r="EUA3" s="786"/>
      <c r="EUB3" s="784"/>
      <c r="EUC3" s="784"/>
      <c r="EUD3" s="784"/>
      <c r="EUE3" s="784"/>
      <c r="EUF3" s="784"/>
      <c r="EUG3" s="784"/>
      <c r="EUH3" s="784"/>
      <c r="EUI3" s="784"/>
      <c r="EUJ3" s="784"/>
      <c r="EUK3" s="784"/>
      <c r="EUL3" s="784"/>
      <c r="EUM3" s="784"/>
      <c r="EUN3" s="784"/>
      <c r="EUO3" s="785"/>
      <c r="EUP3" s="786"/>
      <c r="EUQ3" s="784"/>
      <c r="EUR3" s="784"/>
      <c r="EUS3" s="784"/>
      <c r="EUT3" s="784"/>
      <c r="EUU3" s="784"/>
      <c r="EUV3" s="784"/>
      <c r="EUW3" s="784"/>
      <c r="EUX3" s="784"/>
      <c r="EUY3" s="784"/>
      <c r="EUZ3" s="784"/>
      <c r="EVA3" s="784"/>
      <c r="EVB3" s="784"/>
      <c r="EVC3" s="784"/>
      <c r="EVD3" s="785"/>
      <c r="EVE3" s="786"/>
      <c r="EVF3" s="784"/>
      <c r="EVG3" s="784"/>
      <c r="EVH3" s="784"/>
      <c r="EVI3" s="784"/>
      <c r="EVJ3" s="784"/>
      <c r="EVK3" s="784"/>
      <c r="EVL3" s="784"/>
      <c r="EVM3" s="784"/>
      <c r="EVN3" s="784"/>
      <c r="EVO3" s="784"/>
      <c r="EVP3" s="784"/>
      <c r="EVQ3" s="784"/>
      <c r="EVR3" s="784"/>
      <c r="EVS3" s="785"/>
      <c r="EVT3" s="786"/>
      <c r="EVU3" s="784"/>
      <c r="EVV3" s="784"/>
      <c r="EVW3" s="784"/>
      <c r="EVX3" s="784"/>
      <c r="EVY3" s="784"/>
      <c r="EVZ3" s="784"/>
      <c r="EWA3" s="784"/>
      <c r="EWB3" s="784"/>
      <c r="EWC3" s="784"/>
      <c r="EWD3" s="784"/>
      <c r="EWE3" s="784"/>
      <c r="EWF3" s="784"/>
      <c r="EWG3" s="784"/>
      <c r="EWH3" s="785"/>
      <c r="EWI3" s="786"/>
      <c r="EWJ3" s="784"/>
      <c r="EWK3" s="784"/>
      <c r="EWL3" s="784"/>
      <c r="EWM3" s="784"/>
      <c r="EWN3" s="784"/>
      <c r="EWO3" s="784"/>
      <c r="EWP3" s="784"/>
      <c r="EWQ3" s="784"/>
      <c r="EWR3" s="784"/>
      <c r="EWS3" s="784"/>
      <c r="EWT3" s="784"/>
      <c r="EWU3" s="784"/>
      <c r="EWV3" s="784"/>
      <c r="EWW3" s="785"/>
      <c r="EWX3" s="786"/>
      <c r="EWY3" s="784"/>
      <c r="EWZ3" s="784"/>
      <c r="EXA3" s="784"/>
      <c r="EXB3" s="784"/>
      <c r="EXC3" s="784"/>
      <c r="EXD3" s="784"/>
      <c r="EXE3" s="784"/>
      <c r="EXF3" s="784"/>
      <c r="EXG3" s="784"/>
      <c r="EXH3" s="784"/>
      <c r="EXI3" s="784"/>
      <c r="EXJ3" s="784"/>
      <c r="EXK3" s="784"/>
      <c r="EXL3" s="785"/>
      <c r="EXM3" s="786"/>
      <c r="EXN3" s="784"/>
      <c r="EXO3" s="784"/>
      <c r="EXP3" s="784"/>
      <c r="EXQ3" s="784"/>
      <c r="EXR3" s="784"/>
      <c r="EXS3" s="784"/>
      <c r="EXT3" s="784"/>
      <c r="EXU3" s="784"/>
      <c r="EXV3" s="784"/>
      <c r="EXW3" s="784"/>
      <c r="EXX3" s="784"/>
      <c r="EXY3" s="784"/>
      <c r="EXZ3" s="784"/>
      <c r="EYA3" s="785"/>
      <c r="EYB3" s="786"/>
      <c r="EYC3" s="784"/>
      <c r="EYD3" s="784"/>
      <c r="EYE3" s="784"/>
      <c r="EYF3" s="784"/>
      <c r="EYG3" s="784"/>
      <c r="EYH3" s="784"/>
      <c r="EYI3" s="784"/>
      <c r="EYJ3" s="784"/>
      <c r="EYK3" s="784"/>
      <c r="EYL3" s="784"/>
      <c r="EYM3" s="784"/>
      <c r="EYN3" s="784"/>
      <c r="EYO3" s="784"/>
      <c r="EYP3" s="785"/>
      <c r="EYQ3" s="786"/>
      <c r="EYR3" s="784"/>
      <c r="EYS3" s="784"/>
      <c r="EYT3" s="784"/>
      <c r="EYU3" s="784"/>
      <c r="EYV3" s="784"/>
      <c r="EYW3" s="784"/>
      <c r="EYX3" s="784"/>
      <c r="EYY3" s="784"/>
      <c r="EYZ3" s="784"/>
      <c r="EZA3" s="784"/>
      <c r="EZB3" s="784"/>
      <c r="EZC3" s="784"/>
      <c r="EZD3" s="784"/>
      <c r="EZE3" s="785"/>
      <c r="EZF3" s="786"/>
      <c r="EZG3" s="784"/>
      <c r="EZH3" s="784"/>
      <c r="EZI3" s="784"/>
      <c r="EZJ3" s="784"/>
      <c r="EZK3" s="784"/>
      <c r="EZL3" s="784"/>
      <c r="EZM3" s="784"/>
      <c r="EZN3" s="784"/>
      <c r="EZO3" s="784"/>
      <c r="EZP3" s="784"/>
      <c r="EZQ3" s="784"/>
      <c r="EZR3" s="784"/>
      <c r="EZS3" s="784"/>
      <c r="EZT3" s="785"/>
      <c r="EZU3" s="786"/>
      <c r="EZV3" s="784"/>
      <c r="EZW3" s="784"/>
      <c r="EZX3" s="784"/>
      <c r="EZY3" s="784"/>
      <c r="EZZ3" s="784"/>
      <c r="FAA3" s="784"/>
      <c r="FAB3" s="784"/>
      <c r="FAC3" s="784"/>
      <c r="FAD3" s="784"/>
      <c r="FAE3" s="784"/>
      <c r="FAF3" s="784"/>
      <c r="FAG3" s="784"/>
      <c r="FAH3" s="784"/>
      <c r="FAI3" s="785"/>
      <c r="FAJ3" s="786"/>
      <c r="FAK3" s="784"/>
      <c r="FAL3" s="784"/>
      <c r="FAM3" s="784"/>
      <c r="FAN3" s="784"/>
      <c r="FAO3" s="784"/>
      <c r="FAP3" s="784"/>
      <c r="FAQ3" s="784"/>
      <c r="FAR3" s="784"/>
      <c r="FAS3" s="784"/>
      <c r="FAT3" s="784"/>
      <c r="FAU3" s="784"/>
      <c r="FAV3" s="784"/>
      <c r="FAW3" s="784"/>
      <c r="FAX3" s="785"/>
      <c r="FAY3" s="786"/>
      <c r="FAZ3" s="784"/>
      <c r="FBA3" s="784"/>
      <c r="FBB3" s="784"/>
      <c r="FBC3" s="784"/>
      <c r="FBD3" s="784"/>
      <c r="FBE3" s="784"/>
      <c r="FBF3" s="784"/>
      <c r="FBG3" s="784"/>
      <c r="FBH3" s="784"/>
      <c r="FBI3" s="784"/>
      <c r="FBJ3" s="784"/>
      <c r="FBK3" s="784"/>
      <c r="FBL3" s="784"/>
      <c r="FBM3" s="785"/>
      <c r="FBN3" s="786"/>
      <c r="FBO3" s="784"/>
      <c r="FBP3" s="784"/>
      <c r="FBQ3" s="784"/>
      <c r="FBR3" s="784"/>
      <c r="FBS3" s="784"/>
      <c r="FBT3" s="784"/>
      <c r="FBU3" s="784"/>
      <c r="FBV3" s="784"/>
      <c r="FBW3" s="784"/>
      <c r="FBX3" s="784"/>
      <c r="FBY3" s="784"/>
      <c r="FBZ3" s="784"/>
      <c r="FCA3" s="784"/>
      <c r="FCB3" s="785"/>
      <c r="FCC3" s="786"/>
      <c r="FCD3" s="784"/>
      <c r="FCE3" s="784"/>
      <c r="FCF3" s="784"/>
      <c r="FCG3" s="784"/>
      <c r="FCH3" s="784"/>
      <c r="FCI3" s="784"/>
      <c r="FCJ3" s="784"/>
      <c r="FCK3" s="784"/>
      <c r="FCL3" s="784"/>
      <c r="FCM3" s="784"/>
      <c r="FCN3" s="784"/>
      <c r="FCO3" s="784"/>
      <c r="FCP3" s="784"/>
      <c r="FCQ3" s="785"/>
      <c r="FCR3" s="786"/>
      <c r="FCS3" s="784"/>
      <c r="FCT3" s="784"/>
      <c r="FCU3" s="784"/>
      <c r="FCV3" s="784"/>
      <c r="FCW3" s="784"/>
      <c r="FCX3" s="784"/>
      <c r="FCY3" s="784"/>
      <c r="FCZ3" s="784"/>
      <c r="FDA3" s="784"/>
      <c r="FDB3" s="784"/>
      <c r="FDC3" s="784"/>
      <c r="FDD3" s="784"/>
      <c r="FDE3" s="784"/>
      <c r="FDF3" s="785"/>
      <c r="FDG3" s="786"/>
      <c r="FDH3" s="784"/>
      <c r="FDI3" s="784"/>
      <c r="FDJ3" s="784"/>
      <c r="FDK3" s="784"/>
      <c r="FDL3" s="784"/>
      <c r="FDM3" s="784"/>
      <c r="FDN3" s="784"/>
      <c r="FDO3" s="784"/>
      <c r="FDP3" s="784"/>
      <c r="FDQ3" s="784"/>
      <c r="FDR3" s="784"/>
      <c r="FDS3" s="784"/>
      <c r="FDT3" s="784"/>
      <c r="FDU3" s="785"/>
      <c r="FDV3" s="786"/>
      <c r="FDW3" s="784"/>
      <c r="FDX3" s="784"/>
      <c r="FDY3" s="784"/>
      <c r="FDZ3" s="784"/>
      <c r="FEA3" s="784"/>
      <c r="FEB3" s="784"/>
      <c r="FEC3" s="784"/>
      <c r="FED3" s="784"/>
      <c r="FEE3" s="784"/>
      <c r="FEF3" s="784"/>
      <c r="FEG3" s="784"/>
      <c r="FEH3" s="784"/>
      <c r="FEI3" s="784"/>
      <c r="FEJ3" s="785"/>
      <c r="FEK3" s="786"/>
      <c r="FEL3" s="784"/>
      <c r="FEM3" s="784"/>
      <c r="FEN3" s="784"/>
      <c r="FEO3" s="784"/>
      <c r="FEP3" s="784"/>
      <c r="FEQ3" s="784"/>
      <c r="FER3" s="784"/>
      <c r="FES3" s="784"/>
      <c r="FET3" s="784"/>
      <c r="FEU3" s="784"/>
      <c r="FEV3" s="784"/>
      <c r="FEW3" s="784"/>
      <c r="FEX3" s="784"/>
      <c r="FEY3" s="785"/>
      <c r="FEZ3" s="786"/>
      <c r="FFA3" s="784"/>
      <c r="FFB3" s="784"/>
      <c r="FFC3" s="784"/>
      <c r="FFD3" s="784"/>
      <c r="FFE3" s="784"/>
      <c r="FFF3" s="784"/>
      <c r="FFG3" s="784"/>
      <c r="FFH3" s="784"/>
      <c r="FFI3" s="784"/>
      <c r="FFJ3" s="784"/>
      <c r="FFK3" s="784"/>
      <c r="FFL3" s="784"/>
      <c r="FFM3" s="784"/>
      <c r="FFN3" s="785"/>
      <c r="FFO3" s="786"/>
      <c r="FFP3" s="784"/>
      <c r="FFQ3" s="784"/>
      <c r="FFR3" s="784"/>
      <c r="FFS3" s="784"/>
      <c r="FFT3" s="784"/>
      <c r="FFU3" s="784"/>
      <c r="FFV3" s="784"/>
      <c r="FFW3" s="784"/>
      <c r="FFX3" s="784"/>
      <c r="FFY3" s="784"/>
      <c r="FFZ3" s="784"/>
      <c r="FGA3" s="784"/>
      <c r="FGB3" s="784"/>
      <c r="FGC3" s="785"/>
      <c r="FGD3" s="786"/>
      <c r="FGE3" s="784"/>
      <c r="FGF3" s="784"/>
      <c r="FGG3" s="784"/>
      <c r="FGH3" s="784"/>
      <c r="FGI3" s="784"/>
      <c r="FGJ3" s="784"/>
      <c r="FGK3" s="784"/>
      <c r="FGL3" s="784"/>
      <c r="FGM3" s="784"/>
      <c r="FGN3" s="784"/>
      <c r="FGO3" s="784"/>
      <c r="FGP3" s="784"/>
      <c r="FGQ3" s="784"/>
      <c r="FGR3" s="785"/>
      <c r="FGS3" s="786"/>
      <c r="FGT3" s="784"/>
      <c r="FGU3" s="784"/>
      <c r="FGV3" s="784"/>
      <c r="FGW3" s="784"/>
      <c r="FGX3" s="784"/>
      <c r="FGY3" s="784"/>
      <c r="FGZ3" s="784"/>
      <c r="FHA3" s="784"/>
      <c r="FHB3" s="784"/>
      <c r="FHC3" s="784"/>
      <c r="FHD3" s="784"/>
      <c r="FHE3" s="784"/>
      <c r="FHF3" s="784"/>
      <c r="FHG3" s="785"/>
      <c r="FHH3" s="786"/>
      <c r="FHI3" s="784"/>
      <c r="FHJ3" s="784"/>
      <c r="FHK3" s="784"/>
      <c r="FHL3" s="784"/>
      <c r="FHM3" s="784"/>
      <c r="FHN3" s="784"/>
      <c r="FHO3" s="784"/>
      <c r="FHP3" s="784"/>
      <c r="FHQ3" s="784"/>
      <c r="FHR3" s="784"/>
      <c r="FHS3" s="784"/>
      <c r="FHT3" s="784"/>
      <c r="FHU3" s="784"/>
      <c r="FHV3" s="785"/>
      <c r="FHW3" s="786"/>
      <c r="FHX3" s="784"/>
      <c r="FHY3" s="784"/>
      <c r="FHZ3" s="784"/>
      <c r="FIA3" s="784"/>
      <c r="FIB3" s="784"/>
      <c r="FIC3" s="784"/>
      <c r="FID3" s="784"/>
      <c r="FIE3" s="784"/>
      <c r="FIF3" s="784"/>
      <c r="FIG3" s="784"/>
      <c r="FIH3" s="784"/>
      <c r="FII3" s="784"/>
      <c r="FIJ3" s="784"/>
      <c r="FIK3" s="785"/>
      <c r="FIL3" s="786"/>
      <c r="FIM3" s="784"/>
      <c r="FIN3" s="784"/>
      <c r="FIO3" s="784"/>
      <c r="FIP3" s="784"/>
      <c r="FIQ3" s="784"/>
      <c r="FIR3" s="784"/>
      <c r="FIS3" s="784"/>
      <c r="FIT3" s="784"/>
      <c r="FIU3" s="784"/>
      <c r="FIV3" s="784"/>
      <c r="FIW3" s="784"/>
      <c r="FIX3" s="784"/>
      <c r="FIY3" s="784"/>
      <c r="FIZ3" s="785"/>
      <c r="FJA3" s="786"/>
      <c r="FJB3" s="784"/>
      <c r="FJC3" s="784"/>
      <c r="FJD3" s="784"/>
      <c r="FJE3" s="784"/>
      <c r="FJF3" s="784"/>
      <c r="FJG3" s="784"/>
      <c r="FJH3" s="784"/>
      <c r="FJI3" s="784"/>
      <c r="FJJ3" s="784"/>
      <c r="FJK3" s="784"/>
      <c r="FJL3" s="784"/>
      <c r="FJM3" s="784"/>
      <c r="FJN3" s="784"/>
      <c r="FJO3" s="785"/>
      <c r="FJP3" s="786"/>
      <c r="FJQ3" s="784"/>
      <c r="FJR3" s="784"/>
      <c r="FJS3" s="784"/>
      <c r="FJT3" s="784"/>
      <c r="FJU3" s="784"/>
      <c r="FJV3" s="784"/>
      <c r="FJW3" s="784"/>
      <c r="FJX3" s="784"/>
      <c r="FJY3" s="784"/>
      <c r="FJZ3" s="784"/>
      <c r="FKA3" s="784"/>
      <c r="FKB3" s="784"/>
      <c r="FKC3" s="784"/>
      <c r="FKD3" s="785"/>
      <c r="FKE3" s="786"/>
      <c r="FKF3" s="784"/>
      <c r="FKG3" s="784"/>
      <c r="FKH3" s="784"/>
      <c r="FKI3" s="784"/>
      <c r="FKJ3" s="784"/>
      <c r="FKK3" s="784"/>
      <c r="FKL3" s="784"/>
      <c r="FKM3" s="784"/>
      <c r="FKN3" s="784"/>
      <c r="FKO3" s="784"/>
      <c r="FKP3" s="784"/>
      <c r="FKQ3" s="784"/>
      <c r="FKR3" s="784"/>
      <c r="FKS3" s="785"/>
      <c r="FKT3" s="786"/>
      <c r="FKU3" s="784"/>
      <c r="FKV3" s="784"/>
      <c r="FKW3" s="784"/>
      <c r="FKX3" s="784"/>
      <c r="FKY3" s="784"/>
      <c r="FKZ3" s="784"/>
      <c r="FLA3" s="784"/>
      <c r="FLB3" s="784"/>
      <c r="FLC3" s="784"/>
      <c r="FLD3" s="784"/>
      <c r="FLE3" s="784"/>
      <c r="FLF3" s="784"/>
      <c r="FLG3" s="784"/>
      <c r="FLH3" s="785"/>
      <c r="FLI3" s="786"/>
      <c r="FLJ3" s="784"/>
      <c r="FLK3" s="784"/>
      <c r="FLL3" s="784"/>
      <c r="FLM3" s="784"/>
      <c r="FLN3" s="784"/>
      <c r="FLO3" s="784"/>
      <c r="FLP3" s="784"/>
      <c r="FLQ3" s="784"/>
      <c r="FLR3" s="784"/>
      <c r="FLS3" s="784"/>
      <c r="FLT3" s="784"/>
      <c r="FLU3" s="784"/>
      <c r="FLV3" s="784"/>
      <c r="FLW3" s="785"/>
      <c r="FLX3" s="786"/>
      <c r="FLY3" s="784"/>
      <c r="FLZ3" s="784"/>
      <c r="FMA3" s="784"/>
      <c r="FMB3" s="784"/>
      <c r="FMC3" s="784"/>
      <c r="FMD3" s="784"/>
      <c r="FME3" s="784"/>
      <c r="FMF3" s="784"/>
      <c r="FMG3" s="784"/>
      <c r="FMH3" s="784"/>
      <c r="FMI3" s="784"/>
      <c r="FMJ3" s="784"/>
      <c r="FMK3" s="784"/>
      <c r="FML3" s="785"/>
      <c r="FMM3" s="786"/>
      <c r="FMN3" s="784"/>
      <c r="FMO3" s="784"/>
      <c r="FMP3" s="784"/>
      <c r="FMQ3" s="784"/>
      <c r="FMR3" s="784"/>
      <c r="FMS3" s="784"/>
      <c r="FMT3" s="784"/>
      <c r="FMU3" s="784"/>
      <c r="FMV3" s="784"/>
      <c r="FMW3" s="784"/>
      <c r="FMX3" s="784"/>
      <c r="FMY3" s="784"/>
      <c r="FMZ3" s="784"/>
      <c r="FNA3" s="785"/>
      <c r="FNB3" s="786"/>
      <c r="FNC3" s="784"/>
      <c r="FND3" s="784"/>
      <c r="FNE3" s="784"/>
      <c r="FNF3" s="784"/>
      <c r="FNG3" s="784"/>
      <c r="FNH3" s="784"/>
      <c r="FNI3" s="784"/>
      <c r="FNJ3" s="784"/>
      <c r="FNK3" s="784"/>
      <c r="FNL3" s="784"/>
      <c r="FNM3" s="784"/>
      <c r="FNN3" s="784"/>
      <c r="FNO3" s="784"/>
      <c r="FNP3" s="785"/>
      <c r="FNQ3" s="786"/>
      <c r="FNR3" s="784"/>
      <c r="FNS3" s="784"/>
      <c r="FNT3" s="784"/>
      <c r="FNU3" s="784"/>
      <c r="FNV3" s="784"/>
      <c r="FNW3" s="784"/>
      <c r="FNX3" s="784"/>
      <c r="FNY3" s="784"/>
      <c r="FNZ3" s="784"/>
      <c r="FOA3" s="784"/>
      <c r="FOB3" s="784"/>
      <c r="FOC3" s="784"/>
      <c r="FOD3" s="784"/>
      <c r="FOE3" s="785"/>
      <c r="FOF3" s="786"/>
      <c r="FOG3" s="784"/>
      <c r="FOH3" s="784"/>
      <c r="FOI3" s="784"/>
      <c r="FOJ3" s="784"/>
      <c r="FOK3" s="784"/>
      <c r="FOL3" s="784"/>
      <c r="FOM3" s="784"/>
      <c r="FON3" s="784"/>
      <c r="FOO3" s="784"/>
      <c r="FOP3" s="784"/>
      <c r="FOQ3" s="784"/>
      <c r="FOR3" s="784"/>
      <c r="FOS3" s="784"/>
      <c r="FOT3" s="785"/>
      <c r="FOU3" s="786"/>
      <c r="FOV3" s="784"/>
      <c r="FOW3" s="784"/>
      <c r="FOX3" s="784"/>
      <c r="FOY3" s="784"/>
      <c r="FOZ3" s="784"/>
      <c r="FPA3" s="784"/>
      <c r="FPB3" s="784"/>
      <c r="FPC3" s="784"/>
      <c r="FPD3" s="784"/>
      <c r="FPE3" s="784"/>
      <c r="FPF3" s="784"/>
      <c r="FPG3" s="784"/>
      <c r="FPH3" s="784"/>
      <c r="FPI3" s="785"/>
      <c r="FPJ3" s="786"/>
      <c r="FPK3" s="784"/>
      <c r="FPL3" s="784"/>
      <c r="FPM3" s="784"/>
      <c r="FPN3" s="784"/>
      <c r="FPO3" s="784"/>
      <c r="FPP3" s="784"/>
      <c r="FPQ3" s="784"/>
      <c r="FPR3" s="784"/>
      <c r="FPS3" s="784"/>
      <c r="FPT3" s="784"/>
      <c r="FPU3" s="784"/>
      <c r="FPV3" s="784"/>
      <c r="FPW3" s="784"/>
      <c r="FPX3" s="785"/>
      <c r="FPY3" s="786"/>
      <c r="FPZ3" s="784"/>
      <c r="FQA3" s="784"/>
      <c r="FQB3" s="784"/>
      <c r="FQC3" s="784"/>
      <c r="FQD3" s="784"/>
      <c r="FQE3" s="784"/>
      <c r="FQF3" s="784"/>
      <c r="FQG3" s="784"/>
      <c r="FQH3" s="784"/>
      <c r="FQI3" s="784"/>
      <c r="FQJ3" s="784"/>
      <c r="FQK3" s="784"/>
      <c r="FQL3" s="784"/>
      <c r="FQM3" s="785"/>
      <c r="FQN3" s="786"/>
      <c r="FQO3" s="784"/>
      <c r="FQP3" s="784"/>
      <c r="FQQ3" s="784"/>
      <c r="FQR3" s="784"/>
      <c r="FQS3" s="784"/>
      <c r="FQT3" s="784"/>
      <c r="FQU3" s="784"/>
      <c r="FQV3" s="784"/>
      <c r="FQW3" s="784"/>
      <c r="FQX3" s="784"/>
      <c r="FQY3" s="784"/>
      <c r="FQZ3" s="784"/>
      <c r="FRA3" s="784"/>
      <c r="FRB3" s="785"/>
      <c r="FRC3" s="786"/>
      <c r="FRD3" s="784"/>
      <c r="FRE3" s="784"/>
      <c r="FRF3" s="784"/>
      <c r="FRG3" s="784"/>
      <c r="FRH3" s="784"/>
      <c r="FRI3" s="784"/>
      <c r="FRJ3" s="784"/>
      <c r="FRK3" s="784"/>
      <c r="FRL3" s="784"/>
      <c r="FRM3" s="784"/>
      <c r="FRN3" s="784"/>
      <c r="FRO3" s="784"/>
      <c r="FRP3" s="784"/>
      <c r="FRQ3" s="785"/>
      <c r="FRR3" s="786"/>
      <c r="FRS3" s="784"/>
      <c r="FRT3" s="784"/>
      <c r="FRU3" s="784"/>
      <c r="FRV3" s="784"/>
      <c r="FRW3" s="784"/>
      <c r="FRX3" s="784"/>
      <c r="FRY3" s="784"/>
      <c r="FRZ3" s="784"/>
      <c r="FSA3" s="784"/>
      <c r="FSB3" s="784"/>
      <c r="FSC3" s="784"/>
      <c r="FSD3" s="784"/>
      <c r="FSE3" s="784"/>
      <c r="FSF3" s="785"/>
      <c r="FSG3" s="786"/>
      <c r="FSH3" s="784"/>
      <c r="FSI3" s="784"/>
      <c r="FSJ3" s="784"/>
      <c r="FSK3" s="784"/>
      <c r="FSL3" s="784"/>
      <c r="FSM3" s="784"/>
      <c r="FSN3" s="784"/>
      <c r="FSO3" s="784"/>
      <c r="FSP3" s="784"/>
      <c r="FSQ3" s="784"/>
      <c r="FSR3" s="784"/>
      <c r="FSS3" s="784"/>
      <c r="FST3" s="784"/>
      <c r="FSU3" s="785"/>
      <c r="FSV3" s="786"/>
      <c r="FSW3" s="784"/>
      <c r="FSX3" s="784"/>
      <c r="FSY3" s="784"/>
      <c r="FSZ3" s="784"/>
      <c r="FTA3" s="784"/>
      <c r="FTB3" s="784"/>
      <c r="FTC3" s="784"/>
      <c r="FTD3" s="784"/>
      <c r="FTE3" s="784"/>
      <c r="FTF3" s="784"/>
      <c r="FTG3" s="784"/>
      <c r="FTH3" s="784"/>
      <c r="FTI3" s="784"/>
      <c r="FTJ3" s="785"/>
      <c r="FTK3" s="786"/>
      <c r="FTL3" s="784"/>
      <c r="FTM3" s="784"/>
      <c r="FTN3" s="784"/>
      <c r="FTO3" s="784"/>
      <c r="FTP3" s="784"/>
      <c r="FTQ3" s="784"/>
      <c r="FTR3" s="784"/>
      <c r="FTS3" s="784"/>
      <c r="FTT3" s="784"/>
      <c r="FTU3" s="784"/>
      <c r="FTV3" s="784"/>
      <c r="FTW3" s="784"/>
      <c r="FTX3" s="784"/>
      <c r="FTY3" s="785"/>
      <c r="FTZ3" s="786"/>
      <c r="FUA3" s="784"/>
      <c r="FUB3" s="784"/>
      <c r="FUC3" s="784"/>
      <c r="FUD3" s="784"/>
      <c r="FUE3" s="784"/>
      <c r="FUF3" s="784"/>
      <c r="FUG3" s="784"/>
      <c r="FUH3" s="784"/>
      <c r="FUI3" s="784"/>
      <c r="FUJ3" s="784"/>
      <c r="FUK3" s="784"/>
      <c r="FUL3" s="784"/>
      <c r="FUM3" s="784"/>
      <c r="FUN3" s="785"/>
      <c r="FUO3" s="786"/>
      <c r="FUP3" s="784"/>
      <c r="FUQ3" s="784"/>
      <c r="FUR3" s="784"/>
      <c r="FUS3" s="784"/>
      <c r="FUT3" s="784"/>
      <c r="FUU3" s="784"/>
      <c r="FUV3" s="784"/>
      <c r="FUW3" s="784"/>
      <c r="FUX3" s="784"/>
      <c r="FUY3" s="784"/>
      <c r="FUZ3" s="784"/>
      <c r="FVA3" s="784"/>
      <c r="FVB3" s="784"/>
      <c r="FVC3" s="785"/>
      <c r="FVD3" s="786"/>
      <c r="FVE3" s="784"/>
      <c r="FVF3" s="784"/>
      <c r="FVG3" s="784"/>
      <c r="FVH3" s="784"/>
      <c r="FVI3" s="784"/>
      <c r="FVJ3" s="784"/>
      <c r="FVK3" s="784"/>
      <c r="FVL3" s="784"/>
      <c r="FVM3" s="784"/>
      <c r="FVN3" s="784"/>
      <c r="FVO3" s="784"/>
      <c r="FVP3" s="784"/>
      <c r="FVQ3" s="784"/>
      <c r="FVR3" s="785"/>
      <c r="FVS3" s="786"/>
      <c r="FVT3" s="784"/>
      <c r="FVU3" s="784"/>
      <c r="FVV3" s="784"/>
      <c r="FVW3" s="784"/>
      <c r="FVX3" s="784"/>
      <c r="FVY3" s="784"/>
      <c r="FVZ3" s="784"/>
      <c r="FWA3" s="784"/>
      <c r="FWB3" s="784"/>
      <c r="FWC3" s="784"/>
      <c r="FWD3" s="784"/>
      <c r="FWE3" s="784"/>
      <c r="FWF3" s="784"/>
      <c r="FWG3" s="785"/>
      <c r="FWH3" s="786"/>
      <c r="FWI3" s="784"/>
      <c r="FWJ3" s="784"/>
      <c r="FWK3" s="784"/>
      <c r="FWL3" s="784"/>
      <c r="FWM3" s="784"/>
      <c r="FWN3" s="784"/>
      <c r="FWO3" s="784"/>
      <c r="FWP3" s="784"/>
      <c r="FWQ3" s="784"/>
      <c r="FWR3" s="784"/>
      <c r="FWS3" s="784"/>
      <c r="FWT3" s="784"/>
      <c r="FWU3" s="784"/>
      <c r="FWV3" s="785"/>
      <c r="FWW3" s="786"/>
      <c r="FWX3" s="784"/>
      <c r="FWY3" s="784"/>
      <c r="FWZ3" s="784"/>
      <c r="FXA3" s="784"/>
      <c r="FXB3" s="784"/>
      <c r="FXC3" s="784"/>
      <c r="FXD3" s="784"/>
      <c r="FXE3" s="784"/>
      <c r="FXF3" s="784"/>
      <c r="FXG3" s="784"/>
      <c r="FXH3" s="784"/>
      <c r="FXI3" s="784"/>
      <c r="FXJ3" s="784"/>
      <c r="FXK3" s="785"/>
      <c r="FXL3" s="786"/>
      <c r="FXM3" s="784"/>
      <c r="FXN3" s="784"/>
      <c r="FXO3" s="784"/>
      <c r="FXP3" s="784"/>
      <c r="FXQ3" s="784"/>
      <c r="FXR3" s="784"/>
      <c r="FXS3" s="784"/>
      <c r="FXT3" s="784"/>
      <c r="FXU3" s="784"/>
      <c r="FXV3" s="784"/>
      <c r="FXW3" s="784"/>
      <c r="FXX3" s="784"/>
      <c r="FXY3" s="784"/>
      <c r="FXZ3" s="785"/>
      <c r="FYA3" s="786"/>
      <c r="FYB3" s="784"/>
      <c r="FYC3" s="784"/>
      <c r="FYD3" s="784"/>
      <c r="FYE3" s="784"/>
      <c r="FYF3" s="784"/>
      <c r="FYG3" s="784"/>
      <c r="FYH3" s="784"/>
      <c r="FYI3" s="784"/>
      <c r="FYJ3" s="784"/>
      <c r="FYK3" s="784"/>
      <c r="FYL3" s="784"/>
      <c r="FYM3" s="784"/>
      <c r="FYN3" s="784"/>
      <c r="FYO3" s="785"/>
      <c r="FYP3" s="786"/>
      <c r="FYQ3" s="784"/>
      <c r="FYR3" s="784"/>
      <c r="FYS3" s="784"/>
      <c r="FYT3" s="784"/>
      <c r="FYU3" s="784"/>
      <c r="FYV3" s="784"/>
      <c r="FYW3" s="784"/>
      <c r="FYX3" s="784"/>
      <c r="FYY3" s="784"/>
      <c r="FYZ3" s="784"/>
      <c r="FZA3" s="784"/>
      <c r="FZB3" s="784"/>
      <c r="FZC3" s="784"/>
      <c r="FZD3" s="785"/>
      <c r="FZE3" s="786"/>
      <c r="FZF3" s="784"/>
      <c r="FZG3" s="784"/>
      <c r="FZH3" s="784"/>
      <c r="FZI3" s="784"/>
      <c r="FZJ3" s="784"/>
      <c r="FZK3" s="784"/>
      <c r="FZL3" s="784"/>
      <c r="FZM3" s="784"/>
      <c r="FZN3" s="784"/>
      <c r="FZO3" s="784"/>
      <c r="FZP3" s="784"/>
      <c r="FZQ3" s="784"/>
      <c r="FZR3" s="784"/>
      <c r="FZS3" s="785"/>
      <c r="FZT3" s="786"/>
      <c r="FZU3" s="784"/>
      <c r="FZV3" s="784"/>
      <c r="FZW3" s="784"/>
      <c r="FZX3" s="784"/>
      <c r="FZY3" s="784"/>
      <c r="FZZ3" s="784"/>
      <c r="GAA3" s="784"/>
      <c r="GAB3" s="784"/>
      <c r="GAC3" s="784"/>
      <c r="GAD3" s="784"/>
      <c r="GAE3" s="784"/>
      <c r="GAF3" s="784"/>
      <c r="GAG3" s="784"/>
      <c r="GAH3" s="785"/>
      <c r="GAI3" s="786"/>
      <c r="GAJ3" s="784"/>
      <c r="GAK3" s="784"/>
      <c r="GAL3" s="784"/>
      <c r="GAM3" s="784"/>
      <c r="GAN3" s="784"/>
      <c r="GAO3" s="784"/>
      <c r="GAP3" s="784"/>
      <c r="GAQ3" s="784"/>
      <c r="GAR3" s="784"/>
      <c r="GAS3" s="784"/>
      <c r="GAT3" s="784"/>
      <c r="GAU3" s="784"/>
      <c r="GAV3" s="784"/>
      <c r="GAW3" s="785"/>
      <c r="GAX3" s="786"/>
      <c r="GAY3" s="784"/>
      <c r="GAZ3" s="784"/>
      <c r="GBA3" s="784"/>
      <c r="GBB3" s="784"/>
      <c r="GBC3" s="784"/>
      <c r="GBD3" s="784"/>
      <c r="GBE3" s="784"/>
      <c r="GBF3" s="784"/>
      <c r="GBG3" s="784"/>
      <c r="GBH3" s="784"/>
      <c r="GBI3" s="784"/>
      <c r="GBJ3" s="784"/>
      <c r="GBK3" s="784"/>
      <c r="GBL3" s="785"/>
      <c r="GBM3" s="786"/>
      <c r="GBN3" s="784"/>
      <c r="GBO3" s="784"/>
      <c r="GBP3" s="784"/>
      <c r="GBQ3" s="784"/>
      <c r="GBR3" s="784"/>
      <c r="GBS3" s="784"/>
      <c r="GBT3" s="784"/>
      <c r="GBU3" s="784"/>
      <c r="GBV3" s="784"/>
      <c r="GBW3" s="784"/>
      <c r="GBX3" s="784"/>
      <c r="GBY3" s="784"/>
      <c r="GBZ3" s="784"/>
      <c r="GCA3" s="785"/>
      <c r="GCB3" s="786"/>
      <c r="GCC3" s="784"/>
      <c r="GCD3" s="784"/>
      <c r="GCE3" s="784"/>
      <c r="GCF3" s="784"/>
      <c r="GCG3" s="784"/>
      <c r="GCH3" s="784"/>
      <c r="GCI3" s="784"/>
      <c r="GCJ3" s="784"/>
      <c r="GCK3" s="784"/>
      <c r="GCL3" s="784"/>
      <c r="GCM3" s="784"/>
      <c r="GCN3" s="784"/>
      <c r="GCO3" s="784"/>
      <c r="GCP3" s="785"/>
      <c r="GCQ3" s="786"/>
      <c r="GCR3" s="784"/>
      <c r="GCS3" s="784"/>
      <c r="GCT3" s="784"/>
      <c r="GCU3" s="784"/>
      <c r="GCV3" s="784"/>
      <c r="GCW3" s="784"/>
      <c r="GCX3" s="784"/>
      <c r="GCY3" s="784"/>
      <c r="GCZ3" s="784"/>
      <c r="GDA3" s="784"/>
      <c r="GDB3" s="784"/>
      <c r="GDC3" s="784"/>
      <c r="GDD3" s="784"/>
      <c r="GDE3" s="785"/>
      <c r="GDF3" s="786"/>
      <c r="GDG3" s="784"/>
      <c r="GDH3" s="784"/>
      <c r="GDI3" s="784"/>
      <c r="GDJ3" s="784"/>
      <c r="GDK3" s="784"/>
      <c r="GDL3" s="784"/>
      <c r="GDM3" s="784"/>
      <c r="GDN3" s="784"/>
      <c r="GDO3" s="784"/>
      <c r="GDP3" s="784"/>
      <c r="GDQ3" s="784"/>
      <c r="GDR3" s="784"/>
      <c r="GDS3" s="784"/>
      <c r="GDT3" s="785"/>
      <c r="GDU3" s="786"/>
      <c r="GDV3" s="784"/>
      <c r="GDW3" s="784"/>
      <c r="GDX3" s="784"/>
      <c r="GDY3" s="784"/>
      <c r="GDZ3" s="784"/>
      <c r="GEA3" s="784"/>
      <c r="GEB3" s="784"/>
      <c r="GEC3" s="784"/>
      <c r="GED3" s="784"/>
      <c r="GEE3" s="784"/>
      <c r="GEF3" s="784"/>
      <c r="GEG3" s="784"/>
      <c r="GEH3" s="784"/>
      <c r="GEI3" s="785"/>
      <c r="GEJ3" s="786"/>
      <c r="GEK3" s="784"/>
      <c r="GEL3" s="784"/>
      <c r="GEM3" s="784"/>
      <c r="GEN3" s="784"/>
      <c r="GEO3" s="784"/>
      <c r="GEP3" s="784"/>
      <c r="GEQ3" s="784"/>
      <c r="GER3" s="784"/>
      <c r="GES3" s="784"/>
      <c r="GET3" s="784"/>
      <c r="GEU3" s="784"/>
      <c r="GEV3" s="784"/>
      <c r="GEW3" s="784"/>
      <c r="GEX3" s="785"/>
      <c r="GEY3" s="786"/>
      <c r="GEZ3" s="784"/>
      <c r="GFA3" s="784"/>
      <c r="GFB3" s="784"/>
      <c r="GFC3" s="784"/>
      <c r="GFD3" s="784"/>
      <c r="GFE3" s="784"/>
      <c r="GFF3" s="784"/>
      <c r="GFG3" s="784"/>
      <c r="GFH3" s="784"/>
      <c r="GFI3" s="784"/>
      <c r="GFJ3" s="784"/>
      <c r="GFK3" s="784"/>
      <c r="GFL3" s="784"/>
      <c r="GFM3" s="785"/>
      <c r="GFN3" s="786"/>
      <c r="GFO3" s="784"/>
      <c r="GFP3" s="784"/>
      <c r="GFQ3" s="784"/>
      <c r="GFR3" s="784"/>
      <c r="GFS3" s="784"/>
      <c r="GFT3" s="784"/>
      <c r="GFU3" s="784"/>
      <c r="GFV3" s="784"/>
      <c r="GFW3" s="784"/>
      <c r="GFX3" s="784"/>
      <c r="GFY3" s="784"/>
      <c r="GFZ3" s="784"/>
      <c r="GGA3" s="784"/>
      <c r="GGB3" s="785"/>
      <c r="GGC3" s="786"/>
      <c r="GGD3" s="784"/>
      <c r="GGE3" s="784"/>
      <c r="GGF3" s="784"/>
      <c r="GGG3" s="784"/>
      <c r="GGH3" s="784"/>
      <c r="GGI3" s="784"/>
      <c r="GGJ3" s="784"/>
      <c r="GGK3" s="784"/>
      <c r="GGL3" s="784"/>
      <c r="GGM3" s="784"/>
      <c r="GGN3" s="784"/>
      <c r="GGO3" s="784"/>
      <c r="GGP3" s="784"/>
      <c r="GGQ3" s="785"/>
      <c r="GGR3" s="786"/>
      <c r="GGS3" s="784"/>
      <c r="GGT3" s="784"/>
      <c r="GGU3" s="784"/>
      <c r="GGV3" s="784"/>
      <c r="GGW3" s="784"/>
      <c r="GGX3" s="784"/>
      <c r="GGY3" s="784"/>
      <c r="GGZ3" s="784"/>
      <c r="GHA3" s="784"/>
      <c r="GHB3" s="784"/>
      <c r="GHC3" s="784"/>
      <c r="GHD3" s="784"/>
      <c r="GHE3" s="784"/>
      <c r="GHF3" s="785"/>
      <c r="GHG3" s="786"/>
      <c r="GHH3" s="784"/>
      <c r="GHI3" s="784"/>
      <c r="GHJ3" s="784"/>
      <c r="GHK3" s="784"/>
      <c r="GHL3" s="784"/>
      <c r="GHM3" s="784"/>
      <c r="GHN3" s="784"/>
      <c r="GHO3" s="784"/>
      <c r="GHP3" s="784"/>
      <c r="GHQ3" s="784"/>
      <c r="GHR3" s="784"/>
      <c r="GHS3" s="784"/>
      <c r="GHT3" s="784"/>
      <c r="GHU3" s="785"/>
      <c r="GHV3" s="786"/>
      <c r="GHW3" s="784"/>
      <c r="GHX3" s="784"/>
      <c r="GHY3" s="784"/>
      <c r="GHZ3" s="784"/>
      <c r="GIA3" s="784"/>
      <c r="GIB3" s="784"/>
      <c r="GIC3" s="784"/>
      <c r="GID3" s="784"/>
      <c r="GIE3" s="784"/>
      <c r="GIF3" s="784"/>
      <c r="GIG3" s="784"/>
      <c r="GIH3" s="784"/>
      <c r="GII3" s="784"/>
      <c r="GIJ3" s="785"/>
      <c r="GIK3" s="786"/>
      <c r="GIL3" s="784"/>
      <c r="GIM3" s="784"/>
      <c r="GIN3" s="784"/>
      <c r="GIO3" s="784"/>
      <c r="GIP3" s="784"/>
      <c r="GIQ3" s="784"/>
      <c r="GIR3" s="784"/>
      <c r="GIS3" s="784"/>
      <c r="GIT3" s="784"/>
      <c r="GIU3" s="784"/>
      <c r="GIV3" s="784"/>
      <c r="GIW3" s="784"/>
      <c r="GIX3" s="784"/>
      <c r="GIY3" s="785"/>
      <c r="GIZ3" s="786"/>
      <c r="GJA3" s="784"/>
      <c r="GJB3" s="784"/>
      <c r="GJC3" s="784"/>
      <c r="GJD3" s="784"/>
      <c r="GJE3" s="784"/>
      <c r="GJF3" s="784"/>
      <c r="GJG3" s="784"/>
      <c r="GJH3" s="784"/>
      <c r="GJI3" s="784"/>
      <c r="GJJ3" s="784"/>
      <c r="GJK3" s="784"/>
      <c r="GJL3" s="784"/>
      <c r="GJM3" s="784"/>
      <c r="GJN3" s="785"/>
      <c r="GJO3" s="786"/>
      <c r="GJP3" s="784"/>
      <c r="GJQ3" s="784"/>
      <c r="GJR3" s="784"/>
      <c r="GJS3" s="784"/>
      <c r="GJT3" s="784"/>
      <c r="GJU3" s="784"/>
      <c r="GJV3" s="784"/>
      <c r="GJW3" s="784"/>
      <c r="GJX3" s="784"/>
      <c r="GJY3" s="784"/>
      <c r="GJZ3" s="784"/>
      <c r="GKA3" s="784"/>
      <c r="GKB3" s="784"/>
      <c r="GKC3" s="785"/>
      <c r="GKD3" s="786"/>
      <c r="GKE3" s="784"/>
      <c r="GKF3" s="784"/>
      <c r="GKG3" s="784"/>
      <c r="GKH3" s="784"/>
      <c r="GKI3" s="784"/>
      <c r="GKJ3" s="784"/>
      <c r="GKK3" s="784"/>
      <c r="GKL3" s="784"/>
      <c r="GKM3" s="784"/>
      <c r="GKN3" s="784"/>
      <c r="GKO3" s="784"/>
      <c r="GKP3" s="784"/>
      <c r="GKQ3" s="784"/>
      <c r="GKR3" s="785"/>
      <c r="GKS3" s="786"/>
      <c r="GKT3" s="784"/>
      <c r="GKU3" s="784"/>
      <c r="GKV3" s="784"/>
      <c r="GKW3" s="784"/>
      <c r="GKX3" s="784"/>
      <c r="GKY3" s="784"/>
      <c r="GKZ3" s="784"/>
      <c r="GLA3" s="784"/>
      <c r="GLB3" s="784"/>
      <c r="GLC3" s="784"/>
      <c r="GLD3" s="784"/>
      <c r="GLE3" s="784"/>
      <c r="GLF3" s="784"/>
      <c r="GLG3" s="785"/>
      <c r="GLH3" s="786"/>
      <c r="GLI3" s="784"/>
      <c r="GLJ3" s="784"/>
      <c r="GLK3" s="784"/>
      <c r="GLL3" s="784"/>
      <c r="GLM3" s="784"/>
      <c r="GLN3" s="784"/>
      <c r="GLO3" s="784"/>
      <c r="GLP3" s="784"/>
      <c r="GLQ3" s="784"/>
      <c r="GLR3" s="784"/>
      <c r="GLS3" s="784"/>
      <c r="GLT3" s="784"/>
      <c r="GLU3" s="784"/>
      <c r="GLV3" s="785"/>
      <c r="GLW3" s="786"/>
      <c r="GLX3" s="784"/>
      <c r="GLY3" s="784"/>
      <c r="GLZ3" s="784"/>
      <c r="GMA3" s="784"/>
      <c r="GMB3" s="784"/>
      <c r="GMC3" s="784"/>
      <c r="GMD3" s="784"/>
      <c r="GME3" s="784"/>
      <c r="GMF3" s="784"/>
      <c r="GMG3" s="784"/>
      <c r="GMH3" s="784"/>
      <c r="GMI3" s="784"/>
      <c r="GMJ3" s="784"/>
      <c r="GMK3" s="785"/>
      <c r="GML3" s="786"/>
      <c r="GMM3" s="784"/>
      <c r="GMN3" s="784"/>
      <c r="GMO3" s="784"/>
      <c r="GMP3" s="784"/>
      <c r="GMQ3" s="784"/>
      <c r="GMR3" s="784"/>
      <c r="GMS3" s="784"/>
      <c r="GMT3" s="784"/>
      <c r="GMU3" s="784"/>
      <c r="GMV3" s="784"/>
      <c r="GMW3" s="784"/>
      <c r="GMX3" s="784"/>
      <c r="GMY3" s="784"/>
      <c r="GMZ3" s="785"/>
      <c r="GNA3" s="786"/>
      <c r="GNB3" s="784"/>
      <c r="GNC3" s="784"/>
      <c r="GND3" s="784"/>
      <c r="GNE3" s="784"/>
      <c r="GNF3" s="784"/>
      <c r="GNG3" s="784"/>
      <c r="GNH3" s="784"/>
      <c r="GNI3" s="784"/>
      <c r="GNJ3" s="784"/>
      <c r="GNK3" s="784"/>
      <c r="GNL3" s="784"/>
      <c r="GNM3" s="784"/>
      <c r="GNN3" s="784"/>
      <c r="GNO3" s="785"/>
      <c r="GNP3" s="786"/>
      <c r="GNQ3" s="784"/>
      <c r="GNR3" s="784"/>
      <c r="GNS3" s="784"/>
      <c r="GNT3" s="784"/>
      <c r="GNU3" s="784"/>
      <c r="GNV3" s="784"/>
      <c r="GNW3" s="784"/>
      <c r="GNX3" s="784"/>
      <c r="GNY3" s="784"/>
      <c r="GNZ3" s="784"/>
      <c r="GOA3" s="784"/>
      <c r="GOB3" s="784"/>
      <c r="GOC3" s="784"/>
      <c r="GOD3" s="785"/>
      <c r="GOE3" s="786"/>
      <c r="GOF3" s="784"/>
      <c r="GOG3" s="784"/>
      <c r="GOH3" s="784"/>
      <c r="GOI3" s="784"/>
      <c r="GOJ3" s="784"/>
      <c r="GOK3" s="784"/>
      <c r="GOL3" s="784"/>
      <c r="GOM3" s="784"/>
      <c r="GON3" s="784"/>
      <c r="GOO3" s="784"/>
      <c r="GOP3" s="784"/>
      <c r="GOQ3" s="784"/>
      <c r="GOR3" s="784"/>
      <c r="GOS3" s="785"/>
      <c r="GOT3" s="786"/>
      <c r="GOU3" s="784"/>
      <c r="GOV3" s="784"/>
      <c r="GOW3" s="784"/>
      <c r="GOX3" s="784"/>
      <c r="GOY3" s="784"/>
      <c r="GOZ3" s="784"/>
      <c r="GPA3" s="784"/>
      <c r="GPB3" s="784"/>
      <c r="GPC3" s="784"/>
      <c r="GPD3" s="784"/>
      <c r="GPE3" s="784"/>
      <c r="GPF3" s="784"/>
      <c r="GPG3" s="784"/>
      <c r="GPH3" s="785"/>
      <c r="GPI3" s="786"/>
      <c r="GPJ3" s="784"/>
      <c r="GPK3" s="784"/>
      <c r="GPL3" s="784"/>
      <c r="GPM3" s="784"/>
      <c r="GPN3" s="784"/>
      <c r="GPO3" s="784"/>
      <c r="GPP3" s="784"/>
      <c r="GPQ3" s="784"/>
      <c r="GPR3" s="784"/>
      <c r="GPS3" s="784"/>
      <c r="GPT3" s="784"/>
      <c r="GPU3" s="784"/>
      <c r="GPV3" s="784"/>
      <c r="GPW3" s="785"/>
      <c r="GPX3" s="786"/>
      <c r="GPY3" s="784"/>
      <c r="GPZ3" s="784"/>
      <c r="GQA3" s="784"/>
      <c r="GQB3" s="784"/>
      <c r="GQC3" s="784"/>
      <c r="GQD3" s="784"/>
      <c r="GQE3" s="784"/>
      <c r="GQF3" s="784"/>
      <c r="GQG3" s="784"/>
      <c r="GQH3" s="784"/>
      <c r="GQI3" s="784"/>
      <c r="GQJ3" s="784"/>
      <c r="GQK3" s="784"/>
      <c r="GQL3" s="785"/>
      <c r="GQM3" s="786"/>
      <c r="GQN3" s="784"/>
      <c r="GQO3" s="784"/>
      <c r="GQP3" s="784"/>
      <c r="GQQ3" s="784"/>
      <c r="GQR3" s="784"/>
      <c r="GQS3" s="784"/>
      <c r="GQT3" s="784"/>
      <c r="GQU3" s="784"/>
      <c r="GQV3" s="784"/>
      <c r="GQW3" s="784"/>
      <c r="GQX3" s="784"/>
      <c r="GQY3" s="784"/>
      <c r="GQZ3" s="784"/>
      <c r="GRA3" s="785"/>
      <c r="GRB3" s="786"/>
      <c r="GRC3" s="784"/>
      <c r="GRD3" s="784"/>
      <c r="GRE3" s="784"/>
      <c r="GRF3" s="784"/>
      <c r="GRG3" s="784"/>
      <c r="GRH3" s="784"/>
      <c r="GRI3" s="784"/>
      <c r="GRJ3" s="784"/>
      <c r="GRK3" s="784"/>
      <c r="GRL3" s="784"/>
      <c r="GRM3" s="784"/>
      <c r="GRN3" s="784"/>
      <c r="GRO3" s="784"/>
      <c r="GRP3" s="785"/>
      <c r="GRQ3" s="786"/>
      <c r="GRR3" s="784"/>
      <c r="GRS3" s="784"/>
      <c r="GRT3" s="784"/>
      <c r="GRU3" s="784"/>
      <c r="GRV3" s="784"/>
      <c r="GRW3" s="784"/>
      <c r="GRX3" s="784"/>
      <c r="GRY3" s="784"/>
      <c r="GRZ3" s="784"/>
      <c r="GSA3" s="784"/>
      <c r="GSB3" s="784"/>
      <c r="GSC3" s="784"/>
      <c r="GSD3" s="784"/>
      <c r="GSE3" s="785"/>
      <c r="GSF3" s="786"/>
      <c r="GSG3" s="784"/>
      <c r="GSH3" s="784"/>
      <c r="GSI3" s="784"/>
      <c r="GSJ3" s="784"/>
      <c r="GSK3" s="784"/>
      <c r="GSL3" s="784"/>
      <c r="GSM3" s="784"/>
      <c r="GSN3" s="784"/>
      <c r="GSO3" s="784"/>
      <c r="GSP3" s="784"/>
      <c r="GSQ3" s="784"/>
      <c r="GSR3" s="784"/>
      <c r="GSS3" s="784"/>
      <c r="GST3" s="785"/>
      <c r="GSU3" s="786"/>
      <c r="GSV3" s="784"/>
      <c r="GSW3" s="784"/>
      <c r="GSX3" s="784"/>
      <c r="GSY3" s="784"/>
      <c r="GSZ3" s="784"/>
      <c r="GTA3" s="784"/>
      <c r="GTB3" s="784"/>
      <c r="GTC3" s="784"/>
      <c r="GTD3" s="784"/>
      <c r="GTE3" s="784"/>
      <c r="GTF3" s="784"/>
      <c r="GTG3" s="784"/>
      <c r="GTH3" s="784"/>
      <c r="GTI3" s="785"/>
      <c r="GTJ3" s="786"/>
      <c r="GTK3" s="784"/>
      <c r="GTL3" s="784"/>
      <c r="GTM3" s="784"/>
      <c r="GTN3" s="784"/>
      <c r="GTO3" s="784"/>
      <c r="GTP3" s="784"/>
      <c r="GTQ3" s="784"/>
      <c r="GTR3" s="784"/>
      <c r="GTS3" s="784"/>
      <c r="GTT3" s="784"/>
      <c r="GTU3" s="784"/>
      <c r="GTV3" s="784"/>
      <c r="GTW3" s="784"/>
      <c r="GTX3" s="785"/>
      <c r="GTY3" s="786"/>
      <c r="GTZ3" s="784"/>
      <c r="GUA3" s="784"/>
      <c r="GUB3" s="784"/>
      <c r="GUC3" s="784"/>
      <c r="GUD3" s="784"/>
      <c r="GUE3" s="784"/>
      <c r="GUF3" s="784"/>
      <c r="GUG3" s="784"/>
      <c r="GUH3" s="784"/>
      <c r="GUI3" s="784"/>
      <c r="GUJ3" s="784"/>
      <c r="GUK3" s="784"/>
      <c r="GUL3" s="784"/>
      <c r="GUM3" s="785"/>
      <c r="GUN3" s="786"/>
      <c r="GUO3" s="784"/>
      <c r="GUP3" s="784"/>
      <c r="GUQ3" s="784"/>
      <c r="GUR3" s="784"/>
      <c r="GUS3" s="784"/>
      <c r="GUT3" s="784"/>
      <c r="GUU3" s="784"/>
      <c r="GUV3" s="784"/>
      <c r="GUW3" s="784"/>
      <c r="GUX3" s="784"/>
      <c r="GUY3" s="784"/>
      <c r="GUZ3" s="784"/>
      <c r="GVA3" s="784"/>
      <c r="GVB3" s="785"/>
      <c r="GVC3" s="786"/>
      <c r="GVD3" s="784"/>
      <c r="GVE3" s="784"/>
      <c r="GVF3" s="784"/>
      <c r="GVG3" s="784"/>
      <c r="GVH3" s="784"/>
      <c r="GVI3" s="784"/>
      <c r="GVJ3" s="784"/>
      <c r="GVK3" s="784"/>
      <c r="GVL3" s="784"/>
      <c r="GVM3" s="784"/>
      <c r="GVN3" s="784"/>
      <c r="GVO3" s="784"/>
      <c r="GVP3" s="784"/>
      <c r="GVQ3" s="785"/>
      <c r="GVR3" s="786"/>
      <c r="GVS3" s="784"/>
      <c r="GVT3" s="784"/>
      <c r="GVU3" s="784"/>
      <c r="GVV3" s="784"/>
      <c r="GVW3" s="784"/>
      <c r="GVX3" s="784"/>
      <c r="GVY3" s="784"/>
      <c r="GVZ3" s="784"/>
      <c r="GWA3" s="784"/>
      <c r="GWB3" s="784"/>
      <c r="GWC3" s="784"/>
      <c r="GWD3" s="784"/>
      <c r="GWE3" s="784"/>
      <c r="GWF3" s="785"/>
      <c r="GWG3" s="786"/>
      <c r="GWH3" s="784"/>
      <c r="GWI3" s="784"/>
      <c r="GWJ3" s="784"/>
      <c r="GWK3" s="784"/>
      <c r="GWL3" s="784"/>
      <c r="GWM3" s="784"/>
      <c r="GWN3" s="784"/>
      <c r="GWO3" s="784"/>
      <c r="GWP3" s="784"/>
      <c r="GWQ3" s="784"/>
      <c r="GWR3" s="784"/>
      <c r="GWS3" s="784"/>
      <c r="GWT3" s="784"/>
      <c r="GWU3" s="785"/>
      <c r="GWV3" s="786"/>
      <c r="GWW3" s="784"/>
      <c r="GWX3" s="784"/>
      <c r="GWY3" s="784"/>
      <c r="GWZ3" s="784"/>
      <c r="GXA3" s="784"/>
      <c r="GXB3" s="784"/>
      <c r="GXC3" s="784"/>
      <c r="GXD3" s="784"/>
      <c r="GXE3" s="784"/>
      <c r="GXF3" s="784"/>
      <c r="GXG3" s="784"/>
      <c r="GXH3" s="784"/>
      <c r="GXI3" s="784"/>
      <c r="GXJ3" s="785"/>
      <c r="GXK3" s="786"/>
      <c r="GXL3" s="784"/>
      <c r="GXM3" s="784"/>
      <c r="GXN3" s="784"/>
      <c r="GXO3" s="784"/>
      <c r="GXP3" s="784"/>
      <c r="GXQ3" s="784"/>
      <c r="GXR3" s="784"/>
      <c r="GXS3" s="784"/>
      <c r="GXT3" s="784"/>
      <c r="GXU3" s="784"/>
      <c r="GXV3" s="784"/>
      <c r="GXW3" s="784"/>
      <c r="GXX3" s="784"/>
      <c r="GXY3" s="785"/>
      <c r="GXZ3" s="786"/>
      <c r="GYA3" s="784"/>
      <c r="GYB3" s="784"/>
      <c r="GYC3" s="784"/>
      <c r="GYD3" s="784"/>
      <c r="GYE3" s="784"/>
      <c r="GYF3" s="784"/>
      <c r="GYG3" s="784"/>
      <c r="GYH3" s="784"/>
      <c r="GYI3" s="784"/>
      <c r="GYJ3" s="784"/>
      <c r="GYK3" s="784"/>
      <c r="GYL3" s="784"/>
      <c r="GYM3" s="784"/>
      <c r="GYN3" s="785"/>
      <c r="GYO3" s="786"/>
      <c r="GYP3" s="784"/>
      <c r="GYQ3" s="784"/>
      <c r="GYR3" s="784"/>
      <c r="GYS3" s="784"/>
      <c r="GYT3" s="784"/>
      <c r="GYU3" s="784"/>
      <c r="GYV3" s="784"/>
      <c r="GYW3" s="784"/>
      <c r="GYX3" s="784"/>
      <c r="GYY3" s="784"/>
      <c r="GYZ3" s="784"/>
      <c r="GZA3" s="784"/>
      <c r="GZB3" s="784"/>
      <c r="GZC3" s="785"/>
      <c r="GZD3" s="786"/>
      <c r="GZE3" s="784"/>
      <c r="GZF3" s="784"/>
      <c r="GZG3" s="784"/>
      <c r="GZH3" s="784"/>
      <c r="GZI3" s="784"/>
      <c r="GZJ3" s="784"/>
      <c r="GZK3" s="784"/>
      <c r="GZL3" s="784"/>
      <c r="GZM3" s="784"/>
      <c r="GZN3" s="784"/>
      <c r="GZO3" s="784"/>
      <c r="GZP3" s="784"/>
      <c r="GZQ3" s="784"/>
      <c r="GZR3" s="785"/>
      <c r="GZS3" s="786"/>
      <c r="GZT3" s="784"/>
      <c r="GZU3" s="784"/>
      <c r="GZV3" s="784"/>
      <c r="GZW3" s="784"/>
      <c r="GZX3" s="784"/>
      <c r="GZY3" s="784"/>
      <c r="GZZ3" s="784"/>
      <c r="HAA3" s="784"/>
      <c r="HAB3" s="784"/>
      <c r="HAC3" s="784"/>
      <c r="HAD3" s="784"/>
      <c r="HAE3" s="784"/>
      <c r="HAF3" s="784"/>
      <c r="HAG3" s="785"/>
      <c r="HAH3" s="786"/>
      <c r="HAI3" s="784"/>
      <c r="HAJ3" s="784"/>
      <c r="HAK3" s="784"/>
      <c r="HAL3" s="784"/>
      <c r="HAM3" s="784"/>
      <c r="HAN3" s="784"/>
      <c r="HAO3" s="784"/>
      <c r="HAP3" s="784"/>
      <c r="HAQ3" s="784"/>
      <c r="HAR3" s="784"/>
      <c r="HAS3" s="784"/>
      <c r="HAT3" s="784"/>
      <c r="HAU3" s="784"/>
      <c r="HAV3" s="785"/>
      <c r="HAW3" s="786"/>
      <c r="HAX3" s="784"/>
      <c r="HAY3" s="784"/>
      <c r="HAZ3" s="784"/>
      <c r="HBA3" s="784"/>
      <c r="HBB3" s="784"/>
      <c r="HBC3" s="784"/>
      <c r="HBD3" s="784"/>
      <c r="HBE3" s="784"/>
      <c r="HBF3" s="784"/>
      <c r="HBG3" s="784"/>
      <c r="HBH3" s="784"/>
      <c r="HBI3" s="784"/>
      <c r="HBJ3" s="784"/>
      <c r="HBK3" s="785"/>
      <c r="HBL3" s="786"/>
      <c r="HBM3" s="784"/>
      <c r="HBN3" s="784"/>
      <c r="HBO3" s="784"/>
      <c r="HBP3" s="784"/>
      <c r="HBQ3" s="784"/>
      <c r="HBR3" s="784"/>
      <c r="HBS3" s="784"/>
      <c r="HBT3" s="784"/>
      <c r="HBU3" s="784"/>
      <c r="HBV3" s="784"/>
      <c r="HBW3" s="784"/>
      <c r="HBX3" s="784"/>
      <c r="HBY3" s="784"/>
      <c r="HBZ3" s="785"/>
      <c r="HCA3" s="786"/>
      <c r="HCB3" s="784"/>
      <c r="HCC3" s="784"/>
      <c r="HCD3" s="784"/>
      <c r="HCE3" s="784"/>
      <c r="HCF3" s="784"/>
      <c r="HCG3" s="784"/>
      <c r="HCH3" s="784"/>
      <c r="HCI3" s="784"/>
      <c r="HCJ3" s="784"/>
      <c r="HCK3" s="784"/>
      <c r="HCL3" s="784"/>
      <c r="HCM3" s="784"/>
      <c r="HCN3" s="784"/>
      <c r="HCO3" s="785"/>
      <c r="HCP3" s="786"/>
      <c r="HCQ3" s="784"/>
      <c r="HCR3" s="784"/>
      <c r="HCS3" s="784"/>
      <c r="HCT3" s="784"/>
      <c r="HCU3" s="784"/>
      <c r="HCV3" s="784"/>
      <c r="HCW3" s="784"/>
      <c r="HCX3" s="784"/>
      <c r="HCY3" s="784"/>
      <c r="HCZ3" s="784"/>
      <c r="HDA3" s="784"/>
      <c r="HDB3" s="784"/>
      <c r="HDC3" s="784"/>
      <c r="HDD3" s="785"/>
      <c r="HDE3" s="786"/>
      <c r="HDF3" s="784"/>
      <c r="HDG3" s="784"/>
      <c r="HDH3" s="784"/>
      <c r="HDI3" s="784"/>
      <c r="HDJ3" s="784"/>
      <c r="HDK3" s="784"/>
      <c r="HDL3" s="784"/>
      <c r="HDM3" s="784"/>
      <c r="HDN3" s="784"/>
      <c r="HDO3" s="784"/>
      <c r="HDP3" s="784"/>
      <c r="HDQ3" s="784"/>
      <c r="HDR3" s="784"/>
      <c r="HDS3" s="785"/>
      <c r="HDT3" s="786"/>
      <c r="HDU3" s="784"/>
      <c r="HDV3" s="784"/>
      <c r="HDW3" s="784"/>
      <c r="HDX3" s="784"/>
      <c r="HDY3" s="784"/>
      <c r="HDZ3" s="784"/>
      <c r="HEA3" s="784"/>
      <c r="HEB3" s="784"/>
      <c r="HEC3" s="784"/>
      <c r="HED3" s="784"/>
      <c r="HEE3" s="784"/>
      <c r="HEF3" s="784"/>
      <c r="HEG3" s="784"/>
      <c r="HEH3" s="785"/>
      <c r="HEI3" s="786"/>
      <c r="HEJ3" s="784"/>
      <c r="HEK3" s="784"/>
      <c r="HEL3" s="784"/>
      <c r="HEM3" s="784"/>
      <c r="HEN3" s="784"/>
      <c r="HEO3" s="784"/>
      <c r="HEP3" s="784"/>
      <c r="HEQ3" s="784"/>
      <c r="HER3" s="784"/>
      <c r="HES3" s="784"/>
      <c r="HET3" s="784"/>
      <c r="HEU3" s="784"/>
      <c r="HEV3" s="784"/>
      <c r="HEW3" s="785"/>
      <c r="HEX3" s="786"/>
      <c r="HEY3" s="784"/>
      <c r="HEZ3" s="784"/>
      <c r="HFA3" s="784"/>
      <c r="HFB3" s="784"/>
      <c r="HFC3" s="784"/>
      <c r="HFD3" s="784"/>
      <c r="HFE3" s="784"/>
      <c r="HFF3" s="784"/>
      <c r="HFG3" s="784"/>
      <c r="HFH3" s="784"/>
      <c r="HFI3" s="784"/>
      <c r="HFJ3" s="784"/>
      <c r="HFK3" s="784"/>
      <c r="HFL3" s="785"/>
      <c r="HFM3" s="786"/>
      <c r="HFN3" s="784"/>
      <c r="HFO3" s="784"/>
      <c r="HFP3" s="784"/>
      <c r="HFQ3" s="784"/>
      <c r="HFR3" s="784"/>
      <c r="HFS3" s="784"/>
      <c r="HFT3" s="784"/>
      <c r="HFU3" s="784"/>
      <c r="HFV3" s="784"/>
      <c r="HFW3" s="784"/>
      <c r="HFX3" s="784"/>
      <c r="HFY3" s="784"/>
      <c r="HFZ3" s="784"/>
      <c r="HGA3" s="785"/>
      <c r="HGB3" s="786"/>
      <c r="HGC3" s="784"/>
      <c r="HGD3" s="784"/>
      <c r="HGE3" s="784"/>
      <c r="HGF3" s="784"/>
      <c r="HGG3" s="784"/>
      <c r="HGH3" s="784"/>
      <c r="HGI3" s="784"/>
      <c r="HGJ3" s="784"/>
      <c r="HGK3" s="784"/>
      <c r="HGL3" s="784"/>
      <c r="HGM3" s="784"/>
      <c r="HGN3" s="784"/>
      <c r="HGO3" s="784"/>
      <c r="HGP3" s="785"/>
      <c r="HGQ3" s="786"/>
      <c r="HGR3" s="784"/>
      <c r="HGS3" s="784"/>
      <c r="HGT3" s="784"/>
      <c r="HGU3" s="784"/>
      <c r="HGV3" s="784"/>
      <c r="HGW3" s="784"/>
      <c r="HGX3" s="784"/>
      <c r="HGY3" s="784"/>
      <c r="HGZ3" s="784"/>
      <c r="HHA3" s="784"/>
      <c r="HHB3" s="784"/>
      <c r="HHC3" s="784"/>
      <c r="HHD3" s="784"/>
      <c r="HHE3" s="785"/>
      <c r="HHF3" s="786"/>
      <c r="HHG3" s="784"/>
      <c r="HHH3" s="784"/>
      <c r="HHI3" s="784"/>
      <c r="HHJ3" s="784"/>
      <c r="HHK3" s="784"/>
      <c r="HHL3" s="784"/>
      <c r="HHM3" s="784"/>
      <c r="HHN3" s="784"/>
      <c r="HHO3" s="784"/>
      <c r="HHP3" s="784"/>
      <c r="HHQ3" s="784"/>
      <c r="HHR3" s="784"/>
      <c r="HHS3" s="784"/>
      <c r="HHT3" s="785"/>
      <c r="HHU3" s="786"/>
      <c r="HHV3" s="784"/>
      <c r="HHW3" s="784"/>
      <c r="HHX3" s="784"/>
      <c r="HHY3" s="784"/>
      <c r="HHZ3" s="784"/>
      <c r="HIA3" s="784"/>
      <c r="HIB3" s="784"/>
      <c r="HIC3" s="784"/>
      <c r="HID3" s="784"/>
      <c r="HIE3" s="784"/>
      <c r="HIF3" s="784"/>
      <c r="HIG3" s="784"/>
      <c r="HIH3" s="784"/>
      <c r="HII3" s="785"/>
      <c r="HIJ3" s="786"/>
      <c r="HIK3" s="784"/>
      <c r="HIL3" s="784"/>
      <c r="HIM3" s="784"/>
      <c r="HIN3" s="784"/>
      <c r="HIO3" s="784"/>
      <c r="HIP3" s="784"/>
      <c r="HIQ3" s="784"/>
      <c r="HIR3" s="784"/>
      <c r="HIS3" s="784"/>
      <c r="HIT3" s="784"/>
      <c r="HIU3" s="784"/>
      <c r="HIV3" s="784"/>
      <c r="HIW3" s="784"/>
      <c r="HIX3" s="785"/>
      <c r="HIY3" s="786"/>
      <c r="HIZ3" s="784"/>
      <c r="HJA3" s="784"/>
      <c r="HJB3" s="784"/>
      <c r="HJC3" s="784"/>
      <c r="HJD3" s="784"/>
      <c r="HJE3" s="784"/>
      <c r="HJF3" s="784"/>
      <c r="HJG3" s="784"/>
      <c r="HJH3" s="784"/>
      <c r="HJI3" s="784"/>
      <c r="HJJ3" s="784"/>
      <c r="HJK3" s="784"/>
      <c r="HJL3" s="784"/>
      <c r="HJM3" s="785"/>
      <c r="HJN3" s="786"/>
      <c r="HJO3" s="784"/>
      <c r="HJP3" s="784"/>
      <c r="HJQ3" s="784"/>
      <c r="HJR3" s="784"/>
      <c r="HJS3" s="784"/>
      <c r="HJT3" s="784"/>
      <c r="HJU3" s="784"/>
      <c r="HJV3" s="784"/>
      <c r="HJW3" s="784"/>
      <c r="HJX3" s="784"/>
      <c r="HJY3" s="784"/>
      <c r="HJZ3" s="784"/>
      <c r="HKA3" s="784"/>
      <c r="HKB3" s="785"/>
      <c r="HKC3" s="786"/>
      <c r="HKD3" s="784"/>
      <c r="HKE3" s="784"/>
      <c r="HKF3" s="784"/>
      <c r="HKG3" s="784"/>
      <c r="HKH3" s="784"/>
      <c r="HKI3" s="784"/>
      <c r="HKJ3" s="784"/>
      <c r="HKK3" s="784"/>
      <c r="HKL3" s="784"/>
      <c r="HKM3" s="784"/>
      <c r="HKN3" s="784"/>
      <c r="HKO3" s="784"/>
      <c r="HKP3" s="784"/>
      <c r="HKQ3" s="785"/>
      <c r="HKR3" s="786"/>
      <c r="HKS3" s="784"/>
      <c r="HKT3" s="784"/>
      <c r="HKU3" s="784"/>
      <c r="HKV3" s="784"/>
      <c r="HKW3" s="784"/>
      <c r="HKX3" s="784"/>
      <c r="HKY3" s="784"/>
      <c r="HKZ3" s="784"/>
      <c r="HLA3" s="784"/>
      <c r="HLB3" s="784"/>
      <c r="HLC3" s="784"/>
      <c r="HLD3" s="784"/>
      <c r="HLE3" s="784"/>
      <c r="HLF3" s="785"/>
      <c r="HLG3" s="786"/>
      <c r="HLH3" s="784"/>
      <c r="HLI3" s="784"/>
      <c r="HLJ3" s="784"/>
      <c r="HLK3" s="784"/>
      <c r="HLL3" s="784"/>
      <c r="HLM3" s="784"/>
      <c r="HLN3" s="784"/>
      <c r="HLO3" s="784"/>
      <c r="HLP3" s="784"/>
      <c r="HLQ3" s="784"/>
      <c r="HLR3" s="784"/>
      <c r="HLS3" s="784"/>
      <c r="HLT3" s="784"/>
      <c r="HLU3" s="785"/>
      <c r="HLV3" s="786"/>
      <c r="HLW3" s="784"/>
      <c r="HLX3" s="784"/>
      <c r="HLY3" s="784"/>
      <c r="HLZ3" s="784"/>
      <c r="HMA3" s="784"/>
      <c r="HMB3" s="784"/>
      <c r="HMC3" s="784"/>
      <c r="HMD3" s="784"/>
      <c r="HME3" s="784"/>
      <c r="HMF3" s="784"/>
      <c r="HMG3" s="784"/>
      <c r="HMH3" s="784"/>
      <c r="HMI3" s="784"/>
      <c r="HMJ3" s="785"/>
      <c r="HMK3" s="786"/>
      <c r="HML3" s="784"/>
      <c r="HMM3" s="784"/>
      <c r="HMN3" s="784"/>
      <c r="HMO3" s="784"/>
      <c r="HMP3" s="784"/>
      <c r="HMQ3" s="784"/>
      <c r="HMR3" s="784"/>
      <c r="HMS3" s="784"/>
      <c r="HMT3" s="784"/>
      <c r="HMU3" s="784"/>
      <c r="HMV3" s="784"/>
      <c r="HMW3" s="784"/>
      <c r="HMX3" s="784"/>
      <c r="HMY3" s="785"/>
      <c r="HMZ3" s="786"/>
      <c r="HNA3" s="784"/>
      <c r="HNB3" s="784"/>
      <c r="HNC3" s="784"/>
      <c r="HND3" s="784"/>
      <c r="HNE3" s="784"/>
      <c r="HNF3" s="784"/>
      <c r="HNG3" s="784"/>
      <c r="HNH3" s="784"/>
      <c r="HNI3" s="784"/>
      <c r="HNJ3" s="784"/>
      <c r="HNK3" s="784"/>
      <c r="HNL3" s="784"/>
      <c r="HNM3" s="784"/>
      <c r="HNN3" s="785"/>
      <c r="HNO3" s="786"/>
      <c r="HNP3" s="784"/>
      <c r="HNQ3" s="784"/>
      <c r="HNR3" s="784"/>
      <c r="HNS3" s="784"/>
      <c r="HNT3" s="784"/>
      <c r="HNU3" s="784"/>
      <c r="HNV3" s="784"/>
      <c r="HNW3" s="784"/>
      <c r="HNX3" s="784"/>
      <c r="HNY3" s="784"/>
      <c r="HNZ3" s="784"/>
      <c r="HOA3" s="784"/>
      <c r="HOB3" s="784"/>
      <c r="HOC3" s="785"/>
      <c r="HOD3" s="786"/>
      <c r="HOE3" s="784"/>
      <c r="HOF3" s="784"/>
      <c r="HOG3" s="784"/>
      <c r="HOH3" s="784"/>
      <c r="HOI3" s="784"/>
      <c r="HOJ3" s="784"/>
      <c r="HOK3" s="784"/>
      <c r="HOL3" s="784"/>
      <c r="HOM3" s="784"/>
      <c r="HON3" s="784"/>
      <c r="HOO3" s="784"/>
      <c r="HOP3" s="784"/>
      <c r="HOQ3" s="784"/>
      <c r="HOR3" s="785"/>
      <c r="HOS3" s="786"/>
      <c r="HOT3" s="784"/>
      <c r="HOU3" s="784"/>
      <c r="HOV3" s="784"/>
      <c r="HOW3" s="784"/>
      <c r="HOX3" s="784"/>
      <c r="HOY3" s="784"/>
      <c r="HOZ3" s="784"/>
      <c r="HPA3" s="784"/>
      <c r="HPB3" s="784"/>
      <c r="HPC3" s="784"/>
      <c r="HPD3" s="784"/>
      <c r="HPE3" s="784"/>
      <c r="HPF3" s="784"/>
      <c r="HPG3" s="785"/>
      <c r="HPH3" s="786"/>
      <c r="HPI3" s="784"/>
      <c r="HPJ3" s="784"/>
      <c r="HPK3" s="784"/>
      <c r="HPL3" s="784"/>
      <c r="HPM3" s="784"/>
      <c r="HPN3" s="784"/>
      <c r="HPO3" s="784"/>
      <c r="HPP3" s="784"/>
      <c r="HPQ3" s="784"/>
      <c r="HPR3" s="784"/>
      <c r="HPS3" s="784"/>
      <c r="HPT3" s="784"/>
      <c r="HPU3" s="784"/>
      <c r="HPV3" s="785"/>
      <c r="HPW3" s="786"/>
      <c r="HPX3" s="784"/>
      <c r="HPY3" s="784"/>
      <c r="HPZ3" s="784"/>
      <c r="HQA3" s="784"/>
      <c r="HQB3" s="784"/>
      <c r="HQC3" s="784"/>
      <c r="HQD3" s="784"/>
      <c r="HQE3" s="784"/>
      <c r="HQF3" s="784"/>
      <c r="HQG3" s="784"/>
      <c r="HQH3" s="784"/>
      <c r="HQI3" s="784"/>
      <c r="HQJ3" s="784"/>
      <c r="HQK3" s="785"/>
      <c r="HQL3" s="786"/>
      <c r="HQM3" s="784"/>
      <c r="HQN3" s="784"/>
      <c r="HQO3" s="784"/>
      <c r="HQP3" s="784"/>
      <c r="HQQ3" s="784"/>
      <c r="HQR3" s="784"/>
      <c r="HQS3" s="784"/>
      <c r="HQT3" s="784"/>
      <c r="HQU3" s="784"/>
      <c r="HQV3" s="784"/>
      <c r="HQW3" s="784"/>
      <c r="HQX3" s="784"/>
      <c r="HQY3" s="784"/>
      <c r="HQZ3" s="785"/>
      <c r="HRA3" s="786"/>
      <c r="HRB3" s="784"/>
      <c r="HRC3" s="784"/>
      <c r="HRD3" s="784"/>
      <c r="HRE3" s="784"/>
      <c r="HRF3" s="784"/>
      <c r="HRG3" s="784"/>
      <c r="HRH3" s="784"/>
      <c r="HRI3" s="784"/>
      <c r="HRJ3" s="784"/>
      <c r="HRK3" s="784"/>
      <c r="HRL3" s="784"/>
      <c r="HRM3" s="784"/>
      <c r="HRN3" s="784"/>
      <c r="HRO3" s="785"/>
      <c r="HRP3" s="786"/>
      <c r="HRQ3" s="784"/>
      <c r="HRR3" s="784"/>
      <c r="HRS3" s="784"/>
      <c r="HRT3" s="784"/>
      <c r="HRU3" s="784"/>
      <c r="HRV3" s="784"/>
      <c r="HRW3" s="784"/>
      <c r="HRX3" s="784"/>
      <c r="HRY3" s="784"/>
      <c r="HRZ3" s="784"/>
      <c r="HSA3" s="784"/>
      <c r="HSB3" s="784"/>
      <c r="HSC3" s="784"/>
      <c r="HSD3" s="785"/>
      <c r="HSE3" s="786"/>
      <c r="HSF3" s="784"/>
      <c r="HSG3" s="784"/>
      <c r="HSH3" s="784"/>
      <c r="HSI3" s="784"/>
      <c r="HSJ3" s="784"/>
      <c r="HSK3" s="784"/>
      <c r="HSL3" s="784"/>
      <c r="HSM3" s="784"/>
      <c r="HSN3" s="784"/>
      <c r="HSO3" s="784"/>
      <c r="HSP3" s="784"/>
      <c r="HSQ3" s="784"/>
      <c r="HSR3" s="784"/>
      <c r="HSS3" s="785"/>
      <c r="HST3" s="786"/>
      <c r="HSU3" s="784"/>
      <c r="HSV3" s="784"/>
      <c r="HSW3" s="784"/>
      <c r="HSX3" s="784"/>
      <c r="HSY3" s="784"/>
      <c r="HSZ3" s="784"/>
      <c r="HTA3" s="784"/>
      <c r="HTB3" s="784"/>
      <c r="HTC3" s="784"/>
      <c r="HTD3" s="784"/>
      <c r="HTE3" s="784"/>
      <c r="HTF3" s="784"/>
      <c r="HTG3" s="784"/>
      <c r="HTH3" s="785"/>
      <c r="HTI3" s="786"/>
      <c r="HTJ3" s="784"/>
      <c r="HTK3" s="784"/>
      <c r="HTL3" s="784"/>
      <c r="HTM3" s="784"/>
      <c r="HTN3" s="784"/>
      <c r="HTO3" s="784"/>
      <c r="HTP3" s="784"/>
      <c r="HTQ3" s="784"/>
      <c r="HTR3" s="784"/>
      <c r="HTS3" s="784"/>
      <c r="HTT3" s="784"/>
      <c r="HTU3" s="784"/>
      <c r="HTV3" s="784"/>
      <c r="HTW3" s="785"/>
      <c r="HTX3" s="786"/>
      <c r="HTY3" s="784"/>
      <c r="HTZ3" s="784"/>
      <c r="HUA3" s="784"/>
      <c r="HUB3" s="784"/>
      <c r="HUC3" s="784"/>
      <c r="HUD3" s="784"/>
      <c r="HUE3" s="784"/>
      <c r="HUF3" s="784"/>
      <c r="HUG3" s="784"/>
      <c r="HUH3" s="784"/>
      <c r="HUI3" s="784"/>
      <c r="HUJ3" s="784"/>
      <c r="HUK3" s="784"/>
      <c r="HUL3" s="785"/>
      <c r="HUM3" s="786"/>
      <c r="HUN3" s="784"/>
      <c r="HUO3" s="784"/>
      <c r="HUP3" s="784"/>
      <c r="HUQ3" s="784"/>
      <c r="HUR3" s="784"/>
      <c r="HUS3" s="784"/>
      <c r="HUT3" s="784"/>
      <c r="HUU3" s="784"/>
      <c r="HUV3" s="784"/>
      <c r="HUW3" s="784"/>
      <c r="HUX3" s="784"/>
      <c r="HUY3" s="784"/>
      <c r="HUZ3" s="784"/>
      <c r="HVA3" s="785"/>
      <c r="HVB3" s="786"/>
      <c r="HVC3" s="784"/>
      <c r="HVD3" s="784"/>
      <c r="HVE3" s="784"/>
      <c r="HVF3" s="784"/>
      <c r="HVG3" s="784"/>
      <c r="HVH3" s="784"/>
      <c r="HVI3" s="784"/>
      <c r="HVJ3" s="784"/>
      <c r="HVK3" s="784"/>
      <c r="HVL3" s="784"/>
      <c r="HVM3" s="784"/>
      <c r="HVN3" s="784"/>
      <c r="HVO3" s="784"/>
      <c r="HVP3" s="785"/>
      <c r="HVQ3" s="786"/>
      <c r="HVR3" s="784"/>
      <c r="HVS3" s="784"/>
      <c r="HVT3" s="784"/>
      <c r="HVU3" s="784"/>
      <c r="HVV3" s="784"/>
      <c r="HVW3" s="784"/>
      <c r="HVX3" s="784"/>
      <c r="HVY3" s="784"/>
      <c r="HVZ3" s="784"/>
      <c r="HWA3" s="784"/>
      <c r="HWB3" s="784"/>
      <c r="HWC3" s="784"/>
      <c r="HWD3" s="784"/>
      <c r="HWE3" s="785"/>
      <c r="HWF3" s="786"/>
      <c r="HWG3" s="784"/>
      <c r="HWH3" s="784"/>
      <c r="HWI3" s="784"/>
      <c r="HWJ3" s="784"/>
      <c r="HWK3" s="784"/>
      <c r="HWL3" s="784"/>
      <c r="HWM3" s="784"/>
      <c r="HWN3" s="784"/>
      <c r="HWO3" s="784"/>
      <c r="HWP3" s="784"/>
      <c r="HWQ3" s="784"/>
      <c r="HWR3" s="784"/>
      <c r="HWS3" s="784"/>
      <c r="HWT3" s="785"/>
      <c r="HWU3" s="786"/>
      <c r="HWV3" s="784"/>
      <c r="HWW3" s="784"/>
      <c r="HWX3" s="784"/>
      <c r="HWY3" s="784"/>
      <c r="HWZ3" s="784"/>
      <c r="HXA3" s="784"/>
      <c r="HXB3" s="784"/>
      <c r="HXC3" s="784"/>
      <c r="HXD3" s="784"/>
      <c r="HXE3" s="784"/>
      <c r="HXF3" s="784"/>
      <c r="HXG3" s="784"/>
      <c r="HXH3" s="784"/>
      <c r="HXI3" s="785"/>
      <c r="HXJ3" s="786"/>
      <c r="HXK3" s="784"/>
      <c r="HXL3" s="784"/>
      <c r="HXM3" s="784"/>
      <c r="HXN3" s="784"/>
      <c r="HXO3" s="784"/>
      <c r="HXP3" s="784"/>
      <c r="HXQ3" s="784"/>
      <c r="HXR3" s="784"/>
      <c r="HXS3" s="784"/>
      <c r="HXT3" s="784"/>
      <c r="HXU3" s="784"/>
      <c r="HXV3" s="784"/>
      <c r="HXW3" s="784"/>
      <c r="HXX3" s="785"/>
      <c r="HXY3" s="786"/>
      <c r="HXZ3" s="784"/>
      <c r="HYA3" s="784"/>
      <c r="HYB3" s="784"/>
      <c r="HYC3" s="784"/>
      <c r="HYD3" s="784"/>
      <c r="HYE3" s="784"/>
      <c r="HYF3" s="784"/>
      <c r="HYG3" s="784"/>
      <c r="HYH3" s="784"/>
      <c r="HYI3" s="784"/>
      <c r="HYJ3" s="784"/>
      <c r="HYK3" s="784"/>
      <c r="HYL3" s="784"/>
      <c r="HYM3" s="785"/>
      <c r="HYN3" s="786"/>
      <c r="HYO3" s="784"/>
      <c r="HYP3" s="784"/>
      <c r="HYQ3" s="784"/>
      <c r="HYR3" s="784"/>
      <c r="HYS3" s="784"/>
      <c r="HYT3" s="784"/>
      <c r="HYU3" s="784"/>
      <c r="HYV3" s="784"/>
      <c r="HYW3" s="784"/>
      <c r="HYX3" s="784"/>
      <c r="HYY3" s="784"/>
      <c r="HYZ3" s="784"/>
      <c r="HZA3" s="784"/>
      <c r="HZB3" s="785"/>
      <c r="HZC3" s="786"/>
      <c r="HZD3" s="784"/>
      <c r="HZE3" s="784"/>
      <c r="HZF3" s="784"/>
      <c r="HZG3" s="784"/>
      <c r="HZH3" s="784"/>
      <c r="HZI3" s="784"/>
      <c r="HZJ3" s="784"/>
      <c r="HZK3" s="784"/>
      <c r="HZL3" s="784"/>
      <c r="HZM3" s="784"/>
      <c r="HZN3" s="784"/>
      <c r="HZO3" s="784"/>
      <c r="HZP3" s="784"/>
      <c r="HZQ3" s="785"/>
      <c r="HZR3" s="786"/>
      <c r="HZS3" s="784"/>
      <c r="HZT3" s="784"/>
      <c r="HZU3" s="784"/>
      <c r="HZV3" s="784"/>
      <c r="HZW3" s="784"/>
      <c r="HZX3" s="784"/>
      <c r="HZY3" s="784"/>
      <c r="HZZ3" s="784"/>
      <c r="IAA3" s="784"/>
      <c r="IAB3" s="784"/>
      <c r="IAC3" s="784"/>
      <c r="IAD3" s="784"/>
      <c r="IAE3" s="784"/>
      <c r="IAF3" s="785"/>
      <c r="IAG3" s="786"/>
      <c r="IAH3" s="784"/>
      <c r="IAI3" s="784"/>
      <c r="IAJ3" s="784"/>
      <c r="IAK3" s="784"/>
      <c r="IAL3" s="784"/>
      <c r="IAM3" s="784"/>
      <c r="IAN3" s="784"/>
      <c r="IAO3" s="784"/>
      <c r="IAP3" s="784"/>
      <c r="IAQ3" s="784"/>
      <c r="IAR3" s="784"/>
      <c r="IAS3" s="784"/>
      <c r="IAT3" s="784"/>
      <c r="IAU3" s="785"/>
      <c r="IAV3" s="786"/>
      <c r="IAW3" s="784"/>
      <c r="IAX3" s="784"/>
      <c r="IAY3" s="784"/>
      <c r="IAZ3" s="784"/>
      <c r="IBA3" s="784"/>
      <c r="IBB3" s="784"/>
      <c r="IBC3" s="784"/>
      <c r="IBD3" s="784"/>
      <c r="IBE3" s="784"/>
      <c r="IBF3" s="784"/>
      <c r="IBG3" s="784"/>
      <c r="IBH3" s="784"/>
      <c r="IBI3" s="784"/>
      <c r="IBJ3" s="785"/>
      <c r="IBK3" s="786"/>
      <c r="IBL3" s="784"/>
      <c r="IBM3" s="784"/>
      <c r="IBN3" s="784"/>
      <c r="IBO3" s="784"/>
      <c r="IBP3" s="784"/>
      <c r="IBQ3" s="784"/>
      <c r="IBR3" s="784"/>
      <c r="IBS3" s="784"/>
      <c r="IBT3" s="784"/>
      <c r="IBU3" s="784"/>
      <c r="IBV3" s="784"/>
      <c r="IBW3" s="784"/>
      <c r="IBX3" s="784"/>
      <c r="IBY3" s="785"/>
      <c r="IBZ3" s="786"/>
      <c r="ICA3" s="784"/>
      <c r="ICB3" s="784"/>
      <c r="ICC3" s="784"/>
      <c r="ICD3" s="784"/>
      <c r="ICE3" s="784"/>
      <c r="ICF3" s="784"/>
      <c r="ICG3" s="784"/>
      <c r="ICH3" s="784"/>
      <c r="ICI3" s="784"/>
      <c r="ICJ3" s="784"/>
      <c r="ICK3" s="784"/>
      <c r="ICL3" s="784"/>
      <c r="ICM3" s="784"/>
      <c r="ICN3" s="785"/>
      <c r="ICO3" s="786"/>
      <c r="ICP3" s="784"/>
      <c r="ICQ3" s="784"/>
      <c r="ICR3" s="784"/>
      <c r="ICS3" s="784"/>
      <c r="ICT3" s="784"/>
      <c r="ICU3" s="784"/>
      <c r="ICV3" s="784"/>
      <c r="ICW3" s="784"/>
      <c r="ICX3" s="784"/>
      <c r="ICY3" s="784"/>
      <c r="ICZ3" s="784"/>
      <c r="IDA3" s="784"/>
      <c r="IDB3" s="784"/>
      <c r="IDC3" s="785"/>
      <c r="IDD3" s="786"/>
      <c r="IDE3" s="784"/>
      <c r="IDF3" s="784"/>
      <c r="IDG3" s="784"/>
      <c r="IDH3" s="784"/>
      <c r="IDI3" s="784"/>
      <c r="IDJ3" s="784"/>
      <c r="IDK3" s="784"/>
      <c r="IDL3" s="784"/>
      <c r="IDM3" s="784"/>
      <c r="IDN3" s="784"/>
      <c r="IDO3" s="784"/>
      <c r="IDP3" s="784"/>
      <c r="IDQ3" s="784"/>
      <c r="IDR3" s="785"/>
      <c r="IDS3" s="786"/>
      <c r="IDT3" s="784"/>
      <c r="IDU3" s="784"/>
      <c r="IDV3" s="784"/>
      <c r="IDW3" s="784"/>
      <c r="IDX3" s="784"/>
      <c r="IDY3" s="784"/>
      <c r="IDZ3" s="784"/>
      <c r="IEA3" s="784"/>
      <c r="IEB3" s="784"/>
      <c r="IEC3" s="784"/>
      <c r="IED3" s="784"/>
      <c r="IEE3" s="784"/>
      <c r="IEF3" s="784"/>
      <c r="IEG3" s="785"/>
      <c r="IEH3" s="786"/>
      <c r="IEI3" s="784"/>
      <c r="IEJ3" s="784"/>
      <c r="IEK3" s="784"/>
      <c r="IEL3" s="784"/>
      <c r="IEM3" s="784"/>
      <c r="IEN3" s="784"/>
      <c r="IEO3" s="784"/>
      <c r="IEP3" s="784"/>
      <c r="IEQ3" s="784"/>
      <c r="IER3" s="784"/>
      <c r="IES3" s="784"/>
      <c r="IET3" s="784"/>
      <c r="IEU3" s="784"/>
      <c r="IEV3" s="785"/>
      <c r="IEW3" s="786"/>
      <c r="IEX3" s="784"/>
      <c r="IEY3" s="784"/>
      <c r="IEZ3" s="784"/>
      <c r="IFA3" s="784"/>
      <c r="IFB3" s="784"/>
      <c r="IFC3" s="784"/>
      <c r="IFD3" s="784"/>
      <c r="IFE3" s="784"/>
      <c r="IFF3" s="784"/>
      <c r="IFG3" s="784"/>
      <c r="IFH3" s="784"/>
      <c r="IFI3" s="784"/>
      <c r="IFJ3" s="784"/>
      <c r="IFK3" s="785"/>
      <c r="IFL3" s="786"/>
      <c r="IFM3" s="784"/>
      <c r="IFN3" s="784"/>
      <c r="IFO3" s="784"/>
      <c r="IFP3" s="784"/>
      <c r="IFQ3" s="784"/>
      <c r="IFR3" s="784"/>
      <c r="IFS3" s="784"/>
      <c r="IFT3" s="784"/>
      <c r="IFU3" s="784"/>
      <c r="IFV3" s="784"/>
      <c r="IFW3" s="784"/>
      <c r="IFX3" s="784"/>
      <c r="IFY3" s="784"/>
      <c r="IFZ3" s="785"/>
      <c r="IGA3" s="786"/>
      <c r="IGB3" s="784"/>
      <c r="IGC3" s="784"/>
      <c r="IGD3" s="784"/>
      <c r="IGE3" s="784"/>
      <c r="IGF3" s="784"/>
      <c r="IGG3" s="784"/>
      <c r="IGH3" s="784"/>
      <c r="IGI3" s="784"/>
      <c r="IGJ3" s="784"/>
      <c r="IGK3" s="784"/>
      <c r="IGL3" s="784"/>
      <c r="IGM3" s="784"/>
      <c r="IGN3" s="784"/>
      <c r="IGO3" s="785"/>
      <c r="IGP3" s="786"/>
      <c r="IGQ3" s="784"/>
      <c r="IGR3" s="784"/>
      <c r="IGS3" s="784"/>
      <c r="IGT3" s="784"/>
      <c r="IGU3" s="784"/>
      <c r="IGV3" s="784"/>
      <c r="IGW3" s="784"/>
      <c r="IGX3" s="784"/>
      <c r="IGY3" s="784"/>
      <c r="IGZ3" s="784"/>
      <c r="IHA3" s="784"/>
      <c r="IHB3" s="784"/>
      <c r="IHC3" s="784"/>
      <c r="IHD3" s="785"/>
      <c r="IHE3" s="786"/>
      <c r="IHF3" s="784"/>
      <c r="IHG3" s="784"/>
      <c r="IHH3" s="784"/>
      <c r="IHI3" s="784"/>
      <c r="IHJ3" s="784"/>
      <c r="IHK3" s="784"/>
      <c r="IHL3" s="784"/>
      <c r="IHM3" s="784"/>
      <c r="IHN3" s="784"/>
      <c r="IHO3" s="784"/>
      <c r="IHP3" s="784"/>
      <c r="IHQ3" s="784"/>
      <c r="IHR3" s="784"/>
      <c r="IHS3" s="785"/>
      <c r="IHT3" s="786"/>
      <c r="IHU3" s="784"/>
      <c r="IHV3" s="784"/>
      <c r="IHW3" s="784"/>
      <c r="IHX3" s="784"/>
      <c r="IHY3" s="784"/>
      <c r="IHZ3" s="784"/>
      <c r="IIA3" s="784"/>
      <c r="IIB3" s="784"/>
      <c r="IIC3" s="784"/>
      <c r="IID3" s="784"/>
      <c r="IIE3" s="784"/>
      <c r="IIF3" s="784"/>
      <c r="IIG3" s="784"/>
      <c r="IIH3" s="785"/>
      <c r="III3" s="786"/>
      <c r="IIJ3" s="784"/>
      <c r="IIK3" s="784"/>
      <c r="IIL3" s="784"/>
      <c r="IIM3" s="784"/>
      <c r="IIN3" s="784"/>
      <c r="IIO3" s="784"/>
      <c r="IIP3" s="784"/>
      <c r="IIQ3" s="784"/>
      <c r="IIR3" s="784"/>
      <c r="IIS3" s="784"/>
      <c r="IIT3" s="784"/>
      <c r="IIU3" s="784"/>
      <c r="IIV3" s="784"/>
      <c r="IIW3" s="785"/>
      <c r="IIX3" s="786"/>
      <c r="IIY3" s="784"/>
      <c r="IIZ3" s="784"/>
      <c r="IJA3" s="784"/>
      <c r="IJB3" s="784"/>
      <c r="IJC3" s="784"/>
      <c r="IJD3" s="784"/>
      <c r="IJE3" s="784"/>
      <c r="IJF3" s="784"/>
      <c r="IJG3" s="784"/>
      <c r="IJH3" s="784"/>
      <c r="IJI3" s="784"/>
      <c r="IJJ3" s="784"/>
      <c r="IJK3" s="784"/>
      <c r="IJL3" s="785"/>
      <c r="IJM3" s="786"/>
      <c r="IJN3" s="784"/>
      <c r="IJO3" s="784"/>
      <c r="IJP3" s="784"/>
      <c r="IJQ3" s="784"/>
      <c r="IJR3" s="784"/>
      <c r="IJS3" s="784"/>
      <c r="IJT3" s="784"/>
      <c r="IJU3" s="784"/>
      <c r="IJV3" s="784"/>
      <c r="IJW3" s="784"/>
      <c r="IJX3" s="784"/>
      <c r="IJY3" s="784"/>
      <c r="IJZ3" s="784"/>
      <c r="IKA3" s="785"/>
      <c r="IKB3" s="786"/>
      <c r="IKC3" s="784"/>
      <c r="IKD3" s="784"/>
      <c r="IKE3" s="784"/>
      <c r="IKF3" s="784"/>
      <c r="IKG3" s="784"/>
      <c r="IKH3" s="784"/>
      <c r="IKI3" s="784"/>
      <c r="IKJ3" s="784"/>
      <c r="IKK3" s="784"/>
      <c r="IKL3" s="784"/>
      <c r="IKM3" s="784"/>
      <c r="IKN3" s="784"/>
      <c r="IKO3" s="784"/>
      <c r="IKP3" s="785"/>
      <c r="IKQ3" s="786"/>
      <c r="IKR3" s="784"/>
      <c r="IKS3" s="784"/>
      <c r="IKT3" s="784"/>
      <c r="IKU3" s="784"/>
      <c r="IKV3" s="784"/>
      <c r="IKW3" s="784"/>
      <c r="IKX3" s="784"/>
      <c r="IKY3" s="784"/>
      <c r="IKZ3" s="784"/>
      <c r="ILA3" s="784"/>
      <c r="ILB3" s="784"/>
      <c r="ILC3" s="784"/>
      <c r="ILD3" s="784"/>
      <c r="ILE3" s="785"/>
      <c r="ILF3" s="786"/>
      <c r="ILG3" s="784"/>
      <c r="ILH3" s="784"/>
      <c r="ILI3" s="784"/>
      <c r="ILJ3" s="784"/>
      <c r="ILK3" s="784"/>
      <c r="ILL3" s="784"/>
      <c r="ILM3" s="784"/>
      <c r="ILN3" s="784"/>
      <c r="ILO3" s="784"/>
      <c r="ILP3" s="784"/>
      <c r="ILQ3" s="784"/>
      <c r="ILR3" s="784"/>
      <c r="ILS3" s="784"/>
      <c r="ILT3" s="785"/>
      <c r="ILU3" s="786"/>
      <c r="ILV3" s="784"/>
      <c r="ILW3" s="784"/>
      <c r="ILX3" s="784"/>
      <c r="ILY3" s="784"/>
      <c r="ILZ3" s="784"/>
      <c r="IMA3" s="784"/>
      <c r="IMB3" s="784"/>
      <c r="IMC3" s="784"/>
      <c r="IMD3" s="784"/>
      <c r="IME3" s="784"/>
      <c r="IMF3" s="784"/>
      <c r="IMG3" s="784"/>
      <c r="IMH3" s="784"/>
      <c r="IMI3" s="785"/>
      <c r="IMJ3" s="786"/>
      <c r="IMK3" s="784"/>
      <c r="IML3" s="784"/>
      <c r="IMM3" s="784"/>
      <c r="IMN3" s="784"/>
      <c r="IMO3" s="784"/>
      <c r="IMP3" s="784"/>
      <c r="IMQ3" s="784"/>
      <c r="IMR3" s="784"/>
      <c r="IMS3" s="784"/>
      <c r="IMT3" s="784"/>
      <c r="IMU3" s="784"/>
      <c r="IMV3" s="784"/>
      <c r="IMW3" s="784"/>
      <c r="IMX3" s="785"/>
      <c r="IMY3" s="786"/>
      <c r="IMZ3" s="784"/>
      <c r="INA3" s="784"/>
      <c r="INB3" s="784"/>
      <c r="INC3" s="784"/>
      <c r="IND3" s="784"/>
      <c r="INE3" s="784"/>
      <c r="INF3" s="784"/>
      <c r="ING3" s="784"/>
      <c r="INH3" s="784"/>
      <c r="INI3" s="784"/>
      <c r="INJ3" s="784"/>
      <c r="INK3" s="784"/>
      <c r="INL3" s="784"/>
      <c r="INM3" s="785"/>
      <c r="INN3" s="786"/>
      <c r="INO3" s="784"/>
      <c r="INP3" s="784"/>
      <c r="INQ3" s="784"/>
      <c r="INR3" s="784"/>
      <c r="INS3" s="784"/>
      <c r="INT3" s="784"/>
      <c r="INU3" s="784"/>
      <c r="INV3" s="784"/>
      <c r="INW3" s="784"/>
      <c r="INX3" s="784"/>
      <c r="INY3" s="784"/>
      <c r="INZ3" s="784"/>
      <c r="IOA3" s="784"/>
      <c r="IOB3" s="785"/>
      <c r="IOC3" s="786"/>
      <c r="IOD3" s="784"/>
      <c r="IOE3" s="784"/>
      <c r="IOF3" s="784"/>
      <c r="IOG3" s="784"/>
      <c r="IOH3" s="784"/>
      <c r="IOI3" s="784"/>
      <c r="IOJ3" s="784"/>
      <c r="IOK3" s="784"/>
      <c r="IOL3" s="784"/>
      <c r="IOM3" s="784"/>
      <c r="ION3" s="784"/>
      <c r="IOO3" s="784"/>
      <c r="IOP3" s="784"/>
      <c r="IOQ3" s="785"/>
      <c r="IOR3" s="786"/>
      <c r="IOS3" s="784"/>
      <c r="IOT3" s="784"/>
      <c r="IOU3" s="784"/>
      <c r="IOV3" s="784"/>
      <c r="IOW3" s="784"/>
      <c r="IOX3" s="784"/>
      <c r="IOY3" s="784"/>
      <c r="IOZ3" s="784"/>
      <c r="IPA3" s="784"/>
      <c r="IPB3" s="784"/>
      <c r="IPC3" s="784"/>
      <c r="IPD3" s="784"/>
      <c r="IPE3" s="784"/>
      <c r="IPF3" s="785"/>
      <c r="IPG3" s="786"/>
      <c r="IPH3" s="784"/>
      <c r="IPI3" s="784"/>
      <c r="IPJ3" s="784"/>
      <c r="IPK3" s="784"/>
      <c r="IPL3" s="784"/>
      <c r="IPM3" s="784"/>
      <c r="IPN3" s="784"/>
      <c r="IPO3" s="784"/>
      <c r="IPP3" s="784"/>
      <c r="IPQ3" s="784"/>
      <c r="IPR3" s="784"/>
      <c r="IPS3" s="784"/>
      <c r="IPT3" s="784"/>
      <c r="IPU3" s="785"/>
      <c r="IPV3" s="786"/>
      <c r="IPW3" s="784"/>
      <c r="IPX3" s="784"/>
      <c r="IPY3" s="784"/>
      <c r="IPZ3" s="784"/>
      <c r="IQA3" s="784"/>
      <c r="IQB3" s="784"/>
      <c r="IQC3" s="784"/>
      <c r="IQD3" s="784"/>
      <c r="IQE3" s="784"/>
      <c r="IQF3" s="784"/>
      <c r="IQG3" s="784"/>
      <c r="IQH3" s="784"/>
      <c r="IQI3" s="784"/>
      <c r="IQJ3" s="785"/>
      <c r="IQK3" s="786"/>
      <c r="IQL3" s="784"/>
      <c r="IQM3" s="784"/>
      <c r="IQN3" s="784"/>
      <c r="IQO3" s="784"/>
      <c r="IQP3" s="784"/>
      <c r="IQQ3" s="784"/>
      <c r="IQR3" s="784"/>
      <c r="IQS3" s="784"/>
      <c r="IQT3" s="784"/>
      <c r="IQU3" s="784"/>
      <c r="IQV3" s="784"/>
      <c r="IQW3" s="784"/>
      <c r="IQX3" s="784"/>
      <c r="IQY3" s="785"/>
      <c r="IQZ3" s="786"/>
      <c r="IRA3" s="784"/>
      <c r="IRB3" s="784"/>
      <c r="IRC3" s="784"/>
      <c r="IRD3" s="784"/>
      <c r="IRE3" s="784"/>
      <c r="IRF3" s="784"/>
      <c r="IRG3" s="784"/>
      <c r="IRH3" s="784"/>
      <c r="IRI3" s="784"/>
      <c r="IRJ3" s="784"/>
      <c r="IRK3" s="784"/>
      <c r="IRL3" s="784"/>
      <c r="IRM3" s="784"/>
      <c r="IRN3" s="785"/>
      <c r="IRO3" s="786"/>
      <c r="IRP3" s="784"/>
      <c r="IRQ3" s="784"/>
      <c r="IRR3" s="784"/>
      <c r="IRS3" s="784"/>
      <c r="IRT3" s="784"/>
      <c r="IRU3" s="784"/>
      <c r="IRV3" s="784"/>
      <c r="IRW3" s="784"/>
      <c r="IRX3" s="784"/>
      <c r="IRY3" s="784"/>
      <c r="IRZ3" s="784"/>
      <c r="ISA3" s="784"/>
      <c r="ISB3" s="784"/>
      <c r="ISC3" s="785"/>
      <c r="ISD3" s="786"/>
      <c r="ISE3" s="784"/>
      <c r="ISF3" s="784"/>
      <c r="ISG3" s="784"/>
      <c r="ISH3" s="784"/>
      <c r="ISI3" s="784"/>
      <c r="ISJ3" s="784"/>
      <c r="ISK3" s="784"/>
      <c r="ISL3" s="784"/>
      <c r="ISM3" s="784"/>
      <c r="ISN3" s="784"/>
      <c r="ISO3" s="784"/>
      <c r="ISP3" s="784"/>
      <c r="ISQ3" s="784"/>
      <c r="ISR3" s="785"/>
      <c r="ISS3" s="786"/>
      <c r="IST3" s="784"/>
      <c r="ISU3" s="784"/>
      <c r="ISV3" s="784"/>
      <c r="ISW3" s="784"/>
      <c r="ISX3" s="784"/>
      <c r="ISY3" s="784"/>
      <c r="ISZ3" s="784"/>
      <c r="ITA3" s="784"/>
      <c r="ITB3" s="784"/>
      <c r="ITC3" s="784"/>
      <c r="ITD3" s="784"/>
      <c r="ITE3" s="784"/>
      <c r="ITF3" s="784"/>
      <c r="ITG3" s="785"/>
      <c r="ITH3" s="786"/>
      <c r="ITI3" s="784"/>
      <c r="ITJ3" s="784"/>
      <c r="ITK3" s="784"/>
      <c r="ITL3" s="784"/>
      <c r="ITM3" s="784"/>
      <c r="ITN3" s="784"/>
      <c r="ITO3" s="784"/>
      <c r="ITP3" s="784"/>
      <c r="ITQ3" s="784"/>
      <c r="ITR3" s="784"/>
      <c r="ITS3" s="784"/>
      <c r="ITT3" s="784"/>
      <c r="ITU3" s="784"/>
      <c r="ITV3" s="785"/>
      <c r="ITW3" s="786"/>
      <c r="ITX3" s="784"/>
      <c r="ITY3" s="784"/>
      <c r="ITZ3" s="784"/>
      <c r="IUA3" s="784"/>
      <c r="IUB3" s="784"/>
      <c r="IUC3" s="784"/>
      <c r="IUD3" s="784"/>
      <c r="IUE3" s="784"/>
      <c r="IUF3" s="784"/>
      <c r="IUG3" s="784"/>
      <c r="IUH3" s="784"/>
      <c r="IUI3" s="784"/>
      <c r="IUJ3" s="784"/>
      <c r="IUK3" s="785"/>
      <c r="IUL3" s="786"/>
      <c r="IUM3" s="784"/>
      <c r="IUN3" s="784"/>
      <c r="IUO3" s="784"/>
      <c r="IUP3" s="784"/>
      <c r="IUQ3" s="784"/>
      <c r="IUR3" s="784"/>
      <c r="IUS3" s="784"/>
      <c r="IUT3" s="784"/>
      <c r="IUU3" s="784"/>
      <c r="IUV3" s="784"/>
      <c r="IUW3" s="784"/>
      <c r="IUX3" s="784"/>
      <c r="IUY3" s="784"/>
      <c r="IUZ3" s="785"/>
      <c r="IVA3" s="786"/>
      <c r="IVB3" s="784"/>
      <c r="IVC3" s="784"/>
      <c r="IVD3" s="784"/>
      <c r="IVE3" s="784"/>
      <c r="IVF3" s="784"/>
      <c r="IVG3" s="784"/>
      <c r="IVH3" s="784"/>
      <c r="IVI3" s="784"/>
      <c r="IVJ3" s="784"/>
      <c r="IVK3" s="784"/>
      <c r="IVL3" s="784"/>
      <c r="IVM3" s="784"/>
      <c r="IVN3" s="784"/>
      <c r="IVO3" s="785"/>
      <c r="IVP3" s="786"/>
      <c r="IVQ3" s="784"/>
      <c r="IVR3" s="784"/>
      <c r="IVS3" s="784"/>
      <c r="IVT3" s="784"/>
      <c r="IVU3" s="784"/>
      <c r="IVV3" s="784"/>
      <c r="IVW3" s="784"/>
      <c r="IVX3" s="784"/>
      <c r="IVY3" s="784"/>
      <c r="IVZ3" s="784"/>
      <c r="IWA3" s="784"/>
      <c r="IWB3" s="784"/>
      <c r="IWC3" s="784"/>
      <c r="IWD3" s="785"/>
      <c r="IWE3" s="786"/>
      <c r="IWF3" s="784"/>
      <c r="IWG3" s="784"/>
      <c r="IWH3" s="784"/>
      <c r="IWI3" s="784"/>
      <c r="IWJ3" s="784"/>
      <c r="IWK3" s="784"/>
      <c r="IWL3" s="784"/>
      <c r="IWM3" s="784"/>
      <c r="IWN3" s="784"/>
      <c r="IWO3" s="784"/>
      <c r="IWP3" s="784"/>
      <c r="IWQ3" s="784"/>
      <c r="IWR3" s="784"/>
      <c r="IWS3" s="785"/>
      <c r="IWT3" s="786"/>
      <c r="IWU3" s="784"/>
      <c r="IWV3" s="784"/>
      <c r="IWW3" s="784"/>
      <c r="IWX3" s="784"/>
      <c r="IWY3" s="784"/>
      <c r="IWZ3" s="784"/>
      <c r="IXA3" s="784"/>
      <c r="IXB3" s="784"/>
      <c r="IXC3" s="784"/>
      <c r="IXD3" s="784"/>
      <c r="IXE3" s="784"/>
      <c r="IXF3" s="784"/>
      <c r="IXG3" s="784"/>
      <c r="IXH3" s="785"/>
      <c r="IXI3" s="786"/>
      <c r="IXJ3" s="784"/>
      <c r="IXK3" s="784"/>
      <c r="IXL3" s="784"/>
      <c r="IXM3" s="784"/>
      <c r="IXN3" s="784"/>
      <c r="IXO3" s="784"/>
      <c r="IXP3" s="784"/>
      <c r="IXQ3" s="784"/>
      <c r="IXR3" s="784"/>
      <c r="IXS3" s="784"/>
      <c r="IXT3" s="784"/>
      <c r="IXU3" s="784"/>
      <c r="IXV3" s="784"/>
      <c r="IXW3" s="785"/>
      <c r="IXX3" s="786"/>
      <c r="IXY3" s="784"/>
      <c r="IXZ3" s="784"/>
      <c r="IYA3" s="784"/>
      <c r="IYB3" s="784"/>
      <c r="IYC3" s="784"/>
      <c r="IYD3" s="784"/>
      <c r="IYE3" s="784"/>
      <c r="IYF3" s="784"/>
      <c r="IYG3" s="784"/>
      <c r="IYH3" s="784"/>
      <c r="IYI3" s="784"/>
      <c r="IYJ3" s="784"/>
      <c r="IYK3" s="784"/>
      <c r="IYL3" s="785"/>
      <c r="IYM3" s="786"/>
      <c r="IYN3" s="784"/>
      <c r="IYO3" s="784"/>
      <c r="IYP3" s="784"/>
      <c r="IYQ3" s="784"/>
      <c r="IYR3" s="784"/>
      <c r="IYS3" s="784"/>
      <c r="IYT3" s="784"/>
      <c r="IYU3" s="784"/>
      <c r="IYV3" s="784"/>
      <c r="IYW3" s="784"/>
      <c r="IYX3" s="784"/>
      <c r="IYY3" s="784"/>
      <c r="IYZ3" s="784"/>
      <c r="IZA3" s="785"/>
      <c r="IZB3" s="786"/>
      <c r="IZC3" s="784"/>
      <c r="IZD3" s="784"/>
      <c r="IZE3" s="784"/>
      <c r="IZF3" s="784"/>
      <c r="IZG3" s="784"/>
      <c r="IZH3" s="784"/>
      <c r="IZI3" s="784"/>
      <c r="IZJ3" s="784"/>
      <c r="IZK3" s="784"/>
      <c r="IZL3" s="784"/>
      <c r="IZM3" s="784"/>
      <c r="IZN3" s="784"/>
      <c r="IZO3" s="784"/>
      <c r="IZP3" s="785"/>
      <c r="IZQ3" s="786"/>
      <c r="IZR3" s="784"/>
      <c r="IZS3" s="784"/>
      <c r="IZT3" s="784"/>
      <c r="IZU3" s="784"/>
      <c r="IZV3" s="784"/>
      <c r="IZW3" s="784"/>
      <c r="IZX3" s="784"/>
      <c r="IZY3" s="784"/>
      <c r="IZZ3" s="784"/>
      <c r="JAA3" s="784"/>
      <c r="JAB3" s="784"/>
      <c r="JAC3" s="784"/>
      <c r="JAD3" s="784"/>
      <c r="JAE3" s="785"/>
      <c r="JAF3" s="786"/>
      <c r="JAG3" s="784"/>
      <c r="JAH3" s="784"/>
      <c r="JAI3" s="784"/>
      <c r="JAJ3" s="784"/>
      <c r="JAK3" s="784"/>
      <c r="JAL3" s="784"/>
      <c r="JAM3" s="784"/>
      <c r="JAN3" s="784"/>
      <c r="JAO3" s="784"/>
      <c r="JAP3" s="784"/>
      <c r="JAQ3" s="784"/>
      <c r="JAR3" s="784"/>
      <c r="JAS3" s="784"/>
      <c r="JAT3" s="785"/>
      <c r="JAU3" s="786"/>
      <c r="JAV3" s="784"/>
      <c r="JAW3" s="784"/>
      <c r="JAX3" s="784"/>
      <c r="JAY3" s="784"/>
      <c r="JAZ3" s="784"/>
      <c r="JBA3" s="784"/>
      <c r="JBB3" s="784"/>
      <c r="JBC3" s="784"/>
      <c r="JBD3" s="784"/>
      <c r="JBE3" s="784"/>
      <c r="JBF3" s="784"/>
      <c r="JBG3" s="784"/>
      <c r="JBH3" s="784"/>
      <c r="JBI3" s="785"/>
      <c r="JBJ3" s="786"/>
      <c r="JBK3" s="784"/>
      <c r="JBL3" s="784"/>
      <c r="JBM3" s="784"/>
      <c r="JBN3" s="784"/>
      <c r="JBO3" s="784"/>
      <c r="JBP3" s="784"/>
      <c r="JBQ3" s="784"/>
      <c r="JBR3" s="784"/>
      <c r="JBS3" s="784"/>
      <c r="JBT3" s="784"/>
      <c r="JBU3" s="784"/>
      <c r="JBV3" s="784"/>
      <c r="JBW3" s="784"/>
      <c r="JBX3" s="785"/>
      <c r="JBY3" s="786"/>
      <c r="JBZ3" s="784"/>
      <c r="JCA3" s="784"/>
      <c r="JCB3" s="784"/>
      <c r="JCC3" s="784"/>
      <c r="JCD3" s="784"/>
      <c r="JCE3" s="784"/>
      <c r="JCF3" s="784"/>
      <c r="JCG3" s="784"/>
      <c r="JCH3" s="784"/>
      <c r="JCI3" s="784"/>
      <c r="JCJ3" s="784"/>
      <c r="JCK3" s="784"/>
      <c r="JCL3" s="784"/>
      <c r="JCM3" s="785"/>
      <c r="JCN3" s="786"/>
      <c r="JCO3" s="784"/>
      <c r="JCP3" s="784"/>
      <c r="JCQ3" s="784"/>
      <c r="JCR3" s="784"/>
      <c r="JCS3" s="784"/>
      <c r="JCT3" s="784"/>
      <c r="JCU3" s="784"/>
      <c r="JCV3" s="784"/>
      <c r="JCW3" s="784"/>
      <c r="JCX3" s="784"/>
      <c r="JCY3" s="784"/>
      <c r="JCZ3" s="784"/>
      <c r="JDA3" s="784"/>
      <c r="JDB3" s="785"/>
      <c r="JDC3" s="786"/>
      <c r="JDD3" s="784"/>
      <c r="JDE3" s="784"/>
      <c r="JDF3" s="784"/>
      <c r="JDG3" s="784"/>
      <c r="JDH3" s="784"/>
      <c r="JDI3" s="784"/>
      <c r="JDJ3" s="784"/>
      <c r="JDK3" s="784"/>
      <c r="JDL3" s="784"/>
      <c r="JDM3" s="784"/>
      <c r="JDN3" s="784"/>
      <c r="JDO3" s="784"/>
      <c r="JDP3" s="784"/>
      <c r="JDQ3" s="785"/>
      <c r="JDR3" s="786"/>
      <c r="JDS3" s="784"/>
      <c r="JDT3" s="784"/>
      <c r="JDU3" s="784"/>
      <c r="JDV3" s="784"/>
      <c r="JDW3" s="784"/>
      <c r="JDX3" s="784"/>
      <c r="JDY3" s="784"/>
      <c r="JDZ3" s="784"/>
      <c r="JEA3" s="784"/>
      <c r="JEB3" s="784"/>
      <c r="JEC3" s="784"/>
      <c r="JED3" s="784"/>
      <c r="JEE3" s="784"/>
      <c r="JEF3" s="785"/>
      <c r="JEG3" s="786"/>
      <c r="JEH3" s="784"/>
      <c r="JEI3" s="784"/>
      <c r="JEJ3" s="784"/>
      <c r="JEK3" s="784"/>
      <c r="JEL3" s="784"/>
      <c r="JEM3" s="784"/>
      <c r="JEN3" s="784"/>
      <c r="JEO3" s="784"/>
      <c r="JEP3" s="784"/>
      <c r="JEQ3" s="784"/>
      <c r="JER3" s="784"/>
      <c r="JES3" s="784"/>
      <c r="JET3" s="784"/>
      <c r="JEU3" s="785"/>
      <c r="JEV3" s="786"/>
      <c r="JEW3" s="784"/>
      <c r="JEX3" s="784"/>
      <c r="JEY3" s="784"/>
      <c r="JEZ3" s="784"/>
      <c r="JFA3" s="784"/>
      <c r="JFB3" s="784"/>
      <c r="JFC3" s="784"/>
      <c r="JFD3" s="784"/>
      <c r="JFE3" s="784"/>
      <c r="JFF3" s="784"/>
      <c r="JFG3" s="784"/>
      <c r="JFH3" s="784"/>
      <c r="JFI3" s="784"/>
      <c r="JFJ3" s="785"/>
      <c r="JFK3" s="786"/>
      <c r="JFL3" s="784"/>
      <c r="JFM3" s="784"/>
      <c r="JFN3" s="784"/>
      <c r="JFO3" s="784"/>
      <c r="JFP3" s="784"/>
      <c r="JFQ3" s="784"/>
      <c r="JFR3" s="784"/>
      <c r="JFS3" s="784"/>
      <c r="JFT3" s="784"/>
      <c r="JFU3" s="784"/>
      <c r="JFV3" s="784"/>
      <c r="JFW3" s="784"/>
      <c r="JFX3" s="784"/>
      <c r="JFY3" s="785"/>
      <c r="JFZ3" s="786"/>
      <c r="JGA3" s="784"/>
      <c r="JGB3" s="784"/>
      <c r="JGC3" s="784"/>
      <c r="JGD3" s="784"/>
      <c r="JGE3" s="784"/>
      <c r="JGF3" s="784"/>
      <c r="JGG3" s="784"/>
      <c r="JGH3" s="784"/>
      <c r="JGI3" s="784"/>
      <c r="JGJ3" s="784"/>
      <c r="JGK3" s="784"/>
      <c r="JGL3" s="784"/>
      <c r="JGM3" s="784"/>
      <c r="JGN3" s="785"/>
      <c r="JGO3" s="786"/>
      <c r="JGP3" s="784"/>
      <c r="JGQ3" s="784"/>
      <c r="JGR3" s="784"/>
      <c r="JGS3" s="784"/>
      <c r="JGT3" s="784"/>
      <c r="JGU3" s="784"/>
      <c r="JGV3" s="784"/>
      <c r="JGW3" s="784"/>
      <c r="JGX3" s="784"/>
      <c r="JGY3" s="784"/>
      <c r="JGZ3" s="784"/>
      <c r="JHA3" s="784"/>
      <c r="JHB3" s="784"/>
      <c r="JHC3" s="785"/>
      <c r="JHD3" s="786"/>
      <c r="JHE3" s="784"/>
      <c r="JHF3" s="784"/>
      <c r="JHG3" s="784"/>
      <c r="JHH3" s="784"/>
      <c r="JHI3" s="784"/>
      <c r="JHJ3" s="784"/>
      <c r="JHK3" s="784"/>
      <c r="JHL3" s="784"/>
      <c r="JHM3" s="784"/>
      <c r="JHN3" s="784"/>
      <c r="JHO3" s="784"/>
      <c r="JHP3" s="784"/>
      <c r="JHQ3" s="784"/>
      <c r="JHR3" s="785"/>
      <c r="JHS3" s="786"/>
      <c r="JHT3" s="784"/>
      <c r="JHU3" s="784"/>
      <c r="JHV3" s="784"/>
      <c r="JHW3" s="784"/>
      <c r="JHX3" s="784"/>
      <c r="JHY3" s="784"/>
      <c r="JHZ3" s="784"/>
      <c r="JIA3" s="784"/>
      <c r="JIB3" s="784"/>
      <c r="JIC3" s="784"/>
      <c r="JID3" s="784"/>
      <c r="JIE3" s="784"/>
      <c r="JIF3" s="784"/>
      <c r="JIG3" s="785"/>
      <c r="JIH3" s="786"/>
      <c r="JII3" s="784"/>
      <c r="JIJ3" s="784"/>
      <c r="JIK3" s="784"/>
      <c r="JIL3" s="784"/>
      <c r="JIM3" s="784"/>
      <c r="JIN3" s="784"/>
      <c r="JIO3" s="784"/>
      <c r="JIP3" s="784"/>
      <c r="JIQ3" s="784"/>
      <c r="JIR3" s="784"/>
      <c r="JIS3" s="784"/>
      <c r="JIT3" s="784"/>
      <c r="JIU3" s="784"/>
      <c r="JIV3" s="785"/>
      <c r="JIW3" s="786"/>
      <c r="JIX3" s="784"/>
      <c r="JIY3" s="784"/>
      <c r="JIZ3" s="784"/>
      <c r="JJA3" s="784"/>
      <c r="JJB3" s="784"/>
      <c r="JJC3" s="784"/>
      <c r="JJD3" s="784"/>
      <c r="JJE3" s="784"/>
      <c r="JJF3" s="784"/>
      <c r="JJG3" s="784"/>
      <c r="JJH3" s="784"/>
      <c r="JJI3" s="784"/>
      <c r="JJJ3" s="784"/>
      <c r="JJK3" s="785"/>
      <c r="JJL3" s="786"/>
      <c r="JJM3" s="784"/>
      <c r="JJN3" s="784"/>
      <c r="JJO3" s="784"/>
      <c r="JJP3" s="784"/>
      <c r="JJQ3" s="784"/>
      <c r="JJR3" s="784"/>
      <c r="JJS3" s="784"/>
      <c r="JJT3" s="784"/>
      <c r="JJU3" s="784"/>
      <c r="JJV3" s="784"/>
      <c r="JJW3" s="784"/>
      <c r="JJX3" s="784"/>
      <c r="JJY3" s="784"/>
      <c r="JJZ3" s="785"/>
      <c r="JKA3" s="786"/>
      <c r="JKB3" s="784"/>
      <c r="JKC3" s="784"/>
      <c r="JKD3" s="784"/>
      <c r="JKE3" s="784"/>
      <c r="JKF3" s="784"/>
      <c r="JKG3" s="784"/>
      <c r="JKH3" s="784"/>
      <c r="JKI3" s="784"/>
      <c r="JKJ3" s="784"/>
      <c r="JKK3" s="784"/>
      <c r="JKL3" s="784"/>
      <c r="JKM3" s="784"/>
      <c r="JKN3" s="784"/>
      <c r="JKO3" s="785"/>
      <c r="JKP3" s="786"/>
      <c r="JKQ3" s="784"/>
      <c r="JKR3" s="784"/>
      <c r="JKS3" s="784"/>
      <c r="JKT3" s="784"/>
      <c r="JKU3" s="784"/>
      <c r="JKV3" s="784"/>
      <c r="JKW3" s="784"/>
      <c r="JKX3" s="784"/>
      <c r="JKY3" s="784"/>
      <c r="JKZ3" s="784"/>
      <c r="JLA3" s="784"/>
      <c r="JLB3" s="784"/>
      <c r="JLC3" s="784"/>
      <c r="JLD3" s="785"/>
      <c r="JLE3" s="786"/>
      <c r="JLF3" s="784"/>
      <c r="JLG3" s="784"/>
      <c r="JLH3" s="784"/>
      <c r="JLI3" s="784"/>
      <c r="JLJ3" s="784"/>
      <c r="JLK3" s="784"/>
      <c r="JLL3" s="784"/>
      <c r="JLM3" s="784"/>
      <c r="JLN3" s="784"/>
      <c r="JLO3" s="784"/>
      <c r="JLP3" s="784"/>
      <c r="JLQ3" s="784"/>
      <c r="JLR3" s="784"/>
      <c r="JLS3" s="785"/>
      <c r="JLT3" s="786"/>
      <c r="JLU3" s="784"/>
      <c r="JLV3" s="784"/>
      <c r="JLW3" s="784"/>
      <c r="JLX3" s="784"/>
      <c r="JLY3" s="784"/>
      <c r="JLZ3" s="784"/>
      <c r="JMA3" s="784"/>
      <c r="JMB3" s="784"/>
      <c r="JMC3" s="784"/>
      <c r="JMD3" s="784"/>
      <c r="JME3" s="784"/>
      <c r="JMF3" s="784"/>
      <c r="JMG3" s="784"/>
      <c r="JMH3" s="785"/>
      <c r="JMI3" s="786"/>
      <c r="JMJ3" s="784"/>
      <c r="JMK3" s="784"/>
      <c r="JML3" s="784"/>
      <c r="JMM3" s="784"/>
      <c r="JMN3" s="784"/>
      <c r="JMO3" s="784"/>
      <c r="JMP3" s="784"/>
      <c r="JMQ3" s="784"/>
      <c r="JMR3" s="784"/>
      <c r="JMS3" s="784"/>
      <c r="JMT3" s="784"/>
      <c r="JMU3" s="784"/>
      <c r="JMV3" s="784"/>
      <c r="JMW3" s="785"/>
      <c r="JMX3" s="786"/>
      <c r="JMY3" s="784"/>
      <c r="JMZ3" s="784"/>
      <c r="JNA3" s="784"/>
      <c r="JNB3" s="784"/>
      <c r="JNC3" s="784"/>
      <c r="JND3" s="784"/>
      <c r="JNE3" s="784"/>
      <c r="JNF3" s="784"/>
      <c r="JNG3" s="784"/>
      <c r="JNH3" s="784"/>
      <c r="JNI3" s="784"/>
      <c r="JNJ3" s="784"/>
      <c r="JNK3" s="784"/>
      <c r="JNL3" s="785"/>
      <c r="JNM3" s="786"/>
      <c r="JNN3" s="784"/>
      <c r="JNO3" s="784"/>
      <c r="JNP3" s="784"/>
      <c r="JNQ3" s="784"/>
      <c r="JNR3" s="784"/>
      <c r="JNS3" s="784"/>
      <c r="JNT3" s="784"/>
      <c r="JNU3" s="784"/>
      <c r="JNV3" s="784"/>
      <c r="JNW3" s="784"/>
      <c r="JNX3" s="784"/>
      <c r="JNY3" s="784"/>
      <c r="JNZ3" s="784"/>
      <c r="JOA3" s="785"/>
      <c r="JOB3" s="786"/>
      <c r="JOC3" s="784"/>
      <c r="JOD3" s="784"/>
      <c r="JOE3" s="784"/>
      <c r="JOF3" s="784"/>
      <c r="JOG3" s="784"/>
      <c r="JOH3" s="784"/>
      <c r="JOI3" s="784"/>
      <c r="JOJ3" s="784"/>
      <c r="JOK3" s="784"/>
      <c r="JOL3" s="784"/>
      <c r="JOM3" s="784"/>
      <c r="JON3" s="784"/>
      <c r="JOO3" s="784"/>
      <c r="JOP3" s="785"/>
      <c r="JOQ3" s="786"/>
      <c r="JOR3" s="784"/>
      <c r="JOS3" s="784"/>
      <c r="JOT3" s="784"/>
      <c r="JOU3" s="784"/>
      <c r="JOV3" s="784"/>
      <c r="JOW3" s="784"/>
      <c r="JOX3" s="784"/>
      <c r="JOY3" s="784"/>
      <c r="JOZ3" s="784"/>
      <c r="JPA3" s="784"/>
      <c r="JPB3" s="784"/>
      <c r="JPC3" s="784"/>
      <c r="JPD3" s="784"/>
      <c r="JPE3" s="785"/>
      <c r="JPF3" s="786"/>
      <c r="JPG3" s="784"/>
      <c r="JPH3" s="784"/>
      <c r="JPI3" s="784"/>
      <c r="JPJ3" s="784"/>
      <c r="JPK3" s="784"/>
      <c r="JPL3" s="784"/>
      <c r="JPM3" s="784"/>
      <c r="JPN3" s="784"/>
      <c r="JPO3" s="784"/>
      <c r="JPP3" s="784"/>
      <c r="JPQ3" s="784"/>
      <c r="JPR3" s="784"/>
      <c r="JPS3" s="784"/>
      <c r="JPT3" s="785"/>
      <c r="JPU3" s="786"/>
      <c r="JPV3" s="784"/>
      <c r="JPW3" s="784"/>
      <c r="JPX3" s="784"/>
      <c r="JPY3" s="784"/>
      <c r="JPZ3" s="784"/>
      <c r="JQA3" s="784"/>
      <c r="JQB3" s="784"/>
      <c r="JQC3" s="784"/>
      <c r="JQD3" s="784"/>
      <c r="JQE3" s="784"/>
      <c r="JQF3" s="784"/>
      <c r="JQG3" s="784"/>
      <c r="JQH3" s="784"/>
      <c r="JQI3" s="785"/>
      <c r="JQJ3" s="786"/>
      <c r="JQK3" s="784"/>
      <c r="JQL3" s="784"/>
      <c r="JQM3" s="784"/>
      <c r="JQN3" s="784"/>
      <c r="JQO3" s="784"/>
      <c r="JQP3" s="784"/>
      <c r="JQQ3" s="784"/>
      <c r="JQR3" s="784"/>
      <c r="JQS3" s="784"/>
      <c r="JQT3" s="784"/>
      <c r="JQU3" s="784"/>
      <c r="JQV3" s="784"/>
      <c r="JQW3" s="784"/>
      <c r="JQX3" s="785"/>
      <c r="JQY3" s="786"/>
      <c r="JQZ3" s="784"/>
      <c r="JRA3" s="784"/>
      <c r="JRB3" s="784"/>
      <c r="JRC3" s="784"/>
      <c r="JRD3" s="784"/>
      <c r="JRE3" s="784"/>
      <c r="JRF3" s="784"/>
      <c r="JRG3" s="784"/>
      <c r="JRH3" s="784"/>
      <c r="JRI3" s="784"/>
      <c r="JRJ3" s="784"/>
      <c r="JRK3" s="784"/>
      <c r="JRL3" s="784"/>
      <c r="JRM3" s="785"/>
      <c r="JRN3" s="786"/>
      <c r="JRO3" s="784"/>
      <c r="JRP3" s="784"/>
      <c r="JRQ3" s="784"/>
      <c r="JRR3" s="784"/>
      <c r="JRS3" s="784"/>
      <c r="JRT3" s="784"/>
      <c r="JRU3" s="784"/>
      <c r="JRV3" s="784"/>
      <c r="JRW3" s="784"/>
      <c r="JRX3" s="784"/>
      <c r="JRY3" s="784"/>
      <c r="JRZ3" s="784"/>
      <c r="JSA3" s="784"/>
      <c r="JSB3" s="785"/>
      <c r="JSC3" s="786"/>
      <c r="JSD3" s="784"/>
      <c r="JSE3" s="784"/>
      <c r="JSF3" s="784"/>
      <c r="JSG3" s="784"/>
      <c r="JSH3" s="784"/>
      <c r="JSI3" s="784"/>
      <c r="JSJ3" s="784"/>
      <c r="JSK3" s="784"/>
      <c r="JSL3" s="784"/>
      <c r="JSM3" s="784"/>
      <c r="JSN3" s="784"/>
      <c r="JSO3" s="784"/>
      <c r="JSP3" s="784"/>
      <c r="JSQ3" s="785"/>
      <c r="JSR3" s="786"/>
      <c r="JSS3" s="784"/>
      <c r="JST3" s="784"/>
      <c r="JSU3" s="784"/>
      <c r="JSV3" s="784"/>
      <c r="JSW3" s="784"/>
      <c r="JSX3" s="784"/>
      <c r="JSY3" s="784"/>
      <c r="JSZ3" s="784"/>
      <c r="JTA3" s="784"/>
      <c r="JTB3" s="784"/>
      <c r="JTC3" s="784"/>
      <c r="JTD3" s="784"/>
      <c r="JTE3" s="784"/>
      <c r="JTF3" s="785"/>
      <c r="JTG3" s="786"/>
      <c r="JTH3" s="784"/>
      <c r="JTI3" s="784"/>
      <c r="JTJ3" s="784"/>
      <c r="JTK3" s="784"/>
      <c r="JTL3" s="784"/>
      <c r="JTM3" s="784"/>
      <c r="JTN3" s="784"/>
      <c r="JTO3" s="784"/>
      <c r="JTP3" s="784"/>
      <c r="JTQ3" s="784"/>
      <c r="JTR3" s="784"/>
      <c r="JTS3" s="784"/>
      <c r="JTT3" s="784"/>
      <c r="JTU3" s="785"/>
      <c r="JTV3" s="786"/>
      <c r="JTW3" s="784"/>
      <c r="JTX3" s="784"/>
      <c r="JTY3" s="784"/>
      <c r="JTZ3" s="784"/>
      <c r="JUA3" s="784"/>
      <c r="JUB3" s="784"/>
      <c r="JUC3" s="784"/>
      <c r="JUD3" s="784"/>
      <c r="JUE3" s="784"/>
      <c r="JUF3" s="784"/>
      <c r="JUG3" s="784"/>
      <c r="JUH3" s="784"/>
      <c r="JUI3" s="784"/>
      <c r="JUJ3" s="785"/>
      <c r="JUK3" s="786"/>
      <c r="JUL3" s="784"/>
      <c r="JUM3" s="784"/>
      <c r="JUN3" s="784"/>
      <c r="JUO3" s="784"/>
      <c r="JUP3" s="784"/>
      <c r="JUQ3" s="784"/>
      <c r="JUR3" s="784"/>
      <c r="JUS3" s="784"/>
      <c r="JUT3" s="784"/>
      <c r="JUU3" s="784"/>
      <c r="JUV3" s="784"/>
      <c r="JUW3" s="784"/>
      <c r="JUX3" s="784"/>
      <c r="JUY3" s="785"/>
      <c r="JUZ3" s="786"/>
      <c r="JVA3" s="784"/>
      <c r="JVB3" s="784"/>
      <c r="JVC3" s="784"/>
      <c r="JVD3" s="784"/>
      <c r="JVE3" s="784"/>
      <c r="JVF3" s="784"/>
      <c r="JVG3" s="784"/>
      <c r="JVH3" s="784"/>
      <c r="JVI3" s="784"/>
      <c r="JVJ3" s="784"/>
      <c r="JVK3" s="784"/>
      <c r="JVL3" s="784"/>
      <c r="JVM3" s="784"/>
      <c r="JVN3" s="785"/>
      <c r="JVO3" s="786"/>
      <c r="JVP3" s="784"/>
      <c r="JVQ3" s="784"/>
      <c r="JVR3" s="784"/>
      <c r="JVS3" s="784"/>
      <c r="JVT3" s="784"/>
      <c r="JVU3" s="784"/>
      <c r="JVV3" s="784"/>
      <c r="JVW3" s="784"/>
      <c r="JVX3" s="784"/>
      <c r="JVY3" s="784"/>
      <c r="JVZ3" s="784"/>
      <c r="JWA3" s="784"/>
      <c r="JWB3" s="784"/>
      <c r="JWC3" s="785"/>
      <c r="JWD3" s="786"/>
      <c r="JWE3" s="784"/>
      <c r="JWF3" s="784"/>
      <c r="JWG3" s="784"/>
      <c r="JWH3" s="784"/>
      <c r="JWI3" s="784"/>
      <c r="JWJ3" s="784"/>
      <c r="JWK3" s="784"/>
      <c r="JWL3" s="784"/>
      <c r="JWM3" s="784"/>
      <c r="JWN3" s="784"/>
      <c r="JWO3" s="784"/>
      <c r="JWP3" s="784"/>
      <c r="JWQ3" s="784"/>
      <c r="JWR3" s="785"/>
      <c r="JWS3" s="786"/>
      <c r="JWT3" s="784"/>
      <c r="JWU3" s="784"/>
      <c r="JWV3" s="784"/>
      <c r="JWW3" s="784"/>
      <c r="JWX3" s="784"/>
      <c r="JWY3" s="784"/>
      <c r="JWZ3" s="784"/>
      <c r="JXA3" s="784"/>
      <c r="JXB3" s="784"/>
      <c r="JXC3" s="784"/>
      <c r="JXD3" s="784"/>
      <c r="JXE3" s="784"/>
      <c r="JXF3" s="784"/>
      <c r="JXG3" s="785"/>
      <c r="JXH3" s="786"/>
      <c r="JXI3" s="784"/>
      <c r="JXJ3" s="784"/>
      <c r="JXK3" s="784"/>
      <c r="JXL3" s="784"/>
      <c r="JXM3" s="784"/>
      <c r="JXN3" s="784"/>
      <c r="JXO3" s="784"/>
      <c r="JXP3" s="784"/>
      <c r="JXQ3" s="784"/>
      <c r="JXR3" s="784"/>
      <c r="JXS3" s="784"/>
      <c r="JXT3" s="784"/>
      <c r="JXU3" s="784"/>
      <c r="JXV3" s="785"/>
      <c r="JXW3" s="786"/>
      <c r="JXX3" s="784"/>
      <c r="JXY3" s="784"/>
      <c r="JXZ3" s="784"/>
      <c r="JYA3" s="784"/>
      <c r="JYB3" s="784"/>
      <c r="JYC3" s="784"/>
      <c r="JYD3" s="784"/>
      <c r="JYE3" s="784"/>
      <c r="JYF3" s="784"/>
      <c r="JYG3" s="784"/>
      <c r="JYH3" s="784"/>
      <c r="JYI3" s="784"/>
      <c r="JYJ3" s="784"/>
      <c r="JYK3" s="785"/>
      <c r="JYL3" s="786"/>
      <c r="JYM3" s="784"/>
      <c r="JYN3" s="784"/>
      <c r="JYO3" s="784"/>
      <c r="JYP3" s="784"/>
      <c r="JYQ3" s="784"/>
      <c r="JYR3" s="784"/>
      <c r="JYS3" s="784"/>
      <c r="JYT3" s="784"/>
      <c r="JYU3" s="784"/>
      <c r="JYV3" s="784"/>
      <c r="JYW3" s="784"/>
      <c r="JYX3" s="784"/>
      <c r="JYY3" s="784"/>
      <c r="JYZ3" s="785"/>
      <c r="JZA3" s="786"/>
      <c r="JZB3" s="784"/>
      <c r="JZC3" s="784"/>
      <c r="JZD3" s="784"/>
      <c r="JZE3" s="784"/>
      <c r="JZF3" s="784"/>
      <c r="JZG3" s="784"/>
      <c r="JZH3" s="784"/>
      <c r="JZI3" s="784"/>
      <c r="JZJ3" s="784"/>
      <c r="JZK3" s="784"/>
      <c r="JZL3" s="784"/>
      <c r="JZM3" s="784"/>
      <c r="JZN3" s="784"/>
      <c r="JZO3" s="785"/>
      <c r="JZP3" s="786"/>
      <c r="JZQ3" s="784"/>
      <c r="JZR3" s="784"/>
      <c r="JZS3" s="784"/>
      <c r="JZT3" s="784"/>
      <c r="JZU3" s="784"/>
      <c r="JZV3" s="784"/>
      <c r="JZW3" s="784"/>
      <c r="JZX3" s="784"/>
      <c r="JZY3" s="784"/>
      <c r="JZZ3" s="784"/>
      <c r="KAA3" s="784"/>
      <c r="KAB3" s="784"/>
      <c r="KAC3" s="784"/>
      <c r="KAD3" s="785"/>
      <c r="KAE3" s="786"/>
      <c r="KAF3" s="784"/>
      <c r="KAG3" s="784"/>
      <c r="KAH3" s="784"/>
      <c r="KAI3" s="784"/>
      <c r="KAJ3" s="784"/>
      <c r="KAK3" s="784"/>
      <c r="KAL3" s="784"/>
      <c r="KAM3" s="784"/>
      <c r="KAN3" s="784"/>
      <c r="KAO3" s="784"/>
      <c r="KAP3" s="784"/>
      <c r="KAQ3" s="784"/>
      <c r="KAR3" s="784"/>
      <c r="KAS3" s="785"/>
      <c r="KAT3" s="786"/>
      <c r="KAU3" s="784"/>
      <c r="KAV3" s="784"/>
      <c r="KAW3" s="784"/>
      <c r="KAX3" s="784"/>
      <c r="KAY3" s="784"/>
      <c r="KAZ3" s="784"/>
      <c r="KBA3" s="784"/>
      <c r="KBB3" s="784"/>
      <c r="KBC3" s="784"/>
      <c r="KBD3" s="784"/>
      <c r="KBE3" s="784"/>
      <c r="KBF3" s="784"/>
      <c r="KBG3" s="784"/>
      <c r="KBH3" s="785"/>
      <c r="KBI3" s="786"/>
      <c r="KBJ3" s="784"/>
      <c r="KBK3" s="784"/>
      <c r="KBL3" s="784"/>
      <c r="KBM3" s="784"/>
      <c r="KBN3" s="784"/>
      <c r="KBO3" s="784"/>
      <c r="KBP3" s="784"/>
      <c r="KBQ3" s="784"/>
      <c r="KBR3" s="784"/>
      <c r="KBS3" s="784"/>
      <c r="KBT3" s="784"/>
      <c r="KBU3" s="784"/>
      <c r="KBV3" s="784"/>
      <c r="KBW3" s="785"/>
      <c r="KBX3" s="786"/>
      <c r="KBY3" s="784"/>
      <c r="KBZ3" s="784"/>
      <c r="KCA3" s="784"/>
      <c r="KCB3" s="784"/>
      <c r="KCC3" s="784"/>
      <c r="KCD3" s="784"/>
      <c r="KCE3" s="784"/>
      <c r="KCF3" s="784"/>
      <c r="KCG3" s="784"/>
      <c r="KCH3" s="784"/>
      <c r="KCI3" s="784"/>
      <c r="KCJ3" s="784"/>
      <c r="KCK3" s="784"/>
      <c r="KCL3" s="785"/>
      <c r="KCM3" s="786"/>
      <c r="KCN3" s="784"/>
      <c r="KCO3" s="784"/>
      <c r="KCP3" s="784"/>
      <c r="KCQ3" s="784"/>
      <c r="KCR3" s="784"/>
      <c r="KCS3" s="784"/>
      <c r="KCT3" s="784"/>
      <c r="KCU3" s="784"/>
      <c r="KCV3" s="784"/>
      <c r="KCW3" s="784"/>
      <c r="KCX3" s="784"/>
      <c r="KCY3" s="784"/>
      <c r="KCZ3" s="784"/>
      <c r="KDA3" s="785"/>
      <c r="KDB3" s="786"/>
      <c r="KDC3" s="784"/>
      <c r="KDD3" s="784"/>
      <c r="KDE3" s="784"/>
      <c r="KDF3" s="784"/>
      <c r="KDG3" s="784"/>
      <c r="KDH3" s="784"/>
      <c r="KDI3" s="784"/>
      <c r="KDJ3" s="784"/>
      <c r="KDK3" s="784"/>
      <c r="KDL3" s="784"/>
      <c r="KDM3" s="784"/>
      <c r="KDN3" s="784"/>
      <c r="KDO3" s="784"/>
      <c r="KDP3" s="785"/>
      <c r="KDQ3" s="786"/>
      <c r="KDR3" s="784"/>
      <c r="KDS3" s="784"/>
      <c r="KDT3" s="784"/>
      <c r="KDU3" s="784"/>
      <c r="KDV3" s="784"/>
      <c r="KDW3" s="784"/>
      <c r="KDX3" s="784"/>
      <c r="KDY3" s="784"/>
      <c r="KDZ3" s="784"/>
      <c r="KEA3" s="784"/>
      <c r="KEB3" s="784"/>
      <c r="KEC3" s="784"/>
      <c r="KED3" s="784"/>
      <c r="KEE3" s="785"/>
      <c r="KEF3" s="786"/>
      <c r="KEG3" s="784"/>
      <c r="KEH3" s="784"/>
      <c r="KEI3" s="784"/>
      <c r="KEJ3" s="784"/>
      <c r="KEK3" s="784"/>
      <c r="KEL3" s="784"/>
      <c r="KEM3" s="784"/>
      <c r="KEN3" s="784"/>
      <c r="KEO3" s="784"/>
      <c r="KEP3" s="784"/>
      <c r="KEQ3" s="784"/>
      <c r="KER3" s="784"/>
      <c r="KES3" s="784"/>
      <c r="KET3" s="785"/>
      <c r="KEU3" s="786"/>
      <c r="KEV3" s="784"/>
      <c r="KEW3" s="784"/>
      <c r="KEX3" s="784"/>
      <c r="KEY3" s="784"/>
      <c r="KEZ3" s="784"/>
      <c r="KFA3" s="784"/>
      <c r="KFB3" s="784"/>
      <c r="KFC3" s="784"/>
      <c r="KFD3" s="784"/>
      <c r="KFE3" s="784"/>
      <c r="KFF3" s="784"/>
      <c r="KFG3" s="784"/>
      <c r="KFH3" s="784"/>
      <c r="KFI3" s="785"/>
      <c r="KFJ3" s="786"/>
      <c r="KFK3" s="784"/>
      <c r="KFL3" s="784"/>
      <c r="KFM3" s="784"/>
      <c r="KFN3" s="784"/>
      <c r="KFO3" s="784"/>
      <c r="KFP3" s="784"/>
      <c r="KFQ3" s="784"/>
      <c r="KFR3" s="784"/>
      <c r="KFS3" s="784"/>
      <c r="KFT3" s="784"/>
      <c r="KFU3" s="784"/>
      <c r="KFV3" s="784"/>
      <c r="KFW3" s="784"/>
      <c r="KFX3" s="785"/>
      <c r="KFY3" s="786"/>
      <c r="KFZ3" s="784"/>
      <c r="KGA3" s="784"/>
      <c r="KGB3" s="784"/>
      <c r="KGC3" s="784"/>
      <c r="KGD3" s="784"/>
      <c r="KGE3" s="784"/>
      <c r="KGF3" s="784"/>
      <c r="KGG3" s="784"/>
      <c r="KGH3" s="784"/>
      <c r="KGI3" s="784"/>
      <c r="KGJ3" s="784"/>
      <c r="KGK3" s="784"/>
      <c r="KGL3" s="784"/>
      <c r="KGM3" s="785"/>
      <c r="KGN3" s="786"/>
      <c r="KGO3" s="784"/>
      <c r="KGP3" s="784"/>
      <c r="KGQ3" s="784"/>
      <c r="KGR3" s="784"/>
      <c r="KGS3" s="784"/>
      <c r="KGT3" s="784"/>
      <c r="KGU3" s="784"/>
      <c r="KGV3" s="784"/>
      <c r="KGW3" s="784"/>
      <c r="KGX3" s="784"/>
      <c r="KGY3" s="784"/>
      <c r="KGZ3" s="784"/>
      <c r="KHA3" s="784"/>
      <c r="KHB3" s="785"/>
      <c r="KHC3" s="786"/>
      <c r="KHD3" s="784"/>
      <c r="KHE3" s="784"/>
      <c r="KHF3" s="784"/>
      <c r="KHG3" s="784"/>
      <c r="KHH3" s="784"/>
      <c r="KHI3" s="784"/>
      <c r="KHJ3" s="784"/>
      <c r="KHK3" s="784"/>
      <c r="KHL3" s="784"/>
      <c r="KHM3" s="784"/>
      <c r="KHN3" s="784"/>
      <c r="KHO3" s="784"/>
      <c r="KHP3" s="784"/>
      <c r="KHQ3" s="785"/>
      <c r="KHR3" s="786"/>
      <c r="KHS3" s="784"/>
      <c r="KHT3" s="784"/>
      <c r="KHU3" s="784"/>
      <c r="KHV3" s="784"/>
      <c r="KHW3" s="784"/>
      <c r="KHX3" s="784"/>
      <c r="KHY3" s="784"/>
      <c r="KHZ3" s="784"/>
      <c r="KIA3" s="784"/>
      <c r="KIB3" s="784"/>
      <c r="KIC3" s="784"/>
      <c r="KID3" s="784"/>
      <c r="KIE3" s="784"/>
      <c r="KIF3" s="785"/>
      <c r="KIG3" s="786"/>
      <c r="KIH3" s="784"/>
      <c r="KII3" s="784"/>
      <c r="KIJ3" s="784"/>
      <c r="KIK3" s="784"/>
      <c r="KIL3" s="784"/>
      <c r="KIM3" s="784"/>
      <c r="KIN3" s="784"/>
      <c r="KIO3" s="784"/>
      <c r="KIP3" s="784"/>
      <c r="KIQ3" s="784"/>
      <c r="KIR3" s="784"/>
      <c r="KIS3" s="784"/>
      <c r="KIT3" s="784"/>
      <c r="KIU3" s="785"/>
      <c r="KIV3" s="786"/>
      <c r="KIW3" s="784"/>
      <c r="KIX3" s="784"/>
      <c r="KIY3" s="784"/>
      <c r="KIZ3" s="784"/>
      <c r="KJA3" s="784"/>
      <c r="KJB3" s="784"/>
      <c r="KJC3" s="784"/>
      <c r="KJD3" s="784"/>
      <c r="KJE3" s="784"/>
      <c r="KJF3" s="784"/>
      <c r="KJG3" s="784"/>
      <c r="KJH3" s="784"/>
      <c r="KJI3" s="784"/>
      <c r="KJJ3" s="785"/>
      <c r="KJK3" s="786"/>
      <c r="KJL3" s="784"/>
      <c r="KJM3" s="784"/>
      <c r="KJN3" s="784"/>
      <c r="KJO3" s="784"/>
      <c r="KJP3" s="784"/>
      <c r="KJQ3" s="784"/>
      <c r="KJR3" s="784"/>
      <c r="KJS3" s="784"/>
      <c r="KJT3" s="784"/>
      <c r="KJU3" s="784"/>
      <c r="KJV3" s="784"/>
      <c r="KJW3" s="784"/>
      <c r="KJX3" s="784"/>
      <c r="KJY3" s="785"/>
      <c r="KJZ3" s="786"/>
      <c r="KKA3" s="784"/>
      <c r="KKB3" s="784"/>
      <c r="KKC3" s="784"/>
      <c r="KKD3" s="784"/>
      <c r="KKE3" s="784"/>
      <c r="KKF3" s="784"/>
      <c r="KKG3" s="784"/>
      <c r="KKH3" s="784"/>
      <c r="KKI3" s="784"/>
      <c r="KKJ3" s="784"/>
      <c r="KKK3" s="784"/>
      <c r="KKL3" s="784"/>
      <c r="KKM3" s="784"/>
      <c r="KKN3" s="785"/>
      <c r="KKO3" s="786"/>
      <c r="KKP3" s="784"/>
      <c r="KKQ3" s="784"/>
      <c r="KKR3" s="784"/>
      <c r="KKS3" s="784"/>
      <c r="KKT3" s="784"/>
      <c r="KKU3" s="784"/>
      <c r="KKV3" s="784"/>
      <c r="KKW3" s="784"/>
      <c r="KKX3" s="784"/>
      <c r="KKY3" s="784"/>
      <c r="KKZ3" s="784"/>
      <c r="KLA3" s="784"/>
      <c r="KLB3" s="784"/>
      <c r="KLC3" s="785"/>
      <c r="KLD3" s="786"/>
      <c r="KLE3" s="784"/>
      <c r="KLF3" s="784"/>
      <c r="KLG3" s="784"/>
      <c r="KLH3" s="784"/>
      <c r="KLI3" s="784"/>
      <c r="KLJ3" s="784"/>
      <c r="KLK3" s="784"/>
      <c r="KLL3" s="784"/>
      <c r="KLM3" s="784"/>
      <c r="KLN3" s="784"/>
      <c r="KLO3" s="784"/>
      <c r="KLP3" s="784"/>
      <c r="KLQ3" s="784"/>
      <c r="KLR3" s="785"/>
      <c r="KLS3" s="786"/>
      <c r="KLT3" s="784"/>
      <c r="KLU3" s="784"/>
      <c r="KLV3" s="784"/>
      <c r="KLW3" s="784"/>
      <c r="KLX3" s="784"/>
      <c r="KLY3" s="784"/>
      <c r="KLZ3" s="784"/>
      <c r="KMA3" s="784"/>
      <c r="KMB3" s="784"/>
      <c r="KMC3" s="784"/>
      <c r="KMD3" s="784"/>
      <c r="KME3" s="784"/>
      <c r="KMF3" s="784"/>
      <c r="KMG3" s="785"/>
      <c r="KMH3" s="786"/>
      <c r="KMI3" s="784"/>
      <c r="KMJ3" s="784"/>
      <c r="KMK3" s="784"/>
      <c r="KML3" s="784"/>
      <c r="KMM3" s="784"/>
      <c r="KMN3" s="784"/>
      <c r="KMO3" s="784"/>
      <c r="KMP3" s="784"/>
      <c r="KMQ3" s="784"/>
      <c r="KMR3" s="784"/>
      <c r="KMS3" s="784"/>
      <c r="KMT3" s="784"/>
      <c r="KMU3" s="784"/>
      <c r="KMV3" s="785"/>
      <c r="KMW3" s="786"/>
      <c r="KMX3" s="784"/>
      <c r="KMY3" s="784"/>
      <c r="KMZ3" s="784"/>
      <c r="KNA3" s="784"/>
      <c r="KNB3" s="784"/>
      <c r="KNC3" s="784"/>
      <c r="KND3" s="784"/>
      <c r="KNE3" s="784"/>
      <c r="KNF3" s="784"/>
      <c r="KNG3" s="784"/>
      <c r="KNH3" s="784"/>
      <c r="KNI3" s="784"/>
      <c r="KNJ3" s="784"/>
      <c r="KNK3" s="785"/>
      <c r="KNL3" s="786"/>
      <c r="KNM3" s="784"/>
      <c r="KNN3" s="784"/>
      <c r="KNO3" s="784"/>
      <c r="KNP3" s="784"/>
      <c r="KNQ3" s="784"/>
      <c r="KNR3" s="784"/>
      <c r="KNS3" s="784"/>
      <c r="KNT3" s="784"/>
      <c r="KNU3" s="784"/>
      <c r="KNV3" s="784"/>
      <c r="KNW3" s="784"/>
      <c r="KNX3" s="784"/>
      <c r="KNY3" s="784"/>
      <c r="KNZ3" s="785"/>
      <c r="KOA3" s="786"/>
      <c r="KOB3" s="784"/>
      <c r="KOC3" s="784"/>
      <c r="KOD3" s="784"/>
      <c r="KOE3" s="784"/>
      <c r="KOF3" s="784"/>
      <c r="KOG3" s="784"/>
      <c r="KOH3" s="784"/>
      <c r="KOI3" s="784"/>
      <c r="KOJ3" s="784"/>
      <c r="KOK3" s="784"/>
      <c r="KOL3" s="784"/>
      <c r="KOM3" s="784"/>
      <c r="KON3" s="784"/>
      <c r="KOO3" s="785"/>
      <c r="KOP3" s="786"/>
      <c r="KOQ3" s="784"/>
      <c r="KOR3" s="784"/>
      <c r="KOS3" s="784"/>
      <c r="KOT3" s="784"/>
      <c r="KOU3" s="784"/>
      <c r="KOV3" s="784"/>
      <c r="KOW3" s="784"/>
      <c r="KOX3" s="784"/>
      <c r="KOY3" s="784"/>
      <c r="KOZ3" s="784"/>
      <c r="KPA3" s="784"/>
      <c r="KPB3" s="784"/>
      <c r="KPC3" s="784"/>
      <c r="KPD3" s="785"/>
      <c r="KPE3" s="786"/>
      <c r="KPF3" s="784"/>
      <c r="KPG3" s="784"/>
      <c r="KPH3" s="784"/>
      <c r="KPI3" s="784"/>
      <c r="KPJ3" s="784"/>
      <c r="KPK3" s="784"/>
      <c r="KPL3" s="784"/>
      <c r="KPM3" s="784"/>
      <c r="KPN3" s="784"/>
      <c r="KPO3" s="784"/>
      <c r="KPP3" s="784"/>
      <c r="KPQ3" s="784"/>
      <c r="KPR3" s="784"/>
      <c r="KPS3" s="785"/>
      <c r="KPT3" s="786"/>
      <c r="KPU3" s="784"/>
      <c r="KPV3" s="784"/>
      <c r="KPW3" s="784"/>
      <c r="KPX3" s="784"/>
      <c r="KPY3" s="784"/>
      <c r="KPZ3" s="784"/>
      <c r="KQA3" s="784"/>
      <c r="KQB3" s="784"/>
      <c r="KQC3" s="784"/>
      <c r="KQD3" s="784"/>
      <c r="KQE3" s="784"/>
      <c r="KQF3" s="784"/>
      <c r="KQG3" s="784"/>
      <c r="KQH3" s="785"/>
      <c r="KQI3" s="786"/>
      <c r="KQJ3" s="784"/>
      <c r="KQK3" s="784"/>
      <c r="KQL3" s="784"/>
      <c r="KQM3" s="784"/>
      <c r="KQN3" s="784"/>
      <c r="KQO3" s="784"/>
      <c r="KQP3" s="784"/>
      <c r="KQQ3" s="784"/>
      <c r="KQR3" s="784"/>
      <c r="KQS3" s="784"/>
      <c r="KQT3" s="784"/>
      <c r="KQU3" s="784"/>
      <c r="KQV3" s="784"/>
      <c r="KQW3" s="785"/>
      <c r="KQX3" s="786"/>
      <c r="KQY3" s="784"/>
      <c r="KQZ3" s="784"/>
      <c r="KRA3" s="784"/>
      <c r="KRB3" s="784"/>
      <c r="KRC3" s="784"/>
      <c r="KRD3" s="784"/>
      <c r="KRE3" s="784"/>
      <c r="KRF3" s="784"/>
      <c r="KRG3" s="784"/>
      <c r="KRH3" s="784"/>
      <c r="KRI3" s="784"/>
      <c r="KRJ3" s="784"/>
      <c r="KRK3" s="784"/>
      <c r="KRL3" s="785"/>
      <c r="KRM3" s="786"/>
      <c r="KRN3" s="784"/>
      <c r="KRO3" s="784"/>
      <c r="KRP3" s="784"/>
      <c r="KRQ3" s="784"/>
      <c r="KRR3" s="784"/>
      <c r="KRS3" s="784"/>
      <c r="KRT3" s="784"/>
      <c r="KRU3" s="784"/>
      <c r="KRV3" s="784"/>
      <c r="KRW3" s="784"/>
      <c r="KRX3" s="784"/>
      <c r="KRY3" s="784"/>
      <c r="KRZ3" s="784"/>
      <c r="KSA3" s="785"/>
      <c r="KSB3" s="786"/>
      <c r="KSC3" s="784"/>
      <c r="KSD3" s="784"/>
      <c r="KSE3" s="784"/>
      <c r="KSF3" s="784"/>
      <c r="KSG3" s="784"/>
      <c r="KSH3" s="784"/>
      <c r="KSI3" s="784"/>
      <c r="KSJ3" s="784"/>
      <c r="KSK3" s="784"/>
      <c r="KSL3" s="784"/>
      <c r="KSM3" s="784"/>
      <c r="KSN3" s="784"/>
      <c r="KSO3" s="784"/>
      <c r="KSP3" s="785"/>
      <c r="KSQ3" s="786"/>
      <c r="KSR3" s="784"/>
      <c r="KSS3" s="784"/>
      <c r="KST3" s="784"/>
      <c r="KSU3" s="784"/>
      <c r="KSV3" s="784"/>
      <c r="KSW3" s="784"/>
      <c r="KSX3" s="784"/>
      <c r="KSY3" s="784"/>
      <c r="KSZ3" s="784"/>
      <c r="KTA3" s="784"/>
      <c r="KTB3" s="784"/>
      <c r="KTC3" s="784"/>
      <c r="KTD3" s="784"/>
      <c r="KTE3" s="785"/>
      <c r="KTF3" s="786"/>
      <c r="KTG3" s="784"/>
      <c r="KTH3" s="784"/>
      <c r="KTI3" s="784"/>
      <c r="KTJ3" s="784"/>
      <c r="KTK3" s="784"/>
      <c r="KTL3" s="784"/>
      <c r="KTM3" s="784"/>
      <c r="KTN3" s="784"/>
      <c r="KTO3" s="784"/>
      <c r="KTP3" s="784"/>
      <c r="KTQ3" s="784"/>
      <c r="KTR3" s="784"/>
      <c r="KTS3" s="784"/>
      <c r="KTT3" s="785"/>
      <c r="KTU3" s="786"/>
      <c r="KTV3" s="784"/>
      <c r="KTW3" s="784"/>
      <c r="KTX3" s="784"/>
      <c r="KTY3" s="784"/>
      <c r="KTZ3" s="784"/>
      <c r="KUA3" s="784"/>
      <c r="KUB3" s="784"/>
      <c r="KUC3" s="784"/>
      <c r="KUD3" s="784"/>
      <c r="KUE3" s="784"/>
      <c r="KUF3" s="784"/>
      <c r="KUG3" s="784"/>
      <c r="KUH3" s="784"/>
      <c r="KUI3" s="785"/>
      <c r="KUJ3" s="786"/>
      <c r="KUK3" s="784"/>
      <c r="KUL3" s="784"/>
      <c r="KUM3" s="784"/>
      <c r="KUN3" s="784"/>
      <c r="KUO3" s="784"/>
      <c r="KUP3" s="784"/>
      <c r="KUQ3" s="784"/>
      <c r="KUR3" s="784"/>
      <c r="KUS3" s="784"/>
      <c r="KUT3" s="784"/>
      <c r="KUU3" s="784"/>
      <c r="KUV3" s="784"/>
      <c r="KUW3" s="784"/>
      <c r="KUX3" s="785"/>
      <c r="KUY3" s="786"/>
      <c r="KUZ3" s="784"/>
      <c r="KVA3" s="784"/>
      <c r="KVB3" s="784"/>
      <c r="KVC3" s="784"/>
      <c r="KVD3" s="784"/>
      <c r="KVE3" s="784"/>
      <c r="KVF3" s="784"/>
      <c r="KVG3" s="784"/>
      <c r="KVH3" s="784"/>
      <c r="KVI3" s="784"/>
      <c r="KVJ3" s="784"/>
      <c r="KVK3" s="784"/>
      <c r="KVL3" s="784"/>
      <c r="KVM3" s="785"/>
      <c r="KVN3" s="786"/>
      <c r="KVO3" s="784"/>
      <c r="KVP3" s="784"/>
      <c r="KVQ3" s="784"/>
      <c r="KVR3" s="784"/>
      <c r="KVS3" s="784"/>
      <c r="KVT3" s="784"/>
      <c r="KVU3" s="784"/>
      <c r="KVV3" s="784"/>
      <c r="KVW3" s="784"/>
      <c r="KVX3" s="784"/>
      <c r="KVY3" s="784"/>
      <c r="KVZ3" s="784"/>
      <c r="KWA3" s="784"/>
      <c r="KWB3" s="785"/>
      <c r="KWC3" s="786"/>
      <c r="KWD3" s="784"/>
      <c r="KWE3" s="784"/>
      <c r="KWF3" s="784"/>
      <c r="KWG3" s="784"/>
      <c r="KWH3" s="784"/>
      <c r="KWI3" s="784"/>
      <c r="KWJ3" s="784"/>
      <c r="KWK3" s="784"/>
      <c r="KWL3" s="784"/>
      <c r="KWM3" s="784"/>
      <c r="KWN3" s="784"/>
      <c r="KWO3" s="784"/>
      <c r="KWP3" s="784"/>
      <c r="KWQ3" s="785"/>
      <c r="KWR3" s="786"/>
      <c r="KWS3" s="784"/>
      <c r="KWT3" s="784"/>
      <c r="KWU3" s="784"/>
      <c r="KWV3" s="784"/>
      <c r="KWW3" s="784"/>
      <c r="KWX3" s="784"/>
      <c r="KWY3" s="784"/>
      <c r="KWZ3" s="784"/>
      <c r="KXA3" s="784"/>
      <c r="KXB3" s="784"/>
      <c r="KXC3" s="784"/>
      <c r="KXD3" s="784"/>
      <c r="KXE3" s="784"/>
      <c r="KXF3" s="785"/>
      <c r="KXG3" s="786"/>
      <c r="KXH3" s="784"/>
      <c r="KXI3" s="784"/>
      <c r="KXJ3" s="784"/>
      <c r="KXK3" s="784"/>
      <c r="KXL3" s="784"/>
      <c r="KXM3" s="784"/>
      <c r="KXN3" s="784"/>
      <c r="KXO3" s="784"/>
      <c r="KXP3" s="784"/>
      <c r="KXQ3" s="784"/>
      <c r="KXR3" s="784"/>
      <c r="KXS3" s="784"/>
      <c r="KXT3" s="784"/>
      <c r="KXU3" s="785"/>
      <c r="KXV3" s="786"/>
      <c r="KXW3" s="784"/>
      <c r="KXX3" s="784"/>
      <c r="KXY3" s="784"/>
      <c r="KXZ3" s="784"/>
      <c r="KYA3" s="784"/>
      <c r="KYB3" s="784"/>
      <c r="KYC3" s="784"/>
      <c r="KYD3" s="784"/>
      <c r="KYE3" s="784"/>
      <c r="KYF3" s="784"/>
      <c r="KYG3" s="784"/>
      <c r="KYH3" s="784"/>
      <c r="KYI3" s="784"/>
      <c r="KYJ3" s="785"/>
      <c r="KYK3" s="786"/>
      <c r="KYL3" s="784"/>
      <c r="KYM3" s="784"/>
      <c r="KYN3" s="784"/>
      <c r="KYO3" s="784"/>
      <c r="KYP3" s="784"/>
      <c r="KYQ3" s="784"/>
      <c r="KYR3" s="784"/>
      <c r="KYS3" s="784"/>
      <c r="KYT3" s="784"/>
      <c r="KYU3" s="784"/>
      <c r="KYV3" s="784"/>
      <c r="KYW3" s="784"/>
      <c r="KYX3" s="784"/>
      <c r="KYY3" s="785"/>
      <c r="KYZ3" s="786"/>
      <c r="KZA3" s="784"/>
      <c r="KZB3" s="784"/>
      <c r="KZC3" s="784"/>
      <c r="KZD3" s="784"/>
      <c r="KZE3" s="784"/>
      <c r="KZF3" s="784"/>
      <c r="KZG3" s="784"/>
      <c r="KZH3" s="784"/>
      <c r="KZI3" s="784"/>
      <c r="KZJ3" s="784"/>
      <c r="KZK3" s="784"/>
      <c r="KZL3" s="784"/>
      <c r="KZM3" s="784"/>
      <c r="KZN3" s="785"/>
      <c r="KZO3" s="786"/>
      <c r="KZP3" s="784"/>
      <c r="KZQ3" s="784"/>
      <c r="KZR3" s="784"/>
      <c r="KZS3" s="784"/>
      <c r="KZT3" s="784"/>
      <c r="KZU3" s="784"/>
      <c r="KZV3" s="784"/>
      <c r="KZW3" s="784"/>
      <c r="KZX3" s="784"/>
      <c r="KZY3" s="784"/>
      <c r="KZZ3" s="784"/>
      <c r="LAA3" s="784"/>
      <c r="LAB3" s="784"/>
      <c r="LAC3" s="785"/>
      <c r="LAD3" s="786"/>
      <c r="LAE3" s="784"/>
      <c r="LAF3" s="784"/>
      <c r="LAG3" s="784"/>
      <c r="LAH3" s="784"/>
      <c r="LAI3" s="784"/>
      <c r="LAJ3" s="784"/>
      <c r="LAK3" s="784"/>
      <c r="LAL3" s="784"/>
      <c r="LAM3" s="784"/>
      <c r="LAN3" s="784"/>
      <c r="LAO3" s="784"/>
      <c r="LAP3" s="784"/>
      <c r="LAQ3" s="784"/>
      <c r="LAR3" s="785"/>
      <c r="LAS3" s="786"/>
      <c r="LAT3" s="784"/>
      <c r="LAU3" s="784"/>
      <c r="LAV3" s="784"/>
      <c r="LAW3" s="784"/>
      <c r="LAX3" s="784"/>
      <c r="LAY3" s="784"/>
      <c r="LAZ3" s="784"/>
      <c r="LBA3" s="784"/>
      <c r="LBB3" s="784"/>
      <c r="LBC3" s="784"/>
      <c r="LBD3" s="784"/>
      <c r="LBE3" s="784"/>
      <c r="LBF3" s="784"/>
      <c r="LBG3" s="785"/>
      <c r="LBH3" s="786"/>
      <c r="LBI3" s="784"/>
      <c r="LBJ3" s="784"/>
      <c r="LBK3" s="784"/>
      <c r="LBL3" s="784"/>
      <c r="LBM3" s="784"/>
      <c r="LBN3" s="784"/>
      <c r="LBO3" s="784"/>
      <c r="LBP3" s="784"/>
      <c r="LBQ3" s="784"/>
      <c r="LBR3" s="784"/>
      <c r="LBS3" s="784"/>
      <c r="LBT3" s="784"/>
      <c r="LBU3" s="784"/>
      <c r="LBV3" s="785"/>
      <c r="LBW3" s="786"/>
      <c r="LBX3" s="784"/>
      <c r="LBY3" s="784"/>
      <c r="LBZ3" s="784"/>
      <c r="LCA3" s="784"/>
      <c r="LCB3" s="784"/>
      <c r="LCC3" s="784"/>
      <c r="LCD3" s="784"/>
      <c r="LCE3" s="784"/>
      <c r="LCF3" s="784"/>
      <c r="LCG3" s="784"/>
      <c r="LCH3" s="784"/>
      <c r="LCI3" s="784"/>
      <c r="LCJ3" s="784"/>
      <c r="LCK3" s="785"/>
      <c r="LCL3" s="786"/>
      <c r="LCM3" s="784"/>
      <c r="LCN3" s="784"/>
      <c r="LCO3" s="784"/>
      <c r="LCP3" s="784"/>
      <c r="LCQ3" s="784"/>
      <c r="LCR3" s="784"/>
      <c r="LCS3" s="784"/>
      <c r="LCT3" s="784"/>
      <c r="LCU3" s="784"/>
      <c r="LCV3" s="784"/>
      <c r="LCW3" s="784"/>
      <c r="LCX3" s="784"/>
      <c r="LCY3" s="784"/>
      <c r="LCZ3" s="785"/>
      <c r="LDA3" s="786"/>
      <c r="LDB3" s="784"/>
      <c r="LDC3" s="784"/>
      <c r="LDD3" s="784"/>
      <c r="LDE3" s="784"/>
      <c r="LDF3" s="784"/>
      <c r="LDG3" s="784"/>
      <c r="LDH3" s="784"/>
      <c r="LDI3" s="784"/>
      <c r="LDJ3" s="784"/>
      <c r="LDK3" s="784"/>
      <c r="LDL3" s="784"/>
      <c r="LDM3" s="784"/>
      <c r="LDN3" s="784"/>
      <c r="LDO3" s="785"/>
      <c r="LDP3" s="786"/>
      <c r="LDQ3" s="784"/>
      <c r="LDR3" s="784"/>
      <c r="LDS3" s="784"/>
      <c r="LDT3" s="784"/>
      <c r="LDU3" s="784"/>
      <c r="LDV3" s="784"/>
      <c r="LDW3" s="784"/>
      <c r="LDX3" s="784"/>
      <c r="LDY3" s="784"/>
      <c r="LDZ3" s="784"/>
      <c r="LEA3" s="784"/>
      <c r="LEB3" s="784"/>
      <c r="LEC3" s="784"/>
      <c r="LED3" s="785"/>
      <c r="LEE3" s="786"/>
      <c r="LEF3" s="784"/>
      <c r="LEG3" s="784"/>
      <c r="LEH3" s="784"/>
      <c r="LEI3" s="784"/>
      <c r="LEJ3" s="784"/>
      <c r="LEK3" s="784"/>
      <c r="LEL3" s="784"/>
      <c r="LEM3" s="784"/>
      <c r="LEN3" s="784"/>
      <c r="LEO3" s="784"/>
      <c r="LEP3" s="784"/>
      <c r="LEQ3" s="784"/>
      <c r="LER3" s="784"/>
      <c r="LES3" s="785"/>
      <c r="LET3" s="786"/>
      <c r="LEU3" s="784"/>
      <c r="LEV3" s="784"/>
      <c r="LEW3" s="784"/>
      <c r="LEX3" s="784"/>
      <c r="LEY3" s="784"/>
      <c r="LEZ3" s="784"/>
      <c r="LFA3" s="784"/>
      <c r="LFB3" s="784"/>
      <c r="LFC3" s="784"/>
      <c r="LFD3" s="784"/>
      <c r="LFE3" s="784"/>
      <c r="LFF3" s="784"/>
      <c r="LFG3" s="784"/>
      <c r="LFH3" s="785"/>
      <c r="LFI3" s="786"/>
      <c r="LFJ3" s="784"/>
      <c r="LFK3" s="784"/>
      <c r="LFL3" s="784"/>
      <c r="LFM3" s="784"/>
      <c r="LFN3" s="784"/>
      <c r="LFO3" s="784"/>
      <c r="LFP3" s="784"/>
      <c r="LFQ3" s="784"/>
      <c r="LFR3" s="784"/>
      <c r="LFS3" s="784"/>
      <c r="LFT3" s="784"/>
      <c r="LFU3" s="784"/>
      <c r="LFV3" s="784"/>
      <c r="LFW3" s="785"/>
      <c r="LFX3" s="786"/>
      <c r="LFY3" s="784"/>
      <c r="LFZ3" s="784"/>
      <c r="LGA3" s="784"/>
      <c r="LGB3" s="784"/>
      <c r="LGC3" s="784"/>
      <c r="LGD3" s="784"/>
      <c r="LGE3" s="784"/>
      <c r="LGF3" s="784"/>
      <c r="LGG3" s="784"/>
      <c r="LGH3" s="784"/>
      <c r="LGI3" s="784"/>
      <c r="LGJ3" s="784"/>
      <c r="LGK3" s="784"/>
      <c r="LGL3" s="785"/>
      <c r="LGM3" s="786"/>
      <c r="LGN3" s="784"/>
      <c r="LGO3" s="784"/>
      <c r="LGP3" s="784"/>
      <c r="LGQ3" s="784"/>
      <c r="LGR3" s="784"/>
      <c r="LGS3" s="784"/>
      <c r="LGT3" s="784"/>
      <c r="LGU3" s="784"/>
      <c r="LGV3" s="784"/>
      <c r="LGW3" s="784"/>
      <c r="LGX3" s="784"/>
      <c r="LGY3" s="784"/>
      <c r="LGZ3" s="784"/>
      <c r="LHA3" s="785"/>
      <c r="LHB3" s="786"/>
      <c r="LHC3" s="784"/>
      <c r="LHD3" s="784"/>
      <c r="LHE3" s="784"/>
      <c r="LHF3" s="784"/>
      <c r="LHG3" s="784"/>
      <c r="LHH3" s="784"/>
      <c r="LHI3" s="784"/>
      <c r="LHJ3" s="784"/>
      <c r="LHK3" s="784"/>
      <c r="LHL3" s="784"/>
      <c r="LHM3" s="784"/>
      <c r="LHN3" s="784"/>
      <c r="LHO3" s="784"/>
      <c r="LHP3" s="785"/>
      <c r="LHQ3" s="786"/>
      <c r="LHR3" s="784"/>
      <c r="LHS3" s="784"/>
      <c r="LHT3" s="784"/>
      <c r="LHU3" s="784"/>
      <c r="LHV3" s="784"/>
      <c r="LHW3" s="784"/>
      <c r="LHX3" s="784"/>
      <c r="LHY3" s="784"/>
      <c r="LHZ3" s="784"/>
      <c r="LIA3" s="784"/>
      <c r="LIB3" s="784"/>
      <c r="LIC3" s="784"/>
      <c r="LID3" s="784"/>
      <c r="LIE3" s="785"/>
      <c r="LIF3" s="786"/>
      <c r="LIG3" s="784"/>
      <c r="LIH3" s="784"/>
      <c r="LII3" s="784"/>
      <c r="LIJ3" s="784"/>
      <c r="LIK3" s="784"/>
      <c r="LIL3" s="784"/>
      <c r="LIM3" s="784"/>
      <c r="LIN3" s="784"/>
      <c r="LIO3" s="784"/>
      <c r="LIP3" s="784"/>
      <c r="LIQ3" s="784"/>
      <c r="LIR3" s="784"/>
      <c r="LIS3" s="784"/>
      <c r="LIT3" s="785"/>
      <c r="LIU3" s="786"/>
      <c r="LIV3" s="784"/>
      <c r="LIW3" s="784"/>
      <c r="LIX3" s="784"/>
      <c r="LIY3" s="784"/>
      <c r="LIZ3" s="784"/>
      <c r="LJA3" s="784"/>
      <c r="LJB3" s="784"/>
      <c r="LJC3" s="784"/>
      <c r="LJD3" s="784"/>
      <c r="LJE3" s="784"/>
      <c r="LJF3" s="784"/>
      <c r="LJG3" s="784"/>
      <c r="LJH3" s="784"/>
      <c r="LJI3" s="785"/>
      <c r="LJJ3" s="786"/>
      <c r="LJK3" s="784"/>
      <c r="LJL3" s="784"/>
      <c r="LJM3" s="784"/>
      <c r="LJN3" s="784"/>
      <c r="LJO3" s="784"/>
      <c r="LJP3" s="784"/>
      <c r="LJQ3" s="784"/>
      <c r="LJR3" s="784"/>
      <c r="LJS3" s="784"/>
      <c r="LJT3" s="784"/>
      <c r="LJU3" s="784"/>
      <c r="LJV3" s="784"/>
      <c r="LJW3" s="784"/>
      <c r="LJX3" s="785"/>
      <c r="LJY3" s="786"/>
      <c r="LJZ3" s="784"/>
      <c r="LKA3" s="784"/>
      <c r="LKB3" s="784"/>
      <c r="LKC3" s="784"/>
      <c r="LKD3" s="784"/>
      <c r="LKE3" s="784"/>
      <c r="LKF3" s="784"/>
      <c r="LKG3" s="784"/>
      <c r="LKH3" s="784"/>
      <c r="LKI3" s="784"/>
      <c r="LKJ3" s="784"/>
      <c r="LKK3" s="784"/>
      <c r="LKL3" s="784"/>
      <c r="LKM3" s="785"/>
      <c r="LKN3" s="786"/>
      <c r="LKO3" s="784"/>
      <c r="LKP3" s="784"/>
      <c r="LKQ3" s="784"/>
      <c r="LKR3" s="784"/>
      <c r="LKS3" s="784"/>
      <c r="LKT3" s="784"/>
      <c r="LKU3" s="784"/>
      <c r="LKV3" s="784"/>
      <c r="LKW3" s="784"/>
      <c r="LKX3" s="784"/>
      <c r="LKY3" s="784"/>
      <c r="LKZ3" s="784"/>
      <c r="LLA3" s="784"/>
      <c r="LLB3" s="785"/>
      <c r="LLC3" s="786"/>
      <c r="LLD3" s="784"/>
      <c r="LLE3" s="784"/>
      <c r="LLF3" s="784"/>
      <c r="LLG3" s="784"/>
      <c r="LLH3" s="784"/>
      <c r="LLI3" s="784"/>
      <c r="LLJ3" s="784"/>
      <c r="LLK3" s="784"/>
      <c r="LLL3" s="784"/>
      <c r="LLM3" s="784"/>
      <c r="LLN3" s="784"/>
      <c r="LLO3" s="784"/>
      <c r="LLP3" s="784"/>
      <c r="LLQ3" s="785"/>
      <c r="LLR3" s="786"/>
      <c r="LLS3" s="784"/>
      <c r="LLT3" s="784"/>
      <c r="LLU3" s="784"/>
      <c r="LLV3" s="784"/>
      <c r="LLW3" s="784"/>
      <c r="LLX3" s="784"/>
      <c r="LLY3" s="784"/>
      <c r="LLZ3" s="784"/>
      <c r="LMA3" s="784"/>
      <c r="LMB3" s="784"/>
      <c r="LMC3" s="784"/>
      <c r="LMD3" s="784"/>
      <c r="LME3" s="784"/>
      <c r="LMF3" s="785"/>
      <c r="LMG3" s="786"/>
      <c r="LMH3" s="784"/>
      <c r="LMI3" s="784"/>
      <c r="LMJ3" s="784"/>
      <c r="LMK3" s="784"/>
      <c r="LML3" s="784"/>
      <c r="LMM3" s="784"/>
      <c r="LMN3" s="784"/>
      <c r="LMO3" s="784"/>
      <c r="LMP3" s="784"/>
      <c r="LMQ3" s="784"/>
      <c r="LMR3" s="784"/>
      <c r="LMS3" s="784"/>
      <c r="LMT3" s="784"/>
      <c r="LMU3" s="785"/>
      <c r="LMV3" s="786"/>
      <c r="LMW3" s="784"/>
      <c r="LMX3" s="784"/>
      <c r="LMY3" s="784"/>
      <c r="LMZ3" s="784"/>
      <c r="LNA3" s="784"/>
      <c r="LNB3" s="784"/>
      <c r="LNC3" s="784"/>
      <c r="LND3" s="784"/>
      <c r="LNE3" s="784"/>
      <c r="LNF3" s="784"/>
      <c r="LNG3" s="784"/>
      <c r="LNH3" s="784"/>
      <c r="LNI3" s="784"/>
      <c r="LNJ3" s="785"/>
      <c r="LNK3" s="786"/>
      <c r="LNL3" s="784"/>
      <c r="LNM3" s="784"/>
      <c r="LNN3" s="784"/>
      <c r="LNO3" s="784"/>
      <c r="LNP3" s="784"/>
      <c r="LNQ3" s="784"/>
      <c r="LNR3" s="784"/>
      <c r="LNS3" s="784"/>
      <c r="LNT3" s="784"/>
      <c r="LNU3" s="784"/>
      <c r="LNV3" s="784"/>
      <c r="LNW3" s="784"/>
      <c r="LNX3" s="784"/>
      <c r="LNY3" s="785"/>
      <c r="LNZ3" s="786"/>
      <c r="LOA3" s="784"/>
      <c r="LOB3" s="784"/>
      <c r="LOC3" s="784"/>
      <c r="LOD3" s="784"/>
      <c r="LOE3" s="784"/>
      <c r="LOF3" s="784"/>
      <c r="LOG3" s="784"/>
      <c r="LOH3" s="784"/>
      <c r="LOI3" s="784"/>
      <c r="LOJ3" s="784"/>
      <c r="LOK3" s="784"/>
      <c r="LOL3" s="784"/>
      <c r="LOM3" s="784"/>
      <c r="LON3" s="785"/>
      <c r="LOO3" s="786"/>
      <c r="LOP3" s="784"/>
      <c r="LOQ3" s="784"/>
      <c r="LOR3" s="784"/>
      <c r="LOS3" s="784"/>
      <c r="LOT3" s="784"/>
      <c r="LOU3" s="784"/>
      <c r="LOV3" s="784"/>
      <c r="LOW3" s="784"/>
      <c r="LOX3" s="784"/>
      <c r="LOY3" s="784"/>
      <c r="LOZ3" s="784"/>
      <c r="LPA3" s="784"/>
      <c r="LPB3" s="784"/>
      <c r="LPC3" s="785"/>
      <c r="LPD3" s="786"/>
      <c r="LPE3" s="784"/>
      <c r="LPF3" s="784"/>
      <c r="LPG3" s="784"/>
      <c r="LPH3" s="784"/>
      <c r="LPI3" s="784"/>
      <c r="LPJ3" s="784"/>
      <c r="LPK3" s="784"/>
      <c r="LPL3" s="784"/>
      <c r="LPM3" s="784"/>
      <c r="LPN3" s="784"/>
      <c r="LPO3" s="784"/>
      <c r="LPP3" s="784"/>
      <c r="LPQ3" s="784"/>
      <c r="LPR3" s="785"/>
      <c r="LPS3" s="786"/>
      <c r="LPT3" s="784"/>
      <c r="LPU3" s="784"/>
      <c r="LPV3" s="784"/>
      <c r="LPW3" s="784"/>
      <c r="LPX3" s="784"/>
      <c r="LPY3" s="784"/>
      <c r="LPZ3" s="784"/>
      <c r="LQA3" s="784"/>
      <c r="LQB3" s="784"/>
      <c r="LQC3" s="784"/>
      <c r="LQD3" s="784"/>
      <c r="LQE3" s="784"/>
      <c r="LQF3" s="784"/>
      <c r="LQG3" s="785"/>
      <c r="LQH3" s="786"/>
      <c r="LQI3" s="784"/>
      <c r="LQJ3" s="784"/>
      <c r="LQK3" s="784"/>
      <c r="LQL3" s="784"/>
      <c r="LQM3" s="784"/>
      <c r="LQN3" s="784"/>
      <c r="LQO3" s="784"/>
      <c r="LQP3" s="784"/>
      <c r="LQQ3" s="784"/>
      <c r="LQR3" s="784"/>
      <c r="LQS3" s="784"/>
      <c r="LQT3" s="784"/>
      <c r="LQU3" s="784"/>
      <c r="LQV3" s="785"/>
      <c r="LQW3" s="786"/>
      <c r="LQX3" s="784"/>
      <c r="LQY3" s="784"/>
      <c r="LQZ3" s="784"/>
      <c r="LRA3" s="784"/>
      <c r="LRB3" s="784"/>
      <c r="LRC3" s="784"/>
      <c r="LRD3" s="784"/>
      <c r="LRE3" s="784"/>
      <c r="LRF3" s="784"/>
      <c r="LRG3" s="784"/>
      <c r="LRH3" s="784"/>
      <c r="LRI3" s="784"/>
      <c r="LRJ3" s="784"/>
      <c r="LRK3" s="785"/>
      <c r="LRL3" s="786"/>
      <c r="LRM3" s="784"/>
      <c r="LRN3" s="784"/>
      <c r="LRO3" s="784"/>
      <c r="LRP3" s="784"/>
      <c r="LRQ3" s="784"/>
      <c r="LRR3" s="784"/>
      <c r="LRS3" s="784"/>
      <c r="LRT3" s="784"/>
      <c r="LRU3" s="784"/>
      <c r="LRV3" s="784"/>
      <c r="LRW3" s="784"/>
      <c r="LRX3" s="784"/>
      <c r="LRY3" s="784"/>
      <c r="LRZ3" s="785"/>
      <c r="LSA3" s="786"/>
      <c r="LSB3" s="784"/>
      <c r="LSC3" s="784"/>
      <c r="LSD3" s="784"/>
      <c r="LSE3" s="784"/>
      <c r="LSF3" s="784"/>
      <c r="LSG3" s="784"/>
      <c r="LSH3" s="784"/>
      <c r="LSI3" s="784"/>
      <c r="LSJ3" s="784"/>
      <c r="LSK3" s="784"/>
      <c r="LSL3" s="784"/>
      <c r="LSM3" s="784"/>
      <c r="LSN3" s="784"/>
      <c r="LSO3" s="785"/>
      <c r="LSP3" s="786"/>
      <c r="LSQ3" s="784"/>
      <c r="LSR3" s="784"/>
      <c r="LSS3" s="784"/>
      <c r="LST3" s="784"/>
      <c r="LSU3" s="784"/>
      <c r="LSV3" s="784"/>
      <c r="LSW3" s="784"/>
      <c r="LSX3" s="784"/>
      <c r="LSY3" s="784"/>
      <c r="LSZ3" s="784"/>
      <c r="LTA3" s="784"/>
      <c r="LTB3" s="784"/>
      <c r="LTC3" s="784"/>
      <c r="LTD3" s="785"/>
      <c r="LTE3" s="786"/>
      <c r="LTF3" s="784"/>
      <c r="LTG3" s="784"/>
      <c r="LTH3" s="784"/>
      <c r="LTI3" s="784"/>
      <c r="LTJ3" s="784"/>
      <c r="LTK3" s="784"/>
      <c r="LTL3" s="784"/>
      <c r="LTM3" s="784"/>
      <c r="LTN3" s="784"/>
      <c r="LTO3" s="784"/>
      <c r="LTP3" s="784"/>
      <c r="LTQ3" s="784"/>
      <c r="LTR3" s="784"/>
      <c r="LTS3" s="785"/>
      <c r="LTT3" s="786"/>
      <c r="LTU3" s="784"/>
      <c r="LTV3" s="784"/>
      <c r="LTW3" s="784"/>
      <c r="LTX3" s="784"/>
      <c r="LTY3" s="784"/>
      <c r="LTZ3" s="784"/>
      <c r="LUA3" s="784"/>
      <c r="LUB3" s="784"/>
      <c r="LUC3" s="784"/>
      <c r="LUD3" s="784"/>
      <c r="LUE3" s="784"/>
      <c r="LUF3" s="784"/>
      <c r="LUG3" s="784"/>
      <c r="LUH3" s="785"/>
      <c r="LUI3" s="786"/>
      <c r="LUJ3" s="784"/>
      <c r="LUK3" s="784"/>
      <c r="LUL3" s="784"/>
      <c r="LUM3" s="784"/>
      <c r="LUN3" s="784"/>
      <c r="LUO3" s="784"/>
      <c r="LUP3" s="784"/>
      <c r="LUQ3" s="784"/>
      <c r="LUR3" s="784"/>
      <c r="LUS3" s="784"/>
      <c r="LUT3" s="784"/>
      <c r="LUU3" s="784"/>
      <c r="LUV3" s="784"/>
      <c r="LUW3" s="785"/>
      <c r="LUX3" s="786"/>
      <c r="LUY3" s="784"/>
      <c r="LUZ3" s="784"/>
      <c r="LVA3" s="784"/>
      <c r="LVB3" s="784"/>
      <c r="LVC3" s="784"/>
      <c r="LVD3" s="784"/>
      <c r="LVE3" s="784"/>
      <c r="LVF3" s="784"/>
      <c r="LVG3" s="784"/>
      <c r="LVH3" s="784"/>
      <c r="LVI3" s="784"/>
      <c r="LVJ3" s="784"/>
      <c r="LVK3" s="784"/>
      <c r="LVL3" s="785"/>
      <c r="LVM3" s="786"/>
      <c r="LVN3" s="784"/>
      <c r="LVO3" s="784"/>
      <c r="LVP3" s="784"/>
      <c r="LVQ3" s="784"/>
      <c r="LVR3" s="784"/>
      <c r="LVS3" s="784"/>
      <c r="LVT3" s="784"/>
      <c r="LVU3" s="784"/>
      <c r="LVV3" s="784"/>
      <c r="LVW3" s="784"/>
      <c r="LVX3" s="784"/>
      <c r="LVY3" s="784"/>
      <c r="LVZ3" s="784"/>
      <c r="LWA3" s="785"/>
      <c r="LWB3" s="786"/>
      <c r="LWC3" s="784"/>
      <c r="LWD3" s="784"/>
      <c r="LWE3" s="784"/>
      <c r="LWF3" s="784"/>
      <c r="LWG3" s="784"/>
      <c r="LWH3" s="784"/>
      <c r="LWI3" s="784"/>
      <c r="LWJ3" s="784"/>
      <c r="LWK3" s="784"/>
      <c r="LWL3" s="784"/>
      <c r="LWM3" s="784"/>
      <c r="LWN3" s="784"/>
      <c r="LWO3" s="784"/>
      <c r="LWP3" s="785"/>
      <c r="LWQ3" s="786"/>
      <c r="LWR3" s="784"/>
      <c r="LWS3" s="784"/>
      <c r="LWT3" s="784"/>
      <c r="LWU3" s="784"/>
      <c r="LWV3" s="784"/>
      <c r="LWW3" s="784"/>
      <c r="LWX3" s="784"/>
      <c r="LWY3" s="784"/>
      <c r="LWZ3" s="784"/>
      <c r="LXA3" s="784"/>
      <c r="LXB3" s="784"/>
      <c r="LXC3" s="784"/>
      <c r="LXD3" s="784"/>
      <c r="LXE3" s="785"/>
      <c r="LXF3" s="786"/>
      <c r="LXG3" s="784"/>
      <c r="LXH3" s="784"/>
      <c r="LXI3" s="784"/>
      <c r="LXJ3" s="784"/>
      <c r="LXK3" s="784"/>
      <c r="LXL3" s="784"/>
      <c r="LXM3" s="784"/>
      <c r="LXN3" s="784"/>
      <c r="LXO3" s="784"/>
      <c r="LXP3" s="784"/>
      <c r="LXQ3" s="784"/>
      <c r="LXR3" s="784"/>
      <c r="LXS3" s="784"/>
      <c r="LXT3" s="785"/>
      <c r="LXU3" s="786"/>
      <c r="LXV3" s="784"/>
      <c r="LXW3" s="784"/>
      <c r="LXX3" s="784"/>
      <c r="LXY3" s="784"/>
      <c r="LXZ3" s="784"/>
      <c r="LYA3" s="784"/>
      <c r="LYB3" s="784"/>
      <c r="LYC3" s="784"/>
      <c r="LYD3" s="784"/>
      <c r="LYE3" s="784"/>
      <c r="LYF3" s="784"/>
      <c r="LYG3" s="784"/>
      <c r="LYH3" s="784"/>
      <c r="LYI3" s="785"/>
      <c r="LYJ3" s="786"/>
      <c r="LYK3" s="784"/>
      <c r="LYL3" s="784"/>
      <c r="LYM3" s="784"/>
      <c r="LYN3" s="784"/>
      <c r="LYO3" s="784"/>
      <c r="LYP3" s="784"/>
      <c r="LYQ3" s="784"/>
      <c r="LYR3" s="784"/>
      <c r="LYS3" s="784"/>
      <c r="LYT3" s="784"/>
      <c r="LYU3" s="784"/>
      <c r="LYV3" s="784"/>
      <c r="LYW3" s="784"/>
      <c r="LYX3" s="785"/>
      <c r="LYY3" s="786"/>
      <c r="LYZ3" s="784"/>
      <c r="LZA3" s="784"/>
      <c r="LZB3" s="784"/>
      <c r="LZC3" s="784"/>
      <c r="LZD3" s="784"/>
      <c r="LZE3" s="784"/>
      <c r="LZF3" s="784"/>
      <c r="LZG3" s="784"/>
      <c r="LZH3" s="784"/>
      <c r="LZI3" s="784"/>
      <c r="LZJ3" s="784"/>
      <c r="LZK3" s="784"/>
      <c r="LZL3" s="784"/>
      <c r="LZM3" s="785"/>
      <c r="LZN3" s="786"/>
      <c r="LZO3" s="784"/>
      <c r="LZP3" s="784"/>
      <c r="LZQ3" s="784"/>
      <c r="LZR3" s="784"/>
      <c r="LZS3" s="784"/>
      <c r="LZT3" s="784"/>
      <c r="LZU3" s="784"/>
      <c r="LZV3" s="784"/>
      <c r="LZW3" s="784"/>
      <c r="LZX3" s="784"/>
      <c r="LZY3" s="784"/>
      <c r="LZZ3" s="784"/>
      <c r="MAA3" s="784"/>
      <c r="MAB3" s="785"/>
      <c r="MAC3" s="786"/>
      <c r="MAD3" s="784"/>
      <c r="MAE3" s="784"/>
      <c r="MAF3" s="784"/>
      <c r="MAG3" s="784"/>
      <c r="MAH3" s="784"/>
      <c r="MAI3" s="784"/>
      <c r="MAJ3" s="784"/>
      <c r="MAK3" s="784"/>
      <c r="MAL3" s="784"/>
      <c r="MAM3" s="784"/>
      <c r="MAN3" s="784"/>
      <c r="MAO3" s="784"/>
      <c r="MAP3" s="784"/>
      <c r="MAQ3" s="785"/>
      <c r="MAR3" s="786"/>
      <c r="MAS3" s="784"/>
      <c r="MAT3" s="784"/>
      <c r="MAU3" s="784"/>
      <c r="MAV3" s="784"/>
      <c r="MAW3" s="784"/>
      <c r="MAX3" s="784"/>
      <c r="MAY3" s="784"/>
      <c r="MAZ3" s="784"/>
      <c r="MBA3" s="784"/>
      <c r="MBB3" s="784"/>
      <c r="MBC3" s="784"/>
      <c r="MBD3" s="784"/>
      <c r="MBE3" s="784"/>
      <c r="MBF3" s="785"/>
      <c r="MBG3" s="786"/>
      <c r="MBH3" s="784"/>
      <c r="MBI3" s="784"/>
      <c r="MBJ3" s="784"/>
      <c r="MBK3" s="784"/>
      <c r="MBL3" s="784"/>
      <c r="MBM3" s="784"/>
      <c r="MBN3" s="784"/>
      <c r="MBO3" s="784"/>
      <c r="MBP3" s="784"/>
      <c r="MBQ3" s="784"/>
      <c r="MBR3" s="784"/>
      <c r="MBS3" s="784"/>
      <c r="MBT3" s="784"/>
      <c r="MBU3" s="785"/>
      <c r="MBV3" s="786"/>
      <c r="MBW3" s="784"/>
      <c r="MBX3" s="784"/>
      <c r="MBY3" s="784"/>
      <c r="MBZ3" s="784"/>
      <c r="MCA3" s="784"/>
      <c r="MCB3" s="784"/>
      <c r="MCC3" s="784"/>
      <c r="MCD3" s="784"/>
      <c r="MCE3" s="784"/>
      <c r="MCF3" s="784"/>
      <c r="MCG3" s="784"/>
      <c r="MCH3" s="784"/>
      <c r="MCI3" s="784"/>
      <c r="MCJ3" s="785"/>
      <c r="MCK3" s="786"/>
      <c r="MCL3" s="784"/>
      <c r="MCM3" s="784"/>
      <c r="MCN3" s="784"/>
      <c r="MCO3" s="784"/>
      <c r="MCP3" s="784"/>
      <c r="MCQ3" s="784"/>
      <c r="MCR3" s="784"/>
      <c r="MCS3" s="784"/>
      <c r="MCT3" s="784"/>
      <c r="MCU3" s="784"/>
      <c r="MCV3" s="784"/>
      <c r="MCW3" s="784"/>
      <c r="MCX3" s="784"/>
      <c r="MCY3" s="785"/>
      <c r="MCZ3" s="786"/>
      <c r="MDA3" s="784"/>
      <c r="MDB3" s="784"/>
      <c r="MDC3" s="784"/>
      <c r="MDD3" s="784"/>
      <c r="MDE3" s="784"/>
      <c r="MDF3" s="784"/>
      <c r="MDG3" s="784"/>
      <c r="MDH3" s="784"/>
      <c r="MDI3" s="784"/>
      <c r="MDJ3" s="784"/>
      <c r="MDK3" s="784"/>
      <c r="MDL3" s="784"/>
      <c r="MDM3" s="784"/>
      <c r="MDN3" s="785"/>
      <c r="MDO3" s="786"/>
      <c r="MDP3" s="784"/>
      <c r="MDQ3" s="784"/>
      <c r="MDR3" s="784"/>
      <c r="MDS3" s="784"/>
      <c r="MDT3" s="784"/>
      <c r="MDU3" s="784"/>
      <c r="MDV3" s="784"/>
      <c r="MDW3" s="784"/>
      <c r="MDX3" s="784"/>
      <c r="MDY3" s="784"/>
      <c r="MDZ3" s="784"/>
      <c r="MEA3" s="784"/>
      <c r="MEB3" s="784"/>
      <c r="MEC3" s="785"/>
      <c r="MED3" s="786"/>
      <c r="MEE3" s="784"/>
      <c r="MEF3" s="784"/>
      <c r="MEG3" s="784"/>
      <c r="MEH3" s="784"/>
      <c r="MEI3" s="784"/>
      <c r="MEJ3" s="784"/>
      <c r="MEK3" s="784"/>
      <c r="MEL3" s="784"/>
      <c r="MEM3" s="784"/>
      <c r="MEN3" s="784"/>
      <c r="MEO3" s="784"/>
      <c r="MEP3" s="784"/>
      <c r="MEQ3" s="784"/>
      <c r="MER3" s="785"/>
      <c r="MES3" s="786"/>
      <c r="MET3" s="784"/>
      <c r="MEU3" s="784"/>
      <c r="MEV3" s="784"/>
      <c r="MEW3" s="784"/>
      <c r="MEX3" s="784"/>
      <c r="MEY3" s="784"/>
      <c r="MEZ3" s="784"/>
      <c r="MFA3" s="784"/>
      <c r="MFB3" s="784"/>
      <c r="MFC3" s="784"/>
      <c r="MFD3" s="784"/>
      <c r="MFE3" s="784"/>
      <c r="MFF3" s="784"/>
      <c r="MFG3" s="785"/>
      <c r="MFH3" s="786"/>
      <c r="MFI3" s="784"/>
      <c r="MFJ3" s="784"/>
      <c r="MFK3" s="784"/>
      <c r="MFL3" s="784"/>
      <c r="MFM3" s="784"/>
      <c r="MFN3" s="784"/>
      <c r="MFO3" s="784"/>
      <c r="MFP3" s="784"/>
      <c r="MFQ3" s="784"/>
      <c r="MFR3" s="784"/>
      <c r="MFS3" s="784"/>
      <c r="MFT3" s="784"/>
      <c r="MFU3" s="784"/>
      <c r="MFV3" s="785"/>
      <c r="MFW3" s="786"/>
      <c r="MFX3" s="784"/>
      <c r="MFY3" s="784"/>
      <c r="MFZ3" s="784"/>
      <c r="MGA3" s="784"/>
      <c r="MGB3" s="784"/>
      <c r="MGC3" s="784"/>
      <c r="MGD3" s="784"/>
      <c r="MGE3" s="784"/>
      <c r="MGF3" s="784"/>
      <c r="MGG3" s="784"/>
      <c r="MGH3" s="784"/>
      <c r="MGI3" s="784"/>
      <c r="MGJ3" s="784"/>
      <c r="MGK3" s="785"/>
      <c r="MGL3" s="786"/>
      <c r="MGM3" s="784"/>
      <c r="MGN3" s="784"/>
      <c r="MGO3" s="784"/>
      <c r="MGP3" s="784"/>
      <c r="MGQ3" s="784"/>
      <c r="MGR3" s="784"/>
      <c r="MGS3" s="784"/>
      <c r="MGT3" s="784"/>
      <c r="MGU3" s="784"/>
      <c r="MGV3" s="784"/>
      <c r="MGW3" s="784"/>
      <c r="MGX3" s="784"/>
      <c r="MGY3" s="784"/>
      <c r="MGZ3" s="785"/>
      <c r="MHA3" s="786"/>
      <c r="MHB3" s="784"/>
      <c r="MHC3" s="784"/>
      <c r="MHD3" s="784"/>
      <c r="MHE3" s="784"/>
      <c r="MHF3" s="784"/>
      <c r="MHG3" s="784"/>
      <c r="MHH3" s="784"/>
      <c r="MHI3" s="784"/>
      <c r="MHJ3" s="784"/>
      <c r="MHK3" s="784"/>
      <c r="MHL3" s="784"/>
      <c r="MHM3" s="784"/>
      <c r="MHN3" s="784"/>
      <c r="MHO3" s="785"/>
      <c r="MHP3" s="786"/>
      <c r="MHQ3" s="784"/>
      <c r="MHR3" s="784"/>
      <c r="MHS3" s="784"/>
      <c r="MHT3" s="784"/>
      <c r="MHU3" s="784"/>
      <c r="MHV3" s="784"/>
      <c r="MHW3" s="784"/>
      <c r="MHX3" s="784"/>
      <c r="MHY3" s="784"/>
      <c r="MHZ3" s="784"/>
      <c r="MIA3" s="784"/>
      <c r="MIB3" s="784"/>
      <c r="MIC3" s="784"/>
      <c r="MID3" s="785"/>
      <c r="MIE3" s="786"/>
      <c r="MIF3" s="784"/>
      <c r="MIG3" s="784"/>
      <c r="MIH3" s="784"/>
      <c r="MII3" s="784"/>
      <c r="MIJ3" s="784"/>
      <c r="MIK3" s="784"/>
      <c r="MIL3" s="784"/>
      <c r="MIM3" s="784"/>
      <c r="MIN3" s="784"/>
      <c r="MIO3" s="784"/>
      <c r="MIP3" s="784"/>
      <c r="MIQ3" s="784"/>
      <c r="MIR3" s="784"/>
      <c r="MIS3" s="785"/>
      <c r="MIT3" s="786"/>
      <c r="MIU3" s="784"/>
      <c r="MIV3" s="784"/>
      <c r="MIW3" s="784"/>
      <c r="MIX3" s="784"/>
      <c r="MIY3" s="784"/>
      <c r="MIZ3" s="784"/>
      <c r="MJA3" s="784"/>
      <c r="MJB3" s="784"/>
      <c r="MJC3" s="784"/>
      <c r="MJD3" s="784"/>
      <c r="MJE3" s="784"/>
      <c r="MJF3" s="784"/>
      <c r="MJG3" s="784"/>
      <c r="MJH3" s="785"/>
      <c r="MJI3" s="786"/>
      <c r="MJJ3" s="784"/>
      <c r="MJK3" s="784"/>
      <c r="MJL3" s="784"/>
      <c r="MJM3" s="784"/>
      <c r="MJN3" s="784"/>
      <c r="MJO3" s="784"/>
      <c r="MJP3" s="784"/>
      <c r="MJQ3" s="784"/>
      <c r="MJR3" s="784"/>
      <c r="MJS3" s="784"/>
      <c r="MJT3" s="784"/>
      <c r="MJU3" s="784"/>
      <c r="MJV3" s="784"/>
      <c r="MJW3" s="785"/>
      <c r="MJX3" s="786"/>
      <c r="MJY3" s="784"/>
      <c r="MJZ3" s="784"/>
      <c r="MKA3" s="784"/>
      <c r="MKB3" s="784"/>
      <c r="MKC3" s="784"/>
      <c r="MKD3" s="784"/>
      <c r="MKE3" s="784"/>
      <c r="MKF3" s="784"/>
      <c r="MKG3" s="784"/>
      <c r="MKH3" s="784"/>
      <c r="MKI3" s="784"/>
      <c r="MKJ3" s="784"/>
      <c r="MKK3" s="784"/>
      <c r="MKL3" s="785"/>
      <c r="MKM3" s="786"/>
      <c r="MKN3" s="784"/>
      <c r="MKO3" s="784"/>
      <c r="MKP3" s="784"/>
      <c r="MKQ3" s="784"/>
      <c r="MKR3" s="784"/>
      <c r="MKS3" s="784"/>
      <c r="MKT3" s="784"/>
      <c r="MKU3" s="784"/>
      <c r="MKV3" s="784"/>
      <c r="MKW3" s="784"/>
      <c r="MKX3" s="784"/>
      <c r="MKY3" s="784"/>
      <c r="MKZ3" s="784"/>
      <c r="MLA3" s="785"/>
      <c r="MLB3" s="786"/>
      <c r="MLC3" s="784"/>
      <c r="MLD3" s="784"/>
      <c r="MLE3" s="784"/>
      <c r="MLF3" s="784"/>
      <c r="MLG3" s="784"/>
      <c r="MLH3" s="784"/>
      <c r="MLI3" s="784"/>
      <c r="MLJ3" s="784"/>
      <c r="MLK3" s="784"/>
      <c r="MLL3" s="784"/>
      <c r="MLM3" s="784"/>
      <c r="MLN3" s="784"/>
      <c r="MLO3" s="784"/>
      <c r="MLP3" s="785"/>
      <c r="MLQ3" s="786"/>
      <c r="MLR3" s="784"/>
      <c r="MLS3" s="784"/>
      <c r="MLT3" s="784"/>
      <c r="MLU3" s="784"/>
      <c r="MLV3" s="784"/>
      <c r="MLW3" s="784"/>
      <c r="MLX3" s="784"/>
      <c r="MLY3" s="784"/>
      <c r="MLZ3" s="784"/>
      <c r="MMA3" s="784"/>
      <c r="MMB3" s="784"/>
      <c r="MMC3" s="784"/>
      <c r="MMD3" s="784"/>
      <c r="MME3" s="785"/>
      <c r="MMF3" s="786"/>
      <c r="MMG3" s="784"/>
      <c r="MMH3" s="784"/>
      <c r="MMI3" s="784"/>
      <c r="MMJ3" s="784"/>
      <c r="MMK3" s="784"/>
      <c r="MML3" s="784"/>
      <c r="MMM3" s="784"/>
      <c r="MMN3" s="784"/>
      <c r="MMO3" s="784"/>
      <c r="MMP3" s="784"/>
      <c r="MMQ3" s="784"/>
      <c r="MMR3" s="784"/>
      <c r="MMS3" s="784"/>
      <c r="MMT3" s="785"/>
      <c r="MMU3" s="786"/>
      <c r="MMV3" s="784"/>
      <c r="MMW3" s="784"/>
      <c r="MMX3" s="784"/>
      <c r="MMY3" s="784"/>
      <c r="MMZ3" s="784"/>
      <c r="MNA3" s="784"/>
      <c r="MNB3" s="784"/>
      <c r="MNC3" s="784"/>
      <c r="MND3" s="784"/>
      <c r="MNE3" s="784"/>
      <c r="MNF3" s="784"/>
      <c r="MNG3" s="784"/>
      <c r="MNH3" s="784"/>
      <c r="MNI3" s="785"/>
      <c r="MNJ3" s="786"/>
      <c r="MNK3" s="784"/>
      <c r="MNL3" s="784"/>
      <c r="MNM3" s="784"/>
      <c r="MNN3" s="784"/>
      <c r="MNO3" s="784"/>
      <c r="MNP3" s="784"/>
      <c r="MNQ3" s="784"/>
      <c r="MNR3" s="784"/>
      <c r="MNS3" s="784"/>
      <c r="MNT3" s="784"/>
      <c r="MNU3" s="784"/>
      <c r="MNV3" s="784"/>
      <c r="MNW3" s="784"/>
      <c r="MNX3" s="785"/>
      <c r="MNY3" s="786"/>
      <c r="MNZ3" s="784"/>
      <c r="MOA3" s="784"/>
      <c r="MOB3" s="784"/>
      <c r="MOC3" s="784"/>
      <c r="MOD3" s="784"/>
      <c r="MOE3" s="784"/>
      <c r="MOF3" s="784"/>
      <c r="MOG3" s="784"/>
      <c r="MOH3" s="784"/>
      <c r="MOI3" s="784"/>
      <c r="MOJ3" s="784"/>
      <c r="MOK3" s="784"/>
      <c r="MOL3" s="784"/>
      <c r="MOM3" s="785"/>
      <c r="MON3" s="786"/>
      <c r="MOO3" s="784"/>
      <c r="MOP3" s="784"/>
      <c r="MOQ3" s="784"/>
      <c r="MOR3" s="784"/>
      <c r="MOS3" s="784"/>
      <c r="MOT3" s="784"/>
      <c r="MOU3" s="784"/>
      <c r="MOV3" s="784"/>
      <c r="MOW3" s="784"/>
      <c r="MOX3" s="784"/>
      <c r="MOY3" s="784"/>
      <c r="MOZ3" s="784"/>
      <c r="MPA3" s="784"/>
      <c r="MPB3" s="785"/>
      <c r="MPC3" s="786"/>
      <c r="MPD3" s="784"/>
      <c r="MPE3" s="784"/>
      <c r="MPF3" s="784"/>
      <c r="MPG3" s="784"/>
      <c r="MPH3" s="784"/>
      <c r="MPI3" s="784"/>
      <c r="MPJ3" s="784"/>
      <c r="MPK3" s="784"/>
      <c r="MPL3" s="784"/>
      <c r="MPM3" s="784"/>
      <c r="MPN3" s="784"/>
      <c r="MPO3" s="784"/>
      <c r="MPP3" s="784"/>
      <c r="MPQ3" s="785"/>
      <c r="MPR3" s="786"/>
      <c r="MPS3" s="784"/>
      <c r="MPT3" s="784"/>
      <c r="MPU3" s="784"/>
      <c r="MPV3" s="784"/>
      <c r="MPW3" s="784"/>
      <c r="MPX3" s="784"/>
      <c r="MPY3" s="784"/>
      <c r="MPZ3" s="784"/>
      <c r="MQA3" s="784"/>
      <c r="MQB3" s="784"/>
      <c r="MQC3" s="784"/>
      <c r="MQD3" s="784"/>
      <c r="MQE3" s="784"/>
      <c r="MQF3" s="785"/>
      <c r="MQG3" s="786"/>
      <c r="MQH3" s="784"/>
      <c r="MQI3" s="784"/>
      <c r="MQJ3" s="784"/>
      <c r="MQK3" s="784"/>
      <c r="MQL3" s="784"/>
      <c r="MQM3" s="784"/>
      <c r="MQN3" s="784"/>
      <c r="MQO3" s="784"/>
      <c r="MQP3" s="784"/>
      <c r="MQQ3" s="784"/>
      <c r="MQR3" s="784"/>
      <c r="MQS3" s="784"/>
      <c r="MQT3" s="784"/>
      <c r="MQU3" s="785"/>
      <c r="MQV3" s="786"/>
      <c r="MQW3" s="784"/>
      <c r="MQX3" s="784"/>
      <c r="MQY3" s="784"/>
      <c r="MQZ3" s="784"/>
      <c r="MRA3" s="784"/>
      <c r="MRB3" s="784"/>
      <c r="MRC3" s="784"/>
      <c r="MRD3" s="784"/>
      <c r="MRE3" s="784"/>
      <c r="MRF3" s="784"/>
      <c r="MRG3" s="784"/>
      <c r="MRH3" s="784"/>
      <c r="MRI3" s="784"/>
      <c r="MRJ3" s="785"/>
      <c r="MRK3" s="786"/>
      <c r="MRL3" s="784"/>
      <c r="MRM3" s="784"/>
      <c r="MRN3" s="784"/>
      <c r="MRO3" s="784"/>
      <c r="MRP3" s="784"/>
      <c r="MRQ3" s="784"/>
      <c r="MRR3" s="784"/>
      <c r="MRS3" s="784"/>
      <c r="MRT3" s="784"/>
      <c r="MRU3" s="784"/>
      <c r="MRV3" s="784"/>
      <c r="MRW3" s="784"/>
      <c r="MRX3" s="784"/>
      <c r="MRY3" s="785"/>
      <c r="MRZ3" s="786"/>
      <c r="MSA3" s="784"/>
      <c r="MSB3" s="784"/>
      <c r="MSC3" s="784"/>
      <c r="MSD3" s="784"/>
      <c r="MSE3" s="784"/>
      <c r="MSF3" s="784"/>
      <c r="MSG3" s="784"/>
      <c r="MSH3" s="784"/>
      <c r="MSI3" s="784"/>
      <c r="MSJ3" s="784"/>
      <c r="MSK3" s="784"/>
      <c r="MSL3" s="784"/>
      <c r="MSM3" s="784"/>
      <c r="MSN3" s="785"/>
      <c r="MSO3" s="786"/>
      <c r="MSP3" s="784"/>
      <c r="MSQ3" s="784"/>
      <c r="MSR3" s="784"/>
      <c r="MSS3" s="784"/>
      <c r="MST3" s="784"/>
      <c r="MSU3" s="784"/>
      <c r="MSV3" s="784"/>
      <c r="MSW3" s="784"/>
      <c r="MSX3" s="784"/>
      <c r="MSY3" s="784"/>
      <c r="MSZ3" s="784"/>
      <c r="MTA3" s="784"/>
      <c r="MTB3" s="784"/>
      <c r="MTC3" s="785"/>
      <c r="MTD3" s="786"/>
      <c r="MTE3" s="784"/>
      <c r="MTF3" s="784"/>
      <c r="MTG3" s="784"/>
      <c r="MTH3" s="784"/>
      <c r="MTI3" s="784"/>
      <c r="MTJ3" s="784"/>
      <c r="MTK3" s="784"/>
      <c r="MTL3" s="784"/>
      <c r="MTM3" s="784"/>
      <c r="MTN3" s="784"/>
      <c r="MTO3" s="784"/>
      <c r="MTP3" s="784"/>
      <c r="MTQ3" s="784"/>
      <c r="MTR3" s="785"/>
      <c r="MTS3" s="786"/>
      <c r="MTT3" s="784"/>
      <c r="MTU3" s="784"/>
      <c r="MTV3" s="784"/>
      <c r="MTW3" s="784"/>
      <c r="MTX3" s="784"/>
      <c r="MTY3" s="784"/>
      <c r="MTZ3" s="784"/>
      <c r="MUA3" s="784"/>
      <c r="MUB3" s="784"/>
      <c r="MUC3" s="784"/>
      <c r="MUD3" s="784"/>
      <c r="MUE3" s="784"/>
      <c r="MUF3" s="784"/>
      <c r="MUG3" s="785"/>
      <c r="MUH3" s="786"/>
      <c r="MUI3" s="784"/>
      <c r="MUJ3" s="784"/>
      <c r="MUK3" s="784"/>
      <c r="MUL3" s="784"/>
      <c r="MUM3" s="784"/>
      <c r="MUN3" s="784"/>
      <c r="MUO3" s="784"/>
      <c r="MUP3" s="784"/>
      <c r="MUQ3" s="784"/>
      <c r="MUR3" s="784"/>
      <c r="MUS3" s="784"/>
      <c r="MUT3" s="784"/>
      <c r="MUU3" s="784"/>
      <c r="MUV3" s="785"/>
      <c r="MUW3" s="786"/>
      <c r="MUX3" s="784"/>
      <c r="MUY3" s="784"/>
      <c r="MUZ3" s="784"/>
      <c r="MVA3" s="784"/>
      <c r="MVB3" s="784"/>
      <c r="MVC3" s="784"/>
      <c r="MVD3" s="784"/>
      <c r="MVE3" s="784"/>
      <c r="MVF3" s="784"/>
      <c r="MVG3" s="784"/>
      <c r="MVH3" s="784"/>
      <c r="MVI3" s="784"/>
      <c r="MVJ3" s="784"/>
      <c r="MVK3" s="785"/>
      <c r="MVL3" s="786"/>
      <c r="MVM3" s="784"/>
      <c r="MVN3" s="784"/>
      <c r="MVO3" s="784"/>
      <c r="MVP3" s="784"/>
      <c r="MVQ3" s="784"/>
      <c r="MVR3" s="784"/>
      <c r="MVS3" s="784"/>
      <c r="MVT3" s="784"/>
      <c r="MVU3" s="784"/>
      <c r="MVV3" s="784"/>
      <c r="MVW3" s="784"/>
      <c r="MVX3" s="784"/>
      <c r="MVY3" s="784"/>
      <c r="MVZ3" s="785"/>
      <c r="MWA3" s="786"/>
      <c r="MWB3" s="784"/>
      <c r="MWC3" s="784"/>
      <c r="MWD3" s="784"/>
      <c r="MWE3" s="784"/>
      <c r="MWF3" s="784"/>
      <c r="MWG3" s="784"/>
      <c r="MWH3" s="784"/>
      <c r="MWI3" s="784"/>
      <c r="MWJ3" s="784"/>
      <c r="MWK3" s="784"/>
      <c r="MWL3" s="784"/>
      <c r="MWM3" s="784"/>
      <c r="MWN3" s="784"/>
      <c r="MWO3" s="785"/>
      <c r="MWP3" s="786"/>
      <c r="MWQ3" s="784"/>
      <c r="MWR3" s="784"/>
      <c r="MWS3" s="784"/>
      <c r="MWT3" s="784"/>
      <c r="MWU3" s="784"/>
      <c r="MWV3" s="784"/>
      <c r="MWW3" s="784"/>
      <c r="MWX3" s="784"/>
      <c r="MWY3" s="784"/>
      <c r="MWZ3" s="784"/>
      <c r="MXA3" s="784"/>
      <c r="MXB3" s="784"/>
      <c r="MXC3" s="784"/>
      <c r="MXD3" s="785"/>
      <c r="MXE3" s="786"/>
      <c r="MXF3" s="784"/>
      <c r="MXG3" s="784"/>
      <c r="MXH3" s="784"/>
      <c r="MXI3" s="784"/>
      <c r="MXJ3" s="784"/>
      <c r="MXK3" s="784"/>
      <c r="MXL3" s="784"/>
      <c r="MXM3" s="784"/>
      <c r="MXN3" s="784"/>
      <c r="MXO3" s="784"/>
      <c r="MXP3" s="784"/>
      <c r="MXQ3" s="784"/>
      <c r="MXR3" s="784"/>
      <c r="MXS3" s="785"/>
      <c r="MXT3" s="786"/>
      <c r="MXU3" s="784"/>
      <c r="MXV3" s="784"/>
      <c r="MXW3" s="784"/>
      <c r="MXX3" s="784"/>
      <c r="MXY3" s="784"/>
      <c r="MXZ3" s="784"/>
      <c r="MYA3" s="784"/>
      <c r="MYB3" s="784"/>
      <c r="MYC3" s="784"/>
      <c r="MYD3" s="784"/>
      <c r="MYE3" s="784"/>
      <c r="MYF3" s="784"/>
      <c r="MYG3" s="784"/>
      <c r="MYH3" s="785"/>
      <c r="MYI3" s="786"/>
      <c r="MYJ3" s="784"/>
      <c r="MYK3" s="784"/>
      <c r="MYL3" s="784"/>
      <c r="MYM3" s="784"/>
      <c r="MYN3" s="784"/>
      <c r="MYO3" s="784"/>
      <c r="MYP3" s="784"/>
      <c r="MYQ3" s="784"/>
      <c r="MYR3" s="784"/>
      <c r="MYS3" s="784"/>
      <c r="MYT3" s="784"/>
      <c r="MYU3" s="784"/>
      <c r="MYV3" s="784"/>
      <c r="MYW3" s="785"/>
      <c r="MYX3" s="786"/>
      <c r="MYY3" s="784"/>
      <c r="MYZ3" s="784"/>
      <c r="MZA3" s="784"/>
      <c r="MZB3" s="784"/>
      <c r="MZC3" s="784"/>
      <c r="MZD3" s="784"/>
      <c r="MZE3" s="784"/>
      <c r="MZF3" s="784"/>
      <c r="MZG3" s="784"/>
      <c r="MZH3" s="784"/>
      <c r="MZI3" s="784"/>
      <c r="MZJ3" s="784"/>
      <c r="MZK3" s="784"/>
      <c r="MZL3" s="785"/>
      <c r="MZM3" s="786"/>
      <c r="MZN3" s="784"/>
      <c r="MZO3" s="784"/>
      <c r="MZP3" s="784"/>
      <c r="MZQ3" s="784"/>
      <c r="MZR3" s="784"/>
      <c r="MZS3" s="784"/>
      <c r="MZT3" s="784"/>
      <c r="MZU3" s="784"/>
      <c r="MZV3" s="784"/>
      <c r="MZW3" s="784"/>
      <c r="MZX3" s="784"/>
      <c r="MZY3" s="784"/>
      <c r="MZZ3" s="784"/>
      <c r="NAA3" s="785"/>
      <c r="NAB3" s="786"/>
      <c r="NAC3" s="784"/>
      <c r="NAD3" s="784"/>
      <c r="NAE3" s="784"/>
      <c r="NAF3" s="784"/>
      <c r="NAG3" s="784"/>
      <c r="NAH3" s="784"/>
      <c r="NAI3" s="784"/>
      <c r="NAJ3" s="784"/>
      <c r="NAK3" s="784"/>
      <c r="NAL3" s="784"/>
      <c r="NAM3" s="784"/>
      <c r="NAN3" s="784"/>
      <c r="NAO3" s="784"/>
      <c r="NAP3" s="785"/>
      <c r="NAQ3" s="786"/>
      <c r="NAR3" s="784"/>
      <c r="NAS3" s="784"/>
      <c r="NAT3" s="784"/>
      <c r="NAU3" s="784"/>
      <c r="NAV3" s="784"/>
      <c r="NAW3" s="784"/>
      <c r="NAX3" s="784"/>
      <c r="NAY3" s="784"/>
      <c r="NAZ3" s="784"/>
      <c r="NBA3" s="784"/>
      <c r="NBB3" s="784"/>
      <c r="NBC3" s="784"/>
      <c r="NBD3" s="784"/>
      <c r="NBE3" s="785"/>
      <c r="NBF3" s="786"/>
      <c r="NBG3" s="784"/>
      <c r="NBH3" s="784"/>
      <c r="NBI3" s="784"/>
      <c r="NBJ3" s="784"/>
      <c r="NBK3" s="784"/>
      <c r="NBL3" s="784"/>
      <c r="NBM3" s="784"/>
      <c r="NBN3" s="784"/>
      <c r="NBO3" s="784"/>
      <c r="NBP3" s="784"/>
      <c r="NBQ3" s="784"/>
      <c r="NBR3" s="784"/>
      <c r="NBS3" s="784"/>
      <c r="NBT3" s="785"/>
      <c r="NBU3" s="786"/>
      <c r="NBV3" s="784"/>
      <c r="NBW3" s="784"/>
      <c r="NBX3" s="784"/>
      <c r="NBY3" s="784"/>
      <c r="NBZ3" s="784"/>
      <c r="NCA3" s="784"/>
      <c r="NCB3" s="784"/>
      <c r="NCC3" s="784"/>
      <c r="NCD3" s="784"/>
      <c r="NCE3" s="784"/>
      <c r="NCF3" s="784"/>
      <c r="NCG3" s="784"/>
      <c r="NCH3" s="784"/>
      <c r="NCI3" s="785"/>
      <c r="NCJ3" s="786"/>
      <c r="NCK3" s="784"/>
      <c r="NCL3" s="784"/>
      <c r="NCM3" s="784"/>
      <c r="NCN3" s="784"/>
      <c r="NCO3" s="784"/>
      <c r="NCP3" s="784"/>
      <c r="NCQ3" s="784"/>
      <c r="NCR3" s="784"/>
      <c r="NCS3" s="784"/>
      <c r="NCT3" s="784"/>
      <c r="NCU3" s="784"/>
      <c r="NCV3" s="784"/>
      <c r="NCW3" s="784"/>
      <c r="NCX3" s="785"/>
      <c r="NCY3" s="786"/>
      <c r="NCZ3" s="784"/>
      <c r="NDA3" s="784"/>
      <c r="NDB3" s="784"/>
      <c r="NDC3" s="784"/>
      <c r="NDD3" s="784"/>
      <c r="NDE3" s="784"/>
      <c r="NDF3" s="784"/>
      <c r="NDG3" s="784"/>
      <c r="NDH3" s="784"/>
      <c r="NDI3" s="784"/>
      <c r="NDJ3" s="784"/>
      <c r="NDK3" s="784"/>
      <c r="NDL3" s="784"/>
      <c r="NDM3" s="785"/>
      <c r="NDN3" s="786"/>
      <c r="NDO3" s="784"/>
      <c r="NDP3" s="784"/>
      <c r="NDQ3" s="784"/>
      <c r="NDR3" s="784"/>
      <c r="NDS3" s="784"/>
      <c r="NDT3" s="784"/>
      <c r="NDU3" s="784"/>
      <c r="NDV3" s="784"/>
      <c r="NDW3" s="784"/>
      <c r="NDX3" s="784"/>
      <c r="NDY3" s="784"/>
      <c r="NDZ3" s="784"/>
      <c r="NEA3" s="784"/>
      <c r="NEB3" s="785"/>
      <c r="NEC3" s="786"/>
      <c r="NED3" s="784"/>
      <c r="NEE3" s="784"/>
      <c r="NEF3" s="784"/>
      <c r="NEG3" s="784"/>
      <c r="NEH3" s="784"/>
      <c r="NEI3" s="784"/>
      <c r="NEJ3" s="784"/>
      <c r="NEK3" s="784"/>
      <c r="NEL3" s="784"/>
      <c r="NEM3" s="784"/>
      <c r="NEN3" s="784"/>
      <c r="NEO3" s="784"/>
      <c r="NEP3" s="784"/>
      <c r="NEQ3" s="785"/>
      <c r="NER3" s="786"/>
      <c r="NES3" s="784"/>
      <c r="NET3" s="784"/>
      <c r="NEU3" s="784"/>
      <c r="NEV3" s="784"/>
      <c r="NEW3" s="784"/>
      <c r="NEX3" s="784"/>
      <c r="NEY3" s="784"/>
      <c r="NEZ3" s="784"/>
      <c r="NFA3" s="784"/>
      <c r="NFB3" s="784"/>
      <c r="NFC3" s="784"/>
      <c r="NFD3" s="784"/>
      <c r="NFE3" s="784"/>
      <c r="NFF3" s="785"/>
      <c r="NFG3" s="786"/>
      <c r="NFH3" s="784"/>
      <c r="NFI3" s="784"/>
      <c r="NFJ3" s="784"/>
      <c r="NFK3" s="784"/>
      <c r="NFL3" s="784"/>
      <c r="NFM3" s="784"/>
      <c r="NFN3" s="784"/>
      <c r="NFO3" s="784"/>
      <c r="NFP3" s="784"/>
      <c r="NFQ3" s="784"/>
      <c r="NFR3" s="784"/>
      <c r="NFS3" s="784"/>
      <c r="NFT3" s="784"/>
      <c r="NFU3" s="785"/>
      <c r="NFV3" s="786"/>
      <c r="NFW3" s="784"/>
      <c r="NFX3" s="784"/>
      <c r="NFY3" s="784"/>
      <c r="NFZ3" s="784"/>
      <c r="NGA3" s="784"/>
      <c r="NGB3" s="784"/>
      <c r="NGC3" s="784"/>
      <c r="NGD3" s="784"/>
      <c r="NGE3" s="784"/>
      <c r="NGF3" s="784"/>
      <c r="NGG3" s="784"/>
      <c r="NGH3" s="784"/>
      <c r="NGI3" s="784"/>
      <c r="NGJ3" s="785"/>
      <c r="NGK3" s="786"/>
      <c r="NGL3" s="784"/>
      <c r="NGM3" s="784"/>
      <c r="NGN3" s="784"/>
      <c r="NGO3" s="784"/>
      <c r="NGP3" s="784"/>
      <c r="NGQ3" s="784"/>
      <c r="NGR3" s="784"/>
      <c r="NGS3" s="784"/>
      <c r="NGT3" s="784"/>
      <c r="NGU3" s="784"/>
      <c r="NGV3" s="784"/>
      <c r="NGW3" s="784"/>
      <c r="NGX3" s="784"/>
      <c r="NGY3" s="785"/>
      <c r="NGZ3" s="786"/>
      <c r="NHA3" s="784"/>
      <c r="NHB3" s="784"/>
      <c r="NHC3" s="784"/>
      <c r="NHD3" s="784"/>
      <c r="NHE3" s="784"/>
      <c r="NHF3" s="784"/>
      <c r="NHG3" s="784"/>
      <c r="NHH3" s="784"/>
      <c r="NHI3" s="784"/>
      <c r="NHJ3" s="784"/>
      <c r="NHK3" s="784"/>
      <c r="NHL3" s="784"/>
      <c r="NHM3" s="784"/>
      <c r="NHN3" s="785"/>
      <c r="NHO3" s="786"/>
      <c r="NHP3" s="784"/>
      <c r="NHQ3" s="784"/>
      <c r="NHR3" s="784"/>
      <c r="NHS3" s="784"/>
      <c r="NHT3" s="784"/>
      <c r="NHU3" s="784"/>
      <c r="NHV3" s="784"/>
      <c r="NHW3" s="784"/>
      <c r="NHX3" s="784"/>
      <c r="NHY3" s="784"/>
      <c r="NHZ3" s="784"/>
      <c r="NIA3" s="784"/>
      <c r="NIB3" s="784"/>
      <c r="NIC3" s="785"/>
      <c r="NID3" s="786"/>
      <c r="NIE3" s="784"/>
      <c r="NIF3" s="784"/>
      <c r="NIG3" s="784"/>
      <c r="NIH3" s="784"/>
      <c r="NII3" s="784"/>
      <c r="NIJ3" s="784"/>
      <c r="NIK3" s="784"/>
      <c r="NIL3" s="784"/>
      <c r="NIM3" s="784"/>
      <c r="NIN3" s="784"/>
      <c r="NIO3" s="784"/>
      <c r="NIP3" s="784"/>
      <c r="NIQ3" s="784"/>
      <c r="NIR3" s="785"/>
      <c r="NIS3" s="786"/>
      <c r="NIT3" s="784"/>
      <c r="NIU3" s="784"/>
      <c r="NIV3" s="784"/>
      <c r="NIW3" s="784"/>
      <c r="NIX3" s="784"/>
      <c r="NIY3" s="784"/>
      <c r="NIZ3" s="784"/>
      <c r="NJA3" s="784"/>
      <c r="NJB3" s="784"/>
      <c r="NJC3" s="784"/>
      <c r="NJD3" s="784"/>
      <c r="NJE3" s="784"/>
      <c r="NJF3" s="784"/>
      <c r="NJG3" s="785"/>
      <c r="NJH3" s="786"/>
      <c r="NJI3" s="784"/>
      <c r="NJJ3" s="784"/>
      <c r="NJK3" s="784"/>
      <c r="NJL3" s="784"/>
      <c r="NJM3" s="784"/>
      <c r="NJN3" s="784"/>
      <c r="NJO3" s="784"/>
      <c r="NJP3" s="784"/>
      <c r="NJQ3" s="784"/>
      <c r="NJR3" s="784"/>
      <c r="NJS3" s="784"/>
      <c r="NJT3" s="784"/>
      <c r="NJU3" s="784"/>
      <c r="NJV3" s="785"/>
      <c r="NJW3" s="786"/>
      <c r="NJX3" s="784"/>
      <c r="NJY3" s="784"/>
      <c r="NJZ3" s="784"/>
      <c r="NKA3" s="784"/>
      <c r="NKB3" s="784"/>
      <c r="NKC3" s="784"/>
      <c r="NKD3" s="784"/>
      <c r="NKE3" s="784"/>
      <c r="NKF3" s="784"/>
      <c r="NKG3" s="784"/>
      <c r="NKH3" s="784"/>
      <c r="NKI3" s="784"/>
      <c r="NKJ3" s="784"/>
      <c r="NKK3" s="785"/>
      <c r="NKL3" s="786"/>
      <c r="NKM3" s="784"/>
      <c r="NKN3" s="784"/>
      <c r="NKO3" s="784"/>
      <c r="NKP3" s="784"/>
      <c r="NKQ3" s="784"/>
      <c r="NKR3" s="784"/>
      <c r="NKS3" s="784"/>
      <c r="NKT3" s="784"/>
      <c r="NKU3" s="784"/>
      <c r="NKV3" s="784"/>
      <c r="NKW3" s="784"/>
      <c r="NKX3" s="784"/>
      <c r="NKY3" s="784"/>
      <c r="NKZ3" s="785"/>
      <c r="NLA3" s="786"/>
      <c r="NLB3" s="784"/>
      <c r="NLC3" s="784"/>
      <c r="NLD3" s="784"/>
      <c r="NLE3" s="784"/>
      <c r="NLF3" s="784"/>
      <c r="NLG3" s="784"/>
      <c r="NLH3" s="784"/>
      <c r="NLI3" s="784"/>
      <c r="NLJ3" s="784"/>
      <c r="NLK3" s="784"/>
      <c r="NLL3" s="784"/>
      <c r="NLM3" s="784"/>
      <c r="NLN3" s="784"/>
      <c r="NLO3" s="785"/>
      <c r="NLP3" s="786"/>
      <c r="NLQ3" s="784"/>
      <c r="NLR3" s="784"/>
      <c r="NLS3" s="784"/>
      <c r="NLT3" s="784"/>
      <c r="NLU3" s="784"/>
      <c r="NLV3" s="784"/>
      <c r="NLW3" s="784"/>
      <c r="NLX3" s="784"/>
      <c r="NLY3" s="784"/>
      <c r="NLZ3" s="784"/>
      <c r="NMA3" s="784"/>
      <c r="NMB3" s="784"/>
      <c r="NMC3" s="784"/>
      <c r="NMD3" s="785"/>
      <c r="NME3" s="786"/>
      <c r="NMF3" s="784"/>
      <c r="NMG3" s="784"/>
      <c r="NMH3" s="784"/>
      <c r="NMI3" s="784"/>
      <c r="NMJ3" s="784"/>
      <c r="NMK3" s="784"/>
      <c r="NML3" s="784"/>
      <c r="NMM3" s="784"/>
      <c r="NMN3" s="784"/>
      <c r="NMO3" s="784"/>
      <c r="NMP3" s="784"/>
      <c r="NMQ3" s="784"/>
      <c r="NMR3" s="784"/>
      <c r="NMS3" s="785"/>
      <c r="NMT3" s="786"/>
      <c r="NMU3" s="784"/>
      <c r="NMV3" s="784"/>
      <c r="NMW3" s="784"/>
      <c r="NMX3" s="784"/>
      <c r="NMY3" s="784"/>
      <c r="NMZ3" s="784"/>
      <c r="NNA3" s="784"/>
      <c r="NNB3" s="784"/>
      <c r="NNC3" s="784"/>
      <c r="NND3" s="784"/>
      <c r="NNE3" s="784"/>
      <c r="NNF3" s="784"/>
      <c r="NNG3" s="784"/>
      <c r="NNH3" s="785"/>
      <c r="NNI3" s="786"/>
      <c r="NNJ3" s="784"/>
      <c r="NNK3" s="784"/>
      <c r="NNL3" s="784"/>
      <c r="NNM3" s="784"/>
      <c r="NNN3" s="784"/>
      <c r="NNO3" s="784"/>
      <c r="NNP3" s="784"/>
      <c r="NNQ3" s="784"/>
      <c r="NNR3" s="784"/>
      <c r="NNS3" s="784"/>
      <c r="NNT3" s="784"/>
      <c r="NNU3" s="784"/>
      <c r="NNV3" s="784"/>
      <c r="NNW3" s="785"/>
      <c r="NNX3" s="786"/>
      <c r="NNY3" s="784"/>
      <c r="NNZ3" s="784"/>
      <c r="NOA3" s="784"/>
      <c r="NOB3" s="784"/>
      <c r="NOC3" s="784"/>
      <c r="NOD3" s="784"/>
      <c r="NOE3" s="784"/>
      <c r="NOF3" s="784"/>
      <c r="NOG3" s="784"/>
      <c r="NOH3" s="784"/>
      <c r="NOI3" s="784"/>
      <c r="NOJ3" s="784"/>
      <c r="NOK3" s="784"/>
      <c r="NOL3" s="785"/>
      <c r="NOM3" s="786"/>
      <c r="NON3" s="784"/>
      <c r="NOO3" s="784"/>
      <c r="NOP3" s="784"/>
      <c r="NOQ3" s="784"/>
      <c r="NOR3" s="784"/>
      <c r="NOS3" s="784"/>
      <c r="NOT3" s="784"/>
      <c r="NOU3" s="784"/>
      <c r="NOV3" s="784"/>
      <c r="NOW3" s="784"/>
      <c r="NOX3" s="784"/>
      <c r="NOY3" s="784"/>
      <c r="NOZ3" s="784"/>
      <c r="NPA3" s="785"/>
      <c r="NPB3" s="786"/>
      <c r="NPC3" s="784"/>
      <c r="NPD3" s="784"/>
      <c r="NPE3" s="784"/>
      <c r="NPF3" s="784"/>
      <c r="NPG3" s="784"/>
      <c r="NPH3" s="784"/>
      <c r="NPI3" s="784"/>
      <c r="NPJ3" s="784"/>
      <c r="NPK3" s="784"/>
      <c r="NPL3" s="784"/>
      <c r="NPM3" s="784"/>
      <c r="NPN3" s="784"/>
      <c r="NPO3" s="784"/>
      <c r="NPP3" s="785"/>
      <c r="NPQ3" s="786"/>
      <c r="NPR3" s="784"/>
      <c r="NPS3" s="784"/>
      <c r="NPT3" s="784"/>
      <c r="NPU3" s="784"/>
      <c r="NPV3" s="784"/>
      <c r="NPW3" s="784"/>
      <c r="NPX3" s="784"/>
      <c r="NPY3" s="784"/>
      <c r="NPZ3" s="784"/>
      <c r="NQA3" s="784"/>
      <c r="NQB3" s="784"/>
      <c r="NQC3" s="784"/>
      <c r="NQD3" s="784"/>
      <c r="NQE3" s="785"/>
      <c r="NQF3" s="786"/>
      <c r="NQG3" s="784"/>
      <c r="NQH3" s="784"/>
      <c r="NQI3" s="784"/>
      <c r="NQJ3" s="784"/>
      <c r="NQK3" s="784"/>
      <c r="NQL3" s="784"/>
      <c r="NQM3" s="784"/>
      <c r="NQN3" s="784"/>
      <c r="NQO3" s="784"/>
      <c r="NQP3" s="784"/>
      <c r="NQQ3" s="784"/>
      <c r="NQR3" s="784"/>
      <c r="NQS3" s="784"/>
      <c r="NQT3" s="785"/>
      <c r="NQU3" s="786"/>
      <c r="NQV3" s="784"/>
      <c r="NQW3" s="784"/>
      <c r="NQX3" s="784"/>
      <c r="NQY3" s="784"/>
      <c r="NQZ3" s="784"/>
      <c r="NRA3" s="784"/>
      <c r="NRB3" s="784"/>
      <c r="NRC3" s="784"/>
      <c r="NRD3" s="784"/>
      <c r="NRE3" s="784"/>
      <c r="NRF3" s="784"/>
      <c r="NRG3" s="784"/>
      <c r="NRH3" s="784"/>
      <c r="NRI3" s="785"/>
      <c r="NRJ3" s="786"/>
      <c r="NRK3" s="784"/>
      <c r="NRL3" s="784"/>
      <c r="NRM3" s="784"/>
      <c r="NRN3" s="784"/>
      <c r="NRO3" s="784"/>
      <c r="NRP3" s="784"/>
      <c r="NRQ3" s="784"/>
      <c r="NRR3" s="784"/>
      <c r="NRS3" s="784"/>
      <c r="NRT3" s="784"/>
      <c r="NRU3" s="784"/>
      <c r="NRV3" s="784"/>
      <c r="NRW3" s="784"/>
      <c r="NRX3" s="785"/>
      <c r="NRY3" s="786"/>
      <c r="NRZ3" s="784"/>
      <c r="NSA3" s="784"/>
      <c r="NSB3" s="784"/>
      <c r="NSC3" s="784"/>
      <c r="NSD3" s="784"/>
      <c r="NSE3" s="784"/>
      <c r="NSF3" s="784"/>
      <c r="NSG3" s="784"/>
      <c r="NSH3" s="784"/>
      <c r="NSI3" s="784"/>
      <c r="NSJ3" s="784"/>
      <c r="NSK3" s="784"/>
      <c r="NSL3" s="784"/>
      <c r="NSM3" s="785"/>
      <c r="NSN3" s="786"/>
      <c r="NSO3" s="784"/>
      <c r="NSP3" s="784"/>
      <c r="NSQ3" s="784"/>
      <c r="NSR3" s="784"/>
      <c r="NSS3" s="784"/>
      <c r="NST3" s="784"/>
      <c r="NSU3" s="784"/>
      <c r="NSV3" s="784"/>
      <c r="NSW3" s="784"/>
      <c r="NSX3" s="784"/>
      <c r="NSY3" s="784"/>
      <c r="NSZ3" s="784"/>
      <c r="NTA3" s="784"/>
      <c r="NTB3" s="785"/>
      <c r="NTC3" s="786"/>
      <c r="NTD3" s="784"/>
      <c r="NTE3" s="784"/>
      <c r="NTF3" s="784"/>
      <c r="NTG3" s="784"/>
      <c r="NTH3" s="784"/>
      <c r="NTI3" s="784"/>
      <c r="NTJ3" s="784"/>
      <c r="NTK3" s="784"/>
      <c r="NTL3" s="784"/>
      <c r="NTM3" s="784"/>
      <c r="NTN3" s="784"/>
      <c r="NTO3" s="784"/>
      <c r="NTP3" s="784"/>
      <c r="NTQ3" s="785"/>
      <c r="NTR3" s="786"/>
      <c r="NTS3" s="784"/>
      <c r="NTT3" s="784"/>
      <c r="NTU3" s="784"/>
      <c r="NTV3" s="784"/>
      <c r="NTW3" s="784"/>
      <c r="NTX3" s="784"/>
      <c r="NTY3" s="784"/>
      <c r="NTZ3" s="784"/>
      <c r="NUA3" s="784"/>
      <c r="NUB3" s="784"/>
      <c r="NUC3" s="784"/>
      <c r="NUD3" s="784"/>
      <c r="NUE3" s="784"/>
      <c r="NUF3" s="785"/>
      <c r="NUG3" s="786"/>
      <c r="NUH3" s="784"/>
      <c r="NUI3" s="784"/>
      <c r="NUJ3" s="784"/>
      <c r="NUK3" s="784"/>
      <c r="NUL3" s="784"/>
      <c r="NUM3" s="784"/>
      <c r="NUN3" s="784"/>
      <c r="NUO3" s="784"/>
      <c r="NUP3" s="784"/>
      <c r="NUQ3" s="784"/>
      <c r="NUR3" s="784"/>
      <c r="NUS3" s="784"/>
      <c r="NUT3" s="784"/>
      <c r="NUU3" s="785"/>
      <c r="NUV3" s="786"/>
      <c r="NUW3" s="784"/>
      <c r="NUX3" s="784"/>
      <c r="NUY3" s="784"/>
      <c r="NUZ3" s="784"/>
      <c r="NVA3" s="784"/>
      <c r="NVB3" s="784"/>
      <c r="NVC3" s="784"/>
      <c r="NVD3" s="784"/>
      <c r="NVE3" s="784"/>
      <c r="NVF3" s="784"/>
      <c r="NVG3" s="784"/>
      <c r="NVH3" s="784"/>
      <c r="NVI3" s="784"/>
      <c r="NVJ3" s="785"/>
      <c r="NVK3" s="786"/>
      <c r="NVL3" s="784"/>
      <c r="NVM3" s="784"/>
      <c r="NVN3" s="784"/>
      <c r="NVO3" s="784"/>
      <c r="NVP3" s="784"/>
      <c r="NVQ3" s="784"/>
      <c r="NVR3" s="784"/>
      <c r="NVS3" s="784"/>
      <c r="NVT3" s="784"/>
      <c r="NVU3" s="784"/>
      <c r="NVV3" s="784"/>
      <c r="NVW3" s="784"/>
      <c r="NVX3" s="784"/>
      <c r="NVY3" s="785"/>
      <c r="NVZ3" s="786"/>
      <c r="NWA3" s="784"/>
      <c r="NWB3" s="784"/>
      <c r="NWC3" s="784"/>
      <c r="NWD3" s="784"/>
      <c r="NWE3" s="784"/>
      <c r="NWF3" s="784"/>
      <c r="NWG3" s="784"/>
      <c r="NWH3" s="784"/>
      <c r="NWI3" s="784"/>
      <c r="NWJ3" s="784"/>
      <c r="NWK3" s="784"/>
      <c r="NWL3" s="784"/>
      <c r="NWM3" s="784"/>
      <c r="NWN3" s="785"/>
      <c r="NWO3" s="786"/>
      <c r="NWP3" s="784"/>
      <c r="NWQ3" s="784"/>
      <c r="NWR3" s="784"/>
      <c r="NWS3" s="784"/>
      <c r="NWT3" s="784"/>
      <c r="NWU3" s="784"/>
      <c r="NWV3" s="784"/>
      <c r="NWW3" s="784"/>
      <c r="NWX3" s="784"/>
      <c r="NWY3" s="784"/>
      <c r="NWZ3" s="784"/>
      <c r="NXA3" s="784"/>
      <c r="NXB3" s="784"/>
      <c r="NXC3" s="785"/>
      <c r="NXD3" s="786"/>
      <c r="NXE3" s="784"/>
      <c r="NXF3" s="784"/>
      <c r="NXG3" s="784"/>
      <c r="NXH3" s="784"/>
      <c r="NXI3" s="784"/>
      <c r="NXJ3" s="784"/>
      <c r="NXK3" s="784"/>
      <c r="NXL3" s="784"/>
      <c r="NXM3" s="784"/>
      <c r="NXN3" s="784"/>
      <c r="NXO3" s="784"/>
      <c r="NXP3" s="784"/>
      <c r="NXQ3" s="784"/>
      <c r="NXR3" s="785"/>
      <c r="NXS3" s="786"/>
      <c r="NXT3" s="784"/>
      <c r="NXU3" s="784"/>
      <c r="NXV3" s="784"/>
      <c r="NXW3" s="784"/>
      <c r="NXX3" s="784"/>
      <c r="NXY3" s="784"/>
      <c r="NXZ3" s="784"/>
      <c r="NYA3" s="784"/>
      <c r="NYB3" s="784"/>
      <c r="NYC3" s="784"/>
      <c r="NYD3" s="784"/>
      <c r="NYE3" s="784"/>
      <c r="NYF3" s="784"/>
      <c r="NYG3" s="785"/>
      <c r="NYH3" s="786"/>
      <c r="NYI3" s="784"/>
      <c r="NYJ3" s="784"/>
      <c r="NYK3" s="784"/>
      <c r="NYL3" s="784"/>
      <c r="NYM3" s="784"/>
      <c r="NYN3" s="784"/>
      <c r="NYO3" s="784"/>
      <c r="NYP3" s="784"/>
      <c r="NYQ3" s="784"/>
      <c r="NYR3" s="784"/>
      <c r="NYS3" s="784"/>
      <c r="NYT3" s="784"/>
      <c r="NYU3" s="784"/>
      <c r="NYV3" s="785"/>
      <c r="NYW3" s="786"/>
      <c r="NYX3" s="784"/>
      <c r="NYY3" s="784"/>
      <c r="NYZ3" s="784"/>
      <c r="NZA3" s="784"/>
      <c r="NZB3" s="784"/>
      <c r="NZC3" s="784"/>
      <c r="NZD3" s="784"/>
      <c r="NZE3" s="784"/>
      <c r="NZF3" s="784"/>
      <c r="NZG3" s="784"/>
      <c r="NZH3" s="784"/>
      <c r="NZI3" s="784"/>
      <c r="NZJ3" s="784"/>
      <c r="NZK3" s="785"/>
      <c r="NZL3" s="786"/>
      <c r="NZM3" s="784"/>
      <c r="NZN3" s="784"/>
      <c r="NZO3" s="784"/>
      <c r="NZP3" s="784"/>
      <c r="NZQ3" s="784"/>
      <c r="NZR3" s="784"/>
      <c r="NZS3" s="784"/>
      <c r="NZT3" s="784"/>
      <c r="NZU3" s="784"/>
      <c r="NZV3" s="784"/>
      <c r="NZW3" s="784"/>
      <c r="NZX3" s="784"/>
      <c r="NZY3" s="784"/>
      <c r="NZZ3" s="785"/>
      <c r="OAA3" s="786"/>
      <c r="OAB3" s="784"/>
      <c r="OAC3" s="784"/>
      <c r="OAD3" s="784"/>
      <c r="OAE3" s="784"/>
      <c r="OAF3" s="784"/>
      <c r="OAG3" s="784"/>
      <c r="OAH3" s="784"/>
      <c r="OAI3" s="784"/>
      <c r="OAJ3" s="784"/>
      <c r="OAK3" s="784"/>
      <c r="OAL3" s="784"/>
      <c r="OAM3" s="784"/>
      <c r="OAN3" s="784"/>
      <c r="OAO3" s="785"/>
      <c r="OAP3" s="786"/>
      <c r="OAQ3" s="784"/>
      <c r="OAR3" s="784"/>
      <c r="OAS3" s="784"/>
      <c r="OAT3" s="784"/>
      <c r="OAU3" s="784"/>
      <c r="OAV3" s="784"/>
      <c r="OAW3" s="784"/>
      <c r="OAX3" s="784"/>
      <c r="OAY3" s="784"/>
      <c r="OAZ3" s="784"/>
      <c r="OBA3" s="784"/>
      <c r="OBB3" s="784"/>
      <c r="OBC3" s="784"/>
      <c r="OBD3" s="785"/>
      <c r="OBE3" s="786"/>
      <c r="OBF3" s="784"/>
      <c r="OBG3" s="784"/>
      <c r="OBH3" s="784"/>
      <c r="OBI3" s="784"/>
      <c r="OBJ3" s="784"/>
      <c r="OBK3" s="784"/>
      <c r="OBL3" s="784"/>
      <c r="OBM3" s="784"/>
      <c r="OBN3" s="784"/>
      <c r="OBO3" s="784"/>
      <c r="OBP3" s="784"/>
      <c r="OBQ3" s="784"/>
      <c r="OBR3" s="784"/>
      <c r="OBS3" s="785"/>
      <c r="OBT3" s="786"/>
      <c r="OBU3" s="784"/>
      <c r="OBV3" s="784"/>
      <c r="OBW3" s="784"/>
      <c r="OBX3" s="784"/>
      <c r="OBY3" s="784"/>
      <c r="OBZ3" s="784"/>
      <c r="OCA3" s="784"/>
      <c r="OCB3" s="784"/>
      <c r="OCC3" s="784"/>
      <c r="OCD3" s="784"/>
      <c r="OCE3" s="784"/>
      <c r="OCF3" s="784"/>
      <c r="OCG3" s="784"/>
      <c r="OCH3" s="785"/>
      <c r="OCI3" s="786"/>
      <c r="OCJ3" s="784"/>
      <c r="OCK3" s="784"/>
      <c r="OCL3" s="784"/>
      <c r="OCM3" s="784"/>
      <c r="OCN3" s="784"/>
      <c r="OCO3" s="784"/>
      <c r="OCP3" s="784"/>
      <c r="OCQ3" s="784"/>
      <c r="OCR3" s="784"/>
      <c r="OCS3" s="784"/>
      <c r="OCT3" s="784"/>
      <c r="OCU3" s="784"/>
      <c r="OCV3" s="784"/>
      <c r="OCW3" s="785"/>
      <c r="OCX3" s="786"/>
      <c r="OCY3" s="784"/>
      <c r="OCZ3" s="784"/>
      <c r="ODA3" s="784"/>
      <c r="ODB3" s="784"/>
      <c r="ODC3" s="784"/>
      <c r="ODD3" s="784"/>
      <c r="ODE3" s="784"/>
      <c r="ODF3" s="784"/>
      <c r="ODG3" s="784"/>
      <c r="ODH3" s="784"/>
      <c r="ODI3" s="784"/>
      <c r="ODJ3" s="784"/>
      <c r="ODK3" s="784"/>
      <c r="ODL3" s="785"/>
      <c r="ODM3" s="786"/>
      <c r="ODN3" s="784"/>
      <c r="ODO3" s="784"/>
      <c r="ODP3" s="784"/>
      <c r="ODQ3" s="784"/>
      <c r="ODR3" s="784"/>
      <c r="ODS3" s="784"/>
      <c r="ODT3" s="784"/>
      <c r="ODU3" s="784"/>
      <c r="ODV3" s="784"/>
      <c r="ODW3" s="784"/>
      <c r="ODX3" s="784"/>
      <c r="ODY3" s="784"/>
      <c r="ODZ3" s="784"/>
      <c r="OEA3" s="785"/>
      <c r="OEB3" s="786"/>
      <c r="OEC3" s="784"/>
      <c r="OED3" s="784"/>
      <c r="OEE3" s="784"/>
      <c r="OEF3" s="784"/>
      <c r="OEG3" s="784"/>
      <c r="OEH3" s="784"/>
      <c r="OEI3" s="784"/>
      <c r="OEJ3" s="784"/>
      <c r="OEK3" s="784"/>
      <c r="OEL3" s="784"/>
      <c r="OEM3" s="784"/>
      <c r="OEN3" s="784"/>
      <c r="OEO3" s="784"/>
      <c r="OEP3" s="785"/>
      <c r="OEQ3" s="786"/>
      <c r="OER3" s="784"/>
      <c r="OES3" s="784"/>
      <c r="OET3" s="784"/>
      <c r="OEU3" s="784"/>
      <c r="OEV3" s="784"/>
      <c r="OEW3" s="784"/>
      <c r="OEX3" s="784"/>
      <c r="OEY3" s="784"/>
      <c r="OEZ3" s="784"/>
      <c r="OFA3" s="784"/>
      <c r="OFB3" s="784"/>
      <c r="OFC3" s="784"/>
      <c r="OFD3" s="784"/>
      <c r="OFE3" s="785"/>
      <c r="OFF3" s="786"/>
      <c r="OFG3" s="784"/>
      <c r="OFH3" s="784"/>
      <c r="OFI3" s="784"/>
      <c r="OFJ3" s="784"/>
      <c r="OFK3" s="784"/>
      <c r="OFL3" s="784"/>
      <c r="OFM3" s="784"/>
      <c r="OFN3" s="784"/>
      <c r="OFO3" s="784"/>
      <c r="OFP3" s="784"/>
      <c r="OFQ3" s="784"/>
      <c r="OFR3" s="784"/>
      <c r="OFS3" s="784"/>
      <c r="OFT3" s="785"/>
      <c r="OFU3" s="786"/>
      <c r="OFV3" s="784"/>
      <c r="OFW3" s="784"/>
      <c r="OFX3" s="784"/>
      <c r="OFY3" s="784"/>
      <c r="OFZ3" s="784"/>
      <c r="OGA3" s="784"/>
      <c r="OGB3" s="784"/>
      <c r="OGC3" s="784"/>
      <c r="OGD3" s="784"/>
      <c r="OGE3" s="784"/>
      <c r="OGF3" s="784"/>
      <c r="OGG3" s="784"/>
      <c r="OGH3" s="784"/>
      <c r="OGI3" s="785"/>
      <c r="OGJ3" s="786"/>
      <c r="OGK3" s="784"/>
      <c r="OGL3" s="784"/>
      <c r="OGM3" s="784"/>
      <c r="OGN3" s="784"/>
      <c r="OGO3" s="784"/>
      <c r="OGP3" s="784"/>
      <c r="OGQ3" s="784"/>
      <c r="OGR3" s="784"/>
      <c r="OGS3" s="784"/>
      <c r="OGT3" s="784"/>
      <c r="OGU3" s="784"/>
      <c r="OGV3" s="784"/>
      <c r="OGW3" s="784"/>
      <c r="OGX3" s="785"/>
      <c r="OGY3" s="786"/>
      <c r="OGZ3" s="784"/>
      <c r="OHA3" s="784"/>
      <c r="OHB3" s="784"/>
      <c r="OHC3" s="784"/>
      <c r="OHD3" s="784"/>
      <c r="OHE3" s="784"/>
      <c r="OHF3" s="784"/>
      <c r="OHG3" s="784"/>
      <c r="OHH3" s="784"/>
      <c r="OHI3" s="784"/>
      <c r="OHJ3" s="784"/>
      <c r="OHK3" s="784"/>
      <c r="OHL3" s="784"/>
      <c r="OHM3" s="785"/>
      <c r="OHN3" s="786"/>
      <c r="OHO3" s="784"/>
      <c r="OHP3" s="784"/>
      <c r="OHQ3" s="784"/>
      <c r="OHR3" s="784"/>
      <c r="OHS3" s="784"/>
      <c r="OHT3" s="784"/>
      <c r="OHU3" s="784"/>
      <c r="OHV3" s="784"/>
      <c r="OHW3" s="784"/>
      <c r="OHX3" s="784"/>
      <c r="OHY3" s="784"/>
      <c r="OHZ3" s="784"/>
      <c r="OIA3" s="784"/>
      <c r="OIB3" s="785"/>
      <c r="OIC3" s="786"/>
      <c r="OID3" s="784"/>
      <c r="OIE3" s="784"/>
      <c r="OIF3" s="784"/>
      <c r="OIG3" s="784"/>
      <c r="OIH3" s="784"/>
      <c r="OII3" s="784"/>
      <c r="OIJ3" s="784"/>
      <c r="OIK3" s="784"/>
      <c r="OIL3" s="784"/>
      <c r="OIM3" s="784"/>
      <c r="OIN3" s="784"/>
      <c r="OIO3" s="784"/>
      <c r="OIP3" s="784"/>
      <c r="OIQ3" s="785"/>
      <c r="OIR3" s="786"/>
      <c r="OIS3" s="784"/>
      <c r="OIT3" s="784"/>
      <c r="OIU3" s="784"/>
      <c r="OIV3" s="784"/>
      <c r="OIW3" s="784"/>
      <c r="OIX3" s="784"/>
      <c r="OIY3" s="784"/>
      <c r="OIZ3" s="784"/>
      <c r="OJA3" s="784"/>
      <c r="OJB3" s="784"/>
      <c r="OJC3" s="784"/>
      <c r="OJD3" s="784"/>
      <c r="OJE3" s="784"/>
      <c r="OJF3" s="785"/>
      <c r="OJG3" s="786"/>
      <c r="OJH3" s="784"/>
      <c r="OJI3" s="784"/>
      <c r="OJJ3" s="784"/>
      <c r="OJK3" s="784"/>
      <c r="OJL3" s="784"/>
      <c r="OJM3" s="784"/>
      <c r="OJN3" s="784"/>
      <c r="OJO3" s="784"/>
      <c r="OJP3" s="784"/>
      <c r="OJQ3" s="784"/>
      <c r="OJR3" s="784"/>
      <c r="OJS3" s="784"/>
      <c r="OJT3" s="784"/>
      <c r="OJU3" s="785"/>
      <c r="OJV3" s="786"/>
      <c r="OJW3" s="784"/>
      <c r="OJX3" s="784"/>
      <c r="OJY3" s="784"/>
      <c r="OJZ3" s="784"/>
      <c r="OKA3" s="784"/>
      <c r="OKB3" s="784"/>
      <c r="OKC3" s="784"/>
      <c r="OKD3" s="784"/>
      <c r="OKE3" s="784"/>
      <c r="OKF3" s="784"/>
      <c r="OKG3" s="784"/>
      <c r="OKH3" s="784"/>
      <c r="OKI3" s="784"/>
      <c r="OKJ3" s="785"/>
      <c r="OKK3" s="786"/>
      <c r="OKL3" s="784"/>
      <c r="OKM3" s="784"/>
      <c r="OKN3" s="784"/>
      <c r="OKO3" s="784"/>
      <c r="OKP3" s="784"/>
      <c r="OKQ3" s="784"/>
      <c r="OKR3" s="784"/>
      <c r="OKS3" s="784"/>
      <c r="OKT3" s="784"/>
      <c r="OKU3" s="784"/>
      <c r="OKV3" s="784"/>
      <c r="OKW3" s="784"/>
      <c r="OKX3" s="784"/>
      <c r="OKY3" s="785"/>
      <c r="OKZ3" s="786"/>
      <c r="OLA3" s="784"/>
      <c r="OLB3" s="784"/>
      <c r="OLC3" s="784"/>
      <c r="OLD3" s="784"/>
      <c r="OLE3" s="784"/>
      <c r="OLF3" s="784"/>
      <c r="OLG3" s="784"/>
      <c r="OLH3" s="784"/>
      <c r="OLI3" s="784"/>
      <c r="OLJ3" s="784"/>
      <c r="OLK3" s="784"/>
      <c r="OLL3" s="784"/>
      <c r="OLM3" s="784"/>
      <c r="OLN3" s="785"/>
      <c r="OLO3" s="786"/>
      <c r="OLP3" s="784"/>
      <c r="OLQ3" s="784"/>
      <c r="OLR3" s="784"/>
      <c r="OLS3" s="784"/>
      <c r="OLT3" s="784"/>
      <c r="OLU3" s="784"/>
      <c r="OLV3" s="784"/>
      <c r="OLW3" s="784"/>
      <c r="OLX3" s="784"/>
      <c r="OLY3" s="784"/>
      <c r="OLZ3" s="784"/>
      <c r="OMA3" s="784"/>
      <c r="OMB3" s="784"/>
      <c r="OMC3" s="785"/>
      <c r="OMD3" s="786"/>
      <c r="OME3" s="784"/>
      <c r="OMF3" s="784"/>
      <c r="OMG3" s="784"/>
      <c r="OMH3" s="784"/>
      <c r="OMI3" s="784"/>
      <c r="OMJ3" s="784"/>
      <c r="OMK3" s="784"/>
      <c r="OML3" s="784"/>
      <c r="OMM3" s="784"/>
      <c r="OMN3" s="784"/>
      <c r="OMO3" s="784"/>
      <c r="OMP3" s="784"/>
      <c r="OMQ3" s="784"/>
      <c r="OMR3" s="785"/>
      <c r="OMS3" s="786"/>
      <c r="OMT3" s="784"/>
      <c r="OMU3" s="784"/>
      <c r="OMV3" s="784"/>
      <c r="OMW3" s="784"/>
      <c r="OMX3" s="784"/>
      <c r="OMY3" s="784"/>
      <c r="OMZ3" s="784"/>
      <c r="ONA3" s="784"/>
      <c r="ONB3" s="784"/>
      <c r="ONC3" s="784"/>
      <c r="OND3" s="784"/>
      <c r="ONE3" s="784"/>
      <c r="ONF3" s="784"/>
      <c r="ONG3" s="785"/>
      <c r="ONH3" s="786"/>
      <c r="ONI3" s="784"/>
      <c r="ONJ3" s="784"/>
      <c r="ONK3" s="784"/>
      <c r="ONL3" s="784"/>
      <c r="ONM3" s="784"/>
      <c r="ONN3" s="784"/>
      <c r="ONO3" s="784"/>
      <c r="ONP3" s="784"/>
      <c r="ONQ3" s="784"/>
      <c r="ONR3" s="784"/>
      <c r="ONS3" s="784"/>
      <c r="ONT3" s="784"/>
      <c r="ONU3" s="784"/>
      <c r="ONV3" s="785"/>
      <c r="ONW3" s="786"/>
      <c r="ONX3" s="784"/>
      <c r="ONY3" s="784"/>
      <c r="ONZ3" s="784"/>
      <c r="OOA3" s="784"/>
      <c r="OOB3" s="784"/>
      <c r="OOC3" s="784"/>
      <c r="OOD3" s="784"/>
      <c r="OOE3" s="784"/>
      <c r="OOF3" s="784"/>
      <c r="OOG3" s="784"/>
      <c r="OOH3" s="784"/>
      <c r="OOI3" s="784"/>
      <c r="OOJ3" s="784"/>
      <c r="OOK3" s="785"/>
      <c r="OOL3" s="786"/>
      <c r="OOM3" s="784"/>
      <c r="OON3" s="784"/>
      <c r="OOO3" s="784"/>
      <c r="OOP3" s="784"/>
      <c r="OOQ3" s="784"/>
      <c r="OOR3" s="784"/>
      <c r="OOS3" s="784"/>
      <c r="OOT3" s="784"/>
      <c r="OOU3" s="784"/>
      <c r="OOV3" s="784"/>
      <c r="OOW3" s="784"/>
      <c r="OOX3" s="784"/>
      <c r="OOY3" s="784"/>
      <c r="OOZ3" s="785"/>
      <c r="OPA3" s="786"/>
      <c r="OPB3" s="784"/>
      <c r="OPC3" s="784"/>
      <c r="OPD3" s="784"/>
      <c r="OPE3" s="784"/>
      <c r="OPF3" s="784"/>
      <c r="OPG3" s="784"/>
      <c r="OPH3" s="784"/>
      <c r="OPI3" s="784"/>
      <c r="OPJ3" s="784"/>
      <c r="OPK3" s="784"/>
      <c r="OPL3" s="784"/>
      <c r="OPM3" s="784"/>
      <c r="OPN3" s="784"/>
      <c r="OPO3" s="785"/>
      <c r="OPP3" s="786"/>
      <c r="OPQ3" s="784"/>
      <c r="OPR3" s="784"/>
      <c r="OPS3" s="784"/>
      <c r="OPT3" s="784"/>
      <c r="OPU3" s="784"/>
      <c r="OPV3" s="784"/>
      <c r="OPW3" s="784"/>
      <c r="OPX3" s="784"/>
      <c r="OPY3" s="784"/>
      <c r="OPZ3" s="784"/>
      <c r="OQA3" s="784"/>
      <c r="OQB3" s="784"/>
      <c r="OQC3" s="784"/>
      <c r="OQD3" s="785"/>
      <c r="OQE3" s="786"/>
      <c r="OQF3" s="784"/>
      <c r="OQG3" s="784"/>
      <c r="OQH3" s="784"/>
      <c r="OQI3" s="784"/>
      <c r="OQJ3" s="784"/>
      <c r="OQK3" s="784"/>
      <c r="OQL3" s="784"/>
      <c r="OQM3" s="784"/>
      <c r="OQN3" s="784"/>
      <c r="OQO3" s="784"/>
      <c r="OQP3" s="784"/>
      <c r="OQQ3" s="784"/>
      <c r="OQR3" s="784"/>
      <c r="OQS3" s="785"/>
      <c r="OQT3" s="786"/>
      <c r="OQU3" s="784"/>
      <c r="OQV3" s="784"/>
      <c r="OQW3" s="784"/>
      <c r="OQX3" s="784"/>
      <c r="OQY3" s="784"/>
      <c r="OQZ3" s="784"/>
      <c r="ORA3" s="784"/>
      <c r="ORB3" s="784"/>
      <c r="ORC3" s="784"/>
      <c r="ORD3" s="784"/>
      <c r="ORE3" s="784"/>
      <c r="ORF3" s="784"/>
      <c r="ORG3" s="784"/>
      <c r="ORH3" s="785"/>
      <c r="ORI3" s="786"/>
      <c r="ORJ3" s="784"/>
      <c r="ORK3" s="784"/>
      <c r="ORL3" s="784"/>
      <c r="ORM3" s="784"/>
      <c r="ORN3" s="784"/>
      <c r="ORO3" s="784"/>
      <c r="ORP3" s="784"/>
      <c r="ORQ3" s="784"/>
      <c r="ORR3" s="784"/>
      <c r="ORS3" s="784"/>
      <c r="ORT3" s="784"/>
      <c r="ORU3" s="784"/>
      <c r="ORV3" s="784"/>
      <c r="ORW3" s="785"/>
      <c r="ORX3" s="786"/>
      <c r="ORY3" s="784"/>
      <c r="ORZ3" s="784"/>
      <c r="OSA3" s="784"/>
      <c r="OSB3" s="784"/>
      <c r="OSC3" s="784"/>
      <c r="OSD3" s="784"/>
      <c r="OSE3" s="784"/>
      <c r="OSF3" s="784"/>
      <c r="OSG3" s="784"/>
      <c r="OSH3" s="784"/>
      <c r="OSI3" s="784"/>
      <c r="OSJ3" s="784"/>
      <c r="OSK3" s="784"/>
      <c r="OSL3" s="785"/>
      <c r="OSM3" s="786"/>
      <c r="OSN3" s="784"/>
      <c r="OSO3" s="784"/>
      <c r="OSP3" s="784"/>
      <c r="OSQ3" s="784"/>
      <c r="OSR3" s="784"/>
      <c r="OSS3" s="784"/>
      <c r="OST3" s="784"/>
      <c r="OSU3" s="784"/>
      <c r="OSV3" s="784"/>
      <c r="OSW3" s="784"/>
      <c r="OSX3" s="784"/>
      <c r="OSY3" s="784"/>
      <c r="OSZ3" s="784"/>
      <c r="OTA3" s="785"/>
      <c r="OTB3" s="786"/>
      <c r="OTC3" s="784"/>
      <c r="OTD3" s="784"/>
      <c r="OTE3" s="784"/>
      <c r="OTF3" s="784"/>
      <c r="OTG3" s="784"/>
      <c r="OTH3" s="784"/>
      <c r="OTI3" s="784"/>
      <c r="OTJ3" s="784"/>
      <c r="OTK3" s="784"/>
      <c r="OTL3" s="784"/>
      <c r="OTM3" s="784"/>
      <c r="OTN3" s="784"/>
      <c r="OTO3" s="784"/>
      <c r="OTP3" s="785"/>
      <c r="OTQ3" s="786"/>
      <c r="OTR3" s="784"/>
      <c r="OTS3" s="784"/>
      <c r="OTT3" s="784"/>
      <c r="OTU3" s="784"/>
      <c r="OTV3" s="784"/>
      <c r="OTW3" s="784"/>
      <c r="OTX3" s="784"/>
      <c r="OTY3" s="784"/>
      <c r="OTZ3" s="784"/>
      <c r="OUA3" s="784"/>
      <c r="OUB3" s="784"/>
      <c r="OUC3" s="784"/>
      <c r="OUD3" s="784"/>
      <c r="OUE3" s="785"/>
      <c r="OUF3" s="786"/>
      <c r="OUG3" s="784"/>
      <c r="OUH3" s="784"/>
      <c r="OUI3" s="784"/>
      <c r="OUJ3" s="784"/>
      <c r="OUK3" s="784"/>
      <c r="OUL3" s="784"/>
      <c r="OUM3" s="784"/>
      <c r="OUN3" s="784"/>
      <c r="OUO3" s="784"/>
      <c r="OUP3" s="784"/>
      <c r="OUQ3" s="784"/>
      <c r="OUR3" s="784"/>
      <c r="OUS3" s="784"/>
      <c r="OUT3" s="785"/>
      <c r="OUU3" s="786"/>
      <c r="OUV3" s="784"/>
      <c r="OUW3" s="784"/>
      <c r="OUX3" s="784"/>
      <c r="OUY3" s="784"/>
      <c r="OUZ3" s="784"/>
      <c r="OVA3" s="784"/>
      <c r="OVB3" s="784"/>
      <c r="OVC3" s="784"/>
      <c r="OVD3" s="784"/>
      <c r="OVE3" s="784"/>
      <c r="OVF3" s="784"/>
      <c r="OVG3" s="784"/>
      <c r="OVH3" s="784"/>
      <c r="OVI3" s="785"/>
      <c r="OVJ3" s="786"/>
      <c r="OVK3" s="784"/>
      <c r="OVL3" s="784"/>
      <c r="OVM3" s="784"/>
      <c r="OVN3" s="784"/>
      <c r="OVO3" s="784"/>
      <c r="OVP3" s="784"/>
      <c r="OVQ3" s="784"/>
      <c r="OVR3" s="784"/>
      <c r="OVS3" s="784"/>
      <c r="OVT3" s="784"/>
      <c r="OVU3" s="784"/>
      <c r="OVV3" s="784"/>
      <c r="OVW3" s="784"/>
      <c r="OVX3" s="785"/>
      <c r="OVY3" s="786"/>
      <c r="OVZ3" s="784"/>
      <c r="OWA3" s="784"/>
      <c r="OWB3" s="784"/>
      <c r="OWC3" s="784"/>
      <c r="OWD3" s="784"/>
      <c r="OWE3" s="784"/>
      <c r="OWF3" s="784"/>
      <c r="OWG3" s="784"/>
      <c r="OWH3" s="784"/>
      <c r="OWI3" s="784"/>
      <c r="OWJ3" s="784"/>
      <c r="OWK3" s="784"/>
      <c r="OWL3" s="784"/>
      <c r="OWM3" s="785"/>
      <c r="OWN3" s="786"/>
      <c r="OWO3" s="784"/>
      <c r="OWP3" s="784"/>
      <c r="OWQ3" s="784"/>
      <c r="OWR3" s="784"/>
      <c r="OWS3" s="784"/>
      <c r="OWT3" s="784"/>
      <c r="OWU3" s="784"/>
      <c r="OWV3" s="784"/>
      <c r="OWW3" s="784"/>
      <c r="OWX3" s="784"/>
      <c r="OWY3" s="784"/>
      <c r="OWZ3" s="784"/>
      <c r="OXA3" s="784"/>
      <c r="OXB3" s="785"/>
      <c r="OXC3" s="786"/>
      <c r="OXD3" s="784"/>
      <c r="OXE3" s="784"/>
      <c r="OXF3" s="784"/>
      <c r="OXG3" s="784"/>
      <c r="OXH3" s="784"/>
      <c r="OXI3" s="784"/>
      <c r="OXJ3" s="784"/>
      <c r="OXK3" s="784"/>
      <c r="OXL3" s="784"/>
      <c r="OXM3" s="784"/>
      <c r="OXN3" s="784"/>
      <c r="OXO3" s="784"/>
      <c r="OXP3" s="784"/>
      <c r="OXQ3" s="785"/>
      <c r="OXR3" s="786"/>
      <c r="OXS3" s="784"/>
      <c r="OXT3" s="784"/>
      <c r="OXU3" s="784"/>
      <c r="OXV3" s="784"/>
      <c r="OXW3" s="784"/>
      <c r="OXX3" s="784"/>
      <c r="OXY3" s="784"/>
      <c r="OXZ3" s="784"/>
      <c r="OYA3" s="784"/>
      <c r="OYB3" s="784"/>
      <c r="OYC3" s="784"/>
      <c r="OYD3" s="784"/>
      <c r="OYE3" s="784"/>
      <c r="OYF3" s="785"/>
      <c r="OYG3" s="786"/>
      <c r="OYH3" s="784"/>
      <c r="OYI3" s="784"/>
      <c r="OYJ3" s="784"/>
      <c r="OYK3" s="784"/>
      <c r="OYL3" s="784"/>
      <c r="OYM3" s="784"/>
      <c r="OYN3" s="784"/>
      <c r="OYO3" s="784"/>
      <c r="OYP3" s="784"/>
      <c r="OYQ3" s="784"/>
      <c r="OYR3" s="784"/>
      <c r="OYS3" s="784"/>
      <c r="OYT3" s="784"/>
      <c r="OYU3" s="785"/>
      <c r="OYV3" s="786"/>
      <c r="OYW3" s="784"/>
      <c r="OYX3" s="784"/>
      <c r="OYY3" s="784"/>
      <c r="OYZ3" s="784"/>
      <c r="OZA3" s="784"/>
      <c r="OZB3" s="784"/>
      <c r="OZC3" s="784"/>
      <c r="OZD3" s="784"/>
      <c r="OZE3" s="784"/>
      <c r="OZF3" s="784"/>
      <c r="OZG3" s="784"/>
      <c r="OZH3" s="784"/>
      <c r="OZI3" s="784"/>
      <c r="OZJ3" s="785"/>
      <c r="OZK3" s="786"/>
      <c r="OZL3" s="784"/>
      <c r="OZM3" s="784"/>
      <c r="OZN3" s="784"/>
      <c r="OZO3" s="784"/>
      <c r="OZP3" s="784"/>
      <c r="OZQ3" s="784"/>
      <c r="OZR3" s="784"/>
      <c r="OZS3" s="784"/>
      <c r="OZT3" s="784"/>
      <c r="OZU3" s="784"/>
      <c r="OZV3" s="784"/>
      <c r="OZW3" s="784"/>
      <c r="OZX3" s="784"/>
      <c r="OZY3" s="785"/>
      <c r="OZZ3" s="786"/>
      <c r="PAA3" s="784"/>
      <c r="PAB3" s="784"/>
      <c r="PAC3" s="784"/>
      <c r="PAD3" s="784"/>
      <c r="PAE3" s="784"/>
      <c r="PAF3" s="784"/>
      <c r="PAG3" s="784"/>
      <c r="PAH3" s="784"/>
      <c r="PAI3" s="784"/>
      <c r="PAJ3" s="784"/>
      <c r="PAK3" s="784"/>
      <c r="PAL3" s="784"/>
      <c r="PAM3" s="784"/>
      <c r="PAN3" s="785"/>
      <c r="PAO3" s="786"/>
      <c r="PAP3" s="784"/>
      <c r="PAQ3" s="784"/>
      <c r="PAR3" s="784"/>
      <c r="PAS3" s="784"/>
      <c r="PAT3" s="784"/>
      <c r="PAU3" s="784"/>
      <c r="PAV3" s="784"/>
      <c r="PAW3" s="784"/>
      <c r="PAX3" s="784"/>
      <c r="PAY3" s="784"/>
      <c r="PAZ3" s="784"/>
      <c r="PBA3" s="784"/>
      <c r="PBB3" s="784"/>
      <c r="PBC3" s="785"/>
      <c r="PBD3" s="786"/>
      <c r="PBE3" s="784"/>
      <c r="PBF3" s="784"/>
      <c r="PBG3" s="784"/>
      <c r="PBH3" s="784"/>
      <c r="PBI3" s="784"/>
      <c r="PBJ3" s="784"/>
      <c r="PBK3" s="784"/>
      <c r="PBL3" s="784"/>
      <c r="PBM3" s="784"/>
      <c r="PBN3" s="784"/>
      <c r="PBO3" s="784"/>
      <c r="PBP3" s="784"/>
      <c r="PBQ3" s="784"/>
      <c r="PBR3" s="785"/>
      <c r="PBS3" s="786"/>
      <c r="PBT3" s="784"/>
      <c r="PBU3" s="784"/>
      <c r="PBV3" s="784"/>
      <c r="PBW3" s="784"/>
      <c r="PBX3" s="784"/>
      <c r="PBY3" s="784"/>
      <c r="PBZ3" s="784"/>
      <c r="PCA3" s="784"/>
      <c r="PCB3" s="784"/>
      <c r="PCC3" s="784"/>
      <c r="PCD3" s="784"/>
      <c r="PCE3" s="784"/>
      <c r="PCF3" s="784"/>
      <c r="PCG3" s="785"/>
      <c r="PCH3" s="786"/>
      <c r="PCI3" s="784"/>
      <c r="PCJ3" s="784"/>
      <c r="PCK3" s="784"/>
      <c r="PCL3" s="784"/>
      <c r="PCM3" s="784"/>
      <c r="PCN3" s="784"/>
      <c r="PCO3" s="784"/>
      <c r="PCP3" s="784"/>
      <c r="PCQ3" s="784"/>
      <c r="PCR3" s="784"/>
      <c r="PCS3" s="784"/>
      <c r="PCT3" s="784"/>
      <c r="PCU3" s="784"/>
      <c r="PCV3" s="785"/>
      <c r="PCW3" s="786"/>
      <c r="PCX3" s="784"/>
      <c r="PCY3" s="784"/>
      <c r="PCZ3" s="784"/>
      <c r="PDA3" s="784"/>
      <c r="PDB3" s="784"/>
      <c r="PDC3" s="784"/>
      <c r="PDD3" s="784"/>
      <c r="PDE3" s="784"/>
      <c r="PDF3" s="784"/>
      <c r="PDG3" s="784"/>
      <c r="PDH3" s="784"/>
      <c r="PDI3" s="784"/>
      <c r="PDJ3" s="784"/>
      <c r="PDK3" s="785"/>
      <c r="PDL3" s="786"/>
      <c r="PDM3" s="784"/>
      <c r="PDN3" s="784"/>
      <c r="PDO3" s="784"/>
      <c r="PDP3" s="784"/>
      <c r="PDQ3" s="784"/>
      <c r="PDR3" s="784"/>
      <c r="PDS3" s="784"/>
      <c r="PDT3" s="784"/>
      <c r="PDU3" s="784"/>
      <c r="PDV3" s="784"/>
      <c r="PDW3" s="784"/>
      <c r="PDX3" s="784"/>
      <c r="PDY3" s="784"/>
      <c r="PDZ3" s="785"/>
      <c r="PEA3" s="786"/>
      <c r="PEB3" s="784"/>
      <c r="PEC3" s="784"/>
      <c r="PED3" s="784"/>
      <c r="PEE3" s="784"/>
      <c r="PEF3" s="784"/>
      <c r="PEG3" s="784"/>
      <c r="PEH3" s="784"/>
      <c r="PEI3" s="784"/>
      <c r="PEJ3" s="784"/>
      <c r="PEK3" s="784"/>
      <c r="PEL3" s="784"/>
      <c r="PEM3" s="784"/>
      <c r="PEN3" s="784"/>
      <c r="PEO3" s="785"/>
      <c r="PEP3" s="786"/>
      <c r="PEQ3" s="784"/>
      <c r="PER3" s="784"/>
      <c r="PES3" s="784"/>
      <c r="PET3" s="784"/>
      <c r="PEU3" s="784"/>
      <c r="PEV3" s="784"/>
      <c r="PEW3" s="784"/>
      <c r="PEX3" s="784"/>
      <c r="PEY3" s="784"/>
      <c r="PEZ3" s="784"/>
      <c r="PFA3" s="784"/>
      <c r="PFB3" s="784"/>
      <c r="PFC3" s="784"/>
      <c r="PFD3" s="785"/>
      <c r="PFE3" s="786"/>
      <c r="PFF3" s="784"/>
      <c r="PFG3" s="784"/>
      <c r="PFH3" s="784"/>
      <c r="PFI3" s="784"/>
      <c r="PFJ3" s="784"/>
      <c r="PFK3" s="784"/>
      <c r="PFL3" s="784"/>
      <c r="PFM3" s="784"/>
      <c r="PFN3" s="784"/>
      <c r="PFO3" s="784"/>
      <c r="PFP3" s="784"/>
      <c r="PFQ3" s="784"/>
      <c r="PFR3" s="784"/>
      <c r="PFS3" s="785"/>
      <c r="PFT3" s="786"/>
      <c r="PFU3" s="784"/>
      <c r="PFV3" s="784"/>
      <c r="PFW3" s="784"/>
      <c r="PFX3" s="784"/>
      <c r="PFY3" s="784"/>
      <c r="PFZ3" s="784"/>
      <c r="PGA3" s="784"/>
      <c r="PGB3" s="784"/>
      <c r="PGC3" s="784"/>
      <c r="PGD3" s="784"/>
      <c r="PGE3" s="784"/>
      <c r="PGF3" s="784"/>
      <c r="PGG3" s="784"/>
      <c r="PGH3" s="785"/>
      <c r="PGI3" s="786"/>
      <c r="PGJ3" s="784"/>
      <c r="PGK3" s="784"/>
      <c r="PGL3" s="784"/>
      <c r="PGM3" s="784"/>
      <c r="PGN3" s="784"/>
      <c r="PGO3" s="784"/>
      <c r="PGP3" s="784"/>
      <c r="PGQ3" s="784"/>
      <c r="PGR3" s="784"/>
      <c r="PGS3" s="784"/>
      <c r="PGT3" s="784"/>
      <c r="PGU3" s="784"/>
      <c r="PGV3" s="784"/>
      <c r="PGW3" s="785"/>
      <c r="PGX3" s="786"/>
      <c r="PGY3" s="784"/>
      <c r="PGZ3" s="784"/>
      <c r="PHA3" s="784"/>
      <c r="PHB3" s="784"/>
      <c r="PHC3" s="784"/>
      <c r="PHD3" s="784"/>
      <c r="PHE3" s="784"/>
      <c r="PHF3" s="784"/>
      <c r="PHG3" s="784"/>
      <c r="PHH3" s="784"/>
      <c r="PHI3" s="784"/>
      <c r="PHJ3" s="784"/>
      <c r="PHK3" s="784"/>
      <c r="PHL3" s="785"/>
      <c r="PHM3" s="786"/>
      <c r="PHN3" s="784"/>
      <c r="PHO3" s="784"/>
      <c r="PHP3" s="784"/>
      <c r="PHQ3" s="784"/>
      <c r="PHR3" s="784"/>
      <c r="PHS3" s="784"/>
      <c r="PHT3" s="784"/>
      <c r="PHU3" s="784"/>
      <c r="PHV3" s="784"/>
      <c r="PHW3" s="784"/>
      <c r="PHX3" s="784"/>
      <c r="PHY3" s="784"/>
      <c r="PHZ3" s="784"/>
      <c r="PIA3" s="785"/>
      <c r="PIB3" s="786"/>
      <c r="PIC3" s="784"/>
      <c r="PID3" s="784"/>
      <c r="PIE3" s="784"/>
      <c r="PIF3" s="784"/>
      <c r="PIG3" s="784"/>
      <c r="PIH3" s="784"/>
      <c r="PII3" s="784"/>
      <c r="PIJ3" s="784"/>
      <c r="PIK3" s="784"/>
      <c r="PIL3" s="784"/>
      <c r="PIM3" s="784"/>
      <c r="PIN3" s="784"/>
      <c r="PIO3" s="784"/>
      <c r="PIP3" s="785"/>
      <c r="PIQ3" s="786"/>
      <c r="PIR3" s="784"/>
      <c r="PIS3" s="784"/>
      <c r="PIT3" s="784"/>
      <c r="PIU3" s="784"/>
      <c r="PIV3" s="784"/>
      <c r="PIW3" s="784"/>
      <c r="PIX3" s="784"/>
      <c r="PIY3" s="784"/>
      <c r="PIZ3" s="784"/>
      <c r="PJA3" s="784"/>
      <c r="PJB3" s="784"/>
      <c r="PJC3" s="784"/>
      <c r="PJD3" s="784"/>
      <c r="PJE3" s="785"/>
      <c r="PJF3" s="786"/>
      <c r="PJG3" s="784"/>
      <c r="PJH3" s="784"/>
      <c r="PJI3" s="784"/>
      <c r="PJJ3" s="784"/>
      <c r="PJK3" s="784"/>
      <c r="PJL3" s="784"/>
      <c r="PJM3" s="784"/>
      <c r="PJN3" s="784"/>
      <c r="PJO3" s="784"/>
      <c r="PJP3" s="784"/>
      <c r="PJQ3" s="784"/>
      <c r="PJR3" s="784"/>
      <c r="PJS3" s="784"/>
      <c r="PJT3" s="785"/>
      <c r="PJU3" s="786"/>
      <c r="PJV3" s="784"/>
      <c r="PJW3" s="784"/>
      <c r="PJX3" s="784"/>
      <c r="PJY3" s="784"/>
      <c r="PJZ3" s="784"/>
      <c r="PKA3" s="784"/>
      <c r="PKB3" s="784"/>
      <c r="PKC3" s="784"/>
      <c r="PKD3" s="784"/>
      <c r="PKE3" s="784"/>
      <c r="PKF3" s="784"/>
      <c r="PKG3" s="784"/>
      <c r="PKH3" s="784"/>
      <c r="PKI3" s="785"/>
      <c r="PKJ3" s="786"/>
      <c r="PKK3" s="784"/>
      <c r="PKL3" s="784"/>
      <c r="PKM3" s="784"/>
      <c r="PKN3" s="784"/>
      <c r="PKO3" s="784"/>
      <c r="PKP3" s="784"/>
      <c r="PKQ3" s="784"/>
      <c r="PKR3" s="784"/>
      <c r="PKS3" s="784"/>
      <c r="PKT3" s="784"/>
      <c r="PKU3" s="784"/>
      <c r="PKV3" s="784"/>
      <c r="PKW3" s="784"/>
      <c r="PKX3" s="785"/>
      <c r="PKY3" s="786"/>
      <c r="PKZ3" s="784"/>
      <c r="PLA3" s="784"/>
      <c r="PLB3" s="784"/>
      <c r="PLC3" s="784"/>
      <c r="PLD3" s="784"/>
      <c r="PLE3" s="784"/>
      <c r="PLF3" s="784"/>
      <c r="PLG3" s="784"/>
      <c r="PLH3" s="784"/>
      <c r="PLI3" s="784"/>
      <c r="PLJ3" s="784"/>
      <c r="PLK3" s="784"/>
      <c r="PLL3" s="784"/>
      <c r="PLM3" s="785"/>
      <c r="PLN3" s="786"/>
      <c r="PLO3" s="784"/>
      <c r="PLP3" s="784"/>
      <c r="PLQ3" s="784"/>
      <c r="PLR3" s="784"/>
      <c r="PLS3" s="784"/>
      <c r="PLT3" s="784"/>
      <c r="PLU3" s="784"/>
      <c r="PLV3" s="784"/>
      <c r="PLW3" s="784"/>
      <c r="PLX3" s="784"/>
      <c r="PLY3" s="784"/>
      <c r="PLZ3" s="784"/>
      <c r="PMA3" s="784"/>
      <c r="PMB3" s="785"/>
      <c r="PMC3" s="786"/>
      <c r="PMD3" s="784"/>
      <c r="PME3" s="784"/>
      <c r="PMF3" s="784"/>
      <c r="PMG3" s="784"/>
      <c r="PMH3" s="784"/>
      <c r="PMI3" s="784"/>
      <c r="PMJ3" s="784"/>
      <c r="PMK3" s="784"/>
      <c r="PML3" s="784"/>
      <c r="PMM3" s="784"/>
      <c r="PMN3" s="784"/>
      <c r="PMO3" s="784"/>
      <c r="PMP3" s="784"/>
      <c r="PMQ3" s="785"/>
      <c r="PMR3" s="786"/>
      <c r="PMS3" s="784"/>
      <c r="PMT3" s="784"/>
      <c r="PMU3" s="784"/>
      <c r="PMV3" s="784"/>
      <c r="PMW3" s="784"/>
      <c r="PMX3" s="784"/>
      <c r="PMY3" s="784"/>
      <c r="PMZ3" s="784"/>
      <c r="PNA3" s="784"/>
      <c r="PNB3" s="784"/>
      <c r="PNC3" s="784"/>
      <c r="PND3" s="784"/>
      <c r="PNE3" s="784"/>
      <c r="PNF3" s="785"/>
      <c r="PNG3" s="786"/>
      <c r="PNH3" s="784"/>
      <c r="PNI3" s="784"/>
      <c r="PNJ3" s="784"/>
      <c r="PNK3" s="784"/>
      <c r="PNL3" s="784"/>
      <c r="PNM3" s="784"/>
      <c r="PNN3" s="784"/>
      <c r="PNO3" s="784"/>
      <c r="PNP3" s="784"/>
      <c r="PNQ3" s="784"/>
      <c r="PNR3" s="784"/>
      <c r="PNS3" s="784"/>
      <c r="PNT3" s="784"/>
      <c r="PNU3" s="785"/>
      <c r="PNV3" s="786"/>
      <c r="PNW3" s="784"/>
      <c r="PNX3" s="784"/>
      <c r="PNY3" s="784"/>
      <c r="PNZ3" s="784"/>
      <c r="POA3" s="784"/>
      <c r="POB3" s="784"/>
      <c r="POC3" s="784"/>
      <c r="POD3" s="784"/>
      <c r="POE3" s="784"/>
      <c r="POF3" s="784"/>
      <c r="POG3" s="784"/>
      <c r="POH3" s="784"/>
      <c r="POI3" s="784"/>
      <c r="POJ3" s="785"/>
      <c r="POK3" s="786"/>
      <c r="POL3" s="784"/>
      <c r="POM3" s="784"/>
      <c r="PON3" s="784"/>
      <c r="POO3" s="784"/>
      <c r="POP3" s="784"/>
      <c r="POQ3" s="784"/>
      <c r="POR3" s="784"/>
      <c r="POS3" s="784"/>
      <c r="POT3" s="784"/>
      <c r="POU3" s="784"/>
      <c r="POV3" s="784"/>
      <c r="POW3" s="784"/>
      <c r="POX3" s="784"/>
      <c r="POY3" s="785"/>
      <c r="POZ3" s="786"/>
      <c r="PPA3" s="784"/>
      <c r="PPB3" s="784"/>
      <c r="PPC3" s="784"/>
      <c r="PPD3" s="784"/>
      <c r="PPE3" s="784"/>
      <c r="PPF3" s="784"/>
      <c r="PPG3" s="784"/>
      <c r="PPH3" s="784"/>
      <c r="PPI3" s="784"/>
      <c r="PPJ3" s="784"/>
      <c r="PPK3" s="784"/>
      <c r="PPL3" s="784"/>
      <c r="PPM3" s="784"/>
      <c r="PPN3" s="785"/>
      <c r="PPO3" s="786"/>
      <c r="PPP3" s="784"/>
      <c r="PPQ3" s="784"/>
      <c r="PPR3" s="784"/>
      <c r="PPS3" s="784"/>
      <c r="PPT3" s="784"/>
      <c r="PPU3" s="784"/>
      <c r="PPV3" s="784"/>
      <c r="PPW3" s="784"/>
      <c r="PPX3" s="784"/>
      <c r="PPY3" s="784"/>
      <c r="PPZ3" s="784"/>
      <c r="PQA3" s="784"/>
      <c r="PQB3" s="784"/>
      <c r="PQC3" s="785"/>
      <c r="PQD3" s="786"/>
      <c r="PQE3" s="784"/>
      <c r="PQF3" s="784"/>
      <c r="PQG3" s="784"/>
      <c r="PQH3" s="784"/>
      <c r="PQI3" s="784"/>
      <c r="PQJ3" s="784"/>
      <c r="PQK3" s="784"/>
      <c r="PQL3" s="784"/>
      <c r="PQM3" s="784"/>
      <c r="PQN3" s="784"/>
      <c r="PQO3" s="784"/>
      <c r="PQP3" s="784"/>
      <c r="PQQ3" s="784"/>
      <c r="PQR3" s="785"/>
      <c r="PQS3" s="786"/>
      <c r="PQT3" s="784"/>
      <c r="PQU3" s="784"/>
      <c r="PQV3" s="784"/>
      <c r="PQW3" s="784"/>
      <c r="PQX3" s="784"/>
      <c r="PQY3" s="784"/>
      <c r="PQZ3" s="784"/>
      <c r="PRA3" s="784"/>
      <c r="PRB3" s="784"/>
      <c r="PRC3" s="784"/>
      <c r="PRD3" s="784"/>
      <c r="PRE3" s="784"/>
      <c r="PRF3" s="784"/>
      <c r="PRG3" s="785"/>
      <c r="PRH3" s="786"/>
      <c r="PRI3" s="784"/>
      <c r="PRJ3" s="784"/>
      <c r="PRK3" s="784"/>
      <c r="PRL3" s="784"/>
      <c r="PRM3" s="784"/>
      <c r="PRN3" s="784"/>
      <c r="PRO3" s="784"/>
      <c r="PRP3" s="784"/>
      <c r="PRQ3" s="784"/>
      <c r="PRR3" s="784"/>
      <c r="PRS3" s="784"/>
      <c r="PRT3" s="784"/>
      <c r="PRU3" s="784"/>
      <c r="PRV3" s="785"/>
      <c r="PRW3" s="786"/>
      <c r="PRX3" s="784"/>
      <c r="PRY3" s="784"/>
      <c r="PRZ3" s="784"/>
      <c r="PSA3" s="784"/>
      <c r="PSB3" s="784"/>
      <c r="PSC3" s="784"/>
      <c r="PSD3" s="784"/>
      <c r="PSE3" s="784"/>
      <c r="PSF3" s="784"/>
      <c r="PSG3" s="784"/>
      <c r="PSH3" s="784"/>
      <c r="PSI3" s="784"/>
      <c r="PSJ3" s="784"/>
      <c r="PSK3" s="785"/>
      <c r="PSL3" s="786"/>
      <c r="PSM3" s="784"/>
      <c r="PSN3" s="784"/>
      <c r="PSO3" s="784"/>
      <c r="PSP3" s="784"/>
      <c r="PSQ3" s="784"/>
      <c r="PSR3" s="784"/>
      <c r="PSS3" s="784"/>
      <c r="PST3" s="784"/>
      <c r="PSU3" s="784"/>
      <c r="PSV3" s="784"/>
      <c r="PSW3" s="784"/>
      <c r="PSX3" s="784"/>
      <c r="PSY3" s="784"/>
      <c r="PSZ3" s="785"/>
      <c r="PTA3" s="786"/>
      <c r="PTB3" s="784"/>
      <c r="PTC3" s="784"/>
      <c r="PTD3" s="784"/>
      <c r="PTE3" s="784"/>
      <c r="PTF3" s="784"/>
      <c r="PTG3" s="784"/>
      <c r="PTH3" s="784"/>
      <c r="PTI3" s="784"/>
      <c r="PTJ3" s="784"/>
      <c r="PTK3" s="784"/>
      <c r="PTL3" s="784"/>
      <c r="PTM3" s="784"/>
      <c r="PTN3" s="784"/>
      <c r="PTO3" s="785"/>
      <c r="PTP3" s="786"/>
      <c r="PTQ3" s="784"/>
      <c r="PTR3" s="784"/>
      <c r="PTS3" s="784"/>
      <c r="PTT3" s="784"/>
      <c r="PTU3" s="784"/>
      <c r="PTV3" s="784"/>
      <c r="PTW3" s="784"/>
      <c r="PTX3" s="784"/>
      <c r="PTY3" s="784"/>
      <c r="PTZ3" s="784"/>
      <c r="PUA3" s="784"/>
      <c r="PUB3" s="784"/>
      <c r="PUC3" s="784"/>
      <c r="PUD3" s="785"/>
      <c r="PUE3" s="786"/>
      <c r="PUF3" s="784"/>
      <c r="PUG3" s="784"/>
      <c r="PUH3" s="784"/>
      <c r="PUI3" s="784"/>
      <c r="PUJ3" s="784"/>
      <c r="PUK3" s="784"/>
      <c r="PUL3" s="784"/>
      <c r="PUM3" s="784"/>
      <c r="PUN3" s="784"/>
      <c r="PUO3" s="784"/>
      <c r="PUP3" s="784"/>
      <c r="PUQ3" s="784"/>
      <c r="PUR3" s="784"/>
      <c r="PUS3" s="785"/>
      <c r="PUT3" s="786"/>
      <c r="PUU3" s="784"/>
      <c r="PUV3" s="784"/>
      <c r="PUW3" s="784"/>
      <c r="PUX3" s="784"/>
      <c r="PUY3" s="784"/>
      <c r="PUZ3" s="784"/>
      <c r="PVA3" s="784"/>
      <c r="PVB3" s="784"/>
      <c r="PVC3" s="784"/>
      <c r="PVD3" s="784"/>
      <c r="PVE3" s="784"/>
      <c r="PVF3" s="784"/>
      <c r="PVG3" s="784"/>
      <c r="PVH3" s="785"/>
      <c r="PVI3" s="786"/>
      <c r="PVJ3" s="784"/>
      <c r="PVK3" s="784"/>
      <c r="PVL3" s="784"/>
      <c r="PVM3" s="784"/>
      <c r="PVN3" s="784"/>
      <c r="PVO3" s="784"/>
      <c r="PVP3" s="784"/>
      <c r="PVQ3" s="784"/>
      <c r="PVR3" s="784"/>
      <c r="PVS3" s="784"/>
      <c r="PVT3" s="784"/>
      <c r="PVU3" s="784"/>
      <c r="PVV3" s="784"/>
      <c r="PVW3" s="785"/>
      <c r="PVX3" s="786"/>
      <c r="PVY3" s="784"/>
      <c r="PVZ3" s="784"/>
      <c r="PWA3" s="784"/>
      <c r="PWB3" s="784"/>
      <c r="PWC3" s="784"/>
      <c r="PWD3" s="784"/>
      <c r="PWE3" s="784"/>
      <c r="PWF3" s="784"/>
      <c r="PWG3" s="784"/>
      <c r="PWH3" s="784"/>
      <c r="PWI3" s="784"/>
      <c r="PWJ3" s="784"/>
      <c r="PWK3" s="784"/>
      <c r="PWL3" s="785"/>
      <c r="PWM3" s="786"/>
      <c r="PWN3" s="784"/>
      <c r="PWO3" s="784"/>
      <c r="PWP3" s="784"/>
      <c r="PWQ3" s="784"/>
      <c r="PWR3" s="784"/>
      <c r="PWS3" s="784"/>
      <c r="PWT3" s="784"/>
      <c r="PWU3" s="784"/>
      <c r="PWV3" s="784"/>
      <c r="PWW3" s="784"/>
      <c r="PWX3" s="784"/>
      <c r="PWY3" s="784"/>
      <c r="PWZ3" s="784"/>
      <c r="PXA3" s="785"/>
      <c r="PXB3" s="786"/>
      <c r="PXC3" s="784"/>
      <c r="PXD3" s="784"/>
      <c r="PXE3" s="784"/>
      <c r="PXF3" s="784"/>
      <c r="PXG3" s="784"/>
      <c r="PXH3" s="784"/>
      <c r="PXI3" s="784"/>
      <c r="PXJ3" s="784"/>
      <c r="PXK3" s="784"/>
      <c r="PXL3" s="784"/>
      <c r="PXM3" s="784"/>
      <c r="PXN3" s="784"/>
      <c r="PXO3" s="784"/>
      <c r="PXP3" s="785"/>
      <c r="PXQ3" s="786"/>
      <c r="PXR3" s="784"/>
      <c r="PXS3" s="784"/>
      <c r="PXT3" s="784"/>
      <c r="PXU3" s="784"/>
      <c r="PXV3" s="784"/>
      <c r="PXW3" s="784"/>
      <c r="PXX3" s="784"/>
      <c r="PXY3" s="784"/>
      <c r="PXZ3" s="784"/>
      <c r="PYA3" s="784"/>
      <c r="PYB3" s="784"/>
      <c r="PYC3" s="784"/>
      <c r="PYD3" s="784"/>
      <c r="PYE3" s="785"/>
      <c r="PYF3" s="786"/>
      <c r="PYG3" s="784"/>
      <c r="PYH3" s="784"/>
      <c r="PYI3" s="784"/>
      <c r="PYJ3" s="784"/>
      <c r="PYK3" s="784"/>
      <c r="PYL3" s="784"/>
      <c r="PYM3" s="784"/>
      <c r="PYN3" s="784"/>
      <c r="PYO3" s="784"/>
      <c r="PYP3" s="784"/>
      <c r="PYQ3" s="784"/>
      <c r="PYR3" s="784"/>
      <c r="PYS3" s="784"/>
      <c r="PYT3" s="785"/>
      <c r="PYU3" s="786"/>
      <c r="PYV3" s="784"/>
      <c r="PYW3" s="784"/>
      <c r="PYX3" s="784"/>
      <c r="PYY3" s="784"/>
      <c r="PYZ3" s="784"/>
      <c r="PZA3" s="784"/>
      <c r="PZB3" s="784"/>
      <c r="PZC3" s="784"/>
      <c r="PZD3" s="784"/>
      <c r="PZE3" s="784"/>
      <c r="PZF3" s="784"/>
      <c r="PZG3" s="784"/>
      <c r="PZH3" s="784"/>
      <c r="PZI3" s="785"/>
      <c r="PZJ3" s="786"/>
      <c r="PZK3" s="784"/>
      <c r="PZL3" s="784"/>
      <c r="PZM3" s="784"/>
      <c r="PZN3" s="784"/>
      <c r="PZO3" s="784"/>
      <c r="PZP3" s="784"/>
      <c r="PZQ3" s="784"/>
      <c r="PZR3" s="784"/>
      <c r="PZS3" s="784"/>
      <c r="PZT3" s="784"/>
      <c r="PZU3" s="784"/>
      <c r="PZV3" s="784"/>
      <c r="PZW3" s="784"/>
      <c r="PZX3" s="785"/>
      <c r="PZY3" s="786"/>
      <c r="PZZ3" s="784"/>
      <c r="QAA3" s="784"/>
      <c r="QAB3" s="784"/>
      <c r="QAC3" s="784"/>
      <c r="QAD3" s="784"/>
      <c r="QAE3" s="784"/>
      <c r="QAF3" s="784"/>
      <c r="QAG3" s="784"/>
      <c r="QAH3" s="784"/>
      <c r="QAI3" s="784"/>
      <c r="QAJ3" s="784"/>
      <c r="QAK3" s="784"/>
      <c r="QAL3" s="784"/>
      <c r="QAM3" s="785"/>
      <c r="QAN3" s="786"/>
      <c r="QAO3" s="784"/>
      <c r="QAP3" s="784"/>
      <c r="QAQ3" s="784"/>
      <c r="QAR3" s="784"/>
      <c r="QAS3" s="784"/>
      <c r="QAT3" s="784"/>
      <c r="QAU3" s="784"/>
      <c r="QAV3" s="784"/>
      <c r="QAW3" s="784"/>
      <c r="QAX3" s="784"/>
      <c r="QAY3" s="784"/>
      <c r="QAZ3" s="784"/>
      <c r="QBA3" s="784"/>
      <c r="QBB3" s="785"/>
      <c r="QBC3" s="786"/>
      <c r="QBD3" s="784"/>
      <c r="QBE3" s="784"/>
      <c r="QBF3" s="784"/>
      <c r="QBG3" s="784"/>
      <c r="QBH3" s="784"/>
      <c r="QBI3" s="784"/>
      <c r="QBJ3" s="784"/>
      <c r="QBK3" s="784"/>
      <c r="QBL3" s="784"/>
      <c r="QBM3" s="784"/>
      <c r="QBN3" s="784"/>
      <c r="QBO3" s="784"/>
      <c r="QBP3" s="784"/>
      <c r="QBQ3" s="785"/>
      <c r="QBR3" s="786"/>
      <c r="QBS3" s="784"/>
      <c r="QBT3" s="784"/>
      <c r="QBU3" s="784"/>
      <c r="QBV3" s="784"/>
      <c r="QBW3" s="784"/>
      <c r="QBX3" s="784"/>
      <c r="QBY3" s="784"/>
      <c r="QBZ3" s="784"/>
      <c r="QCA3" s="784"/>
      <c r="QCB3" s="784"/>
      <c r="QCC3" s="784"/>
      <c r="QCD3" s="784"/>
      <c r="QCE3" s="784"/>
      <c r="QCF3" s="785"/>
      <c r="QCG3" s="786"/>
      <c r="QCH3" s="784"/>
      <c r="QCI3" s="784"/>
      <c r="QCJ3" s="784"/>
      <c r="QCK3" s="784"/>
      <c r="QCL3" s="784"/>
      <c r="QCM3" s="784"/>
      <c r="QCN3" s="784"/>
      <c r="QCO3" s="784"/>
      <c r="QCP3" s="784"/>
      <c r="QCQ3" s="784"/>
      <c r="QCR3" s="784"/>
      <c r="QCS3" s="784"/>
      <c r="QCT3" s="784"/>
      <c r="QCU3" s="785"/>
      <c r="QCV3" s="786"/>
      <c r="QCW3" s="784"/>
      <c r="QCX3" s="784"/>
      <c r="QCY3" s="784"/>
      <c r="QCZ3" s="784"/>
      <c r="QDA3" s="784"/>
      <c r="QDB3" s="784"/>
      <c r="QDC3" s="784"/>
      <c r="QDD3" s="784"/>
      <c r="QDE3" s="784"/>
      <c r="QDF3" s="784"/>
      <c r="QDG3" s="784"/>
      <c r="QDH3" s="784"/>
      <c r="QDI3" s="784"/>
      <c r="QDJ3" s="785"/>
      <c r="QDK3" s="786"/>
      <c r="QDL3" s="784"/>
      <c r="QDM3" s="784"/>
      <c r="QDN3" s="784"/>
      <c r="QDO3" s="784"/>
      <c r="QDP3" s="784"/>
      <c r="QDQ3" s="784"/>
      <c r="QDR3" s="784"/>
      <c r="QDS3" s="784"/>
      <c r="QDT3" s="784"/>
      <c r="QDU3" s="784"/>
      <c r="QDV3" s="784"/>
      <c r="QDW3" s="784"/>
      <c r="QDX3" s="784"/>
      <c r="QDY3" s="785"/>
      <c r="QDZ3" s="786"/>
      <c r="QEA3" s="784"/>
      <c r="QEB3" s="784"/>
      <c r="QEC3" s="784"/>
      <c r="QED3" s="784"/>
      <c r="QEE3" s="784"/>
      <c r="QEF3" s="784"/>
      <c r="QEG3" s="784"/>
      <c r="QEH3" s="784"/>
      <c r="QEI3" s="784"/>
      <c r="QEJ3" s="784"/>
      <c r="QEK3" s="784"/>
      <c r="QEL3" s="784"/>
      <c r="QEM3" s="784"/>
      <c r="QEN3" s="785"/>
      <c r="QEO3" s="786"/>
      <c r="QEP3" s="784"/>
      <c r="QEQ3" s="784"/>
      <c r="QER3" s="784"/>
      <c r="QES3" s="784"/>
      <c r="QET3" s="784"/>
      <c r="QEU3" s="784"/>
      <c r="QEV3" s="784"/>
      <c r="QEW3" s="784"/>
      <c r="QEX3" s="784"/>
      <c r="QEY3" s="784"/>
      <c r="QEZ3" s="784"/>
      <c r="QFA3" s="784"/>
      <c r="QFB3" s="784"/>
      <c r="QFC3" s="785"/>
      <c r="QFD3" s="786"/>
      <c r="QFE3" s="784"/>
      <c r="QFF3" s="784"/>
      <c r="QFG3" s="784"/>
      <c r="QFH3" s="784"/>
      <c r="QFI3" s="784"/>
      <c r="QFJ3" s="784"/>
      <c r="QFK3" s="784"/>
      <c r="QFL3" s="784"/>
      <c r="QFM3" s="784"/>
      <c r="QFN3" s="784"/>
      <c r="QFO3" s="784"/>
      <c r="QFP3" s="784"/>
      <c r="QFQ3" s="784"/>
      <c r="QFR3" s="785"/>
      <c r="QFS3" s="786"/>
      <c r="QFT3" s="784"/>
      <c r="QFU3" s="784"/>
      <c r="QFV3" s="784"/>
      <c r="QFW3" s="784"/>
      <c r="QFX3" s="784"/>
      <c r="QFY3" s="784"/>
      <c r="QFZ3" s="784"/>
      <c r="QGA3" s="784"/>
      <c r="QGB3" s="784"/>
      <c r="QGC3" s="784"/>
      <c r="QGD3" s="784"/>
      <c r="QGE3" s="784"/>
      <c r="QGF3" s="784"/>
      <c r="QGG3" s="785"/>
      <c r="QGH3" s="786"/>
      <c r="QGI3" s="784"/>
      <c r="QGJ3" s="784"/>
      <c r="QGK3" s="784"/>
      <c r="QGL3" s="784"/>
      <c r="QGM3" s="784"/>
      <c r="QGN3" s="784"/>
      <c r="QGO3" s="784"/>
      <c r="QGP3" s="784"/>
      <c r="QGQ3" s="784"/>
      <c r="QGR3" s="784"/>
      <c r="QGS3" s="784"/>
      <c r="QGT3" s="784"/>
      <c r="QGU3" s="784"/>
      <c r="QGV3" s="785"/>
      <c r="QGW3" s="786"/>
      <c r="QGX3" s="784"/>
      <c r="QGY3" s="784"/>
      <c r="QGZ3" s="784"/>
      <c r="QHA3" s="784"/>
      <c r="QHB3" s="784"/>
      <c r="QHC3" s="784"/>
      <c r="QHD3" s="784"/>
      <c r="QHE3" s="784"/>
      <c r="QHF3" s="784"/>
      <c r="QHG3" s="784"/>
      <c r="QHH3" s="784"/>
      <c r="QHI3" s="784"/>
      <c r="QHJ3" s="784"/>
      <c r="QHK3" s="785"/>
      <c r="QHL3" s="786"/>
      <c r="QHM3" s="784"/>
      <c r="QHN3" s="784"/>
      <c r="QHO3" s="784"/>
      <c r="QHP3" s="784"/>
      <c r="QHQ3" s="784"/>
      <c r="QHR3" s="784"/>
      <c r="QHS3" s="784"/>
      <c r="QHT3" s="784"/>
      <c r="QHU3" s="784"/>
      <c r="QHV3" s="784"/>
      <c r="QHW3" s="784"/>
      <c r="QHX3" s="784"/>
      <c r="QHY3" s="784"/>
      <c r="QHZ3" s="785"/>
      <c r="QIA3" s="786"/>
      <c r="QIB3" s="784"/>
      <c r="QIC3" s="784"/>
      <c r="QID3" s="784"/>
      <c r="QIE3" s="784"/>
      <c r="QIF3" s="784"/>
      <c r="QIG3" s="784"/>
      <c r="QIH3" s="784"/>
      <c r="QII3" s="784"/>
      <c r="QIJ3" s="784"/>
      <c r="QIK3" s="784"/>
      <c r="QIL3" s="784"/>
      <c r="QIM3" s="784"/>
      <c r="QIN3" s="784"/>
      <c r="QIO3" s="785"/>
      <c r="QIP3" s="786"/>
      <c r="QIQ3" s="784"/>
      <c r="QIR3" s="784"/>
      <c r="QIS3" s="784"/>
      <c r="QIT3" s="784"/>
      <c r="QIU3" s="784"/>
      <c r="QIV3" s="784"/>
      <c r="QIW3" s="784"/>
      <c r="QIX3" s="784"/>
      <c r="QIY3" s="784"/>
      <c r="QIZ3" s="784"/>
      <c r="QJA3" s="784"/>
      <c r="QJB3" s="784"/>
      <c r="QJC3" s="784"/>
      <c r="QJD3" s="785"/>
      <c r="QJE3" s="786"/>
      <c r="QJF3" s="784"/>
      <c r="QJG3" s="784"/>
      <c r="QJH3" s="784"/>
      <c r="QJI3" s="784"/>
      <c r="QJJ3" s="784"/>
      <c r="QJK3" s="784"/>
      <c r="QJL3" s="784"/>
      <c r="QJM3" s="784"/>
      <c r="QJN3" s="784"/>
      <c r="QJO3" s="784"/>
      <c r="QJP3" s="784"/>
      <c r="QJQ3" s="784"/>
      <c r="QJR3" s="784"/>
      <c r="QJS3" s="785"/>
      <c r="QJT3" s="786"/>
      <c r="QJU3" s="784"/>
      <c r="QJV3" s="784"/>
      <c r="QJW3" s="784"/>
      <c r="QJX3" s="784"/>
      <c r="QJY3" s="784"/>
      <c r="QJZ3" s="784"/>
      <c r="QKA3" s="784"/>
      <c r="QKB3" s="784"/>
      <c r="QKC3" s="784"/>
      <c r="QKD3" s="784"/>
      <c r="QKE3" s="784"/>
      <c r="QKF3" s="784"/>
      <c r="QKG3" s="784"/>
      <c r="QKH3" s="785"/>
      <c r="QKI3" s="786"/>
      <c r="QKJ3" s="784"/>
      <c r="QKK3" s="784"/>
      <c r="QKL3" s="784"/>
      <c r="QKM3" s="784"/>
      <c r="QKN3" s="784"/>
      <c r="QKO3" s="784"/>
      <c r="QKP3" s="784"/>
      <c r="QKQ3" s="784"/>
      <c r="QKR3" s="784"/>
      <c r="QKS3" s="784"/>
      <c r="QKT3" s="784"/>
      <c r="QKU3" s="784"/>
      <c r="QKV3" s="784"/>
      <c r="QKW3" s="785"/>
      <c r="QKX3" s="786"/>
      <c r="QKY3" s="784"/>
      <c r="QKZ3" s="784"/>
      <c r="QLA3" s="784"/>
      <c r="QLB3" s="784"/>
      <c r="QLC3" s="784"/>
      <c r="QLD3" s="784"/>
      <c r="QLE3" s="784"/>
      <c r="QLF3" s="784"/>
      <c r="QLG3" s="784"/>
      <c r="QLH3" s="784"/>
      <c r="QLI3" s="784"/>
      <c r="QLJ3" s="784"/>
      <c r="QLK3" s="784"/>
      <c r="QLL3" s="785"/>
      <c r="QLM3" s="786"/>
      <c r="QLN3" s="784"/>
      <c r="QLO3" s="784"/>
      <c r="QLP3" s="784"/>
      <c r="QLQ3" s="784"/>
      <c r="QLR3" s="784"/>
      <c r="QLS3" s="784"/>
      <c r="QLT3" s="784"/>
      <c r="QLU3" s="784"/>
      <c r="QLV3" s="784"/>
      <c r="QLW3" s="784"/>
      <c r="QLX3" s="784"/>
      <c r="QLY3" s="784"/>
      <c r="QLZ3" s="784"/>
      <c r="QMA3" s="785"/>
      <c r="QMB3" s="786"/>
      <c r="QMC3" s="784"/>
      <c r="QMD3" s="784"/>
      <c r="QME3" s="784"/>
      <c r="QMF3" s="784"/>
      <c r="QMG3" s="784"/>
      <c r="QMH3" s="784"/>
      <c r="QMI3" s="784"/>
      <c r="QMJ3" s="784"/>
      <c r="QMK3" s="784"/>
      <c r="QML3" s="784"/>
      <c r="QMM3" s="784"/>
      <c r="QMN3" s="784"/>
      <c r="QMO3" s="784"/>
      <c r="QMP3" s="785"/>
      <c r="QMQ3" s="786"/>
      <c r="QMR3" s="784"/>
      <c r="QMS3" s="784"/>
      <c r="QMT3" s="784"/>
      <c r="QMU3" s="784"/>
      <c r="QMV3" s="784"/>
      <c r="QMW3" s="784"/>
      <c r="QMX3" s="784"/>
      <c r="QMY3" s="784"/>
      <c r="QMZ3" s="784"/>
      <c r="QNA3" s="784"/>
      <c r="QNB3" s="784"/>
      <c r="QNC3" s="784"/>
      <c r="QND3" s="784"/>
      <c r="QNE3" s="785"/>
      <c r="QNF3" s="786"/>
      <c r="QNG3" s="784"/>
      <c r="QNH3" s="784"/>
      <c r="QNI3" s="784"/>
      <c r="QNJ3" s="784"/>
      <c r="QNK3" s="784"/>
      <c r="QNL3" s="784"/>
      <c r="QNM3" s="784"/>
      <c r="QNN3" s="784"/>
      <c r="QNO3" s="784"/>
      <c r="QNP3" s="784"/>
      <c r="QNQ3" s="784"/>
      <c r="QNR3" s="784"/>
      <c r="QNS3" s="784"/>
      <c r="QNT3" s="785"/>
      <c r="QNU3" s="786"/>
      <c r="QNV3" s="784"/>
      <c r="QNW3" s="784"/>
      <c r="QNX3" s="784"/>
      <c r="QNY3" s="784"/>
      <c r="QNZ3" s="784"/>
      <c r="QOA3" s="784"/>
      <c r="QOB3" s="784"/>
      <c r="QOC3" s="784"/>
      <c r="QOD3" s="784"/>
      <c r="QOE3" s="784"/>
      <c r="QOF3" s="784"/>
      <c r="QOG3" s="784"/>
      <c r="QOH3" s="784"/>
      <c r="QOI3" s="785"/>
      <c r="QOJ3" s="786"/>
      <c r="QOK3" s="784"/>
      <c r="QOL3" s="784"/>
      <c r="QOM3" s="784"/>
      <c r="QON3" s="784"/>
      <c r="QOO3" s="784"/>
      <c r="QOP3" s="784"/>
      <c r="QOQ3" s="784"/>
      <c r="QOR3" s="784"/>
      <c r="QOS3" s="784"/>
      <c r="QOT3" s="784"/>
      <c r="QOU3" s="784"/>
      <c r="QOV3" s="784"/>
      <c r="QOW3" s="784"/>
      <c r="QOX3" s="785"/>
      <c r="QOY3" s="786"/>
      <c r="QOZ3" s="784"/>
      <c r="QPA3" s="784"/>
      <c r="QPB3" s="784"/>
      <c r="QPC3" s="784"/>
      <c r="QPD3" s="784"/>
      <c r="QPE3" s="784"/>
      <c r="QPF3" s="784"/>
      <c r="QPG3" s="784"/>
      <c r="QPH3" s="784"/>
      <c r="QPI3" s="784"/>
      <c r="QPJ3" s="784"/>
      <c r="QPK3" s="784"/>
      <c r="QPL3" s="784"/>
      <c r="QPM3" s="785"/>
      <c r="QPN3" s="786"/>
      <c r="QPO3" s="784"/>
      <c r="QPP3" s="784"/>
      <c r="QPQ3" s="784"/>
      <c r="QPR3" s="784"/>
      <c r="QPS3" s="784"/>
      <c r="QPT3" s="784"/>
      <c r="QPU3" s="784"/>
      <c r="QPV3" s="784"/>
      <c r="QPW3" s="784"/>
      <c r="QPX3" s="784"/>
      <c r="QPY3" s="784"/>
      <c r="QPZ3" s="784"/>
      <c r="QQA3" s="784"/>
      <c r="QQB3" s="785"/>
      <c r="QQC3" s="786"/>
      <c r="QQD3" s="784"/>
      <c r="QQE3" s="784"/>
      <c r="QQF3" s="784"/>
      <c r="QQG3" s="784"/>
      <c r="QQH3" s="784"/>
      <c r="QQI3" s="784"/>
      <c r="QQJ3" s="784"/>
      <c r="QQK3" s="784"/>
      <c r="QQL3" s="784"/>
      <c r="QQM3" s="784"/>
      <c r="QQN3" s="784"/>
      <c r="QQO3" s="784"/>
      <c r="QQP3" s="784"/>
      <c r="QQQ3" s="785"/>
      <c r="QQR3" s="786"/>
      <c r="QQS3" s="784"/>
      <c r="QQT3" s="784"/>
      <c r="QQU3" s="784"/>
      <c r="QQV3" s="784"/>
      <c r="QQW3" s="784"/>
      <c r="QQX3" s="784"/>
      <c r="QQY3" s="784"/>
      <c r="QQZ3" s="784"/>
      <c r="QRA3" s="784"/>
      <c r="QRB3" s="784"/>
      <c r="QRC3" s="784"/>
      <c r="QRD3" s="784"/>
      <c r="QRE3" s="784"/>
      <c r="QRF3" s="785"/>
      <c r="QRG3" s="786"/>
      <c r="QRH3" s="784"/>
      <c r="QRI3" s="784"/>
      <c r="QRJ3" s="784"/>
      <c r="QRK3" s="784"/>
      <c r="QRL3" s="784"/>
      <c r="QRM3" s="784"/>
      <c r="QRN3" s="784"/>
      <c r="QRO3" s="784"/>
      <c r="QRP3" s="784"/>
      <c r="QRQ3" s="784"/>
      <c r="QRR3" s="784"/>
      <c r="QRS3" s="784"/>
      <c r="QRT3" s="784"/>
      <c r="QRU3" s="785"/>
      <c r="QRV3" s="786"/>
      <c r="QRW3" s="784"/>
      <c r="QRX3" s="784"/>
      <c r="QRY3" s="784"/>
      <c r="QRZ3" s="784"/>
      <c r="QSA3" s="784"/>
      <c r="QSB3" s="784"/>
      <c r="QSC3" s="784"/>
      <c r="QSD3" s="784"/>
      <c r="QSE3" s="784"/>
      <c r="QSF3" s="784"/>
      <c r="QSG3" s="784"/>
      <c r="QSH3" s="784"/>
      <c r="QSI3" s="784"/>
      <c r="QSJ3" s="785"/>
      <c r="QSK3" s="786"/>
      <c r="QSL3" s="784"/>
      <c r="QSM3" s="784"/>
      <c r="QSN3" s="784"/>
      <c r="QSO3" s="784"/>
      <c r="QSP3" s="784"/>
      <c r="QSQ3" s="784"/>
      <c r="QSR3" s="784"/>
      <c r="QSS3" s="784"/>
      <c r="QST3" s="784"/>
      <c r="QSU3" s="784"/>
      <c r="QSV3" s="784"/>
      <c r="QSW3" s="784"/>
      <c r="QSX3" s="784"/>
      <c r="QSY3" s="785"/>
      <c r="QSZ3" s="786"/>
      <c r="QTA3" s="784"/>
      <c r="QTB3" s="784"/>
      <c r="QTC3" s="784"/>
      <c r="QTD3" s="784"/>
      <c r="QTE3" s="784"/>
      <c r="QTF3" s="784"/>
      <c r="QTG3" s="784"/>
      <c r="QTH3" s="784"/>
      <c r="QTI3" s="784"/>
      <c r="QTJ3" s="784"/>
      <c r="QTK3" s="784"/>
      <c r="QTL3" s="784"/>
      <c r="QTM3" s="784"/>
      <c r="QTN3" s="785"/>
      <c r="QTO3" s="786"/>
      <c r="QTP3" s="784"/>
      <c r="QTQ3" s="784"/>
      <c r="QTR3" s="784"/>
      <c r="QTS3" s="784"/>
      <c r="QTT3" s="784"/>
      <c r="QTU3" s="784"/>
      <c r="QTV3" s="784"/>
      <c r="QTW3" s="784"/>
      <c r="QTX3" s="784"/>
      <c r="QTY3" s="784"/>
      <c r="QTZ3" s="784"/>
      <c r="QUA3" s="784"/>
      <c r="QUB3" s="784"/>
      <c r="QUC3" s="785"/>
      <c r="QUD3" s="786"/>
      <c r="QUE3" s="784"/>
      <c r="QUF3" s="784"/>
      <c r="QUG3" s="784"/>
      <c r="QUH3" s="784"/>
      <c r="QUI3" s="784"/>
      <c r="QUJ3" s="784"/>
      <c r="QUK3" s="784"/>
      <c r="QUL3" s="784"/>
      <c r="QUM3" s="784"/>
      <c r="QUN3" s="784"/>
      <c r="QUO3" s="784"/>
      <c r="QUP3" s="784"/>
      <c r="QUQ3" s="784"/>
      <c r="QUR3" s="785"/>
      <c r="QUS3" s="786"/>
      <c r="QUT3" s="784"/>
      <c r="QUU3" s="784"/>
      <c r="QUV3" s="784"/>
      <c r="QUW3" s="784"/>
      <c r="QUX3" s="784"/>
      <c r="QUY3" s="784"/>
      <c r="QUZ3" s="784"/>
      <c r="QVA3" s="784"/>
      <c r="QVB3" s="784"/>
      <c r="QVC3" s="784"/>
      <c r="QVD3" s="784"/>
      <c r="QVE3" s="784"/>
      <c r="QVF3" s="784"/>
      <c r="QVG3" s="785"/>
      <c r="QVH3" s="786"/>
      <c r="QVI3" s="784"/>
      <c r="QVJ3" s="784"/>
      <c r="QVK3" s="784"/>
      <c r="QVL3" s="784"/>
      <c r="QVM3" s="784"/>
      <c r="QVN3" s="784"/>
      <c r="QVO3" s="784"/>
      <c r="QVP3" s="784"/>
      <c r="QVQ3" s="784"/>
      <c r="QVR3" s="784"/>
      <c r="QVS3" s="784"/>
      <c r="QVT3" s="784"/>
      <c r="QVU3" s="784"/>
      <c r="QVV3" s="785"/>
      <c r="QVW3" s="786"/>
      <c r="QVX3" s="784"/>
      <c r="QVY3" s="784"/>
      <c r="QVZ3" s="784"/>
      <c r="QWA3" s="784"/>
      <c r="QWB3" s="784"/>
      <c r="QWC3" s="784"/>
      <c r="QWD3" s="784"/>
      <c r="QWE3" s="784"/>
      <c r="QWF3" s="784"/>
      <c r="QWG3" s="784"/>
      <c r="QWH3" s="784"/>
      <c r="QWI3" s="784"/>
      <c r="QWJ3" s="784"/>
      <c r="QWK3" s="785"/>
      <c r="QWL3" s="786"/>
      <c r="QWM3" s="784"/>
      <c r="QWN3" s="784"/>
      <c r="QWO3" s="784"/>
      <c r="QWP3" s="784"/>
      <c r="QWQ3" s="784"/>
      <c r="QWR3" s="784"/>
      <c r="QWS3" s="784"/>
      <c r="QWT3" s="784"/>
      <c r="QWU3" s="784"/>
      <c r="QWV3" s="784"/>
      <c r="QWW3" s="784"/>
      <c r="QWX3" s="784"/>
      <c r="QWY3" s="784"/>
      <c r="QWZ3" s="785"/>
      <c r="QXA3" s="786"/>
      <c r="QXB3" s="784"/>
      <c r="QXC3" s="784"/>
      <c r="QXD3" s="784"/>
      <c r="QXE3" s="784"/>
      <c r="QXF3" s="784"/>
      <c r="QXG3" s="784"/>
      <c r="QXH3" s="784"/>
      <c r="QXI3" s="784"/>
      <c r="QXJ3" s="784"/>
      <c r="QXK3" s="784"/>
      <c r="QXL3" s="784"/>
      <c r="QXM3" s="784"/>
      <c r="QXN3" s="784"/>
      <c r="QXO3" s="785"/>
      <c r="QXP3" s="786"/>
      <c r="QXQ3" s="784"/>
      <c r="QXR3" s="784"/>
      <c r="QXS3" s="784"/>
      <c r="QXT3" s="784"/>
      <c r="QXU3" s="784"/>
      <c r="QXV3" s="784"/>
      <c r="QXW3" s="784"/>
      <c r="QXX3" s="784"/>
      <c r="QXY3" s="784"/>
      <c r="QXZ3" s="784"/>
      <c r="QYA3" s="784"/>
      <c r="QYB3" s="784"/>
      <c r="QYC3" s="784"/>
      <c r="QYD3" s="785"/>
      <c r="QYE3" s="786"/>
      <c r="QYF3" s="784"/>
      <c r="QYG3" s="784"/>
      <c r="QYH3" s="784"/>
      <c r="QYI3" s="784"/>
      <c r="QYJ3" s="784"/>
      <c r="QYK3" s="784"/>
      <c r="QYL3" s="784"/>
      <c r="QYM3" s="784"/>
      <c r="QYN3" s="784"/>
      <c r="QYO3" s="784"/>
      <c r="QYP3" s="784"/>
      <c r="QYQ3" s="784"/>
      <c r="QYR3" s="784"/>
      <c r="QYS3" s="785"/>
      <c r="QYT3" s="786"/>
      <c r="QYU3" s="784"/>
      <c r="QYV3" s="784"/>
      <c r="QYW3" s="784"/>
      <c r="QYX3" s="784"/>
      <c r="QYY3" s="784"/>
      <c r="QYZ3" s="784"/>
      <c r="QZA3" s="784"/>
      <c r="QZB3" s="784"/>
      <c r="QZC3" s="784"/>
      <c r="QZD3" s="784"/>
      <c r="QZE3" s="784"/>
      <c r="QZF3" s="784"/>
      <c r="QZG3" s="784"/>
      <c r="QZH3" s="785"/>
      <c r="QZI3" s="786"/>
      <c r="QZJ3" s="784"/>
      <c r="QZK3" s="784"/>
      <c r="QZL3" s="784"/>
      <c r="QZM3" s="784"/>
      <c r="QZN3" s="784"/>
      <c r="QZO3" s="784"/>
      <c r="QZP3" s="784"/>
      <c r="QZQ3" s="784"/>
      <c r="QZR3" s="784"/>
      <c r="QZS3" s="784"/>
      <c r="QZT3" s="784"/>
      <c r="QZU3" s="784"/>
      <c r="QZV3" s="784"/>
      <c r="QZW3" s="785"/>
      <c r="QZX3" s="786"/>
      <c r="QZY3" s="784"/>
      <c r="QZZ3" s="784"/>
      <c r="RAA3" s="784"/>
      <c r="RAB3" s="784"/>
      <c r="RAC3" s="784"/>
      <c r="RAD3" s="784"/>
      <c r="RAE3" s="784"/>
      <c r="RAF3" s="784"/>
      <c r="RAG3" s="784"/>
      <c r="RAH3" s="784"/>
      <c r="RAI3" s="784"/>
      <c r="RAJ3" s="784"/>
      <c r="RAK3" s="784"/>
      <c r="RAL3" s="785"/>
      <c r="RAM3" s="786"/>
      <c r="RAN3" s="784"/>
      <c r="RAO3" s="784"/>
      <c r="RAP3" s="784"/>
      <c r="RAQ3" s="784"/>
      <c r="RAR3" s="784"/>
      <c r="RAS3" s="784"/>
      <c r="RAT3" s="784"/>
      <c r="RAU3" s="784"/>
      <c r="RAV3" s="784"/>
      <c r="RAW3" s="784"/>
      <c r="RAX3" s="784"/>
      <c r="RAY3" s="784"/>
      <c r="RAZ3" s="784"/>
      <c r="RBA3" s="785"/>
      <c r="RBB3" s="786"/>
      <c r="RBC3" s="784"/>
      <c r="RBD3" s="784"/>
      <c r="RBE3" s="784"/>
      <c r="RBF3" s="784"/>
      <c r="RBG3" s="784"/>
      <c r="RBH3" s="784"/>
      <c r="RBI3" s="784"/>
      <c r="RBJ3" s="784"/>
      <c r="RBK3" s="784"/>
      <c r="RBL3" s="784"/>
      <c r="RBM3" s="784"/>
      <c r="RBN3" s="784"/>
      <c r="RBO3" s="784"/>
      <c r="RBP3" s="785"/>
      <c r="RBQ3" s="786"/>
      <c r="RBR3" s="784"/>
      <c r="RBS3" s="784"/>
      <c r="RBT3" s="784"/>
      <c r="RBU3" s="784"/>
      <c r="RBV3" s="784"/>
      <c r="RBW3" s="784"/>
      <c r="RBX3" s="784"/>
      <c r="RBY3" s="784"/>
      <c r="RBZ3" s="784"/>
      <c r="RCA3" s="784"/>
      <c r="RCB3" s="784"/>
      <c r="RCC3" s="784"/>
      <c r="RCD3" s="784"/>
      <c r="RCE3" s="785"/>
      <c r="RCF3" s="786"/>
      <c r="RCG3" s="784"/>
      <c r="RCH3" s="784"/>
      <c r="RCI3" s="784"/>
      <c r="RCJ3" s="784"/>
      <c r="RCK3" s="784"/>
      <c r="RCL3" s="784"/>
      <c r="RCM3" s="784"/>
      <c r="RCN3" s="784"/>
      <c r="RCO3" s="784"/>
      <c r="RCP3" s="784"/>
      <c r="RCQ3" s="784"/>
      <c r="RCR3" s="784"/>
      <c r="RCS3" s="784"/>
      <c r="RCT3" s="785"/>
      <c r="RCU3" s="786"/>
      <c r="RCV3" s="784"/>
      <c r="RCW3" s="784"/>
      <c r="RCX3" s="784"/>
      <c r="RCY3" s="784"/>
      <c r="RCZ3" s="784"/>
      <c r="RDA3" s="784"/>
      <c r="RDB3" s="784"/>
      <c r="RDC3" s="784"/>
      <c r="RDD3" s="784"/>
      <c r="RDE3" s="784"/>
      <c r="RDF3" s="784"/>
      <c r="RDG3" s="784"/>
      <c r="RDH3" s="784"/>
      <c r="RDI3" s="785"/>
      <c r="RDJ3" s="786"/>
      <c r="RDK3" s="784"/>
      <c r="RDL3" s="784"/>
      <c r="RDM3" s="784"/>
      <c r="RDN3" s="784"/>
      <c r="RDO3" s="784"/>
      <c r="RDP3" s="784"/>
      <c r="RDQ3" s="784"/>
      <c r="RDR3" s="784"/>
      <c r="RDS3" s="784"/>
      <c r="RDT3" s="784"/>
      <c r="RDU3" s="784"/>
      <c r="RDV3" s="784"/>
      <c r="RDW3" s="784"/>
      <c r="RDX3" s="785"/>
      <c r="RDY3" s="786"/>
      <c r="RDZ3" s="784"/>
      <c r="REA3" s="784"/>
      <c r="REB3" s="784"/>
      <c r="REC3" s="784"/>
      <c r="RED3" s="784"/>
      <c r="REE3" s="784"/>
      <c r="REF3" s="784"/>
      <c r="REG3" s="784"/>
      <c r="REH3" s="784"/>
      <c r="REI3" s="784"/>
      <c r="REJ3" s="784"/>
      <c r="REK3" s="784"/>
      <c r="REL3" s="784"/>
      <c r="REM3" s="785"/>
      <c r="REN3" s="786"/>
      <c r="REO3" s="784"/>
      <c r="REP3" s="784"/>
      <c r="REQ3" s="784"/>
      <c r="RER3" s="784"/>
      <c r="RES3" s="784"/>
      <c r="RET3" s="784"/>
      <c r="REU3" s="784"/>
      <c r="REV3" s="784"/>
      <c r="REW3" s="784"/>
      <c r="REX3" s="784"/>
      <c r="REY3" s="784"/>
      <c r="REZ3" s="784"/>
      <c r="RFA3" s="784"/>
      <c r="RFB3" s="785"/>
      <c r="RFC3" s="786"/>
      <c r="RFD3" s="784"/>
      <c r="RFE3" s="784"/>
      <c r="RFF3" s="784"/>
      <c r="RFG3" s="784"/>
      <c r="RFH3" s="784"/>
      <c r="RFI3" s="784"/>
      <c r="RFJ3" s="784"/>
      <c r="RFK3" s="784"/>
      <c r="RFL3" s="784"/>
      <c r="RFM3" s="784"/>
      <c r="RFN3" s="784"/>
      <c r="RFO3" s="784"/>
      <c r="RFP3" s="784"/>
      <c r="RFQ3" s="785"/>
      <c r="RFR3" s="786"/>
      <c r="RFS3" s="784"/>
      <c r="RFT3" s="784"/>
      <c r="RFU3" s="784"/>
      <c r="RFV3" s="784"/>
      <c r="RFW3" s="784"/>
      <c r="RFX3" s="784"/>
      <c r="RFY3" s="784"/>
      <c r="RFZ3" s="784"/>
      <c r="RGA3" s="784"/>
      <c r="RGB3" s="784"/>
      <c r="RGC3" s="784"/>
      <c r="RGD3" s="784"/>
      <c r="RGE3" s="784"/>
      <c r="RGF3" s="785"/>
      <c r="RGG3" s="786"/>
      <c r="RGH3" s="784"/>
      <c r="RGI3" s="784"/>
      <c r="RGJ3" s="784"/>
      <c r="RGK3" s="784"/>
      <c r="RGL3" s="784"/>
      <c r="RGM3" s="784"/>
      <c r="RGN3" s="784"/>
      <c r="RGO3" s="784"/>
      <c r="RGP3" s="784"/>
      <c r="RGQ3" s="784"/>
      <c r="RGR3" s="784"/>
      <c r="RGS3" s="784"/>
      <c r="RGT3" s="784"/>
      <c r="RGU3" s="785"/>
      <c r="RGV3" s="786"/>
      <c r="RGW3" s="784"/>
      <c r="RGX3" s="784"/>
      <c r="RGY3" s="784"/>
      <c r="RGZ3" s="784"/>
      <c r="RHA3" s="784"/>
      <c r="RHB3" s="784"/>
      <c r="RHC3" s="784"/>
      <c r="RHD3" s="784"/>
      <c r="RHE3" s="784"/>
      <c r="RHF3" s="784"/>
      <c r="RHG3" s="784"/>
      <c r="RHH3" s="784"/>
      <c r="RHI3" s="784"/>
      <c r="RHJ3" s="785"/>
      <c r="RHK3" s="786"/>
      <c r="RHL3" s="784"/>
      <c r="RHM3" s="784"/>
      <c r="RHN3" s="784"/>
      <c r="RHO3" s="784"/>
      <c r="RHP3" s="784"/>
      <c r="RHQ3" s="784"/>
      <c r="RHR3" s="784"/>
      <c r="RHS3" s="784"/>
      <c r="RHT3" s="784"/>
      <c r="RHU3" s="784"/>
      <c r="RHV3" s="784"/>
      <c r="RHW3" s="784"/>
      <c r="RHX3" s="784"/>
      <c r="RHY3" s="785"/>
      <c r="RHZ3" s="786"/>
      <c r="RIA3" s="784"/>
      <c r="RIB3" s="784"/>
      <c r="RIC3" s="784"/>
      <c r="RID3" s="784"/>
      <c r="RIE3" s="784"/>
      <c r="RIF3" s="784"/>
      <c r="RIG3" s="784"/>
      <c r="RIH3" s="784"/>
      <c r="RII3" s="784"/>
      <c r="RIJ3" s="784"/>
      <c r="RIK3" s="784"/>
      <c r="RIL3" s="784"/>
      <c r="RIM3" s="784"/>
      <c r="RIN3" s="785"/>
      <c r="RIO3" s="786"/>
      <c r="RIP3" s="784"/>
      <c r="RIQ3" s="784"/>
      <c r="RIR3" s="784"/>
      <c r="RIS3" s="784"/>
      <c r="RIT3" s="784"/>
      <c r="RIU3" s="784"/>
      <c r="RIV3" s="784"/>
      <c r="RIW3" s="784"/>
      <c r="RIX3" s="784"/>
      <c r="RIY3" s="784"/>
      <c r="RIZ3" s="784"/>
      <c r="RJA3" s="784"/>
      <c r="RJB3" s="784"/>
      <c r="RJC3" s="785"/>
      <c r="RJD3" s="786"/>
      <c r="RJE3" s="784"/>
      <c r="RJF3" s="784"/>
      <c r="RJG3" s="784"/>
      <c r="RJH3" s="784"/>
      <c r="RJI3" s="784"/>
      <c r="RJJ3" s="784"/>
      <c r="RJK3" s="784"/>
      <c r="RJL3" s="784"/>
      <c r="RJM3" s="784"/>
      <c r="RJN3" s="784"/>
      <c r="RJO3" s="784"/>
      <c r="RJP3" s="784"/>
      <c r="RJQ3" s="784"/>
      <c r="RJR3" s="785"/>
      <c r="RJS3" s="786"/>
      <c r="RJT3" s="784"/>
      <c r="RJU3" s="784"/>
      <c r="RJV3" s="784"/>
      <c r="RJW3" s="784"/>
      <c r="RJX3" s="784"/>
      <c r="RJY3" s="784"/>
      <c r="RJZ3" s="784"/>
      <c r="RKA3" s="784"/>
      <c r="RKB3" s="784"/>
      <c r="RKC3" s="784"/>
      <c r="RKD3" s="784"/>
      <c r="RKE3" s="784"/>
      <c r="RKF3" s="784"/>
      <c r="RKG3" s="785"/>
      <c r="RKH3" s="786"/>
      <c r="RKI3" s="784"/>
      <c r="RKJ3" s="784"/>
      <c r="RKK3" s="784"/>
      <c r="RKL3" s="784"/>
      <c r="RKM3" s="784"/>
      <c r="RKN3" s="784"/>
      <c r="RKO3" s="784"/>
      <c r="RKP3" s="784"/>
      <c r="RKQ3" s="784"/>
      <c r="RKR3" s="784"/>
      <c r="RKS3" s="784"/>
      <c r="RKT3" s="784"/>
      <c r="RKU3" s="784"/>
      <c r="RKV3" s="785"/>
      <c r="RKW3" s="786"/>
      <c r="RKX3" s="784"/>
      <c r="RKY3" s="784"/>
      <c r="RKZ3" s="784"/>
      <c r="RLA3" s="784"/>
      <c r="RLB3" s="784"/>
      <c r="RLC3" s="784"/>
      <c r="RLD3" s="784"/>
      <c r="RLE3" s="784"/>
      <c r="RLF3" s="784"/>
      <c r="RLG3" s="784"/>
      <c r="RLH3" s="784"/>
      <c r="RLI3" s="784"/>
      <c r="RLJ3" s="784"/>
      <c r="RLK3" s="785"/>
      <c r="RLL3" s="786"/>
      <c r="RLM3" s="784"/>
      <c r="RLN3" s="784"/>
      <c r="RLO3" s="784"/>
      <c r="RLP3" s="784"/>
      <c r="RLQ3" s="784"/>
      <c r="RLR3" s="784"/>
      <c r="RLS3" s="784"/>
      <c r="RLT3" s="784"/>
      <c r="RLU3" s="784"/>
      <c r="RLV3" s="784"/>
      <c r="RLW3" s="784"/>
      <c r="RLX3" s="784"/>
      <c r="RLY3" s="784"/>
      <c r="RLZ3" s="785"/>
      <c r="RMA3" s="786"/>
      <c r="RMB3" s="784"/>
      <c r="RMC3" s="784"/>
      <c r="RMD3" s="784"/>
      <c r="RME3" s="784"/>
      <c r="RMF3" s="784"/>
      <c r="RMG3" s="784"/>
      <c r="RMH3" s="784"/>
      <c r="RMI3" s="784"/>
      <c r="RMJ3" s="784"/>
      <c r="RMK3" s="784"/>
      <c r="RML3" s="784"/>
      <c r="RMM3" s="784"/>
      <c r="RMN3" s="784"/>
      <c r="RMO3" s="785"/>
      <c r="RMP3" s="786"/>
      <c r="RMQ3" s="784"/>
      <c r="RMR3" s="784"/>
      <c r="RMS3" s="784"/>
      <c r="RMT3" s="784"/>
      <c r="RMU3" s="784"/>
      <c r="RMV3" s="784"/>
      <c r="RMW3" s="784"/>
      <c r="RMX3" s="784"/>
      <c r="RMY3" s="784"/>
      <c r="RMZ3" s="784"/>
      <c r="RNA3" s="784"/>
      <c r="RNB3" s="784"/>
      <c r="RNC3" s="784"/>
      <c r="RND3" s="785"/>
      <c r="RNE3" s="786"/>
      <c r="RNF3" s="784"/>
      <c r="RNG3" s="784"/>
      <c r="RNH3" s="784"/>
      <c r="RNI3" s="784"/>
      <c r="RNJ3" s="784"/>
      <c r="RNK3" s="784"/>
      <c r="RNL3" s="784"/>
      <c r="RNM3" s="784"/>
      <c r="RNN3" s="784"/>
      <c r="RNO3" s="784"/>
      <c r="RNP3" s="784"/>
      <c r="RNQ3" s="784"/>
      <c r="RNR3" s="784"/>
      <c r="RNS3" s="785"/>
      <c r="RNT3" s="786"/>
      <c r="RNU3" s="784"/>
      <c r="RNV3" s="784"/>
      <c r="RNW3" s="784"/>
      <c r="RNX3" s="784"/>
      <c r="RNY3" s="784"/>
      <c r="RNZ3" s="784"/>
      <c r="ROA3" s="784"/>
      <c r="ROB3" s="784"/>
      <c r="ROC3" s="784"/>
      <c r="ROD3" s="784"/>
      <c r="ROE3" s="784"/>
      <c r="ROF3" s="784"/>
      <c r="ROG3" s="784"/>
      <c r="ROH3" s="785"/>
      <c r="ROI3" s="786"/>
      <c r="ROJ3" s="784"/>
      <c r="ROK3" s="784"/>
      <c r="ROL3" s="784"/>
      <c r="ROM3" s="784"/>
      <c r="RON3" s="784"/>
      <c r="ROO3" s="784"/>
      <c r="ROP3" s="784"/>
      <c r="ROQ3" s="784"/>
      <c r="ROR3" s="784"/>
      <c r="ROS3" s="784"/>
      <c r="ROT3" s="784"/>
      <c r="ROU3" s="784"/>
      <c r="ROV3" s="784"/>
      <c r="ROW3" s="785"/>
      <c r="ROX3" s="786"/>
      <c r="ROY3" s="784"/>
      <c r="ROZ3" s="784"/>
      <c r="RPA3" s="784"/>
      <c r="RPB3" s="784"/>
      <c r="RPC3" s="784"/>
      <c r="RPD3" s="784"/>
      <c r="RPE3" s="784"/>
      <c r="RPF3" s="784"/>
      <c r="RPG3" s="784"/>
      <c r="RPH3" s="784"/>
      <c r="RPI3" s="784"/>
      <c r="RPJ3" s="784"/>
      <c r="RPK3" s="784"/>
      <c r="RPL3" s="785"/>
      <c r="RPM3" s="786"/>
      <c r="RPN3" s="784"/>
      <c r="RPO3" s="784"/>
      <c r="RPP3" s="784"/>
      <c r="RPQ3" s="784"/>
      <c r="RPR3" s="784"/>
      <c r="RPS3" s="784"/>
      <c r="RPT3" s="784"/>
      <c r="RPU3" s="784"/>
      <c r="RPV3" s="784"/>
      <c r="RPW3" s="784"/>
      <c r="RPX3" s="784"/>
      <c r="RPY3" s="784"/>
      <c r="RPZ3" s="784"/>
      <c r="RQA3" s="785"/>
      <c r="RQB3" s="786"/>
      <c r="RQC3" s="784"/>
      <c r="RQD3" s="784"/>
      <c r="RQE3" s="784"/>
      <c r="RQF3" s="784"/>
      <c r="RQG3" s="784"/>
      <c r="RQH3" s="784"/>
      <c r="RQI3" s="784"/>
      <c r="RQJ3" s="784"/>
      <c r="RQK3" s="784"/>
      <c r="RQL3" s="784"/>
      <c r="RQM3" s="784"/>
      <c r="RQN3" s="784"/>
      <c r="RQO3" s="784"/>
      <c r="RQP3" s="785"/>
      <c r="RQQ3" s="786"/>
      <c r="RQR3" s="784"/>
      <c r="RQS3" s="784"/>
      <c r="RQT3" s="784"/>
      <c r="RQU3" s="784"/>
      <c r="RQV3" s="784"/>
      <c r="RQW3" s="784"/>
      <c r="RQX3" s="784"/>
      <c r="RQY3" s="784"/>
      <c r="RQZ3" s="784"/>
      <c r="RRA3" s="784"/>
      <c r="RRB3" s="784"/>
      <c r="RRC3" s="784"/>
      <c r="RRD3" s="784"/>
      <c r="RRE3" s="785"/>
      <c r="RRF3" s="786"/>
      <c r="RRG3" s="784"/>
      <c r="RRH3" s="784"/>
      <c r="RRI3" s="784"/>
      <c r="RRJ3" s="784"/>
      <c r="RRK3" s="784"/>
      <c r="RRL3" s="784"/>
      <c r="RRM3" s="784"/>
      <c r="RRN3" s="784"/>
      <c r="RRO3" s="784"/>
      <c r="RRP3" s="784"/>
      <c r="RRQ3" s="784"/>
      <c r="RRR3" s="784"/>
      <c r="RRS3" s="784"/>
      <c r="RRT3" s="785"/>
      <c r="RRU3" s="786"/>
      <c r="RRV3" s="784"/>
      <c r="RRW3" s="784"/>
      <c r="RRX3" s="784"/>
      <c r="RRY3" s="784"/>
      <c r="RRZ3" s="784"/>
      <c r="RSA3" s="784"/>
      <c r="RSB3" s="784"/>
      <c r="RSC3" s="784"/>
      <c r="RSD3" s="784"/>
      <c r="RSE3" s="784"/>
      <c r="RSF3" s="784"/>
      <c r="RSG3" s="784"/>
      <c r="RSH3" s="784"/>
      <c r="RSI3" s="785"/>
      <c r="RSJ3" s="786"/>
      <c r="RSK3" s="784"/>
      <c r="RSL3" s="784"/>
      <c r="RSM3" s="784"/>
      <c r="RSN3" s="784"/>
      <c r="RSO3" s="784"/>
      <c r="RSP3" s="784"/>
      <c r="RSQ3" s="784"/>
      <c r="RSR3" s="784"/>
      <c r="RSS3" s="784"/>
      <c r="RST3" s="784"/>
      <c r="RSU3" s="784"/>
      <c r="RSV3" s="784"/>
      <c r="RSW3" s="784"/>
      <c r="RSX3" s="785"/>
      <c r="RSY3" s="786"/>
      <c r="RSZ3" s="784"/>
      <c r="RTA3" s="784"/>
      <c r="RTB3" s="784"/>
      <c r="RTC3" s="784"/>
      <c r="RTD3" s="784"/>
      <c r="RTE3" s="784"/>
      <c r="RTF3" s="784"/>
      <c r="RTG3" s="784"/>
      <c r="RTH3" s="784"/>
      <c r="RTI3" s="784"/>
      <c r="RTJ3" s="784"/>
      <c r="RTK3" s="784"/>
      <c r="RTL3" s="784"/>
      <c r="RTM3" s="785"/>
      <c r="RTN3" s="786"/>
      <c r="RTO3" s="784"/>
      <c r="RTP3" s="784"/>
      <c r="RTQ3" s="784"/>
      <c r="RTR3" s="784"/>
      <c r="RTS3" s="784"/>
      <c r="RTT3" s="784"/>
      <c r="RTU3" s="784"/>
      <c r="RTV3" s="784"/>
      <c r="RTW3" s="784"/>
      <c r="RTX3" s="784"/>
      <c r="RTY3" s="784"/>
      <c r="RTZ3" s="784"/>
      <c r="RUA3" s="784"/>
      <c r="RUB3" s="785"/>
      <c r="RUC3" s="786"/>
      <c r="RUD3" s="784"/>
      <c r="RUE3" s="784"/>
      <c r="RUF3" s="784"/>
      <c r="RUG3" s="784"/>
      <c r="RUH3" s="784"/>
      <c r="RUI3" s="784"/>
      <c r="RUJ3" s="784"/>
      <c r="RUK3" s="784"/>
      <c r="RUL3" s="784"/>
      <c r="RUM3" s="784"/>
      <c r="RUN3" s="784"/>
      <c r="RUO3" s="784"/>
      <c r="RUP3" s="784"/>
      <c r="RUQ3" s="785"/>
      <c r="RUR3" s="786"/>
      <c r="RUS3" s="784"/>
      <c r="RUT3" s="784"/>
      <c r="RUU3" s="784"/>
      <c r="RUV3" s="784"/>
      <c r="RUW3" s="784"/>
      <c r="RUX3" s="784"/>
      <c r="RUY3" s="784"/>
      <c r="RUZ3" s="784"/>
      <c r="RVA3" s="784"/>
      <c r="RVB3" s="784"/>
      <c r="RVC3" s="784"/>
      <c r="RVD3" s="784"/>
      <c r="RVE3" s="784"/>
      <c r="RVF3" s="785"/>
      <c r="RVG3" s="786"/>
      <c r="RVH3" s="784"/>
      <c r="RVI3" s="784"/>
      <c r="RVJ3" s="784"/>
      <c r="RVK3" s="784"/>
      <c r="RVL3" s="784"/>
      <c r="RVM3" s="784"/>
      <c r="RVN3" s="784"/>
      <c r="RVO3" s="784"/>
      <c r="RVP3" s="784"/>
      <c r="RVQ3" s="784"/>
      <c r="RVR3" s="784"/>
      <c r="RVS3" s="784"/>
      <c r="RVT3" s="784"/>
      <c r="RVU3" s="785"/>
      <c r="RVV3" s="786"/>
      <c r="RVW3" s="784"/>
      <c r="RVX3" s="784"/>
      <c r="RVY3" s="784"/>
      <c r="RVZ3" s="784"/>
      <c r="RWA3" s="784"/>
      <c r="RWB3" s="784"/>
      <c r="RWC3" s="784"/>
      <c r="RWD3" s="784"/>
      <c r="RWE3" s="784"/>
      <c r="RWF3" s="784"/>
      <c r="RWG3" s="784"/>
      <c r="RWH3" s="784"/>
      <c r="RWI3" s="784"/>
      <c r="RWJ3" s="785"/>
      <c r="RWK3" s="786"/>
      <c r="RWL3" s="784"/>
      <c r="RWM3" s="784"/>
      <c r="RWN3" s="784"/>
      <c r="RWO3" s="784"/>
      <c r="RWP3" s="784"/>
      <c r="RWQ3" s="784"/>
      <c r="RWR3" s="784"/>
      <c r="RWS3" s="784"/>
      <c r="RWT3" s="784"/>
      <c r="RWU3" s="784"/>
      <c r="RWV3" s="784"/>
      <c r="RWW3" s="784"/>
      <c r="RWX3" s="784"/>
      <c r="RWY3" s="785"/>
      <c r="RWZ3" s="786"/>
      <c r="RXA3" s="784"/>
      <c r="RXB3" s="784"/>
      <c r="RXC3" s="784"/>
      <c r="RXD3" s="784"/>
      <c r="RXE3" s="784"/>
      <c r="RXF3" s="784"/>
      <c r="RXG3" s="784"/>
      <c r="RXH3" s="784"/>
      <c r="RXI3" s="784"/>
      <c r="RXJ3" s="784"/>
      <c r="RXK3" s="784"/>
      <c r="RXL3" s="784"/>
      <c r="RXM3" s="784"/>
      <c r="RXN3" s="785"/>
      <c r="RXO3" s="786"/>
      <c r="RXP3" s="784"/>
      <c r="RXQ3" s="784"/>
      <c r="RXR3" s="784"/>
      <c r="RXS3" s="784"/>
      <c r="RXT3" s="784"/>
      <c r="RXU3" s="784"/>
      <c r="RXV3" s="784"/>
      <c r="RXW3" s="784"/>
      <c r="RXX3" s="784"/>
      <c r="RXY3" s="784"/>
      <c r="RXZ3" s="784"/>
      <c r="RYA3" s="784"/>
      <c r="RYB3" s="784"/>
      <c r="RYC3" s="785"/>
      <c r="RYD3" s="786"/>
      <c r="RYE3" s="784"/>
      <c r="RYF3" s="784"/>
      <c r="RYG3" s="784"/>
      <c r="RYH3" s="784"/>
      <c r="RYI3" s="784"/>
      <c r="RYJ3" s="784"/>
      <c r="RYK3" s="784"/>
      <c r="RYL3" s="784"/>
      <c r="RYM3" s="784"/>
      <c r="RYN3" s="784"/>
      <c r="RYO3" s="784"/>
      <c r="RYP3" s="784"/>
      <c r="RYQ3" s="784"/>
      <c r="RYR3" s="785"/>
      <c r="RYS3" s="786"/>
      <c r="RYT3" s="784"/>
      <c r="RYU3" s="784"/>
      <c r="RYV3" s="784"/>
      <c r="RYW3" s="784"/>
      <c r="RYX3" s="784"/>
      <c r="RYY3" s="784"/>
      <c r="RYZ3" s="784"/>
      <c r="RZA3" s="784"/>
      <c r="RZB3" s="784"/>
      <c r="RZC3" s="784"/>
      <c r="RZD3" s="784"/>
      <c r="RZE3" s="784"/>
      <c r="RZF3" s="784"/>
      <c r="RZG3" s="785"/>
      <c r="RZH3" s="786"/>
      <c r="RZI3" s="784"/>
      <c r="RZJ3" s="784"/>
      <c r="RZK3" s="784"/>
      <c r="RZL3" s="784"/>
      <c r="RZM3" s="784"/>
      <c r="RZN3" s="784"/>
      <c r="RZO3" s="784"/>
      <c r="RZP3" s="784"/>
      <c r="RZQ3" s="784"/>
      <c r="RZR3" s="784"/>
      <c r="RZS3" s="784"/>
      <c r="RZT3" s="784"/>
      <c r="RZU3" s="784"/>
      <c r="RZV3" s="785"/>
      <c r="RZW3" s="786"/>
      <c r="RZX3" s="784"/>
      <c r="RZY3" s="784"/>
      <c r="RZZ3" s="784"/>
      <c r="SAA3" s="784"/>
      <c r="SAB3" s="784"/>
      <c r="SAC3" s="784"/>
      <c r="SAD3" s="784"/>
      <c r="SAE3" s="784"/>
      <c r="SAF3" s="784"/>
      <c r="SAG3" s="784"/>
      <c r="SAH3" s="784"/>
      <c r="SAI3" s="784"/>
      <c r="SAJ3" s="784"/>
      <c r="SAK3" s="785"/>
      <c r="SAL3" s="786"/>
      <c r="SAM3" s="784"/>
      <c r="SAN3" s="784"/>
      <c r="SAO3" s="784"/>
      <c r="SAP3" s="784"/>
      <c r="SAQ3" s="784"/>
      <c r="SAR3" s="784"/>
      <c r="SAS3" s="784"/>
      <c r="SAT3" s="784"/>
      <c r="SAU3" s="784"/>
      <c r="SAV3" s="784"/>
      <c r="SAW3" s="784"/>
      <c r="SAX3" s="784"/>
      <c r="SAY3" s="784"/>
      <c r="SAZ3" s="785"/>
      <c r="SBA3" s="786"/>
      <c r="SBB3" s="784"/>
      <c r="SBC3" s="784"/>
      <c r="SBD3" s="784"/>
      <c r="SBE3" s="784"/>
      <c r="SBF3" s="784"/>
      <c r="SBG3" s="784"/>
      <c r="SBH3" s="784"/>
      <c r="SBI3" s="784"/>
      <c r="SBJ3" s="784"/>
      <c r="SBK3" s="784"/>
      <c r="SBL3" s="784"/>
      <c r="SBM3" s="784"/>
      <c r="SBN3" s="784"/>
      <c r="SBO3" s="785"/>
      <c r="SBP3" s="786"/>
      <c r="SBQ3" s="784"/>
      <c r="SBR3" s="784"/>
      <c r="SBS3" s="784"/>
      <c r="SBT3" s="784"/>
      <c r="SBU3" s="784"/>
      <c r="SBV3" s="784"/>
      <c r="SBW3" s="784"/>
      <c r="SBX3" s="784"/>
      <c r="SBY3" s="784"/>
      <c r="SBZ3" s="784"/>
      <c r="SCA3" s="784"/>
      <c r="SCB3" s="784"/>
      <c r="SCC3" s="784"/>
      <c r="SCD3" s="785"/>
      <c r="SCE3" s="786"/>
      <c r="SCF3" s="784"/>
      <c r="SCG3" s="784"/>
      <c r="SCH3" s="784"/>
      <c r="SCI3" s="784"/>
      <c r="SCJ3" s="784"/>
      <c r="SCK3" s="784"/>
      <c r="SCL3" s="784"/>
      <c r="SCM3" s="784"/>
      <c r="SCN3" s="784"/>
      <c r="SCO3" s="784"/>
      <c r="SCP3" s="784"/>
      <c r="SCQ3" s="784"/>
      <c r="SCR3" s="784"/>
      <c r="SCS3" s="785"/>
      <c r="SCT3" s="786"/>
      <c r="SCU3" s="784"/>
      <c r="SCV3" s="784"/>
      <c r="SCW3" s="784"/>
      <c r="SCX3" s="784"/>
      <c r="SCY3" s="784"/>
      <c r="SCZ3" s="784"/>
      <c r="SDA3" s="784"/>
      <c r="SDB3" s="784"/>
      <c r="SDC3" s="784"/>
      <c r="SDD3" s="784"/>
      <c r="SDE3" s="784"/>
      <c r="SDF3" s="784"/>
      <c r="SDG3" s="784"/>
      <c r="SDH3" s="785"/>
      <c r="SDI3" s="786"/>
      <c r="SDJ3" s="784"/>
      <c r="SDK3" s="784"/>
      <c r="SDL3" s="784"/>
      <c r="SDM3" s="784"/>
      <c r="SDN3" s="784"/>
      <c r="SDO3" s="784"/>
      <c r="SDP3" s="784"/>
      <c r="SDQ3" s="784"/>
      <c r="SDR3" s="784"/>
      <c r="SDS3" s="784"/>
      <c r="SDT3" s="784"/>
      <c r="SDU3" s="784"/>
      <c r="SDV3" s="784"/>
      <c r="SDW3" s="785"/>
      <c r="SDX3" s="786"/>
      <c r="SDY3" s="784"/>
      <c r="SDZ3" s="784"/>
      <c r="SEA3" s="784"/>
      <c r="SEB3" s="784"/>
      <c r="SEC3" s="784"/>
      <c r="SED3" s="784"/>
      <c r="SEE3" s="784"/>
      <c r="SEF3" s="784"/>
      <c r="SEG3" s="784"/>
      <c r="SEH3" s="784"/>
      <c r="SEI3" s="784"/>
      <c r="SEJ3" s="784"/>
      <c r="SEK3" s="784"/>
      <c r="SEL3" s="785"/>
      <c r="SEM3" s="786"/>
      <c r="SEN3" s="784"/>
      <c r="SEO3" s="784"/>
      <c r="SEP3" s="784"/>
      <c r="SEQ3" s="784"/>
      <c r="SER3" s="784"/>
      <c r="SES3" s="784"/>
      <c r="SET3" s="784"/>
      <c r="SEU3" s="784"/>
      <c r="SEV3" s="784"/>
      <c r="SEW3" s="784"/>
      <c r="SEX3" s="784"/>
      <c r="SEY3" s="784"/>
      <c r="SEZ3" s="784"/>
      <c r="SFA3" s="785"/>
      <c r="SFB3" s="786"/>
      <c r="SFC3" s="784"/>
      <c r="SFD3" s="784"/>
      <c r="SFE3" s="784"/>
      <c r="SFF3" s="784"/>
      <c r="SFG3" s="784"/>
      <c r="SFH3" s="784"/>
      <c r="SFI3" s="784"/>
      <c r="SFJ3" s="784"/>
      <c r="SFK3" s="784"/>
      <c r="SFL3" s="784"/>
      <c r="SFM3" s="784"/>
      <c r="SFN3" s="784"/>
      <c r="SFO3" s="784"/>
      <c r="SFP3" s="785"/>
      <c r="SFQ3" s="786"/>
      <c r="SFR3" s="784"/>
      <c r="SFS3" s="784"/>
      <c r="SFT3" s="784"/>
      <c r="SFU3" s="784"/>
      <c r="SFV3" s="784"/>
      <c r="SFW3" s="784"/>
      <c r="SFX3" s="784"/>
      <c r="SFY3" s="784"/>
      <c r="SFZ3" s="784"/>
      <c r="SGA3" s="784"/>
      <c r="SGB3" s="784"/>
      <c r="SGC3" s="784"/>
      <c r="SGD3" s="784"/>
      <c r="SGE3" s="785"/>
      <c r="SGF3" s="786"/>
      <c r="SGG3" s="784"/>
      <c r="SGH3" s="784"/>
      <c r="SGI3" s="784"/>
      <c r="SGJ3" s="784"/>
      <c r="SGK3" s="784"/>
      <c r="SGL3" s="784"/>
      <c r="SGM3" s="784"/>
      <c r="SGN3" s="784"/>
      <c r="SGO3" s="784"/>
      <c r="SGP3" s="784"/>
      <c r="SGQ3" s="784"/>
      <c r="SGR3" s="784"/>
      <c r="SGS3" s="784"/>
      <c r="SGT3" s="785"/>
      <c r="SGU3" s="786"/>
      <c r="SGV3" s="784"/>
      <c r="SGW3" s="784"/>
      <c r="SGX3" s="784"/>
      <c r="SGY3" s="784"/>
      <c r="SGZ3" s="784"/>
      <c r="SHA3" s="784"/>
      <c r="SHB3" s="784"/>
      <c r="SHC3" s="784"/>
      <c r="SHD3" s="784"/>
      <c r="SHE3" s="784"/>
      <c r="SHF3" s="784"/>
      <c r="SHG3" s="784"/>
      <c r="SHH3" s="784"/>
      <c r="SHI3" s="785"/>
      <c r="SHJ3" s="786"/>
      <c r="SHK3" s="784"/>
      <c r="SHL3" s="784"/>
      <c r="SHM3" s="784"/>
      <c r="SHN3" s="784"/>
      <c r="SHO3" s="784"/>
      <c r="SHP3" s="784"/>
      <c r="SHQ3" s="784"/>
      <c r="SHR3" s="784"/>
      <c r="SHS3" s="784"/>
      <c r="SHT3" s="784"/>
      <c r="SHU3" s="784"/>
      <c r="SHV3" s="784"/>
      <c r="SHW3" s="784"/>
      <c r="SHX3" s="785"/>
      <c r="SHY3" s="786"/>
      <c r="SHZ3" s="784"/>
      <c r="SIA3" s="784"/>
      <c r="SIB3" s="784"/>
      <c r="SIC3" s="784"/>
      <c r="SID3" s="784"/>
      <c r="SIE3" s="784"/>
      <c r="SIF3" s="784"/>
      <c r="SIG3" s="784"/>
      <c r="SIH3" s="784"/>
      <c r="SII3" s="784"/>
      <c r="SIJ3" s="784"/>
      <c r="SIK3" s="784"/>
      <c r="SIL3" s="784"/>
      <c r="SIM3" s="785"/>
      <c r="SIN3" s="786"/>
      <c r="SIO3" s="784"/>
      <c r="SIP3" s="784"/>
      <c r="SIQ3" s="784"/>
      <c r="SIR3" s="784"/>
      <c r="SIS3" s="784"/>
      <c r="SIT3" s="784"/>
      <c r="SIU3" s="784"/>
      <c r="SIV3" s="784"/>
      <c r="SIW3" s="784"/>
      <c r="SIX3" s="784"/>
      <c r="SIY3" s="784"/>
      <c r="SIZ3" s="784"/>
      <c r="SJA3" s="784"/>
      <c r="SJB3" s="785"/>
      <c r="SJC3" s="786"/>
      <c r="SJD3" s="784"/>
      <c r="SJE3" s="784"/>
      <c r="SJF3" s="784"/>
      <c r="SJG3" s="784"/>
      <c r="SJH3" s="784"/>
      <c r="SJI3" s="784"/>
      <c r="SJJ3" s="784"/>
      <c r="SJK3" s="784"/>
      <c r="SJL3" s="784"/>
      <c r="SJM3" s="784"/>
      <c r="SJN3" s="784"/>
      <c r="SJO3" s="784"/>
      <c r="SJP3" s="784"/>
      <c r="SJQ3" s="785"/>
      <c r="SJR3" s="786"/>
      <c r="SJS3" s="784"/>
      <c r="SJT3" s="784"/>
      <c r="SJU3" s="784"/>
      <c r="SJV3" s="784"/>
      <c r="SJW3" s="784"/>
      <c r="SJX3" s="784"/>
      <c r="SJY3" s="784"/>
      <c r="SJZ3" s="784"/>
      <c r="SKA3" s="784"/>
      <c r="SKB3" s="784"/>
      <c r="SKC3" s="784"/>
      <c r="SKD3" s="784"/>
      <c r="SKE3" s="784"/>
      <c r="SKF3" s="785"/>
      <c r="SKG3" s="786"/>
      <c r="SKH3" s="784"/>
      <c r="SKI3" s="784"/>
      <c r="SKJ3" s="784"/>
      <c r="SKK3" s="784"/>
      <c r="SKL3" s="784"/>
      <c r="SKM3" s="784"/>
      <c r="SKN3" s="784"/>
      <c r="SKO3" s="784"/>
      <c r="SKP3" s="784"/>
      <c r="SKQ3" s="784"/>
      <c r="SKR3" s="784"/>
      <c r="SKS3" s="784"/>
      <c r="SKT3" s="784"/>
      <c r="SKU3" s="785"/>
      <c r="SKV3" s="786"/>
      <c r="SKW3" s="784"/>
      <c r="SKX3" s="784"/>
      <c r="SKY3" s="784"/>
      <c r="SKZ3" s="784"/>
      <c r="SLA3" s="784"/>
      <c r="SLB3" s="784"/>
      <c r="SLC3" s="784"/>
      <c r="SLD3" s="784"/>
      <c r="SLE3" s="784"/>
      <c r="SLF3" s="784"/>
      <c r="SLG3" s="784"/>
      <c r="SLH3" s="784"/>
      <c r="SLI3" s="784"/>
      <c r="SLJ3" s="785"/>
      <c r="SLK3" s="786"/>
      <c r="SLL3" s="784"/>
      <c r="SLM3" s="784"/>
      <c r="SLN3" s="784"/>
      <c r="SLO3" s="784"/>
      <c r="SLP3" s="784"/>
      <c r="SLQ3" s="784"/>
      <c r="SLR3" s="784"/>
      <c r="SLS3" s="784"/>
      <c r="SLT3" s="784"/>
      <c r="SLU3" s="784"/>
      <c r="SLV3" s="784"/>
      <c r="SLW3" s="784"/>
      <c r="SLX3" s="784"/>
      <c r="SLY3" s="785"/>
      <c r="SLZ3" s="786"/>
      <c r="SMA3" s="784"/>
      <c r="SMB3" s="784"/>
      <c r="SMC3" s="784"/>
      <c r="SMD3" s="784"/>
      <c r="SME3" s="784"/>
      <c r="SMF3" s="784"/>
      <c r="SMG3" s="784"/>
      <c r="SMH3" s="784"/>
      <c r="SMI3" s="784"/>
      <c r="SMJ3" s="784"/>
      <c r="SMK3" s="784"/>
      <c r="SML3" s="784"/>
      <c r="SMM3" s="784"/>
      <c r="SMN3" s="785"/>
      <c r="SMO3" s="786"/>
      <c r="SMP3" s="784"/>
      <c r="SMQ3" s="784"/>
      <c r="SMR3" s="784"/>
      <c r="SMS3" s="784"/>
      <c r="SMT3" s="784"/>
      <c r="SMU3" s="784"/>
      <c r="SMV3" s="784"/>
      <c r="SMW3" s="784"/>
      <c r="SMX3" s="784"/>
      <c r="SMY3" s="784"/>
      <c r="SMZ3" s="784"/>
      <c r="SNA3" s="784"/>
      <c r="SNB3" s="784"/>
      <c r="SNC3" s="785"/>
      <c r="SND3" s="786"/>
      <c r="SNE3" s="784"/>
      <c r="SNF3" s="784"/>
      <c r="SNG3" s="784"/>
      <c r="SNH3" s="784"/>
      <c r="SNI3" s="784"/>
      <c r="SNJ3" s="784"/>
      <c r="SNK3" s="784"/>
      <c r="SNL3" s="784"/>
      <c r="SNM3" s="784"/>
      <c r="SNN3" s="784"/>
      <c r="SNO3" s="784"/>
      <c r="SNP3" s="784"/>
      <c r="SNQ3" s="784"/>
      <c r="SNR3" s="785"/>
      <c r="SNS3" s="786"/>
      <c r="SNT3" s="784"/>
      <c r="SNU3" s="784"/>
      <c r="SNV3" s="784"/>
      <c r="SNW3" s="784"/>
      <c r="SNX3" s="784"/>
      <c r="SNY3" s="784"/>
      <c r="SNZ3" s="784"/>
      <c r="SOA3" s="784"/>
      <c r="SOB3" s="784"/>
      <c r="SOC3" s="784"/>
      <c r="SOD3" s="784"/>
      <c r="SOE3" s="784"/>
      <c r="SOF3" s="784"/>
      <c r="SOG3" s="785"/>
      <c r="SOH3" s="786"/>
      <c r="SOI3" s="784"/>
      <c r="SOJ3" s="784"/>
      <c r="SOK3" s="784"/>
      <c r="SOL3" s="784"/>
      <c r="SOM3" s="784"/>
      <c r="SON3" s="784"/>
      <c r="SOO3" s="784"/>
      <c r="SOP3" s="784"/>
      <c r="SOQ3" s="784"/>
      <c r="SOR3" s="784"/>
      <c r="SOS3" s="784"/>
      <c r="SOT3" s="784"/>
      <c r="SOU3" s="784"/>
      <c r="SOV3" s="785"/>
      <c r="SOW3" s="786"/>
      <c r="SOX3" s="784"/>
      <c r="SOY3" s="784"/>
      <c r="SOZ3" s="784"/>
      <c r="SPA3" s="784"/>
      <c r="SPB3" s="784"/>
      <c r="SPC3" s="784"/>
      <c r="SPD3" s="784"/>
      <c r="SPE3" s="784"/>
      <c r="SPF3" s="784"/>
      <c r="SPG3" s="784"/>
      <c r="SPH3" s="784"/>
      <c r="SPI3" s="784"/>
      <c r="SPJ3" s="784"/>
      <c r="SPK3" s="785"/>
      <c r="SPL3" s="786"/>
      <c r="SPM3" s="784"/>
      <c r="SPN3" s="784"/>
      <c r="SPO3" s="784"/>
      <c r="SPP3" s="784"/>
      <c r="SPQ3" s="784"/>
      <c r="SPR3" s="784"/>
      <c r="SPS3" s="784"/>
      <c r="SPT3" s="784"/>
      <c r="SPU3" s="784"/>
      <c r="SPV3" s="784"/>
      <c r="SPW3" s="784"/>
      <c r="SPX3" s="784"/>
      <c r="SPY3" s="784"/>
      <c r="SPZ3" s="785"/>
      <c r="SQA3" s="786"/>
      <c r="SQB3" s="784"/>
      <c r="SQC3" s="784"/>
      <c r="SQD3" s="784"/>
      <c r="SQE3" s="784"/>
      <c r="SQF3" s="784"/>
      <c r="SQG3" s="784"/>
      <c r="SQH3" s="784"/>
      <c r="SQI3" s="784"/>
      <c r="SQJ3" s="784"/>
      <c r="SQK3" s="784"/>
      <c r="SQL3" s="784"/>
      <c r="SQM3" s="784"/>
      <c r="SQN3" s="784"/>
      <c r="SQO3" s="785"/>
      <c r="SQP3" s="786"/>
      <c r="SQQ3" s="784"/>
      <c r="SQR3" s="784"/>
      <c r="SQS3" s="784"/>
      <c r="SQT3" s="784"/>
      <c r="SQU3" s="784"/>
      <c r="SQV3" s="784"/>
      <c r="SQW3" s="784"/>
      <c r="SQX3" s="784"/>
      <c r="SQY3" s="784"/>
      <c r="SQZ3" s="784"/>
      <c r="SRA3" s="784"/>
      <c r="SRB3" s="784"/>
      <c r="SRC3" s="784"/>
      <c r="SRD3" s="785"/>
      <c r="SRE3" s="786"/>
      <c r="SRF3" s="784"/>
      <c r="SRG3" s="784"/>
      <c r="SRH3" s="784"/>
      <c r="SRI3" s="784"/>
      <c r="SRJ3" s="784"/>
      <c r="SRK3" s="784"/>
      <c r="SRL3" s="784"/>
      <c r="SRM3" s="784"/>
      <c r="SRN3" s="784"/>
      <c r="SRO3" s="784"/>
      <c r="SRP3" s="784"/>
      <c r="SRQ3" s="784"/>
      <c r="SRR3" s="784"/>
      <c r="SRS3" s="785"/>
      <c r="SRT3" s="786"/>
      <c r="SRU3" s="784"/>
      <c r="SRV3" s="784"/>
      <c r="SRW3" s="784"/>
      <c r="SRX3" s="784"/>
      <c r="SRY3" s="784"/>
      <c r="SRZ3" s="784"/>
      <c r="SSA3" s="784"/>
      <c r="SSB3" s="784"/>
      <c r="SSC3" s="784"/>
      <c r="SSD3" s="784"/>
      <c r="SSE3" s="784"/>
      <c r="SSF3" s="784"/>
      <c r="SSG3" s="784"/>
      <c r="SSH3" s="785"/>
      <c r="SSI3" s="786"/>
      <c r="SSJ3" s="784"/>
      <c r="SSK3" s="784"/>
      <c r="SSL3" s="784"/>
      <c r="SSM3" s="784"/>
      <c r="SSN3" s="784"/>
      <c r="SSO3" s="784"/>
      <c r="SSP3" s="784"/>
      <c r="SSQ3" s="784"/>
      <c r="SSR3" s="784"/>
      <c r="SSS3" s="784"/>
      <c r="SST3" s="784"/>
      <c r="SSU3" s="784"/>
      <c r="SSV3" s="784"/>
      <c r="SSW3" s="785"/>
      <c r="SSX3" s="786"/>
      <c r="SSY3" s="784"/>
      <c r="SSZ3" s="784"/>
      <c r="STA3" s="784"/>
      <c r="STB3" s="784"/>
      <c r="STC3" s="784"/>
      <c r="STD3" s="784"/>
      <c r="STE3" s="784"/>
      <c r="STF3" s="784"/>
      <c r="STG3" s="784"/>
      <c r="STH3" s="784"/>
      <c r="STI3" s="784"/>
      <c r="STJ3" s="784"/>
      <c r="STK3" s="784"/>
      <c r="STL3" s="785"/>
      <c r="STM3" s="786"/>
      <c r="STN3" s="784"/>
      <c r="STO3" s="784"/>
      <c r="STP3" s="784"/>
      <c r="STQ3" s="784"/>
      <c r="STR3" s="784"/>
      <c r="STS3" s="784"/>
      <c r="STT3" s="784"/>
      <c r="STU3" s="784"/>
      <c r="STV3" s="784"/>
      <c r="STW3" s="784"/>
      <c r="STX3" s="784"/>
      <c r="STY3" s="784"/>
      <c r="STZ3" s="784"/>
      <c r="SUA3" s="785"/>
      <c r="SUB3" s="786"/>
      <c r="SUC3" s="784"/>
      <c r="SUD3" s="784"/>
      <c r="SUE3" s="784"/>
      <c r="SUF3" s="784"/>
      <c r="SUG3" s="784"/>
      <c r="SUH3" s="784"/>
      <c r="SUI3" s="784"/>
      <c r="SUJ3" s="784"/>
      <c r="SUK3" s="784"/>
      <c r="SUL3" s="784"/>
      <c r="SUM3" s="784"/>
      <c r="SUN3" s="784"/>
      <c r="SUO3" s="784"/>
      <c r="SUP3" s="785"/>
      <c r="SUQ3" s="786"/>
      <c r="SUR3" s="784"/>
      <c r="SUS3" s="784"/>
      <c r="SUT3" s="784"/>
      <c r="SUU3" s="784"/>
      <c r="SUV3" s="784"/>
      <c r="SUW3" s="784"/>
      <c r="SUX3" s="784"/>
      <c r="SUY3" s="784"/>
      <c r="SUZ3" s="784"/>
      <c r="SVA3" s="784"/>
      <c r="SVB3" s="784"/>
      <c r="SVC3" s="784"/>
      <c r="SVD3" s="784"/>
      <c r="SVE3" s="785"/>
      <c r="SVF3" s="786"/>
      <c r="SVG3" s="784"/>
      <c r="SVH3" s="784"/>
      <c r="SVI3" s="784"/>
      <c r="SVJ3" s="784"/>
      <c r="SVK3" s="784"/>
      <c r="SVL3" s="784"/>
      <c r="SVM3" s="784"/>
      <c r="SVN3" s="784"/>
      <c r="SVO3" s="784"/>
      <c r="SVP3" s="784"/>
      <c r="SVQ3" s="784"/>
      <c r="SVR3" s="784"/>
      <c r="SVS3" s="784"/>
      <c r="SVT3" s="785"/>
      <c r="SVU3" s="786"/>
      <c r="SVV3" s="784"/>
      <c r="SVW3" s="784"/>
      <c r="SVX3" s="784"/>
      <c r="SVY3" s="784"/>
      <c r="SVZ3" s="784"/>
      <c r="SWA3" s="784"/>
      <c r="SWB3" s="784"/>
      <c r="SWC3" s="784"/>
      <c r="SWD3" s="784"/>
      <c r="SWE3" s="784"/>
      <c r="SWF3" s="784"/>
      <c r="SWG3" s="784"/>
      <c r="SWH3" s="784"/>
      <c r="SWI3" s="785"/>
      <c r="SWJ3" s="786"/>
      <c r="SWK3" s="784"/>
      <c r="SWL3" s="784"/>
      <c r="SWM3" s="784"/>
      <c r="SWN3" s="784"/>
      <c r="SWO3" s="784"/>
      <c r="SWP3" s="784"/>
      <c r="SWQ3" s="784"/>
      <c r="SWR3" s="784"/>
      <c r="SWS3" s="784"/>
      <c r="SWT3" s="784"/>
      <c r="SWU3" s="784"/>
      <c r="SWV3" s="784"/>
      <c r="SWW3" s="784"/>
      <c r="SWX3" s="785"/>
      <c r="SWY3" s="786"/>
      <c r="SWZ3" s="784"/>
      <c r="SXA3" s="784"/>
      <c r="SXB3" s="784"/>
      <c r="SXC3" s="784"/>
      <c r="SXD3" s="784"/>
      <c r="SXE3" s="784"/>
      <c r="SXF3" s="784"/>
      <c r="SXG3" s="784"/>
      <c r="SXH3" s="784"/>
      <c r="SXI3" s="784"/>
      <c r="SXJ3" s="784"/>
      <c r="SXK3" s="784"/>
      <c r="SXL3" s="784"/>
      <c r="SXM3" s="785"/>
      <c r="SXN3" s="786"/>
      <c r="SXO3" s="784"/>
      <c r="SXP3" s="784"/>
      <c r="SXQ3" s="784"/>
      <c r="SXR3" s="784"/>
      <c r="SXS3" s="784"/>
      <c r="SXT3" s="784"/>
      <c r="SXU3" s="784"/>
      <c r="SXV3" s="784"/>
      <c r="SXW3" s="784"/>
      <c r="SXX3" s="784"/>
      <c r="SXY3" s="784"/>
      <c r="SXZ3" s="784"/>
      <c r="SYA3" s="784"/>
      <c r="SYB3" s="785"/>
      <c r="SYC3" s="786"/>
      <c r="SYD3" s="784"/>
      <c r="SYE3" s="784"/>
      <c r="SYF3" s="784"/>
      <c r="SYG3" s="784"/>
      <c r="SYH3" s="784"/>
      <c r="SYI3" s="784"/>
      <c r="SYJ3" s="784"/>
      <c r="SYK3" s="784"/>
      <c r="SYL3" s="784"/>
      <c r="SYM3" s="784"/>
      <c r="SYN3" s="784"/>
      <c r="SYO3" s="784"/>
      <c r="SYP3" s="784"/>
      <c r="SYQ3" s="785"/>
      <c r="SYR3" s="786"/>
      <c r="SYS3" s="784"/>
      <c r="SYT3" s="784"/>
      <c r="SYU3" s="784"/>
      <c r="SYV3" s="784"/>
      <c r="SYW3" s="784"/>
      <c r="SYX3" s="784"/>
      <c r="SYY3" s="784"/>
      <c r="SYZ3" s="784"/>
      <c r="SZA3" s="784"/>
      <c r="SZB3" s="784"/>
      <c r="SZC3" s="784"/>
      <c r="SZD3" s="784"/>
      <c r="SZE3" s="784"/>
      <c r="SZF3" s="785"/>
      <c r="SZG3" s="786"/>
      <c r="SZH3" s="784"/>
      <c r="SZI3" s="784"/>
      <c r="SZJ3" s="784"/>
      <c r="SZK3" s="784"/>
      <c r="SZL3" s="784"/>
      <c r="SZM3" s="784"/>
      <c r="SZN3" s="784"/>
      <c r="SZO3" s="784"/>
      <c r="SZP3" s="784"/>
      <c r="SZQ3" s="784"/>
      <c r="SZR3" s="784"/>
      <c r="SZS3" s="784"/>
      <c r="SZT3" s="784"/>
      <c r="SZU3" s="785"/>
      <c r="SZV3" s="786"/>
      <c r="SZW3" s="784"/>
      <c r="SZX3" s="784"/>
      <c r="SZY3" s="784"/>
      <c r="SZZ3" s="784"/>
      <c r="TAA3" s="784"/>
      <c r="TAB3" s="784"/>
      <c r="TAC3" s="784"/>
      <c r="TAD3" s="784"/>
      <c r="TAE3" s="784"/>
      <c r="TAF3" s="784"/>
      <c r="TAG3" s="784"/>
      <c r="TAH3" s="784"/>
      <c r="TAI3" s="784"/>
      <c r="TAJ3" s="785"/>
      <c r="TAK3" s="786"/>
      <c r="TAL3" s="784"/>
      <c r="TAM3" s="784"/>
      <c r="TAN3" s="784"/>
      <c r="TAO3" s="784"/>
      <c r="TAP3" s="784"/>
      <c r="TAQ3" s="784"/>
      <c r="TAR3" s="784"/>
      <c r="TAS3" s="784"/>
      <c r="TAT3" s="784"/>
      <c r="TAU3" s="784"/>
      <c r="TAV3" s="784"/>
      <c r="TAW3" s="784"/>
      <c r="TAX3" s="784"/>
      <c r="TAY3" s="785"/>
      <c r="TAZ3" s="786"/>
      <c r="TBA3" s="784"/>
      <c r="TBB3" s="784"/>
      <c r="TBC3" s="784"/>
      <c r="TBD3" s="784"/>
      <c r="TBE3" s="784"/>
      <c r="TBF3" s="784"/>
      <c r="TBG3" s="784"/>
      <c r="TBH3" s="784"/>
      <c r="TBI3" s="784"/>
      <c r="TBJ3" s="784"/>
      <c r="TBK3" s="784"/>
      <c r="TBL3" s="784"/>
      <c r="TBM3" s="784"/>
      <c r="TBN3" s="785"/>
      <c r="TBO3" s="786"/>
      <c r="TBP3" s="784"/>
      <c r="TBQ3" s="784"/>
      <c r="TBR3" s="784"/>
      <c r="TBS3" s="784"/>
      <c r="TBT3" s="784"/>
      <c r="TBU3" s="784"/>
      <c r="TBV3" s="784"/>
      <c r="TBW3" s="784"/>
      <c r="TBX3" s="784"/>
      <c r="TBY3" s="784"/>
      <c r="TBZ3" s="784"/>
      <c r="TCA3" s="784"/>
      <c r="TCB3" s="784"/>
      <c r="TCC3" s="785"/>
      <c r="TCD3" s="786"/>
      <c r="TCE3" s="784"/>
      <c r="TCF3" s="784"/>
      <c r="TCG3" s="784"/>
      <c r="TCH3" s="784"/>
      <c r="TCI3" s="784"/>
      <c r="TCJ3" s="784"/>
      <c r="TCK3" s="784"/>
      <c r="TCL3" s="784"/>
      <c r="TCM3" s="784"/>
      <c r="TCN3" s="784"/>
      <c r="TCO3" s="784"/>
      <c r="TCP3" s="784"/>
      <c r="TCQ3" s="784"/>
      <c r="TCR3" s="785"/>
      <c r="TCS3" s="786"/>
      <c r="TCT3" s="784"/>
      <c r="TCU3" s="784"/>
      <c r="TCV3" s="784"/>
      <c r="TCW3" s="784"/>
      <c r="TCX3" s="784"/>
      <c r="TCY3" s="784"/>
      <c r="TCZ3" s="784"/>
      <c r="TDA3" s="784"/>
      <c r="TDB3" s="784"/>
      <c r="TDC3" s="784"/>
      <c r="TDD3" s="784"/>
      <c r="TDE3" s="784"/>
      <c r="TDF3" s="784"/>
      <c r="TDG3" s="785"/>
      <c r="TDH3" s="786"/>
      <c r="TDI3" s="784"/>
      <c r="TDJ3" s="784"/>
      <c r="TDK3" s="784"/>
      <c r="TDL3" s="784"/>
      <c r="TDM3" s="784"/>
      <c r="TDN3" s="784"/>
      <c r="TDO3" s="784"/>
      <c r="TDP3" s="784"/>
      <c r="TDQ3" s="784"/>
      <c r="TDR3" s="784"/>
      <c r="TDS3" s="784"/>
      <c r="TDT3" s="784"/>
      <c r="TDU3" s="784"/>
      <c r="TDV3" s="785"/>
      <c r="TDW3" s="786"/>
      <c r="TDX3" s="784"/>
      <c r="TDY3" s="784"/>
      <c r="TDZ3" s="784"/>
      <c r="TEA3" s="784"/>
      <c r="TEB3" s="784"/>
      <c r="TEC3" s="784"/>
      <c r="TED3" s="784"/>
      <c r="TEE3" s="784"/>
      <c r="TEF3" s="784"/>
      <c r="TEG3" s="784"/>
      <c r="TEH3" s="784"/>
      <c r="TEI3" s="784"/>
      <c r="TEJ3" s="784"/>
      <c r="TEK3" s="785"/>
      <c r="TEL3" s="786"/>
      <c r="TEM3" s="784"/>
      <c r="TEN3" s="784"/>
      <c r="TEO3" s="784"/>
      <c r="TEP3" s="784"/>
      <c r="TEQ3" s="784"/>
      <c r="TER3" s="784"/>
      <c r="TES3" s="784"/>
      <c r="TET3" s="784"/>
      <c r="TEU3" s="784"/>
      <c r="TEV3" s="784"/>
      <c r="TEW3" s="784"/>
      <c r="TEX3" s="784"/>
      <c r="TEY3" s="784"/>
      <c r="TEZ3" s="785"/>
      <c r="TFA3" s="786"/>
      <c r="TFB3" s="784"/>
      <c r="TFC3" s="784"/>
      <c r="TFD3" s="784"/>
      <c r="TFE3" s="784"/>
      <c r="TFF3" s="784"/>
      <c r="TFG3" s="784"/>
      <c r="TFH3" s="784"/>
      <c r="TFI3" s="784"/>
      <c r="TFJ3" s="784"/>
      <c r="TFK3" s="784"/>
      <c r="TFL3" s="784"/>
      <c r="TFM3" s="784"/>
      <c r="TFN3" s="784"/>
      <c r="TFO3" s="785"/>
      <c r="TFP3" s="786"/>
      <c r="TFQ3" s="784"/>
      <c r="TFR3" s="784"/>
      <c r="TFS3" s="784"/>
      <c r="TFT3" s="784"/>
      <c r="TFU3" s="784"/>
      <c r="TFV3" s="784"/>
      <c r="TFW3" s="784"/>
      <c r="TFX3" s="784"/>
      <c r="TFY3" s="784"/>
      <c r="TFZ3" s="784"/>
      <c r="TGA3" s="784"/>
      <c r="TGB3" s="784"/>
      <c r="TGC3" s="784"/>
      <c r="TGD3" s="785"/>
      <c r="TGE3" s="786"/>
      <c r="TGF3" s="784"/>
      <c r="TGG3" s="784"/>
      <c r="TGH3" s="784"/>
      <c r="TGI3" s="784"/>
      <c r="TGJ3" s="784"/>
      <c r="TGK3" s="784"/>
      <c r="TGL3" s="784"/>
      <c r="TGM3" s="784"/>
      <c r="TGN3" s="784"/>
      <c r="TGO3" s="784"/>
      <c r="TGP3" s="784"/>
      <c r="TGQ3" s="784"/>
      <c r="TGR3" s="784"/>
      <c r="TGS3" s="785"/>
      <c r="TGT3" s="786"/>
      <c r="TGU3" s="784"/>
      <c r="TGV3" s="784"/>
      <c r="TGW3" s="784"/>
      <c r="TGX3" s="784"/>
      <c r="TGY3" s="784"/>
      <c r="TGZ3" s="784"/>
      <c r="THA3" s="784"/>
      <c r="THB3" s="784"/>
      <c r="THC3" s="784"/>
      <c r="THD3" s="784"/>
      <c r="THE3" s="784"/>
      <c r="THF3" s="784"/>
      <c r="THG3" s="784"/>
      <c r="THH3" s="785"/>
      <c r="THI3" s="786"/>
      <c r="THJ3" s="784"/>
      <c r="THK3" s="784"/>
      <c r="THL3" s="784"/>
      <c r="THM3" s="784"/>
      <c r="THN3" s="784"/>
      <c r="THO3" s="784"/>
      <c r="THP3" s="784"/>
      <c r="THQ3" s="784"/>
      <c r="THR3" s="784"/>
      <c r="THS3" s="784"/>
      <c r="THT3" s="784"/>
      <c r="THU3" s="784"/>
      <c r="THV3" s="784"/>
      <c r="THW3" s="785"/>
      <c r="THX3" s="786"/>
      <c r="THY3" s="784"/>
      <c r="THZ3" s="784"/>
      <c r="TIA3" s="784"/>
      <c r="TIB3" s="784"/>
      <c r="TIC3" s="784"/>
      <c r="TID3" s="784"/>
      <c r="TIE3" s="784"/>
      <c r="TIF3" s="784"/>
      <c r="TIG3" s="784"/>
      <c r="TIH3" s="784"/>
      <c r="TII3" s="784"/>
      <c r="TIJ3" s="784"/>
      <c r="TIK3" s="784"/>
      <c r="TIL3" s="785"/>
      <c r="TIM3" s="786"/>
      <c r="TIN3" s="784"/>
      <c r="TIO3" s="784"/>
      <c r="TIP3" s="784"/>
      <c r="TIQ3" s="784"/>
      <c r="TIR3" s="784"/>
      <c r="TIS3" s="784"/>
      <c r="TIT3" s="784"/>
      <c r="TIU3" s="784"/>
      <c r="TIV3" s="784"/>
      <c r="TIW3" s="784"/>
      <c r="TIX3" s="784"/>
      <c r="TIY3" s="784"/>
      <c r="TIZ3" s="784"/>
      <c r="TJA3" s="785"/>
      <c r="TJB3" s="786"/>
      <c r="TJC3" s="784"/>
      <c r="TJD3" s="784"/>
      <c r="TJE3" s="784"/>
      <c r="TJF3" s="784"/>
      <c r="TJG3" s="784"/>
      <c r="TJH3" s="784"/>
      <c r="TJI3" s="784"/>
      <c r="TJJ3" s="784"/>
      <c r="TJK3" s="784"/>
      <c r="TJL3" s="784"/>
      <c r="TJM3" s="784"/>
      <c r="TJN3" s="784"/>
      <c r="TJO3" s="784"/>
      <c r="TJP3" s="785"/>
      <c r="TJQ3" s="786"/>
      <c r="TJR3" s="784"/>
      <c r="TJS3" s="784"/>
      <c r="TJT3" s="784"/>
      <c r="TJU3" s="784"/>
      <c r="TJV3" s="784"/>
      <c r="TJW3" s="784"/>
      <c r="TJX3" s="784"/>
      <c r="TJY3" s="784"/>
      <c r="TJZ3" s="784"/>
      <c r="TKA3" s="784"/>
      <c r="TKB3" s="784"/>
      <c r="TKC3" s="784"/>
      <c r="TKD3" s="784"/>
      <c r="TKE3" s="785"/>
      <c r="TKF3" s="786"/>
      <c r="TKG3" s="784"/>
      <c r="TKH3" s="784"/>
      <c r="TKI3" s="784"/>
      <c r="TKJ3" s="784"/>
      <c r="TKK3" s="784"/>
      <c r="TKL3" s="784"/>
      <c r="TKM3" s="784"/>
      <c r="TKN3" s="784"/>
      <c r="TKO3" s="784"/>
      <c r="TKP3" s="784"/>
      <c r="TKQ3" s="784"/>
      <c r="TKR3" s="784"/>
      <c r="TKS3" s="784"/>
      <c r="TKT3" s="785"/>
      <c r="TKU3" s="786"/>
      <c r="TKV3" s="784"/>
      <c r="TKW3" s="784"/>
      <c r="TKX3" s="784"/>
      <c r="TKY3" s="784"/>
      <c r="TKZ3" s="784"/>
      <c r="TLA3" s="784"/>
      <c r="TLB3" s="784"/>
      <c r="TLC3" s="784"/>
      <c r="TLD3" s="784"/>
      <c r="TLE3" s="784"/>
      <c r="TLF3" s="784"/>
      <c r="TLG3" s="784"/>
      <c r="TLH3" s="784"/>
      <c r="TLI3" s="785"/>
      <c r="TLJ3" s="786"/>
      <c r="TLK3" s="784"/>
      <c r="TLL3" s="784"/>
      <c r="TLM3" s="784"/>
      <c r="TLN3" s="784"/>
      <c r="TLO3" s="784"/>
      <c r="TLP3" s="784"/>
      <c r="TLQ3" s="784"/>
      <c r="TLR3" s="784"/>
      <c r="TLS3" s="784"/>
      <c r="TLT3" s="784"/>
      <c r="TLU3" s="784"/>
      <c r="TLV3" s="784"/>
      <c r="TLW3" s="784"/>
      <c r="TLX3" s="785"/>
      <c r="TLY3" s="786"/>
      <c r="TLZ3" s="784"/>
      <c r="TMA3" s="784"/>
      <c r="TMB3" s="784"/>
      <c r="TMC3" s="784"/>
      <c r="TMD3" s="784"/>
      <c r="TME3" s="784"/>
      <c r="TMF3" s="784"/>
      <c r="TMG3" s="784"/>
      <c r="TMH3" s="784"/>
      <c r="TMI3" s="784"/>
      <c r="TMJ3" s="784"/>
      <c r="TMK3" s="784"/>
      <c r="TML3" s="784"/>
      <c r="TMM3" s="785"/>
      <c r="TMN3" s="786"/>
      <c r="TMO3" s="784"/>
      <c r="TMP3" s="784"/>
      <c r="TMQ3" s="784"/>
      <c r="TMR3" s="784"/>
      <c r="TMS3" s="784"/>
      <c r="TMT3" s="784"/>
      <c r="TMU3" s="784"/>
      <c r="TMV3" s="784"/>
      <c r="TMW3" s="784"/>
      <c r="TMX3" s="784"/>
      <c r="TMY3" s="784"/>
      <c r="TMZ3" s="784"/>
      <c r="TNA3" s="784"/>
      <c r="TNB3" s="785"/>
      <c r="TNC3" s="786"/>
      <c r="TND3" s="784"/>
      <c r="TNE3" s="784"/>
      <c r="TNF3" s="784"/>
      <c r="TNG3" s="784"/>
      <c r="TNH3" s="784"/>
      <c r="TNI3" s="784"/>
      <c r="TNJ3" s="784"/>
      <c r="TNK3" s="784"/>
      <c r="TNL3" s="784"/>
      <c r="TNM3" s="784"/>
      <c r="TNN3" s="784"/>
      <c r="TNO3" s="784"/>
      <c r="TNP3" s="784"/>
      <c r="TNQ3" s="785"/>
      <c r="TNR3" s="786"/>
      <c r="TNS3" s="784"/>
      <c r="TNT3" s="784"/>
      <c r="TNU3" s="784"/>
      <c r="TNV3" s="784"/>
      <c r="TNW3" s="784"/>
      <c r="TNX3" s="784"/>
      <c r="TNY3" s="784"/>
      <c r="TNZ3" s="784"/>
      <c r="TOA3" s="784"/>
      <c r="TOB3" s="784"/>
      <c r="TOC3" s="784"/>
      <c r="TOD3" s="784"/>
      <c r="TOE3" s="784"/>
      <c r="TOF3" s="785"/>
      <c r="TOG3" s="786"/>
      <c r="TOH3" s="784"/>
      <c r="TOI3" s="784"/>
      <c r="TOJ3" s="784"/>
      <c r="TOK3" s="784"/>
      <c r="TOL3" s="784"/>
      <c r="TOM3" s="784"/>
      <c r="TON3" s="784"/>
      <c r="TOO3" s="784"/>
      <c r="TOP3" s="784"/>
      <c r="TOQ3" s="784"/>
      <c r="TOR3" s="784"/>
      <c r="TOS3" s="784"/>
      <c r="TOT3" s="784"/>
      <c r="TOU3" s="785"/>
      <c r="TOV3" s="786"/>
      <c r="TOW3" s="784"/>
      <c r="TOX3" s="784"/>
      <c r="TOY3" s="784"/>
      <c r="TOZ3" s="784"/>
      <c r="TPA3" s="784"/>
      <c r="TPB3" s="784"/>
      <c r="TPC3" s="784"/>
      <c r="TPD3" s="784"/>
      <c r="TPE3" s="784"/>
      <c r="TPF3" s="784"/>
      <c r="TPG3" s="784"/>
      <c r="TPH3" s="784"/>
      <c r="TPI3" s="784"/>
      <c r="TPJ3" s="785"/>
      <c r="TPK3" s="786"/>
      <c r="TPL3" s="784"/>
      <c r="TPM3" s="784"/>
      <c r="TPN3" s="784"/>
      <c r="TPO3" s="784"/>
      <c r="TPP3" s="784"/>
      <c r="TPQ3" s="784"/>
      <c r="TPR3" s="784"/>
      <c r="TPS3" s="784"/>
      <c r="TPT3" s="784"/>
      <c r="TPU3" s="784"/>
      <c r="TPV3" s="784"/>
      <c r="TPW3" s="784"/>
      <c r="TPX3" s="784"/>
      <c r="TPY3" s="785"/>
      <c r="TPZ3" s="786"/>
      <c r="TQA3" s="784"/>
      <c r="TQB3" s="784"/>
      <c r="TQC3" s="784"/>
      <c r="TQD3" s="784"/>
      <c r="TQE3" s="784"/>
      <c r="TQF3" s="784"/>
      <c r="TQG3" s="784"/>
      <c r="TQH3" s="784"/>
      <c r="TQI3" s="784"/>
      <c r="TQJ3" s="784"/>
      <c r="TQK3" s="784"/>
      <c r="TQL3" s="784"/>
      <c r="TQM3" s="784"/>
      <c r="TQN3" s="785"/>
      <c r="TQO3" s="786"/>
      <c r="TQP3" s="784"/>
      <c r="TQQ3" s="784"/>
      <c r="TQR3" s="784"/>
      <c r="TQS3" s="784"/>
      <c r="TQT3" s="784"/>
      <c r="TQU3" s="784"/>
      <c r="TQV3" s="784"/>
      <c r="TQW3" s="784"/>
      <c r="TQX3" s="784"/>
      <c r="TQY3" s="784"/>
      <c r="TQZ3" s="784"/>
      <c r="TRA3" s="784"/>
      <c r="TRB3" s="784"/>
      <c r="TRC3" s="785"/>
      <c r="TRD3" s="786"/>
      <c r="TRE3" s="784"/>
      <c r="TRF3" s="784"/>
      <c r="TRG3" s="784"/>
      <c r="TRH3" s="784"/>
      <c r="TRI3" s="784"/>
      <c r="TRJ3" s="784"/>
      <c r="TRK3" s="784"/>
      <c r="TRL3" s="784"/>
      <c r="TRM3" s="784"/>
      <c r="TRN3" s="784"/>
      <c r="TRO3" s="784"/>
      <c r="TRP3" s="784"/>
      <c r="TRQ3" s="784"/>
      <c r="TRR3" s="785"/>
      <c r="TRS3" s="786"/>
      <c r="TRT3" s="784"/>
      <c r="TRU3" s="784"/>
      <c r="TRV3" s="784"/>
      <c r="TRW3" s="784"/>
      <c r="TRX3" s="784"/>
      <c r="TRY3" s="784"/>
      <c r="TRZ3" s="784"/>
      <c r="TSA3" s="784"/>
      <c r="TSB3" s="784"/>
      <c r="TSC3" s="784"/>
      <c r="TSD3" s="784"/>
      <c r="TSE3" s="784"/>
      <c r="TSF3" s="784"/>
      <c r="TSG3" s="785"/>
      <c r="TSH3" s="786"/>
      <c r="TSI3" s="784"/>
      <c r="TSJ3" s="784"/>
      <c r="TSK3" s="784"/>
      <c r="TSL3" s="784"/>
      <c r="TSM3" s="784"/>
      <c r="TSN3" s="784"/>
      <c r="TSO3" s="784"/>
      <c r="TSP3" s="784"/>
      <c r="TSQ3" s="784"/>
      <c r="TSR3" s="784"/>
      <c r="TSS3" s="784"/>
      <c r="TST3" s="784"/>
      <c r="TSU3" s="784"/>
      <c r="TSV3" s="785"/>
      <c r="TSW3" s="786"/>
      <c r="TSX3" s="784"/>
      <c r="TSY3" s="784"/>
      <c r="TSZ3" s="784"/>
      <c r="TTA3" s="784"/>
      <c r="TTB3" s="784"/>
      <c r="TTC3" s="784"/>
      <c r="TTD3" s="784"/>
      <c r="TTE3" s="784"/>
      <c r="TTF3" s="784"/>
      <c r="TTG3" s="784"/>
      <c r="TTH3" s="784"/>
      <c r="TTI3" s="784"/>
      <c r="TTJ3" s="784"/>
      <c r="TTK3" s="785"/>
      <c r="TTL3" s="786"/>
      <c r="TTM3" s="784"/>
      <c r="TTN3" s="784"/>
      <c r="TTO3" s="784"/>
      <c r="TTP3" s="784"/>
      <c r="TTQ3" s="784"/>
      <c r="TTR3" s="784"/>
      <c r="TTS3" s="784"/>
      <c r="TTT3" s="784"/>
      <c r="TTU3" s="784"/>
      <c r="TTV3" s="784"/>
      <c r="TTW3" s="784"/>
      <c r="TTX3" s="784"/>
      <c r="TTY3" s="784"/>
      <c r="TTZ3" s="785"/>
      <c r="TUA3" s="786"/>
      <c r="TUB3" s="784"/>
      <c r="TUC3" s="784"/>
      <c r="TUD3" s="784"/>
      <c r="TUE3" s="784"/>
      <c r="TUF3" s="784"/>
      <c r="TUG3" s="784"/>
      <c r="TUH3" s="784"/>
      <c r="TUI3" s="784"/>
      <c r="TUJ3" s="784"/>
      <c r="TUK3" s="784"/>
      <c r="TUL3" s="784"/>
      <c r="TUM3" s="784"/>
      <c r="TUN3" s="784"/>
      <c r="TUO3" s="785"/>
      <c r="TUP3" s="786"/>
      <c r="TUQ3" s="784"/>
      <c r="TUR3" s="784"/>
      <c r="TUS3" s="784"/>
      <c r="TUT3" s="784"/>
      <c r="TUU3" s="784"/>
      <c r="TUV3" s="784"/>
      <c r="TUW3" s="784"/>
      <c r="TUX3" s="784"/>
      <c r="TUY3" s="784"/>
      <c r="TUZ3" s="784"/>
      <c r="TVA3" s="784"/>
      <c r="TVB3" s="784"/>
      <c r="TVC3" s="784"/>
      <c r="TVD3" s="785"/>
      <c r="TVE3" s="786"/>
      <c r="TVF3" s="784"/>
      <c r="TVG3" s="784"/>
      <c r="TVH3" s="784"/>
      <c r="TVI3" s="784"/>
      <c r="TVJ3" s="784"/>
      <c r="TVK3" s="784"/>
      <c r="TVL3" s="784"/>
      <c r="TVM3" s="784"/>
      <c r="TVN3" s="784"/>
      <c r="TVO3" s="784"/>
      <c r="TVP3" s="784"/>
      <c r="TVQ3" s="784"/>
      <c r="TVR3" s="784"/>
      <c r="TVS3" s="785"/>
      <c r="TVT3" s="786"/>
      <c r="TVU3" s="784"/>
      <c r="TVV3" s="784"/>
      <c r="TVW3" s="784"/>
      <c r="TVX3" s="784"/>
      <c r="TVY3" s="784"/>
      <c r="TVZ3" s="784"/>
      <c r="TWA3" s="784"/>
      <c r="TWB3" s="784"/>
      <c r="TWC3" s="784"/>
      <c r="TWD3" s="784"/>
      <c r="TWE3" s="784"/>
      <c r="TWF3" s="784"/>
      <c r="TWG3" s="784"/>
      <c r="TWH3" s="785"/>
      <c r="TWI3" s="786"/>
      <c r="TWJ3" s="784"/>
      <c r="TWK3" s="784"/>
      <c r="TWL3" s="784"/>
      <c r="TWM3" s="784"/>
      <c r="TWN3" s="784"/>
      <c r="TWO3" s="784"/>
      <c r="TWP3" s="784"/>
      <c r="TWQ3" s="784"/>
      <c r="TWR3" s="784"/>
      <c r="TWS3" s="784"/>
      <c r="TWT3" s="784"/>
      <c r="TWU3" s="784"/>
      <c r="TWV3" s="784"/>
      <c r="TWW3" s="785"/>
      <c r="TWX3" s="786"/>
      <c r="TWY3" s="784"/>
      <c r="TWZ3" s="784"/>
      <c r="TXA3" s="784"/>
      <c r="TXB3" s="784"/>
      <c r="TXC3" s="784"/>
      <c r="TXD3" s="784"/>
      <c r="TXE3" s="784"/>
      <c r="TXF3" s="784"/>
      <c r="TXG3" s="784"/>
      <c r="TXH3" s="784"/>
      <c r="TXI3" s="784"/>
      <c r="TXJ3" s="784"/>
      <c r="TXK3" s="784"/>
      <c r="TXL3" s="785"/>
      <c r="TXM3" s="786"/>
      <c r="TXN3" s="784"/>
      <c r="TXO3" s="784"/>
      <c r="TXP3" s="784"/>
      <c r="TXQ3" s="784"/>
      <c r="TXR3" s="784"/>
      <c r="TXS3" s="784"/>
      <c r="TXT3" s="784"/>
      <c r="TXU3" s="784"/>
      <c r="TXV3" s="784"/>
      <c r="TXW3" s="784"/>
      <c r="TXX3" s="784"/>
      <c r="TXY3" s="784"/>
      <c r="TXZ3" s="784"/>
      <c r="TYA3" s="785"/>
      <c r="TYB3" s="786"/>
      <c r="TYC3" s="784"/>
      <c r="TYD3" s="784"/>
      <c r="TYE3" s="784"/>
      <c r="TYF3" s="784"/>
      <c r="TYG3" s="784"/>
      <c r="TYH3" s="784"/>
      <c r="TYI3" s="784"/>
      <c r="TYJ3" s="784"/>
      <c r="TYK3" s="784"/>
      <c r="TYL3" s="784"/>
      <c r="TYM3" s="784"/>
      <c r="TYN3" s="784"/>
      <c r="TYO3" s="784"/>
      <c r="TYP3" s="785"/>
      <c r="TYQ3" s="786"/>
      <c r="TYR3" s="784"/>
      <c r="TYS3" s="784"/>
      <c r="TYT3" s="784"/>
      <c r="TYU3" s="784"/>
      <c r="TYV3" s="784"/>
      <c r="TYW3" s="784"/>
      <c r="TYX3" s="784"/>
      <c r="TYY3" s="784"/>
      <c r="TYZ3" s="784"/>
      <c r="TZA3" s="784"/>
      <c r="TZB3" s="784"/>
      <c r="TZC3" s="784"/>
      <c r="TZD3" s="784"/>
      <c r="TZE3" s="785"/>
      <c r="TZF3" s="786"/>
      <c r="TZG3" s="784"/>
      <c r="TZH3" s="784"/>
      <c r="TZI3" s="784"/>
      <c r="TZJ3" s="784"/>
      <c r="TZK3" s="784"/>
      <c r="TZL3" s="784"/>
      <c r="TZM3" s="784"/>
      <c r="TZN3" s="784"/>
      <c r="TZO3" s="784"/>
      <c r="TZP3" s="784"/>
      <c r="TZQ3" s="784"/>
      <c r="TZR3" s="784"/>
      <c r="TZS3" s="784"/>
      <c r="TZT3" s="785"/>
      <c r="TZU3" s="786"/>
      <c r="TZV3" s="784"/>
      <c r="TZW3" s="784"/>
      <c r="TZX3" s="784"/>
      <c r="TZY3" s="784"/>
      <c r="TZZ3" s="784"/>
      <c r="UAA3" s="784"/>
      <c r="UAB3" s="784"/>
      <c r="UAC3" s="784"/>
      <c r="UAD3" s="784"/>
      <c r="UAE3" s="784"/>
      <c r="UAF3" s="784"/>
      <c r="UAG3" s="784"/>
      <c r="UAH3" s="784"/>
      <c r="UAI3" s="785"/>
      <c r="UAJ3" s="786"/>
      <c r="UAK3" s="784"/>
      <c r="UAL3" s="784"/>
      <c r="UAM3" s="784"/>
      <c r="UAN3" s="784"/>
      <c r="UAO3" s="784"/>
      <c r="UAP3" s="784"/>
      <c r="UAQ3" s="784"/>
      <c r="UAR3" s="784"/>
      <c r="UAS3" s="784"/>
      <c r="UAT3" s="784"/>
      <c r="UAU3" s="784"/>
      <c r="UAV3" s="784"/>
      <c r="UAW3" s="784"/>
      <c r="UAX3" s="785"/>
      <c r="UAY3" s="786"/>
      <c r="UAZ3" s="784"/>
      <c r="UBA3" s="784"/>
      <c r="UBB3" s="784"/>
      <c r="UBC3" s="784"/>
      <c r="UBD3" s="784"/>
      <c r="UBE3" s="784"/>
      <c r="UBF3" s="784"/>
      <c r="UBG3" s="784"/>
      <c r="UBH3" s="784"/>
      <c r="UBI3" s="784"/>
      <c r="UBJ3" s="784"/>
      <c r="UBK3" s="784"/>
      <c r="UBL3" s="784"/>
      <c r="UBM3" s="785"/>
      <c r="UBN3" s="786"/>
      <c r="UBO3" s="784"/>
      <c r="UBP3" s="784"/>
      <c r="UBQ3" s="784"/>
      <c r="UBR3" s="784"/>
      <c r="UBS3" s="784"/>
      <c r="UBT3" s="784"/>
      <c r="UBU3" s="784"/>
      <c r="UBV3" s="784"/>
      <c r="UBW3" s="784"/>
      <c r="UBX3" s="784"/>
      <c r="UBY3" s="784"/>
      <c r="UBZ3" s="784"/>
      <c r="UCA3" s="784"/>
      <c r="UCB3" s="785"/>
      <c r="UCC3" s="786"/>
      <c r="UCD3" s="784"/>
      <c r="UCE3" s="784"/>
      <c r="UCF3" s="784"/>
      <c r="UCG3" s="784"/>
      <c r="UCH3" s="784"/>
      <c r="UCI3" s="784"/>
      <c r="UCJ3" s="784"/>
      <c r="UCK3" s="784"/>
      <c r="UCL3" s="784"/>
      <c r="UCM3" s="784"/>
      <c r="UCN3" s="784"/>
      <c r="UCO3" s="784"/>
      <c r="UCP3" s="784"/>
      <c r="UCQ3" s="785"/>
      <c r="UCR3" s="786"/>
      <c r="UCS3" s="784"/>
      <c r="UCT3" s="784"/>
      <c r="UCU3" s="784"/>
      <c r="UCV3" s="784"/>
      <c r="UCW3" s="784"/>
      <c r="UCX3" s="784"/>
      <c r="UCY3" s="784"/>
      <c r="UCZ3" s="784"/>
      <c r="UDA3" s="784"/>
      <c r="UDB3" s="784"/>
      <c r="UDC3" s="784"/>
      <c r="UDD3" s="784"/>
      <c r="UDE3" s="784"/>
      <c r="UDF3" s="785"/>
      <c r="UDG3" s="786"/>
      <c r="UDH3" s="784"/>
      <c r="UDI3" s="784"/>
      <c r="UDJ3" s="784"/>
      <c r="UDK3" s="784"/>
      <c r="UDL3" s="784"/>
      <c r="UDM3" s="784"/>
      <c r="UDN3" s="784"/>
      <c r="UDO3" s="784"/>
      <c r="UDP3" s="784"/>
      <c r="UDQ3" s="784"/>
      <c r="UDR3" s="784"/>
      <c r="UDS3" s="784"/>
      <c r="UDT3" s="784"/>
      <c r="UDU3" s="785"/>
      <c r="UDV3" s="786"/>
      <c r="UDW3" s="784"/>
      <c r="UDX3" s="784"/>
      <c r="UDY3" s="784"/>
      <c r="UDZ3" s="784"/>
      <c r="UEA3" s="784"/>
      <c r="UEB3" s="784"/>
      <c r="UEC3" s="784"/>
      <c r="UED3" s="784"/>
      <c r="UEE3" s="784"/>
      <c r="UEF3" s="784"/>
      <c r="UEG3" s="784"/>
      <c r="UEH3" s="784"/>
      <c r="UEI3" s="784"/>
      <c r="UEJ3" s="785"/>
      <c r="UEK3" s="786"/>
      <c r="UEL3" s="784"/>
      <c r="UEM3" s="784"/>
      <c r="UEN3" s="784"/>
      <c r="UEO3" s="784"/>
      <c r="UEP3" s="784"/>
      <c r="UEQ3" s="784"/>
      <c r="UER3" s="784"/>
      <c r="UES3" s="784"/>
      <c r="UET3" s="784"/>
      <c r="UEU3" s="784"/>
      <c r="UEV3" s="784"/>
      <c r="UEW3" s="784"/>
      <c r="UEX3" s="784"/>
      <c r="UEY3" s="785"/>
      <c r="UEZ3" s="786"/>
      <c r="UFA3" s="784"/>
      <c r="UFB3" s="784"/>
      <c r="UFC3" s="784"/>
      <c r="UFD3" s="784"/>
      <c r="UFE3" s="784"/>
      <c r="UFF3" s="784"/>
      <c r="UFG3" s="784"/>
      <c r="UFH3" s="784"/>
      <c r="UFI3" s="784"/>
      <c r="UFJ3" s="784"/>
      <c r="UFK3" s="784"/>
      <c r="UFL3" s="784"/>
      <c r="UFM3" s="784"/>
      <c r="UFN3" s="785"/>
      <c r="UFO3" s="786"/>
      <c r="UFP3" s="784"/>
      <c r="UFQ3" s="784"/>
      <c r="UFR3" s="784"/>
      <c r="UFS3" s="784"/>
      <c r="UFT3" s="784"/>
      <c r="UFU3" s="784"/>
      <c r="UFV3" s="784"/>
      <c r="UFW3" s="784"/>
      <c r="UFX3" s="784"/>
      <c r="UFY3" s="784"/>
      <c r="UFZ3" s="784"/>
      <c r="UGA3" s="784"/>
      <c r="UGB3" s="784"/>
      <c r="UGC3" s="785"/>
      <c r="UGD3" s="786"/>
      <c r="UGE3" s="784"/>
      <c r="UGF3" s="784"/>
      <c r="UGG3" s="784"/>
      <c r="UGH3" s="784"/>
      <c r="UGI3" s="784"/>
      <c r="UGJ3" s="784"/>
      <c r="UGK3" s="784"/>
      <c r="UGL3" s="784"/>
      <c r="UGM3" s="784"/>
      <c r="UGN3" s="784"/>
      <c r="UGO3" s="784"/>
      <c r="UGP3" s="784"/>
      <c r="UGQ3" s="784"/>
      <c r="UGR3" s="785"/>
      <c r="UGS3" s="786"/>
      <c r="UGT3" s="784"/>
      <c r="UGU3" s="784"/>
      <c r="UGV3" s="784"/>
      <c r="UGW3" s="784"/>
      <c r="UGX3" s="784"/>
      <c r="UGY3" s="784"/>
      <c r="UGZ3" s="784"/>
      <c r="UHA3" s="784"/>
      <c r="UHB3" s="784"/>
      <c r="UHC3" s="784"/>
      <c r="UHD3" s="784"/>
      <c r="UHE3" s="784"/>
      <c r="UHF3" s="784"/>
      <c r="UHG3" s="785"/>
      <c r="UHH3" s="786"/>
      <c r="UHI3" s="784"/>
      <c r="UHJ3" s="784"/>
      <c r="UHK3" s="784"/>
      <c r="UHL3" s="784"/>
      <c r="UHM3" s="784"/>
      <c r="UHN3" s="784"/>
      <c r="UHO3" s="784"/>
      <c r="UHP3" s="784"/>
      <c r="UHQ3" s="784"/>
      <c r="UHR3" s="784"/>
      <c r="UHS3" s="784"/>
      <c r="UHT3" s="784"/>
      <c r="UHU3" s="784"/>
      <c r="UHV3" s="785"/>
      <c r="UHW3" s="786"/>
      <c r="UHX3" s="784"/>
      <c r="UHY3" s="784"/>
      <c r="UHZ3" s="784"/>
      <c r="UIA3" s="784"/>
      <c r="UIB3" s="784"/>
      <c r="UIC3" s="784"/>
      <c r="UID3" s="784"/>
      <c r="UIE3" s="784"/>
      <c r="UIF3" s="784"/>
      <c r="UIG3" s="784"/>
      <c r="UIH3" s="784"/>
      <c r="UII3" s="784"/>
      <c r="UIJ3" s="784"/>
      <c r="UIK3" s="785"/>
      <c r="UIL3" s="786"/>
      <c r="UIM3" s="784"/>
      <c r="UIN3" s="784"/>
      <c r="UIO3" s="784"/>
      <c r="UIP3" s="784"/>
      <c r="UIQ3" s="784"/>
      <c r="UIR3" s="784"/>
      <c r="UIS3" s="784"/>
      <c r="UIT3" s="784"/>
      <c r="UIU3" s="784"/>
      <c r="UIV3" s="784"/>
      <c r="UIW3" s="784"/>
      <c r="UIX3" s="784"/>
      <c r="UIY3" s="784"/>
      <c r="UIZ3" s="785"/>
      <c r="UJA3" s="786"/>
      <c r="UJB3" s="784"/>
      <c r="UJC3" s="784"/>
      <c r="UJD3" s="784"/>
      <c r="UJE3" s="784"/>
      <c r="UJF3" s="784"/>
      <c r="UJG3" s="784"/>
      <c r="UJH3" s="784"/>
      <c r="UJI3" s="784"/>
      <c r="UJJ3" s="784"/>
      <c r="UJK3" s="784"/>
      <c r="UJL3" s="784"/>
      <c r="UJM3" s="784"/>
      <c r="UJN3" s="784"/>
      <c r="UJO3" s="785"/>
      <c r="UJP3" s="786"/>
      <c r="UJQ3" s="784"/>
      <c r="UJR3" s="784"/>
      <c r="UJS3" s="784"/>
      <c r="UJT3" s="784"/>
      <c r="UJU3" s="784"/>
      <c r="UJV3" s="784"/>
      <c r="UJW3" s="784"/>
      <c r="UJX3" s="784"/>
      <c r="UJY3" s="784"/>
      <c r="UJZ3" s="784"/>
      <c r="UKA3" s="784"/>
      <c r="UKB3" s="784"/>
      <c r="UKC3" s="784"/>
      <c r="UKD3" s="785"/>
      <c r="UKE3" s="786"/>
      <c r="UKF3" s="784"/>
      <c r="UKG3" s="784"/>
      <c r="UKH3" s="784"/>
      <c r="UKI3" s="784"/>
      <c r="UKJ3" s="784"/>
      <c r="UKK3" s="784"/>
      <c r="UKL3" s="784"/>
      <c r="UKM3" s="784"/>
      <c r="UKN3" s="784"/>
      <c r="UKO3" s="784"/>
      <c r="UKP3" s="784"/>
      <c r="UKQ3" s="784"/>
      <c r="UKR3" s="784"/>
      <c r="UKS3" s="785"/>
      <c r="UKT3" s="786"/>
      <c r="UKU3" s="784"/>
      <c r="UKV3" s="784"/>
      <c r="UKW3" s="784"/>
      <c r="UKX3" s="784"/>
      <c r="UKY3" s="784"/>
      <c r="UKZ3" s="784"/>
      <c r="ULA3" s="784"/>
      <c r="ULB3" s="784"/>
      <c r="ULC3" s="784"/>
      <c r="ULD3" s="784"/>
      <c r="ULE3" s="784"/>
      <c r="ULF3" s="784"/>
      <c r="ULG3" s="784"/>
      <c r="ULH3" s="785"/>
      <c r="ULI3" s="786"/>
      <c r="ULJ3" s="784"/>
      <c r="ULK3" s="784"/>
      <c r="ULL3" s="784"/>
      <c r="ULM3" s="784"/>
      <c r="ULN3" s="784"/>
      <c r="ULO3" s="784"/>
      <c r="ULP3" s="784"/>
      <c r="ULQ3" s="784"/>
      <c r="ULR3" s="784"/>
      <c r="ULS3" s="784"/>
      <c r="ULT3" s="784"/>
      <c r="ULU3" s="784"/>
      <c r="ULV3" s="784"/>
      <c r="ULW3" s="785"/>
      <c r="ULX3" s="786"/>
      <c r="ULY3" s="784"/>
      <c r="ULZ3" s="784"/>
      <c r="UMA3" s="784"/>
      <c r="UMB3" s="784"/>
      <c r="UMC3" s="784"/>
      <c r="UMD3" s="784"/>
      <c r="UME3" s="784"/>
      <c r="UMF3" s="784"/>
      <c r="UMG3" s="784"/>
      <c r="UMH3" s="784"/>
      <c r="UMI3" s="784"/>
      <c r="UMJ3" s="784"/>
      <c r="UMK3" s="784"/>
      <c r="UML3" s="785"/>
      <c r="UMM3" s="786"/>
      <c r="UMN3" s="784"/>
      <c r="UMO3" s="784"/>
      <c r="UMP3" s="784"/>
      <c r="UMQ3" s="784"/>
      <c r="UMR3" s="784"/>
      <c r="UMS3" s="784"/>
      <c r="UMT3" s="784"/>
      <c r="UMU3" s="784"/>
      <c r="UMV3" s="784"/>
      <c r="UMW3" s="784"/>
      <c r="UMX3" s="784"/>
      <c r="UMY3" s="784"/>
      <c r="UMZ3" s="784"/>
      <c r="UNA3" s="785"/>
      <c r="UNB3" s="786"/>
      <c r="UNC3" s="784"/>
      <c r="UND3" s="784"/>
      <c r="UNE3" s="784"/>
      <c r="UNF3" s="784"/>
      <c r="UNG3" s="784"/>
      <c r="UNH3" s="784"/>
      <c r="UNI3" s="784"/>
      <c r="UNJ3" s="784"/>
      <c r="UNK3" s="784"/>
      <c r="UNL3" s="784"/>
      <c r="UNM3" s="784"/>
      <c r="UNN3" s="784"/>
      <c r="UNO3" s="784"/>
      <c r="UNP3" s="785"/>
      <c r="UNQ3" s="786"/>
      <c r="UNR3" s="784"/>
      <c r="UNS3" s="784"/>
      <c r="UNT3" s="784"/>
      <c r="UNU3" s="784"/>
      <c r="UNV3" s="784"/>
      <c r="UNW3" s="784"/>
      <c r="UNX3" s="784"/>
      <c r="UNY3" s="784"/>
      <c r="UNZ3" s="784"/>
      <c r="UOA3" s="784"/>
      <c r="UOB3" s="784"/>
      <c r="UOC3" s="784"/>
      <c r="UOD3" s="784"/>
      <c r="UOE3" s="785"/>
      <c r="UOF3" s="786"/>
      <c r="UOG3" s="784"/>
      <c r="UOH3" s="784"/>
      <c r="UOI3" s="784"/>
      <c r="UOJ3" s="784"/>
      <c r="UOK3" s="784"/>
      <c r="UOL3" s="784"/>
      <c r="UOM3" s="784"/>
      <c r="UON3" s="784"/>
      <c r="UOO3" s="784"/>
      <c r="UOP3" s="784"/>
      <c r="UOQ3" s="784"/>
      <c r="UOR3" s="784"/>
      <c r="UOS3" s="784"/>
      <c r="UOT3" s="785"/>
      <c r="UOU3" s="786"/>
      <c r="UOV3" s="784"/>
      <c r="UOW3" s="784"/>
      <c r="UOX3" s="784"/>
      <c r="UOY3" s="784"/>
      <c r="UOZ3" s="784"/>
      <c r="UPA3" s="784"/>
      <c r="UPB3" s="784"/>
      <c r="UPC3" s="784"/>
      <c r="UPD3" s="784"/>
      <c r="UPE3" s="784"/>
      <c r="UPF3" s="784"/>
      <c r="UPG3" s="784"/>
      <c r="UPH3" s="784"/>
      <c r="UPI3" s="785"/>
      <c r="UPJ3" s="786"/>
      <c r="UPK3" s="784"/>
      <c r="UPL3" s="784"/>
      <c r="UPM3" s="784"/>
      <c r="UPN3" s="784"/>
      <c r="UPO3" s="784"/>
      <c r="UPP3" s="784"/>
      <c r="UPQ3" s="784"/>
      <c r="UPR3" s="784"/>
      <c r="UPS3" s="784"/>
      <c r="UPT3" s="784"/>
      <c r="UPU3" s="784"/>
      <c r="UPV3" s="784"/>
      <c r="UPW3" s="784"/>
      <c r="UPX3" s="785"/>
      <c r="UPY3" s="786"/>
      <c r="UPZ3" s="784"/>
      <c r="UQA3" s="784"/>
      <c r="UQB3" s="784"/>
      <c r="UQC3" s="784"/>
      <c r="UQD3" s="784"/>
      <c r="UQE3" s="784"/>
      <c r="UQF3" s="784"/>
      <c r="UQG3" s="784"/>
      <c r="UQH3" s="784"/>
      <c r="UQI3" s="784"/>
      <c r="UQJ3" s="784"/>
      <c r="UQK3" s="784"/>
      <c r="UQL3" s="784"/>
      <c r="UQM3" s="785"/>
      <c r="UQN3" s="786"/>
      <c r="UQO3" s="784"/>
      <c r="UQP3" s="784"/>
      <c r="UQQ3" s="784"/>
      <c r="UQR3" s="784"/>
      <c r="UQS3" s="784"/>
      <c r="UQT3" s="784"/>
      <c r="UQU3" s="784"/>
      <c r="UQV3" s="784"/>
      <c r="UQW3" s="784"/>
      <c r="UQX3" s="784"/>
      <c r="UQY3" s="784"/>
      <c r="UQZ3" s="784"/>
      <c r="URA3" s="784"/>
      <c r="URB3" s="785"/>
      <c r="URC3" s="786"/>
      <c r="URD3" s="784"/>
      <c r="URE3" s="784"/>
      <c r="URF3" s="784"/>
      <c r="URG3" s="784"/>
      <c r="URH3" s="784"/>
      <c r="URI3" s="784"/>
      <c r="URJ3" s="784"/>
      <c r="URK3" s="784"/>
      <c r="URL3" s="784"/>
      <c r="URM3" s="784"/>
      <c r="URN3" s="784"/>
      <c r="URO3" s="784"/>
      <c r="URP3" s="784"/>
      <c r="URQ3" s="785"/>
      <c r="URR3" s="786"/>
      <c r="URS3" s="784"/>
      <c r="URT3" s="784"/>
      <c r="URU3" s="784"/>
      <c r="URV3" s="784"/>
      <c r="URW3" s="784"/>
      <c r="URX3" s="784"/>
      <c r="URY3" s="784"/>
      <c r="URZ3" s="784"/>
      <c r="USA3" s="784"/>
      <c r="USB3" s="784"/>
      <c r="USC3" s="784"/>
      <c r="USD3" s="784"/>
      <c r="USE3" s="784"/>
      <c r="USF3" s="785"/>
      <c r="USG3" s="786"/>
      <c r="USH3" s="784"/>
      <c r="USI3" s="784"/>
      <c r="USJ3" s="784"/>
      <c r="USK3" s="784"/>
      <c r="USL3" s="784"/>
      <c r="USM3" s="784"/>
      <c r="USN3" s="784"/>
      <c r="USO3" s="784"/>
      <c r="USP3" s="784"/>
      <c r="USQ3" s="784"/>
      <c r="USR3" s="784"/>
      <c r="USS3" s="784"/>
      <c r="UST3" s="784"/>
      <c r="USU3" s="785"/>
      <c r="USV3" s="786"/>
      <c r="USW3" s="784"/>
      <c r="USX3" s="784"/>
      <c r="USY3" s="784"/>
      <c r="USZ3" s="784"/>
      <c r="UTA3" s="784"/>
      <c r="UTB3" s="784"/>
      <c r="UTC3" s="784"/>
      <c r="UTD3" s="784"/>
      <c r="UTE3" s="784"/>
      <c r="UTF3" s="784"/>
      <c r="UTG3" s="784"/>
      <c r="UTH3" s="784"/>
      <c r="UTI3" s="784"/>
      <c r="UTJ3" s="785"/>
      <c r="UTK3" s="786"/>
      <c r="UTL3" s="784"/>
      <c r="UTM3" s="784"/>
      <c r="UTN3" s="784"/>
      <c r="UTO3" s="784"/>
      <c r="UTP3" s="784"/>
      <c r="UTQ3" s="784"/>
      <c r="UTR3" s="784"/>
      <c r="UTS3" s="784"/>
      <c r="UTT3" s="784"/>
      <c r="UTU3" s="784"/>
      <c r="UTV3" s="784"/>
      <c r="UTW3" s="784"/>
      <c r="UTX3" s="784"/>
      <c r="UTY3" s="785"/>
      <c r="UTZ3" s="786"/>
      <c r="UUA3" s="784"/>
      <c r="UUB3" s="784"/>
      <c r="UUC3" s="784"/>
      <c r="UUD3" s="784"/>
      <c r="UUE3" s="784"/>
      <c r="UUF3" s="784"/>
      <c r="UUG3" s="784"/>
      <c r="UUH3" s="784"/>
      <c r="UUI3" s="784"/>
      <c r="UUJ3" s="784"/>
      <c r="UUK3" s="784"/>
      <c r="UUL3" s="784"/>
      <c r="UUM3" s="784"/>
      <c r="UUN3" s="785"/>
      <c r="UUO3" s="786"/>
      <c r="UUP3" s="784"/>
      <c r="UUQ3" s="784"/>
      <c r="UUR3" s="784"/>
      <c r="UUS3" s="784"/>
      <c r="UUT3" s="784"/>
      <c r="UUU3" s="784"/>
      <c r="UUV3" s="784"/>
      <c r="UUW3" s="784"/>
      <c r="UUX3" s="784"/>
      <c r="UUY3" s="784"/>
      <c r="UUZ3" s="784"/>
      <c r="UVA3" s="784"/>
      <c r="UVB3" s="784"/>
      <c r="UVC3" s="785"/>
      <c r="UVD3" s="786"/>
      <c r="UVE3" s="784"/>
      <c r="UVF3" s="784"/>
      <c r="UVG3" s="784"/>
      <c r="UVH3" s="784"/>
      <c r="UVI3" s="784"/>
      <c r="UVJ3" s="784"/>
      <c r="UVK3" s="784"/>
      <c r="UVL3" s="784"/>
      <c r="UVM3" s="784"/>
      <c r="UVN3" s="784"/>
      <c r="UVO3" s="784"/>
      <c r="UVP3" s="784"/>
      <c r="UVQ3" s="784"/>
      <c r="UVR3" s="785"/>
      <c r="UVS3" s="786"/>
      <c r="UVT3" s="784"/>
      <c r="UVU3" s="784"/>
      <c r="UVV3" s="784"/>
      <c r="UVW3" s="784"/>
      <c r="UVX3" s="784"/>
      <c r="UVY3" s="784"/>
      <c r="UVZ3" s="784"/>
      <c r="UWA3" s="784"/>
      <c r="UWB3" s="784"/>
      <c r="UWC3" s="784"/>
      <c r="UWD3" s="784"/>
      <c r="UWE3" s="784"/>
      <c r="UWF3" s="784"/>
      <c r="UWG3" s="785"/>
      <c r="UWH3" s="786"/>
      <c r="UWI3" s="784"/>
      <c r="UWJ3" s="784"/>
      <c r="UWK3" s="784"/>
      <c r="UWL3" s="784"/>
      <c r="UWM3" s="784"/>
      <c r="UWN3" s="784"/>
      <c r="UWO3" s="784"/>
      <c r="UWP3" s="784"/>
      <c r="UWQ3" s="784"/>
      <c r="UWR3" s="784"/>
      <c r="UWS3" s="784"/>
      <c r="UWT3" s="784"/>
      <c r="UWU3" s="784"/>
      <c r="UWV3" s="785"/>
      <c r="UWW3" s="786"/>
      <c r="UWX3" s="784"/>
      <c r="UWY3" s="784"/>
      <c r="UWZ3" s="784"/>
      <c r="UXA3" s="784"/>
      <c r="UXB3" s="784"/>
      <c r="UXC3" s="784"/>
      <c r="UXD3" s="784"/>
      <c r="UXE3" s="784"/>
      <c r="UXF3" s="784"/>
      <c r="UXG3" s="784"/>
      <c r="UXH3" s="784"/>
      <c r="UXI3" s="784"/>
      <c r="UXJ3" s="784"/>
      <c r="UXK3" s="785"/>
      <c r="UXL3" s="786"/>
      <c r="UXM3" s="784"/>
      <c r="UXN3" s="784"/>
      <c r="UXO3" s="784"/>
      <c r="UXP3" s="784"/>
      <c r="UXQ3" s="784"/>
      <c r="UXR3" s="784"/>
      <c r="UXS3" s="784"/>
      <c r="UXT3" s="784"/>
      <c r="UXU3" s="784"/>
      <c r="UXV3" s="784"/>
      <c r="UXW3" s="784"/>
      <c r="UXX3" s="784"/>
      <c r="UXY3" s="784"/>
      <c r="UXZ3" s="785"/>
      <c r="UYA3" s="786"/>
      <c r="UYB3" s="784"/>
      <c r="UYC3" s="784"/>
      <c r="UYD3" s="784"/>
      <c r="UYE3" s="784"/>
      <c r="UYF3" s="784"/>
      <c r="UYG3" s="784"/>
      <c r="UYH3" s="784"/>
      <c r="UYI3" s="784"/>
      <c r="UYJ3" s="784"/>
      <c r="UYK3" s="784"/>
      <c r="UYL3" s="784"/>
      <c r="UYM3" s="784"/>
      <c r="UYN3" s="784"/>
      <c r="UYO3" s="785"/>
      <c r="UYP3" s="786"/>
      <c r="UYQ3" s="784"/>
      <c r="UYR3" s="784"/>
      <c r="UYS3" s="784"/>
      <c r="UYT3" s="784"/>
      <c r="UYU3" s="784"/>
      <c r="UYV3" s="784"/>
      <c r="UYW3" s="784"/>
      <c r="UYX3" s="784"/>
      <c r="UYY3" s="784"/>
      <c r="UYZ3" s="784"/>
      <c r="UZA3" s="784"/>
      <c r="UZB3" s="784"/>
      <c r="UZC3" s="784"/>
      <c r="UZD3" s="785"/>
      <c r="UZE3" s="786"/>
      <c r="UZF3" s="784"/>
      <c r="UZG3" s="784"/>
      <c r="UZH3" s="784"/>
      <c r="UZI3" s="784"/>
      <c r="UZJ3" s="784"/>
      <c r="UZK3" s="784"/>
      <c r="UZL3" s="784"/>
      <c r="UZM3" s="784"/>
      <c r="UZN3" s="784"/>
      <c r="UZO3" s="784"/>
      <c r="UZP3" s="784"/>
      <c r="UZQ3" s="784"/>
      <c r="UZR3" s="784"/>
      <c r="UZS3" s="785"/>
      <c r="UZT3" s="786"/>
      <c r="UZU3" s="784"/>
      <c r="UZV3" s="784"/>
      <c r="UZW3" s="784"/>
      <c r="UZX3" s="784"/>
      <c r="UZY3" s="784"/>
      <c r="UZZ3" s="784"/>
      <c r="VAA3" s="784"/>
      <c r="VAB3" s="784"/>
      <c r="VAC3" s="784"/>
      <c r="VAD3" s="784"/>
      <c r="VAE3" s="784"/>
      <c r="VAF3" s="784"/>
      <c r="VAG3" s="784"/>
      <c r="VAH3" s="785"/>
      <c r="VAI3" s="786"/>
      <c r="VAJ3" s="784"/>
      <c r="VAK3" s="784"/>
      <c r="VAL3" s="784"/>
      <c r="VAM3" s="784"/>
      <c r="VAN3" s="784"/>
      <c r="VAO3" s="784"/>
      <c r="VAP3" s="784"/>
      <c r="VAQ3" s="784"/>
      <c r="VAR3" s="784"/>
      <c r="VAS3" s="784"/>
      <c r="VAT3" s="784"/>
      <c r="VAU3" s="784"/>
      <c r="VAV3" s="784"/>
      <c r="VAW3" s="785"/>
      <c r="VAX3" s="786"/>
      <c r="VAY3" s="784"/>
      <c r="VAZ3" s="784"/>
      <c r="VBA3" s="784"/>
      <c r="VBB3" s="784"/>
      <c r="VBC3" s="784"/>
      <c r="VBD3" s="784"/>
      <c r="VBE3" s="784"/>
      <c r="VBF3" s="784"/>
      <c r="VBG3" s="784"/>
      <c r="VBH3" s="784"/>
      <c r="VBI3" s="784"/>
      <c r="VBJ3" s="784"/>
      <c r="VBK3" s="784"/>
      <c r="VBL3" s="785"/>
      <c r="VBM3" s="786"/>
      <c r="VBN3" s="784"/>
      <c r="VBO3" s="784"/>
      <c r="VBP3" s="784"/>
      <c r="VBQ3" s="784"/>
      <c r="VBR3" s="784"/>
      <c r="VBS3" s="784"/>
      <c r="VBT3" s="784"/>
      <c r="VBU3" s="784"/>
      <c r="VBV3" s="784"/>
      <c r="VBW3" s="784"/>
      <c r="VBX3" s="784"/>
      <c r="VBY3" s="784"/>
      <c r="VBZ3" s="784"/>
      <c r="VCA3" s="785"/>
      <c r="VCB3" s="786"/>
      <c r="VCC3" s="784"/>
      <c r="VCD3" s="784"/>
      <c r="VCE3" s="784"/>
      <c r="VCF3" s="784"/>
      <c r="VCG3" s="784"/>
      <c r="VCH3" s="784"/>
      <c r="VCI3" s="784"/>
      <c r="VCJ3" s="784"/>
      <c r="VCK3" s="784"/>
      <c r="VCL3" s="784"/>
      <c r="VCM3" s="784"/>
      <c r="VCN3" s="784"/>
      <c r="VCO3" s="784"/>
      <c r="VCP3" s="785"/>
      <c r="VCQ3" s="786"/>
      <c r="VCR3" s="784"/>
      <c r="VCS3" s="784"/>
      <c r="VCT3" s="784"/>
      <c r="VCU3" s="784"/>
      <c r="VCV3" s="784"/>
      <c r="VCW3" s="784"/>
      <c r="VCX3" s="784"/>
      <c r="VCY3" s="784"/>
      <c r="VCZ3" s="784"/>
      <c r="VDA3" s="784"/>
      <c r="VDB3" s="784"/>
      <c r="VDC3" s="784"/>
      <c r="VDD3" s="784"/>
      <c r="VDE3" s="785"/>
      <c r="VDF3" s="786"/>
      <c r="VDG3" s="784"/>
      <c r="VDH3" s="784"/>
      <c r="VDI3" s="784"/>
      <c r="VDJ3" s="784"/>
      <c r="VDK3" s="784"/>
      <c r="VDL3" s="784"/>
      <c r="VDM3" s="784"/>
      <c r="VDN3" s="784"/>
      <c r="VDO3" s="784"/>
      <c r="VDP3" s="784"/>
      <c r="VDQ3" s="784"/>
      <c r="VDR3" s="784"/>
      <c r="VDS3" s="784"/>
      <c r="VDT3" s="785"/>
      <c r="VDU3" s="786"/>
      <c r="VDV3" s="784"/>
      <c r="VDW3" s="784"/>
      <c r="VDX3" s="784"/>
      <c r="VDY3" s="784"/>
      <c r="VDZ3" s="784"/>
      <c r="VEA3" s="784"/>
      <c r="VEB3" s="784"/>
      <c r="VEC3" s="784"/>
      <c r="VED3" s="784"/>
      <c r="VEE3" s="784"/>
      <c r="VEF3" s="784"/>
      <c r="VEG3" s="784"/>
      <c r="VEH3" s="784"/>
      <c r="VEI3" s="785"/>
      <c r="VEJ3" s="786"/>
      <c r="VEK3" s="784"/>
      <c r="VEL3" s="784"/>
      <c r="VEM3" s="784"/>
      <c r="VEN3" s="784"/>
      <c r="VEO3" s="784"/>
      <c r="VEP3" s="784"/>
      <c r="VEQ3" s="784"/>
      <c r="VER3" s="784"/>
      <c r="VES3" s="784"/>
      <c r="VET3" s="784"/>
      <c r="VEU3" s="784"/>
      <c r="VEV3" s="784"/>
      <c r="VEW3" s="784"/>
      <c r="VEX3" s="785"/>
      <c r="VEY3" s="786"/>
      <c r="VEZ3" s="784"/>
      <c r="VFA3" s="784"/>
      <c r="VFB3" s="784"/>
      <c r="VFC3" s="784"/>
      <c r="VFD3" s="784"/>
      <c r="VFE3" s="784"/>
      <c r="VFF3" s="784"/>
      <c r="VFG3" s="784"/>
      <c r="VFH3" s="784"/>
      <c r="VFI3" s="784"/>
      <c r="VFJ3" s="784"/>
      <c r="VFK3" s="784"/>
      <c r="VFL3" s="784"/>
      <c r="VFM3" s="785"/>
      <c r="VFN3" s="786"/>
      <c r="VFO3" s="784"/>
      <c r="VFP3" s="784"/>
      <c r="VFQ3" s="784"/>
      <c r="VFR3" s="784"/>
      <c r="VFS3" s="784"/>
      <c r="VFT3" s="784"/>
      <c r="VFU3" s="784"/>
      <c r="VFV3" s="784"/>
      <c r="VFW3" s="784"/>
      <c r="VFX3" s="784"/>
      <c r="VFY3" s="784"/>
      <c r="VFZ3" s="784"/>
      <c r="VGA3" s="784"/>
      <c r="VGB3" s="785"/>
      <c r="VGC3" s="786"/>
      <c r="VGD3" s="784"/>
      <c r="VGE3" s="784"/>
      <c r="VGF3" s="784"/>
      <c r="VGG3" s="784"/>
      <c r="VGH3" s="784"/>
      <c r="VGI3" s="784"/>
      <c r="VGJ3" s="784"/>
      <c r="VGK3" s="784"/>
      <c r="VGL3" s="784"/>
      <c r="VGM3" s="784"/>
      <c r="VGN3" s="784"/>
      <c r="VGO3" s="784"/>
      <c r="VGP3" s="784"/>
      <c r="VGQ3" s="785"/>
      <c r="VGR3" s="786"/>
      <c r="VGS3" s="784"/>
      <c r="VGT3" s="784"/>
      <c r="VGU3" s="784"/>
      <c r="VGV3" s="784"/>
      <c r="VGW3" s="784"/>
      <c r="VGX3" s="784"/>
      <c r="VGY3" s="784"/>
      <c r="VGZ3" s="784"/>
      <c r="VHA3" s="784"/>
      <c r="VHB3" s="784"/>
      <c r="VHC3" s="784"/>
      <c r="VHD3" s="784"/>
      <c r="VHE3" s="784"/>
      <c r="VHF3" s="785"/>
      <c r="VHG3" s="786"/>
      <c r="VHH3" s="784"/>
      <c r="VHI3" s="784"/>
      <c r="VHJ3" s="784"/>
      <c r="VHK3" s="784"/>
      <c r="VHL3" s="784"/>
      <c r="VHM3" s="784"/>
      <c r="VHN3" s="784"/>
      <c r="VHO3" s="784"/>
      <c r="VHP3" s="784"/>
      <c r="VHQ3" s="784"/>
      <c r="VHR3" s="784"/>
      <c r="VHS3" s="784"/>
      <c r="VHT3" s="784"/>
      <c r="VHU3" s="785"/>
      <c r="VHV3" s="786"/>
      <c r="VHW3" s="784"/>
      <c r="VHX3" s="784"/>
      <c r="VHY3" s="784"/>
      <c r="VHZ3" s="784"/>
      <c r="VIA3" s="784"/>
      <c r="VIB3" s="784"/>
      <c r="VIC3" s="784"/>
      <c r="VID3" s="784"/>
      <c r="VIE3" s="784"/>
      <c r="VIF3" s="784"/>
      <c r="VIG3" s="784"/>
      <c r="VIH3" s="784"/>
      <c r="VII3" s="784"/>
      <c r="VIJ3" s="785"/>
      <c r="VIK3" s="786"/>
      <c r="VIL3" s="784"/>
      <c r="VIM3" s="784"/>
      <c r="VIN3" s="784"/>
      <c r="VIO3" s="784"/>
      <c r="VIP3" s="784"/>
      <c r="VIQ3" s="784"/>
      <c r="VIR3" s="784"/>
      <c r="VIS3" s="784"/>
      <c r="VIT3" s="784"/>
      <c r="VIU3" s="784"/>
      <c r="VIV3" s="784"/>
      <c r="VIW3" s="784"/>
      <c r="VIX3" s="784"/>
      <c r="VIY3" s="785"/>
      <c r="VIZ3" s="786"/>
      <c r="VJA3" s="784"/>
      <c r="VJB3" s="784"/>
      <c r="VJC3" s="784"/>
      <c r="VJD3" s="784"/>
      <c r="VJE3" s="784"/>
      <c r="VJF3" s="784"/>
      <c r="VJG3" s="784"/>
      <c r="VJH3" s="784"/>
      <c r="VJI3" s="784"/>
      <c r="VJJ3" s="784"/>
      <c r="VJK3" s="784"/>
      <c r="VJL3" s="784"/>
      <c r="VJM3" s="784"/>
      <c r="VJN3" s="785"/>
      <c r="VJO3" s="786"/>
      <c r="VJP3" s="784"/>
      <c r="VJQ3" s="784"/>
      <c r="VJR3" s="784"/>
      <c r="VJS3" s="784"/>
      <c r="VJT3" s="784"/>
      <c r="VJU3" s="784"/>
      <c r="VJV3" s="784"/>
      <c r="VJW3" s="784"/>
      <c r="VJX3" s="784"/>
      <c r="VJY3" s="784"/>
      <c r="VJZ3" s="784"/>
      <c r="VKA3" s="784"/>
      <c r="VKB3" s="784"/>
      <c r="VKC3" s="785"/>
      <c r="VKD3" s="786"/>
      <c r="VKE3" s="784"/>
      <c r="VKF3" s="784"/>
      <c r="VKG3" s="784"/>
      <c r="VKH3" s="784"/>
      <c r="VKI3" s="784"/>
      <c r="VKJ3" s="784"/>
      <c r="VKK3" s="784"/>
      <c r="VKL3" s="784"/>
      <c r="VKM3" s="784"/>
      <c r="VKN3" s="784"/>
      <c r="VKO3" s="784"/>
      <c r="VKP3" s="784"/>
      <c r="VKQ3" s="784"/>
      <c r="VKR3" s="785"/>
      <c r="VKS3" s="786"/>
      <c r="VKT3" s="784"/>
      <c r="VKU3" s="784"/>
      <c r="VKV3" s="784"/>
      <c r="VKW3" s="784"/>
      <c r="VKX3" s="784"/>
      <c r="VKY3" s="784"/>
      <c r="VKZ3" s="784"/>
      <c r="VLA3" s="784"/>
      <c r="VLB3" s="784"/>
      <c r="VLC3" s="784"/>
      <c r="VLD3" s="784"/>
      <c r="VLE3" s="784"/>
      <c r="VLF3" s="784"/>
      <c r="VLG3" s="785"/>
      <c r="VLH3" s="786"/>
      <c r="VLI3" s="784"/>
      <c r="VLJ3" s="784"/>
      <c r="VLK3" s="784"/>
      <c r="VLL3" s="784"/>
      <c r="VLM3" s="784"/>
      <c r="VLN3" s="784"/>
      <c r="VLO3" s="784"/>
      <c r="VLP3" s="784"/>
      <c r="VLQ3" s="784"/>
      <c r="VLR3" s="784"/>
      <c r="VLS3" s="784"/>
      <c r="VLT3" s="784"/>
      <c r="VLU3" s="784"/>
      <c r="VLV3" s="785"/>
      <c r="VLW3" s="786"/>
      <c r="VLX3" s="784"/>
      <c r="VLY3" s="784"/>
      <c r="VLZ3" s="784"/>
      <c r="VMA3" s="784"/>
      <c r="VMB3" s="784"/>
      <c r="VMC3" s="784"/>
      <c r="VMD3" s="784"/>
      <c r="VME3" s="784"/>
      <c r="VMF3" s="784"/>
      <c r="VMG3" s="784"/>
      <c r="VMH3" s="784"/>
      <c r="VMI3" s="784"/>
      <c r="VMJ3" s="784"/>
      <c r="VMK3" s="785"/>
      <c r="VML3" s="786"/>
      <c r="VMM3" s="784"/>
      <c r="VMN3" s="784"/>
      <c r="VMO3" s="784"/>
      <c r="VMP3" s="784"/>
      <c r="VMQ3" s="784"/>
      <c r="VMR3" s="784"/>
      <c r="VMS3" s="784"/>
      <c r="VMT3" s="784"/>
      <c r="VMU3" s="784"/>
      <c r="VMV3" s="784"/>
      <c r="VMW3" s="784"/>
      <c r="VMX3" s="784"/>
      <c r="VMY3" s="784"/>
      <c r="VMZ3" s="785"/>
      <c r="VNA3" s="786"/>
      <c r="VNB3" s="784"/>
      <c r="VNC3" s="784"/>
      <c r="VND3" s="784"/>
      <c r="VNE3" s="784"/>
      <c r="VNF3" s="784"/>
      <c r="VNG3" s="784"/>
      <c r="VNH3" s="784"/>
      <c r="VNI3" s="784"/>
      <c r="VNJ3" s="784"/>
      <c r="VNK3" s="784"/>
      <c r="VNL3" s="784"/>
      <c r="VNM3" s="784"/>
      <c r="VNN3" s="784"/>
      <c r="VNO3" s="785"/>
      <c r="VNP3" s="786"/>
      <c r="VNQ3" s="784"/>
      <c r="VNR3" s="784"/>
      <c r="VNS3" s="784"/>
      <c r="VNT3" s="784"/>
      <c r="VNU3" s="784"/>
      <c r="VNV3" s="784"/>
      <c r="VNW3" s="784"/>
      <c r="VNX3" s="784"/>
      <c r="VNY3" s="784"/>
      <c r="VNZ3" s="784"/>
      <c r="VOA3" s="784"/>
      <c r="VOB3" s="784"/>
      <c r="VOC3" s="784"/>
      <c r="VOD3" s="785"/>
      <c r="VOE3" s="786"/>
      <c r="VOF3" s="784"/>
      <c r="VOG3" s="784"/>
      <c r="VOH3" s="784"/>
      <c r="VOI3" s="784"/>
      <c r="VOJ3" s="784"/>
      <c r="VOK3" s="784"/>
      <c r="VOL3" s="784"/>
      <c r="VOM3" s="784"/>
      <c r="VON3" s="784"/>
      <c r="VOO3" s="784"/>
      <c r="VOP3" s="784"/>
      <c r="VOQ3" s="784"/>
      <c r="VOR3" s="784"/>
      <c r="VOS3" s="785"/>
      <c r="VOT3" s="786"/>
      <c r="VOU3" s="784"/>
      <c r="VOV3" s="784"/>
      <c r="VOW3" s="784"/>
      <c r="VOX3" s="784"/>
      <c r="VOY3" s="784"/>
      <c r="VOZ3" s="784"/>
      <c r="VPA3" s="784"/>
      <c r="VPB3" s="784"/>
      <c r="VPC3" s="784"/>
      <c r="VPD3" s="784"/>
      <c r="VPE3" s="784"/>
      <c r="VPF3" s="784"/>
      <c r="VPG3" s="784"/>
      <c r="VPH3" s="785"/>
      <c r="VPI3" s="786"/>
      <c r="VPJ3" s="784"/>
      <c r="VPK3" s="784"/>
      <c r="VPL3" s="784"/>
      <c r="VPM3" s="784"/>
      <c r="VPN3" s="784"/>
      <c r="VPO3" s="784"/>
      <c r="VPP3" s="784"/>
      <c r="VPQ3" s="784"/>
      <c r="VPR3" s="784"/>
      <c r="VPS3" s="784"/>
      <c r="VPT3" s="784"/>
      <c r="VPU3" s="784"/>
      <c r="VPV3" s="784"/>
      <c r="VPW3" s="785"/>
      <c r="VPX3" s="786"/>
      <c r="VPY3" s="784"/>
      <c r="VPZ3" s="784"/>
      <c r="VQA3" s="784"/>
      <c r="VQB3" s="784"/>
      <c r="VQC3" s="784"/>
      <c r="VQD3" s="784"/>
      <c r="VQE3" s="784"/>
      <c r="VQF3" s="784"/>
      <c r="VQG3" s="784"/>
      <c r="VQH3" s="784"/>
      <c r="VQI3" s="784"/>
      <c r="VQJ3" s="784"/>
      <c r="VQK3" s="784"/>
      <c r="VQL3" s="785"/>
      <c r="VQM3" s="786"/>
      <c r="VQN3" s="784"/>
      <c r="VQO3" s="784"/>
      <c r="VQP3" s="784"/>
      <c r="VQQ3" s="784"/>
      <c r="VQR3" s="784"/>
      <c r="VQS3" s="784"/>
      <c r="VQT3" s="784"/>
      <c r="VQU3" s="784"/>
      <c r="VQV3" s="784"/>
      <c r="VQW3" s="784"/>
      <c r="VQX3" s="784"/>
      <c r="VQY3" s="784"/>
      <c r="VQZ3" s="784"/>
      <c r="VRA3" s="785"/>
      <c r="VRB3" s="786"/>
      <c r="VRC3" s="784"/>
      <c r="VRD3" s="784"/>
      <c r="VRE3" s="784"/>
      <c r="VRF3" s="784"/>
      <c r="VRG3" s="784"/>
      <c r="VRH3" s="784"/>
      <c r="VRI3" s="784"/>
      <c r="VRJ3" s="784"/>
      <c r="VRK3" s="784"/>
      <c r="VRL3" s="784"/>
      <c r="VRM3" s="784"/>
      <c r="VRN3" s="784"/>
      <c r="VRO3" s="784"/>
      <c r="VRP3" s="785"/>
      <c r="VRQ3" s="786"/>
      <c r="VRR3" s="784"/>
      <c r="VRS3" s="784"/>
      <c r="VRT3" s="784"/>
      <c r="VRU3" s="784"/>
      <c r="VRV3" s="784"/>
      <c r="VRW3" s="784"/>
      <c r="VRX3" s="784"/>
      <c r="VRY3" s="784"/>
      <c r="VRZ3" s="784"/>
      <c r="VSA3" s="784"/>
      <c r="VSB3" s="784"/>
      <c r="VSC3" s="784"/>
      <c r="VSD3" s="784"/>
      <c r="VSE3" s="785"/>
      <c r="VSF3" s="786"/>
      <c r="VSG3" s="784"/>
      <c r="VSH3" s="784"/>
      <c r="VSI3" s="784"/>
      <c r="VSJ3" s="784"/>
      <c r="VSK3" s="784"/>
      <c r="VSL3" s="784"/>
      <c r="VSM3" s="784"/>
      <c r="VSN3" s="784"/>
      <c r="VSO3" s="784"/>
      <c r="VSP3" s="784"/>
      <c r="VSQ3" s="784"/>
      <c r="VSR3" s="784"/>
      <c r="VSS3" s="784"/>
      <c r="VST3" s="785"/>
      <c r="VSU3" s="786"/>
      <c r="VSV3" s="784"/>
      <c r="VSW3" s="784"/>
      <c r="VSX3" s="784"/>
      <c r="VSY3" s="784"/>
      <c r="VSZ3" s="784"/>
      <c r="VTA3" s="784"/>
      <c r="VTB3" s="784"/>
      <c r="VTC3" s="784"/>
      <c r="VTD3" s="784"/>
      <c r="VTE3" s="784"/>
      <c r="VTF3" s="784"/>
      <c r="VTG3" s="784"/>
      <c r="VTH3" s="784"/>
      <c r="VTI3" s="785"/>
      <c r="VTJ3" s="786"/>
      <c r="VTK3" s="784"/>
      <c r="VTL3" s="784"/>
      <c r="VTM3" s="784"/>
      <c r="VTN3" s="784"/>
      <c r="VTO3" s="784"/>
      <c r="VTP3" s="784"/>
      <c r="VTQ3" s="784"/>
      <c r="VTR3" s="784"/>
      <c r="VTS3" s="784"/>
      <c r="VTT3" s="784"/>
      <c r="VTU3" s="784"/>
      <c r="VTV3" s="784"/>
      <c r="VTW3" s="784"/>
      <c r="VTX3" s="785"/>
      <c r="VTY3" s="786"/>
      <c r="VTZ3" s="784"/>
      <c r="VUA3" s="784"/>
      <c r="VUB3" s="784"/>
      <c r="VUC3" s="784"/>
      <c r="VUD3" s="784"/>
      <c r="VUE3" s="784"/>
      <c r="VUF3" s="784"/>
      <c r="VUG3" s="784"/>
      <c r="VUH3" s="784"/>
      <c r="VUI3" s="784"/>
      <c r="VUJ3" s="784"/>
      <c r="VUK3" s="784"/>
      <c r="VUL3" s="784"/>
      <c r="VUM3" s="785"/>
      <c r="VUN3" s="786"/>
      <c r="VUO3" s="784"/>
      <c r="VUP3" s="784"/>
      <c r="VUQ3" s="784"/>
      <c r="VUR3" s="784"/>
      <c r="VUS3" s="784"/>
      <c r="VUT3" s="784"/>
      <c r="VUU3" s="784"/>
      <c r="VUV3" s="784"/>
      <c r="VUW3" s="784"/>
      <c r="VUX3" s="784"/>
      <c r="VUY3" s="784"/>
      <c r="VUZ3" s="784"/>
      <c r="VVA3" s="784"/>
      <c r="VVB3" s="785"/>
      <c r="VVC3" s="786"/>
      <c r="VVD3" s="784"/>
      <c r="VVE3" s="784"/>
      <c r="VVF3" s="784"/>
      <c r="VVG3" s="784"/>
      <c r="VVH3" s="784"/>
      <c r="VVI3" s="784"/>
      <c r="VVJ3" s="784"/>
      <c r="VVK3" s="784"/>
      <c r="VVL3" s="784"/>
      <c r="VVM3" s="784"/>
      <c r="VVN3" s="784"/>
      <c r="VVO3" s="784"/>
      <c r="VVP3" s="784"/>
      <c r="VVQ3" s="785"/>
      <c r="VVR3" s="786"/>
      <c r="VVS3" s="784"/>
      <c r="VVT3" s="784"/>
      <c r="VVU3" s="784"/>
      <c r="VVV3" s="784"/>
      <c r="VVW3" s="784"/>
      <c r="VVX3" s="784"/>
      <c r="VVY3" s="784"/>
      <c r="VVZ3" s="784"/>
      <c r="VWA3" s="784"/>
      <c r="VWB3" s="784"/>
      <c r="VWC3" s="784"/>
      <c r="VWD3" s="784"/>
      <c r="VWE3" s="784"/>
      <c r="VWF3" s="785"/>
      <c r="VWG3" s="786"/>
      <c r="VWH3" s="784"/>
      <c r="VWI3" s="784"/>
      <c r="VWJ3" s="784"/>
      <c r="VWK3" s="784"/>
      <c r="VWL3" s="784"/>
      <c r="VWM3" s="784"/>
      <c r="VWN3" s="784"/>
      <c r="VWO3" s="784"/>
      <c r="VWP3" s="784"/>
      <c r="VWQ3" s="784"/>
      <c r="VWR3" s="784"/>
      <c r="VWS3" s="784"/>
      <c r="VWT3" s="784"/>
      <c r="VWU3" s="785"/>
      <c r="VWV3" s="786"/>
      <c r="VWW3" s="784"/>
      <c r="VWX3" s="784"/>
      <c r="VWY3" s="784"/>
      <c r="VWZ3" s="784"/>
      <c r="VXA3" s="784"/>
      <c r="VXB3" s="784"/>
      <c r="VXC3" s="784"/>
      <c r="VXD3" s="784"/>
      <c r="VXE3" s="784"/>
      <c r="VXF3" s="784"/>
      <c r="VXG3" s="784"/>
      <c r="VXH3" s="784"/>
      <c r="VXI3" s="784"/>
      <c r="VXJ3" s="785"/>
      <c r="VXK3" s="786"/>
      <c r="VXL3" s="784"/>
      <c r="VXM3" s="784"/>
      <c r="VXN3" s="784"/>
      <c r="VXO3" s="784"/>
      <c r="VXP3" s="784"/>
      <c r="VXQ3" s="784"/>
      <c r="VXR3" s="784"/>
      <c r="VXS3" s="784"/>
      <c r="VXT3" s="784"/>
      <c r="VXU3" s="784"/>
      <c r="VXV3" s="784"/>
      <c r="VXW3" s="784"/>
      <c r="VXX3" s="784"/>
      <c r="VXY3" s="785"/>
      <c r="VXZ3" s="786"/>
      <c r="VYA3" s="784"/>
      <c r="VYB3" s="784"/>
      <c r="VYC3" s="784"/>
      <c r="VYD3" s="784"/>
      <c r="VYE3" s="784"/>
      <c r="VYF3" s="784"/>
      <c r="VYG3" s="784"/>
      <c r="VYH3" s="784"/>
      <c r="VYI3" s="784"/>
      <c r="VYJ3" s="784"/>
      <c r="VYK3" s="784"/>
      <c r="VYL3" s="784"/>
      <c r="VYM3" s="784"/>
      <c r="VYN3" s="785"/>
      <c r="VYO3" s="786"/>
      <c r="VYP3" s="784"/>
      <c r="VYQ3" s="784"/>
      <c r="VYR3" s="784"/>
      <c r="VYS3" s="784"/>
      <c r="VYT3" s="784"/>
      <c r="VYU3" s="784"/>
      <c r="VYV3" s="784"/>
      <c r="VYW3" s="784"/>
      <c r="VYX3" s="784"/>
      <c r="VYY3" s="784"/>
      <c r="VYZ3" s="784"/>
      <c r="VZA3" s="784"/>
      <c r="VZB3" s="784"/>
      <c r="VZC3" s="785"/>
      <c r="VZD3" s="786"/>
      <c r="VZE3" s="784"/>
      <c r="VZF3" s="784"/>
      <c r="VZG3" s="784"/>
      <c r="VZH3" s="784"/>
      <c r="VZI3" s="784"/>
      <c r="VZJ3" s="784"/>
      <c r="VZK3" s="784"/>
      <c r="VZL3" s="784"/>
      <c r="VZM3" s="784"/>
      <c r="VZN3" s="784"/>
      <c r="VZO3" s="784"/>
      <c r="VZP3" s="784"/>
      <c r="VZQ3" s="784"/>
      <c r="VZR3" s="785"/>
      <c r="VZS3" s="786"/>
      <c r="VZT3" s="784"/>
      <c r="VZU3" s="784"/>
      <c r="VZV3" s="784"/>
      <c r="VZW3" s="784"/>
      <c r="VZX3" s="784"/>
      <c r="VZY3" s="784"/>
      <c r="VZZ3" s="784"/>
      <c r="WAA3" s="784"/>
      <c r="WAB3" s="784"/>
      <c r="WAC3" s="784"/>
      <c r="WAD3" s="784"/>
      <c r="WAE3" s="784"/>
      <c r="WAF3" s="784"/>
      <c r="WAG3" s="785"/>
      <c r="WAH3" s="786"/>
      <c r="WAI3" s="784"/>
      <c r="WAJ3" s="784"/>
      <c r="WAK3" s="784"/>
      <c r="WAL3" s="784"/>
      <c r="WAM3" s="784"/>
      <c r="WAN3" s="784"/>
      <c r="WAO3" s="784"/>
      <c r="WAP3" s="784"/>
      <c r="WAQ3" s="784"/>
      <c r="WAR3" s="784"/>
      <c r="WAS3" s="784"/>
      <c r="WAT3" s="784"/>
      <c r="WAU3" s="784"/>
      <c r="WAV3" s="785"/>
      <c r="WAW3" s="786"/>
      <c r="WAX3" s="784"/>
      <c r="WAY3" s="784"/>
      <c r="WAZ3" s="784"/>
      <c r="WBA3" s="784"/>
      <c r="WBB3" s="784"/>
      <c r="WBC3" s="784"/>
      <c r="WBD3" s="784"/>
      <c r="WBE3" s="784"/>
      <c r="WBF3" s="784"/>
      <c r="WBG3" s="784"/>
      <c r="WBH3" s="784"/>
      <c r="WBI3" s="784"/>
      <c r="WBJ3" s="784"/>
      <c r="WBK3" s="785"/>
      <c r="WBL3" s="786"/>
      <c r="WBM3" s="784"/>
      <c r="WBN3" s="784"/>
      <c r="WBO3" s="784"/>
      <c r="WBP3" s="784"/>
      <c r="WBQ3" s="784"/>
      <c r="WBR3" s="784"/>
      <c r="WBS3" s="784"/>
      <c r="WBT3" s="784"/>
      <c r="WBU3" s="784"/>
      <c r="WBV3" s="784"/>
      <c r="WBW3" s="784"/>
      <c r="WBX3" s="784"/>
      <c r="WBY3" s="784"/>
      <c r="WBZ3" s="785"/>
      <c r="WCA3" s="786"/>
      <c r="WCB3" s="784"/>
      <c r="WCC3" s="784"/>
      <c r="WCD3" s="784"/>
      <c r="WCE3" s="784"/>
      <c r="WCF3" s="784"/>
      <c r="WCG3" s="784"/>
      <c r="WCH3" s="784"/>
      <c r="WCI3" s="784"/>
      <c r="WCJ3" s="784"/>
      <c r="WCK3" s="784"/>
      <c r="WCL3" s="784"/>
      <c r="WCM3" s="784"/>
      <c r="WCN3" s="784"/>
      <c r="WCO3" s="785"/>
      <c r="WCP3" s="786"/>
      <c r="WCQ3" s="784"/>
      <c r="WCR3" s="784"/>
      <c r="WCS3" s="784"/>
      <c r="WCT3" s="784"/>
      <c r="WCU3" s="784"/>
      <c r="WCV3" s="784"/>
      <c r="WCW3" s="784"/>
      <c r="WCX3" s="784"/>
      <c r="WCY3" s="784"/>
      <c r="WCZ3" s="784"/>
      <c r="WDA3" s="784"/>
      <c r="WDB3" s="784"/>
      <c r="WDC3" s="784"/>
      <c r="WDD3" s="785"/>
      <c r="WDE3" s="786"/>
      <c r="WDF3" s="784"/>
      <c r="WDG3" s="784"/>
      <c r="WDH3" s="784"/>
      <c r="WDI3" s="784"/>
      <c r="WDJ3" s="784"/>
      <c r="WDK3" s="784"/>
      <c r="WDL3" s="784"/>
      <c r="WDM3" s="784"/>
      <c r="WDN3" s="784"/>
      <c r="WDO3" s="784"/>
      <c r="WDP3" s="784"/>
      <c r="WDQ3" s="784"/>
      <c r="WDR3" s="784"/>
      <c r="WDS3" s="785"/>
      <c r="WDT3" s="786"/>
      <c r="WDU3" s="784"/>
      <c r="WDV3" s="784"/>
      <c r="WDW3" s="784"/>
      <c r="WDX3" s="784"/>
      <c r="WDY3" s="784"/>
      <c r="WDZ3" s="784"/>
      <c r="WEA3" s="784"/>
      <c r="WEB3" s="784"/>
      <c r="WEC3" s="784"/>
      <c r="WED3" s="784"/>
      <c r="WEE3" s="784"/>
      <c r="WEF3" s="784"/>
      <c r="WEG3" s="784"/>
      <c r="WEH3" s="785"/>
      <c r="WEI3" s="786"/>
      <c r="WEJ3" s="784"/>
      <c r="WEK3" s="784"/>
      <c r="WEL3" s="784"/>
      <c r="WEM3" s="784"/>
      <c r="WEN3" s="784"/>
      <c r="WEO3" s="784"/>
      <c r="WEP3" s="784"/>
      <c r="WEQ3" s="784"/>
      <c r="WER3" s="784"/>
      <c r="WES3" s="784"/>
      <c r="WET3" s="784"/>
      <c r="WEU3" s="784"/>
      <c r="WEV3" s="784"/>
      <c r="WEW3" s="785"/>
      <c r="WEX3" s="786"/>
      <c r="WEY3" s="784"/>
      <c r="WEZ3" s="784"/>
      <c r="WFA3" s="784"/>
      <c r="WFB3" s="784"/>
      <c r="WFC3" s="784"/>
      <c r="WFD3" s="784"/>
      <c r="WFE3" s="784"/>
      <c r="WFF3" s="784"/>
      <c r="WFG3" s="784"/>
      <c r="WFH3" s="784"/>
      <c r="WFI3" s="784"/>
      <c r="WFJ3" s="784"/>
      <c r="WFK3" s="784"/>
      <c r="WFL3" s="785"/>
      <c r="WFM3" s="786"/>
      <c r="WFN3" s="784"/>
      <c r="WFO3" s="784"/>
      <c r="WFP3" s="784"/>
      <c r="WFQ3" s="784"/>
      <c r="WFR3" s="784"/>
      <c r="WFS3" s="784"/>
      <c r="WFT3" s="784"/>
      <c r="WFU3" s="784"/>
      <c r="WFV3" s="784"/>
      <c r="WFW3" s="784"/>
      <c r="WFX3" s="784"/>
      <c r="WFY3" s="784"/>
      <c r="WFZ3" s="784"/>
      <c r="WGA3" s="785"/>
      <c r="WGB3" s="786"/>
      <c r="WGC3" s="784"/>
      <c r="WGD3" s="784"/>
      <c r="WGE3" s="784"/>
      <c r="WGF3" s="784"/>
      <c r="WGG3" s="784"/>
      <c r="WGH3" s="784"/>
      <c r="WGI3" s="784"/>
      <c r="WGJ3" s="784"/>
      <c r="WGK3" s="784"/>
      <c r="WGL3" s="784"/>
      <c r="WGM3" s="784"/>
      <c r="WGN3" s="784"/>
      <c r="WGO3" s="784"/>
      <c r="WGP3" s="785"/>
      <c r="WGQ3" s="786"/>
      <c r="WGR3" s="784"/>
      <c r="WGS3" s="784"/>
      <c r="WGT3" s="784"/>
      <c r="WGU3" s="784"/>
      <c r="WGV3" s="784"/>
      <c r="WGW3" s="784"/>
      <c r="WGX3" s="784"/>
      <c r="WGY3" s="784"/>
      <c r="WGZ3" s="784"/>
      <c r="WHA3" s="784"/>
      <c r="WHB3" s="784"/>
      <c r="WHC3" s="784"/>
      <c r="WHD3" s="784"/>
      <c r="WHE3" s="785"/>
      <c r="WHF3" s="786"/>
      <c r="WHG3" s="784"/>
      <c r="WHH3" s="784"/>
      <c r="WHI3" s="784"/>
      <c r="WHJ3" s="784"/>
      <c r="WHK3" s="784"/>
      <c r="WHL3" s="784"/>
      <c r="WHM3" s="784"/>
      <c r="WHN3" s="784"/>
      <c r="WHO3" s="784"/>
      <c r="WHP3" s="784"/>
      <c r="WHQ3" s="784"/>
      <c r="WHR3" s="784"/>
      <c r="WHS3" s="784"/>
      <c r="WHT3" s="785"/>
      <c r="WHU3" s="786"/>
      <c r="WHV3" s="784"/>
      <c r="WHW3" s="784"/>
      <c r="WHX3" s="784"/>
      <c r="WHY3" s="784"/>
      <c r="WHZ3" s="784"/>
      <c r="WIA3" s="784"/>
      <c r="WIB3" s="784"/>
      <c r="WIC3" s="784"/>
      <c r="WID3" s="784"/>
      <c r="WIE3" s="784"/>
      <c r="WIF3" s="784"/>
      <c r="WIG3" s="784"/>
      <c r="WIH3" s="784"/>
      <c r="WII3" s="785"/>
      <c r="WIJ3" s="786"/>
      <c r="WIK3" s="784"/>
      <c r="WIL3" s="784"/>
      <c r="WIM3" s="784"/>
      <c r="WIN3" s="784"/>
      <c r="WIO3" s="784"/>
      <c r="WIP3" s="784"/>
      <c r="WIQ3" s="784"/>
      <c r="WIR3" s="784"/>
      <c r="WIS3" s="784"/>
      <c r="WIT3" s="784"/>
      <c r="WIU3" s="784"/>
      <c r="WIV3" s="784"/>
      <c r="WIW3" s="784"/>
      <c r="WIX3" s="785"/>
      <c r="WIY3" s="786"/>
      <c r="WIZ3" s="784"/>
      <c r="WJA3" s="784"/>
      <c r="WJB3" s="784"/>
      <c r="WJC3" s="784"/>
      <c r="WJD3" s="784"/>
      <c r="WJE3" s="784"/>
      <c r="WJF3" s="784"/>
      <c r="WJG3" s="784"/>
      <c r="WJH3" s="784"/>
      <c r="WJI3" s="784"/>
      <c r="WJJ3" s="784"/>
      <c r="WJK3" s="784"/>
      <c r="WJL3" s="784"/>
      <c r="WJM3" s="785"/>
      <c r="WJN3" s="786"/>
      <c r="WJO3" s="784"/>
      <c r="WJP3" s="784"/>
      <c r="WJQ3" s="784"/>
      <c r="WJR3" s="784"/>
      <c r="WJS3" s="784"/>
      <c r="WJT3" s="784"/>
      <c r="WJU3" s="784"/>
      <c r="WJV3" s="784"/>
      <c r="WJW3" s="784"/>
      <c r="WJX3" s="784"/>
      <c r="WJY3" s="784"/>
      <c r="WJZ3" s="784"/>
      <c r="WKA3" s="784"/>
      <c r="WKB3" s="785"/>
      <c r="WKC3" s="786"/>
      <c r="WKD3" s="784"/>
      <c r="WKE3" s="784"/>
      <c r="WKF3" s="784"/>
      <c r="WKG3" s="784"/>
      <c r="WKH3" s="784"/>
      <c r="WKI3" s="784"/>
      <c r="WKJ3" s="784"/>
      <c r="WKK3" s="784"/>
      <c r="WKL3" s="784"/>
      <c r="WKM3" s="784"/>
      <c r="WKN3" s="784"/>
      <c r="WKO3" s="784"/>
      <c r="WKP3" s="784"/>
      <c r="WKQ3" s="785"/>
      <c r="WKR3" s="786"/>
      <c r="WKS3" s="784"/>
      <c r="WKT3" s="784"/>
      <c r="WKU3" s="784"/>
      <c r="WKV3" s="784"/>
      <c r="WKW3" s="784"/>
      <c r="WKX3" s="784"/>
      <c r="WKY3" s="784"/>
      <c r="WKZ3" s="784"/>
      <c r="WLA3" s="784"/>
      <c r="WLB3" s="784"/>
      <c r="WLC3" s="784"/>
      <c r="WLD3" s="784"/>
      <c r="WLE3" s="784"/>
      <c r="WLF3" s="785"/>
      <c r="WLG3" s="786"/>
      <c r="WLH3" s="784"/>
      <c r="WLI3" s="784"/>
      <c r="WLJ3" s="784"/>
      <c r="WLK3" s="784"/>
      <c r="WLL3" s="784"/>
      <c r="WLM3" s="784"/>
      <c r="WLN3" s="784"/>
      <c r="WLO3" s="784"/>
      <c r="WLP3" s="784"/>
      <c r="WLQ3" s="784"/>
      <c r="WLR3" s="784"/>
      <c r="WLS3" s="784"/>
      <c r="WLT3" s="784"/>
      <c r="WLU3" s="785"/>
      <c r="WLV3" s="786"/>
      <c r="WLW3" s="784"/>
      <c r="WLX3" s="784"/>
      <c r="WLY3" s="784"/>
      <c r="WLZ3" s="784"/>
      <c r="WMA3" s="784"/>
      <c r="WMB3" s="784"/>
      <c r="WMC3" s="784"/>
      <c r="WMD3" s="784"/>
      <c r="WME3" s="784"/>
      <c r="WMF3" s="784"/>
      <c r="WMG3" s="784"/>
      <c r="WMH3" s="784"/>
      <c r="WMI3" s="784"/>
      <c r="WMJ3" s="785"/>
      <c r="WMK3" s="786"/>
      <c r="WML3" s="784"/>
      <c r="WMM3" s="784"/>
      <c r="WMN3" s="784"/>
      <c r="WMO3" s="784"/>
      <c r="WMP3" s="784"/>
      <c r="WMQ3" s="784"/>
      <c r="WMR3" s="784"/>
      <c r="WMS3" s="784"/>
      <c r="WMT3" s="784"/>
      <c r="WMU3" s="784"/>
      <c r="WMV3" s="784"/>
      <c r="WMW3" s="784"/>
      <c r="WMX3" s="784"/>
      <c r="WMY3" s="785"/>
      <c r="WMZ3" s="786"/>
      <c r="WNA3" s="784"/>
      <c r="WNB3" s="784"/>
      <c r="WNC3" s="784"/>
      <c r="WND3" s="784"/>
      <c r="WNE3" s="784"/>
      <c r="WNF3" s="784"/>
      <c r="WNG3" s="784"/>
      <c r="WNH3" s="784"/>
      <c r="WNI3" s="784"/>
      <c r="WNJ3" s="784"/>
      <c r="WNK3" s="784"/>
      <c r="WNL3" s="784"/>
      <c r="WNM3" s="784"/>
      <c r="WNN3" s="785"/>
      <c r="WNO3" s="786"/>
      <c r="WNP3" s="784"/>
      <c r="WNQ3" s="784"/>
      <c r="WNR3" s="784"/>
      <c r="WNS3" s="784"/>
      <c r="WNT3" s="784"/>
      <c r="WNU3" s="784"/>
      <c r="WNV3" s="784"/>
      <c r="WNW3" s="784"/>
      <c r="WNX3" s="784"/>
      <c r="WNY3" s="784"/>
      <c r="WNZ3" s="784"/>
      <c r="WOA3" s="784"/>
      <c r="WOB3" s="784"/>
      <c r="WOC3" s="785"/>
      <c r="WOD3" s="786"/>
      <c r="WOE3" s="784"/>
      <c r="WOF3" s="784"/>
      <c r="WOG3" s="784"/>
      <c r="WOH3" s="784"/>
      <c r="WOI3" s="784"/>
      <c r="WOJ3" s="784"/>
      <c r="WOK3" s="784"/>
      <c r="WOL3" s="784"/>
      <c r="WOM3" s="784"/>
      <c r="WON3" s="784"/>
      <c r="WOO3" s="784"/>
      <c r="WOP3" s="784"/>
      <c r="WOQ3" s="784"/>
      <c r="WOR3" s="785"/>
      <c r="WOS3" s="786"/>
      <c r="WOT3" s="784"/>
      <c r="WOU3" s="784"/>
      <c r="WOV3" s="784"/>
      <c r="WOW3" s="784"/>
      <c r="WOX3" s="784"/>
      <c r="WOY3" s="784"/>
      <c r="WOZ3" s="784"/>
      <c r="WPA3" s="784"/>
      <c r="WPB3" s="784"/>
      <c r="WPC3" s="784"/>
      <c r="WPD3" s="784"/>
      <c r="WPE3" s="784"/>
      <c r="WPF3" s="784"/>
      <c r="WPG3" s="785"/>
      <c r="WPH3" s="786"/>
      <c r="WPI3" s="784"/>
      <c r="WPJ3" s="784"/>
      <c r="WPK3" s="784"/>
      <c r="WPL3" s="784"/>
      <c r="WPM3" s="784"/>
      <c r="WPN3" s="784"/>
      <c r="WPO3" s="784"/>
      <c r="WPP3" s="784"/>
      <c r="WPQ3" s="784"/>
      <c r="WPR3" s="784"/>
      <c r="WPS3" s="784"/>
      <c r="WPT3" s="784"/>
      <c r="WPU3" s="784"/>
      <c r="WPV3" s="785"/>
      <c r="WPW3" s="786"/>
      <c r="WPX3" s="784"/>
      <c r="WPY3" s="784"/>
      <c r="WPZ3" s="784"/>
      <c r="WQA3" s="784"/>
      <c r="WQB3" s="784"/>
      <c r="WQC3" s="784"/>
      <c r="WQD3" s="784"/>
      <c r="WQE3" s="784"/>
      <c r="WQF3" s="784"/>
      <c r="WQG3" s="784"/>
      <c r="WQH3" s="784"/>
      <c r="WQI3" s="784"/>
      <c r="WQJ3" s="784"/>
      <c r="WQK3" s="785"/>
      <c r="WQL3" s="786"/>
      <c r="WQM3" s="784"/>
      <c r="WQN3" s="784"/>
      <c r="WQO3" s="784"/>
      <c r="WQP3" s="784"/>
      <c r="WQQ3" s="784"/>
      <c r="WQR3" s="784"/>
      <c r="WQS3" s="784"/>
      <c r="WQT3" s="784"/>
      <c r="WQU3" s="784"/>
      <c r="WQV3" s="784"/>
      <c r="WQW3" s="784"/>
      <c r="WQX3" s="784"/>
      <c r="WQY3" s="784"/>
      <c r="WQZ3" s="785"/>
      <c r="WRA3" s="786"/>
      <c r="WRB3" s="784"/>
      <c r="WRC3" s="784"/>
      <c r="WRD3" s="784"/>
      <c r="WRE3" s="784"/>
      <c r="WRF3" s="784"/>
      <c r="WRG3" s="784"/>
      <c r="WRH3" s="784"/>
      <c r="WRI3" s="784"/>
      <c r="WRJ3" s="784"/>
      <c r="WRK3" s="784"/>
      <c r="WRL3" s="784"/>
      <c r="WRM3" s="784"/>
      <c r="WRN3" s="784"/>
      <c r="WRO3" s="785"/>
      <c r="WRP3" s="786"/>
      <c r="WRQ3" s="784"/>
      <c r="WRR3" s="784"/>
      <c r="WRS3" s="784"/>
      <c r="WRT3" s="784"/>
      <c r="WRU3" s="784"/>
      <c r="WRV3" s="784"/>
      <c r="WRW3" s="784"/>
      <c r="WRX3" s="784"/>
      <c r="WRY3" s="784"/>
      <c r="WRZ3" s="784"/>
      <c r="WSA3" s="784"/>
      <c r="WSB3" s="784"/>
      <c r="WSC3" s="784"/>
      <c r="WSD3" s="785"/>
      <c r="WSE3" s="786"/>
      <c r="WSF3" s="784"/>
      <c r="WSG3" s="784"/>
      <c r="WSH3" s="784"/>
      <c r="WSI3" s="784"/>
      <c r="WSJ3" s="784"/>
      <c r="WSK3" s="784"/>
      <c r="WSL3" s="784"/>
      <c r="WSM3" s="784"/>
      <c r="WSN3" s="784"/>
      <c r="WSO3" s="784"/>
      <c r="WSP3" s="784"/>
      <c r="WSQ3" s="784"/>
      <c r="WSR3" s="784"/>
      <c r="WSS3" s="785"/>
      <c r="WST3" s="786"/>
      <c r="WSU3" s="784"/>
      <c r="WSV3" s="784"/>
      <c r="WSW3" s="784"/>
      <c r="WSX3" s="784"/>
      <c r="WSY3" s="784"/>
      <c r="WSZ3" s="784"/>
      <c r="WTA3" s="784"/>
      <c r="WTB3" s="784"/>
      <c r="WTC3" s="784"/>
      <c r="WTD3" s="784"/>
      <c r="WTE3" s="784"/>
      <c r="WTF3" s="784"/>
      <c r="WTG3" s="784"/>
      <c r="WTH3" s="785"/>
      <c r="WTI3" s="786"/>
      <c r="WTJ3" s="784"/>
      <c r="WTK3" s="784"/>
      <c r="WTL3" s="784"/>
      <c r="WTM3" s="784"/>
      <c r="WTN3" s="784"/>
      <c r="WTO3" s="784"/>
      <c r="WTP3" s="784"/>
      <c r="WTQ3" s="784"/>
      <c r="WTR3" s="784"/>
      <c r="WTS3" s="784"/>
      <c r="WTT3" s="784"/>
      <c r="WTU3" s="784"/>
      <c r="WTV3" s="784"/>
      <c r="WTW3" s="785"/>
      <c r="WTX3" s="786"/>
      <c r="WTY3" s="784"/>
      <c r="WTZ3" s="784"/>
      <c r="WUA3" s="784"/>
      <c r="WUB3" s="784"/>
      <c r="WUC3" s="784"/>
      <c r="WUD3" s="784"/>
      <c r="WUE3" s="784"/>
      <c r="WUF3" s="784"/>
      <c r="WUG3" s="784"/>
      <c r="WUH3" s="784"/>
      <c r="WUI3" s="784"/>
      <c r="WUJ3" s="784"/>
      <c r="WUK3" s="784"/>
      <c r="WUL3" s="785"/>
      <c r="WUM3" s="786"/>
      <c r="WUN3" s="784"/>
      <c r="WUO3" s="784"/>
      <c r="WUP3" s="784"/>
      <c r="WUQ3" s="784"/>
      <c r="WUR3" s="784"/>
      <c r="WUS3" s="784"/>
      <c r="WUT3" s="784"/>
      <c r="WUU3" s="784"/>
      <c r="WUV3" s="784"/>
      <c r="WUW3" s="784"/>
      <c r="WUX3" s="784"/>
      <c r="WUY3" s="784"/>
      <c r="WUZ3" s="784"/>
      <c r="WVA3" s="785"/>
      <c r="WVB3" s="786"/>
      <c r="WVC3" s="784"/>
      <c r="WVD3" s="784"/>
      <c r="WVE3" s="784"/>
      <c r="WVF3" s="784"/>
      <c r="WVG3" s="784"/>
      <c r="WVH3" s="784"/>
      <c r="WVI3" s="784"/>
      <c r="WVJ3" s="784"/>
      <c r="WVK3" s="784"/>
      <c r="WVL3" s="784"/>
      <c r="WVM3" s="784"/>
      <c r="WVN3" s="784"/>
      <c r="WVO3" s="784"/>
      <c r="WVP3" s="785"/>
      <c r="WVQ3" s="786"/>
      <c r="WVR3" s="784"/>
      <c r="WVS3" s="784"/>
      <c r="WVT3" s="784"/>
      <c r="WVU3" s="784"/>
      <c r="WVV3" s="784"/>
      <c r="WVW3" s="784"/>
      <c r="WVX3" s="784"/>
      <c r="WVY3" s="784"/>
      <c r="WVZ3" s="784"/>
      <c r="WWA3" s="784"/>
      <c r="WWB3" s="784"/>
      <c r="WWC3" s="784"/>
      <c r="WWD3" s="784"/>
      <c r="WWE3" s="785"/>
      <c r="WWF3" s="786"/>
      <c r="WWG3" s="784"/>
      <c r="WWH3" s="784"/>
      <c r="WWI3" s="784"/>
      <c r="WWJ3" s="784"/>
      <c r="WWK3" s="784"/>
      <c r="WWL3" s="784"/>
      <c r="WWM3" s="784"/>
      <c r="WWN3" s="784"/>
      <c r="WWO3" s="784"/>
      <c r="WWP3" s="784"/>
      <c r="WWQ3" s="784"/>
      <c r="WWR3" s="784"/>
      <c r="WWS3" s="784"/>
      <c r="WWT3" s="785"/>
      <c r="WWU3" s="786"/>
      <c r="WWV3" s="784"/>
      <c r="WWW3" s="784"/>
      <c r="WWX3" s="784"/>
      <c r="WWY3" s="784"/>
      <c r="WWZ3" s="784"/>
      <c r="WXA3" s="784"/>
      <c r="WXB3" s="784"/>
      <c r="WXC3" s="784"/>
      <c r="WXD3" s="784"/>
      <c r="WXE3" s="784"/>
      <c r="WXF3" s="784"/>
      <c r="WXG3" s="784"/>
      <c r="WXH3" s="784"/>
      <c r="WXI3" s="785"/>
      <c r="WXJ3" s="786"/>
      <c r="WXK3" s="784"/>
      <c r="WXL3" s="784"/>
      <c r="WXM3" s="784"/>
      <c r="WXN3" s="784"/>
      <c r="WXO3" s="784"/>
      <c r="WXP3" s="784"/>
      <c r="WXQ3" s="784"/>
      <c r="WXR3" s="784"/>
      <c r="WXS3" s="784"/>
      <c r="WXT3" s="784"/>
      <c r="WXU3" s="784"/>
      <c r="WXV3" s="784"/>
      <c r="WXW3" s="784"/>
      <c r="WXX3" s="785"/>
      <c r="WXY3" s="786"/>
      <c r="WXZ3" s="784"/>
      <c r="WYA3" s="784"/>
      <c r="WYB3" s="784"/>
      <c r="WYC3" s="784"/>
      <c r="WYD3" s="784"/>
      <c r="WYE3" s="784"/>
      <c r="WYF3" s="784"/>
      <c r="WYG3" s="784"/>
      <c r="WYH3" s="784"/>
      <c r="WYI3" s="784"/>
      <c r="WYJ3" s="784"/>
      <c r="WYK3" s="784"/>
      <c r="WYL3" s="784"/>
      <c r="WYM3" s="785"/>
      <c r="WYN3" s="786"/>
      <c r="WYO3" s="784"/>
      <c r="WYP3" s="784"/>
      <c r="WYQ3" s="784"/>
      <c r="WYR3" s="784"/>
      <c r="WYS3" s="784"/>
      <c r="WYT3" s="784"/>
      <c r="WYU3" s="784"/>
      <c r="WYV3" s="784"/>
      <c r="WYW3" s="784"/>
      <c r="WYX3" s="784"/>
      <c r="WYY3" s="784"/>
      <c r="WYZ3" s="784"/>
      <c r="WZA3" s="784"/>
      <c r="WZB3" s="785"/>
      <c r="WZC3" s="786"/>
      <c r="WZD3" s="784"/>
      <c r="WZE3" s="784"/>
      <c r="WZF3" s="784"/>
      <c r="WZG3" s="784"/>
      <c r="WZH3" s="784"/>
      <c r="WZI3" s="784"/>
      <c r="WZJ3" s="784"/>
      <c r="WZK3" s="784"/>
      <c r="WZL3" s="784"/>
      <c r="WZM3" s="784"/>
      <c r="WZN3" s="784"/>
      <c r="WZO3" s="784"/>
      <c r="WZP3" s="784"/>
      <c r="WZQ3" s="785"/>
      <c r="WZR3" s="786"/>
      <c r="WZS3" s="784"/>
      <c r="WZT3" s="784"/>
      <c r="WZU3" s="784"/>
      <c r="WZV3" s="784"/>
      <c r="WZW3" s="784"/>
      <c r="WZX3" s="784"/>
      <c r="WZY3" s="784"/>
      <c r="WZZ3" s="784"/>
      <c r="XAA3" s="784"/>
      <c r="XAB3" s="784"/>
      <c r="XAC3" s="784"/>
      <c r="XAD3" s="784"/>
      <c r="XAE3" s="784"/>
      <c r="XAF3" s="785"/>
      <c r="XAG3" s="786"/>
      <c r="XAH3" s="784"/>
      <c r="XAI3" s="784"/>
      <c r="XAJ3" s="784"/>
      <c r="XAK3" s="784"/>
      <c r="XAL3" s="784"/>
      <c r="XAM3" s="784"/>
      <c r="XAN3" s="784"/>
      <c r="XAO3" s="784"/>
      <c r="XAP3" s="784"/>
      <c r="XAQ3" s="784"/>
      <c r="XAR3" s="784"/>
      <c r="XAS3" s="784"/>
      <c r="XAT3" s="784"/>
      <c r="XAU3" s="785"/>
      <c r="XAV3" s="786"/>
      <c r="XAW3" s="784"/>
      <c r="XAX3" s="784"/>
      <c r="XAY3" s="784"/>
      <c r="XAZ3" s="784"/>
      <c r="XBA3" s="784"/>
      <c r="XBB3" s="784"/>
      <c r="XBC3" s="784"/>
      <c r="XBD3" s="784"/>
      <c r="XBE3" s="784"/>
      <c r="XBF3" s="784"/>
      <c r="XBG3" s="784"/>
      <c r="XBH3" s="784"/>
      <c r="XBI3" s="784"/>
      <c r="XBJ3" s="785"/>
      <c r="XBK3" s="786"/>
      <c r="XBL3" s="784"/>
      <c r="XBM3" s="784"/>
      <c r="XBN3" s="784"/>
      <c r="XBO3" s="784"/>
      <c r="XBP3" s="784"/>
      <c r="XBQ3" s="784"/>
      <c r="XBR3" s="784"/>
      <c r="XBS3" s="784"/>
      <c r="XBT3" s="784"/>
      <c r="XBU3" s="784"/>
      <c r="XBV3" s="784"/>
      <c r="XBW3" s="784"/>
      <c r="XBX3" s="784"/>
      <c r="XBY3" s="785"/>
      <c r="XBZ3" s="786"/>
      <c r="XCA3" s="784"/>
      <c r="XCB3" s="784"/>
      <c r="XCC3" s="784"/>
      <c r="XCD3" s="784"/>
      <c r="XCE3" s="784"/>
      <c r="XCF3" s="784"/>
      <c r="XCG3" s="784"/>
      <c r="XCH3" s="784"/>
      <c r="XCI3" s="784"/>
      <c r="XCJ3" s="784"/>
      <c r="XCK3" s="784"/>
      <c r="XCL3" s="784"/>
      <c r="XCM3" s="784"/>
      <c r="XCN3" s="785"/>
      <c r="XCO3" s="786"/>
      <c r="XCP3" s="784"/>
      <c r="XCQ3" s="784"/>
      <c r="XCR3" s="784"/>
      <c r="XCS3" s="784"/>
      <c r="XCT3" s="784"/>
      <c r="XCU3" s="784"/>
      <c r="XCV3" s="784"/>
      <c r="XCW3" s="784"/>
      <c r="XCX3" s="784"/>
      <c r="XCY3" s="784"/>
      <c r="XCZ3" s="784"/>
      <c r="XDA3" s="784"/>
      <c r="XDB3" s="784"/>
      <c r="XDC3" s="785"/>
      <c r="XDD3" s="786"/>
      <c r="XDE3" s="784"/>
      <c r="XDF3" s="784"/>
      <c r="XDG3" s="784"/>
      <c r="XDH3" s="784"/>
      <c r="XDI3" s="784"/>
      <c r="XDJ3" s="784"/>
      <c r="XDK3" s="784"/>
      <c r="XDL3" s="784"/>
      <c r="XDM3" s="784"/>
      <c r="XDN3" s="784"/>
      <c r="XDO3" s="784"/>
      <c r="XDP3" s="784"/>
      <c r="XDQ3" s="784"/>
      <c r="XDR3" s="785"/>
      <c r="XDS3" s="786"/>
      <c r="XDT3" s="784"/>
      <c r="XDU3" s="784"/>
      <c r="XDV3" s="784"/>
      <c r="XDW3" s="784"/>
      <c r="XDX3" s="784"/>
      <c r="XDY3" s="784"/>
      <c r="XDZ3" s="784"/>
      <c r="XEA3" s="784"/>
      <c r="XEB3" s="784"/>
      <c r="XEC3" s="784"/>
      <c r="XED3" s="784"/>
      <c r="XEE3" s="784"/>
      <c r="XEF3" s="784"/>
      <c r="XEG3" s="785"/>
      <c r="XEH3" s="786"/>
      <c r="XEI3" s="784"/>
      <c r="XEJ3" s="784"/>
      <c r="XEK3" s="784"/>
      <c r="XEL3" s="784"/>
      <c r="XEM3" s="784"/>
      <c r="XEN3" s="784"/>
      <c r="XEO3" s="784"/>
      <c r="XEP3" s="784"/>
      <c r="XEQ3" s="784"/>
      <c r="XER3" s="784"/>
      <c r="XES3" s="784"/>
      <c r="XET3" s="784"/>
      <c r="XEU3" s="784"/>
      <c r="XEV3" s="785"/>
      <c r="XEW3" s="786"/>
      <c r="XEX3" s="784"/>
      <c r="XEY3" s="784"/>
      <c r="XEZ3" s="784"/>
    </row>
    <row r="4" spans="1:16380" s="797" customFormat="1" ht="37.5" customHeight="1">
      <c r="A4" s="788">
        <v>1</v>
      </c>
      <c r="B4" s="789">
        <v>1612000410</v>
      </c>
      <c r="C4" s="789" t="s">
        <v>910</v>
      </c>
      <c r="D4" s="789" t="s">
        <v>890</v>
      </c>
      <c r="E4" s="789" t="s">
        <v>891</v>
      </c>
      <c r="F4" s="789" t="s">
        <v>892</v>
      </c>
      <c r="G4" s="789">
        <v>87</v>
      </c>
      <c r="H4" s="790" t="s">
        <v>2421</v>
      </c>
      <c r="I4" s="791">
        <v>4165</v>
      </c>
      <c r="J4" s="791">
        <v>4873</v>
      </c>
      <c r="K4" s="792" t="s">
        <v>3473</v>
      </c>
      <c r="L4" s="789">
        <v>101.4</v>
      </c>
      <c r="M4" s="793">
        <v>107</v>
      </c>
      <c r="N4" s="794">
        <v>49980</v>
      </c>
      <c r="O4" s="794">
        <v>58477</v>
      </c>
      <c r="P4" s="794">
        <v>61706.499013806701</v>
      </c>
      <c r="Q4" s="937">
        <v>0</v>
      </c>
      <c r="R4" s="795">
        <v>61706.499013806701</v>
      </c>
      <c r="S4" s="796"/>
      <c r="T4" s="772"/>
    </row>
    <row r="5" spans="1:16380" s="797" customFormat="1" ht="63" customHeight="1">
      <c r="A5" s="788">
        <v>2</v>
      </c>
      <c r="B5" s="796" t="s">
        <v>3511</v>
      </c>
      <c r="C5" s="789" t="s">
        <v>910</v>
      </c>
      <c r="D5" s="789" t="s">
        <v>953</v>
      </c>
      <c r="E5" s="798" t="s">
        <v>3474</v>
      </c>
      <c r="F5" s="789" t="s">
        <v>3475</v>
      </c>
      <c r="G5" s="789">
        <v>1172</v>
      </c>
      <c r="H5" s="790" t="s">
        <v>3476</v>
      </c>
      <c r="I5" s="791">
        <v>67732</v>
      </c>
      <c r="J5" s="791">
        <v>79246</v>
      </c>
      <c r="K5" s="792" t="s">
        <v>3477</v>
      </c>
      <c r="L5" s="789">
        <v>103.5</v>
      </c>
      <c r="M5" s="793">
        <v>107</v>
      </c>
      <c r="N5" s="791">
        <v>812784</v>
      </c>
      <c r="O5" s="791">
        <v>950958</v>
      </c>
      <c r="P5" s="791">
        <v>983116</v>
      </c>
      <c r="Q5" s="937">
        <v>0</v>
      </c>
      <c r="R5" s="795">
        <v>983116</v>
      </c>
      <c r="S5" s="796"/>
      <c r="T5" s="772"/>
    </row>
    <row r="6" spans="1:16380" s="797" customFormat="1" ht="37.5" customHeight="1">
      <c r="A6" s="788">
        <v>3</v>
      </c>
      <c r="B6" s="789">
        <v>1617000410</v>
      </c>
      <c r="C6" s="789" t="s">
        <v>910</v>
      </c>
      <c r="D6" s="796" t="s">
        <v>3478</v>
      </c>
      <c r="E6" s="789" t="s">
        <v>897</v>
      </c>
      <c r="F6" s="796" t="s">
        <v>898</v>
      </c>
      <c r="G6" s="789">
        <v>372</v>
      </c>
      <c r="H6" s="790">
        <v>45256</v>
      </c>
      <c r="I6" s="791">
        <v>24870</v>
      </c>
      <c r="J6" s="791">
        <v>29098</v>
      </c>
      <c r="K6" s="792" t="s">
        <v>3479</v>
      </c>
      <c r="L6" s="789">
        <v>100.19</v>
      </c>
      <c r="M6" s="793">
        <v>107</v>
      </c>
      <c r="N6" s="791">
        <v>308420</v>
      </c>
      <c r="O6" s="791">
        <v>360852</v>
      </c>
      <c r="P6" s="791">
        <v>385379.419103703</v>
      </c>
      <c r="Q6" s="937">
        <v>35128</v>
      </c>
      <c r="R6" s="795">
        <v>420507.419103703</v>
      </c>
      <c r="S6" s="796"/>
      <c r="T6" s="772"/>
    </row>
    <row r="7" spans="1:16380" s="797" customFormat="1" ht="37.5" customHeight="1">
      <c r="A7" s="788">
        <v>4</v>
      </c>
      <c r="B7" s="789">
        <v>1710000410</v>
      </c>
      <c r="C7" s="789" t="s">
        <v>899</v>
      </c>
      <c r="D7" s="789" t="s">
        <v>900</v>
      </c>
      <c r="E7" s="789" t="s">
        <v>380</v>
      </c>
      <c r="F7" s="789" t="s">
        <v>901</v>
      </c>
      <c r="G7" s="789">
        <v>495</v>
      </c>
      <c r="H7" s="790">
        <v>46112</v>
      </c>
      <c r="I7" s="791">
        <v>24555</v>
      </c>
      <c r="J7" s="791">
        <v>28730</v>
      </c>
      <c r="K7" s="792" t="s">
        <v>3480</v>
      </c>
      <c r="L7" s="789">
        <v>98.91</v>
      </c>
      <c r="M7" s="793">
        <v>107</v>
      </c>
      <c r="N7" s="792">
        <v>294660</v>
      </c>
      <c r="O7" s="792">
        <v>344753</v>
      </c>
      <c r="P7" s="792">
        <v>372950.87453240319</v>
      </c>
      <c r="Q7" s="938">
        <v>65869</v>
      </c>
      <c r="R7" s="795">
        <v>438819.87453240319</v>
      </c>
      <c r="S7" s="796"/>
      <c r="T7" s="772"/>
    </row>
    <row r="8" spans="1:16380" s="797" customFormat="1" ht="37.5" customHeight="1">
      <c r="A8" s="788">
        <v>5</v>
      </c>
      <c r="B8" s="956">
        <v>1731000410</v>
      </c>
      <c r="C8" s="789" t="s">
        <v>902</v>
      </c>
      <c r="D8" s="789" t="s">
        <v>903</v>
      </c>
      <c r="E8" s="796" t="s">
        <v>904</v>
      </c>
      <c r="F8" s="789" t="s">
        <v>905</v>
      </c>
      <c r="G8" s="789">
        <v>130</v>
      </c>
      <c r="H8" s="790">
        <v>45061</v>
      </c>
      <c r="I8" s="791">
        <v>5775</v>
      </c>
      <c r="J8" s="791">
        <v>6757</v>
      </c>
      <c r="K8" s="792" t="s">
        <v>3481</v>
      </c>
      <c r="L8" s="789"/>
      <c r="M8" s="793"/>
      <c r="N8" s="791">
        <v>191000</v>
      </c>
      <c r="O8" s="791">
        <v>223587</v>
      </c>
      <c r="P8" s="791">
        <v>223587</v>
      </c>
      <c r="Q8" s="937">
        <v>1800</v>
      </c>
      <c r="R8" s="795">
        <v>225387</v>
      </c>
      <c r="S8" s="796"/>
      <c r="T8" s="772"/>
    </row>
    <row r="9" spans="1:16380" s="797" customFormat="1" ht="37.5" customHeight="1">
      <c r="A9" s="788">
        <v>6</v>
      </c>
      <c r="B9" s="789">
        <v>1734000410</v>
      </c>
      <c r="C9" s="789" t="s">
        <v>1066</v>
      </c>
      <c r="D9" s="789" t="s">
        <v>3482</v>
      </c>
      <c r="E9" s="796" t="s">
        <v>3483</v>
      </c>
      <c r="F9" s="789" t="s">
        <v>3484</v>
      </c>
      <c r="G9" s="789">
        <v>388</v>
      </c>
      <c r="H9" s="790">
        <v>46631</v>
      </c>
      <c r="I9" s="791">
        <v>28300</v>
      </c>
      <c r="J9" s="791">
        <v>33111</v>
      </c>
      <c r="K9" s="792" t="s">
        <v>3485</v>
      </c>
      <c r="L9" s="789">
        <v>105.9</v>
      </c>
      <c r="M9" s="793">
        <v>107</v>
      </c>
      <c r="N9" s="791">
        <v>339600</v>
      </c>
      <c r="O9" s="791">
        <v>397332</v>
      </c>
      <c r="P9" s="791">
        <v>401459.15014164301</v>
      </c>
      <c r="Q9" s="937">
        <v>0</v>
      </c>
      <c r="R9" s="795">
        <v>401459.15014164301</v>
      </c>
      <c r="S9" s="796"/>
      <c r="T9" s="772"/>
    </row>
    <row r="10" spans="1:16380" s="797" customFormat="1" ht="37.5" customHeight="1">
      <c r="A10" s="788">
        <v>7</v>
      </c>
      <c r="B10" s="789">
        <v>1749000410</v>
      </c>
      <c r="C10" s="789" t="s">
        <v>344</v>
      </c>
      <c r="D10" s="796" t="s">
        <v>957</v>
      </c>
      <c r="E10" s="789" t="s">
        <v>958</v>
      </c>
      <c r="F10" s="799" t="s">
        <v>959</v>
      </c>
      <c r="G10" s="789">
        <v>208.5</v>
      </c>
      <c r="H10" s="790">
        <v>45648</v>
      </c>
      <c r="I10" s="791">
        <v>14595</v>
      </c>
      <c r="J10" s="791">
        <v>17077</v>
      </c>
      <c r="K10" s="792" t="s">
        <v>3486</v>
      </c>
      <c r="L10" s="789">
        <v>100.7</v>
      </c>
      <c r="M10" s="793">
        <v>107</v>
      </c>
      <c r="N10" s="791">
        <v>175140</v>
      </c>
      <c r="O10" s="791">
        <v>204914</v>
      </c>
      <c r="P10" s="791">
        <v>217733.8430983118</v>
      </c>
      <c r="Q10" s="937">
        <v>35128.079999999994</v>
      </c>
      <c r="R10" s="795">
        <v>252861.92309831179</v>
      </c>
      <c r="S10" s="796"/>
      <c r="T10" s="772"/>
    </row>
    <row r="11" spans="1:16380" s="797" customFormat="1" ht="37.5" customHeight="1">
      <c r="A11" s="788">
        <v>8</v>
      </c>
      <c r="B11" s="789">
        <v>1811000410</v>
      </c>
      <c r="C11" s="796" t="s">
        <v>3509</v>
      </c>
      <c r="D11" s="789" t="s">
        <v>953</v>
      </c>
      <c r="E11" s="789" t="s">
        <v>3510</v>
      </c>
      <c r="F11" s="798" t="s">
        <v>955</v>
      </c>
      <c r="G11" s="798">
        <v>1172</v>
      </c>
      <c r="H11" s="800" t="s">
        <v>3487</v>
      </c>
      <c r="I11" s="791">
        <v>63874</v>
      </c>
      <c r="J11" s="791">
        <v>74733</v>
      </c>
      <c r="K11" s="792" t="s">
        <v>3488</v>
      </c>
      <c r="L11" s="789">
        <v>99.8</v>
      </c>
      <c r="M11" s="793">
        <v>107</v>
      </c>
      <c r="N11" s="792">
        <v>766488</v>
      </c>
      <c r="O11" s="792">
        <v>896791</v>
      </c>
      <c r="P11" s="792">
        <v>961489.34869739483</v>
      </c>
      <c r="Q11" s="937">
        <v>48551</v>
      </c>
      <c r="R11" s="795">
        <v>1010040.3486973948</v>
      </c>
      <c r="S11" s="796"/>
      <c r="T11" s="772"/>
    </row>
    <row r="12" spans="1:16380" s="806" customFormat="1" ht="37.5" customHeight="1">
      <c r="A12" s="801">
        <v>9</v>
      </c>
      <c r="B12" s="802">
        <v>1817200410</v>
      </c>
      <c r="C12" s="802" t="s">
        <v>914</v>
      </c>
      <c r="D12" s="802" t="s">
        <v>915</v>
      </c>
      <c r="E12" s="802" t="s">
        <v>613</v>
      </c>
      <c r="F12" s="802" t="s">
        <v>916</v>
      </c>
      <c r="G12" s="802">
        <v>745</v>
      </c>
      <c r="H12" s="803">
        <v>44986</v>
      </c>
      <c r="I12" s="804">
        <v>22672</v>
      </c>
      <c r="J12" s="804">
        <v>26527</v>
      </c>
      <c r="K12" s="792" t="s">
        <v>3489</v>
      </c>
      <c r="L12" s="789">
        <v>100.7</v>
      </c>
      <c r="M12" s="793">
        <v>107</v>
      </c>
      <c r="N12" s="804">
        <v>678594</v>
      </c>
      <c r="O12" s="804">
        <v>79395</v>
      </c>
      <c r="P12" s="804">
        <v>84362.11519364448</v>
      </c>
      <c r="Q12" s="939">
        <v>0</v>
      </c>
      <c r="R12" s="795">
        <v>84362.11519364448</v>
      </c>
      <c r="S12" s="805"/>
    </row>
    <row r="13" spans="1:16380" s="806" customFormat="1" ht="37.5" customHeight="1">
      <c r="A13" s="788">
        <v>10</v>
      </c>
      <c r="B13" s="789">
        <v>1841000410</v>
      </c>
      <c r="C13" s="789" t="s">
        <v>918</v>
      </c>
      <c r="D13" s="789" t="s">
        <v>919</v>
      </c>
      <c r="E13" s="789" t="s">
        <v>920</v>
      </c>
      <c r="F13" s="798" t="s">
        <v>921</v>
      </c>
      <c r="G13" s="798">
        <v>1230</v>
      </c>
      <c r="H13" s="807">
        <v>45765</v>
      </c>
      <c r="I13" s="791">
        <v>67035</v>
      </c>
      <c r="J13" s="791">
        <v>78431</v>
      </c>
      <c r="K13" s="792" t="s">
        <v>3490</v>
      </c>
      <c r="L13" s="789">
        <v>100.19</v>
      </c>
      <c r="M13" s="793">
        <v>107</v>
      </c>
      <c r="N13" s="791">
        <v>804420</v>
      </c>
      <c r="O13" s="791">
        <v>941172</v>
      </c>
      <c r="P13" s="791">
        <v>1005144.2658948</v>
      </c>
      <c r="Q13" s="937">
        <v>0</v>
      </c>
      <c r="R13" s="795">
        <v>1005144.2658948</v>
      </c>
      <c r="S13" s="796"/>
      <c r="T13" s="772"/>
      <c r="U13" s="772"/>
      <c r="V13" s="772"/>
      <c r="W13" s="772"/>
      <c r="X13" s="772"/>
      <c r="Y13" s="772"/>
      <c r="Z13" s="772"/>
      <c r="AA13" s="772"/>
      <c r="AB13" s="772"/>
      <c r="AC13" s="772"/>
      <c r="AD13" s="772"/>
      <c r="AE13" s="772"/>
      <c r="AF13" s="772"/>
      <c r="AG13" s="772"/>
      <c r="AH13" s="772"/>
      <c r="AI13" s="772"/>
      <c r="AJ13" s="772"/>
      <c r="AK13" s="772"/>
      <c r="AL13" s="772"/>
      <c r="AM13" s="772"/>
      <c r="AN13" s="772"/>
      <c r="AO13" s="772"/>
      <c r="AP13" s="772"/>
      <c r="AQ13" s="772"/>
      <c r="AR13" s="772"/>
      <c r="AS13" s="772"/>
      <c r="AT13" s="772"/>
      <c r="AU13" s="772"/>
      <c r="AV13" s="772"/>
      <c r="AW13" s="772"/>
      <c r="AX13" s="772"/>
      <c r="AY13" s="772"/>
      <c r="AZ13" s="772"/>
      <c r="BA13" s="772"/>
      <c r="BB13" s="772"/>
      <c r="BC13" s="772"/>
      <c r="BD13" s="772"/>
      <c r="BE13" s="772"/>
      <c r="BF13" s="772"/>
      <c r="BG13" s="772"/>
      <c r="BH13" s="772"/>
      <c r="BI13" s="772"/>
      <c r="BJ13" s="772"/>
      <c r="BK13" s="772"/>
      <c r="BL13" s="772"/>
      <c r="EF13" s="772"/>
      <c r="EG13" s="772"/>
      <c r="EH13" s="772"/>
      <c r="EI13" s="772"/>
      <c r="EJ13" s="772"/>
      <c r="EK13" s="772"/>
      <c r="EL13" s="772"/>
      <c r="EM13" s="772"/>
      <c r="EN13" s="772"/>
      <c r="EO13" s="772"/>
      <c r="EP13" s="772"/>
      <c r="EQ13" s="772"/>
      <c r="ER13" s="772"/>
      <c r="ES13" s="772"/>
      <c r="ET13" s="772"/>
      <c r="EU13" s="772"/>
      <c r="LA13" s="772"/>
      <c r="LB13" s="772"/>
      <c r="LC13" s="772"/>
      <c r="LD13" s="772"/>
      <c r="LE13" s="772"/>
      <c r="LF13" s="772"/>
      <c r="LG13" s="772"/>
      <c r="LH13" s="772"/>
      <c r="LI13" s="772"/>
      <c r="LJ13" s="772"/>
      <c r="LK13" s="772"/>
      <c r="LL13" s="772"/>
      <c r="LM13" s="772"/>
      <c r="LN13" s="772"/>
      <c r="LO13" s="772"/>
      <c r="LP13" s="772"/>
      <c r="LQ13" s="772"/>
      <c r="LR13" s="772"/>
      <c r="LS13" s="772"/>
      <c r="LT13" s="772"/>
      <c r="LU13" s="772"/>
      <c r="LV13" s="772"/>
      <c r="LW13" s="772"/>
      <c r="LX13" s="772"/>
      <c r="LY13" s="772"/>
      <c r="LZ13" s="772"/>
      <c r="MA13" s="772"/>
      <c r="MB13" s="772"/>
      <c r="MC13" s="772"/>
      <c r="MD13" s="772"/>
      <c r="ME13" s="772"/>
      <c r="MF13" s="772"/>
      <c r="MG13" s="772"/>
      <c r="MH13" s="772"/>
      <c r="MI13" s="772"/>
      <c r="MJ13" s="772"/>
      <c r="MK13" s="772"/>
      <c r="ML13" s="772"/>
      <c r="MM13" s="772"/>
      <c r="MN13" s="772"/>
      <c r="MO13" s="772"/>
      <c r="MP13" s="772"/>
      <c r="MQ13" s="772"/>
      <c r="MR13" s="772"/>
    </row>
    <row r="14" spans="1:16380" s="797" customFormat="1" ht="37.5" customHeight="1">
      <c r="A14" s="788">
        <v>11</v>
      </c>
      <c r="B14" s="789">
        <v>1841000410</v>
      </c>
      <c r="C14" s="789" t="s">
        <v>918</v>
      </c>
      <c r="D14" s="789" t="s">
        <v>3491</v>
      </c>
      <c r="E14" s="789" t="s">
        <v>3492</v>
      </c>
      <c r="F14" s="798" t="s">
        <v>3493</v>
      </c>
      <c r="G14" s="798">
        <v>680</v>
      </c>
      <c r="H14" s="807">
        <v>46648</v>
      </c>
      <c r="I14" s="791">
        <v>45000</v>
      </c>
      <c r="J14" s="791">
        <v>52650</v>
      </c>
      <c r="K14" s="792" t="s">
        <v>3494</v>
      </c>
      <c r="L14" s="789"/>
      <c r="M14" s="793">
        <v>107</v>
      </c>
      <c r="N14" s="791">
        <v>540000</v>
      </c>
      <c r="O14" s="791">
        <v>631800</v>
      </c>
      <c r="P14" s="791">
        <v>631800</v>
      </c>
      <c r="Q14" s="940">
        <v>0</v>
      </c>
      <c r="R14" s="795">
        <v>631800</v>
      </c>
      <c r="S14" s="796"/>
      <c r="T14" s="772"/>
    </row>
    <row r="15" spans="1:16380" s="797" customFormat="1" ht="37.5" customHeight="1">
      <c r="A15" s="788">
        <v>12</v>
      </c>
      <c r="B15" s="789">
        <v>1841000410</v>
      </c>
      <c r="C15" s="789" t="s">
        <v>918</v>
      </c>
      <c r="D15" s="789" t="s">
        <v>3495</v>
      </c>
      <c r="E15" s="789" t="s">
        <v>3496</v>
      </c>
      <c r="F15" s="798" t="s">
        <v>3497</v>
      </c>
      <c r="G15" s="798">
        <v>380</v>
      </c>
      <c r="H15" s="807">
        <v>46663</v>
      </c>
      <c r="I15" s="791">
        <v>27740</v>
      </c>
      <c r="J15" s="791">
        <v>32456</v>
      </c>
      <c r="K15" s="792" t="s">
        <v>3498</v>
      </c>
      <c r="L15" s="789">
        <v>107</v>
      </c>
      <c r="M15" s="793">
        <v>107</v>
      </c>
      <c r="N15" s="791">
        <v>332880</v>
      </c>
      <c r="O15" s="791">
        <v>389470</v>
      </c>
      <c r="P15" s="791">
        <v>389470</v>
      </c>
      <c r="Q15" s="940">
        <v>0</v>
      </c>
      <c r="R15" s="795">
        <v>389470</v>
      </c>
      <c r="S15" s="796"/>
      <c r="T15" s="772"/>
    </row>
    <row r="16" spans="1:16380" s="797" customFormat="1" ht="37.5" customHeight="1">
      <c r="A16" s="788">
        <v>13</v>
      </c>
      <c r="B16" s="789">
        <v>1841000410</v>
      </c>
      <c r="C16" s="789" t="s">
        <v>918</v>
      </c>
      <c r="D16" s="796" t="s">
        <v>931</v>
      </c>
      <c r="E16" s="789" t="s">
        <v>932</v>
      </c>
      <c r="F16" s="798" t="s">
        <v>933</v>
      </c>
      <c r="G16" s="798">
        <v>200</v>
      </c>
      <c r="H16" s="807" t="s">
        <v>934</v>
      </c>
      <c r="I16" s="791">
        <v>2500</v>
      </c>
      <c r="J16" s="791">
        <v>2925</v>
      </c>
      <c r="K16" s="792"/>
      <c r="L16" s="789"/>
      <c r="M16" s="793">
        <v>107</v>
      </c>
      <c r="N16" s="791">
        <v>30000</v>
      </c>
      <c r="O16" s="791">
        <v>35100</v>
      </c>
      <c r="P16" s="791">
        <v>35100</v>
      </c>
      <c r="Q16" s="937">
        <v>0</v>
      </c>
      <c r="R16" s="795">
        <v>35100</v>
      </c>
      <c r="S16" s="796"/>
      <c r="T16" s="772"/>
    </row>
    <row r="17" spans="1:21" s="797" customFormat="1" ht="37.5" customHeight="1">
      <c r="A17" s="788">
        <v>14</v>
      </c>
      <c r="B17" s="789">
        <v>1841000410</v>
      </c>
      <c r="C17" s="789" t="s">
        <v>935</v>
      </c>
      <c r="D17" s="789" t="s">
        <v>936</v>
      </c>
      <c r="E17" s="796" t="s">
        <v>937</v>
      </c>
      <c r="F17" s="798" t="s">
        <v>938</v>
      </c>
      <c r="G17" s="798">
        <v>336</v>
      </c>
      <c r="H17" s="807">
        <v>45137</v>
      </c>
      <c r="I17" s="791">
        <v>10210</v>
      </c>
      <c r="J17" s="791">
        <v>11946</v>
      </c>
      <c r="K17" s="792" t="s">
        <v>3499</v>
      </c>
      <c r="L17" s="789">
        <v>92.05</v>
      </c>
      <c r="M17" s="793">
        <v>107</v>
      </c>
      <c r="N17" s="791">
        <v>232970</v>
      </c>
      <c r="O17" s="791">
        <v>272575</v>
      </c>
      <c r="P17" s="791">
        <v>316844.3780554047</v>
      </c>
      <c r="Q17" s="937">
        <v>0</v>
      </c>
      <c r="R17" s="795">
        <v>316844.3780554047</v>
      </c>
      <c r="S17" s="796"/>
      <c r="T17" s="772"/>
    </row>
    <row r="18" spans="1:21" s="797" customFormat="1" ht="37.5" customHeight="1">
      <c r="A18" s="788">
        <v>15</v>
      </c>
      <c r="B18" s="789">
        <v>1841000410</v>
      </c>
      <c r="C18" s="789" t="s">
        <v>918</v>
      </c>
      <c r="D18" s="796" t="s">
        <v>3500</v>
      </c>
      <c r="E18" s="789" t="s">
        <v>940</v>
      </c>
      <c r="F18" s="798" t="s">
        <v>941</v>
      </c>
      <c r="G18" s="798">
        <v>200</v>
      </c>
      <c r="H18" s="807"/>
      <c r="I18" s="791">
        <v>17000</v>
      </c>
      <c r="J18" s="791">
        <v>19890</v>
      </c>
      <c r="K18" s="792" t="s">
        <v>3501</v>
      </c>
      <c r="L18" s="789"/>
      <c r="M18" s="793">
        <v>107</v>
      </c>
      <c r="N18" s="791">
        <v>204000</v>
      </c>
      <c r="O18" s="791">
        <v>238680</v>
      </c>
      <c r="P18" s="791">
        <v>238680</v>
      </c>
      <c r="Q18" s="937">
        <v>0</v>
      </c>
      <c r="R18" s="795">
        <v>238680</v>
      </c>
      <c r="S18" s="796"/>
      <c r="T18" s="772"/>
    </row>
    <row r="19" spans="1:21" s="797" customFormat="1" ht="37.5" customHeight="1">
      <c r="A19" s="788">
        <v>16</v>
      </c>
      <c r="B19" s="789">
        <v>1841000410</v>
      </c>
      <c r="C19" s="789" t="s">
        <v>918</v>
      </c>
      <c r="D19" s="796" t="s">
        <v>3500</v>
      </c>
      <c r="E19" s="789" t="s">
        <v>943</v>
      </c>
      <c r="F19" s="798" t="s">
        <v>944</v>
      </c>
      <c r="G19" s="798">
        <v>200</v>
      </c>
      <c r="H19" s="807"/>
      <c r="I19" s="791">
        <v>17000</v>
      </c>
      <c r="J19" s="791">
        <v>19890</v>
      </c>
      <c r="K19" s="792" t="s">
        <v>3501</v>
      </c>
      <c r="L19" s="789"/>
      <c r="M19" s="793">
        <v>107</v>
      </c>
      <c r="N19" s="791">
        <v>204000</v>
      </c>
      <c r="O19" s="791">
        <v>238680</v>
      </c>
      <c r="P19" s="791">
        <v>238680</v>
      </c>
      <c r="Q19" s="937">
        <v>0</v>
      </c>
      <c r="R19" s="795">
        <v>238680</v>
      </c>
      <c r="S19" s="796"/>
      <c r="T19" s="772"/>
    </row>
    <row r="20" spans="1:21" s="797" customFormat="1" ht="37.5" customHeight="1">
      <c r="A20" s="788">
        <v>17</v>
      </c>
      <c r="B20" s="789">
        <v>1841000410</v>
      </c>
      <c r="C20" s="789" t="s">
        <v>918</v>
      </c>
      <c r="D20" s="796" t="s">
        <v>946</v>
      </c>
      <c r="E20" s="789" t="s">
        <v>947</v>
      </c>
      <c r="F20" s="789" t="s">
        <v>948</v>
      </c>
      <c r="G20" s="798">
        <v>172</v>
      </c>
      <c r="H20" s="807" t="s">
        <v>3502</v>
      </c>
      <c r="I20" s="791">
        <v>1850</v>
      </c>
      <c r="J20" s="791">
        <v>2165</v>
      </c>
      <c r="K20" s="792" t="s">
        <v>3481</v>
      </c>
      <c r="L20" s="789"/>
      <c r="M20" s="793">
        <v>107</v>
      </c>
      <c r="N20" s="791">
        <v>7700</v>
      </c>
      <c r="O20" s="791">
        <v>9009</v>
      </c>
      <c r="P20" s="791">
        <v>9009</v>
      </c>
      <c r="Q20" s="937">
        <v>0</v>
      </c>
      <c r="R20" s="795">
        <v>9009</v>
      </c>
      <c r="S20" s="796"/>
      <c r="T20" s="772"/>
    </row>
    <row r="21" spans="1:21" s="810" customFormat="1" ht="37.5" customHeight="1">
      <c r="A21" s="788">
        <v>18</v>
      </c>
      <c r="B21" s="789">
        <v>1841000410</v>
      </c>
      <c r="C21" s="789" t="s">
        <v>918</v>
      </c>
      <c r="D21" s="789" t="s">
        <v>3503</v>
      </c>
      <c r="E21" s="789" t="s">
        <v>3504</v>
      </c>
      <c r="F21" s="798" t="s">
        <v>3503</v>
      </c>
      <c r="G21" s="798">
        <v>200</v>
      </c>
      <c r="H21" s="807" t="s">
        <v>3505</v>
      </c>
      <c r="I21" s="791">
        <v>17000</v>
      </c>
      <c r="J21" s="791">
        <v>19890</v>
      </c>
      <c r="K21" s="792" t="s">
        <v>3501</v>
      </c>
      <c r="L21" s="789"/>
      <c r="M21" s="793">
        <v>107</v>
      </c>
      <c r="N21" s="794">
        <v>204000</v>
      </c>
      <c r="O21" s="794">
        <v>238680</v>
      </c>
      <c r="P21" s="794">
        <v>238680</v>
      </c>
      <c r="Q21" s="937">
        <v>0</v>
      </c>
      <c r="R21" s="795">
        <v>238680</v>
      </c>
      <c r="S21" s="808"/>
      <c r="T21" s="809"/>
    </row>
    <row r="22" spans="1:21" s="797" customFormat="1" ht="37.5" customHeight="1">
      <c r="A22" s="788">
        <v>19</v>
      </c>
      <c r="B22" s="789">
        <v>1841000410</v>
      </c>
      <c r="C22" s="789" t="s">
        <v>918</v>
      </c>
      <c r="D22" s="796" t="s">
        <v>2461</v>
      </c>
      <c r="E22" s="789" t="s">
        <v>2462</v>
      </c>
      <c r="F22" s="789" t="s">
        <v>3506</v>
      </c>
      <c r="G22" s="789">
        <v>764</v>
      </c>
      <c r="H22" s="790">
        <v>45231</v>
      </c>
      <c r="I22" s="791">
        <v>58333</v>
      </c>
      <c r="J22" s="791">
        <v>68250</v>
      </c>
      <c r="K22" s="792" t="s">
        <v>3507</v>
      </c>
      <c r="L22" s="789">
        <v>107.1</v>
      </c>
      <c r="M22" s="793">
        <v>107</v>
      </c>
      <c r="N22" s="791">
        <v>583330</v>
      </c>
      <c r="O22" s="791">
        <v>682496</v>
      </c>
      <c r="P22" s="791">
        <v>681858.74883286655</v>
      </c>
      <c r="Q22" s="937">
        <v>0</v>
      </c>
      <c r="R22" s="795">
        <v>681858.74883286655</v>
      </c>
      <c r="S22" s="796"/>
      <c r="T22" s="772"/>
    </row>
    <row r="23" spans="1:21" s="797" customFormat="1" ht="37.5" customHeight="1" thickBot="1">
      <c r="A23" s="788">
        <v>20</v>
      </c>
      <c r="B23" s="789">
        <v>1731000410</v>
      </c>
      <c r="C23" s="789" t="s">
        <v>1066</v>
      </c>
      <c r="D23" s="796" t="s">
        <v>497</v>
      </c>
      <c r="E23" s="789" t="s">
        <v>3503</v>
      </c>
      <c r="F23" s="789" t="s">
        <v>497</v>
      </c>
      <c r="G23" s="789" t="s">
        <v>3854</v>
      </c>
      <c r="H23" s="790">
        <v>46</v>
      </c>
      <c r="I23" s="791" t="s">
        <v>3505</v>
      </c>
      <c r="J23" s="791">
        <v>4830</v>
      </c>
      <c r="K23" s="792">
        <v>5651</v>
      </c>
      <c r="L23" s="789"/>
      <c r="M23" s="793"/>
      <c r="N23" s="791">
        <v>5651</v>
      </c>
      <c r="O23" s="791"/>
      <c r="P23" s="791">
        <v>57960</v>
      </c>
      <c r="Q23" s="937"/>
      <c r="R23" s="795">
        <v>67813.2</v>
      </c>
      <c r="S23" s="796"/>
      <c r="T23" s="772"/>
    </row>
    <row r="24" spans="1:21" s="797" customFormat="1" ht="37.5" customHeight="1">
      <c r="A24" s="811" t="s">
        <v>4</v>
      </c>
      <c r="B24" s="812"/>
      <c r="C24" s="812"/>
      <c r="D24" s="812" t="s">
        <v>888</v>
      </c>
      <c r="E24" s="812"/>
      <c r="F24" s="812"/>
      <c r="G24" s="812"/>
      <c r="H24" s="812"/>
      <c r="I24" s="813"/>
      <c r="J24" s="813"/>
      <c r="K24" s="814"/>
      <c r="L24" s="814"/>
      <c r="M24" s="815"/>
      <c r="N24" s="812"/>
      <c r="O24" s="812">
        <v>7194721</v>
      </c>
      <c r="P24" s="812"/>
      <c r="Q24" s="941">
        <v>117925</v>
      </c>
      <c r="R24" s="941">
        <v>7663526.7225639783</v>
      </c>
      <c r="S24" s="816"/>
      <c r="T24" s="817"/>
    </row>
    <row r="25" spans="1:21" s="797" customFormat="1">
      <c r="A25" s="772"/>
      <c r="B25" s="772"/>
      <c r="C25" s="772"/>
      <c r="D25" s="772"/>
      <c r="E25" s="772"/>
      <c r="F25" s="772"/>
      <c r="G25" s="772"/>
      <c r="H25" s="818"/>
      <c r="I25" s="819"/>
      <c r="J25" s="819"/>
      <c r="K25" s="820"/>
      <c r="L25" s="820"/>
      <c r="M25" s="820"/>
      <c r="N25" s="821"/>
      <c r="O25" s="819"/>
      <c r="P25" s="819"/>
      <c r="Q25" s="942"/>
      <c r="R25" s="822"/>
      <c r="S25" s="823"/>
      <c r="T25" s="772"/>
    </row>
    <row r="26" spans="1:21" s="797" customFormat="1">
      <c r="A26" s="772"/>
      <c r="B26" s="959" t="s">
        <v>497</v>
      </c>
      <c r="C26" s="960" t="s">
        <v>3503</v>
      </c>
      <c r="D26" s="959" t="s">
        <v>497</v>
      </c>
      <c r="E26" s="961" t="s">
        <v>3854</v>
      </c>
      <c r="F26" s="959">
        <v>46</v>
      </c>
      <c r="G26" s="216" t="s">
        <v>3505</v>
      </c>
      <c r="H26" s="962">
        <v>4830</v>
      </c>
      <c r="I26" s="962">
        <v>5651</v>
      </c>
      <c r="J26" s="963"/>
      <c r="K26" s="964">
        <v>57960</v>
      </c>
      <c r="L26" s="217">
        <v>67813</v>
      </c>
      <c r="M26" s="820"/>
      <c r="N26" s="821"/>
      <c r="O26" s="819"/>
      <c r="P26" s="819"/>
      <c r="Q26" s="935"/>
      <c r="R26" s="778"/>
      <c r="S26" s="823"/>
      <c r="T26" s="772"/>
    </row>
    <row r="27" spans="1:21">
      <c r="U27" s="823"/>
    </row>
    <row r="28" spans="1:21">
      <c r="U28" s="823"/>
    </row>
    <row r="30" spans="1:21" s="823" customFormat="1">
      <c r="A30" s="772"/>
      <c r="B30" s="772"/>
      <c r="C30" s="772"/>
      <c r="D30" s="772"/>
      <c r="E30" s="772"/>
      <c r="F30" s="772"/>
      <c r="G30" s="772"/>
      <c r="H30" s="818"/>
      <c r="I30" s="819"/>
      <c r="J30" s="819"/>
      <c r="K30" s="820"/>
      <c r="L30" s="820"/>
      <c r="M30" s="820"/>
      <c r="N30" s="821"/>
      <c r="O30" s="819"/>
      <c r="P30" s="819"/>
      <c r="Q30" s="942"/>
      <c r="R30" s="822"/>
      <c r="T30" s="772"/>
      <c r="U30" s="772"/>
    </row>
    <row r="31" spans="1:21" s="823" customFormat="1">
      <c r="A31" s="772"/>
      <c r="B31" s="772"/>
      <c r="C31" s="772"/>
      <c r="D31" s="772"/>
      <c r="E31" s="772"/>
      <c r="F31" s="772"/>
      <c r="G31" s="772"/>
      <c r="H31" s="818"/>
      <c r="I31" s="819"/>
      <c r="J31" s="819"/>
      <c r="K31" s="820"/>
      <c r="L31" s="820"/>
      <c r="M31" s="820"/>
      <c r="N31" s="821"/>
      <c r="O31" s="819"/>
      <c r="P31" s="819"/>
      <c r="Q31" s="942"/>
      <c r="R31" s="822"/>
      <c r="T31" s="772"/>
      <c r="U31" s="772"/>
    </row>
  </sheetData>
  <mergeCells count="1">
    <mergeCell ref="A1:Q1"/>
  </mergeCells>
  <pageMargins left="0.7" right="0.7" top="0.75" bottom="0.75" header="0.3" footer="0.3"/>
  <pageSetup paperSize="9" scale="46" fitToHeight="0" orientation="landscape" r:id="rId1"/>
  <headerFooter>
    <oddFooter>&amp;L39</oddFooter>
  </headerFooter>
  <legacy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N173"/>
  <sheetViews>
    <sheetView rightToLeft="1" view="pageBreakPreview" topLeftCell="A63" zoomScale="60" zoomScaleNormal="100" workbookViewId="0">
      <selection activeCell="Y110" sqref="Y110"/>
    </sheetView>
  </sheetViews>
  <sheetFormatPr defaultColWidth="9" defaultRowHeight="15"/>
  <cols>
    <col min="1" max="1" width="19.25" style="120" bestFit="1" customWidth="1"/>
    <col min="2" max="2" width="15" style="120" customWidth="1"/>
    <col min="3" max="3" width="13.375" style="120" hidden="1" customWidth="1"/>
    <col min="4" max="4" width="11" style="120" hidden="1" customWidth="1"/>
    <col min="5" max="5" width="18.25" style="120" customWidth="1"/>
    <col min="6" max="6" width="8.875" style="120" customWidth="1"/>
    <col min="7" max="7" width="12.5" style="120" bestFit="1" customWidth="1"/>
    <col min="8" max="8" width="13.375" style="120" customWidth="1"/>
    <col min="9" max="9" width="12.125" style="120" customWidth="1"/>
    <col min="10" max="10" width="11.25" style="120" hidden="1" customWidth="1"/>
    <col min="11" max="11" width="10" style="120" hidden="1" customWidth="1"/>
    <col min="12" max="12" width="7.375" style="120" customWidth="1"/>
    <col min="13" max="14" width="14.25" style="104" customWidth="1"/>
    <col min="15" max="16384" width="9" style="104"/>
  </cols>
  <sheetData>
    <row r="1" spans="1:14" ht="27" customHeight="1">
      <c r="A1" s="1119" t="s">
        <v>3801</v>
      </c>
      <c r="B1" s="1119"/>
      <c r="C1" s="1119"/>
      <c r="D1" s="1119"/>
      <c r="E1" s="1119"/>
      <c r="F1" s="1119"/>
      <c r="G1" s="1119"/>
      <c r="H1" s="1119"/>
      <c r="I1" s="1119"/>
      <c r="J1" s="1119"/>
      <c r="K1" s="1119"/>
      <c r="L1" s="1119"/>
      <c r="M1" s="1119"/>
      <c r="N1" s="1119"/>
    </row>
    <row r="3" spans="1:14" ht="33.75" customHeight="1">
      <c r="A3" s="925" t="s">
        <v>968</v>
      </c>
      <c r="B3" s="926" t="s">
        <v>2241</v>
      </c>
      <c r="C3" s="925" t="s">
        <v>969</v>
      </c>
      <c r="D3" s="925" t="s">
        <v>970</v>
      </c>
      <c r="E3" s="925" t="s">
        <v>971</v>
      </c>
      <c r="F3" s="926" t="s">
        <v>972</v>
      </c>
      <c r="G3" s="925" t="s">
        <v>973</v>
      </c>
      <c r="H3" s="925" t="s">
        <v>974</v>
      </c>
      <c r="I3" s="925" t="s">
        <v>975</v>
      </c>
      <c r="J3" s="925" t="s">
        <v>976</v>
      </c>
      <c r="K3" s="925" t="s">
        <v>977</v>
      </c>
      <c r="L3" s="925" t="s">
        <v>979</v>
      </c>
      <c r="M3" s="926" t="s">
        <v>3738</v>
      </c>
      <c r="N3" s="925" t="s">
        <v>2339</v>
      </c>
    </row>
    <row r="4" spans="1:14" s="105" customFormat="1" ht="22.5" customHeight="1">
      <c r="A4" s="927" t="s">
        <v>980</v>
      </c>
      <c r="B4" s="927"/>
      <c r="C4" s="927"/>
      <c r="D4" s="927"/>
      <c r="E4" s="927"/>
      <c r="F4" s="927"/>
      <c r="G4" s="927"/>
      <c r="H4" s="927"/>
      <c r="I4" s="927"/>
      <c r="J4" s="927"/>
      <c r="K4" s="927"/>
      <c r="L4" s="927"/>
      <c r="M4" s="1117"/>
      <c r="N4" s="1118"/>
    </row>
    <row r="5" spans="1:14">
      <c r="A5" s="106" t="s">
        <v>3739</v>
      </c>
      <c r="B5" s="106" t="s">
        <v>983</v>
      </c>
      <c r="C5" s="106" t="s">
        <v>984</v>
      </c>
      <c r="D5" s="106" t="s">
        <v>985</v>
      </c>
      <c r="E5" s="106" t="s">
        <v>3740</v>
      </c>
      <c r="F5" s="107">
        <v>2022</v>
      </c>
      <c r="G5" s="106" t="s">
        <v>3741</v>
      </c>
      <c r="H5" s="106" t="s">
        <v>987</v>
      </c>
      <c r="I5" s="106" t="s">
        <v>988</v>
      </c>
      <c r="J5" s="108">
        <v>43469</v>
      </c>
      <c r="K5" s="106" t="s">
        <v>988</v>
      </c>
      <c r="L5" s="106" t="s">
        <v>989</v>
      </c>
      <c r="M5" s="106" t="s">
        <v>2340</v>
      </c>
      <c r="N5" s="106" t="s">
        <v>3742</v>
      </c>
    </row>
    <row r="6" spans="1:14">
      <c r="A6" s="109" t="s">
        <v>991</v>
      </c>
      <c r="B6" s="109" t="s">
        <v>992</v>
      </c>
      <c r="C6" s="109"/>
      <c r="D6" s="109"/>
      <c r="E6" s="109" t="s">
        <v>1000</v>
      </c>
      <c r="F6" s="110">
        <v>2020</v>
      </c>
      <c r="G6" s="109" t="s">
        <v>996</v>
      </c>
      <c r="H6" s="109" t="s">
        <v>3743</v>
      </c>
      <c r="I6" s="109" t="s">
        <v>988</v>
      </c>
      <c r="J6" s="111"/>
      <c r="K6" s="109"/>
      <c r="L6" s="109" t="s">
        <v>989</v>
      </c>
      <c r="M6" s="109" t="s">
        <v>2340</v>
      </c>
      <c r="N6" s="109"/>
    </row>
    <row r="7" spans="1:14" s="105" customFormat="1" ht="22.5" customHeight="1">
      <c r="A7" s="927" t="s">
        <v>309</v>
      </c>
      <c r="B7" s="927"/>
      <c r="C7" s="927"/>
      <c r="D7" s="927"/>
      <c r="E7" s="927"/>
      <c r="F7" s="927"/>
      <c r="G7" s="927"/>
      <c r="H7" s="927"/>
      <c r="I7" s="927"/>
      <c r="J7" s="927"/>
      <c r="K7" s="927"/>
      <c r="L7" s="927"/>
      <c r="M7" s="1117"/>
      <c r="N7" s="1118"/>
    </row>
    <row r="8" spans="1:14">
      <c r="A8" s="109" t="s">
        <v>3744</v>
      </c>
      <c r="B8" s="109" t="s">
        <v>1004</v>
      </c>
      <c r="C8" s="109" t="s">
        <v>1007</v>
      </c>
      <c r="D8" s="109" t="s">
        <v>309</v>
      </c>
      <c r="E8" s="109" t="s">
        <v>309</v>
      </c>
      <c r="F8" s="110">
        <v>2019</v>
      </c>
      <c r="G8" s="109" t="s">
        <v>3745</v>
      </c>
      <c r="H8" s="109" t="s">
        <v>998</v>
      </c>
      <c r="I8" s="109" t="s">
        <v>988</v>
      </c>
      <c r="J8" s="111">
        <v>43301</v>
      </c>
      <c r="K8" s="109" t="s">
        <v>988</v>
      </c>
      <c r="L8" s="109" t="s">
        <v>989</v>
      </c>
      <c r="M8" s="109" t="s">
        <v>2343</v>
      </c>
      <c r="N8" s="109" t="s">
        <v>2341</v>
      </c>
    </row>
    <row r="9" spans="1:14">
      <c r="A9" s="928" t="s">
        <v>1010</v>
      </c>
      <c r="B9" s="109"/>
      <c r="C9" s="109"/>
      <c r="D9" s="109"/>
      <c r="E9" s="109"/>
      <c r="F9" s="113"/>
      <c r="G9" s="112"/>
      <c r="H9" s="112"/>
      <c r="I9" s="112"/>
      <c r="J9" s="114"/>
      <c r="K9" s="112"/>
      <c r="L9" s="112"/>
      <c r="M9" s="112"/>
      <c r="N9" s="112"/>
    </row>
    <row r="10" spans="1:14">
      <c r="A10" s="109" t="s">
        <v>2243</v>
      </c>
      <c r="B10" s="109" t="s">
        <v>1012</v>
      </c>
      <c r="C10" s="109" t="s">
        <v>1013</v>
      </c>
      <c r="D10" s="109" t="s">
        <v>309</v>
      </c>
      <c r="E10" s="109" t="s">
        <v>339</v>
      </c>
      <c r="F10" s="110">
        <v>2021</v>
      </c>
      <c r="G10" s="109" t="s">
        <v>2244</v>
      </c>
      <c r="H10" s="109" t="s">
        <v>2245</v>
      </c>
      <c r="I10" s="109" t="s">
        <v>988</v>
      </c>
      <c r="J10" s="111">
        <v>43471</v>
      </c>
      <c r="K10" s="109" t="s">
        <v>988</v>
      </c>
      <c r="L10" s="109" t="s">
        <v>1015</v>
      </c>
      <c r="M10" s="109" t="s">
        <v>2343</v>
      </c>
      <c r="N10" s="109" t="s">
        <v>2344</v>
      </c>
    </row>
    <row r="11" spans="1:14">
      <c r="A11" s="928" t="s">
        <v>1016</v>
      </c>
      <c r="B11" s="109"/>
      <c r="C11" s="109"/>
      <c r="D11" s="109"/>
      <c r="E11" s="109"/>
      <c r="F11" s="110"/>
      <c r="G11" s="112"/>
      <c r="H11" s="112"/>
      <c r="I11" s="112"/>
      <c r="J11" s="114"/>
      <c r="K11" s="112"/>
      <c r="L11" s="112"/>
      <c r="M11" s="112"/>
      <c r="N11" s="112"/>
    </row>
    <row r="12" spans="1:14">
      <c r="A12" s="109" t="s">
        <v>3746</v>
      </c>
      <c r="B12" s="109" t="s">
        <v>1019</v>
      </c>
      <c r="C12" s="109" t="s">
        <v>1020</v>
      </c>
      <c r="D12" s="109" t="s">
        <v>309</v>
      </c>
      <c r="E12" s="109" t="s">
        <v>1021</v>
      </c>
      <c r="F12" s="110">
        <v>2021</v>
      </c>
      <c r="G12" s="109" t="s">
        <v>3747</v>
      </c>
      <c r="H12" s="109" t="s">
        <v>3748</v>
      </c>
      <c r="I12" s="109" t="s">
        <v>1024</v>
      </c>
      <c r="J12" s="111">
        <v>43704</v>
      </c>
      <c r="K12" s="109" t="s">
        <v>988</v>
      </c>
      <c r="L12" s="109" t="s">
        <v>1015</v>
      </c>
      <c r="M12" s="109" t="s">
        <v>2343</v>
      </c>
      <c r="N12" s="109" t="s">
        <v>2344</v>
      </c>
    </row>
    <row r="13" spans="1:14" s="105" customFormat="1" ht="22.5" customHeight="1">
      <c r="A13" s="927" t="s">
        <v>1029</v>
      </c>
      <c r="B13" s="927"/>
      <c r="C13" s="927"/>
      <c r="D13" s="927"/>
      <c r="E13" s="927"/>
      <c r="F13" s="927"/>
      <c r="G13" s="927"/>
      <c r="H13" s="927"/>
      <c r="I13" s="927"/>
      <c r="J13" s="927"/>
      <c r="K13" s="927"/>
      <c r="L13" s="927"/>
      <c r="M13" s="1117"/>
      <c r="N13" s="1118"/>
    </row>
    <row r="14" spans="1:14">
      <c r="A14" s="109" t="s">
        <v>1031</v>
      </c>
      <c r="B14" s="109" t="s">
        <v>1032</v>
      </c>
      <c r="C14" s="109" t="s">
        <v>1033</v>
      </c>
      <c r="D14" s="109" t="s">
        <v>1034</v>
      </c>
      <c r="E14" s="109" t="s">
        <v>2246</v>
      </c>
      <c r="F14" s="110">
        <v>2020</v>
      </c>
      <c r="G14" s="109" t="s">
        <v>1001</v>
      </c>
      <c r="H14" s="109" t="s">
        <v>1002</v>
      </c>
      <c r="I14" s="109" t="s">
        <v>988</v>
      </c>
      <c r="J14" s="111">
        <v>43497</v>
      </c>
      <c r="K14" s="109" t="s">
        <v>988</v>
      </c>
      <c r="L14" s="109" t="s">
        <v>989</v>
      </c>
      <c r="M14" s="109" t="s">
        <v>2340</v>
      </c>
      <c r="N14" s="109" t="s">
        <v>2342</v>
      </c>
    </row>
    <row r="15" spans="1:14" s="105" customFormat="1" ht="22.5" customHeight="1">
      <c r="A15" s="927" t="s">
        <v>1034</v>
      </c>
      <c r="B15" s="927"/>
      <c r="C15" s="927"/>
      <c r="D15" s="927"/>
      <c r="E15" s="927"/>
      <c r="F15" s="927"/>
      <c r="G15" s="927"/>
      <c r="H15" s="927"/>
      <c r="I15" s="927"/>
      <c r="J15" s="927"/>
      <c r="K15" s="927"/>
      <c r="L15" s="927"/>
      <c r="M15" s="1117"/>
      <c r="N15" s="1118"/>
    </row>
    <row r="16" spans="1:14">
      <c r="A16" s="109" t="s">
        <v>3749</v>
      </c>
      <c r="B16" s="109" t="s">
        <v>1037</v>
      </c>
      <c r="C16" s="109" t="s">
        <v>1033</v>
      </c>
      <c r="D16" s="109" t="s">
        <v>1034</v>
      </c>
      <c r="E16" s="109" t="s">
        <v>1033</v>
      </c>
      <c r="F16" s="110">
        <v>2022</v>
      </c>
      <c r="G16" s="109" t="s">
        <v>996</v>
      </c>
      <c r="H16" s="109" t="s">
        <v>3750</v>
      </c>
      <c r="I16" s="109" t="s">
        <v>988</v>
      </c>
      <c r="J16" s="111">
        <v>43497</v>
      </c>
      <c r="K16" s="109" t="s">
        <v>988</v>
      </c>
      <c r="L16" s="109" t="s">
        <v>989</v>
      </c>
      <c r="M16" s="109" t="s">
        <v>2343</v>
      </c>
      <c r="N16" s="109" t="s">
        <v>3742</v>
      </c>
    </row>
    <row r="17" spans="1:14" s="105" customFormat="1" ht="22.5" customHeight="1">
      <c r="A17" s="927" t="s">
        <v>1039</v>
      </c>
      <c r="B17" s="927"/>
      <c r="C17" s="927"/>
      <c r="D17" s="927"/>
      <c r="E17" s="927"/>
      <c r="F17" s="927"/>
      <c r="G17" s="927"/>
      <c r="H17" s="927"/>
      <c r="I17" s="927"/>
      <c r="J17" s="927"/>
      <c r="K17" s="927"/>
      <c r="L17" s="927"/>
      <c r="M17" s="929"/>
      <c r="N17" s="929"/>
    </row>
    <row r="18" spans="1:14">
      <c r="A18" s="928" t="s">
        <v>3751</v>
      </c>
      <c r="B18" s="109"/>
      <c r="C18" s="109"/>
      <c r="D18" s="109"/>
      <c r="E18" s="109"/>
      <c r="F18" s="113"/>
      <c r="G18" s="112"/>
      <c r="H18" s="112"/>
      <c r="I18" s="112"/>
      <c r="J18" s="114"/>
      <c r="K18" s="112"/>
      <c r="L18" s="112"/>
      <c r="M18" s="112"/>
      <c r="N18" s="112"/>
    </row>
    <row r="19" spans="1:14">
      <c r="A19" s="109" t="s">
        <v>3752</v>
      </c>
      <c r="B19" s="109">
        <v>1621000530</v>
      </c>
      <c r="C19" s="109" t="s">
        <v>1043</v>
      </c>
      <c r="D19" s="109" t="s">
        <v>985</v>
      </c>
      <c r="E19" s="109" t="s">
        <v>2347</v>
      </c>
      <c r="F19" s="110">
        <v>2022</v>
      </c>
      <c r="G19" s="109" t="s">
        <v>3753</v>
      </c>
      <c r="H19" s="109" t="s">
        <v>3754</v>
      </c>
      <c r="I19" s="109" t="s">
        <v>988</v>
      </c>
      <c r="J19" s="111"/>
      <c r="K19" s="109" t="s">
        <v>988</v>
      </c>
      <c r="L19" s="109" t="s">
        <v>989</v>
      </c>
      <c r="M19" s="109" t="s">
        <v>2343</v>
      </c>
      <c r="N19" s="109" t="s">
        <v>3742</v>
      </c>
    </row>
    <row r="20" spans="1:14">
      <c r="A20" s="928" t="s">
        <v>1044</v>
      </c>
      <c r="B20" s="109"/>
      <c r="C20" s="109"/>
      <c r="D20" s="109"/>
      <c r="E20" s="109"/>
      <c r="F20" s="113"/>
      <c r="G20" s="112"/>
      <c r="H20" s="112"/>
      <c r="I20" s="112"/>
      <c r="J20" s="114"/>
      <c r="K20" s="112"/>
      <c r="L20" s="112"/>
      <c r="M20" s="112"/>
      <c r="N20" s="112"/>
    </row>
    <row r="21" spans="1:14">
      <c r="A21" s="109" t="s">
        <v>1046</v>
      </c>
      <c r="B21" s="109" t="s">
        <v>1047</v>
      </c>
      <c r="C21" s="109" t="s">
        <v>1048</v>
      </c>
      <c r="D21" s="109" t="s">
        <v>1049</v>
      </c>
      <c r="E21" s="109" t="s">
        <v>1048</v>
      </c>
      <c r="F21" s="110">
        <v>2019</v>
      </c>
      <c r="G21" s="109" t="s">
        <v>1001</v>
      </c>
      <c r="H21" s="109" t="s">
        <v>1002</v>
      </c>
      <c r="I21" s="109" t="s">
        <v>988</v>
      </c>
      <c r="J21" s="111">
        <v>43679</v>
      </c>
      <c r="K21" s="109" t="s">
        <v>988</v>
      </c>
      <c r="L21" s="109" t="s">
        <v>989</v>
      </c>
      <c r="M21" s="109" t="s">
        <v>2343</v>
      </c>
      <c r="N21" s="109" t="s">
        <v>2341</v>
      </c>
    </row>
    <row r="22" spans="1:14">
      <c r="A22" s="109" t="s">
        <v>2247</v>
      </c>
      <c r="B22" s="109" t="s">
        <v>1047</v>
      </c>
      <c r="C22" s="109" t="s">
        <v>1052</v>
      </c>
      <c r="D22" s="109" t="s">
        <v>1049</v>
      </c>
      <c r="E22" s="109" t="s">
        <v>1050</v>
      </c>
      <c r="F22" s="110">
        <v>2021</v>
      </c>
      <c r="G22" s="109" t="s">
        <v>2244</v>
      </c>
      <c r="H22" s="109" t="s">
        <v>2245</v>
      </c>
      <c r="I22" s="109" t="s">
        <v>988</v>
      </c>
      <c r="J22" s="111">
        <v>43482</v>
      </c>
      <c r="K22" s="109" t="s">
        <v>988</v>
      </c>
      <c r="L22" s="109" t="s">
        <v>1015</v>
      </c>
      <c r="M22" s="109" t="s">
        <v>2343</v>
      </c>
      <c r="N22" s="109" t="s">
        <v>2344</v>
      </c>
    </row>
    <row r="23" spans="1:14">
      <c r="A23" s="109" t="s">
        <v>2248</v>
      </c>
      <c r="B23" s="109" t="s">
        <v>1047</v>
      </c>
      <c r="C23" s="109" t="s">
        <v>1054</v>
      </c>
      <c r="D23" s="109" t="s">
        <v>1049</v>
      </c>
      <c r="E23" s="109" t="s">
        <v>1050</v>
      </c>
      <c r="F23" s="110">
        <v>2017</v>
      </c>
      <c r="G23" s="109" t="s">
        <v>1055</v>
      </c>
      <c r="H23" s="109" t="s">
        <v>1056</v>
      </c>
      <c r="I23" s="109" t="s">
        <v>1057</v>
      </c>
      <c r="J23" s="111">
        <v>43685</v>
      </c>
      <c r="K23" s="109" t="s">
        <v>988</v>
      </c>
      <c r="L23" s="109" t="s">
        <v>1057</v>
      </c>
      <c r="M23" s="109" t="s">
        <v>2348</v>
      </c>
      <c r="N23" s="109"/>
    </row>
    <row r="24" spans="1:14">
      <c r="A24" s="109" t="s">
        <v>3755</v>
      </c>
      <c r="B24" s="109" t="s">
        <v>1047</v>
      </c>
      <c r="C24" s="109"/>
      <c r="D24" s="109"/>
      <c r="E24" s="109" t="s">
        <v>1050</v>
      </c>
      <c r="F24" s="110">
        <v>2022</v>
      </c>
      <c r="G24" s="109" t="s">
        <v>2281</v>
      </c>
      <c r="H24" s="109" t="s">
        <v>3756</v>
      </c>
      <c r="I24" s="109" t="s">
        <v>1057</v>
      </c>
      <c r="J24" s="111"/>
      <c r="K24" s="109"/>
      <c r="L24" s="109" t="s">
        <v>1057</v>
      </c>
      <c r="M24" s="109" t="s">
        <v>2348</v>
      </c>
      <c r="N24" s="109"/>
    </row>
    <row r="25" spans="1:14" s="115" customFormat="1">
      <c r="A25" s="109" t="s">
        <v>2249</v>
      </c>
      <c r="B25" s="109" t="s">
        <v>1047</v>
      </c>
      <c r="C25" s="109" t="s">
        <v>1059</v>
      </c>
      <c r="D25" s="109" t="s">
        <v>1049</v>
      </c>
      <c r="E25" s="109" t="s">
        <v>1050</v>
      </c>
      <c r="F25" s="110">
        <v>2015</v>
      </c>
      <c r="G25" s="109" t="s">
        <v>1055</v>
      </c>
      <c r="H25" s="109" t="s">
        <v>1060</v>
      </c>
      <c r="I25" s="109" t="s">
        <v>1057</v>
      </c>
      <c r="J25" s="111">
        <v>43535</v>
      </c>
      <c r="K25" s="109" t="s">
        <v>988</v>
      </c>
      <c r="L25" s="109" t="s">
        <v>1057</v>
      </c>
      <c r="M25" s="109" t="s">
        <v>2348</v>
      </c>
      <c r="N25" s="109"/>
    </row>
    <row r="26" spans="1:14" s="105" customFormat="1" ht="22.5" customHeight="1">
      <c r="A26" s="927" t="s">
        <v>1061</v>
      </c>
      <c r="B26" s="927"/>
      <c r="C26" s="927"/>
      <c r="D26" s="927"/>
      <c r="E26" s="927"/>
      <c r="F26" s="927"/>
      <c r="G26" s="927"/>
      <c r="H26" s="927"/>
      <c r="I26" s="927"/>
      <c r="J26" s="927"/>
      <c r="K26" s="927"/>
      <c r="L26" s="927"/>
      <c r="M26" s="1117"/>
      <c r="N26" s="1118"/>
    </row>
    <row r="27" spans="1:14">
      <c r="A27" s="109" t="s">
        <v>1063</v>
      </c>
      <c r="B27" s="109" t="s">
        <v>1064</v>
      </c>
      <c r="C27" s="109" t="s">
        <v>1065</v>
      </c>
      <c r="D27" s="109" t="s">
        <v>1066</v>
      </c>
      <c r="E27" s="109" t="s">
        <v>1065</v>
      </c>
      <c r="F27" s="110">
        <v>2020</v>
      </c>
      <c r="G27" s="109" t="s">
        <v>1067</v>
      </c>
      <c r="H27" s="109" t="s">
        <v>1068</v>
      </c>
      <c r="I27" s="109" t="s">
        <v>1069</v>
      </c>
      <c r="J27" s="111">
        <v>43373</v>
      </c>
      <c r="K27" s="109" t="s">
        <v>988</v>
      </c>
      <c r="L27" s="109" t="s">
        <v>989</v>
      </c>
      <c r="M27" s="109" t="s">
        <v>2343</v>
      </c>
      <c r="N27" s="109" t="s">
        <v>2342</v>
      </c>
    </row>
    <row r="28" spans="1:14">
      <c r="A28" s="109" t="s">
        <v>1149</v>
      </c>
      <c r="B28" s="109" t="s">
        <v>1064</v>
      </c>
      <c r="C28" s="109" t="s">
        <v>1151</v>
      </c>
      <c r="D28" s="109" t="s">
        <v>918</v>
      </c>
      <c r="E28" s="109" t="s">
        <v>3757</v>
      </c>
      <c r="F28" s="110">
        <v>2020</v>
      </c>
      <c r="G28" s="109" t="s">
        <v>1001</v>
      </c>
      <c r="H28" s="109" t="s">
        <v>1002</v>
      </c>
      <c r="I28" s="109" t="s">
        <v>988</v>
      </c>
      <c r="J28" s="111">
        <v>43609</v>
      </c>
      <c r="K28" s="109" t="s">
        <v>988</v>
      </c>
      <c r="L28" s="109" t="s">
        <v>989</v>
      </c>
      <c r="M28" s="109" t="s">
        <v>2343</v>
      </c>
      <c r="N28" s="109" t="s">
        <v>2342</v>
      </c>
    </row>
    <row r="29" spans="1:14">
      <c r="A29" s="109" t="s">
        <v>1241</v>
      </c>
      <c r="B29" s="109" t="s">
        <v>1064</v>
      </c>
      <c r="C29" s="109"/>
      <c r="D29" s="109"/>
      <c r="E29" s="109" t="s">
        <v>436</v>
      </c>
      <c r="F29" s="110">
        <v>2020</v>
      </c>
      <c r="G29" s="109" t="s">
        <v>1242</v>
      </c>
      <c r="H29" s="109" t="s">
        <v>1243</v>
      </c>
      <c r="I29" s="109" t="s">
        <v>1244</v>
      </c>
      <c r="J29" s="111"/>
      <c r="K29" s="109"/>
      <c r="L29" s="109" t="s">
        <v>1015</v>
      </c>
      <c r="M29" s="109" t="s">
        <v>2343</v>
      </c>
      <c r="N29" s="109" t="s">
        <v>2342</v>
      </c>
    </row>
    <row r="30" spans="1:14">
      <c r="A30" s="928" t="s">
        <v>1070</v>
      </c>
      <c r="B30" s="109"/>
      <c r="C30" s="109"/>
      <c r="D30" s="109"/>
      <c r="E30" s="109"/>
      <c r="F30" s="110"/>
      <c r="G30" s="109"/>
      <c r="H30" s="109"/>
      <c r="I30" s="109"/>
      <c r="J30" s="111"/>
      <c r="K30" s="109"/>
      <c r="L30" s="109"/>
      <c r="M30" s="109"/>
      <c r="N30" s="109"/>
    </row>
    <row r="31" spans="1:14">
      <c r="A31" s="109" t="s">
        <v>1072</v>
      </c>
      <c r="B31" s="109" t="s">
        <v>1073</v>
      </c>
      <c r="C31" s="109" t="s">
        <v>1074</v>
      </c>
      <c r="D31" s="109" t="s">
        <v>1066</v>
      </c>
      <c r="E31" s="109" t="s">
        <v>1532</v>
      </c>
      <c r="F31" s="110">
        <v>2020</v>
      </c>
      <c r="G31" s="109" t="s">
        <v>1008</v>
      </c>
      <c r="H31" s="109" t="s">
        <v>1075</v>
      </c>
      <c r="I31" s="109" t="s">
        <v>988</v>
      </c>
      <c r="J31" s="111">
        <v>43507</v>
      </c>
      <c r="K31" s="109" t="s">
        <v>988</v>
      </c>
      <c r="L31" s="109" t="s">
        <v>989</v>
      </c>
      <c r="M31" s="109" t="s">
        <v>2343</v>
      </c>
      <c r="N31" s="109" t="s">
        <v>2342</v>
      </c>
    </row>
    <row r="32" spans="1:14" ht="33.75" customHeight="1">
      <c r="A32" s="925" t="s">
        <v>968</v>
      </c>
      <c r="B32" s="926" t="s">
        <v>2241</v>
      </c>
      <c r="C32" s="925" t="s">
        <v>969</v>
      </c>
      <c r="D32" s="925" t="s">
        <v>970</v>
      </c>
      <c r="E32" s="925" t="s">
        <v>971</v>
      </c>
      <c r="F32" s="926" t="s">
        <v>972</v>
      </c>
      <c r="G32" s="925" t="s">
        <v>973</v>
      </c>
      <c r="H32" s="925" t="s">
        <v>974</v>
      </c>
      <c r="I32" s="925" t="s">
        <v>975</v>
      </c>
      <c r="J32" s="925" t="s">
        <v>976</v>
      </c>
      <c r="K32" s="925" t="s">
        <v>977</v>
      </c>
      <c r="L32" s="925" t="s">
        <v>979</v>
      </c>
      <c r="M32" s="926" t="s">
        <v>3738</v>
      </c>
      <c r="N32" s="925" t="s">
        <v>2339</v>
      </c>
    </row>
    <row r="33" spans="1:14" s="105" customFormat="1" ht="22.5" customHeight="1">
      <c r="A33" s="927" t="s">
        <v>1076</v>
      </c>
      <c r="B33" s="927"/>
      <c r="C33" s="927"/>
      <c r="D33" s="927"/>
      <c r="E33" s="927"/>
      <c r="F33" s="927"/>
      <c r="G33" s="927"/>
      <c r="H33" s="927"/>
      <c r="I33" s="927"/>
      <c r="J33" s="927"/>
      <c r="K33" s="927"/>
      <c r="L33" s="927"/>
      <c r="M33" s="1117"/>
      <c r="N33" s="1118"/>
    </row>
    <row r="34" spans="1:14">
      <c r="A34" s="109" t="s">
        <v>2250</v>
      </c>
      <c r="B34" s="109" t="s">
        <v>1078</v>
      </c>
      <c r="C34" s="109" t="s">
        <v>471</v>
      </c>
      <c r="D34" s="109" t="s">
        <v>471</v>
      </c>
      <c r="E34" s="109" t="s">
        <v>471</v>
      </c>
      <c r="F34" s="110">
        <v>2013</v>
      </c>
      <c r="G34" s="109" t="s">
        <v>1084</v>
      </c>
      <c r="H34" s="109" t="s">
        <v>1082</v>
      </c>
      <c r="I34" s="109" t="s">
        <v>1082</v>
      </c>
      <c r="J34" s="111">
        <v>43299</v>
      </c>
      <c r="K34" s="109" t="s">
        <v>988</v>
      </c>
      <c r="L34" s="109" t="s">
        <v>1015</v>
      </c>
      <c r="M34" s="109" t="s">
        <v>2348</v>
      </c>
      <c r="N34" s="109"/>
    </row>
    <row r="35" spans="1:14">
      <c r="A35" s="109" t="s">
        <v>2251</v>
      </c>
      <c r="B35" s="109" t="s">
        <v>1078</v>
      </c>
      <c r="C35" s="109" t="s">
        <v>471</v>
      </c>
      <c r="D35" s="109" t="s">
        <v>471</v>
      </c>
      <c r="E35" s="109" t="s">
        <v>471</v>
      </c>
      <c r="F35" s="110">
        <v>2016</v>
      </c>
      <c r="G35" s="109" t="s">
        <v>1084</v>
      </c>
      <c r="H35" s="109" t="s">
        <v>1082</v>
      </c>
      <c r="I35" s="109" t="s">
        <v>1082</v>
      </c>
      <c r="J35" s="111">
        <v>43182</v>
      </c>
      <c r="K35" s="109" t="s">
        <v>988</v>
      </c>
      <c r="L35" s="109" t="s">
        <v>1015</v>
      </c>
      <c r="M35" s="109" t="s">
        <v>2348</v>
      </c>
      <c r="N35" s="109"/>
    </row>
    <row r="36" spans="1:14">
      <c r="A36" s="109" t="s">
        <v>2252</v>
      </c>
      <c r="B36" s="109" t="s">
        <v>1078</v>
      </c>
      <c r="C36" s="109" t="s">
        <v>471</v>
      </c>
      <c r="D36" s="109" t="s">
        <v>471</v>
      </c>
      <c r="E36" s="109" t="s">
        <v>471</v>
      </c>
      <c r="F36" s="110">
        <v>2018</v>
      </c>
      <c r="G36" s="109" t="s">
        <v>1084</v>
      </c>
      <c r="H36" s="109" t="s">
        <v>1082</v>
      </c>
      <c r="I36" s="109" t="s">
        <v>1082</v>
      </c>
      <c r="J36" s="111">
        <v>43299</v>
      </c>
      <c r="K36" s="109" t="s">
        <v>988</v>
      </c>
      <c r="L36" s="109" t="s">
        <v>1015</v>
      </c>
      <c r="M36" s="109" t="s">
        <v>2348</v>
      </c>
      <c r="N36" s="109"/>
    </row>
    <row r="37" spans="1:14">
      <c r="A37" s="109" t="s">
        <v>3758</v>
      </c>
      <c r="B37" s="109" t="s">
        <v>1078</v>
      </c>
      <c r="C37" s="109" t="s">
        <v>471</v>
      </c>
      <c r="D37" s="109" t="s">
        <v>471</v>
      </c>
      <c r="E37" s="109" t="s">
        <v>471</v>
      </c>
      <c r="F37" s="110">
        <v>2022</v>
      </c>
      <c r="G37" s="109" t="s">
        <v>1093</v>
      </c>
      <c r="H37" s="109" t="s">
        <v>1093</v>
      </c>
      <c r="I37" s="109" t="s">
        <v>1093</v>
      </c>
      <c r="J37" s="111"/>
      <c r="K37" s="109"/>
      <c r="L37" s="109" t="s">
        <v>1015</v>
      </c>
      <c r="M37" s="109" t="s">
        <v>2348</v>
      </c>
      <c r="N37" s="109"/>
    </row>
    <row r="38" spans="1:14">
      <c r="A38" s="110">
        <v>51411702</v>
      </c>
      <c r="B38" s="110">
        <v>1747000530</v>
      </c>
      <c r="C38" s="110" t="s">
        <v>471</v>
      </c>
      <c r="D38" s="110" t="s">
        <v>471</v>
      </c>
      <c r="E38" s="110" t="s">
        <v>471</v>
      </c>
      <c r="F38" s="110">
        <v>2021</v>
      </c>
      <c r="G38" s="110" t="s">
        <v>1022</v>
      </c>
      <c r="H38" s="110" t="s">
        <v>3748</v>
      </c>
      <c r="I38" s="110" t="s">
        <v>988</v>
      </c>
      <c r="J38" s="111"/>
      <c r="K38" s="109" t="s">
        <v>988</v>
      </c>
      <c r="L38" s="109" t="s">
        <v>1015</v>
      </c>
      <c r="M38" s="109" t="s">
        <v>2343</v>
      </c>
      <c r="N38" s="109" t="s">
        <v>2344</v>
      </c>
    </row>
    <row r="39" spans="1:14">
      <c r="A39" s="110">
        <v>51817902</v>
      </c>
      <c r="B39" s="110">
        <v>1747000530</v>
      </c>
      <c r="C39" s="110"/>
      <c r="D39" s="110"/>
      <c r="E39" s="110" t="s">
        <v>3759</v>
      </c>
      <c r="F39" s="110">
        <v>2022</v>
      </c>
      <c r="G39" s="110" t="s">
        <v>3747</v>
      </c>
      <c r="H39" s="110" t="s">
        <v>3748</v>
      </c>
      <c r="I39" s="110" t="s">
        <v>1024</v>
      </c>
      <c r="J39" s="111"/>
      <c r="K39" s="109"/>
      <c r="L39" s="109" t="s">
        <v>1015</v>
      </c>
      <c r="M39" s="109" t="s">
        <v>2343</v>
      </c>
      <c r="N39" s="109" t="s">
        <v>3742</v>
      </c>
    </row>
    <row r="40" spans="1:14">
      <c r="A40" s="110">
        <v>20899502</v>
      </c>
      <c r="B40" s="110">
        <v>1747000530</v>
      </c>
      <c r="C40" s="110"/>
      <c r="D40" s="110"/>
      <c r="E40" s="110" t="s">
        <v>471</v>
      </c>
      <c r="F40" s="110">
        <v>2020</v>
      </c>
      <c r="G40" s="110" t="s">
        <v>1093</v>
      </c>
      <c r="H40" s="110"/>
      <c r="I40" s="110"/>
      <c r="J40" s="111"/>
      <c r="K40" s="109"/>
      <c r="L40" s="109" t="s">
        <v>1015</v>
      </c>
      <c r="M40" s="109" t="s">
        <v>2348</v>
      </c>
      <c r="N40" s="109"/>
    </row>
    <row r="41" spans="1:14">
      <c r="A41" s="110">
        <v>12705302</v>
      </c>
      <c r="B41" s="110">
        <v>1747000530</v>
      </c>
      <c r="C41" s="110"/>
      <c r="D41" s="110"/>
      <c r="E41" s="110" t="s">
        <v>471</v>
      </c>
      <c r="F41" s="110">
        <v>2017</v>
      </c>
      <c r="G41" s="110" t="s">
        <v>1096</v>
      </c>
      <c r="H41" s="110"/>
      <c r="I41" s="110"/>
      <c r="J41" s="111"/>
      <c r="K41" s="109"/>
      <c r="L41" s="109" t="s">
        <v>1015</v>
      </c>
      <c r="M41" s="109" t="s">
        <v>2348</v>
      </c>
      <c r="N41" s="109"/>
    </row>
    <row r="42" spans="1:14">
      <c r="A42" s="110">
        <v>1914728</v>
      </c>
      <c r="B42" s="110">
        <v>1747000530</v>
      </c>
      <c r="C42" s="110"/>
      <c r="D42" s="110"/>
      <c r="E42" s="110" t="s">
        <v>471</v>
      </c>
      <c r="F42" s="110">
        <v>2021</v>
      </c>
      <c r="G42" s="110" t="s">
        <v>3760</v>
      </c>
      <c r="H42" s="110"/>
      <c r="I42" s="110"/>
      <c r="J42" s="111"/>
      <c r="K42" s="109"/>
      <c r="L42" s="109" t="s">
        <v>1015</v>
      </c>
      <c r="M42" s="109" t="s">
        <v>2348</v>
      </c>
      <c r="N42" s="109"/>
    </row>
    <row r="43" spans="1:14">
      <c r="A43" s="110">
        <v>8437252</v>
      </c>
      <c r="B43" s="110">
        <v>1747000530</v>
      </c>
      <c r="C43" s="110"/>
      <c r="D43" s="110"/>
      <c r="E43" s="110" t="s">
        <v>471</v>
      </c>
      <c r="F43" s="110">
        <v>2017</v>
      </c>
      <c r="G43" s="110" t="s">
        <v>1098</v>
      </c>
      <c r="H43" s="110"/>
      <c r="I43" s="110"/>
      <c r="J43" s="111"/>
      <c r="K43" s="109"/>
      <c r="L43" s="109" t="s">
        <v>1015</v>
      </c>
      <c r="M43" s="109" t="s">
        <v>2348</v>
      </c>
      <c r="N43" s="109"/>
    </row>
    <row r="44" spans="1:14" s="105" customFormat="1" ht="22.5" customHeight="1">
      <c r="A44" s="927" t="s">
        <v>1099</v>
      </c>
      <c r="B44" s="927"/>
      <c r="C44" s="927"/>
      <c r="D44" s="927"/>
      <c r="E44" s="927"/>
      <c r="F44" s="927"/>
      <c r="G44" s="927"/>
      <c r="H44" s="927"/>
      <c r="I44" s="927"/>
      <c r="J44" s="927"/>
      <c r="K44" s="927"/>
      <c r="L44" s="927"/>
      <c r="M44" s="1117"/>
      <c r="N44" s="1118"/>
    </row>
    <row r="45" spans="1:14">
      <c r="A45" s="109" t="s">
        <v>1101</v>
      </c>
      <c r="B45" s="109" t="s">
        <v>1102</v>
      </c>
      <c r="C45" s="109" t="s">
        <v>1103</v>
      </c>
      <c r="D45" s="109" t="s">
        <v>1104</v>
      </c>
      <c r="E45" s="109" t="s">
        <v>1533</v>
      </c>
      <c r="F45" s="110">
        <v>2019</v>
      </c>
      <c r="G45" s="109" t="s">
        <v>1008</v>
      </c>
      <c r="H45" s="109" t="s">
        <v>1075</v>
      </c>
      <c r="I45" s="109" t="s">
        <v>988</v>
      </c>
      <c r="J45" s="111">
        <v>43479</v>
      </c>
      <c r="K45" s="109" t="s">
        <v>988</v>
      </c>
      <c r="L45" s="109" t="s">
        <v>989</v>
      </c>
      <c r="M45" s="109" t="s">
        <v>2343</v>
      </c>
      <c r="N45" s="109" t="s">
        <v>2341</v>
      </c>
    </row>
    <row r="46" spans="1:14">
      <c r="A46" s="109" t="s">
        <v>2254</v>
      </c>
      <c r="B46" s="109" t="s">
        <v>1102</v>
      </c>
      <c r="C46" s="109" t="s">
        <v>1104</v>
      </c>
      <c r="D46" s="109" t="s">
        <v>1104</v>
      </c>
      <c r="E46" s="109" t="s">
        <v>1104</v>
      </c>
      <c r="F46" s="110">
        <v>2021</v>
      </c>
      <c r="G46" s="109" t="s">
        <v>2255</v>
      </c>
      <c r="H46" s="109" t="s">
        <v>3761</v>
      </c>
      <c r="I46" s="109" t="s">
        <v>1024</v>
      </c>
      <c r="J46" s="111">
        <v>43466</v>
      </c>
      <c r="K46" s="109" t="s">
        <v>988</v>
      </c>
      <c r="L46" s="109" t="s">
        <v>1015</v>
      </c>
      <c r="M46" s="109" t="s">
        <v>2343</v>
      </c>
      <c r="N46" s="109" t="s">
        <v>2344</v>
      </c>
    </row>
    <row r="47" spans="1:14">
      <c r="A47" s="109" t="s">
        <v>2256</v>
      </c>
      <c r="B47" s="109" t="s">
        <v>1102</v>
      </c>
      <c r="C47" s="109" t="s">
        <v>1104</v>
      </c>
      <c r="D47" s="109" t="s">
        <v>1104</v>
      </c>
      <c r="E47" s="109" t="s">
        <v>1104</v>
      </c>
      <c r="F47" s="110">
        <v>2021</v>
      </c>
      <c r="G47" s="109" t="s">
        <v>2255</v>
      </c>
      <c r="H47" s="109" t="s">
        <v>3761</v>
      </c>
      <c r="I47" s="109" t="s">
        <v>1024</v>
      </c>
      <c r="J47" s="111">
        <v>43466</v>
      </c>
      <c r="K47" s="109" t="s">
        <v>988</v>
      </c>
      <c r="L47" s="109" t="s">
        <v>1015</v>
      </c>
      <c r="M47" s="109" t="s">
        <v>2343</v>
      </c>
      <c r="N47" s="109" t="s">
        <v>2344</v>
      </c>
    </row>
    <row r="48" spans="1:14">
      <c r="A48" s="109" t="s">
        <v>3762</v>
      </c>
      <c r="B48" s="109" t="s">
        <v>1102</v>
      </c>
      <c r="C48" s="109" t="s">
        <v>1110</v>
      </c>
      <c r="D48" s="109" t="s">
        <v>1104</v>
      </c>
      <c r="E48" s="109" t="s">
        <v>1104</v>
      </c>
      <c r="F48" s="110">
        <v>2022</v>
      </c>
      <c r="G48" s="109" t="s">
        <v>3763</v>
      </c>
      <c r="H48" s="109" t="s">
        <v>2302</v>
      </c>
      <c r="I48" s="109" t="s">
        <v>1024</v>
      </c>
      <c r="J48" s="111">
        <v>43637</v>
      </c>
      <c r="K48" s="109" t="s">
        <v>988</v>
      </c>
      <c r="L48" s="109" t="s">
        <v>1015</v>
      </c>
      <c r="M48" s="109" t="s">
        <v>2343</v>
      </c>
      <c r="N48" s="109" t="s">
        <v>3742</v>
      </c>
    </row>
    <row r="49" spans="1:14" s="115" customFormat="1">
      <c r="A49" s="109" t="s">
        <v>2257</v>
      </c>
      <c r="B49" s="109" t="s">
        <v>1102</v>
      </c>
      <c r="C49" s="109" t="s">
        <v>1114</v>
      </c>
      <c r="D49" s="109" t="s">
        <v>899</v>
      </c>
      <c r="E49" s="109" t="s">
        <v>1104</v>
      </c>
      <c r="F49" s="110">
        <v>2021</v>
      </c>
      <c r="G49" s="109" t="s">
        <v>2255</v>
      </c>
      <c r="H49" s="109" t="s">
        <v>3761</v>
      </c>
      <c r="I49" s="109" t="s">
        <v>1024</v>
      </c>
      <c r="J49" s="111">
        <v>43733</v>
      </c>
      <c r="K49" s="109" t="s">
        <v>988</v>
      </c>
      <c r="L49" s="109" t="s">
        <v>1015</v>
      </c>
      <c r="M49" s="109" t="s">
        <v>2343</v>
      </c>
      <c r="N49" s="109" t="s">
        <v>2344</v>
      </c>
    </row>
    <row r="50" spans="1:14" s="115" customFormat="1">
      <c r="A50" s="109" t="s">
        <v>2258</v>
      </c>
      <c r="B50" s="109" t="s">
        <v>1102</v>
      </c>
      <c r="C50" s="109"/>
      <c r="D50" s="109"/>
      <c r="E50" s="109" t="s">
        <v>1104</v>
      </c>
      <c r="F50" s="110">
        <v>2021</v>
      </c>
      <c r="G50" s="109" t="s">
        <v>2244</v>
      </c>
      <c r="H50" s="109" t="s">
        <v>2245</v>
      </c>
      <c r="I50" s="109" t="s">
        <v>988</v>
      </c>
      <c r="J50" s="111"/>
      <c r="K50" s="109"/>
      <c r="L50" s="109" t="s">
        <v>1015</v>
      </c>
      <c r="M50" s="109" t="s">
        <v>2343</v>
      </c>
      <c r="N50" s="109" t="s">
        <v>2344</v>
      </c>
    </row>
    <row r="51" spans="1:14" s="115" customFormat="1">
      <c r="A51" s="109" t="s">
        <v>1117</v>
      </c>
      <c r="B51" s="109" t="s">
        <v>1102</v>
      </c>
      <c r="C51" s="109"/>
      <c r="D51" s="109"/>
      <c r="E51" s="109" t="s">
        <v>1104</v>
      </c>
      <c r="F51" s="110">
        <v>2019</v>
      </c>
      <c r="G51" s="109" t="s">
        <v>1001</v>
      </c>
      <c r="H51" s="109" t="s">
        <v>1014</v>
      </c>
      <c r="I51" s="109" t="s">
        <v>988</v>
      </c>
      <c r="J51" s="111"/>
      <c r="K51" s="109"/>
      <c r="L51" s="109" t="s">
        <v>1015</v>
      </c>
      <c r="M51" s="109" t="s">
        <v>2343</v>
      </c>
      <c r="N51" s="109" t="s">
        <v>2341</v>
      </c>
    </row>
    <row r="52" spans="1:14">
      <c r="A52" s="109" t="s">
        <v>2259</v>
      </c>
      <c r="B52" s="109" t="s">
        <v>1102</v>
      </c>
      <c r="C52" s="109" t="s">
        <v>1104</v>
      </c>
      <c r="D52" s="109" t="s">
        <v>1104</v>
      </c>
      <c r="E52" s="109" t="s">
        <v>1104</v>
      </c>
      <c r="F52" s="110">
        <v>2006</v>
      </c>
      <c r="G52" s="109" t="s">
        <v>1120</v>
      </c>
      <c r="H52" s="109" t="s">
        <v>1121</v>
      </c>
      <c r="I52" s="109" t="s">
        <v>1121</v>
      </c>
      <c r="J52" s="111">
        <v>43447</v>
      </c>
      <c r="K52" s="109" t="s">
        <v>988</v>
      </c>
      <c r="L52" s="109" t="s">
        <v>1015</v>
      </c>
      <c r="M52" s="109"/>
      <c r="N52" s="109"/>
    </row>
    <row r="53" spans="1:14" s="105" customFormat="1" ht="22.5" customHeight="1">
      <c r="A53" s="927" t="s">
        <v>914</v>
      </c>
      <c r="B53" s="927"/>
      <c r="C53" s="927"/>
      <c r="D53" s="927"/>
      <c r="E53" s="927"/>
      <c r="F53" s="927"/>
      <c r="G53" s="927"/>
      <c r="H53" s="927"/>
      <c r="I53" s="927"/>
      <c r="J53" s="927"/>
      <c r="K53" s="927"/>
      <c r="L53" s="927"/>
      <c r="M53" s="1117"/>
      <c r="N53" s="1118"/>
    </row>
    <row r="54" spans="1:14">
      <c r="A54" s="109" t="s">
        <v>1123</v>
      </c>
      <c r="B54" s="109" t="s">
        <v>1124</v>
      </c>
      <c r="C54" s="109" t="s">
        <v>1125</v>
      </c>
      <c r="D54" s="109" t="s">
        <v>914</v>
      </c>
      <c r="E54" s="109" t="s">
        <v>1126</v>
      </c>
      <c r="F54" s="110">
        <v>2020</v>
      </c>
      <c r="G54" s="109" t="s">
        <v>1001</v>
      </c>
      <c r="H54" s="109" t="s">
        <v>1002</v>
      </c>
      <c r="I54" s="109" t="s">
        <v>988</v>
      </c>
      <c r="J54" s="111">
        <v>43314</v>
      </c>
      <c r="K54" s="109" t="s">
        <v>988</v>
      </c>
      <c r="L54" s="109" t="s">
        <v>989</v>
      </c>
      <c r="M54" s="109" t="s">
        <v>2343</v>
      </c>
      <c r="N54" s="109" t="s">
        <v>2342</v>
      </c>
    </row>
    <row r="55" spans="1:14">
      <c r="A55" s="109" t="s">
        <v>3764</v>
      </c>
      <c r="B55" s="109">
        <v>1811000530</v>
      </c>
      <c r="C55" s="109" t="s">
        <v>1129</v>
      </c>
      <c r="D55" s="109" t="s">
        <v>914</v>
      </c>
      <c r="E55" s="109" t="s">
        <v>1130</v>
      </c>
      <c r="F55" s="110">
        <v>2022</v>
      </c>
      <c r="G55" s="109" t="s">
        <v>3765</v>
      </c>
      <c r="H55" s="109" t="s">
        <v>3766</v>
      </c>
      <c r="I55" s="109" t="s">
        <v>988</v>
      </c>
      <c r="J55" s="111"/>
      <c r="K55" s="109" t="s">
        <v>988</v>
      </c>
      <c r="L55" s="109" t="s">
        <v>989</v>
      </c>
      <c r="M55" s="109" t="s">
        <v>2343</v>
      </c>
      <c r="N55" s="109" t="s">
        <v>3742</v>
      </c>
    </row>
    <row r="56" spans="1:14">
      <c r="A56" s="109" t="s">
        <v>2260</v>
      </c>
      <c r="B56" s="109">
        <v>1811000530</v>
      </c>
      <c r="C56" s="109"/>
      <c r="D56" s="109"/>
      <c r="E56" s="109" t="s">
        <v>1132</v>
      </c>
      <c r="F56" s="110">
        <v>2021</v>
      </c>
      <c r="G56" s="109" t="s">
        <v>996</v>
      </c>
      <c r="H56" s="109" t="s">
        <v>3767</v>
      </c>
      <c r="I56" s="109" t="s">
        <v>988</v>
      </c>
      <c r="J56" s="111"/>
      <c r="K56" s="109"/>
      <c r="L56" s="109" t="s">
        <v>989</v>
      </c>
      <c r="M56" s="109" t="s">
        <v>2343</v>
      </c>
      <c r="N56" s="109" t="s">
        <v>2344</v>
      </c>
    </row>
    <row r="57" spans="1:14">
      <c r="A57" s="109" t="s">
        <v>2262</v>
      </c>
      <c r="B57" s="109" t="s">
        <v>1124</v>
      </c>
      <c r="C57" s="109" t="s">
        <v>1138</v>
      </c>
      <c r="D57" s="109" t="s">
        <v>914</v>
      </c>
      <c r="E57" s="109" t="s">
        <v>914</v>
      </c>
      <c r="F57" s="110">
        <v>2017</v>
      </c>
      <c r="G57" s="109" t="s">
        <v>1139</v>
      </c>
      <c r="H57" s="109" t="s">
        <v>1140</v>
      </c>
      <c r="I57" s="109" t="s">
        <v>1141</v>
      </c>
      <c r="J57" s="110"/>
      <c r="K57" s="109" t="s">
        <v>988</v>
      </c>
      <c r="L57" s="109" t="s">
        <v>1015</v>
      </c>
      <c r="M57" s="109" t="s">
        <v>2348</v>
      </c>
      <c r="N57" s="109"/>
    </row>
    <row r="58" spans="1:14">
      <c r="A58" s="109" t="s">
        <v>3768</v>
      </c>
      <c r="B58" s="109" t="s">
        <v>1124</v>
      </c>
      <c r="C58" s="109"/>
      <c r="D58" s="109"/>
      <c r="E58" s="109" t="s">
        <v>2264</v>
      </c>
      <c r="F58" s="110">
        <v>2022</v>
      </c>
      <c r="G58" s="109" t="s">
        <v>3765</v>
      </c>
      <c r="H58" s="109" t="s">
        <v>3769</v>
      </c>
      <c r="I58" s="109" t="s">
        <v>988</v>
      </c>
      <c r="J58" s="110"/>
      <c r="K58" s="109"/>
      <c r="L58" s="109" t="s">
        <v>989</v>
      </c>
      <c r="M58" s="109" t="s">
        <v>2343</v>
      </c>
      <c r="N58" s="109" t="s">
        <v>3742</v>
      </c>
    </row>
    <row r="59" spans="1:14" s="105" customFormat="1">
      <c r="A59" s="109" t="s">
        <v>3770</v>
      </c>
      <c r="B59" s="109" t="s">
        <v>1124</v>
      </c>
      <c r="C59" s="109"/>
      <c r="D59" s="109"/>
      <c r="E59" s="109" t="s">
        <v>602</v>
      </c>
      <c r="F59" s="110">
        <v>2020</v>
      </c>
      <c r="G59" s="109" t="s">
        <v>1093</v>
      </c>
      <c r="H59" s="109"/>
      <c r="I59" s="109" t="s">
        <v>1093</v>
      </c>
      <c r="J59" s="110"/>
      <c r="K59" s="109"/>
      <c r="L59" s="109" t="s">
        <v>1015</v>
      </c>
      <c r="M59" s="109" t="s">
        <v>2351</v>
      </c>
      <c r="N59" s="109"/>
    </row>
    <row r="60" spans="1:14" s="105" customFormat="1" ht="21" customHeight="1">
      <c r="A60" s="927" t="s">
        <v>538</v>
      </c>
      <c r="B60" s="927"/>
      <c r="C60" s="927"/>
      <c r="D60" s="927"/>
      <c r="E60" s="927"/>
      <c r="F60" s="927"/>
      <c r="G60" s="927"/>
      <c r="H60" s="927"/>
      <c r="I60" s="927"/>
      <c r="J60" s="927"/>
      <c r="K60" s="927"/>
      <c r="L60" s="927"/>
      <c r="M60" s="1117"/>
      <c r="N60" s="1118"/>
    </row>
    <row r="61" spans="1:14" s="105" customFormat="1">
      <c r="A61" s="109" t="s">
        <v>1146</v>
      </c>
      <c r="B61" s="109" t="s">
        <v>1135</v>
      </c>
      <c r="C61" s="109"/>
      <c r="D61" s="109"/>
      <c r="E61" s="109" t="s">
        <v>1147</v>
      </c>
      <c r="F61" s="110">
        <v>2019</v>
      </c>
      <c r="G61" s="109" t="s">
        <v>1121</v>
      </c>
      <c r="H61" s="109" t="s">
        <v>1121</v>
      </c>
      <c r="I61" s="109" t="s">
        <v>1121</v>
      </c>
      <c r="J61" s="110"/>
      <c r="K61" s="109"/>
      <c r="L61" s="109" t="s">
        <v>1015</v>
      </c>
      <c r="M61" s="109" t="s">
        <v>2348</v>
      </c>
      <c r="N61" s="109"/>
    </row>
    <row r="62" spans="1:14" s="105" customFormat="1">
      <c r="A62" s="109" t="s">
        <v>1134</v>
      </c>
      <c r="B62" s="109" t="s">
        <v>1135</v>
      </c>
      <c r="C62" s="109"/>
      <c r="D62" s="109"/>
      <c r="E62" s="109" t="s">
        <v>2269</v>
      </c>
      <c r="F62" s="110">
        <v>2020</v>
      </c>
      <c r="G62" s="109" t="s">
        <v>1001</v>
      </c>
      <c r="H62" s="109" t="s">
        <v>1014</v>
      </c>
      <c r="I62" s="109" t="s">
        <v>988</v>
      </c>
      <c r="J62" s="111"/>
      <c r="K62" s="109"/>
      <c r="L62" s="109" t="s">
        <v>989</v>
      </c>
      <c r="M62" s="109" t="s">
        <v>2340</v>
      </c>
      <c r="N62" s="109" t="s">
        <v>2342</v>
      </c>
    </row>
    <row r="63" spans="1:14" s="105" customFormat="1" ht="22.5" customHeight="1">
      <c r="A63" s="927" t="s">
        <v>651</v>
      </c>
      <c r="B63" s="927"/>
      <c r="C63" s="927"/>
      <c r="D63" s="927"/>
      <c r="E63" s="927"/>
      <c r="F63" s="927"/>
      <c r="G63" s="927"/>
      <c r="H63" s="927"/>
      <c r="I63" s="927"/>
      <c r="J63" s="927"/>
      <c r="K63" s="927"/>
      <c r="L63" s="927"/>
      <c r="M63" s="1117"/>
      <c r="N63" s="1118"/>
    </row>
    <row r="64" spans="1:14" s="105" customFormat="1">
      <c r="A64" s="109" t="s">
        <v>3771</v>
      </c>
      <c r="B64" s="109" t="s">
        <v>1150</v>
      </c>
      <c r="C64" s="109" t="s">
        <v>1151</v>
      </c>
      <c r="D64" s="109" t="s">
        <v>918</v>
      </c>
      <c r="E64" s="109" t="s">
        <v>1152</v>
      </c>
      <c r="F64" s="110">
        <v>2022</v>
      </c>
      <c r="G64" s="109" t="s">
        <v>986</v>
      </c>
      <c r="H64" s="109" t="s">
        <v>3772</v>
      </c>
      <c r="I64" s="109" t="s">
        <v>988</v>
      </c>
      <c r="J64" s="111">
        <v>43609</v>
      </c>
      <c r="K64" s="109" t="s">
        <v>988</v>
      </c>
      <c r="L64" s="109" t="s">
        <v>989</v>
      </c>
      <c r="M64" s="109" t="s">
        <v>2343</v>
      </c>
      <c r="N64" s="109"/>
    </row>
    <row r="65" spans="1:14" s="105" customFormat="1">
      <c r="A65" s="109"/>
      <c r="B65" s="109"/>
      <c r="C65" s="109"/>
      <c r="D65" s="109"/>
      <c r="E65" s="109"/>
      <c r="F65" s="110"/>
      <c r="G65" s="109"/>
      <c r="H65" s="109"/>
      <c r="I65" s="109"/>
      <c r="J65" s="111"/>
      <c r="K65" s="109"/>
      <c r="L65" s="109"/>
      <c r="M65" s="109"/>
      <c r="N65" s="109"/>
    </row>
    <row r="66" spans="1:14" ht="33.75" customHeight="1">
      <c r="A66" s="925" t="s">
        <v>968</v>
      </c>
      <c r="B66" s="926" t="s">
        <v>2241</v>
      </c>
      <c r="C66" s="925" t="s">
        <v>969</v>
      </c>
      <c r="D66" s="925" t="s">
        <v>970</v>
      </c>
      <c r="E66" s="925" t="s">
        <v>971</v>
      </c>
      <c r="F66" s="926" t="s">
        <v>972</v>
      </c>
      <c r="G66" s="925" t="s">
        <v>973</v>
      </c>
      <c r="H66" s="925" t="s">
        <v>974</v>
      </c>
      <c r="I66" s="925" t="s">
        <v>975</v>
      </c>
      <c r="J66" s="925" t="s">
        <v>976</v>
      </c>
      <c r="K66" s="925" t="s">
        <v>977</v>
      </c>
      <c r="L66" s="925" t="s">
        <v>979</v>
      </c>
      <c r="M66" s="926" t="s">
        <v>3738</v>
      </c>
      <c r="N66" s="925" t="s">
        <v>2339</v>
      </c>
    </row>
    <row r="67" spans="1:14" s="105" customFormat="1">
      <c r="A67" s="109"/>
      <c r="B67" s="109"/>
      <c r="C67" s="109"/>
      <c r="D67" s="109"/>
      <c r="E67" s="109"/>
      <c r="F67" s="110"/>
      <c r="G67" s="109"/>
      <c r="H67" s="109"/>
      <c r="I67" s="109"/>
      <c r="J67" s="111"/>
      <c r="K67" s="109"/>
      <c r="L67" s="109"/>
      <c r="M67" s="109"/>
      <c r="N67" s="109"/>
    </row>
    <row r="68" spans="1:14" s="105" customFormat="1">
      <c r="A68" s="928" t="s">
        <v>670</v>
      </c>
      <c r="B68" s="109"/>
      <c r="C68" s="109"/>
      <c r="D68" s="109"/>
      <c r="E68" s="109"/>
      <c r="F68" s="110"/>
      <c r="G68" s="109"/>
      <c r="H68" s="109"/>
      <c r="I68" s="109"/>
      <c r="J68" s="111"/>
      <c r="K68" s="109"/>
      <c r="L68" s="109"/>
      <c r="M68" s="109"/>
      <c r="N68" s="109"/>
    </row>
    <row r="69" spans="1:14" s="105" customFormat="1">
      <c r="A69" s="109" t="s">
        <v>2270</v>
      </c>
      <c r="B69" s="109" t="s">
        <v>1026</v>
      </c>
      <c r="C69" s="109" t="s">
        <v>1027</v>
      </c>
      <c r="D69" s="109" t="s">
        <v>309</v>
      </c>
      <c r="E69" s="109" t="s">
        <v>3773</v>
      </c>
      <c r="F69" s="110">
        <v>2021</v>
      </c>
      <c r="G69" s="109" t="s">
        <v>2244</v>
      </c>
      <c r="H69" s="109" t="s">
        <v>2245</v>
      </c>
      <c r="I69" s="109" t="s">
        <v>988</v>
      </c>
      <c r="J69" s="111">
        <v>43488</v>
      </c>
      <c r="K69" s="109" t="s">
        <v>988</v>
      </c>
      <c r="L69" s="109" t="s">
        <v>1015</v>
      </c>
      <c r="M69" s="109" t="s">
        <v>2353</v>
      </c>
      <c r="N69" s="109" t="s">
        <v>2344</v>
      </c>
    </row>
    <row r="70" spans="1:14" s="105" customFormat="1">
      <c r="A70" s="109" t="s">
        <v>3774</v>
      </c>
      <c r="B70" s="109" t="s">
        <v>1026</v>
      </c>
      <c r="C70" s="109"/>
      <c r="D70" s="109"/>
      <c r="E70" s="109" t="s">
        <v>3775</v>
      </c>
      <c r="F70" s="110">
        <v>2022</v>
      </c>
      <c r="G70" s="109" t="s">
        <v>3776</v>
      </c>
      <c r="H70" s="109" t="s">
        <v>1014</v>
      </c>
      <c r="I70" s="109" t="s">
        <v>988</v>
      </c>
      <c r="J70" s="111"/>
      <c r="K70" s="109"/>
      <c r="L70" s="109" t="s">
        <v>1015</v>
      </c>
      <c r="M70" s="109" t="s">
        <v>2343</v>
      </c>
      <c r="N70" s="109" t="s">
        <v>3742</v>
      </c>
    </row>
    <row r="71" spans="1:14" s="105" customFormat="1" ht="15.75">
      <c r="A71" s="927" t="s">
        <v>1153</v>
      </c>
      <c r="B71" s="927"/>
      <c r="C71" s="927"/>
      <c r="D71" s="927"/>
      <c r="E71" s="927"/>
      <c r="F71" s="927"/>
      <c r="G71" s="927"/>
      <c r="H71" s="927"/>
      <c r="I71" s="927"/>
      <c r="J71" s="927"/>
      <c r="K71" s="927"/>
      <c r="L71" s="927"/>
      <c r="M71" s="929"/>
      <c r="N71" s="929"/>
    </row>
    <row r="72" spans="1:14">
      <c r="A72" s="109" t="s">
        <v>2271</v>
      </c>
      <c r="B72" s="109" t="s">
        <v>2272</v>
      </c>
      <c r="C72" s="109"/>
      <c r="D72" s="109"/>
      <c r="E72" s="109" t="s">
        <v>2273</v>
      </c>
      <c r="F72" s="110">
        <v>2021</v>
      </c>
      <c r="G72" s="109" t="s">
        <v>996</v>
      </c>
      <c r="H72" s="109" t="s">
        <v>3777</v>
      </c>
      <c r="I72" s="109" t="s">
        <v>988</v>
      </c>
      <c r="J72" s="111"/>
      <c r="K72" s="109"/>
      <c r="L72" s="109" t="s">
        <v>1015</v>
      </c>
      <c r="M72" s="109" t="s">
        <v>2343</v>
      </c>
      <c r="N72" s="109" t="s">
        <v>2344</v>
      </c>
    </row>
    <row r="73" spans="1:14">
      <c r="A73" s="109" t="s">
        <v>2274</v>
      </c>
      <c r="B73" s="109" t="s">
        <v>2272</v>
      </c>
      <c r="C73" s="109"/>
      <c r="D73" s="109"/>
      <c r="E73" s="109" t="s">
        <v>2275</v>
      </c>
      <c r="F73" s="110">
        <v>2021</v>
      </c>
      <c r="G73" s="109" t="s">
        <v>1001</v>
      </c>
      <c r="H73" s="109" t="s">
        <v>2276</v>
      </c>
      <c r="I73" s="109" t="s">
        <v>988</v>
      </c>
      <c r="J73" s="111"/>
      <c r="K73" s="109"/>
      <c r="L73" s="109" t="s">
        <v>989</v>
      </c>
      <c r="M73" s="109" t="s">
        <v>2343</v>
      </c>
      <c r="N73" s="109" t="s">
        <v>2344</v>
      </c>
    </row>
    <row r="74" spans="1:14" s="105" customFormat="1">
      <c r="A74" s="928" t="s">
        <v>761</v>
      </c>
      <c r="B74" s="109"/>
      <c r="C74" s="109"/>
      <c r="D74" s="109"/>
      <c r="E74" s="109"/>
      <c r="F74" s="110"/>
      <c r="G74" s="109"/>
      <c r="H74" s="109"/>
      <c r="I74" s="109"/>
      <c r="J74" s="111"/>
      <c r="K74" s="109"/>
      <c r="L74" s="109"/>
      <c r="M74" s="109"/>
      <c r="N74" s="109"/>
    </row>
    <row r="75" spans="1:14">
      <c r="A75" s="109" t="s">
        <v>2277</v>
      </c>
      <c r="B75" s="109" t="s">
        <v>1155</v>
      </c>
      <c r="C75" s="109" t="s">
        <v>1151</v>
      </c>
      <c r="D75" s="109" t="s">
        <v>918</v>
      </c>
      <c r="E75" s="109" t="s">
        <v>761</v>
      </c>
      <c r="F75" s="110">
        <v>2021</v>
      </c>
      <c r="G75" s="109" t="s">
        <v>2255</v>
      </c>
      <c r="H75" s="109" t="s">
        <v>3761</v>
      </c>
      <c r="I75" s="109" t="s">
        <v>1024</v>
      </c>
      <c r="J75" s="111">
        <v>43609</v>
      </c>
      <c r="K75" s="109" t="s">
        <v>988</v>
      </c>
      <c r="L75" s="109" t="s">
        <v>1015</v>
      </c>
      <c r="M75" s="109" t="s">
        <v>2343</v>
      </c>
      <c r="N75" s="109" t="s">
        <v>2344</v>
      </c>
    </row>
    <row r="76" spans="1:14" s="105" customFormat="1" ht="22.5" customHeight="1">
      <c r="A76" s="927" t="s">
        <v>380</v>
      </c>
      <c r="B76" s="927"/>
      <c r="C76" s="927"/>
      <c r="D76" s="927"/>
      <c r="E76" s="927"/>
      <c r="F76" s="927"/>
      <c r="G76" s="927"/>
      <c r="H76" s="927"/>
      <c r="I76" s="927"/>
      <c r="J76" s="927"/>
      <c r="K76" s="927"/>
      <c r="L76" s="927"/>
      <c r="M76" s="1117"/>
      <c r="N76" s="1118"/>
    </row>
    <row r="77" spans="1:14">
      <c r="A77" s="109" t="s">
        <v>3778</v>
      </c>
      <c r="B77" s="109" t="s">
        <v>1157</v>
      </c>
      <c r="C77" s="109" t="s">
        <v>1158</v>
      </c>
      <c r="D77" s="109" t="s">
        <v>985</v>
      </c>
      <c r="E77" s="109" t="s">
        <v>1158</v>
      </c>
      <c r="F77" s="110">
        <v>2022</v>
      </c>
      <c r="G77" s="109" t="s">
        <v>986</v>
      </c>
      <c r="H77" s="109" t="s">
        <v>3772</v>
      </c>
      <c r="I77" s="109" t="s">
        <v>988</v>
      </c>
      <c r="J77" s="111">
        <v>43514</v>
      </c>
      <c r="K77" s="109" t="s">
        <v>988</v>
      </c>
      <c r="L77" s="109" t="s">
        <v>989</v>
      </c>
      <c r="M77" s="109" t="s">
        <v>2340</v>
      </c>
      <c r="N77" s="109" t="s">
        <v>3742</v>
      </c>
    </row>
    <row r="78" spans="1:14">
      <c r="A78" s="928" t="s">
        <v>1159</v>
      </c>
      <c r="B78" s="109"/>
      <c r="C78" s="109"/>
      <c r="D78" s="109"/>
      <c r="E78" s="109"/>
      <c r="F78" s="113"/>
      <c r="G78" s="112"/>
      <c r="H78" s="112"/>
      <c r="I78" s="112"/>
      <c r="J78" s="114"/>
      <c r="K78" s="112"/>
      <c r="L78" s="112"/>
      <c r="M78" s="112"/>
      <c r="N78" s="112"/>
    </row>
    <row r="79" spans="1:14">
      <c r="A79" s="109" t="s">
        <v>2280</v>
      </c>
      <c r="B79" s="109" t="s">
        <v>1157</v>
      </c>
      <c r="C79" s="109" t="s">
        <v>1161</v>
      </c>
      <c r="D79" s="109" t="s">
        <v>899</v>
      </c>
      <c r="E79" s="109" t="s">
        <v>1162</v>
      </c>
      <c r="F79" s="110">
        <v>2021</v>
      </c>
      <c r="G79" s="109" t="s">
        <v>2281</v>
      </c>
      <c r="H79" s="109" t="s">
        <v>1056</v>
      </c>
      <c r="I79" s="109" t="s">
        <v>1057</v>
      </c>
      <c r="J79" s="111">
        <v>43438</v>
      </c>
      <c r="K79" s="109" t="s">
        <v>988</v>
      </c>
      <c r="L79" s="109" t="s">
        <v>1057</v>
      </c>
      <c r="M79" s="109" t="s">
        <v>2348</v>
      </c>
      <c r="N79" s="109"/>
    </row>
    <row r="80" spans="1:14">
      <c r="A80" s="928" t="s">
        <v>1163</v>
      </c>
      <c r="B80" s="109"/>
      <c r="C80" s="109"/>
      <c r="D80" s="109"/>
      <c r="E80" s="109"/>
      <c r="F80" s="113"/>
      <c r="G80" s="112"/>
      <c r="H80" s="112"/>
      <c r="I80" s="112"/>
      <c r="J80" s="114"/>
      <c r="K80" s="112"/>
      <c r="L80" s="112"/>
      <c r="M80" s="112"/>
      <c r="N80" s="112"/>
    </row>
    <row r="81" spans="1:14">
      <c r="A81" s="109" t="s">
        <v>2282</v>
      </c>
      <c r="B81" s="109" t="s">
        <v>1165</v>
      </c>
      <c r="C81" s="109" t="s">
        <v>1166</v>
      </c>
      <c r="D81" s="109" t="s">
        <v>899</v>
      </c>
      <c r="E81" s="109" t="s">
        <v>1167</v>
      </c>
      <c r="F81" s="110">
        <v>2021</v>
      </c>
      <c r="G81" s="109" t="s">
        <v>2244</v>
      </c>
      <c r="H81" s="109" t="s">
        <v>2245</v>
      </c>
      <c r="I81" s="109" t="s">
        <v>988</v>
      </c>
      <c r="J81" s="111">
        <v>43373</v>
      </c>
      <c r="K81" s="109" t="s">
        <v>988</v>
      </c>
      <c r="L81" s="109" t="s">
        <v>1015</v>
      </c>
      <c r="M81" s="109" t="s">
        <v>2343</v>
      </c>
      <c r="N81" s="109" t="s">
        <v>2344</v>
      </c>
    </row>
    <row r="82" spans="1:14">
      <c r="A82" s="109" t="s">
        <v>3779</v>
      </c>
      <c r="B82" s="109" t="s">
        <v>1165</v>
      </c>
      <c r="C82" s="109" t="s">
        <v>1166</v>
      </c>
      <c r="D82" s="109" t="s">
        <v>899</v>
      </c>
      <c r="E82" s="109" t="s">
        <v>1167</v>
      </c>
      <c r="F82" s="110">
        <v>2022</v>
      </c>
      <c r="G82" s="109" t="s">
        <v>2281</v>
      </c>
      <c r="H82" s="109" t="s">
        <v>3756</v>
      </c>
      <c r="I82" s="109" t="s">
        <v>1057</v>
      </c>
      <c r="J82" s="111"/>
      <c r="K82" s="109"/>
      <c r="L82" s="109"/>
      <c r="M82" s="109"/>
      <c r="N82" s="109"/>
    </row>
    <row r="83" spans="1:14">
      <c r="A83" s="109" t="s">
        <v>2283</v>
      </c>
      <c r="B83" s="109" t="s">
        <v>1165</v>
      </c>
      <c r="C83" s="109" t="s">
        <v>1166</v>
      </c>
      <c r="D83" s="109" t="s">
        <v>899</v>
      </c>
      <c r="E83" s="109" t="s">
        <v>1167</v>
      </c>
      <c r="F83" s="110">
        <v>2021</v>
      </c>
      <c r="G83" s="109" t="s">
        <v>2284</v>
      </c>
      <c r="H83" s="109" t="s">
        <v>2285</v>
      </c>
      <c r="I83" s="109" t="s">
        <v>1024</v>
      </c>
      <c r="J83" s="111">
        <v>43284</v>
      </c>
      <c r="K83" s="109" t="s">
        <v>988</v>
      </c>
      <c r="L83" s="109" t="s">
        <v>1015</v>
      </c>
      <c r="M83" s="109" t="s">
        <v>2343</v>
      </c>
      <c r="N83" s="109" t="s">
        <v>2344</v>
      </c>
    </row>
    <row r="84" spans="1:14">
      <c r="A84" s="928" t="s">
        <v>1173</v>
      </c>
      <c r="B84" s="109"/>
      <c r="C84" s="109"/>
      <c r="D84" s="109"/>
      <c r="E84" s="109"/>
      <c r="F84" s="113"/>
      <c r="G84" s="112"/>
      <c r="H84" s="112"/>
      <c r="I84" s="112"/>
      <c r="J84" s="114"/>
      <c r="K84" s="112"/>
      <c r="L84" s="112"/>
      <c r="M84" s="112"/>
      <c r="N84" s="112"/>
    </row>
    <row r="85" spans="1:14">
      <c r="A85" s="109" t="s">
        <v>2314</v>
      </c>
      <c r="B85" s="109" t="s">
        <v>1176</v>
      </c>
      <c r="C85" s="109"/>
      <c r="D85" s="109"/>
      <c r="E85" s="109" t="s">
        <v>1178</v>
      </c>
      <c r="F85" s="110">
        <v>2017</v>
      </c>
      <c r="G85" s="109" t="s">
        <v>1055</v>
      </c>
      <c r="H85" s="109" t="s">
        <v>1056</v>
      </c>
      <c r="I85" s="109" t="s">
        <v>1057</v>
      </c>
      <c r="J85" s="111">
        <v>43616</v>
      </c>
      <c r="K85" s="109" t="s">
        <v>988</v>
      </c>
      <c r="L85" s="109" t="s">
        <v>1057</v>
      </c>
      <c r="M85" s="109" t="s">
        <v>2348</v>
      </c>
      <c r="N85" s="109"/>
    </row>
    <row r="86" spans="1:14">
      <c r="A86" s="109" t="s">
        <v>2288</v>
      </c>
      <c r="B86" s="109" t="s">
        <v>1176</v>
      </c>
      <c r="C86" s="109" t="s">
        <v>1177</v>
      </c>
      <c r="D86" s="109" t="s">
        <v>899</v>
      </c>
      <c r="E86" s="109" t="s">
        <v>1178</v>
      </c>
      <c r="F86" s="110">
        <v>2021</v>
      </c>
      <c r="G86" s="109" t="s">
        <v>2244</v>
      </c>
      <c r="H86" s="109" t="s">
        <v>2245</v>
      </c>
      <c r="I86" s="109" t="s">
        <v>988</v>
      </c>
      <c r="J86" s="111">
        <v>43374</v>
      </c>
      <c r="K86" s="109" t="s">
        <v>988</v>
      </c>
      <c r="L86" s="109" t="s">
        <v>1015</v>
      </c>
      <c r="M86" s="109" t="s">
        <v>2343</v>
      </c>
      <c r="N86" s="109" t="s">
        <v>2344</v>
      </c>
    </row>
    <row r="87" spans="1:14">
      <c r="A87" s="109" t="s">
        <v>2289</v>
      </c>
      <c r="B87" s="109" t="s">
        <v>1176</v>
      </c>
      <c r="C87" s="109" t="s">
        <v>1177</v>
      </c>
      <c r="D87" s="109" t="s">
        <v>899</v>
      </c>
      <c r="E87" s="109" t="s">
        <v>1178</v>
      </c>
      <c r="F87" s="110">
        <v>2021</v>
      </c>
      <c r="G87" s="109" t="s">
        <v>2284</v>
      </c>
      <c r="H87" s="109" t="s">
        <v>2285</v>
      </c>
      <c r="I87" s="109" t="s">
        <v>1024</v>
      </c>
      <c r="J87" s="111">
        <v>43284</v>
      </c>
      <c r="K87" s="109" t="s">
        <v>988</v>
      </c>
      <c r="L87" s="109" t="s">
        <v>1015</v>
      </c>
      <c r="M87" s="109" t="s">
        <v>2343</v>
      </c>
      <c r="N87" s="109" t="s">
        <v>2344</v>
      </c>
    </row>
    <row r="88" spans="1:14">
      <c r="A88" s="109" t="s">
        <v>1305</v>
      </c>
      <c r="B88" s="109" t="s">
        <v>1176</v>
      </c>
      <c r="C88" s="109" t="s">
        <v>1306</v>
      </c>
      <c r="D88" s="109" t="s">
        <v>949</v>
      </c>
      <c r="E88" s="109" t="s">
        <v>1178</v>
      </c>
      <c r="F88" s="110">
        <v>2017</v>
      </c>
      <c r="G88" s="109" t="s">
        <v>1055</v>
      </c>
      <c r="H88" s="109" t="s">
        <v>1056</v>
      </c>
      <c r="I88" s="109" t="s">
        <v>1057</v>
      </c>
      <c r="J88" s="111">
        <v>43450</v>
      </c>
      <c r="K88" s="109" t="s">
        <v>988</v>
      </c>
      <c r="L88" s="109" t="s">
        <v>1057</v>
      </c>
      <c r="M88" s="109" t="s">
        <v>2348</v>
      </c>
      <c r="N88" s="109"/>
    </row>
    <row r="89" spans="1:14">
      <c r="A89" s="109" t="s">
        <v>2286</v>
      </c>
      <c r="B89" s="109" t="s">
        <v>1176</v>
      </c>
      <c r="C89" s="109" t="s">
        <v>1177</v>
      </c>
      <c r="D89" s="109" t="s">
        <v>899</v>
      </c>
      <c r="E89" s="109" t="s">
        <v>1178</v>
      </c>
      <c r="F89" s="110">
        <v>1991</v>
      </c>
      <c r="G89" s="109" t="s">
        <v>1171</v>
      </c>
      <c r="H89" s="109" t="s">
        <v>1172</v>
      </c>
      <c r="I89" s="109" t="s">
        <v>1121</v>
      </c>
      <c r="J89" s="111">
        <v>43180</v>
      </c>
      <c r="K89" s="109" t="s">
        <v>988</v>
      </c>
      <c r="L89" s="109" t="s">
        <v>1015</v>
      </c>
      <c r="M89" s="109" t="s">
        <v>2348</v>
      </c>
      <c r="N89" s="109" t="s">
        <v>4</v>
      </c>
    </row>
    <row r="90" spans="1:14">
      <c r="A90" s="109" t="s">
        <v>2290</v>
      </c>
      <c r="B90" s="109" t="s">
        <v>1176</v>
      </c>
      <c r="C90" s="109" t="s">
        <v>1184</v>
      </c>
      <c r="D90" s="109" t="s">
        <v>899</v>
      </c>
      <c r="E90" s="109" t="s">
        <v>1178</v>
      </c>
      <c r="F90" s="110">
        <v>2016</v>
      </c>
      <c r="G90" s="109" t="s">
        <v>1185</v>
      </c>
      <c r="H90" s="109" t="s">
        <v>1186</v>
      </c>
      <c r="I90" s="109" t="s">
        <v>1121</v>
      </c>
      <c r="J90" s="111">
        <v>43327</v>
      </c>
      <c r="K90" s="109" t="s">
        <v>988</v>
      </c>
      <c r="L90" s="109" t="s">
        <v>1015</v>
      </c>
      <c r="M90" s="109" t="s">
        <v>2348</v>
      </c>
      <c r="N90" s="109"/>
    </row>
    <row r="91" spans="1:14">
      <c r="A91" s="109" t="s">
        <v>2324</v>
      </c>
      <c r="B91" s="109" t="s">
        <v>1176</v>
      </c>
      <c r="C91" s="109" t="s">
        <v>36</v>
      </c>
      <c r="D91" s="109" t="s">
        <v>949</v>
      </c>
      <c r="E91" s="109" t="s">
        <v>3780</v>
      </c>
      <c r="F91" s="110">
        <v>2021</v>
      </c>
      <c r="G91" s="109" t="s">
        <v>2244</v>
      </c>
      <c r="H91" s="109" t="s">
        <v>2245</v>
      </c>
      <c r="I91" s="109" t="s">
        <v>988</v>
      </c>
      <c r="J91" s="111">
        <v>43738</v>
      </c>
      <c r="K91" s="109" t="s">
        <v>988</v>
      </c>
      <c r="L91" s="109" t="s">
        <v>1015</v>
      </c>
      <c r="M91" s="109" t="s">
        <v>2343</v>
      </c>
      <c r="N91" s="109" t="s">
        <v>2344</v>
      </c>
    </row>
    <row r="92" spans="1:14">
      <c r="A92" s="928" t="s">
        <v>1193</v>
      </c>
      <c r="B92" s="109"/>
      <c r="C92" s="109"/>
      <c r="D92" s="109"/>
      <c r="E92" s="109"/>
      <c r="F92" s="113"/>
      <c r="G92" s="112"/>
      <c r="H92" s="112"/>
      <c r="I92" s="112"/>
      <c r="J92" s="114"/>
      <c r="K92" s="112"/>
      <c r="L92" s="112"/>
      <c r="M92" s="112"/>
      <c r="N92" s="112"/>
    </row>
    <row r="93" spans="1:14">
      <c r="A93" s="109" t="s">
        <v>2291</v>
      </c>
      <c r="B93" s="109" t="s">
        <v>1176</v>
      </c>
      <c r="C93" s="109" t="s">
        <v>1184</v>
      </c>
      <c r="D93" s="109" t="s">
        <v>899</v>
      </c>
      <c r="E93" s="109" t="s">
        <v>1195</v>
      </c>
      <c r="F93" s="110">
        <v>2021</v>
      </c>
      <c r="G93" s="109" t="s">
        <v>2244</v>
      </c>
      <c r="H93" s="109" t="s">
        <v>2245</v>
      </c>
      <c r="I93" s="109" t="s">
        <v>988</v>
      </c>
      <c r="J93" s="111"/>
      <c r="K93" s="109"/>
      <c r="L93" s="109" t="s">
        <v>1015</v>
      </c>
      <c r="M93" s="109" t="s">
        <v>2343</v>
      </c>
      <c r="N93" s="109" t="s">
        <v>2344</v>
      </c>
    </row>
    <row r="94" spans="1:14">
      <c r="A94" s="109" t="s">
        <v>2292</v>
      </c>
      <c r="B94" s="109" t="s">
        <v>1176</v>
      </c>
      <c r="C94" s="109" t="s">
        <v>1184</v>
      </c>
      <c r="D94" s="109" t="s">
        <v>899</v>
      </c>
      <c r="E94" s="109" t="s">
        <v>1195</v>
      </c>
      <c r="F94" s="110">
        <v>2021</v>
      </c>
      <c r="G94" s="109" t="s">
        <v>2284</v>
      </c>
      <c r="H94" s="109" t="s">
        <v>2285</v>
      </c>
      <c r="I94" s="109" t="s">
        <v>1024</v>
      </c>
      <c r="J94" s="111">
        <v>43387</v>
      </c>
      <c r="K94" s="109" t="s">
        <v>988</v>
      </c>
      <c r="L94" s="109" t="s">
        <v>1015</v>
      </c>
      <c r="M94" s="109" t="s">
        <v>2343</v>
      </c>
      <c r="N94" s="109" t="s">
        <v>2344</v>
      </c>
    </row>
    <row r="95" spans="1:14">
      <c r="A95" s="109" t="s">
        <v>3781</v>
      </c>
      <c r="B95" s="109" t="s">
        <v>1176</v>
      </c>
      <c r="C95" s="109" t="s">
        <v>1184</v>
      </c>
      <c r="D95" s="109" t="s">
        <v>899</v>
      </c>
      <c r="E95" s="109" t="s">
        <v>1195</v>
      </c>
      <c r="F95" s="110">
        <v>2022</v>
      </c>
      <c r="G95" s="109" t="s">
        <v>2281</v>
      </c>
      <c r="H95" s="109" t="s">
        <v>3756</v>
      </c>
      <c r="I95" s="109" t="s">
        <v>1057</v>
      </c>
      <c r="J95" s="111"/>
      <c r="K95" s="109"/>
      <c r="L95" s="109"/>
      <c r="M95" s="109"/>
      <c r="N95" s="109"/>
    </row>
    <row r="96" spans="1:14">
      <c r="A96" s="109" t="s">
        <v>2293</v>
      </c>
      <c r="B96" s="109" t="s">
        <v>1176</v>
      </c>
      <c r="C96" s="109" t="s">
        <v>1177</v>
      </c>
      <c r="D96" s="109" t="s">
        <v>899</v>
      </c>
      <c r="E96" s="109" t="s">
        <v>1195</v>
      </c>
      <c r="F96" s="110">
        <v>2007</v>
      </c>
      <c r="G96" s="109" t="s">
        <v>1120</v>
      </c>
      <c r="H96" s="109" t="s">
        <v>1198</v>
      </c>
      <c r="I96" s="109" t="s">
        <v>1121</v>
      </c>
      <c r="J96" s="111">
        <v>43186</v>
      </c>
      <c r="K96" s="109" t="s">
        <v>988</v>
      </c>
      <c r="L96" s="109" t="s">
        <v>1015</v>
      </c>
      <c r="M96" s="109" t="s">
        <v>2348</v>
      </c>
      <c r="N96" s="109"/>
    </row>
    <row r="97" spans="1:14">
      <c r="A97" s="109"/>
      <c r="B97" s="109"/>
      <c r="C97" s="109"/>
      <c r="D97" s="109"/>
      <c r="E97" s="109"/>
      <c r="F97" s="110"/>
      <c r="G97" s="109"/>
      <c r="H97" s="109"/>
      <c r="I97" s="109"/>
      <c r="J97" s="111"/>
      <c r="K97" s="109"/>
      <c r="L97" s="109"/>
      <c r="M97" s="109"/>
      <c r="N97" s="109"/>
    </row>
    <row r="98" spans="1:14" ht="33.75" customHeight="1">
      <c r="A98" s="925" t="s">
        <v>968</v>
      </c>
      <c r="B98" s="926" t="s">
        <v>2241</v>
      </c>
      <c r="C98" s="925" t="s">
        <v>969</v>
      </c>
      <c r="D98" s="925" t="s">
        <v>970</v>
      </c>
      <c r="E98" s="925" t="s">
        <v>971</v>
      </c>
      <c r="F98" s="926" t="s">
        <v>972</v>
      </c>
      <c r="G98" s="925" t="s">
        <v>973</v>
      </c>
      <c r="H98" s="925" t="s">
        <v>974</v>
      </c>
      <c r="I98" s="925" t="s">
        <v>975</v>
      </c>
      <c r="J98" s="925" t="s">
        <v>976</v>
      </c>
      <c r="K98" s="925" t="s">
        <v>977</v>
      </c>
      <c r="L98" s="925" t="s">
        <v>979</v>
      </c>
      <c r="M98" s="926" t="s">
        <v>3738</v>
      </c>
      <c r="N98" s="925" t="s">
        <v>2339</v>
      </c>
    </row>
    <row r="99" spans="1:14">
      <c r="A99" s="109"/>
      <c r="B99" s="109"/>
      <c r="C99" s="109"/>
      <c r="D99" s="109"/>
      <c r="E99" s="109"/>
      <c r="F99" s="110"/>
      <c r="G99" s="109"/>
      <c r="H99" s="109"/>
      <c r="I99" s="109"/>
      <c r="J99" s="111"/>
      <c r="K99" s="109"/>
      <c r="L99" s="109"/>
      <c r="M99" s="109"/>
      <c r="N99" s="109"/>
    </row>
    <row r="100" spans="1:14">
      <c r="A100" s="928" t="s">
        <v>1199</v>
      </c>
      <c r="B100" s="109"/>
      <c r="C100" s="109"/>
      <c r="D100" s="109"/>
      <c r="E100" s="109"/>
      <c r="F100" s="113"/>
      <c r="G100" s="112"/>
      <c r="H100" s="112"/>
      <c r="I100" s="112"/>
      <c r="J100" s="114"/>
      <c r="K100" s="112"/>
      <c r="L100" s="112"/>
      <c r="M100" s="112"/>
      <c r="N100" s="112"/>
    </row>
    <row r="101" spans="1:14">
      <c r="A101" s="109" t="s">
        <v>2294</v>
      </c>
      <c r="B101" s="109" t="s">
        <v>1176</v>
      </c>
      <c r="C101" s="109" t="s">
        <v>1201</v>
      </c>
      <c r="D101" s="109" t="s">
        <v>899</v>
      </c>
      <c r="E101" s="109" t="s">
        <v>1202</v>
      </c>
      <c r="F101" s="110">
        <v>2021</v>
      </c>
      <c r="G101" s="109" t="s">
        <v>2244</v>
      </c>
      <c r="H101" s="109" t="s">
        <v>2245</v>
      </c>
      <c r="I101" s="109" t="s">
        <v>988</v>
      </c>
      <c r="J101" s="111">
        <v>43489</v>
      </c>
      <c r="K101" s="109" t="s">
        <v>988</v>
      </c>
      <c r="L101" s="109" t="s">
        <v>1015</v>
      </c>
      <c r="M101" s="109" t="s">
        <v>2343</v>
      </c>
      <c r="N101" s="109" t="s">
        <v>2344</v>
      </c>
    </row>
    <row r="102" spans="1:14">
      <c r="A102" s="109" t="s">
        <v>2295</v>
      </c>
      <c r="B102" s="109" t="s">
        <v>1176</v>
      </c>
      <c r="C102" s="109" t="s">
        <v>1201</v>
      </c>
      <c r="D102" s="109" t="s">
        <v>899</v>
      </c>
      <c r="E102" s="109" t="s">
        <v>1202</v>
      </c>
      <c r="F102" s="110">
        <v>2021</v>
      </c>
      <c r="G102" s="109" t="s">
        <v>2255</v>
      </c>
      <c r="H102" s="109" t="s">
        <v>3761</v>
      </c>
      <c r="I102" s="109" t="s">
        <v>1024</v>
      </c>
      <c r="J102" s="111">
        <v>43223</v>
      </c>
      <c r="K102" s="109" t="s">
        <v>988</v>
      </c>
      <c r="L102" s="109" t="s">
        <v>1015</v>
      </c>
      <c r="M102" s="109" t="s">
        <v>2343</v>
      </c>
      <c r="N102" s="109" t="s">
        <v>2344</v>
      </c>
    </row>
    <row r="103" spans="1:14">
      <c r="A103" s="109" t="s">
        <v>1205</v>
      </c>
      <c r="B103" s="109" t="s">
        <v>1176</v>
      </c>
      <c r="C103" s="109" t="s">
        <v>1177</v>
      </c>
      <c r="D103" s="109" t="s">
        <v>899</v>
      </c>
      <c r="E103" s="109" t="s">
        <v>1202</v>
      </c>
      <c r="F103" s="110">
        <v>2019</v>
      </c>
      <c r="G103" s="109" t="s">
        <v>1179</v>
      </c>
      <c r="H103" s="109" t="s">
        <v>1180</v>
      </c>
      <c r="I103" s="109" t="s">
        <v>1057</v>
      </c>
      <c r="J103" s="111">
        <v>43371</v>
      </c>
      <c r="K103" s="109" t="s">
        <v>988</v>
      </c>
      <c r="L103" s="109" t="s">
        <v>1057</v>
      </c>
      <c r="M103" s="109" t="s">
        <v>2348</v>
      </c>
      <c r="N103" s="109"/>
    </row>
    <row r="104" spans="1:14">
      <c r="A104" s="109" t="s">
        <v>2296</v>
      </c>
      <c r="B104" s="109" t="s">
        <v>1176</v>
      </c>
      <c r="C104" s="109" t="s">
        <v>1201</v>
      </c>
      <c r="D104" s="109" t="s">
        <v>899</v>
      </c>
      <c r="E104" s="109" t="s">
        <v>1202</v>
      </c>
      <c r="F104" s="110">
        <v>2015</v>
      </c>
      <c r="G104" s="109" t="s">
        <v>1120</v>
      </c>
      <c r="H104" s="109" t="s">
        <v>1207</v>
      </c>
      <c r="I104" s="109" t="s">
        <v>1121</v>
      </c>
      <c r="J104" s="111">
        <v>43476</v>
      </c>
      <c r="K104" s="109" t="s">
        <v>988</v>
      </c>
      <c r="L104" s="109" t="s">
        <v>1015</v>
      </c>
      <c r="M104" s="109" t="s">
        <v>2348</v>
      </c>
      <c r="N104" s="109"/>
    </row>
    <row r="105" spans="1:14">
      <c r="A105" s="109" t="s">
        <v>3782</v>
      </c>
      <c r="B105" s="109" t="s">
        <v>1176</v>
      </c>
      <c r="C105" s="109"/>
      <c r="D105" s="109"/>
      <c r="E105" s="109" t="s">
        <v>1202</v>
      </c>
      <c r="F105" s="110">
        <v>2022</v>
      </c>
      <c r="G105" s="109" t="s">
        <v>2281</v>
      </c>
      <c r="H105" s="109" t="s">
        <v>3756</v>
      </c>
      <c r="I105" s="109" t="s">
        <v>1057</v>
      </c>
      <c r="J105" s="111"/>
      <c r="K105" s="109"/>
      <c r="L105" s="109" t="s">
        <v>1015</v>
      </c>
      <c r="M105" s="109"/>
      <c r="N105" s="109"/>
    </row>
    <row r="106" spans="1:14">
      <c r="A106" s="109" t="s">
        <v>2323</v>
      </c>
      <c r="B106" s="109" t="s">
        <v>1176</v>
      </c>
      <c r="C106" s="109" t="s">
        <v>1137</v>
      </c>
      <c r="D106" s="109" t="s">
        <v>914</v>
      </c>
      <c r="E106" s="109" t="s">
        <v>3780</v>
      </c>
      <c r="F106" s="110">
        <v>2021</v>
      </c>
      <c r="G106" s="109" t="s">
        <v>2244</v>
      </c>
      <c r="H106" s="109" t="s">
        <v>2245</v>
      </c>
      <c r="I106" s="109" t="s">
        <v>988</v>
      </c>
      <c r="J106" s="111">
        <v>43738</v>
      </c>
      <c r="K106" s="109" t="s">
        <v>988</v>
      </c>
      <c r="L106" s="109" t="s">
        <v>1015</v>
      </c>
      <c r="M106" s="109" t="s">
        <v>2343</v>
      </c>
      <c r="N106" s="109" t="s">
        <v>2344</v>
      </c>
    </row>
    <row r="107" spans="1:14">
      <c r="A107" s="109" t="s">
        <v>2309</v>
      </c>
      <c r="B107" s="109" t="s">
        <v>1176</v>
      </c>
      <c r="C107" s="109" t="s">
        <v>1137</v>
      </c>
      <c r="D107" s="109" t="s">
        <v>914</v>
      </c>
      <c r="E107" s="109" t="s">
        <v>3780</v>
      </c>
      <c r="F107" s="110">
        <v>2021</v>
      </c>
      <c r="G107" s="109" t="s">
        <v>2244</v>
      </c>
      <c r="H107" s="109" t="s">
        <v>2245</v>
      </c>
      <c r="I107" s="109" t="s">
        <v>988</v>
      </c>
      <c r="J107" s="111">
        <v>43489</v>
      </c>
      <c r="K107" s="109" t="s">
        <v>988</v>
      </c>
      <c r="L107" s="109" t="s">
        <v>1015</v>
      </c>
      <c r="M107" s="109" t="s">
        <v>2343</v>
      </c>
      <c r="N107" s="109" t="s">
        <v>2344</v>
      </c>
    </row>
    <row r="108" spans="1:14" s="115" customFormat="1">
      <c r="A108" s="109" t="s">
        <v>2297</v>
      </c>
      <c r="B108" s="109" t="s">
        <v>1176</v>
      </c>
      <c r="C108" s="109" t="s">
        <v>1201</v>
      </c>
      <c r="D108" s="109" t="s">
        <v>899</v>
      </c>
      <c r="E108" s="109" t="s">
        <v>1202</v>
      </c>
      <c r="F108" s="110">
        <v>2012</v>
      </c>
      <c r="G108" s="109" t="s">
        <v>1022</v>
      </c>
      <c r="H108" s="109" t="s">
        <v>1023</v>
      </c>
      <c r="I108" s="109" t="s">
        <v>1024</v>
      </c>
      <c r="J108" s="111">
        <v>43688</v>
      </c>
      <c r="K108" s="109" t="s">
        <v>1024</v>
      </c>
      <c r="L108" s="109" t="s">
        <v>1015</v>
      </c>
      <c r="M108" s="109" t="s">
        <v>2348</v>
      </c>
      <c r="N108" s="109" t="s">
        <v>4</v>
      </c>
    </row>
    <row r="109" spans="1:14">
      <c r="A109" s="928" t="s">
        <v>1209</v>
      </c>
      <c r="B109" s="109"/>
      <c r="C109" s="109"/>
      <c r="D109" s="109"/>
      <c r="E109" s="109"/>
      <c r="F109" s="113"/>
      <c r="G109" s="112"/>
      <c r="H109" s="112"/>
      <c r="I109" s="112"/>
      <c r="J109" s="114"/>
      <c r="K109" s="112"/>
      <c r="L109" s="112"/>
      <c r="M109" s="112"/>
      <c r="N109" s="112"/>
    </row>
    <row r="110" spans="1:14">
      <c r="A110" s="109" t="s">
        <v>3783</v>
      </c>
      <c r="B110" s="109" t="s">
        <v>1212</v>
      </c>
      <c r="C110" s="109"/>
      <c r="D110" s="109"/>
      <c r="E110" s="109" t="s">
        <v>2298</v>
      </c>
      <c r="F110" s="110">
        <v>2022</v>
      </c>
      <c r="G110" s="109" t="s">
        <v>3784</v>
      </c>
      <c r="H110" s="109" t="s">
        <v>3785</v>
      </c>
      <c r="I110" s="109" t="s">
        <v>988</v>
      </c>
      <c r="J110" s="111"/>
      <c r="K110" s="109"/>
      <c r="L110" s="109" t="s">
        <v>989</v>
      </c>
      <c r="M110" s="109" t="s">
        <v>2340</v>
      </c>
      <c r="N110" s="109" t="s">
        <v>3742</v>
      </c>
    </row>
    <row r="111" spans="1:14">
      <c r="A111" s="109" t="s">
        <v>2299</v>
      </c>
      <c r="B111" s="109" t="s">
        <v>1212</v>
      </c>
      <c r="C111" s="109" t="s">
        <v>1214</v>
      </c>
      <c r="D111" s="109" t="s">
        <v>1066</v>
      </c>
      <c r="E111" s="109" t="s">
        <v>1215</v>
      </c>
      <c r="F111" s="110">
        <v>2014</v>
      </c>
      <c r="G111" s="109" t="s">
        <v>1055</v>
      </c>
      <c r="H111" s="109" t="s">
        <v>1060</v>
      </c>
      <c r="I111" s="109" t="s">
        <v>1057</v>
      </c>
      <c r="J111" s="111">
        <v>43346</v>
      </c>
      <c r="K111" s="109" t="s">
        <v>988</v>
      </c>
      <c r="L111" s="109" t="s">
        <v>1057</v>
      </c>
      <c r="M111" s="109" t="s">
        <v>2348</v>
      </c>
      <c r="N111" s="109"/>
    </row>
    <row r="112" spans="1:14">
      <c r="A112" s="116" t="s">
        <v>2300</v>
      </c>
      <c r="B112" s="109" t="s">
        <v>1212</v>
      </c>
      <c r="C112" s="109" t="s">
        <v>1104</v>
      </c>
      <c r="D112" s="109" t="s">
        <v>1104</v>
      </c>
      <c r="E112" s="109" t="s">
        <v>1215</v>
      </c>
      <c r="F112" s="110">
        <v>2021</v>
      </c>
      <c r="G112" s="109" t="s">
        <v>1022</v>
      </c>
      <c r="H112" s="109" t="s">
        <v>1023</v>
      </c>
      <c r="I112" s="109" t="s">
        <v>1024</v>
      </c>
      <c r="J112" s="111">
        <v>43473</v>
      </c>
      <c r="K112" s="109" t="s">
        <v>988</v>
      </c>
      <c r="L112" s="109" t="s">
        <v>1015</v>
      </c>
      <c r="M112" s="109" t="s">
        <v>2343</v>
      </c>
      <c r="N112" s="109" t="s">
        <v>2344</v>
      </c>
    </row>
    <row r="113" spans="1:14">
      <c r="A113" s="928" t="s">
        <v>1217</v>
      </c>
      <c r="B113" s="109"/>
      <c r="C113" s="109"/>
      <c r="D113" s="109"/>
      <c r="E113" s="109"/>
      <c r="F113" s="113"/>
      <c r="G113" s="112"/>
      <c r="H113" s="112"/>
      <c r="I113" s="112"/>
      <c r="J113" s="114"/>
      <c r="K113" s="112"/>
      <c r="L113" s="112"/>
      <c r="M113" s="112"/>
      <c r="N113" s="112"/>
    </row>
    <row r="114" spans="1:14">
      <c r="A114" s="109" t="s">
        <v>2301</v>
      </c>
      <c r="B114" s="109" t="s">
        <v>1219</v>
      </c>
      <c r="C114" s="109" t="s">
        <v>1220</v>
      </c>
      <c r="D114" s="109" t="s">
        <v>899</v>
      </c>
      <c r="E114" s="109" t="s">
        <v>1221</v>
      </c>
      <c r="F114" s="110">
        <v>2021</v>
      </c>
      <c r="G114" s="109" t="s">
        <v>2302</v>
      </c>
      <c r="H114" s="109" t="s">
        <v>2261</v>
      </c>
      <c r="I114" s="109" t="s">
        <v>1024</v>
      </c>
      <c r="J114" s="111">
        <v>43284</v>
      </c>
      <c r="K114" s="109" t="s">
        <v>988</v>
      </c>
      <c r="L114" s="109" t="s">
        <v>1015</v>
      </c>
      <c r="M114" s="109" t="s">
        <v>2343</v>
      </c>
      <c r="N114" s="109" t="s">
        <v>2344</v>
      </c>
    </row>
    <row r="115" spans="1:14">
      <c r="A115" s="109" t="s">
        <v>1223</v>
      </c>
      <c r="B115" s="109" t="s">
        <v>1219</v>
      </c>
      <c r="C115" s="109" t="s">
        <v>1224</v>
      </c>
      <c r="D115" s="109" t="s">
        <v>899</v>
      </c>
      <c r="E115" s="109" t="s">
        <v>1221</v>
      </c>
      <c r="F115" s="110">
        <v>2019</v>
      </c>
      <c r="G115" s="109" t="s">
        <v>1106</v>
      </c>
      <c r="H115" s="117" t="s">
        <v>1225</v>
      </c>
      <c r="I115" s="109" t="s">
        <v>1024</v>
      </c>
      <c r="J115" s="111">
        <v>43588</v>
      </c>
      <c r="K115" s="109" t="s">
        <v>988</v>
      </c>
      <c r="L115" s="109" t="s">
        <v>1015</v>
      </c>
      <c r="M115" s="109" t="s">
        <v>2343</v>
      </c>
      <c r="N115" s="109" t="s">
        <v>2341</v>
      </c>
    </row>
    <row r="116" spans="1:14">
      <c r="A116" s="109" t="s">
        <v>1192</v>
      </c>
      <c r="B116" s="109" t="s">
        <v>1219</v>
      </c>
      <c r="C116" s="109"/>
      <c r="D116" s="109"/>
      <c r="E116" s="109" t="s">
        <v>1221</v>
      </c>
      <c r="F116" s="110">
        <v>2018</v>
      </c>
      <c r="G116" s="109" t="s">
        <v>1121</v>
      </c>
      <c r="H116" s="109" t="s">
        <v>1121</v>
      </c>
      <c r="I116" s="109" t="s">
        <v>1121</v>
      </c>
      <c r="J116" s="111"/>
      <c r="K116" s="109"/>
      <c r="L116" s="109" t="s">
        <v>1015</v>
      </c>
      <c r="M116" s="109" t="s">
        <v>2348</v>
      </c>
      <c r="N116" s="109"/>
    </row>
    <row r="117" spans="1:14">
      <c r="A117" s="928" t="s">
        <v>1226</v>
      </c>
      <c r="B117" s="109"/>
      <c r="C117" s="109"/>
      <c r="D117" s="109"/>
      <c r="E117" s="109"/>
      <c r="F117" s="113"/>
      <c r="G117" s="112"/>
      <c r="H117" s="112"/>
      <c r="I117" s="112"/>
      <c r="J117" s="114"/>
      <c r="K117" s="112"/>
      <c r="L117" s="112"/>
      <c r="M117" s="112"/>
      <c r="N117" s="112"/>
    </row>
    <row r="118" spans="1:14">
      <c r="A118" s="109" t="s">
        <v>2303</v>
      </c>
      <c r="B118" s="109" t="s">
        <v>1228</v>
      </c>
      <c r="C118" s="109" t="s">
        <v>1229</v>
      </c>
      <c r="D118" s="109" t="s">
        <v>899</v>
      </c>
      <c r="E118" s="109" t="s">
        <v>311</v>
      </c>
      <c r="F118" s="110">
        <v>2021</v>
      </c>
      <c r="G118" s="109" t="s">
        <v>2244</v>
      </c>
      <c r="H118" s="109" t="s">
        <v>2245</v>
      </c>
      <c r="I118" s="109" t="s">
        <v>988</v>
      </c>
      <c r="J118" s="111">
        <v>43373</v>
      </c>
      <c r="K118" s="109" t="s">
        <v>988</v>
      </c>
      <c r="L118" s="109" t="s">
        <v>1015</v>
      </c>
      <c r="M118" s="109" t="s">
        <v>2343</v>
      </c>
      <c r="N118" s="109" t="s">
        <v>2344</v>
      </c>
    </row>
    <row r="119" spans="1:14">
      <c r="A119" s="109" t="s">
        <v>2304</v>
      </c>
      <c r="B119" s="109" t="s">
        <v>1228</v>
      </c>
      <c r="C119" s="109" t="s">
        <v>1231</v>
      </c>
      <c r="D119" s="109" t="s">
        <v>899</v>
      </c>
      <c r="E119" s="109" t="s">
        <v>311</v>
      </c>
      <c r="F119" s="110">
        <v>2016</v>
      </c>
      <c r="G119" s="109" t="s">
        <v>1022</v>
      </c>
      <c r="H119" s="109" t="s">
        <v>1232</v>
      </c>
      <c r="I119" s="109" t="s">
        <v>1233</v>
      </c>
      <c r="J119" s="111">
        <v>43693</v>
      </c>
      <c r="K119" s="109" t="s">
        <v>988</v>
      </c>
      <c r="L119" s="109" t="s">
        <v>1015</v>
      </c>
      <c r="M119" s="109" t="s">
        <v>2266</v>
      </c>
      <c r="N119" s="109"/>
    </row>
    <row r="120" spans="1:14">
      <c r="A120" s="109" t="s">
        <v>1235</v>
      </c>
      <c r="B120" s="109" t="s">
        <v>1228</v>
      </c>
      <c r="C120" s="109" t="s">
        <v>1236</v>
      </c>
      <c r="D120" s="109" t="s">
        <v>899</v>
      </c>
      <c r="E120" s="109" t="s">
        <v>311</v>
      </c>
      <c r="F120" s="110">
        <v>2019</v>
      </c>
      <c r="G120" s="109" t="s">
        <v>1106</v>
      </c>
      <c r="H120" s="117" t="s">
        <v>1225</v>
      </c>
      <c r="I120" s="109" t="s">
        <v>1024</v>
      </c>
      <c r="J120" s="111">
        <v>43585</v>
      </c>
      <c r="K120" s="109" t="s">
        <v>988</v>
      </c>
      <c r="L120" s="109" t="s">
        <v>1015</v>
      </c>
      <c r="M120" s="109" t="s">
        <v>2343</v>
      </c>
      <c r="N120" s="109" t="s">
        <v>2341</v>
      </c>
    </row>
    <row r="121" spans="1:14">
      <c r="A121" s="109" t="s">
        <v>1175</v>
      </c>
      <c r="B121" s="109" t="s">
        <v>1228</v>
      </c>
      <c r="C121" s="109" t="s">
        <v>1177</v>
      </c>
      <c r="D121" s="109" t="s">
        <v>899</v>
      </c>
      <c r="E121" s="109" t="s">
        <v>311</v>
      </c>
      <c r="F121" s="110">
        <v>2019</v>
      </c>
      <c r="G121" s="109" t="s">
        <v>1179</v>
      </c>
      <c r="H121" s="109" t="s">
        <v>1180</v>
      </c>
      <c r="I121" s="109" t="s">
        <v>1057</v>
      </c>
      <c r="J121" s="111">
        <v>43371</v>
      </c>
      <c r="K121" s="109" t="s">
        <v>988</v>
      </c>
      <c r="L121" s="109" t="s">
        <v>1057</v>
      </c>
      <c r="M121" s="109" t="s">
        <v>2348</v>
      </c>
      <c r="N121" s="109"/>
    </row>
    <row r="122" spans="1:14">
      <c r="A122" s="109" t="s">
        <v>2306</v>
      </c>
      <c r="B122" s="109" t="s">
        <v>1228</v>
      </c>
      <c r="C122" s="109" t="s">
        <v>1236</v>
      </c>
      <c r="D122" s="109" t="s">
        <v>899</v>
      </c>
      <c r="E122" s="109" t="s">
        <v>311</v>
      </c>
      <c r="F122" s="110">
        <v>2001</v>
      </c>
      <c r="G122" s="109" t="s">
        <v>1120</v>
      </c>
      <c r="H122" s="109" t="s">
        <v>1238</v>
      </c>
      <c r="I122" s="109" t="s">
        <v>1121</v>
      </c>
      <c r="J122" s="111">
        <v>43633</v>
      </c>
      <c r="K122" s="109" t="s">
        <v>988</v>
      </c>
      <c r="L122" s="109" t="s">
        <v>1015</v>
      </c>
      <c r="M122" s="109" t="s">
        <v>2348</v>
      </c>
      <c r="N122" s="109"/>
    </row>
    <row r="123" spans="1:14">
      <c r="A123" s="928" t="s">
        <v>1239</v>
      </c>
      <c r="B123" s="109"/>
      <c r="C123" s="112"/>
      <c r="D123" s="112"/>
      <c r="E123" s="112"/>
      <c r="F123" s="113"/>
      <c r="G123" s="112"/>
      <c r="H123" s="112"/>
      <c r="I123" s="112"/>
      <c r="J123" s="114"/>
      <c r="K123" s="112"/>
      <c r="L123" s="112"/>
      <c r="M123" s="112"/>
      <c r="N123" s="112"/>
    </row>
    <row r="124" spans="1:14">
      <c r="A124" s="110">
        <v>25544402</v>
      </c>
      <c r="B124" s="109" t="s">
        <v>2307</v>
      </c>
      <c r="C124" s="110"/>
      <c r="D124" s="110"/>
      <c r="E124" s="110" t="s">
        <v>3786</v>
      </c>
      <c r="F124" s="110">
        <v>2020</v>
      </c>
      <c r="G124" s="110" t="s">
        <v>1001</v>
      </c>
      <c r="H124" s="110" t="s">
        <v>1014</v>
      </c>
      <c r="I124" s="110" t="s">
        <v>988</v>
      </c>
      <c r="J124" s="111"/>
      <c r="K124" s="109"/>
      <c r="L124" s="109" t="s">
        <v>1015</v>
      </c>
      <c r="M124" s="109" t="s">
        <v>2343</v>
      </c>
      <c r="N124" s="109" t="s">
        <v>2342</v>
      </c>
    </row>
    <row r="125" spans="1:14">
      <c r="A125" s="109" t="s">
        <v>1250</v>
      </c>
      <c r="B125" s="109" t="s">
        <v>1157</v>
      </c>
      <c r="C125" s="109" t="s">
        <v>1177</v>
      </c>
      <c r="D125" s="109" t="s">
        <v>899</v>
      </c>
      <c r="E125" s="109" t="s">
        <v>3787</v>
      </c>
      <c r="F125" s="110">
        <v>2019</v>
      </c>
      <c r="G125" s="109" t="s">
        <v>1179</v>
      </c>
      <c r="H125" s="109" t="s">
        <v>1180</v>
      </c>
      <c r="I125" s="109" t="s">
        <v>1057</v>
      </c>
      <c r="J125" s="111">
        <v>43371</v>
      </c>
      <c r="K125" s="109" t="s">
        <v>988</v>
      </c>
      <c r="L125" s="109" t="s">
        <v>1057</v>
      </c>
      <c r="M125" s="109" t="s">
        <v>2348</v>
      </c>
      <c r="N125" s="109"/>
    </row>
    <row r="126" spans="1:14">
      <c r="A126" s="109" t="s">
        <v>1252</v>
      </c>
      <c r="B126" s="109" t="s">
        <v>1157</v>
      </c>
      <c r="C126" s="109"/>
      <c r="D126" s="109"/>
      <c r="E126" s="109" t="s">
        <v>3788</v>
      </c>
      <c r="F126" s="110">
        <v>2020</v>
      </c>
      <c r="G126" s="109" t="s">
        <v>996</v>
      </c>
      <c r="H126" s="109" t="s">
        <v>1253</v>
      </c>
      <c r="I126" s="109" t="s">
        <v>988</v>
      </c>
      <c r="J126" s="111"/>
      <c r="K126" s="109"/>
      <c r="L126" s="109" t="s">
        <v>1015</v>
      </c>
      <c r="M126" s="109" t="s">
        <v>2343</v>
      </c>
      <c r="N126" s="109" t="s">
        <v>2342</v>
      </c>
    </row>
    <row r="127" spans="1:14">
      <c r="A127" s="928" t="s">
        <v>17</v>
      </c>
      <c r="B127" s="109"/>
      <c r="C127" s="109"/>
      <c r="D127" s="109"/>
      <c r="E127" s="109"/>
      <c r="F127" s="110"/>
      <c r="G127" s="109"/>
      <c r="H127" s="109"/>
      <c r="I127" s="109"/>
      <c r="J127" s="111"/>
      <c r="K127" s="109"/>
      <c r="L127" s="109"/>
      <c r="M127" s="109"/>
      <c r="N127" s="109"/>
    </row>
    <row r="128" spans="1:14">
      <c r="A128" s="109" t="s">
        <v>2310</v>
      </c>
      <c r="B128" s="109" t="s">
        <v>2311</v>
      </c>
      <c r="C128" s="109"/>
      <c r="D128" s="109"/>
      <c r="E128" s="109" t="s">
        <v>17</v>
      </c>
      <c r="F128" s="110">
        <v>2011</v>
      </c>
      <c r="G128" s="109" t="s">
        <v>1188</v>
      </c>
      <c r="H128" s="109" t="s">
        <v>1189</v>
      </c>
      <c r="I128" s="109" t="s">
        <v>1190</v>
      </c>
      <c r="J128" s="111">
        <v>43713</v>
      </c>
      <c r="K128" s="109" t="s">
        <v>1079</v>
      </c>
      <c r="L128" s="109" t="s">
        <v>1015</v>
      </c>
      <c r="M128" s="109" t="s">
        <v>2348</v>
      </c>
      <c r="N128" s="109"/>
    </row>
    <row r="129" spans="1:14">
      <c r="A129" s="109" t="s">
        <v>1247</v>
      </c>
      <c r="B129" s="109" t="s">
        <v>2311</v>
      </c>
      <c r="C129" s="109"/>
      <c r="D129" s="109"/>
      <c r="E129" s="109" t="s">
        <v>17</v>
      </c>
      <c r="F129" s="110">
        <v>2020</v>
      </c>
      <c r="G129" s="109" t="s">
        <v>1188</v>
      </c>
      <c r="H129" s="117"/>
      <c r="I129" s="109" t="s">
        <v>1248</v>
      </c>
      <c r="J129" s="111"/>
      <c r="K129" s="109"/>
      <c r="L129" s="109" t="s">
        <v>1015</v>
      </c>
      <c r="M129" s="109" t="s">
        <v>2348</v>
      </c>
      <c r="N129" s="109"/>
    </row>
    <row r="130" spans="1:14">
      <c r="A130" s="928" t="s">
        <v>1254</v>
      </c>
      <c r="B130" s="109"/>
      <c r="C130" s="109"/>
      <c r="D130" s="109"/>
      <c r="E130" s="109"/>
      <c r="F130" s="113"/>
      <c r="G130" s="112"/>
      <c r="H130" s="112"/>
      <c r="I130" s="112"/>
      <c r="J130" s="114"/>
      <c r="K130" s="112"/>
      <c r="L130" s="112"/>
      <c r="M130" s="112"/>
      <c r="N130" s="112"/>
    </row>
    <row r="131" spans="1:14">
      <c r="A131" s="109" t="s">
        <v>2313</v>
      </c>
      <c r="B131" s="109" t="s">
        <v>1256</v>
      </c>
      <c r="C131" s="109" t="s">
        <v>1261</v>
      </c>
      <c r="D131" s="109" t="s">
        <v>899</v>
      </c>
      <c r="E131" s="109" t="s">
        <v>1262</v>
      </c>
      <c r="F131" s="110">
        <v>2021</v>
      </c>
      <c r="G131" s="109" t="s">
        <v>2244</v>
      </c>
      <c r="H131" s="109" t="s">
        <v>2245</v>
      </c>
      <c r="I131" s="109" t="s">
        <v>988</v>
      </c>
      <c r="J131" s="111">
        <v>43488</v>
      </c>
      <c r="K131" s="109" t="s">
        <v>988</v>
      </c>
      <c r="L131" s="109" t="s">
        <v>1015</v>
      </c>
      <c r="M131" s="109" t="s">
        <v>2343</v>
      </c>
      <c r="N131" s="109" t="s">
        <v>2344</v>
      </c>
    </row>
    <row r="132" spans="1:14">
      <c r="A132" s="116" t="s">
        <v>3789</v>
      </c>
      <c r="B132" s="109" t="s">
        <v>1256</v>
      </c>
      <c r="C132" s="109" t="s">
        <v>1264</v>
      </c>
      <c r="D132" s="109" t="s">
        <v>899</v>
      </c>
      <c r="E132" s="109" t="s">
        <v>1262</v>
      </c>
      <c r="F132" s="110">
        <v>2022</v>
      </c>
      <c r="G132" s="109" t="s">
        <v>1055</v>
      </c>
      <c r="H132" s="109" t="s">
        <v>3756</v>
      </c>
      <c r="I132" s="109" t="s">
        <v>1057</v>
      </c>
      <c r="J132" s="111">
        <v>43616</v>
      </c>
      <c r="K132" s="109" t="s">
        <v>988</v>
      </c>
      <c r="L132" s="109" t="s">
        <v>1057</v>
      </c>
      <c r="M132" s="109" t="s">
        <v>2348</v>
      </c>
      <c r="N132" s="109"/>
    </row>
    <row r="133" spans="1:14">
      <c r="A133" s="109" t="s">
        <v>2312</v>
      </c>
      <c r="B133" s="109" t="s">
        <v>1256</v>
      </c>
      <c r="C133" s="109" t="s">
        <v>1257</v>
      </c>
      <c r="D133" s="109" t="s">
        <v>1258</v>
      </c>
      <c r="E133" s="109" t="s">
        <v>1170</v>
      </c>
      <c r="F133" s="110">
        <v>2017</v>
      </c>
      <c r="G133" s="109" t="s">
        <v>1259</v>
      </c>
      <c r="H133" s="109" t="s">
        <v>1093</v>
      </c>
      <c r="I133" s="109" t="s">
        <v>1093</v>
      </c>
      <c r="J133" s="111">
        <v>43465</v>
      </c>
      <c r="K133" s="109" t="s">
        <v>988</v>
      </c>
      <c r="L133" s="109" t="s">
        <v>1015</v>
      </c>
      <c r="M133" s="109" t="s">
        <v>2348</v>
      </c>
      <c r="N133" s="109"/>
    </row>
    <row r="134" spans="1:14">
      <c r="A134" s="109" t="s">
        <v>1266</v>
      </c>
      <c r="B134" s="109" t="s">
        <v>1256</v>
      </c>
      <c r="C134" s="109"/>
      <c r="D134" s="109"/>
      <c r="E134" s="109" t="s">
        <v>1170</v>
      </c>
      <c r="F134" s="110">
        <v>2019</v>
      </c>
      <c r="G134" s="109" t="s">
        <v>1121</v>
      </c>
      <c r="H134" s="109" t="s">
        <v>1121</v>
      </c>
      <c r="I134" s="109" t="s">
        <v>1121</v>
      </c>
      <c r="J134" s="111"/>
      <c r="K134" s="109"/>
      <c r="L134" s="109" t="s">
        <v>1015</v>
      </c>
      <c r="M134" s="109" t="s">
        <v>2348</v>
      </c>
      <c r="N134" s="109"/>
    </row>
    <row r="135" spans="1:14">
      <c r="A135" s="109" t="s">
        <v>1268</v>
      </c>
      <c r="B135" s="109" t="s">
        <v>1256</v>
      </c>
      <c r="C135" s="109"/>
      <c r="D135" s="109"/>
      <c r="E135" s="109" t="s">
        <v>1170</v>
      </c>
      <c r="F135" s="110">
        <v>2019</v>
      </c>
      <c r="G135" s="109" t="s">
        <v>1269</v>
      </c>
      <c r="H135" s="109" t="s">
        <v>1269</v>
      </c>
      <c r="I135" s="109" t="s">
        <v>1269</v>
      </c>
      <c r="J135" s="111"/>
      <c r="K135" s="109"/>
      <c r="L135" s="109" t="s">
        <v>1015</v>
      </c>
      <c r="M135" s="109" t="s">
        <v>2348</v>
      </c>
      <c r="N135" s="109"/>
    </row>
    <row r="136" spans="1:14" ht="31.5">
      <c r="A136" s="925" t="s">
        <v>968</v>
      </c>
      <c r="B136" s="926" t="s">
        <v>2241</v>
      </c>
      <c r="C136" s="925" t="s">
        <v>969</v>
      </c>
      <c r="D136" s="925" t="s">
        <v>970</v>
      </c>
      <c r="E136" s="925" t="s">
        <v>971</v>
      </c>
      <c r="F136" s="926" t="s">
        <v>972</v>
      </c>
      <c r="G136" s="925" t="s">
        <v>973</v>
      </c>
      <c r="H136" s="925" t="s">
        <v>974</v>
      </c>
      <c r="I136" s="925" t="s">
        <v>975</v>
      </c>
      <c r="J136" s="925" t="s">
        <v>976</v>
      </c>
      <c r="K136" s="925" t="s">
        <v>977</v>
      </c>
      <c r="L136" s="925" t="s">
        <v>979</v>
      </c>
      <c r="M136" s="926" t="s">
        <v>3738</v>
      </c>
      <c r="N136" s="925" t="s">
        <v>2339</v>
      </c>
    </row>
    <row r="137" spans="1:14">
      <c r="A137" s="1085"/>
      <c r="B137" s="1085"/>
      <c r="C137" s="1085"/>
      <c r="D137" s="1085"/>
      <c r="E137" s="1085"/>
      <c r="F137" s="1086"/>
      <c r="G137" s="1085"/>
      <c r="H137" s="1085"/>
      <c r="I137" s="1085"/>
      <c r="J137" s="1087"/>
      <c r="K137" s="1085"/>
      <c r="L137" s="1085"/>
      <c r="M137" s="1085"/>
      <c r="N137" s="1088"/>
    </row>
    <row r="138" spans="1:14" s="105" customFormat="1" ht="22.5" customHeight="1">
      <c r="A138" s="927" t="s">
        <v>521</v>
      </c>
      <c r="B138" s="927"/>
      <c r="C138" s="927"/>
      <c r="D138" s="927"/>
      <c r="E138" s="927"/>
      <c r="F138" s="927"/>
      <c r="G138" s="927"/>
      <c r="H138" s="927"/>
      <c r="I138" s="927"/>
      <c r="J138" s="927"/>
      <c r="K138" s="927"/>
      <c r="L138" s="927"/>
      <c r="M138" s="1117"/>
      <c r="N138" s="1118"/>
    </row>
    <row r="139" spans="1:14">
      <c r="A139" s="109" t="s">
        <v>1271</v>
      </c>
      <c r="B139" s="109" t="s">
        <v>1272</v>
      </c>
      <c r="C139" s="109" t="s">
        <v>1273</v>
      </c>
      <c r="D139" s="109" t="s">
        <v>949</v>
      </c>
      <c r="E139" s="109" t="s">
        <v>1534</v>
      </c>
      <c r="F139" s="110">
        <v>2020</v>
      </c>
      <c r="G139" s="109" t="s">
        <v>996</v>
      </c>
      <c r="H139" s="109" t="s">
        <v>997</v>
      </c>
      <c r="I139" s="109" t="s">
        <v>988</v>
      </c>
      <c r="J139" s="111">
        <v>43602</v>
      </c>
      <c r="K139" s="109" t="s">
        <v>988</v>
      </c>
      <c r="L139" s="109" t="s">
        <v>989</v>
      </c>
      <c r="M139" s="109" t="s">
        <v>2343</v>
      </c>
      <c r="N139" s="109" t="s">
        <v>2342</v>
      </c>
    </row>
    <row r="140" spans="1:14">
      <c r="A140" s="928" t="s">
        <v>1274</v>
      </c>
      <c r="B140" s="109"/>
      <c r="C140" s="112"/>
      <c r="D140" s="112"/>
      <c r="E140" s="112"/>
      <c r="F140" s="113"/>
      <c r="G140" s="112"/>
      <c r="H140" s="112"/>
      <c r="I140" s="112"/>
      <c r="J140" s="114"/>
      <c r="K140" s="112"/>
      <c r="L140" s="112"/>
      <c r="M140" s="112"/>
      <c r="N140" s="112"/>
    </row>
    <row r="141" spans="1:14">
      <c r="A141" s="116" t="s">
        <v>3790</v>
      </c>
      <c r="B141" s="109" t="s">
        <v>1277</v>
      </c>
      <c r="C141" s="112"/>
      <c r="D141" s="112"/>
      <c r="E141" s="109" t="s">
        <v>2315</v>
      </c>
      <c r="F141" s="110">
        <v>2022</v>
      </c>
      <c r="G141" s="109" t="s">
        <v>996</v>
      </c>
      <c r="H141" s="109" t="s">
        <v>3750</v>
      </c>
      <c r="I141" s="109" t="s">
        <v>988</v>
      </c>
      <c r="J141" s="111">
        <v>43479</v>
      </c>
      <c r="K141" s="109" t="s">
        <v>988</v>
      </c>
      <c r="L141" s="109" t="s">
        <v>989</v>
      </c>
      <c r="M141" s="109" t="s">
        <v>2340</v>
      </c>
      <c r="N141" s="109" t="s">
        <v>3742</v>
      </c>
    </row>
    <row r="142" spans="1:14">
      <c r="A142" s="109" t="s">
        <v>2316</v>
      </c>
      <c r="B142" s="109" t="s">
        <v>1277</v>
      </c>
      <c r="C142" s="109" t="s">
        <v>36</v>
      </c>
      <c r="D142" s="109" t="s">
        <v>949</v>
      </c>
      <c r="E142" s="109" t="s">
        <v>1279</v>
      </c>
      <c r="F142" s="110">
        <v>2021</v>
      </c>
      <c r="G142" s="109" t="s">
        <v>2244</v>
      </c>
      <c r="H142" s="109" t="s">
        <v>2245</v>
      </c>
      <c r="I142" s="109" t="s">
        <v>988</v>
      </c>
      <c r="J142" s="111">
        <v>43387</v>
      </c>
      <c r="K142" s="109" t="s">
        <v>988</v>
      </c>
      <c r="L142" s="109" t="s">
        <v>1015</v>
      </c>
      <c r="M142" s="109" t="s">
        <v>2343</v>
      </c>
      <c r="N142" s="109" t="s">
        <v>2344</v>
      </c>
    </row>
    <row r="143" spans="1:14">
      <c r="A143" s="109" t="s">
        <v>1281</v>
      </c>
      <c r="B143" s="109" t="s">
        <v>1277</v>
      </c>
      <c r="C143" s="109" t="s">
        <v>949</v>
      </c>
      <c r="D143" s="109" t="s">
        <v>949</v>
      </c>
      <c r="E143" s="109" t="s">
        <v>1279</v>
      </c>
      <c r="F143" s="110">
        <v>2018</v>
      </c>
      <c r="G143" s="109" t="s">
        <v>1120</v>
      </c>
      <c r="H143" s="109" t="s">
        <v>1207</v>
      </c>
      <c r="I143" s="109" t="s">
        <v>1121</v>
      </c>
      <c r="J143" s="111">
        <v>43470</v>
      </c>
      <c r="K143" s="109" t="s">
        <v>988</v>
      </c>
      <c r="L143" s="109" t="s">
        <v>1282</v>
      </c>
      <c r="M143" s="109" t="s">
        <v>2348</v>
      </c>
      <c r="N143" s="109"/>
    </row>
    <row r="144" spans="1:14">
      <c r="A144" s="109" t="s">
        <v>2317</v>
      </c>
      <c r="B144" s="109" t="s">
        <v>1277</v>
      </c>
      <c r="C144" s="109" t="s">
        <v>1284</v>
      </c>
      <c r="D144" s="109" t="s">
        <v>949</v>
      </c>
      <c r="E144" s="109" t="s">
        <v>1279</v>
      </c>
      <c r="F144" s="110">
        <v>2014</v>
      </c>
      <c r="G144" s="109" t="s">
        <v>1285</v>
      </c>
      <c r="H144" s="109" t="s">
        <v>1286</v>
      </c>
      <c r="I144" s="109" t="s">
        <v>1121</v>
      </c>
      <c r="J144" s="111">
        <v>43507</v>
      </c>
      <c r="K144" s="109" t="s">
        <v>988</v>
      </c>
      <c r="L144" s="109" t="s">
        <v>1015</v>
      </c>
      <c r="M144" s="109" t="s">
        <v>2348</v>
      </c>
      <c r="N144" s="109"/>
    </row>
    <row r="145" spans="1:14">
      <c r="A145" s="109" t="s">
        <v>2318</v>
      </c>
      <c r="B145" s="109" t="s">
        <v>1277</v>
      </c>
      <c r="C145" s="109" t="s">
        <v>1284</v>
      </c>
      <c r="D145" s="109" t="s">
        <v>949</v>
      </c>
      <c r="E145" s="109" t="s">
        <v>1279</v>
      </c>
      <c r="F145" s="110">
        <v>2015</v>
      </c>
      <c r="G145" s="109" t="s">
        <v>1285</v>
      </c>
      <c r="H145" s="109" t="s">
        <v>1288</v>
      </c>
      <c r="I145" s="109" t="s">
        <v>1121</v>
      </c>
      <c r="J145" s="111">
        <v>43454</v>
      </c>
      <c r="K145" s="109" t="s">
        <v>988</v>
      </c>
      <c r="L145" s="109" t="s">
        <v>1015</v>
      </c>
      <c r="M145" s="109" t="s">
        <v>2348</v>
      </c>
      <c r="N145" s="109"/>
    </row>
    <row r="146" spans="1:14">
      <c r="A146" s="109" t="s">
        <v>2319</v>
      </c>
      <c r="B146" s="109" t="s">
        <v>1277</v>
      </c>
      <c r="C146" s="109"/>
      <c r="D146" s="109"/>
      <c r="E146" s="109" t="s">
        <v>1279</v>
      </c>
      <c r="F146" s="110">
        <v>2018</v>
      </c>
      <c r="G146" s="109" t="s">
        <v>1121</v>
      </c>
      <c r="H146" s="109" t="s">
        <v>1121</v>
      </c>
      <c r="I146" s="109" t="s">
        <v>1121</v>
      </c>
      <c r="J146" s="111"/>
      <c r="K146" s="109"/>
      <c r="L146" s="109" t="s">
        <v>1015</v>
      </c>
      <c r="M146" s="109" t="s">
        <v>2348</v>
      </c>
      <c r="N146" s="109"/>
    </row>
    <row r="147" spans="1:14">
      <c r="A147" s="109" t="s">
        <v>2320</v>
      </c>
      <c r="B147" s="109" t="s">
        <v>1277</v>
      </c>
      <c r="C147" s="109" t="s">
        <v>1284</v>
      </c>
      <c r="D147" s="109" t="s">
        <v>949</v>
      </c>
      <c r="E147" s="109" t="s">
        <v>1279</v>
      </c>
      <c r="F147" s="110">
        <v>2016</v>
      </c>
      <c r="G147" s="109" t="s">
        <v>1120</v>
      </c>
      <c r="H147" s="109" t="s">
        <v>1207</v>
      </c>
      <c r="I147" s="109" t="s">
        <v>1121</v>
      </c>
      <c r="J147" s="111">
        <v>43431</v>
      </c>
      <c r="K147" s="109" t="s">
        <v>988</v>
      </c>
      <c r="L147" s="109" t="s">
        <v>1015</v>
      </c>
      <c r="M147" s="109" t="s">
        <v>2348</v>
      </c>
      <c r="N147" s="109"/>
    </row>
    <row r="148" spans="1:14">
      <c r="A148" s="109" t="s">
        <v>2331</v>
      </c>
      <c r="B148" s="109" t="s">
        <v>1277</v>
      </c>
      <c r="C148" s="109" t="s">
        <v>1321</v>
      </c>
      <c r="D148" s="109" t="s">
        <v>949</v>
      </c>
      <c r="E148" s="109" t="s">
        <v>1279</v>
      </c>
      <c r="F148" s="110">
        <v>2020</v>
      </c>
      <c r="G148" s="109" t="s">
        <v>1055</v>
      </c>
      <c r="H148" s="109" t="s">
        <v>1056</v>
      </c>
      <c r="I148" s="109" t="s">
        <v>1057</v>
      </c>
      <c r="J148" s="111"/>
      <c r="K148" s="109"/>
      <c r="L148" s="109" t="s">
        <v>1057</v>
      </c>
      <c r="M148" s="109" t="s">
        <v>2348</v>
      </c>
      <c r="N148" s="109"/>
    </row>
    <row r="149" spans="1:14">
      <c r="A149" s="109" t="s">
        <v>3791</v>
      </c>
      <c r="B149" s="109" t="s">
        <v>1277</v>
      </c>
      <c r="C149" s="109"/>
      <c r="D149" s="109"/>
      <c r="E149" s="109" t="s">
        <v>1292</v>
      </c>
      <c r="F149" s="110">
        <v>2022</v>
      </c>
      <c r="G149" s="109" t="s">
        <v>1055</v>
      </c>
      <c r="H149" s="109" t="s">
        <v>3756</v>
      </c>
      <c r="I149" s="109" t="s">
        <v>1057</v>
      </c>
      <c r="J149" s="111">
        <v>43507</v>
      </c>
      <c r="K149" s="109" t="s">
        <v>988</v>
      </c>
      <c r="L149" s="109" t="s">
        <v>1057</v>
      </c>
      <c r="M149" s="109" t="s">
        <v>2348</v>
      </c>
      <c r="N149" s="109"/>
    </row>
    <row r="150" spans="1:14">
      <c r="A150" s="928" t="s">
        <v>414</v>
      </c>
      <c r="B150" s="109"/>
      <c r="C150" s="112"/>
      <c r="D150" s="112"/>
      <c r="E150" s="112"/>
      <c r="F150" s="113"/>
      <c r="G150" s="112"/>
      <c r="H150" s="112"/>
      <c r="I150" s="112"/>
      <c r="J150" s="114"/>
      <c r="K150" s="112"/>
      <c r="L150" s="112"/>
      <c r="M150" s="112"/>
      <c r="N150" s="112"/>
    </row>
    <row r="151" spans="1:14">
      <c r="A151" s="109" t="s">
        <v>3792</v>
      </c>
      <c r="B151" s="110">
        <v>1722300530</v>
      </c>
      <c r="C151" s="109" t="s">
        <v>414</v>
      </c>
      <c r="D151" s="109" t="s">
        <v>949</v>
      </c>
      <c r="E151" s="109" t="s">
        <v>414</v>
      </c>
      <c r="F151" s="110">
        <v>2022</v>
      </c>
      <c r="G151" s="109" t="s">
        <v>3793</v>
      </c>
      <c r="H151" s="109" t="s">
        <v>1075</v>
      </c>
      <c r="I151" s="109" t="s">
        <v>988</v>
      </c>
      <c r="J151" s="111"/>
      <c r="K151" s="109" t="s">
        <v>988</v>
      </c>
      <c r="L151" s="109" t="s">
        <v>1015</v>
      </c>
      <c r="M151" s="109" t="s">
        <v>2343</v>
      </c>
      <c r="N151" s="109" t="s">
        <v>3742</v>
      </c>
    </row>
    <row r="152" spans="1:14">
      <c r="A152" s="110">
        <v>21562203</v>
      </c>
      <c r="B152" s="110">
        <v>1722300530</v>
      </c>
      <c r="C152" s="109" t="s">
        <v>414</v>
      </c>
      <c r="D152" s="109" t="s">
        <v>949</v>
      </c>
      <c r="E152" s="109" t="s">
        <v>414</v>
      </c>
      <c r="F152" s="110">
        <v>2022</v>
      </c>
      <c r="G152" s="109" t="s">
        <v>3753</v>
      </c>
      <c r="H152" s="109" t="s">
        <v>1075</v>
      </c>
      <c r="I152" s="109" t="s">
        <v>988</v>
      </c>
      <c r="J152" s="111"/>
      <c r="K152" s="109" t="s">
        <v>988</v>
      </c>
      <c r="L152" s="109" t="s">
        <v>1015</v>
      </c>
      <c r="M152" s="109" t="s">
        <v>2343</v>
      </c>
      <c r="N152" s="109" t="s">
        <v>3742</v>
      </c>
    </row>
    <row r="153" spans="1:14">
      <c r="A153" s="928" t="s">
        <v>36</v>
      </c>
      <c r="B153" s="109"/>
      <c r="C153" s="109"/>
      <c r="D153" s="109"/>
      <c r="E153" s="109"/>
      <c r="F153" s="113"/>
      <c r="G153" s="112"/>
      <c r="H153" s="112"/>
      <c r="I153" s="112"/>
      <c r="J153" s="114"/>
      <c r="K153" s="112"/>
      <c r="L153" s="112"/>
      <c r="M153" s="112"/>
      <c r="N153" s="112"/>
    </row>
    <row r="154" spans="1:14">
      <c r="A154" s="109" t="s">
        <v>1317</v>
      </c>
      <c r="B154" s="109" t="s">
        <v>1297</v>
      </c>
      <c r="C154" s="109" t="s">
        <v>1318</v>
      </c>
      <c r="D154" s="109" t="s">
        <v>949</v>
      </c>
      <c r="E154" s="109" t="s">
        <v>36</v>
      </c>
      <c r="F154" s="110">
        <v>2017</v>
      </c>
      <c r="G154" s="109" t="s">
        <v>1055</v>
      </c>
      <c r="H154" s="109" t="s">
        <v>1056</v>
      </c>
      <c r="I154" s="109" t="s">
        <v>1057</v>
      </c>
      <c r="J154" s="111">
        <v>43450</v>
      </c>
      <c r="K154" s="109" t="s">
        <v>988</v>
      </c>
      <c r="L154" s="109" t="s">
        <v>1057</v>
      </c>
      <c r="M154" s="109" t="s">
        <v>2348</v>
      </c>
      <c r="N154" s="109"/>
    </row>
    <row r="155" spans="1:14">
      <c r="A155" s="109" t="s">
        <v>2325</v>
      </c>
      <c r="B155" s="109" t="s">
        <v>1297</v>
      </c>
      <c r="C155" s="109" t="s">
        <v>1300</v>
      </c>
      <c r="D155" s="109" t="s">
        <v>949</v>
      </c>
      <c r="E155" s="109" t="s">
        <v>36</v>
      </c>
      <c r="F155" s="110">
        <v>2021</v>
      </c>
      <c r="G155" s="109" t="s">
        <v>2244</v>
      </c>
      <c r="H155" s="109" t="s">
        <v>2245</v>
      </c>
      <c r="I155" s="109" t="s">
        <v>988</v>
      </c>
      <c r="J155" s="111">
        <v>43738</v>
      </c>
      <c r="K155" s="109" t="s">
        <v>988</v>
      </c>
      <c r="L155" s="109" t="s">
        <v>1015</v>
      </c>
      <c r="M155" s="109" t="s">
        <v>2343</v>
      </c>
      <c r="N155" s="109" t="s">
        <v>2344</v>
      </c>
    </row>
    <row r="156" spans="1:14">
      <c r="A156" s="109" t="s">
        <v>2327</v>
      </c>
      <c r="B156" s="109" t="s">
        <v>1297</v>
      </c>
      <c r="C156" s="109" t="s">
        <v>1303</v>
      </c>
      <c r="D156" s="109" t="s">
        <v>949</v>
      </c>
      <c r="E156" s="109" t="s">
        <v>36</v>
      </c>
      <c r="F156" s="110">
        <v>2017</v>
      </c>
      <c r="G156" s="109" t="s">
        <v>1055</v>
      </c>
      <c r="H156" s="109" t="s">
        <v>1056</v>
      </c>
      <c r="I156" s="109" t="s">
        <v>1057</v>
      </c>
      <c r="J156" s="111">
        <v>43616</v>
      </c>
      <c r="K156" s="109" t="s">
        <v>988</v>
      </c>
      <c r="L156" s="109" t="s">
        <v>1057</v>
      </c>
      <c r="M156" s="109" t="s">
        <v>2348</v>
      </c>
      <c r="N156" s="109"/>
    </row>
    <row r="157" spans="1:14">
      <c r="A157" s="109" t="s">
        <v>1309</v>
      </c>
      <c r="B157" s="109" t="s">
        <v>1297</v>
      </c>
      <c r="C157" s="109" t="s">
        <v>1310</v>
      </c>
      <c r="D157" s="109" t="s">
        <v>949</v>
      </c>
      <c r="E157" s="109" t="s">
        <v>36</v>
      </c>
      <c r="F157" s="110">
        <v>2017</v>
      </c>
      <c r="G157" s="109" t="s">
        <v>1055</v>
      </c>
      <c r="H157" s="109" t="s">
        <v>1056</v>
      </c>
      <c r="I157" s="109" t="s">
        <v>1057</v>
      </c>
      <c r="J157" s="111">
        <v>43450</v>
      </c>
      <c r="K157" s="109" t="s">
        <v>988</v>
      </c>
      <c r="L157" s="109" t="s">
        <v>1057</v>
      </c>
      <c r="M157" s="109" t="s">
        <v>2348</v>
      </c>
      <c r="N157" s="109"/>
    </row>
    <row r="158" spans="1:14">
      <c r="A158" s="109" t="s">
        <v>3794</v>
      </c>
      <c r="B158" s="109" t="s">
        <v>1297</v>
      </c>
      <c r="C158" s="109" t="s">
        <v>1312</v>
      </c>
      <c r="D158" s="109" t="s">
        <v>949</v>
      </c>
      <c r="E158" s="109" t="s">
        <v>36</v>
      </c>
      <c r="F158" s="110">
        <v>2022</v>
      </c>
      <c r="G158" s="109" t="s">
        <v>1055</v>
      </c>
      <c r="H158" s="109" t="s">
        <v>3756</v>
      </c>
      <c r="I158" s="109" t="s">
        <v>1057</v>
      </c>
      <c r="J158" s="111">
        <v>43687</v>
      </c>
      <c r="K158" s="109" t="s">
        <v>988</v>
      </c>
      <c r="L158" s="109" t="s">
        <v>1057</v>
      </c>
      <c r="M158" s="109" t="s">
        <v>2348</v>
      </c>
      <c r="N158" s="109"/>
    </row>
    <row r="159" spans="1:14">
      <c r="A159" s="109" t="s">
        <v>3795</v>
      </c>
      <c r="B159" s="109" t="s">
        <v>1297</v>
      </c>
      <c r="C159" s="109" t="s">
        <v>1314</v>
      </c>
      <c r="D159" s="109" t="s">
        <v>949</v>
      </c>
      <c r="E159" s="109" t="s">
        <v>36</v>
      </c>
      <c r="F159" s="110">
        <v>2022</v>
      </c>
      <c r="G159" s="109" t="s">
        <v>1055</v>
      </c>
      <c r="H159" s="109" t="s">
        <v>3756</v>
      </c>
      <c r="I159" s="109" t="s">
        <v>1057</v>
      </c>
      <c r="J159" s="111">
        <v>43539</v>
      </c>
      <c r="K159" s="109" t="s">
        <v>988</v>
      </c>
      <c r="L159" s="109" t="s">
        <v>1057</v>
      </c>
      <c r="M159" s="109" t="s">
        <v>2348</v>
      </c>
      <c r="N159" s="109"/>
    </row>
    <row r="160" spans="1:14">
      <c r="A160" s="109" t="s">
        <v>1320</v>
      </c>
      <c r="B160" s="109" t="s">
        <v>1297</v>
      </c>
      <c r="C160" s="109" t="s">
        <v>1321</v>
      </c>
      <c r="D160" s="109" t="s">
        <v>949</v>
      </c>
      <c r="E160" s="109" t="s">
        <v>36</v>
      </c>
      <c r="F160" s="110">
        <v>2017</v>
      </c>
      <c r="G160" s="109" t="s">
        <v>1055</v>
      </c>
      <c r="H160" s="109" t="s">
        <v>1056</v>
      </c>
      <c r="I160" s="109" t="s">
        <v>1057</v>
      </c>
      <c r="J160" s="111">
        <v>43450</v>
      </c>
      <c r="K160" s="109" t="s">
        <v>988</v>
      </c>
      <c r="L160" s="109" t="s">
        <v>1057</v>
      </c>
      <c r="M160" s="109" t="s">
        <v>2351</v>
      </c>
      <c r="N160" s="109" t="s">
        <v>4</v>
      </c>
    </row>
    <row r="161" spans="1:14">
      <c r="A161" s="109" t="s">
        <v>3796</v>
      </c>
      <c r="B161" s="109" t="s">
        <v>1297</v>
      </c>
      <c r="C161" s="109" t="s">
        <v>1321</v>
      </c>
      <c r="D161" s="109" t="s">
        <v>949</v>
      </c>
      <c r="E161" s="109" t="s">
        <v>36</v>
      </c>
      <c r="F161" s="110">
        <v>2022</v>
      </c>
      <c r="G161" s="109" t="s">
        <v>2281</v>
      </c>
      <c r="H161" s="109" t="s">
        <v>3756</v>
      </c>
      <c r="I161" s="109" t="s">
        <v>1057</v>
      </c>
      <c r="J161" s="111"/>
      <c r="K161" s="109"/>
      <c r="L161" s="109" t="s">
        <v>1057</v>
      </c>
      <c r="M161" s="109" t="s">
        <v>2348</v>
      </c>
      <c r="N161" s="109"/>
    </row>
    <row r="162" spans="1:14">
      <c r="A162" s="109" t="s">
        <v>2330</v>
      </c>
      <c r="B162" s="109" t="s">
        <v>1297</v>
      </c>
      <c r="C162" s="109" t="s">
        <v>1321</v>
      </c>
      <c r="D162" s="109" t="s">
        <v>949</v>
      </c>
      <c r="E162" s="109" t="s">
        <v>36</v>
      </c>
      <c r="F162" s="110">
        <v>2020</v>
      </c>
      <c r="G162" s="109" t="s">
        <v>1055</v>
      </c>
      <c r="H162" s="109" t="s">
        <v>1056</v>
      </c>
      <c r="I162" s="109" t="s">
        <v>1057</v>
      </c>
      <c r="J162" s="111"/>
      <c r="K162" s="109"/>
      <c r="L162" s="109" t="s">
        <v>1057</v>
      </c>
      <c r="M162" s="109" t="s">
        <v>2348</v>
      </c>
      <c r="N162" s="109"/>
    </row>
    <row r="163" spans="1:14">
      <c r="A163" s="109" t="s">
        <v>3797</v>
      </c>
      <c r="B163" s="109" t="s">
        <v>1297</v>
      </c>
      <c r="C163" s="109"/>
      <c r="D163" s="109"/>
      <c r="E163" s="109" t="s">
        <v>36</v>
      </c>
      <c r="F163" s="110">
        <v>2014</v>
      </c>
      <c r="G163" s="109" t="s">
        <v>1055</v>
      </c>
      <c r="H163" s="109" t="s">
        <v>1056</v>
      </c>
      <c r="I163" s="109" t="s">
        <v>1057</v>
      </c>
      <c r="J163" s="111">
        <v>43616</v>
      </c>
      <c r="K163" s="109" t="s">
        <v>988</v>
      </c>
      <c r="L163" s="109" t="s">
        <v>1057</v>
      </c>
      <c r="M163" s="109" t="s">
        <v>2348</v>
      </c>
      <c r="N163" s="109"/>
    </row>
    <row r="164" spans="1:14">
      <c r="A164" s="109" t="s">
        <v>2253</v>
      </c>
      <c r="B164" s="109" t="s">
        <v>1297</v>
      </c>
      <c r="C164" s="109" t="s">
        <v>1088</v>
      </c>
      <c r="D164" s="109" t="s">
        <v>309</v>
      </c>
      <c r="E164" s="109" t="s">
        <v>36</v>
      </c>
      <c r="F164" s="110">
        <v>2016</v>
      </c>
      <c r="G164" s="109" t="s">
        <v>1022</v>
      </c>
      <c r="H164" s="109" t="s">
        <v>1023</v>
      </c>
      <c r="I164" s="109" t="s">
        <v>1024</v>
      </c>
      <c r="J164" s="111">
        <v>43621</v>
      </c>
      <c r="K164" s="109" t="s">
        <v>988</v>
      </c>
      <c r="L164" s="109" t="s">
        <v>1015</v>
      </c>
      <c r="M164" s="109"/>
      <c r="N164" s="109"/>
    </row>
    <row r="165" spans="1:14">
      <c r="A165" s="109" t="s">
        <v>2333</v>
      </c>
      <c r="B165" s="109" t="s">
        <v>1297</v>
      </c>
      <c r="C165" s="109"/>
      <c r="D165" s="109"/>
      <c r="E165" s="109" t="s">
        <v>36</v>
      </c>
      <c r="F165" s="110">
        <v>2021</v>
      </c>
      <c r="G165" s="109" t="s">
        <v>1055</v>
      </c>
      <c r="H165" s="109" t="s">
        <v>1056</v>
      </c>
      <c r="I165" s="109" t="s">
        <v>1057</v>
      </c>
      <c r="J165" s="111"/>
      <c r="K165" s="109"/>
      <c r="L165" s="109" t="s">
        <v>1057</v>
      </c>
      <c r="M165" s="109" t="s">
        <v>2348</v>
      </c>
      <c r="N165" s="109"/>
    </row>
    <row r="166" spans="1:14">
      <c r="A166" s="928" t="s">
        <v>229</v>
      </c>
      <c r="B166" s="109"/>
      <c r="C166" s="112"/>
      <c r="D166" s="112"/>
      <c r="E166" s="112"/>
      <c r="F166" s="113"/>
      <c r="G166" s="112"/>
      <c r="H166" s="112"/>
      <c r="I166" s="112"/>
      <c r="J166" s="114"/>
      <c r="K166" s="112"/>
      <c r="L166" s="112"/>
      <c r="M166" s="112"/>
      <c r="N166" s="112"/>
    </row>
    <row r="167" spans="1:14">
      <c r="A167" s="109" t="s">
        <v>3798</v>
      </c>
      <c r="B167" s="109" t="s">
        <v>1326</v>
      </c>
      <c r="C167" s="109" t="s">
        <v>1327</v>
      </c>
      <c r="D167" s="109" t="s">
        <v>949</v>
      </c>
      <c r="E167" s="109" t="s">
        <v>1328</v>
      </c>
      <c r="F167" s="110">
        <v>2019</v>
      </c>
      <c r="G167" s="109" t="s">
        <v>3765</v>
      </c>
      <c r="H167" s="109"/>
      <c r="I167" s="109" t="s">
        <v>988</v>
      </c>
      <c r="J167" s="111">
        <v>43387</v>
      </c>
      <c r="K167" s="109" t="s">
        <v>988</v>
      </c>
      <c r="L167" s="109" t="s">
        <v>1015</v>
      </c>
      <c r="M167" s="109" t="s">
        <v>2343</v>
      </c>
      <c r="N167" s="109" t="s">
        <v>2342</v>
      </c>
    </row>
    <row r="168" spans="1:14">
      <c r="A168" s="928" t="s">
        <v>44</v>
      </c>
      <c r="B168" s="930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</row>
    <row r="169" spans="1:14">
      <c r="A169" s="116" t="s">
        <v>3799</v>
      </c>
      <c r="B169" s="109" t="s">
        <v>1272</v>
      </c>
      <c r="C169" s="109" t="s">
        <v>1332</v>
      </c>
      <c r="D169" s="109" t="s">
        <v>1066</v>
      </c>
      <c r="E169" s="109" t="s">
        <v>44</v>
      </c>
      <c r="F169" s="110">
        <v>2022</v>
      </c>
      <c r="G169" s="109" t="s">
        <v>1055</v>
      </c>
      <c r="H169" s="109" t="s">
        <v>3756</v>
      </c>
      <c r="I169" s="109" t="s">
        <v>1057</v>
      </c>
      <c r="J169" s="111">
        <v>43582</v>
      </c>
      <c r="K169" s="109" t="s">
        <v>988</v>
      </c>
      <c r="L169" s="109" t="s">
        <v>1057</v>
      </c>
      <c r="M169" s="109" t="s">
        <v>2348</v>
      </c>
      <c r="N169" s="109"/>
    </row>
    <row r="170" spans="1:14">
      <c r="A170" s="930">
        <v>14411002</v>
      </c>
      <c r="B170" s="930">
        <v>1780000530</v>
      </c>
      <c r="C170" s="118"/>
      <c r="D170" s="118"/>
      <c r="E170" s="118" t="s">
        <v>44</v>
      </c>
      <c r="F170" s="118">
        <v>2021</v>
      </c>
      <c r="G170" s="118" t="s">
        <v>1055</v>
      </c>
      <c r="H170" s="109" t="s">
        <v>1056</v>
      </c>
      <c r="I170" s="118" t="s">
        <v>1057</v>
      </c>
      <c r="J170" s="118"/>
      <c r="K170" s="118"/>
      <c r="L170" s="118" t="s">
        <v>1057</v>
      </c>
      <c r="M170" s="118" t="s">
        <v>2348</v>
      </c>
      <c r="N170" s="118"/>
    </row>
    <row r="171" spans="1:14">
      <c r="A171" s="928" t="s">
        <v>2674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931"/>
      <c r="N171" s="931"/>
    </row>
    <row r="172" spans="1:14">
      <c r="A172" s="113">
        <v>84539202</v>
      </c>
      <c r="B172" s="110">
        <v>1780000530</v>
      </c>
      <c r="C172" s="113"/>
      <c r="D172" s="113"/>
      <c r="E172" s="113" t="s">
        <v>2674</v>
      </c>
      <c r="F172" s="113">
        <v>2022</v>
      </c>
      <c r="G172" s="113" t="s">
        <v>3800</v>
      </c>
      <c r="H172" s="113" t="s">
        <v>3761</v>
      </c>
      <c r="I172" s="113" t="s">
        <v>1024</v>
      </c>
      <c r="J172" s="113"/>
      <c r="K172" s="113"/>
      <c r="L172" s="113" t="s">
        <v>1015</v>
      </c>
      <c r="M172" s="932" t="s">
        <v>2343</v>
      </c>
      <c r="N172" s="932">
        <v>2025</v>
      </c>
    </row>
    <row r="173" spans="1:14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931"/>
      <c r="N173" s="931"/>
    </row>
  </sheetData>
  <mergeCells count="13">
    <mergeCell ref="M138:N138"/>
    <mergeCell ref="A1:N1"/>
    <mergeCell ref="M33:N33"/>
    <mergeCell ref="M44:N44"/>
    <mergeCell ref="M53:N53"/>
    <mergeCell ref="M60:N60"/>
    <mergeCell ref="M63:N63"/>
    <mergeCell ref="M76:N76"/>
    <mergeCell ref="M4:N4"/>
    <mergeCell ref="M7:N7"/>
    <mergeCell ref="M13:N13"/>
    <mergeCell ref="M15:N15"/>
    <mergeCell ref="M26:N26"/>
  </mergeCells>
  <pageMargins left="0.70866141732283472" right="0.70866141732283472" top="0.74803149606299213" bottom="0.74803149606299213" header="0.31496062992125984" footer="0.31496062992125984"/>
  <pageSetup paperSize="9" scale="83" firstPageNumber="40" fitToHeight="0" orientation="landscape" useFirstPageNumber="1" r:id="rId1"/>
  <headerFooter>
    <oddFooter>&amp;L&amp;P</oddFooter>
  </headerFooter>
  <rowBreaks count="4" manualBreakCount="4">
    <brk id="31" max="16383" man="1"/>
    <brk id="65" max="16383" man="1"/>
    <brk id="97" max="16383" man="1"/>
    <brk id="13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T1091"/>
  <sheetViews>
    <sheetView rightToLeft="1" view="pageBreakPreview" zoomScale="84" zoomScaleNormal="100" zoomScaleSheetLayoutView="84" workbookViewId="0">
      <pane ySplit="5" topLeftCell="A6" activePane="bottomLeft" state="frozen"/>
      <selection activeCell="D1" sqref="D1:D65536"/>
      <selection pane="bottomLeft" activeCell="I40" sqref="I40"/>
    </sheetView>
  </sheetViews>
  <sheetFormatPr defaultRowHeight="12.75"/>
  <cols>
    <col min="1" max="1" width="8.375" style="735" customWidth="1"/>
    <col min="2" max="2" width="2.75" style="735" hidden="1" customWidth="1"/>
    <col min="3" max="3" width="11" style="740" customWidth="1"/>
    <col min="4" max="4" width="31.375" style="735" bestFit="1" customWidth="1"/>
    <col min="5" max="5" width="11.125" style="735" customWidth="1"/>
    <col min="6" max="11" width="9.125" style="735" customWidth="1"/>
    <col min="12" max="12" width="9.125" style="829" customWidth="1"/>
    <col min="13" max="13" width="12.75" style="735" customWidth="1"/>
    <col min="14" max="14" width="10.875" style="735" customWidth="1"/>
    <col min="15" max="15" width="11.25" style="752" hidden="1" customWidth="1"/>
    <col min="16" max="16" width="11.875" style="735" bestFit="1" customWidth="1"/>
    <col min="17" max="17" width="10" style="747" bestFit="1" customWidth="1"/>
    <col min="18" max="20" width="0" style="747" hidden="1" customWidth="1"/>
    <col min="21" max="21" width="11.625" style="844" bestFit="1" customWidth="1"/>
    <col min="22" max="81" width="9" style="747"/>
    <col min="82" max="256" width="9" style="845"/>
    <col min="257" max="257" width="8.375" style="845" customWidth="1"/>
    <col min="258" max="258" width="0" style="845" hidden="1" customWidth="1"/>
    <col min="259" max="259" width="11" style="845" customWidth="1"/>
    <col min="260" max="260" width="31.375" style="845" bestFit="1" customWidth="1"/>
    <col min="261" max="261" width="11.125" style="845" customWidth="1"/>
    <col min="262" max="268" width="9.125" style="845" customWidth="1"/>
    <col min="269" max="269" width="32.625" style="845" customWidth="1"/>
    <col min="270" max="270" width="10.875" style="845" customWidth="1"/>
    <col min="271" max="271" width="0" style="845" hidden="1" customWidth="1"/>
    <col min="272" max="272" width="9" style="845" customWidth="1"/>
    <col min="273" max="273" width="9" style="845"/>
    <col min="274" max="276" width="0" style="845" hidden="1" customWidth="1"/>
    <col min="277" max="277" width="11.625" style="845" bestFit="1" customWidth="1"/>
    <col min="278" max="512" width="9" style="845"/>
    <col min="513" max="513" width="8.375" style="845" customWidth="1"/>
    <col min="514" max="514" width="0" style="845" hidden="1" customWidth="1"/>
    <col min="515" max="515" width="11" style="845" customWidth="1"/>
    <col min="516" max="516" width="31.375" style="845" bestFit="1" customWidth="1"/>
    <col min="517" max="517" width="11.125" style="845" customWidth="1"/>
    <col min="518" max="524" width="9.125" style="845" customWidth="1"/>
    <col min="525" max="525" width="32.625" style="845" customWidth="1"/>
    <col min="526" max="526" width="10.875" style="845" customWidth="1"/>
    <col min="527" max="527" width="0" style="845" hidden="1" customWidth="1"/>
    <col min="528" max="528" width="9" style="845" customWidth="1"/>
    <col min="529" max="529" width="9" style="845"/>
    <col min="530" max="532" width="0" style="845" hidden="1" customWidth="1"/>
    <col min="533" max="533" width="11.625" style="845" bestFit="1" customWidth="1"/>
    <col min="534" max="768" width="9" style="845"/>
    <col min="769" max="769" width="8.375" style="845" customWidth="1"/>
    <col min="770" max="770" width="0" style="845" hidden="1" customWidth="1"/>
    <col min="771" max="771" width="11" style="845" customWidth="1"/>
    <col min="772" max="772" width="31.375" style="845" bestFit="1" customWidth="1"/>
    <col min="773" max="773" width="11.125" style="845" customWidth="1"/>
    <col min="774" max="780" width="9.125" style="845" customWidth="1"/>
    <col min="781" max="781" width="32.625" style="845" customWidth="1"/>
    <col min="782" max="782" width="10.875" style="845" customWidth="1"/>
    <col min="783" max="783" width="0" style="845" hidden="1" customWidth="1"/>
    <col min="784" max="784" width="9" style="845" customWidth="1"/>
    <col min="785" max="785" width="9" style="845"/>
    <col min="786" max="788" width="0" style="845" hidden="1" customWidth="1"/>
    <col min="789" max="789" width="11.625" style="845" bestFit="1" customWidth="1"/>
    <col min="790" max="1024" width="9" style="845"/>
    <col min="1025" max="1025" width="8.375" style="845" customWidth="1"/>
    <col min="1026" max="1026" width="0" style="845" hidden="1" customWidth="1"/>
    <col min="1027" max="1027" width="11" style="845" customWidth="1"/>
    <col min="1028" max="1028" width="31.375" style="845" bestFit="1" customWidth="1"/>
    <col min="1029" max="1029" width="11.125" style="845" customWidth="1"/>
    <col min="1030" max="1036" width="9.125" style="845" customWidth="1"/>
    <col min="1037" max="1037" width="32.625" style="845" customWidth="1"/>
    <col min="1038" max="1038" width="10.875" style="845" customWidth="1"/>
    <col min="1039" max="1039" width="0" style="845" hidden="1" customWidth="1"/>
    <col min="1040" max="1040" width="9" style="845" customWidth="1"/>
    <col min="1041" max="1041" width="9" style="845"/>
    <col min="1042" max="1044" width="0" style="845" hidden="1" customWidth="1"/>
    <col min="1045" max="1045" width="11.625" style="845" bestFit="1" customWidth="1"/>
    <col min="1046" max="1280" width="9" style="845"/>
    <col min="1281" max="1281" width="8.375" style="845" customWidth="1"/>
    <col min="1282" max="1282" width="0" style="845" hidden="1" customWidth="1"/>
    <col min="1283" max="1283" width="11" style="845" customWidth="1"/>
    <col min="1284" max="1284" width="31.375" style="845" bestFit="1" customWidth="1"/>
    <col min="1285" max="1285" width="11.125" style="845" customWidth="1"/>
    <col min="1286" max="1292" width="9.125" style="845" customWidth="1"/>
    <col min="1293" max="1293" width="32.625" style="845" customWidth="1"/>
    <col min="1294" max="1294" width="10.875" style="845" customWidth="1"/>
    <col min="1295" max="1295" width="0" style="845" hidden="1" customWidth="1"/>
    <col min="1296" max="1296" width="9" style="845" customWidth="1"/>
    <col min="1297" max="1297" width="9" style="845"/>
    <col min="1298" max="1300" width="0" style="845" hidden="1" customWidth="1"/>
    <col min="1301" max="1301" width="11.625" style="845" bestFit="1" customWidth="1"/>
    <col min="1302" max="1536" width="9" style="845"/>
    <col min="1537" max="1537" width="8.375" style="845" customWidth="1"/>
    <col min="1538" max="1538" width="0" style="845" hidden="1" customWidth="1"/>
    <col min="1539" max="1539" width="11" style="845" customWidth="1"/>
    <col min="1540" max="1540" width="31.375" style="845" bestFit="1" customWidth="1"/>
    <col min="1541" max="1541" width="11.125" style="845" customWidth="1"/>
    <col min="1542" max="1548" width="9.125" style="845" customWidth="1"/>
    <col min="1549" max="1549" width="32.625" style="845" customWidth="1"/>
    <col min="1550" max="1550" width="10.875" style="845" customWidth="1"/>
    <col min="1551" max="1551" width="0" style="845" hidden="1" customWidth="1"/>
    <col min="1552" max="1552" width="9" style="845" customWidth="1"/>
    <col min="1553" max="1553" width="9" style="845"/>
    <col min="1554" max="1556" width="0" style="845" hidden="1" customWidth="1"/>
    <col min="1557" max="1557" width="11.625" style="845" bestFit="1" customWidth="1"/>
    <col min="1558" max="1792" width="9" style="845"/>
    <col min="1793" max="1793" width="8.375" style="845" customWidth="1"/>
    <col min="1794" max="1794" width="0" style="845" hidden="1" customWidth="1"/>
    <col min="1795" max="1795" width="11" style="845" customWidth="1"/>
    <col min="1796" max="1796" width="31.375" style="845" bestFit="1" customWidth="1"/>
    <col min="1797" max="1797" width="11.125" style="845" customWidth="1"/>
    <col min="1798" max="1804" width="9.125" style="845" customWidth="1"/>
    <col min="1805" max="1805" width="32.625" style="845" customWidth="1"/>
    <col min="1806" max="1806" width="10.875" style="845" customWidth="1"/>
    <col min="1807" max="1807" width="0" style="845" hidden="1" customWidth="1"/>
    <col min="1808" max="1808" width="9" style="845" customWidth="1"/>
    <col min="1809" max="1809" width="9" style="845"/>
    <col min="1810" max="1812" width="0" style="845" hidden="1" customWidth="1"/>
    <col min="1813" max="1813" width="11.625" style="845" bestFit="1" customWidth="1"/>
    <col min="1814" max="2048" width="9" style="845"/>
    <col min="2049" max="2049" width="8.375" style="845" customWidth="1"/>
    <col min="2050" max="2050" width="0" style="845" hidden="1" customWidth="1"/>
    <col min="2051" max="2051" width="11" style="845" customWidth="1"/>
    <col min="2052" max="2052" width="31.375" style="845" bestFit="1" customWidth="1"/>
    <col min="2053" max="2053" width="11.125" style="845" customWidth="1"/>
    <col min="2054" max="2060" width="9.125" style="845" customWidth="1"/>
    <col min="2061" max="2061" width="32.625" style="845" customWidth="1"/>
    <col min="2062" max="2062" width="10.875" style="845" customWidth="1"/>
    <col min="2063" max="2063" width="0" style="845" hidden="1" customWidth="1"/>
    <col min="2064" max="2064" width="9" style="845" customWidth="1"/>
    <col min="2065" max="2065" width="9" style="845"/>
    <col min="2066" max="2068" width="0" style="845" hidden="1" customWidth="1"/>
    <col min="2069" max="2069" width="11.625" style="845" bestFit="1" customWidth="1"/>
    <col min="2070" max="2304" width="9" style="845"/>
    <col min="2305" max="2305" width="8.375" style="845" customWidth="1"/>
    <col min="2306" max="2306" width="0" style="845" hidden="1" customWidth="1"/>
    <col min="2307" max="2307" width="11" style="845" customWidth="1"/>
    <col min="2308" max="2308" width="31.375" style="845" bestFit="1" customWidth="1"/>
    <col min="2309" max="2309" width="11.125" style="845" customWidth="1"/>
    <col min="2310" max="2316" width="9.125" style="845" customWidth="1"/>
    <col min="2317" max="2317" width="32.625" style="845" customWidth="1"/>
    <col min="2318" max="2318" width="10.875" style="845" customWidth="1"/>
    <col min="2319" max="2319" width="0" style="845" hidden="1" customWidth="1"/>
    <col min="2320" max="2320" width="9" style="845" customWidth="1"/>
    <col min="2321" max="2321" width="9" style="845"/>
    <col min="2322" max="2324" width="0" style="845" hidden="1" customWidth="1"/>
    <col min="2325" max="2325" width="11.625" style="845" bestFit="1" customWidth="1"/>
    <col min="2326" max="2560" width="9" style="845"/>
    <col min="2561" max="2561" width="8.375" style="845" customWidth="1"/>
    <col min="2562" max="2562" width="0" style="845" hidden="1" customWidth="1"/>
    <col min="2563" max="2563" width="11" style="845" customWidth="1"/>
    <col min="2564" max="2564" width="31.375" style="845" bestFit="1" customWidth="1"/>
    <col min="2565" max="2565" width="11.125" style="845" customWidth="1"/>
    <col min="2566" max="2572" width="9.125" style="845" customWidth="1"/>
    <col min="2573" max="2573" width="32.625" style="845" customWidth="1"/>
    <col min="2574" max="2574" width="10.875" style="845" customWidth="1"/>
    <col min="2575" max="2575" width="0" style="845" hidden="1" customWidth="1"/>
    <col min="2576" max="2576" width="9" style="845" customWidth="1"/>
    <col min="2577" max="2577" width="9" style="845"/>
    <col min="2578" max="2580" width="0" style="845" hidden="1" customWidth="1"/>
    <col min="2581" max="2581" width="11.625" style="845" bestFit="1" customWidth="1"/>
    <col min="2582" max="2816" width="9" style="845"/>
    <col min="2817" max="2817" width="8.375" style="845" customWidth="1"/>
    <col min="2818" max="2818" width="0" style="845" hidden="1" customWidth="1"/>
    <col min="2819" max="2819" width="11" style="845" customWidth="1"/>
    <col min="2820" max="2820" width="31.375" style="845" bestFit="1" customWidth="1"/>
    <col min="2821" max="2821" width="11.125" style="845" customWidth="1"/>
    <col min="2822" max="2828" width="9.125" style="845" customWidth="1"/>
    <col min="2829" max="2829" width="32.625" style="845" customWidth="1"/>
    <col min="2830" max="2830" width="10.875" style="845" customWidth="1"/>
    <col min="2831" max="2831" width="0" style="845" hidden="1" customWidth="1"/>
    <col min="2832" max="2832" width="9" style="845" customWidth="1"/>
    <col min="2833" max="2833" width="9" style="845"/>
    <col min="2834" max="2836" width="0" style="845" hidden="1" customWidth="1"/>
    <col min="2837" max="2837" width="11.625" style="845" bestFit="1" customWidth="1"/>
    <col min="2838" max="3072" width="9" style="845"/>
    <col min="3073" max="3073" width="8.375" style="845" customWidth="1"/>
    <col min="3074" max="3074" width="0" style="845" hidden="1" customWidth="1"/>
    <col min="3075" max="3075" width="11" style="845" customWidth="1"/>
    <col min="3076" max="3076" width="31.375" style="845" bestFit="1" customWidth="1"/>
    <col min="3077" max="3077" width="11.125" style="845" customWidth="1"/>
    <col min="3078" max="3084" width="9.125" style="845" customWidth="1"/>
    <col min="3085" max="3085" width="32.625" style="845" customWidth="1"/>
    <col min="3086" max="3086" width="10.875" style="845" customWidth="1"/>
    <col min="3087" max="3087" width="0" style="845" hidden="1" customWidth="1"/>
    <col min="3088" max="3088" width="9" style="845" customWidth="1"/>
    <col min="3089" max="3089" width="9" style="845"/>
    <col min="3090" max="3092" width="0" style="845" hidden="1" customWidth="1"/>
    <col min="3093" max="3093" width="11.625" style="845" bestFit="1" customWidth="1"/>
    <col min="3094" max="3328" width="9" style="845"/>
    <col min="3329" max="3329" width="8.375" style="845" customWidth="1"/>
    <col min="3330" max="3330" width="0" style="845" hidden="1" customWidth="1"/>
    <col min="3331" max="3331" width="11" style="845" customWidth="1"/>
    <col min="3332" max="3332" width="31.375" style="845" bestFit="1" customWidth="1"/>
    <col min="3333" max="3333" width="11.125" style="845" customWidth="1"/>
    <col min="3334" max="3340" width="9.125" style="845" customWidth="1"/>
    <col min="3341" max="3341" width="32.625" style="845" customWidth="1"/>
    <col min="3342" max="3342" width="10.875" style="845" customWidth="1"/>
    <col min="3343" max="3343" width="0" style="845" hidden="1" customWidth="1"/>
    <col min="3344" max="3344" width="9" style="845" customWidth="1"/>
    <col min="3345" max="3345" width="9" style="845"/>
    <col min="3346" max="3348" width="0" style="845" hidden="1" customWidth="1"/>
    <col min="3349" max="3349" width="11.625" style="845" bestFit="1" customWidth="1"/>
    <col min="3350" max="3584" width="9" style="845"/>
    <col min="3585" max="3585" width="8.375" style="845" customWidth="1"/>
    <col min="3586" max="3586" width="0" style="845" hidden="1" customWidth="1"/>
    <col min="3587" max="3587" width="11" style="845" customWidth="1"/>
    <col min="3588" max="3588" width="31.375" style="845" bestFit="1" customWidth="1"/>
    <col min="3589" max="3589" width="11.125" style="845" customWidth="1"/>
    <col min="3590" max="3596" width="9.125" style="845" customWidth="1"/>
    <col min="3597" max="3597" width="32.625" style="845" customWidth="1"/>
    <col min="3598" max="3598" width="10.875" style="845" customWidth="1"/>
    <col min="3599" max="3599" width="0" style="845" hidden="1" customWidth="1"/>
    <col min="3600" max="3600" width="9" style="845" customWidth="1"/>
    <col min="3601" max="3601" width="9" style="845"/>
    <col min="3602" max="3604" width="0" style="845" hidden="1" customWidth="1"/>
    <col min="3605" max="3605" width="11.625" style="845" bestFit="1" customWidth="1"/>
    <col min="3606" max="3840" width="9" style="845"/>
    <col min="3841" max="3841" width="8.375" style="845" customWidth="1"/>
    <col min="3842" max="3842" width="0" style="845" hidden="1" customWidth="1"/>
    <col min="3843" max="3843" width="11" style="845" customWidth="1"/>
    <col min="3844" max="3844" width="31.375" style="845" bestFit="1" customWidth="1"/>
    <col min="3845" max="3845" width="11.125" style="845" customWidth="1"/>
    <col min="3846" max="3852" width="9.125" style="845" customWidth="1"/>
    <col min="3853" max="3853" width="32.625" style="845" customWidth="1"/>
    <col min="3854" max="3854" width="10.875" style="845" customWidth="1"/>
    <col min="3855" max="3855" width="0" style="845" hidden="1" customWidth="1"/>
    <col min="3856" max="3856" width="9" style="845" customWidth="1"/>
    <col min="3857" max="3857" width="9" style="845"/>
    <col min="3858" max="3860" width="0" style="845" hidden="1" customWidth="1"/>
    <col min="3861" max="3861" width="11.625" style="845" bestFit="1" customWidth="1"/>
    <col min="3862" max="4096" width="9" style="845"/>
    <col min="4097" max="4097" width="8.375" style="845" customWidth="1"/>
    <col min="4098" max="4098" width="0" style="845" hidden="1" customWidth="1"/>
    <col min="4099" max="4099" width="11" style="845" customWidth="1"/>
    <col min="4100" max="4100" width="31.375" style="845" bestFit="1" customWidth="1"/>
    <col min="4101" max="4101" width="11.125" style="845" customWidth="1"/>
    <col min="4102" max="4108" width="9.125" style="845" customWidth="1"/>
    <col min="4109" max="4109" width="32.625" style="845" customWidth="1"/>
    <col min="4110" max="4110" width="10.875" style="845" customWidth="1"/>
    <col min="4111" max="4111" width="0" style="845" hidden="1" customWidth="1"/>
    <col min="4112" max="4112" width="9" style="845" customWidth="1"/>
    <col min="4113" max="4113" width="9" style="845"/>
    <col min="4114" max="4116" width="0" style="845" hidden="1" customWidth="1"/>
    <col min="4117" max="4117" width="11.625" style="845" bestFit="1" customWidth="1"/>
    <col min="4118" max="4352" width="9" style="845"/>
    <col min="4353" max="4353" width="8.375" style="845" customWidth="1"/>
    <col min="4354" max="4354" width="0" style="845" hidden="1" customWidth="1"/>
    <col min="4355" max="4355" width="11" style="845" customWidth="1"/>
    <col min="4356" max="4356" width="31.375" style="845" bestFit="1" customWidth="1"/>
    <col min="4357" max="4357" width="11.125" style="845" customWidth="1"/>
    <col min="4358" max="4364" width="9.125" style="845" customWidth="1"/>
    <col min="4365" max="4365" width="32.625" style="845" customWidth="1"/>
    <col min="4366" max="4366" width="10.875" style="845" customWidth="1"/>
    <col min="4367" max="4367" width="0" style="845" hidden="1" customWidth="1"/>
    <col min="4368" max="4368" width="9" style="845" customWidth="1"/>
    <col min="4369" max="4369" width="9" style="845"/>
    <col min="4370" max="4372" width="0" style="845" hidden="1" customWidth="1"/>
    <col min="4373" max="4373" width="11.625" style="845" bestFit="1" customWidth="1"/>
    <col min="4374" max="4608" width="9" style="845"/>
    <col min="4609" max="4609" width="8.375" style="845" customWidth="1"/>
    <col min="4610" max="4610" width="0" style="845" hidden="1" customWidth="1"/>
    <col min="4611" max="4611" width="11" style="845" customWidth="1"/>
    <col min="4612" max="4612" width="31.375" style="845" bestFit="1" customWidth="1"/>
    <col min="4613" max="4613" width="11.125" style="845" customWidth="1"/>
    <col min="4614" max="4620" width="9.125" style="845" customWidth="1"/>
    <col min="4621" max="4621" width="32.625" style="845" customWidth="1"/>
    <col min="4622" max="4622" width="10.875" style="845" customWidth="1"/>
    <col min="4623" max="4623" width="0" style="845" hidden="1" customWidth="1"/>
    <col min="4624" max="4624" width="9" style="845" customWidth="1"/>
    <col min="4625" max="4625" width="9" style="845"/>
    <col min="4626" max="4628" width="0" style="845" hidden="1" customWidth="1"/>
    <col min="4629" max="4629" width="11.625" style="845" bestFit="1" customWidth="1"/>
    <col min="4630" max="4864" width="9" style="845"/>
    <col min="4865" max="4865" width="8.375" style="845" customWidth="1"/>
    <col min="4866" max="4866" width="0" style="845" hidden="1" customWidth="1"/>
    <col min="4867" max="4867" width="11" style="845" customWidth="1"/>
    <col min="4868" max="4868" width="31.375" style="845" bestFit="1" customWidth="1"/>
    <col min="4869" max="4869" width="11.125" style="845" customWidth="1"/>
    <col min="4870" max="4876" width="9.125" style="845" customWidth="1"/>
    <col min="4877" max="4877" width="32.625" style="845" customWidth="1"/>
    <col min="4878" max="4878" width="10.875" style="845" customWidth="1"/>
    <col min="4879" max="4879" width="0" style="845" hidden="1" customWidth="1"/>
    <col min="4880" max="4880" width="9" style="845" customWidth="1"/>
    <col min="4881" max="4881" width="9" style="845"/>
    <col min="4882" max="4884" width="0" style="845" hidden="1" customWidth="1"/>
    <col min="4885" max="4885" width="11.625" style="845" bestFit="1" customWidth="1"/>
    <col min="4886" max="5120" width="9" style="845"/>
    <col min="5121" max="5121" width="8.375" style="845" customWidth="1"/>
    <col min="5122" max="5122" width="0" style="845" hidden="1" customWidth="1"/>
    <col min="5123" max="5123" width="11" style="845" customWidth="1"/>
    <col min="5124" max="5124" width="31.375" style="845" bestFit="1" customWidth="1"/>
    <col min="5125" max="5125" width="11.125" style="845" customWidth="1"/>
    <col min="5126" max="5132" width="9.125" style="845" customWidth="1"/>
    <col min="5133" max="5133" width="32.625" style="845" customWidth="1"/>
    <col min="5134" max="5134" width="10.875" style="845" customWidth="1"/>
    <col min="5135" max="5135" width="0" style="845" hidden="1" customWidth="1"/>
    <col min="5136" max="5136" width="9" style="845" customWidth="1"/>
    <col min="5137" max="5137" width="9" style="845"/>
    <col min="5138" max="5140" width="0" style="845" hidden="1" customWidth="1"/>
    <col min="5141" max="5141" width="11.625" style="845" bestFit="1" customWidth="1"/>
    <col min="5142" max="5376" width="9" style="845"/>
    <col min="5377" max="5377" width="8.375" style="845" customWidth="1"/>
    <col min="5378" max="5378" width="0" style="845" hidden="1" customWidth="1"/>
    <col min="5379" max="5379" width="11" style="845" customWidth="1"/>
    <col min="5380" max="5380" width="31.375" style="845" bestFit="1" customWidth="1"/>
    <col min="5381" max="5381" width="11.125" style="845" customWidth="1"/>
    <col min="5382" max="5388" width="9.125" style="845" customWidth="1"/>
    <col min="5389" max="5389" width="32.625" style="845" customWidth="1"/>
    <col min="5390" max="5390" width="10.875" style="845" customWidth="1"/>
    <col min="5391" max="5391" width="0" style="845" hidden="1" customWidth="1"/>
    <col min="5392" max="5392" width="9" style="845" customWidth="1"/>
    <col min="5393" max="5393" width="9" style="845"/>
    <col min="5394" max="5396" width="0" style="845" hidden="1" customWidth="1"/>
    <col min="5397" max="5397" width="11.625" style="845" bestFit="1" customWidth="1"/>
    <col min="5398" max="5632" width="9" style="845"/>
    <col min="5633" max="5633" width="8.375" style="845" customWidth="1"/>
    <col min="5634" max="5634" width="0" style="845" hidden="1" customWidth="1"/>
    <col min="5635" max="5635" width="11" style="845" customWidth="1"/>
    <col min="5636" max="5636" width="31.375" style="845" bestFit="1" customWidth="1"/>
    <col min="5637" max="5637" width="11.125" style="845" customWidth="1"/>
    <col min="5638" max="5644" width="9.125" style="845" customWidth="1"/>
    <col min="5645" max="5645" width="32.625" style="845" customWidth="1"/>
    <col min="5646" max="5646" width="10.875" style="845" customWidth="1"/>
    <col min="5647" max="5647" width="0" style="845" hidden="1" customWidth="1"/>
    <col min="5648" max="5648" width="9" style="845" customWidth="1"/>
    <col min="5649" max="5649" width="9" style="845"/>
    <col min="5650" max="5652" width="0" style="845" hidden="1" customWidth="1"/>
    <col min="5653" max="5653" width="11.625" style="845" bestFit="1" customWidth="1"/>
    <col min="5654" max="5888" width="9" style="845"/>
    <col min="5889" max="5889" width="8.375" style="845" customWidth="1"/>
    <col min="5890" max="5890" width="0" style="845" hidden="1" customWidth="1"/>
    <col min="5891" max="5891" width="11" style="845" customWidth="1"/>
    <col min="5892" max="5892" width="31.375" style="845" bestFit="1" customWidth="1"/>
    <col min="5893" max="5893" width="11.125" style="845" customWidth="1"/>
    <col min="5894" max="5900" width="9.125" style="845" customWidth="1"/>
    <col min="5901" max="5901" width="32.625" style="845" customWidth="1"/>
    <col min="5902" max="5902" width="10.875" style="845" customWidth="1"/>
    <col min="5903" max="5903" width="0" style="845" hidden="1" customWidth="1"/>
    <col min="5904" max="5904" width="9" style="845" customWidth="1"/>
    <col min="5905" max="5905" width="9" style="845"/>
    <col min="5906" max="5908" width="0" style="845" hidden="1" customWidth="1"/>
    <col min="5909" max="5909" width="11.625" style="845" bestFit="1" customWidth="1"/>
    <col min="5910" max="6144" width="9" style="845"/>
    <col min="6145" max="6145" width="8.375" style="845" customWidth="1"/>
    <col min="6146" max="6146" width="0" style="845" hidden="1" customWidth="1"/>
    <col min="6147" max="6147" width="11" style="845" customWidth="1"/>
    <col min="6148" max="6148" width="31.375" style="845" bestFit="1" customWidth="1"/>
    <col min="6149" max="6149" width="11.125" style="845" customWidth="1"/>
    <col min="6150" max="6156" width="9.125" style="845" customWidth="1"/>
    <col min="6157" max="6157" width="32.625" style="845" customWidth="1"/>
    <col min="6158" max="6158" width="10.875" style="845" customWidth="1"/>
    <col min="6159" max="6159" width="0" style="845" hidden="1" customWidth="1"/>
    <col min="6160" max="6160" width="9" style="845" customWidth="1"/>
    <col min="6161" max="6161" width="9" style="845"/>
    <col min="6162" max="6164" width="0" style="845" hidden="1" customWidth="1"/>
    <col min="6165" max="6165" width="11.625" style="845" bestFit="1" customWidth="1"/>
    <col min="6166" max="6400" width="9" style="845"/>
    <col min="6401" max="6401" width="8.375" style="845" customWidth="1"/>
    <col min="6402" max="6402" width="0" style="845" hidden="1" customWidth="1"/>
    <col min="6403" max="6403" width="11" style="845" customWidth="1"/>
    <col min="6404" max="6404" width="31.375" style="845" bestFit="1" customWidth="1"/>
    <col min="6405" max="6405" width="11.125" style="845" customWidth="1"/>
    <col min="6406" max="6412" width="9.125" style="845" customWidth="1"/>
    <col min="6413" max="6413" width="32.625" style="845" customWidth="1"/>
    <col min="6414" max="6414" width="10.875" style="845" customWidth="1"/>
    <col min="6415" max="6415" width="0" style="845" hidden="1" customWidth="1"/>
    <col min="6416" max="6416" width="9" style="845" customWidth="1"/>
    <col min="6417" max="6417" width="9" style="845"/>
    <col min="6418" max="6420" width="0" style="845" hidden="1" customWidth="1"/>
    <col min="6421" max="6421" width="11.625" style="845" bestFit="1" customWidth="1"/>
    <col min="6422" max="6656" width="9" style="845"/>
    <col min="6657" max="6657" width="8.375" style="845" customWidth="1"/>
    <col min="6658" max="6658" width="0" style="845" hidden="1" customWidth="1"/>
    <col min="6659" max="6659" width="11" style="845" customWidth="1"/>
    <col min="6660" max="6660" width="31.375" style="845" bestFit="1" customWidth="1"/>
    <col min="6661" max="6661" width="11.125" style="845" customWidth="1"/>
    <col min="6662" max="6668" width="9.125" style="845" customWidth="1"/>
    <col min="6669" max="6669" width="32.625" style="845" customWidth="1"/>
    <col min="6670" max="6670" width="10.875" style="845" customWidth="1"/>
    <col min="6671" max="6671" width="0" style="845" hidden="1" customWidth="1"/>
    <col min="6672" max="6672" width="9" style="845" customWidth="1"/>
    <col min="6673" max="6673" width="9" style="845"/>
    <col min="6674" max="6676" width="0" style="845" hidden="1" customWidth="1"/>
    <col min="6677" max="6677" width="11.625" style="845" bestFit="1" customWidth="1"/>
    <col min="6678" max="6912" width="9" style="845"/>
    <col min="6913" max="6913" width="8.375" style="845" customWidth="1"/>
    <col min="6914" max="6914" width="0" style="845" hidden="1" customWidth="1"/>
    <col min="6915" max="6915" width="11" style="845" customWidth="1"/>
    <col min="6916" max="6916" width="31.375" style="845" bestFit="1" customWidth="1"/>
    <col min="6917" max="6917" width="11.125" style="845" customWidth="1"/>
    <col min="6918" max="6924" width="9.125" style="845" customWidth="1"/>
    <col min="6925" max="6925" width="32.625" style="845" customWidth="1"/>
    <col min="6926" max="6926" width="10.875" style="845" customWidth="1"/>
    <col min="6927" max="6927" width="0" style="845" hidden="1" customWidth="1"/>
    <col min="6928" max="6928" width="9" style="845" customWidth="1"/>
    <col min="6929" max="6929" width="9" style="845"/>
    <col min="6930" max="6932" width="0" style="845" hidden="1" customWidth="1"/>
    <col min="6933" max="6933" width="11.625" style="845" bestFit="1" customWidth="1"/>
    <col min="6934" max="7168" width="9" style="845"/>
    <col min="7169" max="7169" width="8.375" style="845" customWidth="1"/>
    <col min="7170" max="7170" width="0" style="845" hidden="1" customWidth="1"/>
    <col min="7171" max="7171" width="11" style="845" customWidth="1"/>
    <col min="7172" max="7172" width="31.375" style="845" bestFit="1" customWidth="1"/>
    <col min="7173" max="7173" width="11.125" style="845" customWidth="1"/>
    <col min="7174" max="7180" width="9.125" style="845" customWidth="1"/>
    <col min="7181" max="7181" width="32.625" style="845" customWidth="1"/>
    <col min="7182" max="7182" width="10.875" style="845" customWidth="1"/>
    <col min="7183" max="7183" width="0" style="845" hidden="1" customWidth="1"/>
    <col min="7184" max="7184" width="9" style="845" customWidth="1"/>
    <col min="7185" max="7185" width="9" style="845"/>
    <col min="7186" max="7188" width="0" style="845" hidden="1" customWidth="1"/>
    <col min="7189" max="7189" width="11.625" style="845" bestFit="1" customWidth="1"/>
    <col min="7190" max="7424" width="9" style="845"/>
    <col min="7425" max="7425" width="8.375" style="845" customWidth="1"/>
    <col min="7426" max="7426" width="0" style="845" hidden="1" customWidth="1"/>
    <col min="7427" max="7427" width="11" style="845" customWidth="1"/>
    <col min="7428" max="7428" width="31.375" style="845" bestFit="1" customWidth="1"/>
    <col min="7429" max="7429" width="11.125" style="845" customWidth="1"/>
    <col min="7430" max="7436" width="9.125" style="845" customWidth="1"/>
    <col min="7437" max="7437" width="32.625" style="845" customWidth="1"/>
    <col min="7438" max="7438" width="10.875" style="845" customWidth="1"/>
    <col min="7439" max="7439" width="0" style="845" hidden="1" customWidth="1"/>
    <col min="7440" max="7440" width="9" style="845" customWidth="1"/>
    <col min="7441" max="7441" width="9" style="845"/>
    <col min="7442" max="7444" width="0" style="845" hidden="1" customWidth="1"/>
    <col min="7445" max="7445" width="11.625" style="845" bestFit="1" customWidth="1"/>
    <col min="7446" max="7680" width="9" style="845"/>
    <col min="7681" max="7681" width="8.375" style="845" customWidth="1"/>
    <col min="7682" max="7682" width="0" style="845" hidden="1" customWidth="1"/>
    <col min="7683" max="7683" width="11" style="845" customWidth="1"/>
    <col min="7684" max="7684" width="31.375" style="845" bestFit="1" customWidth="1"/>
    <col min="7685" max="7685" width="11.125" style="845" customWidth="1"/>
    <col min="7686" max="7692" width="9.125" style="845" customWidth="1"/>
    <col min="7693" max="7693" width="32.625" style="845" customWidth="1"/>
    <col min="7694" max="7694" width="10.875" style="845" customWidth="1"/>
    <col min="7695" max="7695" width="0" style="845" hidden="1" customWidth="1"/>
    <col min="7696" max="7696" width="9" style="845" customWidth="1"/>
    <col min="7697" max="7697" width="9" style="845"/>
    <col min="7698" max="7700" width="0" style="845" hidden="1" customWidth="1"/>
    <col min="7701" max="7701" width="11.625" style="845" bestFit="1" customWidth="1"/>
    <col min="7702" max="7936" width="9" style="845"/>
    <col min="7937" max="7937" width="8.375" style="845" customWidth="1"/>
    <col min="7938" max="7938" width="0" style="845" hidden="1" customWidth="1"/>
    <col min="7939" max="7939" width="11" style="845" customWidth="1"/>
    <col min="7940" max="7940" width="31.375" style="845" bestFit="1" customWidth="1"/>
    <col min="7941" max="7941" width="11.125" style="845" customWidth="1"/>
    <col min="7942" max="7948" width="9.125" style="845" customWidth="1"/>
    <col min="7949" max="7949" width="32.625" style="845" customWidth="1"/>
    <col min="7950" max="7950" width="10.875" style="845" customWidth="1"/>
    <col min="7951" max="7951" width="0" style="845" hidden="1" customWidth="1"/>
    <col min="7952" max="7952" width="9" style="845" customWidth="1"/>
    <col min="7953" max="7953" width="9" style="845"/>
    <col min="7954" max="7956" width="0" style="845" hidden="1" customWidth="1"/>
    <col min="7957" max="7957" width="11.625" style="845" bestFit="1" customWidth="1"/>
    <col min="7958" max="8192" width="9" style="845"/>
    <col min="8193" max="8193" width="8.375" style="845" customWidth="1"/>
    <col min="8194" max="8194" width="0" style="845" hidden="1" customWidth="1"/>
    <col min="8195" max="8195" width="11" style="845" customWidth="1"/>
    <col min="8196" max="8196" width="31.375" style="845" bestFit="1" customWidth="1"/>
    <col min="8197" max="8197" width="11.125" style="845" customWidth="1"/>
    <col min="8198" max="8204" width="9.125" style="845" customWidth="1"/>
    <col min="8205" max="8205" width="32.625" style="845" customWidth="1"/>
    <col min="8206" max="8206" width="10.875" style="845" customWidth="1"/>
    <col min="8207" max="8207" width="0" style="845" hidden="1" customWidth="1"/>
    <col min="8208" max="8208" width="9" style="845" customWidth="1"/>
    <col min="8209" max="8209" width="9" style="845"/>
    <col min="8210" max="8212" width="0" style="845" hidden="1" customWidth="1"/>
    <col min="8213" max="8213" width="11.625" style="845" bestFit="1" customWidth="1"/>
    <col min="8214" max="8448" width="9" style="845"/>
    <col min="8449" max="8449" width="8.375" style="845" customWidth="1"/>
    <col min="8450" max="8450" width="0" style="845" hidden="1" customWidth="1"/>
    <col min="8451" max="8451" width="11" style="845" customWidth="1"/>
    <col min="8452" max="8452" width="31.375" style="845" bestFit="1" customWidth="1"/>
    <col min="8453" max="8453" width="11.125" style="845" customWidth="1"/>
    <col min="8454" max="8460" width="9.125" style="845" customWidth="1"/>
    <col min="8461" max="8461" width="32.625" style="845" customWidth="1"/>
    <col min="8462" max="8462" width="10.875" style="845" customWidth="1"/>
    <col min="8463" max="8463" width="0" style="845" hidden="1" customWidth="1"/>
    <col min="8464" max="8464" width="9" style="845" customWidth="1"/>
    <col min="8465" max="8465" width="9" style="845"/>
    <col min="8466" max="8468" width="0" style="845" hidden="1" customWidth="1"/>
    <col min="8469" max="8469" width="11.625" style="845" bestFit="1" customWidth="1"/>
    <col min="8470" max="8704" width="9" style="845"/>
    <col min="8705" max="8705" width="8.375" style="845" customWidth="1"/>
    <col min="8706" max="8706" width="0" style="845" hidden="1" customWidth="1"/>
    <col min="8707" max="8707" width="11" style="845" customWidth="1"/>
    <col min="8708" max="8708" width="31.375" style="845" bestFit="1" customWidth="1"/>
    <col min="8709" max="8709" width="11.125" style="845" customWidth="1"/>
    <col min="8710" max="8716" width="9.125" style="845" customWidth="1"/>
    <col min="8717" max="8717" width="32.625" style="845" customWidth="1"/>
    <col min="8718" max="8718" width="10.875" style="845" customWidth="1"/>
    <col min="8719" max="8719" width="0" style="845" hidden="1" customWidth="1"/>
    <col min="8720" max="8720" width="9" style="845" customWidth="1"/>
    <col min="8721" max="8721" width="9" style="845"/>
    <col min="8722" max="8724" width="0" style="845" hidden="1" customWidth="1"/>
    <col min="8725" max="8725" width="11.625" style="845" bestFit="1" customWidth="1"/>
    <col min="8726" max="8960" width="9" style="845"/>
    <col min="8961" max="8961" width="8.375" style="845" customWidth="1"/>
    <col min="8962" max="8962" width="0" style="845" hidden="1" customWidth="1"/>
    <col min="8963" max="8963" width="11" style="845" customWidth="1"/>
    <col min="8964" max="8964" width="31.375" style="845" bestFit="1" customWidth="1"/>
    <col min="8965" max="8965" width="11.125" style="845" customWidth="1"/>
    <col min="8966" max="8972" width="9.125" style="845" customWidth="1"/>
    <col min="8973" max="8973" width="32.625" style="845" customWidth="1"/>
    <col min="8974" max="8974" width="10.875" style="845" customWidth="1"/>
    <col min="8975" max="8975" width="0" style="845" hidden="1" customWidth="1"/>
    <col min="8976" max="8976" width="9" style="845" customWidth="1"/>
    <col min="8977" max="8977" width="9" style="845"/>
    <col min="8978" max="8980" width="0" style="845" hidden="1" customWidth="1"/>
    <col min="8981" max="8981" width="11.625" style="845" bestFit="1" customWidth="1"/>
    <col min="8982" max="9216" width="9" style="845"/>
    <col min="9217" max="9217" width="8.375" style="845" customWidth="1"/>
    <col min="9218" max="9218" width="0" style="845" hidden="1" customWidth="1"/>
    <col min="9219" max="9219" width="11" style="845" customWidth="1"/>
    <col min="9220" max="9220" width="31.375" style="845" bestFit="1" customWidth="1"/>
    <col min="9221" max="9221" width="11.125" style="845" customWidth="1"/>
    <col min="9222" max="9228" width="9.125" style="845" customWidth="1"/>
    <col min="9229" max="9229" width="32.625" style="845" customWidth="1"/>
    <col min="9230" max="9230" width="10.875" style="845" customWidth="1"/>
    <col min="9231" max="9231" width="0" style="845" hidden="1" customWidth="1"/>
    <col min="9232" max="9232" width="9" style="845" customWidth="1"/>
    <col min="9233" max="9233" width="9" style="845"/>
    <col min="9234" max="9236" width="0" style="845" hidden="1" customWidth="1"/>
    <col min="9237" max="9237" width="11.625" style="845" bestFit="1" customWidth="1"/>
    <col min="9238" max="9472" width="9" style="845"/>
    <col min="9473" max="9473" width="8.375" style="845" customWidth="1"/>
    <col min="9474" max="9474" width="0" style="845" hidden="1" customWidth="1"/>
    <col min="9475" max="9475" width="11" style="845" customWidth="1"/>
    <col min="9476" max="9476" width="31.375" style="845" bestFit="1" customWidth="1"/>
    <col min="9477" max="9477" width="11.125" style="845" customWidth="1"/>
    <col min="9478" max="9484" width="9.125" style="845" customWidth="1"/>
    <col min="9485" max="9485" width="32.625" style="845" customWidth="1"/>
    <col min="9486" max="9486" width="10.875" style="845" customWidth="1"/>
    <col min="9487" max="9487" width="0" style="845" hidden="1" customWidth="1"/>
    <col min="9488" max="9488" width="9" style="845" customWidth="1"/>
    <col min="9489" max="9489" width="9" style="845"/>
    <col min="9490" max="9492" width="0" style="845" hidden="1" customWidth="1"/>
    <col min="9493" max="9493" width="11.625" style="845" bestFit="1" customWidth="1"/>
    <col min="9494" max="9728" width="9" style="845"/>
    <col min="9729" max="9729" width="8.375" style="845" customWidth="1"/>
    <col min="9730" max="9730" width="0" style="845" hidden="1" customWidth="1"/>
    <col min="9731" max="9731" width="11" style="845" customWidth="1"/>
    <col min="9732" max="9732" width="31.375" style="845" bestFit="1" customWidth="1"/>
    <col min="9733" max="9733" width="11.125" style="845" customWidth="1"/>
    <col min="9734" max="9740" width="9.125" style="845" customWidth="1"/>
    <col min="9741" max="9741" width="32.625" style="845" customWidth="1"/>
    <col min="9742" max="9742" width="10.875" style="845" customWidth="1"/>
    <col min="9743" max="9743" width="0" style="845" hidden="1" customWidth="1"/>
    <col min="9744" max="9744" width="9" style="845" customWidth="1"/>
    <col min="9745" max="9745" width="9" style="845"/>
    <col min="9746" max="9748" width="0" style="845" hidden="1" customWidth="1"/>
    <col min="9749" max="9749" width="11.625" style="845" bestFit="1" customWidth="1"/>
    <col min="9750" max="9984" width="9" style="845"/>
    <col min="9985" max="9985" width="8.375" style="845" customWidth="1"/>
    <col min="9986" max="9986" width="0" style="845" hidden="1" customWidth="1"/>
    <col min="9987" max="9987" width="11" style="845" customWidth="1"/>
    <col min="9988" max="9988" width="31.375" style="845" bestFit="1" customWidth="1"/>
    <col min="9989" max="9989" width="11.125" style="845" customWidth="1"/>
    <col min="9990" max="9996" width="9.125" style="845" customWidth="1"/>
    <col min="9997" max="9997" width="32.625" style="845" customWidth="1"/>
    <col min="9998" max="9998" width="10.875" style="845" customWidth="1"/>
    <col min="9999" max="9999" width="0" style="845" hidden="1" customWidth="1"/>
    <col min="10000" max="10000" width="9" style="845" customWidth="1"/>
    <col min="10001" max="10001" width="9" style="845"/>
    <col min="10002" max="10004" width="0" style="845" hidden="1" customWidth="1"/>
    <col min="10005" max="10005" width="11.625" style="845" bestFit="1" customWidth="1"/>
    <col min="10006" max="10240" width="9" style="845"/>
    <col min="10241" max="10241" width="8.375" style="845" customWidth="1"/>
    <col min="10242" max="10242" width="0" style="845" hidden="1" customWidth="1"/>
    <col min="10243" max="10243" width="11" style="845" customWidth="1"/>
    <col min="10244" max="10244" width="31.375" style="845" bestFit="1" customWidth="1"/>
    <col min="10245" max="10245" width="11.125" style="845" customWidth="1"/>
    <col min="10246" max="10252" width="9.125" style="845" customWidth="1"/>
    <col min="10253" max="10253" width="32.625" style="845" customWidth="1"/>
    <col min="10254" max="10254" width="10.875" style="845" customWidth="1"/>
    <col min="10255" max="10255" width="0" style="845" hidden="1" customWidth="1"/>
    <col min="10256" max="10256" width="9" style="845" customWidth="1"/>
    <col min="10257" max="10257" width="9" style="845"/>
    <col min="10258" max="10260" width="0" style="845" hidden="1" customWidth="1"/>
    <col min="10261" max="10261" width="11.625" style="845" bestFit="1" customWidth="1"/>
    <col min="10262" max="10496" width="9" style="845"/>
    <col min="10497" max="10497" width="8.375" style="845" customWidth="1"/>
    <col min="10498" max="10498" width="0" style="845" hidden="1" customWidth="1"/>
    <col min="10499" max="10499" width="11" style="845" customWidth="1"/>
    <col min="10500" max="10500" width="31.375" style="845" bestFit="1" customWidth="1"/>
    <col min="10501" max="10501" width="11.125" style="845" customWidth="1"/>
    <col min="10502" max="10508" width="9.125" style="845" customWidth="1"/>
    <col min="10509" max="10509" width="32.625" style="845" customWidth="1"/>
    <col min="10510" max="10510" width="10.875" style="845" customWidth="1"/>
    <col min="10511" max="10511" width="0" style="845" hidden="1" customWidth="1"/>
    <col min="10512" max="10512" width="9" style="845" customWidth="1"/>
    <col min="10513" max="10513" width="9" style="845"/>
    <col min="10514" max="10516" width="0" style="845" hidden="1" customWidth="1"/>
    <col min="10517" max="10517" width="11.625" style="845" bestFit="1" customWidth="1"/>
    <col min="10518" max="10752" width="9" style="845"/>
    <col min="10753" max="10753" width="8.375" style="845" customWidth="1"/>
    <col min="10754" max="10754" width="0" style="845" hidden="1" customWidth="1"/>
    <col min="10755" max="10755" width="11" style="845" customWidth="1"/>
    <col min="10756" max="10756" width="31.375" style="845" bestFit="1" customWidth="1"/>
    <col min="10757" max="10757" width="11.125" style="845" customWidth="1"/>
    <col min="10758" max="10764" width="9.125" style="845" customWidth="1"/>
    <col min="10765" max="10765" width="32.625" style="845" customWidth="1"/>
    <col min="10766" max="10766" width="10.875" style="845" customWidth="1"/>
    <col min="10767" max="10767" width="0" style="845" hidden="1" customWidth="1"/>
    <col min="10768" max="10768" width="9" style="845" customWidth="1"/>
    <col min="10769" max="10769" width="9" style="845"/>
    <col min="10770" max="10772" width="0" style="845" hidden="1" customWidth="1"/>
    <col min="10773" max="10773" width="11.625" style="845" bestFit="1" customWidth="1"/>
    <col min="10774" max="11008" width="9" style="845"/>
    <col min="11009" max="11009" width="8.375" style="845" customWidth="1"/>
    <col min="11010" max="11010" width="0" style="845" hidden="1" customWidth="1"/>
    <col min="11011" max="11011" width="11" style="845" customWidth="1"/>
    <col min="11012" max="11012" width="31.375" style="845" bestFit="1" customWidth="1"/>
    <col min="11013" max="11013" width="11.125" style="845" customWidth="1"/>
    <col min="11014" max="11020" width="9.125" style="845" customWidth="1"/>
    <col min="11021" max="11021" width="32.625" style="845" customWidth="1"/>
    <col min="11022" max="11022" width="10.875" style="845" customWidth="1"/>
    <col min="11023" max="11023" width="0" style="845" hidden="1" customWidth="1"/>
    <col min="11024" max="11024" width="9" style="845" customWidth="1"/>
    <col min="11025" max="11025" width="9" style="845"/>
    <col min="11026" max="11028" width="0" style="845" hidden="1" customWidth="1"/>
    <col min="11029" max="11029" width="11.625" style="845" bestFit="1" customWidth="1"/>
    <col min="11030" max="11264" width="9" style="845"/>
    <col min="11265" max="11265" width="8.375" style="845" customWidth="1"/>
    <col min="11266" max="11266" width="0" style="845" hidden="1" customWidth="1"/>
    <col min="11267" max="11267" width="11" style="845" customWidth="1"/>
    <col min="11268" max="11268" width="31.375" style="845" bestFit="1" customWidth="1"/>
    <col min="11269" max="11269" width="11.125" style="845" customWidth="1"/>
    <col min="11270" max="11276" width="9.125" style="845" customWidth="1"/>
    <col min="11277" max="11277" width="32.625" style="845" customWidth="1"/>
    <col min="11278" max="11278" width="10.875" style="845" customWidth="1"/>
    <col min="11279" max="11279" width="0" style="845" hidden="1" customWidth="1"/>
    <col min="11280" max="11280" width="9" style="845" customWidth="1"/>
    <col min="11281" max="11281" width="9" style="845"/>
    <col min="11282" max="11284" width="0" style="845" hidden="1" customWidth="1"/>
    <col min="11285" max="11285" width="11.625" style="845" bestFit="1" customWidth="1"/>
    <col min="11286" max="11520" width="9" style="845"/>
    <col min="11521" max="11521" width="8.375" style="845" customWidth="1"/>
    <col min="11522" max="11522" width="0" style="845" hidden="1" customWidth="1"/>
    <col min="11523" max="11523" width="11" style="845" customWidth="1"/>
    <col min="11524" max="11524" width="31.375" style="845" bestFit="1" customWidth="1"/>
    <col min="11525" max="11525" width="11.125" style="845" customWidth="1"/>
    <col min="11526" max="11532" width="9.125" style="845" customWidth="1"/>
    <col min="11533" max="11533" width="32.625" style="845" customWidth="1"/>
    <col min="11534" max="11534" width="10.875" style="845" customWidth="1"/>
    <col min="11535" max="11535" width="0" style="845" hidden="1" customWidth="1"/>
    <col min="11536" max="11536" width="9" style="845" customWidth="1"/>
    <col min="11537" max="11537" width="9" style="845"/>
    <col min="11538" max="11540" width="0" style="845" hidden="1" customWidth="1"/>
    <col min="11541" max="11541" width="11.625" style="845" bestFit="1" customWidth="1"/>
    <col min="11542" max="11776" width="9" style="845"/>
    <col min="11777" max="11777" width="8.375" style="845" customWidth="1"/>
    <col min="11778" max="11778" width="0" style="845" hidden="1" customWidth="1"/>
    <col min="11779" max="11779" width="11" style="845" customWidth="1"/>
    <col min="11780" max="11780" width="31.375" style="845" bestFit="1" customWidth="1"/>
    <col min="11781" max="11781" width="11.125" style="845" customWidth="1"/>
    <col min="11782" max="11788" width="9.125" style="845" customWidth="1"/>
    <col min="11789" max="11789" width="32.625" style="845" customWidth="1"/>
    <col min="11790" max="11790" width="10.875" style="845" customWidth="1"/>
    <col min="11791" max="11791" width="0" style="845" hidden="1" customWidth="1"/>
    <col min="11792" max="11792" width="9" style="845" customWidth="1"/>
    <col min="11793" max="11793" width="9" style="845"/>
    <col min="11794" max="11796" width="0" style="845" hidden="1" customWidth="1"/>
    <col min="11797" max="11797" width="11.625" style="845" bestFit="1" customWidth="1"/>
    <col min="11798" max="12032" width="9" style="845"/>
    <col min="12033" max="12033" width="8.375" style="845" customWidth="1"/>
    <col min="12034" max="12034" width="0" style="845" hidden="1" customWidth="1"/>
    <col min="12035" max="12035" width="11" style="845" customWidth="1"/>
    <col min="12036" max="12036" width="31.375" style="845" bestFit="1" customWidth="1"/>
    <col min="12037" max="12037" width="11.125" style="845" customWidth="1"/>
    <col min="12038" max="12044" width="9.125" style="845" customWidth="1"/>
    <col min="12045" max="12045" width="32.625" style="845" customWidth="1"/>
    <col min="12046" max="12046" width="10.875" style="845" customWidth="1"/>
    <col min="12047" max="12047" width="0" style="845" hidden="1" customWidth="1"/>
    <col min="12048" max="12048" width="9" style="845" customWidth="1"/>
    <col min="12049" max="12049" width="9" style="845"/>
    <col min="12050" max="12052" width="0" style="845" hidden="1" customWidth="1"/>
    <col min="12053" max="12053" width="11.625" style="845" bestFit="1" customWidth="1"/>
    <col min="12054" max="12288" width="9" style="845"/>
    <col min="12289" max="12289" width="8.375" style="845" customWidth="1"/>
    <col min="12290" max="12290" width="0" style="845" hidden="1" customWidth="1"/>
    <col min="12291" max="12291" width="11" style="845" customWidth="1"/>
    <col min="12292" max="12292" width="31.375" style="845" bestFit="1" customWidth="1"/>
    <col min="12293" max="12293" width="11.125" style="845" customWidth="1"/>
    <col min="12294" max="12300" width="9.125" style="845" customWidth="1"/>
    <col min="12301" max="12301" width="32.625" style="845" customWidth="1"/>
    <col min="12302" max="12302" width="10.875" style="845" customWidth="1"/>
    <col min="12303" max="12303" width="0" style="845" hidden="1" customWidth="1"/>
    <col min="12304" max="12304" width="9" style="845" customWidth="1"/>
    <col min="12305" max="12305" width="9" style="845"/>
    <col min="12306" max="12308" width="0" style="845" hidden="1" customWidth="1"/>
    <col min="12309" max="12309" width="11.625" style="845" bestFit="1" customWidth="1"/>
    <col min="12310" max="12544" width="9" style="845"/>
    <col min="12545" max="12545" width="8.375" style="845" customWidth="1"/>
    <col min="12546" max="12546" width="0" style="845" hidden="1" customWidth="1"/>
    <col min="12547" max="12547" width="11" style="845" customWidth="1"/>
    <col min="12548" max="12548" width="31.375" style="845" bestFit="1" customWidth="1"/>
    <col min="12549" max="12549" width="11.125" style="845" customWidth="1"/>
    <col min="12550" max="12556" width="9.125" style="845" customWidth="1"/>
    <col min="12557" max="12557" width="32.625" style="845" customWidth="1"/>
    <col min="12558" max="12558" width="10.875" style="845" customWidth="1"/>
    <col min="12559" max="12559" width="0" style="845" hidden="1" customWidth="1"/>
    <col min="12560" max="12560" width="9" style="845" customWidth="1"/>
    <col min="12561" max="12561" width="9" style="845"/>
    <col min="12562" max="12564" width="0" style="845" hidden="1" customWidth="1"/>
    <col min="12565" max="12565" width="11.625" style="845" bestFit="1" customWidth="1"/>
    <col min="12566" max="12800" width="9" style="845"/>
    <col min="12801" max="12801" width="8.375" style="845" customWidth="1"/>
    <col min="12802" max="12802" width="0" style="845" hidden="1" customWidth="1"/>
    <col min="12803" max="12803" width="11" style="845" customWidth="1"/>
    <col min="12804" max="12804" width="31.375" style="845" bestFit="1" customWidth="1"/>
    <col min="12805" max="12805" width="11.125" style="845" customWidth="1"/>
    <col min="12806" max="12812" width="9.125" style="845" customWidth="1"/>
    <col min="12813" max="12813" width="32.625" style="845" customWidth="1"/>
    <col min="12814" max="12814" width="10.875" style="845" customWidth="1"/>
    <col min="12815" max="12815" width="0" style="845" hidden="1" customWidth="1"/>
    <col min="12816" max="12816" width="9" style="845" customWidth="1"/>
    <col min="12817" max="12817" width="9" style="845"/>
    <col min="12818" max="12820" width="0" style="845" hidden="1" customWidth="1"/>
    <col min="12821" max="12821" width="11.625" style="845" bestFit="1" customWidth="1"/>
    <col min="12822" max="13056" width="9" style="845"/>
    <col min="13057" max="13057" width="8.375" style="845" customWidth="1"/>
    <col min="13058" max="13058" width="0" style="845" hidden="1" customWidth="1"/>
    <col min="13059" max="13059" width="11" style="845" customWidth="1"/>
    <col min="13060" max="13060" width="31.375" style="845" bestFit="1" customWidth="1"/>
    <col min="13061" max="13061" width="11.125" style="845" customWidth="1"/>
    <col min="13062" max="13068" width="9.125" style="845" customWidth="1"/>
    <col min="13069" max="13069" width="32.625" style="845" customWidth="1"/>
    <col min="13070" max="13070" width="10.875" style="845" customWidth="1"/>
    <col min="13071" max="13071" width="0" style="845" hidden="1" customWidth="1"/>
    <col min="13072" max="13072" width="9" style="845" customWidth="1"/>
    <col min="13073" max="13073" width="9" style="845"/>
    <col min="13074" max="13076" width="0" style="845" hidden="1" customWidth="1"/>
    <col min="13077" max="13077" width="11.625" style="845" bestFit="1" customWidth="1"/>
    <col min="13078" max="13312" width="9" style="845"/>
    <col min="13313" max="13313" width="8.375" style="845" customWidth="1"/>
    <col min="13314" max="13314" width="0" style="845" hidden="1" customWidth="1"/>
    <col min="13315" max="13315" width="11" style="845" customWidth="1"/>
    <col min="13316" max="13316" width="31.375" style="845" bestFit="1" customWidth="1"/>
    <col min="13317" max="13317" width="11.125" style="845" customWidth="1"/>
    <col min="13318" max="13324" width="9.125" style="845" customWidth="1"/>
    <col min="13325" max="13325" width="32.625" style="845" customWidth="1"/>
    <col min="13326" max="13326" width="10.875" style="845" customWidth="1"/>
    <col min="13327" max="13327" width="0" style="845" hidden="1" customWidth="1"/>
    <col min="13328" max="13328" width="9" style="845" customWidth="1"/>
    <col min="13329" max="13329" width="9" style="845"/>
    <col min="13330" max="13332" width="0" style="845" hidden="1" customWidth="1"/>
    <col min="13333" max="13333" width="11.625" style="845" bestFit="1" customWidth="1"/>
    <col min="13334" max="13568" width="9" style="845"/>
    <col min="13569" max="13569" width="8.375" style="845" customWidth="1"/>
    <col min="13570" max="13570" width="0" style="845" hidden="1" customWidth="1"/>
    <col min="13571" max="13571" width="11" style="845" customWidth="1"/>
    <col min="13572" max="13572" width="31.375" style="845" bestFit="1" customWidth="1"/>
    <col min="13573" max="13573" width="11.125" style="845" customWidth="1"/>
    <col min="13574" max="13580" width="9.125" style="845" customWidth="1"/>
    <col min="13581" max="13581" width="32.625" style="845" customWidth="1"/>
    <col min="13582" max="13582" width="10.875" style="845" customWidth="1"/>
    <col min="13583" max="13583" width="0" style="845" hidden="1" customWidth="1"/>
    <col min="13584" max="13584" width="9" style="845" customWidth="1"/>
    <col min="13585" max="13585" width="9" style="845"/>
    <col min="13586" max="13588" width="0" style="845" hidden="1" customWidth="1"/>
    <col min="13589" max="13589" width="11.625" style="845" bestFit="1" customWidth="1"/>
    <col min="13590" max="13824" width="9" style="845"/>
    <col min="13825" max="13825" width="8.375" style="845" customWidth="1"/>
    <col min="13826" max="13826" width="0" style="845" hidden="1" customWidth="1"/>
    <col min="13827" max="13827" width="11" style="845" customWidth="1"/>
    <col min="13828" max="13828" width="31.375" style="845" bestFit="1" customWidth="1"/>
    <col min="13829" max="13829" width="11.125" style="845" customWidth="1"/>
    <col min="13830" max="13836" width="9.125" style="845" customWidth="1"/>
    <col min="13837" max="13837" width="32.625" style="845" customWidth="1"/>
    <col min="13838" max="13838" width="10.875" style="845" customWidth="1"/>
    <col min="13839" max="13839" width="0" style="845" hidden="1" customWidth="1"/>
    <col min="13840" max="13840" width="9" style="845" customWidth="1"/>
    <col min="13841" max="13841" width="9" style="845"/>
    <col min="13842" max="13844" width="0" style="845" hidden="1" customWidth="1"/>
    <col min="13845" max="13845" width="11.625" style="845" bestFit="1" customWidth="1"/>
    <col min="13846" max="14080" width="9" style="845"/>
    <col min="14081" max="14081" width="8.375" style="845" customWidth="1"/>
    <col min="14082" max="14082" width="0" style="845" hidden="1" customWidth="1"/>
    <col min="14083" max="14083" width="11" style="845" customWidth="1"/>
    <col min="14084" max="14084" width="31.375" style="845" bestFit="1" customWidth="1"/>
    <col min="14085" max="14085" width="11.125" style="845" customWidth="1"/>
    <col min="14086" max="14092" width="9.125" style="845" customWidth="1"/>
    <col min="14093" max="14093" width="32.625" style="845" customWidth="1"/>
    <col min="14094" max="14094" width="10.875" style="845" customWidth="1"/>
    <col min="14095" max="14095" width="0" style="845" hidden="1" customWidth="1"/>
    <col min="14096" max="14096" width="9" style="845" customWidth="1"/>
    <col min="14097" max="14097" width="9" style="845"/>
    <col min="14098" max="14100" width="0" style="845" hidden="1" customWidth="1"/>
    <col min="14101" max="14101" width="11.625" style="845" bestFit="1" customWidth="1"/>
    <col min="14102" max="14336" width="9" style="845"/>
    <col min="14337" max="14337" width="8.375" style="845" customWidth="1"/>
    <col min="14338" max="14338" width="0" style="845" hidden="1" customWidth="1"/>
    <col min="14339" max="14339" width="11" style="845" customWidth="1"/>
    <col min="14340" max="14340" width="31.375" style="845" bestFit="1" customWidth="1"/>
    <col min="14341" max="14341" width="11.125" style="845" customWidth="1"/>
    <col min="14342" max="14348" width="9.125" style="845" customWidth="1"/>
    <col min="14349" max="14349" width="32.625" style="845" customWidth="1"/>
    <col min="14350" max="14350" width="10.875" style="845" customWidth="1"/>
    <col min="14351" max="14351" width="0" style="845" hidden="1" customWidth="1"/>
    <col min="14352" max="14352" width="9" style="845" customWidth="1"/>
    <col min="14353" max="14353" width="9" style="845"/>
    <col min="14354" max="14356" width="0" style="845" hidden="1" customWidth="1"/>
    <col min="14357" max="14357" width="11.625" style="845" bestFit="1" customWidth="1"/>
    <col min="14358" max="14592" width="9" style="845"/>
    <col min="14593" max="14593" width="8.375" style="845" customWidth="1"/>
    <col min="14594" max="14594" width="0" style="845" hidden="1" customWidth="1"/>
    <col min="14595" max="14595" width="11" style="845" customWidth="1"/>
    <col min="14596" max="14596" width="31.375" style="845" bestFit="1" customWidth="1"/>
    <col min="14597" max="14597" width="11.125" style="845" customWidth="1"/>
    <col min="14598" max="14604" width="9.125" style="845" customWidth="1"/>
    <col min="14605" max="14605" width="32.625" style="845" customWidth="1"/>
    <col min="14606" max="14606" width="10.875" style="845" customWidth="1"/>
    <col min="14607" max="14607" width="0" style="845" hidden="1" customWidth="1"/>
    <col min="14608" max="14608" width="9" style="845" customWidth="1"/>
    <col min="14609" max="14609" width="9" style="845"/>
    <col min="14610" max="14612" width="0" style="845" hidden="1" customWidth="1"/>
    <col min="14613" max="14613" width="11.625" style="845" bestFit="1" customWidth="1"/>
    <col min="14614" max="14848" width="9" style="845"/>
    <col min="14849" max="14849" width="8.375" style="845" customWidth="1"/>
    <col min="14850" max="14850" width="0" style="845" hidden="1" customWidth="1"/>
    <col min="14851" max="14851" width="11" style="845" customWidth="1"/>
    <col min="14852" max="14852" width="31.375" style="845" bestFit="1" customWidth="1"/>
    <col min="14853" max="14853" width="11.125" style="845" customWidth="1"/>
    <col min="14854" max="14860" width="9.125" style="845" customWidth="1"/>
    <col min="14861" max="14861" width="32.625" style="845" customWidth="1"/>
    <col min="14862" max="14862" width="10.875" style="845" customWidth="1"/>
    <col min="14863" max="14863" width="0" style="845" hidden="1" customWidth="1"/>
    <col min="14864" max="14864" width="9" style="845" customWidth="1"/>
    <col min="14865" max="14865" width="9" style="845"/>
    <col min="14866" max="14868" width="0" style="845" hidden="1" customWidth="1"/>
    <col min="14869" max="14869" width="11.625" style="845" bestFit="1" customWidth="1"/>
    <col min="14870" max="15104" width="9" style="845"/>
    <col min="15105" max="15105" width="8.375" style="845" customWidth="1"/>
    <col min="15106" max="15106" width="0" style="845" hidden="1" customWidth="1"/>
    <col min="15107" max="15107" width="11" style="845" customWidth="1"/>
    <col min="15108" max="15108" width="31.375" style="845" bestFit="1" customWidth="1"/>
    <col min="15109" max="15109" width="11.125" style="845" customWidth="1"/>
    <col min="15110" max="15116" width="9.125" style="845" customWidth="1"/>
    <col min="15117" max="15117" width="32.625" style="845" customWidth="1"/>
    <col min="15118" max="15118" width="10.875" style="845" customWidth="1"/>
    <col min="15119" max="15119" width="0" style="845" hidden="1" customWidth="1"/>
    <col min="15120" max="15120" width="9" style="845" customWidth="1"/>
    <col min="15121" max="15121" width="9" style="845"/>
    <col min="15122" max="15124" width="0" style="845" hidden="1" customWidth="1"/>
    <col min="15125" max="15125" width="11.625" style="845" bestFit="1" customWidth="1"/>
    <col min="15126" max="15360" width="9" style="845"/>
    <col min="15361" max="15361" width="8.375" style="845" customWidth="1"/>
    <col min="15362" max="15362" width="0" style="845" hidden="1" customWidth="1"/>
    <col min="15363" max="15363" width="11" style="845" customWidth="1"/>
    <col min="15364" max="15364" width="31.375" style="845" bestFit="1" customWidth="1"/>
    <col min="15365" max="15365" width="11.125" style="845" customWidth="1"/>
    <col min="15366" max="15372" width="9.125" style="845" customWidth="1"/>
    <col min="15373" max="15373" width="32.625" style="845" customWidth="1"/>
    <col min="15374" max="15374" width="10.875" style="845" customWidth="1"/>
    <col min="15375" max="15375" width="0" style="845" hidden="1" customWidth="1"/>
    <col min="15376" max="15376" width="9" style="845" customWidth="1"/>
    <col min="15377" max="15377" width="9" style="845"/>
    <col min="15378" max="15380" width="0" style="845" hidden="1" customWidth="1"/>
    <col min="15381" max="15381" width="11.625" style="845" bestFit="1" customWidth="1"/>
    <col min="15382" max="15616" width="9" style="845"/>
    <col min="15617" max="15617" width="8.375" style="845" customWidth="1"/>
    <col min="15618" max="15618" width="0" style="845" hidden="1" customWidth="1"/>
    <col min="15619" max="15619" width="11" style="845" customWidth="1"/>
    <col min="15620" max="15620" width="31.375" style="845" bestFit="1" customWidth="1"/>
    <col min="15621" max="15621" width="11.125" style="845" customWidth="1"/>
    <col min="15622" max="15628" width="9.125" style="845" customWidth="1"/>
    <col min="15629" max="15629" width="32.625" style="845" customWidth="1"/>
    <col min="15630" max="15630" width="10.875" style="845" customWidth="1"/>
    <col min="15631" max="15631" width="0" style="845" hidden="1" customWidth="1"/>
    <col min="15632" max="15632" width="9" style="845" customWidth="1"/>
    <col min="15633" max="15633" width="9" style="845"/>
    <col min="15634" max="15636" width="0" style="845" hidden="1" customWidth="1"/>
    <col min="15637" max="15637" width="11.625" style="845" bestFit="1" customWidth="1"/>
    <col min="15638" max="15872" width="9" style="845"/>
    <col min="15873" max="15873" width="8.375" style="845" customWidth="1"/>
    <col min="15874" max="15874" width="0" style="845" hidden="1" customWidth="1"/>
    <col min="15875" max="15875" width="11" style="845" customWidth="1"/>
    <col min="15876" max="15876" width="31.375" style="845" bestFit="1" customWidth="1"/>
    <col min="15877" max="15877" width="11.125" style="845" customWidth="1"/>
    <col min="15878" max="15884" width="9.125" style="845" customWidth="1"/>
    <col min="15885" max="15885" width="32.625" style="845" customWidth="1"/>
    <col min="15886" max="15886" width="10.875" style="845" customWidth="1"/>
    <col min="15887" max="15887" width="0" style="845" hidden="1" customWidth="1"/>
    <col min="15888" max="15888" width="9" style="845" customWidth="1"/>
    <col min="15889" max="15889" width="9" style="845"/>
    <col min="15890" max="15892" width="0" style="845" hidden="1" customWidth="1"/>
    <col min="15893" max="15893" width="11.625" style="845" bestFit="1" customWidth="1"/>
    <col min="15894" max="16128" width="9" style="845"/>
    <col min="16129" max="16129" width="8.375" style="845" customWidth="1"/>
    <col min="16130" max="16130" width="0" style="845" hidden="1" customWidth="1"/>
    <col min="16131" max="16131" width="11" style="845" customWidth="1"/>
    <col min="16132" max="16132" width="31.375" style="845" bestFit="1" customWidth="1"/>
    <col min="16133" max="16133" width="11.125" style="845" customWidth="1"/>
    <col min="16134" max="16140" width="9.125" style="845" customWidth="1"/>
    <col min="16141" max="16141" width="32.625" style="845" customWidth="1"/>
    <col min="16142" max="16142" width="10.875" style="845" customWidth="1"/>
    <col min="16143" max="16143" width="0" style="845" hidden="1" customWidth="1"/>
    <col min="16144" max="16144" width="9" style="845" customWidth="1"/>
    <col min="16145" max="16145" width="9" style="845"/>
    <col min="16146" max="16148" width="0" style="845" hidden="1" customWidth="1"/>
    <col min="16149" max="16149" width="11.625" style="845" bestFit="1" customWidth="1"/>
    <col min="16150" max="16384" width="9" style="845"/>
  </cols>
  <sheetData>
    <row r="1" spans="1:81">
      <c r="A1" s="734"/>
      <c r="B1" s="734"/>
      <c r="C1" s="733" t="s">
        <v>3180</v>
      </c>
      <c r="D1" s="734"/>
      <c r="H1" s="736"/>
      <c r="I1" s="736"/>
      <c r="J1" s="736"/>
      <c r="K1" s="736"/>
      <c r="L1" s="736"/>
      <c r="M1" s="828" t="s">
        <v>1500</v>
      </c>
      <c r="N1" s="921">
        <v>-134.23475649999455</v>
      </c>
      <c r="P1" s="737"/>
    </row>
    <row r="2" spans="1:81">
      <c r="A2" s="734"/>
      <c r="B2" s="734"/>
      <c r="C2" s="733" t="s">
        <v>3181</v>
      </c>
      <c r="D2" s="734"/>
      <c r="E2" s="735">
        <v>0</v>
      </c>
      <c r="F2" s="735">
        <v>0</v>
      </c>
      <c r="H2" s="735">
        <v>40761.101979999919</v>
      </c>
      <c r="I2" s="735">
        <v>0</v>
      </c>
      <c r="K2" s="735">
        <v>-100.67606737499591</v>
      </c>
      <c r="L2" s="736"/>
      <c r="M2" s="736"/>
      <c r="N2" s="738"/>
      <c r="P2" s="738"/>
      <c r="Q2" s="736"/>
      <c r="R2" s="835"/>
    </row>
    <row r="3" spans="1:81">
      <c r="A3" s="739"/>
      <c r="B3" s="739"/>
      <c r="C3" s="733" t="s">
        <v>3182</v>
      </c>
      <c r="D3" s="739"/>
      <c r="E3" s="736"/>
      <c r="F3" s="736"/>
      <c r="G3" s="736"/>
      <c r="H3" s="736"/>
      <c r="I3" s="736"/>
      <c r="J3" s="736"/>
      <c r="K3" s="736"/>
      <c r="L3" s="736"/>
      <c r="M3" s="736"/>
      <c r="N3" s="736"/>
      <c r="P3" s="736"/>
      <c r="Q3" s="736"/>
      <c r="R3" s="846"/>
    </row>
    <row r="4" spans="1:81">
      <c r="C4" s="740" t="s">
        <v>3183</v>
      </c>
      <c r="D4" s="735">
        <v>9</v>
      </c>
      <c r="N4" s="735">
        <v>12</v>
      </c>
      <c r="Q4" s="736"/>
      <c r="R4" s="847"/>
    </row>
    <row r="5" spans="1:81" s="851" customFormat="1" ht="48.75" customHeight="1">
      <c r="A5" s="1026" t="s">
        <v>3567</v>
      </c>
      <c r="B5" s="1026"/>
      <c r="C5" s="1027" t="s">
        <v>3184</v>
      </c>
      <c r="D5" s="1026" t="s">
        <v>271</v>
      </c>
      <c r="E5" s="1026" t="s">
        <v>2510</v>
      </c>
      <c r="F5" s="1026" t="s">
        <v>3568</v>
      </c>
      <c r="G5" s="1026" t="s">
        <v>3569</v>
      </c>
      <c r="H5" s="1026" t="s">
        <v>3570</v>
      </c>
      <c r="I5" s="1026" t="s">
        <v>3571</v>
      </c>
      <c r="J5" s="1026" t="s">
        <v>3572</v>
      </c>
      <c r="K5" s="1026" t="s">
        <v>3573</v>
      </c>
      <c r="L5" s="971" t="s">
        <v>3574</v>
      </c>
      <c r="M5" s="1026" t="s">
        <v>3575</v>
      </c>
      <c r="N5" s="1026" t="s">
        <v>3185</v>
      </c>
      <c r="O5" s="848"/>
      <c r="P5" s="741"/>
      <c r="Q5" s="736"/>
      <c r="R5" s="831"/>
      <c r="S5" s="849"/>
      <c r="T5" s="849"/>
      <c r="U5" s="850"/>
      <c r="V5" s="849"/>
      <c r="W5" s="849"/>
      <c r="X5" s="849"/>
      <c r="Y5" s="849"/>
      <c r="Z5" s="849"/>
      <c r="AA5" s="849"/>
      <c r="AB5" s="849"/>
      <c r="AC5" s="849"/>
      <c r="AD5" s="849"/>
      <c r="AE5" s="849"/>
      <c r="AF5" s="849"/>
      <c r="AG5" s="849"/>
      <c r="AH5" s="849"/>
      <c r="AI5" s="849"/>
      <c r="AJ5" s="849"/>
      <c r="AK5" s="849"/>
      <c r="AL5" s="849"/>
      <c r="AM5" s="849"/>
      <c r="AN5" s="849"/>
      <c r="AO5" s="849"/>
      <c r="AP5" s="849"/>
      <c r="AQ5" s="849"/>
      <c r="AR5" s="849"/>
      <c r="AS5" s="849"/>
      <c r="AT5" s="849"/>
      <c r="AU5" s="849"/>
      <c r="AV5" s="849"/>
      <c r="AW5" s="849"/>
      <c r="AX5" s="849"/>
      <c r="AY5" s="849"/>
      <c r="AZ5" s="849"/>
      <c r="BA5" s="849"/>
      <c r="BB5" s="849"/>
      <c r="BC5" s="849"/>
      <c r="BD5" s="849"/>
      <c r="BE5" s="849"/>
      <c r="BF5" s="849"/>
      <c r="BG5" s="849"/>
      <c r="BH5" s="849"/>
      <c r="BI5" s="849"/>
      <c r="BJ5" s="849"/>
      <c r="BK5" s="849"/>
      <c r="BL5" s="849"/>
      <c r="BM5" s="849"/>
      <c r="BN5" s="849"/>
      <c r="BO5" s="849"/>
      <c r="BP5" s="849"/>
      <c r="BQ5" s="849"/>
      <c r="BR5" s="849"/>
      <c r="BS5" s="849"/>
      <c r="BT5" s="849"/>
      <c r="BU5" s="849"/>
      <c r="BV5" s="849"/>
      <c r="BW5" s="849"/>
      <c r="BX5" s="849"/>
      <c r="BY5" s="849"/>
      <c r="BZ5" s="849"/>
      <c r="CA5" s="849"/>
      <c r="CB5" s="849"/>
      <c r="CC5" s="849"/>
    </row>
    <row r="6" spans="1:81" s="852" customFormat="1" ht="15" customHeight="1">
      <c r="A6" s="972"/>
      <c r="B6" s="972"/>
      <c r="C6" s="973"/>
      <c r="D6" s="972" t="s">
        <v>1461</v>
      </c>
      <c r="E6" s="972"/>
      <c r="F6" s="972"/>
      <c r="G6" s="972"/>
      <c r="H6" s="972"/>
      <c r="I6" s="972"/>
      <c r="J6" s="972"/>
      <c r="K6" s="972"/>
      <c r="L6" s="974"/>
      <c r="M6" s="972"/>
      <c r="N6" s="972"/>
      <c r="P6" s="742"/>
      <c r="Q6" s="853"/>
      <c r="R6" s="853"/>
      <c r="S6" s="853"/>
      <c r="T6" s="853"/>
      <c r="U6" s="853"/>
      <c r="V6" s="853"/>
      <c r="W6" s="853"/>
      <c r="X6" s="853"/>
      <c r="Y6" s="853"/>
      <c r="Z6" s="853"/>
      <c r="AA6" s="853"/>
      <c r="AB6" s="853"/>
      <c r="AC6" s="853"/>
      <c r="AD6" s="853"/>
      <c r="AE6" s="853"/>
      <c r="AF6" s="853"/>
      <c r="AG6" s="853"/>
      <c r="AH6" s="853"/>
      <c r="AI6" s="853"/>
      <c r="AJ6" s="853"/>
      <c r="AK6" s="853"/>
      <c r="AL6" s="853"/>
      <c r="AM6" s="853"/>
      <c r="AN6" s="853"/>
      <c r="AO6" s="853"/>
      <c r="AP6" s="853"/>
      <c r="AQ6" s="853"/>
      <c r="AR6" s="853"/>
      <c r="AS6" s="853"/>
      <c r="AT6" s="853"/>
      <c r="AU6" s="853"/>
      <c r="AV6" s="853"/>
      <c r="AW6" s="853"/>
      <c r="AX6" s="853"/>
    </row>
    <row r="7" spans="1:81" ht="14.25" customHeight="1">
      <c r="A7" s="976" t="s">
        <v>1301</v>
      </c>
      <c r="B7" s="976" t="s">
        <v>1040</v>
      </c>
      <c r="C7" s="977">
        <v>1111100100</v>
      </c>
      <c r="D7" s="976" t="s">
        <v>7</v>
      </c>
      <c r="E7" s="976">
        <v>401139</v>
      </c>
      <c r="F7" s="976">
        <v>404224</v>
      </c>
      <c r="G7" s="976">
        <v>300854.25</v>
      </c>
      <c r="H7" s="976">
        <v>350639.46876999998</v>
      </c>
      <c r="I7" s="976"/>
      <c r="J7" s="1040">
        <v>-39389</v>
      </c>
      <c r="K7" s="976">
        <v>311250.46876999998</v>
      </c>
      <c r="L7" s="976">
        <v>10396.218769999978</v>
      </c>
      <c r="M7" s="976" t="s">
        <v>3576</v>
      </c>
      <c r="N7" s="976">
        <v>415000.62502666668</v>
      </c>
      <c r="O7" s="735">
        <f>N7-E7</f>
        <v>13861.625026666676</v>
      </c>
      <c r="P7" s="738">
        <f>N7*1000</f>
        <v>415000625.0266667</v>
      </c>
      <c r="Q7" s="751">
        <f>ROUND(P7,-3)</f>
        <v>415001000</v>
      </c>
      <c r="U7" s="747"/>
      <c r="W7" s="1024"/>
      <c r="AY7" s="845"/>
      <c r="AZ7" s="845"/>
      <c r="BA7" s="845"/>
      <c r="BB7" s="845"/>
      <c r="BC7" s="845"/>
      <c r="BD7" s="845"/>
      <c r="BE7" s="845"/>
      <c r="BF7" s="845"/>
      <c r="BG7" s="845"/>
      <c r="BH7" s="845"/>
      <c r="BI7" s="845"/>
      <c r="BJ7" s="845"/>
      <c r="BK7" s="845"/>
      <c r="BL7" s="845"/>
      <c r="BM7" s="845"/>
      <c r="BN7" s="845"/>
      <c r="BO7" s="845"/>
      <c r="BP7" s="845"/>
      <c r="BQ7" s="845"/>
      <c r="BR7" s="845"/>
      <c r="BS7" s="845"/>
      <c r="BT7" s="845"/>
      <c r="BU7" s="845"/>
      <c r="BV7" s="845"/>
      <c r="BW7" s="845"/>
      <c r="BX7" s="845"/>
      <c r="BY7" s="845"/>
      <c r="BZ7" s="845"/>
      <c r="CA7" s="845"/>
      <c r="CB7" s="845"/>
      <c r="CC7" s="845"/>
    </row>
    <row r="8" spans="1:81" ht="14.25" customHeight="1">
      <c r="A8" s="976" t="s">
        <v>1316</v>
      </c>
      <c r="B8" s="976" t="s">
        <v>1040</v>
      </c>
      <c r="C8" s="977">
        <v>1111100108</v>
      </c>
      <c r="D8" s="976" t="s">
        <v>9</v>
      </c>
      <c r="E8" s="976">
        <v>61000</v>
      </c>
      <c r="F8" s="976">
        <v>61000</v>
      </c>
      <c r="G8" s="976">
        <v>45750</v>
      </c>
      <c r="H8" s="976">
        <v>0</v>
      </c>
      <c r="I8" s="976"/>
      <c r="J8" s="1019">
        <v>45750</v>
      </c>
      <c r="K8" s="976">
        <v>45750</v>
      </c>
      <c r="L8" s="978">
        <v>0</v>
      </c>
      <c r="M8" s="976" t="s">
        <v>3576</v>
      </c>
      <c r="N8" s="976">
        <v>61000</v>
      </c>
      <c r="O8" s="735">
        <f>N8-E8</f>
        <v>0</v>
      </c>
      <c r="P8" s="738">
        <f t="shared" ref="P8:P71" si="0">N8*1000</f>
        <v>61000000</v>
      </c>
      <c r="Q8" s="751">
        <f t="shared" ref="Q8:Q71" si="1">ROUND(P8,-3)</f>
        <v>61000000</v>
      </c>
      <c r="U8" s="747"/>
      <c r="V8" s="988"/>
      <c r="W8" s="1024"/>
      <c r="AY8" s="845"/>
      <c r="AZ8" s="845"/>
      <c r="BA8" s="845"/>
      <c r="BB8" s="845"/>
      <c r="BC8" s="845"/>
      <c r="BD8" s="845"/>
      <c r="BE8" s="845"/>
      <c r="BF8" s="845"/>
      <c r="BG8" s="845"/>
      <c r="BH8" s="845"/>
      <c r="BI8" s="845"/>
      <c r="BJ8" s="845"/>
      <c r="BK8" s="845"/>
      <c r="BL8" s="845"/>
      <c r="BM8" s="845"/>
      <c r="BN8" s="845"/>
      <c r="BO8" s="845"/>
      <c r="BP8" s="845"/>
      <c r="BQ8" s="845"/>
      <c r="BR8" s="845"/>
      <c r="BS8" s="845"/>
      <c r="BT8" s="845"/>
      <c r="BU8" s="845"/>
      <c r="BV8" s="845"/>
      <c r="BW8" s="845"/>
      <c r="BX8" s="845"/>
      <c r="BY8" s="845"/>
      <c r="BZ8" s="845"/>
      <c r="CA8" s="845"/>
      <c r="CB8" s="845"/>
      <c r="CC8" s="845"/>
    </row>
    <row r="9" spans="1:81" ht="14.25" customHeight="1">
      <c r="A9" s="976"/>
      <c r="B9" s="976" t="s">
        <v>3861</v>
      </c>
      <c r="C9" s="977" t="s">
        <v>3186</v>
      </c>
      <c r="D9" s="976" t="s">
        <v>3187</v>
      </c>
      <c r="E9" s="976"/>
      <c r="F9" s="976"/>
      <c r="G9" s="976"/>
      <c r="H9" s="976"/>
      <c r="I9" s="976"/>
      <c r="J9" s="976"/>
      <c r="K9" s="976">
        <v>0</v>
      </c>
      <c r="L9" s="978">
        <v>0</v>
      </c>
      <c r="M9" s="976" t="s">
        <v>3576</v>
      </c>
      <c r="N9" s="976">
        <v>0</v>
      </c>
      <c r="O9" s="735">
        <f t="shared" ref="O9:O72" si="2">N9-E9</f>
        <v>0</v>
      </c>
      <c r="P9" s="738">
        <f t="shared" si="0"/>
        <v>0</v>
      </c>
      <c r="Q9" s="751">
        <f t="shared" si="1"/>
        <v>0</v>
      </c>
      <c r="U9" s="747"/>
      <c r="V9" s="988"/>
      <c r="W9" s="1024"/>
      <c r="AY9" s="845"/>
      <c r="AZ9" s="845"/>
      <c r="BA9" s="845"/>
      <c r="BB9" s="845"/>
      <c r="BC9" s="845"/>
      <c r="BD9" s="845"/>
      <c r="BE9" s="845"/>
      <c r="BF9" s="845"/>
      <c r="BG9" s="845"/>
      <c r="BH9" s="845"/>
      <c r="BI9" s="845"/>
      <c r="BJ9" s="845"/>
      <c r="BK9" s="845"/>
      <c r="BL9" s="845"/>
      <c r="BM9" s="845"/>
      <c r="BN9" s="845"/>
      <c r="BO9" s="845"/>
      <c r="BP9" s="845"/>
      <c r="BQ9" s="845"/>
      <c r="BR9" s="845"/>
      <c r="BS9" s="845"/>
      <c r="BT9" s="845"/>
      <c r="BU9" s="845"/>
      <c r="BV9" s="845"/>
      <c r="BW9" s="845"/>
      <c r="BX9" s="845"/>
      <c r="BY9" s="845"/>
      <c r="BZ9" s="845"/>
      <c r="CA9" s="845"/>
      <c r="CB9" s="845"/>
      <c r="CC9" s="845"/>
    </row>
    <row r="10" spans="1:81" s="856" customFormat="1" ht="15" customHeight="1">
      <c r="A10" s="979" t="s">
        <v>3577</v>
      </c>
      <c r="B10" s="976" t="s">
        <v>3862</v>
      </c>
      <c r="C10" s="980" t="s">
        <v>888</v>
      </c>
      <c r="D10" s="979" t="s">
        <v>1461</v>
      </c>
      <c r="E10" s="979">
        <v>462139</v>
      </c>
      <c r="F10" s="979">
        <v>465224</v>
      </c>
      <c r="G10" s="979">
        <v>346604.25</v>
      </c>
      <c r="H10" s="979">
        <v>350639.46876999998</v>
      </c>
      <c r="I10" s="979">
        <v>0</v>
      </c>
      <c r="J10" s="979">
        <v>6361</v>
      </c>
      <c r="K10" s="979">
        <v>357000.46876999998</v>
      </c>
      <c r="L10" s="979">
        <v>10396.218769999978</v>
      </c>
      <c r="M10" s="979">
        <v>0</v>
      </c>
      <c r="N10" s="979">
        <v>476000.62502666668</v>
      </c>
      <c r="O10" s="735">
        <f t="shared" si="2"/>
        <v>13861.625026666676</v>
      </c>
      <c r="P10" s="738">
        <f t="shared" si="0"/>
        <v>476000625.0266667</v>
      </c>
      <c r="Q10" s="751">
        <f t="shared" si="1"/>
        <v>476001000</v>
      </c>
      <c r="R10" s="854"/>
      <c r="S10" s="854"/>
      <c r="T10" s="854"/>
      <c r="U10" s="855"/>
      <c r="V10" s="988"/>
      <c r="W10" s="1024"/>
      <c r="X10" s="854"/>
      <c r="Y10" s="854"/>
      <c r="Z10" s="854"/>
      <c r="AA10" s="854"/>
      <c r="AB10" s="854"/>
      <c r="AC10" s="854"/>
      <c r="AD10" s="854"/>
      <c r="AE10" s="854"/>
      <c r="AF10" s="854"/>
      <c r="AG10" s="854"/>
      <c r="AH10" s="854"/>
      <c r="AI10" s="854"/>
      <c r="AJ10" s="854"/>
      <c r="AK10" s="854"/>
      <c r="AL10" s="854"/>
      <c r="AM10" s="854"/>
      <c r="AN10" s="854"/>
      <c r="AO10" s="854"/>
      <c r="AP10" s="854"/>
      <c r="AQ10" s="854"/>
      <c r="AR10" s="854"/>
      <c r="AS10" s="854"/>
      <c r="AT10" s="854"/>
      <c r="AU10" s="854"/>
      <c r="AV10" s="854"/>
      <c r="AW10" s="854"/>
      <c r="AX10" s="854"/>
    </row>
    <row r="11" spans="1:81" s="852" customFormat="1" ht="15" customHeight="1">
      <c r="A11" s="981"/>
      <c r="B11" s="976" t="s">
        <v>1079</v>
      </c>
      <c r="C11" s="982"/>
      <c r="D11" s="981" t="s">
        <v>1462</v>
      </c>
      <c r="E11" s="981"/>
      <c r="F11" s="981"/>
      <c r="G11" s="981"/>
      <c r="H11" s="981"/>
      <c r="I11" s="981"/>
      <c r="J11" s="981"/>
      <c r="K11" s="981"/>
      <c r="L11" s="983"/>
      <c r="M11" s="981"/>
      <c r="N11" s="981"/>
      <c r="O11" s="735">
        <f t="shared" si="2"/>
        <v>0</v>
      </c>
      <c r="P11" s="738">
        <f t="shared" si="0"/>
        <v>0</v>
      </c>
      <c r="Q11" s="751">
        <f t="shared" si="1"/>
        <v>0</v>
      </c>
      <c r="R11" s="853"/>
      <c r="S11" s="853"/>
      <c r="T11" s="853"/>
      <c r="U11" s="853"/>
      <c r="V11" s="988"/>
      <c r="W11" s="1024"/>
      <c r="X11" s="853"/>
      <c r="Y11" s="853"/>
      <c r="Z11" s="853"/>
      <c r="AA11" s="853"/>
      <c r="AB11" s="853"/>
      <c r="AC11" s="853"/>
      <c r="AD11" s="853"/>
      <c r="AE11" s="853"/>
      <c r="AF11" s="853"/>
      <c r="AG11" s="853"/>
      <c r="AH11" s="853"/>
      <c r="AI11" s="853"/>
      <c r="AJ11" s="853"/>
      <c r="AK11" s="853"/>
      <c r="AL11" s="853"/>
      <c r="AM11" s="853"/>
      <c r="AN11" s="853"/>
      <c r="AO11" s="853"/>
      <c r="AP11" s="853"/>
      <c r="AQ11" s="853"/>
      <c r="AR11" s="853"/>
      <c r="AS11" s="853"/>
      <c r="AT11" s="853"/>
      <c r="AU11" s="853"/>
      <c r="AV11" s="853"/>
      <c r="AW11" s="853"/>
      <c r="AX11" s="853"/>
    </row>
    <row r="12" spans="1:81" s="857" customFormat="1" ht="14.25" customHeight="1">
      <c r="A12" s="976" t="s">
        <v>3863</v>
      </c>
      <c r="B12" s="976" t="s">
        <v>1127</v>
      </c>
      <c r="C12" s="977">
        <v>1413100210</v>
      </c>
      <c r="D12" s="976" t="s">
        <v>233</v>
      </c>
      <c r="E12" s="976">
        <v>10</v>
      </c>
      <c r="F12" s="976">
        <v>10</v>
      </c>
      <c r="G12" s="976">
        <v>7.5</v>
      </c>
      <c r="H12" s="976">
        <v>8.1835599999999999</v>
      </c>
      <c r="I12" s="976"/>
      <c r="J12" s="976"/>
      <c r="K12" s="976">
        <v>8.1835599999999999</v>
      </c>
      <c r="L12" s="978">
        <v>0.68355999999999995</v>
      </c>
      <c r="M12" s="976"/>
      <c r="N12" s="976">
        <v>10.911413333333334</v>
      </c>
      <c r="O12" s="735">
        <f t="shared" si="2"/>
        <v>0.91141333333333385</v>
      </c>
      <c r="P12" s="738">
        <f t="shared" si="0"/>
        <v>10911.413333333334</v>
      </c>
      <c r="Q12" s="751">
        <f t="shared" si="1"/>
        <v>11000</v>
      </c>
      <c r="R12" s="747"/>
      <c r="S12" s="747"/>
      <c r="T12" s="747"/>
      <c r="U12" s="747"/>
      <c r="V12" s="988"/>
      <c r="W12" s="1024"/>
      <c r="X12" s="747"/>
      <c r="Y12" s="747"/>
      <c r="Z12" s="747"/>
      <c r="AA12" s="747"/>
      <c r="AB12" s="747"/>
      <c r="AC12" s="747"/>
      <c r="AD12" s="747"/>
      <c r="AE12" s="747"/>
      <c r="AF12" s="747"/>
      <c r="AG12" s="747"/>
      <c r="AH12" s="747"/>
      <c r="AI12" s="747"/>
      <c r="AJ12" s="747"/>
      <c r="AK12" s="747"/>
      <c r="AL12" s="747"/>
      <c r="AM12" s="747"/>
      <c r="AN12" s="747"/>
      <c r="AO12" s="747"/>
      <c r="AP12" s="747"/>
      <c r="AQ12" s="747"/>
      <c r="AR12" s="747"/>
      <c r="AS12" s="747"/>
      <c r="AT12" s="747"/>
      <c r="AU12" s="747"/>
      <c r="AV12" s="747"/>
      <c r="AW12" s="747"/>
      <c r="AX12" s="747"/>
    </row>
    <row r="13" spans="1:81" s="857" customFormat="1" ht="14.25" customHeight="1">
      <c r="A13" s="976" t="s">
        <v>3864</v>
      </c>
      <c r="B13" s="976" t="s">
        <v>1127</v>
      </c>
      <c r="C13" s="977">
        <v>1413200220</v>
      </c>
      <c r="D13" s="976" t="s">
        <v>3188</v>
      </c>
      <c r="E13" s="976">
        <v>0</v>
      </c>
      <c r="F13" s="976">
        <v>0</v>
      </c>
      <c r="G13" s="976">
        <v>0</v>
      </c>
      <c r="H13" s="976">
        <v>-2.9999999999999997E-4</v>
      </c>
      <c r="I13" s="976"/>
      <c r="J13" s="976"/>
      <c r="K13" s="976">
        <v>-2.9999999999999997E-4</v>
      </c>
      <c r="L13" s="978">
        <v>-2.9999999999999997E-4</v>
      </c>
      <c r="M13" s="976"/>
      <c r="N13" s="976">
        <v>-3.9999999999999996E-4</v>
      </c>
      <c r="O13" s="735">
        <f t="shared" si="2"/>
        <v>-3.9999999999999996E-4</v>
      </c>
      <c r="P13" s="738">
        <f t="shared" si="0"/>
        <v>-0.39999999999999997</v>
      </c>
      <c r="Q13" s="751">
        <f t="shared" si="1"/>
        <v>0</v>
      </c>
      <c r="R13" s="747"/>
      <c r="S13" s="747"/>
      <c r="T13" s="747"/>
      <c r="U13" s="747"/>
      <c r="V13" s="988"/>
      <c r="W13" s="1024"/>
      <c r="X13" s="747"/>
      <c r="Y13" s="747"/>
      <c r="Z13" s="747"/>
      <c r="AA13" s="747"/>
      <c r="AB13" s="747"/>
      <c r="AC13" s="747"/>
      <c r="AD13" s="747"/>
      <c r="AE13" s="747"/>
      <c r="AF13" s="747"/>
      <c r="AG13" s="747"/>
      <c r="AH13" s="747"/>
      <c r="AI13" s="747"/>
      <c r="AJ13" s="747"/>
      <c r="AK13" s="747"/>
      <c r="AL13" s="747"/>
      <c r="AM13" s="747"/>
      <c r="AN13" s="747"/>
      <c r="AO13" s="747"/>
      <c r="AP13" s="747"/>
      <c r="AQ13" s="747"/>
      <c r="AR13" s="747"/>
      <c r="AS13" s="747"/>
      <c r="AT13" s="747"/>
      <c r="AU13" s="747"/>
      <c r="AV13" s="747"/>
      <c r="AW13" s="747"/>
      <c r="AX13" s="747"/>
    </row>
    <row r="14" spans="1:81" s="856" customFormat="1" ht="15" customHeight="1">
      <c r="A14" s="979" t="s">
        <v>3577</v>
      </c>
      <c r="B14" s="976" t="s">
        <v>3862</v>
      </c>
      <c r="C14" s="980" t="s">
        <v>888</v>
      </c>
      <c r="D14" s="979" t="s">
        <v>1462</v>
      </c>
      <c r="E14" s="979">
        <v>10</v>
      </c>
      <c r="F14" s="979">
        <v>10</v>
      </c>
      <c r="G14" s="979">
        <v>7.5</v>
      </c>
      <c r="H14" s="979">
        <v>8.1832600000000006</v>
      </c>
      <c r="I14" s="979">
        <v>0</v>
      </c>
      <c r="J14" s="979">
        <v>0</v>
      </c>
      <c r="K14" s="979">
        <v>8.1832600000000006</v>
      </c>
      <c r="L14" s="979">
        <v>0.68325999999999998</v>
      </c>
      <c r="M14" s="979">
        <v>0</v>
      </c>
      <c r="N14" s="979">
        <v>10.911013333333333</v>
      </c>
      <c r="O14" s="735">
        <f t="shared" si="2"/>
        <v>0.91101333333333301</v>
      </c>
      <c r="P14" s="738">
        <f t="shared" si="0"/>
        <v>10911.013333333332</v>
      </c>
      <c r="Q14" s="751">
        <f t="shared" si="1"/>
        <v>11000</v>
      </c>
      <c r="R14" s="854"/>
      <c r="S14" s="854"/>
      <c r="T14" s="854"/>
      <c r="U14" s="855"/>
      <c r="V14" s="988"/>
      <c r="W14" s="1024"/>
      <c r="X14" s="854"/>
      <c r="Y14" s="854"/>
      <c r="Z14" s="854"/>
      <c r="AA14" s="854"/>
      <c r="AB14" s="854"/>
      <c r="AC14" s="854"/>
      <c r="AD14" s="854"/>
      <c r="AE14" s="854"/>
      <c r="AF14" s="854"/>
      <c r="AG14" s="854"/>
      <c r="AH14" s="854"/>
      <c r="AI14" s="854"/>
      <c r="AJ14" s="854"/>
      <c r="AK14" s="854"/>
      <c r="AL14" s="854"/>
      <c r="AM14" s="854"/>
      <c r="AN14" s="854"/>
      <c r="AO14" s="854"/>
      <c r="AP14" s="854"/>
      <c r="AQ14" s="854"/>
      <c r="AR14" s="854"/>
      <c r="AS14" s="854"/>
      <c r="AT14" s="854"/>
      <c r="AU14" s="854"/>
      <c r="AV14" s="854"/>
      <c r="AW14" s="854"/>
      <c r="AX14" s="854"/>
    </row>
    <row r="15" spans="1:81" s="859" customFormat="1" ht="15.75" customHeight="1">
      <c r="A15" s="984"/>
      <c r="B15" s="976" t="s">
        <v>3865</v>
      </c>
      <c r="C15" s="985" t="s">
        <v>3189</v>
      </c>
      <c r="D15" s="984"/>
      <c r="E15" s="984">
        <v>462149</v>
      </c>
      <c r="F15" s="984">
        <v>465234</v>
      </c>
      <c r="G15" s="984">
        <v>346611.75</v>
      </c>
      <c r="H15" s="984">
        <v>350647.65203</v>
      </c>
      <c r="I15" s="984">
        <v>0</v>
      </c>
      <c r="J15" s="984">
        <v>6361</v>
      </c>
      <c r="K15" s="984">
        <v>357008.65203</v>
      </c>
      <c r="L15" s="986">
        <v>10396.902029999977</v>
      </c>
      <c r="M15" s="984">
        <v>0</v>
      </c>
      <c r="N15" s="984">
        <v>476011.53604000004</v>
      </c>
      <c r="O15" s="735">
        <f t="shared" si="2"/>
        <v>13862.536040000035</v>
      </c>
      <c r="P15" s="738">
        <f t="shared" si="0"/>
        <v>476011536.04000002</v>
      </c>
      <c r="Q15" s="751">
        <f t="shared" si="1"/>
        <v>476012000</v>
      </c>
      <c r="R15" s="858"/>
      <c r="S15" s="858"/>
      <c r="T15" s="858"/>
      <c r="U15" s="858"/>
      <c r="V15" s="988"/>
      <c r="W15" s="1024"/>
      <c r="X15" s="858"/>
      <c r="Y15" s="858"/>
      <c r="Z15" s="858"/>
      <c r="AA15" s="858"/>
      <c r="AB15" s="858"/>
      <c r="AC15" s="858"/>
      <c r="AD15" s="858"/>
      <c r="AE15" s="858"/>
      <c r="AF15" s="858"/>
      <c r="AG15" s="858"/>
      <c r="AH15" s="858"/>
      <c r="AI15" s="858"/>
      <c r="AJ15" s="858"/>
      <c r="AK15" s="858"/>
      <c r="AL15" s="858"/>
      <c r="AM15" s="858"/>
      <c r="AN15" s="858"/>
      <c r="AO15" s="858"/>
      <c r="AP15" s="858"/>
      <c r="AQ15" s="858"/>
      <c r="AR15" s="858"/>
      <c r="AS15" s="858"/>
      <c r="AT15" s="858"/>
      <c r="AU15" s="858"/>
      <c r="AV15" s="858"/>
      <c r="AW15" s="858"/>
      <c r="AX15" s="858"/>
    </row>
    <row r="16" spans="1:81" s="852" customFormat="1">
      <c r="A16" s="981"/>
      <c r="B16" s="976" t="s">
        <v>1079</v>
      </c>
      <c r="C16" s="982"/>
      <c r="D16" s="981" t="s">
        <v>1463</v>
      </c>
      <c r="E16" s="981"/>
      <c r="F16" s="981"/>
      <c r="G16" s="981"/>
      <c r="H16" s="981"/>
      <c r="I16" s="981"/>
      <c r="J16" s="981"/>
      <c r="K16" s="981"/>
      <c r="L16" s="983"/>
      <c r="M16" s="981"/>
      <c r="N16" s="976"/>
      <c r="O16" s="735">
        <f t="shared" si="2"/>
        <v>0</v>
      </c>
      <c r="P16" s="738">
        <f t="shared" si="0"/>
        <v>0</v>
      </c>
      <c r="Q16" s="751">
        <f t="shared" si="1"/>
        <v>0</v>
      </c>
      <c r="R16" s="853"/>
      <c r="S16" s="853"/>
      <c r="T16" s="853"/>
      <c r="U16" s="853"/>
      <c r="V16" s="988"/>
      <c r="W16" s="1024"/>
      <c r="X16" s="853"/>
      <c r="Y16" s="853"/>
      <c r="Z16" s="853"/>
      <c r="AA16" s="853"/>
      <c r="AB16" s="853"/>
      <c r="AC16" s="853"/>
      <c r="AD16" s="853"/>
      <c r="AE16" s="853"/>
      <c r="AF16" s="853"/>
      <c r="AG16" s="853"/>
      <c r="AH16" s="853"/>
      <c r="AI16" s="853"/>
      <c r="AJ16" s="853"/>
      <c r="AK16" s="853"/>
      <c r="AL16" s="853"/>
      <c r="AM16" s="853"/>
      <c r="AN16" s="853"/>
      <c r="AO16" s="853"/>
      <c r="AP16" s="853"/>
      <c r="AQ16" s="853"/>
      <c r="AR16" s="853"/>
      <c r="AS16" s="853"/>
      <c r="AT16" s="853"/>
      <c r="AU16" s="853"/>
      <c r="AV16" s="853"/>
      <c r="AW16" s="853"/>
      <c r="AX16" s="853"/>
    </row>
    <row r="17" spans="1:50" s="845" customFormat="1">
      <c r="A17" s="976" t="s">
        <v>3866</v>
      </c>
      <c r="B17" s="976" t="s">
        <v>1097</v>
      </c>
      <c r="C17" s="977">
        <v>1312000690</v>
      </c>
      <c r="D17" s="976" t="s">
        <v>48</v>
      </c>
      <c r="E17" s="976">
        <v>844</v>
      </c>
      <c r="F17" s="976">
        <v>844</v>
      </c>
      <c r="G17" s="976">
        <v>633</v>
      </c>
      <c r="H17" s="976">
        <v>637.36249999999995</v>
      </c>
      <c r="I17" s="976"/>
      <c r="J17" s="1040">
        <v>-4</v>
      </c>
      <c r="K17" s="976">
        <v>633.36249999999995</v>
      </c>
      <c r="L17" s="978">
        <v>0.36249999999995453</v>
      </c>
      <c r="M17" s="976" t="s">
        <v>3578</v>
      </c>
      <c r="N17" s="976">
        <v>844.48333333333323</v>
      </c>
      <c r="O17" s="735">
        <f t="shared" si="2"/>
        <v>0.4833333333332348</v>
      </c>
      <c r="P17" s="738">
        <f t="shared" si="0"/>
        <v>844483.33333333326</v>
      </c>
      <c r="Q17" s="751">
        <f t="shared" si="1"/>
        <v>844000</v>
      </c>
      <c r="R17" s="747"/>
      <c r="S17" s="747"/>
      <c r="T17" s="747"/>
      <c r="U17" s="747"/>
      <c r="V17" s="988"/>
      <c r="W17" s="1024"/>
      <c r="X17" s="747"/>
      <c r="Y17" s="747"/>
      <c r="Z17" s="747"/>
      <c r="AA17" s="747"/>
      <c r="AB17" s="747"/>
      <c r="AC17" s="747"/>
      <c r="AD17" s="747"/>
      <c r="AE17" s="747"/>
      <c r="AF17" s="747"/>
      <c r="AG17" s="747"/>
      <c r="AH17" s="747"/>
      <c r="AI17" s="747"/>
      <c r="AJ17" s="747"/>
      <c r="AK17" s="747"/>
      <c r="AL17" s="747"/>
      <c r="AM17" s="747"/>
      <c r="AN17" s="747"/>
      <c r="AO17" s="747"/>
      <c r="AP17" s="747"/>
      <c r="AQ17" s="747"/>
      <c r="AR17" s="747"/>
      <c r="AS17" s="747"/>
      <c r="AT17" s="747"/>
      <c r="AU17" s="747"/>
      <c r="AV17" s="747"/>
      <c r="AW17" s="747"/>
      <c r="AX17" s="747"/>
    </row>
    <row r="18" spans="1:50" s="845" customFormat="1">
      <c r="A18" s="976" t="s">
        <v>3864</v>
      </c>
      <c r="B18" s="976" t="s">
        <v>1097</v>
      </c>
      <c r="C18" s="977">
        <v>1312200220</v>
      </c>
      <c r="D18" s="976" t="s">
        <v>49</v>
      </c>
      <c r="E18" s="976">
        <v>3434</v>
      </c>
      <c r="F18" s="976">
        <v>3434</v>
      </c>
      <c r="G18" s="976">
        <v>2575.5</v>
      </c>
      <c r="H18" s="976">
        <v>2479.2783300000001</v>
      </c>
      <c r="I18" s="976"/>
      <c r="J18" s="1019">
        <v>96</v>
      </c>
      <c r="K18" s="976">
        <v>2575.2783300000001</v>
      </c>
      <c r="L18" s="978">
        <v>-0.22166999999990367</v>
      </c>
      <c r="M18" s="976" t="s">
        <v>3579</v>
      </c>
      <c r="N18" s="976">
        <v>3433.70444</v>
      </c>
      <c r="O18" s="735">
        <f t="shared" si="2"/>
        <v>-0.29556000000002314</v>
      </c>
      <c r="P18" s="738">
        <f t="shared" si="0"/>
        <v>3433704.44</v>
      </c>
      <c r="Q18" s="751">
        <f t="shared" si="1"/>
        <v>3434000</v>
      </c>
      <c r="R18" s="747"/>
      <c r="S18" s="747"/>
      <c r="T18" s="747"/>
      <c r="U18" s="747"/>
      <c r="V18" s="988"/>
      <c r="W18" s="1024"/>
      <c r="X18" s="747"/>
      <c r="Y18" s="747"/>
      <c r="Z18" s="747"/>
      <c r="AA18" s="747"/>
      <c r="AB18" s="747"/>
      <c r="AC18" s="747"/>
      <c r="AD18" s="747"/>
      <c r="AE18" s="747"/>
      <c r="AF18" s="747"/>
      <c r="AG18" s="747"/>
      <c r="AH18" s="747"/>
      <c r="AI18" s="747"/>
      <c r="AJ18" s="747"/>
      <c r="AK18" s="747"/>
      <c r="AL18" s="747"/>
      <c r="AM18" s="747"/>
      <c r="AN18" s="747"/>
      <c r="AO18" s="747"/>
      <c r="AP18" s="747"/>
      <c r="AQ18" s="747"/>
      <c r="AR18" s="747"/>
      <c r="AS18" s="747"/>
      <c r="AT18" s="747"/>
      <c r="AU18" s="747"/>
      <c r="AV18" s="747"/>
      <c r="AW18" s="747"/>
      <c r="AX18" s="747"/>
    </row>
    <row r="19" spans="1:50" s="845" customFormat="1">
      <c r="A19" s="976" t="s">
        <v>3867</v>
      </c>
      <c r="B19" s="1029" t="s">
        <v>1097</v>
      </c>
      <c r="C19" s="977">
        <v>1312300410</v>
      </c>
      <c r="D19" s="976" t="s">
        <v>3190</v>
      </c>
      <c r="E19" s="976">
        <v>0</v>
      </c>
      <c r="F19" s="976">
        <v>0</v>
      </c>
      <c r="G19" s="976">
        <v>0</v>
      </c>
      <c r="H19" s="976">
        <v>117.04589</v>
      </c>
      <c r="I19" s="976"/>
      <c r="J19" s="1040">
        <v>-117</v>
      </c>
      <c r="K19" s="976">
        <v>4.5889999999999986E-2</v>
      </c>
      <c r="L19" s="978">
        <v>4.5889999999999986E-2</v>
      </c>
      <c r="M19" s="976" t="s">
        <v>3580</v>
      </c>
      <c r="N19" s="976">
        <v>6.1186666666666646E-2</v>
      </c>
      <c r="O19" s="860">
        <f t="shared" si="2"/>
        <v>6.1186666666666646E-2</v>
      </c>
      <c r="P19" s="738">
        <f t="shared" si="0"/>
        <v>61.186666666666646</v>
      </c>
      <c r="Q19" s="751">
        <f t="shared" si="1"/>
        <v>0</v>
      </c>
      <c r="R19" s="861"/>
      <c r="S19" s="861"/>
      <c r="T19" s="861"/>
      <c r="U19" s="747"/>
      <c r="V19" s="988"/>
      <c r="W19" s="1024"/>
      <c r="X19" s="747"/>
      <c r="Y19" s="747"/>
      <c r="Z19" s="747"/>
      <c r="AA19" s="747"/>
      <c r="AB19" s="747"/>
      <c r="AC19" s="747"/>
      <c r="AD19" s="747"/>
      <c r="AE19" s="747"/>
      <c r="AF19" s="747"/>
      <c r="AG19" s="747"/>
      <c r="AH19" s="747"/>
      <c r="AI19" s="747"/>
      <c r="AJ19" s="747"/>
      <c r="AK19" s="747"/>
      <c r="AL19" s="747"/>
      <c r="AM19" s="747"/>
      <c r="AN19" s="747"/>
      <c r="AO19" s="747"/>
      <c r="AP19" s="747"/>
      <c r="AQ19" s="747"/>
      <c r="AR19" s="747"/>
      <c r="AS19" s="747"/>
      <c r="AT19" s="747"/>
      <c r="AU19" s="747"/>
      <c r="AV19" s="747"/>
      <c r="AW19" s="747"/>
      <c r="AX19" s="747"/>
    </row>
    <row r="20" spans="1:50" s="845" customFormat="1">
      <c r="A20" s="976" t="s">
        <v>3868</v>
      </c>
      <c r="B20" s="1029"/>
      <c r="C20" s="977">
        <v>1312300430</v>
      </c>
      <c r="D20" s="976" t="s">
        <v>2207</v>
      </c>
      <c r="E20" s="976">
        <v>774</v>
      </c>
      <c r="F20" s="976">
        <v>774</v>
      </c>
      <c r="G20" s="976">
        <v>580.5</v>
      </c>
      <c r="H20" s="976">
        <v>282.45299999999997</v>
      </c>
      <c r="I20" s="976"/>
      <c r="J20" s="1019">
        <v>193</v>
      </c>
      <c r="K20" s="976">
        <v>475.45299999999997</v>
      </c>
      <c r="L20" s="978">
        <v>-105.04700000000003</v>
      </c>
      <c r="M20" s="976" t="s">
        <v>3581</v>
      </c>
      <c r="N20" s="976">
        <v>633.9373333333333</v>
      </c>
      <c r="O20" s="860">
        <f t="shared" si="2"/>
        <v>-140.0626666666667</v>
      </c>
      <c r="P20" s="738">
        <f t="shared" si="0"/>
        <v>633937.33333333326</v>
      </c>
      <c r="Q20" s="751">
        <f t="shared" si="1"/>
        <v>634000</v>
      </c>
      <c r="R20" s="861"/>
      <c r="S20" s="861"/>
      <c r="T20" s="861"/>
      <c r="U20" s="747"/>
      <c r="V20" s="988"/>
      <c r="W20" s="1024"/>
      <c r="X20" s="747"/>
      <c r="Y20" s="747"/>
      <c r="Z20" s="747"/>
      <c r="AA20" s="747"/>
      <c r="AB20" s="747"/>
      <c r="AC20" s="747"/>
      <c r="AD20" s="747"/>
      <c r="AE20" s="747"/>
      <c r="AF20" s="747"/>
      <c r="AG20" s="747"/>
      <c r="AH20" s="747"/>
      <c r="AI20" s="747"/>
      <c r="AJ20" s="747"/>
      <c r="AK20" s="747"/>
      <c r="AL20" s="747"/>
      <c r="AM20" s="747"/>
      <c r="AN20" s="747"/>
      <c r="AO20" s="747"/>
      <c r="AP20" s="747"/>
      <c r="AQ20" s="747"/>
      <c r="AR20" s="747"/>
      <c r="AS20" s="747"/>
      <c r="AT20" s="747"/>
      <c r="AU20" s="747"/>
      <c r="AV20" s="747"/>
      <c r="AW20" s="747"/>
      <c r="AX20" s="747"/>
    </row>
    <row r="21" spans="1:50" s="845" customFormat="1">
      <c r="A21" s="976" t="s">
        <v>3869</v>
      </c>
      <c r="B21" s="976" t="s">
        <v>1097</v>
      </c>
      <c r="C21" s="977">
        <v>1312500420</v>
      </c>
      <c r="D21" s="976" t="s">
        <v>267</v>
      </c>
      <c r="E21" s="976">
        <v>0</v>
      </c>
      <c r="F21" s="976">
        <v>0</v>
      </c>
      <c r="G21" s="976">
        <v>0</v>
      </c>
      <c r="H21" s="976">
        <v>0</v>
      </c>
      <c r="I21" s="976"/>
      <c r="J21" s="976"/>
      <c r="K21" s="976">
        <v>0</v>
      </c>
      <c r="L21" s="978">
        <v>0</v>
      </c>
      <c r="M21" s="976" t="s">
        <v>3582</v>
      </c>
      <c r="N21" s="976">
        <v>0</v>
      </c>
      <c r="O21" s="735">
        <f t="shared" si="2"/>
        <v>0</v>
      </c>
      <c r="P21" s="738">
        <f t="shared" si="0"/>
        <v>0</v>
      </c>
      <c r="Q21" s="751">
        <f t="shared" si="1"/>
        <v>0</v>
      </c>
      <c r="R21" s="747"/>
      <c r="S21" s="747"/>
      <c r="T21" s="747"/>
      <c r="U21" s="747"/>
      <c r="V21" s="988"/>
      <c r="W21" s="1024"/>
      <c r="X21" s="747"/>
      <c r="Y21" s="747"/>
      <c r="Z21" s="747"/>
      <c r="AA21" s="747"/>
      <c r="AB21" s="747"/>
      <c r="AC21" s="747"/>
      <c r="AD21" s="747"/>
      <c r="AE21" s="747"/>
      <c r="AF21" s="747"/>
      <c r="AG21" s="747"/>
      <c r="AH21" s="747"/>
      <c r="AI21" s="747"/>
      <c r="AJ21" s="747"/>
      <c r="AK21" s="747"/>
      <c r="AL21" s="747"/>
      <c r="AM21" s="747"/>
      <c r="AN21" s="747"/>
      <c r="AO21" s="747"/>
      <c r="AP21" s="747"/>
      <c r="AQ21" s="747"/>
      <c r="AR21" s="747"/>
      <c r="AS21" s="747"/>
      <c r="AT21" s="747"/>
      <c r="AU21" s="747"/>
      <c r="AV21" s="747"/>
      <c r="AW21" s="747"/>
      <c r="AX21" s="747"/>
    </row>
    <row r="22" spans="1:50" s="845" customFormat="1">
      <c r="A22" s="976" t="s">
        <v>3867</v>
      </c>
      <c r="B22" s="976"/>
      <c r="C22" s="977">
        <v>1325200410</v>
      </c>
      <c r="D22" s="976" t="s">
        <v>1523</v>
      </c>
      <c r="E22" s="976">
        <v>632</v>
      </c>
      <c r="F22" s="976">
        <v>632</v>
      </c>
      <c r="G22" s="976">
        <v>474</v>
      </c>
      <c r="H22" s="976">
        <v>383.96499999999997</v>
      </c>
      <c r="I22" s="976"/>
      <c r="J22" s="1019">
        <v>90</v>
      </c>
      <c r="K22" s="976">
        <v>473.96499999999997</v>
      </c>
      <c r="L22" s="978">
        <v>-3.5000000000025011E-2</v>
      </c>
      <c r="M22" s="976" t="s">
        <v>3583</v>
      </c>
      <c r="N22" s="976">
        <v>631.95333333333338</v>
      </c>
      <c r="O22" s="735">
        <f t="shared" si="2"/>
        <v>-4.6666666666624224E-2</v>
      </c>
      <c r="P22" s="738">
        <f t="shared" si="0"/>
        <v>631953.33333333337</v>
      </c>
      <c r="Q22" s="751">
        <f t="shared" si="1"/>
        <v>632000</v>
      </c>
      <c r="R22" s="747"/>
      <c r="S22" s="747"/>
      <c r="T22" s="747"/>
      <c r="U22" s="747"/>
      <c r="V22" s="988"/>
      <c r="W22" s="1024"/>
      <c r="X22" s="747"/>
      <c r="Y22" s="747"/>
      <c r="Z22" s="747"/>
      <c r="AA22" s="747"/>
      <c r="AB22" s="747"/>
      <c r="AC22" s="747"/>
      <c r="AD22" s="747"/>
      <c r="AE22" s="747"/>
      <c r="AF22" s="747"/>
      <c r="AG22" s="747"/>
      <c r="AH22" s="747"/>
      <c r="AI22" s="747"/>
      <c r="AJ22" s="747"/>
      <c r="AK22" s="747"/>
      <c r="AL22" s="747"/>
      <c r="AM22" s="747"/>
      <c r="AN22" s="747"/>
      <c r="AO22" s="747"/>
      <c r="AP22" s="747"/>
      <c r="AQ22" s="747"/>
      <c r="AR22" s="747"/>
      <c r="AS22" s="747"/>
      <c r="AT22" s="747"/>
      <c r="AU22" s="747"/>
      <c r="AV22" s="747"/>
      <c r="AW22" s="747"/>
      <c r="AX22" s="747"/>
    </row>
    <row r="23" spans="1:50" s="845" customFormat="1">
      <c r="A23" s="976" t="s">
        <v>3864</v>
      </c>
      <c r="B23" s="1029" t="s">
        <v>1097</v>
      </c>
      <c r="C23" s="977">
        <v>1313200220</v>
      </c>
      <c r="D23" s="976" t="s">
        <v>57</v>
      </c>
      <c r="E23" s="976">
        <v>880</v>
      </c>
      <c r="F23" s="976">
        <v>880</v>
      </c>
      <c r="G23" s="976">
        <v>660</v>
      </c>
      <c r="H23" s="976">
        <v>382.17827</v>
      </c>
      <c r="I23" s="976"/>
      <c r="J23" s="1019">
        <v>120</v>
      </c>
      <c r="K23" s="976">
        <v>502.17827</v>
      </c>
      <c r="L23" s="978">
        <v>-157.82173</v>
      </c>
      <c r="M23" s="976" t="s">
        <v>3584</v>
      </c>
      <c r="N23" s="976">
        <v>669.57102666666674</v>
      </c>
      <c r="O23" s="860">
        <f t="shared" si="2"/>
        <v>-210.42897333333326</v>
      </c>
      <c r="P23" s="738">
        <f t="shared" si="0"/>
        <v>669571.02666666673</v>
      </c>
      <c r="Q23" s="751">
        <f t="shared" si="1"/>
        <v>670000</v>
      </c>
      <c r="R23" s="861"/>
      <c r="S23" s="861"/>
      <c r="T23" s="861"/>
      <c r="U23" s="747"/>
      <c r="V23" s="988"/>
      <c r="W23" s="1024"/>
      <c r="X23" s="747"/>
      <c r="Y23" s="747"/>
      <c r="Z23" s="747"/>
      <c r="AA23" s="747"/>
      <c r="AB23" s="747"/>
      <c r="AC23" s="747"/>
      <c r="AD23" s="747"/>
      <c r="AE23" s="747"/>
      <c r="AF23" s="747"/>
      <c r="AG23" s="747"/>
      <c r="AH23" s="747"/>
      <c r="AI23" s="747"/>
      <c r="AJ23" s="747"/>
      <c r="AK23" s="747"/>
      <c r="AL23" s="747"/>
      <c r="AM23" s="747"/>
      <c r="AN23" s="747"/>
      <c r="AO23" s="747"/>
      <c r="AP23" s="747"/>
      <c r="AQ23" s="747"/>
      <c r="AR23" s="747"/>
      <c r="AS23" s="747"/>
      <c r="AT23" s="747"/>
      <c r="AU23" s="747"/>
      <c r="AV23" s="747"/>
      <c r="AW23" s="747"/>
      <c r="AX23" s="747"/>
    </row>
    <row r="24" spans="1:50" s="845" customFormat="1">
      <c r="A24" s="976" t="s">
        <v>3868</v>
      </c>
      <c r="B24" s="1029" t="s">
        <v>1097</v>
      </c>
      <c r="C24" s="977">
        <v>1313200430</v>
      </c>
      <c r="D24" s="976" t="s">
        <v>58</v>
      </c>
      <c r="E24" s="976">
        <v>700</v>
      </c>
      <c r="F24" s="976">
        <v>700</v>
      </c>
      <c r="G24" s="976">
        <v>525</v>
      </c>
      <c r="H24" s="976">
        <v>438.33140000000003</v>
      </c>
      <c r="I24" s="976"/>
      <c r="J24" s="1019">
        <v>87</v>
      </c>
      <c r="K24" s="976">
        <v>525.33140000000003</v>
      </c>
      <c r="L24" s="978">
        <v>0.33140000000003056</v>
      </c>
      <c r="M24" s="976" t="s">
        <v>3585</v>
      </c>
      <c r="N24" s="976">
        <v>700.44186666666667</v>
      </c>
      <c r="O24" s="860">
        <f t="shared" si="2"/>
        <v>0.44186666666666952</v>
      </c>
      <c r="P24" s="738">
        <f t="shared" si="0"/>
        <v>700441.8666666667</v>
      </c>
      <c r="Q24" s="751">
        <f t="shared" si="1"/>
        <v>700000</v>
      </c>
      <c r="R24" s="861"/>
      <c r="S24" s="861"/>
      <c r="T24" s="861"/>
      <c r="U24" s="747"/>
      <c r="V24" s="988"/>
      <c r="W24" s="1024"/>
      <c r="X24" s="747"/>
      <c r="Y24" s="747"/>
      <c r="Z24" s="747"/>
      <c r="AA24" s="747"/>
      <c r="AB24" s="747"/>
      <c r="AC24" s="747"/>
      <c r="AD24" s="747"/>
      <c r="AE24" s="747"/>
      <c r="AF24" s="747"/>
      <c r="AG24" s="747"/>
      <c r="AH24" s="747"/>
      <c r="AI24" s="747"/>
      <c r="AJ24" s="747"/>
      <c r="AK24" s="747"/>
      <c r="AL24" s="747"/>
      <c r="AM24" s="747"/>
      <c r="AN24" s="747"/>
      <c r="AO24" s="747"/>
      <c r="AP24" s="747"/>
      <c r="AQ24" s="747"/>
      <c r="AR24" s="747"/>
      <c r="AS24" s="747"/>
      <c r="AT24" s="747"/>
      <c r="AU24" s="747"/>
      <c r="AV24" s="747"/>
      <c r="AW24" s="747"/>
      <c r="AX24" s="747"/>
    </row>
    <row r="25" spans="1:50" s="845" customFormat="1">
      <c r="A25" s="976" t="s">
        <v>3870</v>
      </c>
      <c r="B25" s="1029" t="s">
        <v>1097</v>
      </c>
      <c r="C25" s="977">
        <v>1313200431</v>
      </c>
      <c r="D25" s="976" t="s">
        <v>59</v>
      </c>
      <c r="E25" s="976">
        <v>1000</v>
      </c>
      <c r="F25" s="976">
        <v>1000</v>
      </c>
      <c r="G25" s="976">
        <v>750</v>
      </c>
      <c r="H25" s="976">
        <v>521.37750000000005</v>
      </c>
      <c r="I25" s="976"/>
      <c r="J25" s="1019">
        <v>229</v>
      </c>
      <c r="K25" s="976">
        <v>750.37750000000005</v>
      </c>
      <c r="L25" s="978">
        <v>0.37750000000005457</v>
      </c>
      <c r="M25" s="976" t="s">
        <v>3582</v>
      </c>
      <c r="N25" s="976">
        <v>1000.5033333333334</v>
      </c>
      <c r="O25" s="860">
        <f t="shared" si="2"/>
        <v>0.50333333333344399</v>
      </c>
      <c r="P25" s="738">
        <f t="shared" si="0"/>
        <v>1000503.3333333335</v>
      </c>
      <c r="Q25" s="751">
        <f t="shared" si="1"/>
        <v>1001000</v>
      </c>
      <c r="R25" s="861"/>
      <c r="S25" s="861"/>
      <c r="T25" s="861"/>
      <c r="U25" s="747"/>
      <c r="V25" s="988"/>
      <c r="W25" s="1024"/>
      <c r="X25" s="747"/>
      <c r="Y25" s="747"/>
      <c r="Z25" s="747"/>
      <c r="AA25" s="747"/>
      <c r="AB25" s="747"/>
      <c r="AC25" s="747"/>
      <c r="AD25" s="747"/>
      <c r="AE25" s="747"/>
      <c r="AF25" s="747"/>
      <c r="AG25" s="747"/>
      <c r="AH25" s="747"/>
      <c r="AI25" s="747"/>
      <c r="AJ25" s="747"/>
      <c r="AK25" s="747"/>
      <c r="AL25" s="747"/>
      <c r="AM25" s="747"/>
      <c r="AN25" s="747"/>
      <c r="AO25" s="747"/>
      <c r="AP25" s="747"/>
      <c r="AQ25" s="747"/>
      <c r="AR25" s="747"/>
      <c r="AS25" s="747"/>
      <c r="AT25" s="747"/>
      <c r="AU25" s="747"/>
      <c r="AV25" s="747"/>
      <c r="AW25" s="747"/>
      <c r="AX25" s="747"/>
    </row>
    <row r="26" spans="1:50" s="845" customFormat="1">
      <c r="A26" s="976" t="s">
        <v>3867</v>
      </c>
      <c r="B26" s="1029" t="s">
        <v>1097</v>
      </c>
      <c r="C26" s="977">
        <v>1313300410</v>
      </c>
      <c r="D26" s="976" t="s">
        <v>3191</v>
      </c>
      <c r="E26" s="976">
        <v>141</v>
      </c>
      <c r="F26" s="976">
        <v>141</v>
      </c>
      <c r="G26" s="976">
        <v>105.75</v>
      </c>
      <c r="H26" s="976">
        <v>0</v>
      </c>
      <c r="I26" s="976"/>
      <c r="J26" s="976">
        <v>0</v>
      </c>
      <c r="K26" s="976">
        <v>0</v>
      </c>
      <c r="L26" s="978">
        <v>-105.75</v>
      </c>
      <c r="M26" s="976" t="s">
        <v>3582</v>
      </c>
      <c r="N26" s="976">
        <v>0</v>
      </c>
      <c r="O26" s="860">
        <f t="shared" si="2"/>
        <v>-141</v>
      </c>
      <c r="P26" s="738">
        <f t="shared" si="0"/>
        <v>0</v>
      </c>
      <c r="Q26" s="751">
        <f t="shared" si="1"/>
        <v>0</v>
      </c>
      <c r="R26" s="861"/>
      <c r="S26" s="861"/>
      <c r="T26" s="861"/>
      <c r="U26" s="747"/>
      <c r="V26" s="988"/>
      <c r="W26" s="1024"/>
      <c r="X26" s="747"/>
      <c r="Y26" s="747"/>
      <c r="Z26" s="747"/>
      <c r="AA26" s="747"/>
      <c r="AB26" s="747"/>
      <c r="AC26" s="747"/>
      <c r="AD26" s="747"/>
      <c r="AE26" s="747"/>
      <c r="AF26" s="747"/>
      <c r="AG26" s="747"/>
      <c r="AH26" s="747"/>
      <c r="AI26" s="747"/>
      <c r="AJ26" s="747"/>
      <c r="AK26" s="747"/>
      <c r="AL26" s="747"/>
      <c r="AM26" s="747"/>
      <c r="AN26" s="747"/>
      <c r="AO26" s="747"/>
      <c r="AP26" s="747"/>
      <c r="AQ26" s="747"/>
      <c r="AR26" s="747"/>
      <c r="AS26" s="747"/>
      <c r="AT26" s="747"/>
      <c r="AU26" s="747"/>
      <c r="AV26" s="747"/>
      <c r="AW26" s="747"/>
      <c r="AX26" s="747"/>
    </row>
    <row r="27" spans="1:50" s="845" customFormat="1">
      <c r="A27" s="976" t="s">
        <v>3867</v>
      </c>
      <c r="B27" s="1029" t="s">
        <v>1097</v>
      </c>
      <c r="C27" s="977">
        <v>1313500410</v>
      </c>
      <c r="D27" s="976" t="s">
        <v>75</v>
      </c>
      <c r="E27" s="976">
        <v>1200</v>
      </c>
      <c r="F27" s="976">
        <v>1200</v>
      </c>
      <c r="G27" s="976">
        <v>900</v>
      </c>
      <c r="H27" s="976">
        <v>0</v>
      </c>
      <c r="I27" s="976"/>
      <c r="J27" s="1019">
        <v>600</v>
      </c>
      <c r="K27" s="976">
        <v>600</v>
      </c>
      <c r="L27" s="978">
        <v>-300</v>
      </c>
      <c r="M27" s="976" t="s">
        <v>3586</v>
      </c>
      <c r="N27" s="976">
        <v>800</v>
      </c>
      <c r="O27" s="860">
        <f t="shared" si="2"/>
        <v>-400</v>
      </c>
      <c r="P27" s="738">
        <f t="shared" si="0"/>
        <v>800000</v>
      </c>
      <c r="Q27" s="751">
        <f t="shared" si="1"/>
        <v>800000</v>
      </c>
      <c r="R27" s="861"/>
      <c r="S27" s="861"/>
      <c r="T27" s="861"/>
      <c r="U27" s="747"/>
      <c r="V27" s="988"/>
      <c r="W27" s="1024"/>
      <c r="X27" s="747"/>
      <c r="Y27" s="747"/>
      <c r="Z27" s="747"/>
      <c r="AA27" s="747"/>
      <c r="AB27" s="747"/>
      <c r="AC27" s="747"/>
      <c r="AD27" s="747"/>
      <c r="AE27" s="747"/>
      <c r="AF27" s="747"/>
      <c r="AG27" s="747"/>
      <c r="AH27" s="747"/>
      <c r="AI27" s="747"/>
      <c r="AJ27" s="747"/>
      <c r="AK27" s="747"/>
      <c r="AL27" s="747"/>
      <c r="AM27" s="747"/>
      <c r="AN27" s="747"/>
      <c r="AO27" s="747"/>
      <c r="AP27" s="747"/>
      <c r="AQ27" s="747"/>
      <c r="AR27" s="747"/>
      <c r="AS27" s="747"/>
      <c r="AT27" s="747"/>
      <c r="AU27" s="747"/>
      <c r="AV27" s="747"/>
      <c r="AW27" s="747"/>
      <c r="AX27" s="747"/>
    </row>
    <row r="28" spans="1:50" s="845" customFormat="1">
      <c r="A28" s="976" t="s">
        <v>3867</v>
      </c>
      <c r="B28" s="976" t="s">
        <v>1097</v>
      </c>
      <c r="C28" s="977">
        <v>1314700410</v>
      </c>
      <c r="D28" s="976" t="s">
        <v>3192</v>
      </c>
      <c r="E28" s="976">
        <v>0</v>
      </c>
      <c r="F28" s="976">
        <v>0</v>
      </c>
      <c r="G28" s="976">
        <v>0</v>
      </c>
      <c r="H28" s="976">
        <v>0</v>
      </c>
      <c r="I28" s="976"/>
      <c r="J28" s="976"/>
      <c r="K28" s="976">
        <v>0</v>
      </c>
      <c r="L28" s="978">
        <v>0</v>
      </c>
      <c r="M28" s="976" t="s">
        <v>3582</v>
      </c>
      <c r="N28" s="976">
        <v>0</v>
      </c>
      <c r="O28" s="735">
        <f t="shared" si="2"/>
        <v>0</v>
      </c>
      <c r="P28" s="738">
        <f t="shared" si="0"/>
        <v>0</v>
      </c>
      <c r="Q28" s="751">
        <f t="shared" si="1"/>
        <v>0</v>
      </c>
      <c r="R28" s="747"/>
      <c r="S28" s="747"/>
      <c r="T28" s="747"/>
      <c r="U28" s="747"/>
      <c r="V28" s="988"/>
      <c r="W28" s="1024"/>
      <c r="X28" s="747"/>
      <c r="Y28" s="747"/>
      <c r="Z28" s="747"/>
      <c r="AA28" s="747"/>
      <c r="AB28" s="747"/>
      <c r="AC28" s="747"/>
      <c r="AD28" s="747"/>
      <c r="AE28" s="747"/>
      <c r="AF28" s="747"/>
      <c r="AG28" s="747"/>
      <c r="AH28" s="747"/>
      <c r="AI28" s="747"/>
      <c r="AJ28" s="747"/>
      <c r="AK28" s="747"/>
      <c r="AL28" s="747"/>
      <c r="AM28" s="747"/>
      <c r="AN28" s="747"/>
      <c r="AO28" s="747"/>
      <c r="AP28" s="747"/>
      <c r="AQ28" s="747"/>
      <c r="AR28" s="747"/>
      <c r="AS28" s="747"/>
      <c r="AT28" s="747"/>
      <c r="AU28" s="747"/>
      <c r="AV28" s="747"/>
      <c r="AW28" s="747"/>
      <c r="AX28" s="747"/>
    </row>
    <row r="29" spans="1:50" s="845" customFormat="1">
      <c r="A29" s="976" t="s">
        <v>3871</v>
      </c>
      <c r="B29" s="976" t="s">
        <v>1097</v>
      </c>
      <c r="C29" s="977">
        <v>1314680093</v>
      </c>
      <c r="D29" s="976" t="s">
        <v>185</v>
      </c>
      <c r="E29" s="976">
        <v>0</v>
      </c>
      <c r="F29" s="976">
        <v>0</v>
      </c>
      <c r="G29" s="976">
        <v>0</v>
      </c>
      <c r="H29" s="976">
        <v>0</v>
      </c>
      <c r="I29" s="976"/>
      <c r="J29" s="976"/>
      <c r="K29" s="976">
        <v>0</v>
      </c>
      <c r="L29" s="978">
        <v>0</v>
      </c>
      <c r="M29" s="976" t="s">
        <v>3582</v>
      </c>
      <c r="N29" s="976">
        <v>0</v>
      </c>
      <c r="O29" s="735">
        <f t="shared" si="2"/>
        <v>0</v>
      </c>
      <c r="P29" s="738">
        <f t="shared" si="0"/>
        <v>0</v>
      </c>
      <c r="Q29" s="751">
        <f t="shared" si="1"/>
        <v>0</v>
      </c>
      <c r="R29" s="747"/>
      <c r="S29" s="747"/>
      <c r="T29" s="747"/>
      <c r="U29" s="747"/>
      <c r="V29" s="988"/>
      <c r="W29" s="1024"/>
      <c r="X29" s="747"/>
      <c r="Y29" s="747"/>
      <c r="Z29" s="747"/>
      <c r="AA29" s="747"/>
      <c r="AB29" s="747"/>
      <c r="AC29" s="747"/>
      <c r="AD29" s="747"/>
      <c r="AE29" s="747"/>
      <c r="AF29" s="747"/>
      <c r="AG29" s="747"/>
      <c r="AH29" s="747"/>
      <c r="AI29" s="747"/>
      <c r="AJ29" s="747"/>
      <c r="AK29" s="747"/>
      <c r="AL29" s="747"/>
      <c r="AM29" s="747"/>
      <c r="AN29" s="747"/>
      <c r="AO29" s="747"/>
      <c r="AP29" s="747"/>
      <c r="AQ29" s="747"/>
      <c r="AR29" s="747"/>
      <c r="AS29" s="747"/>
      <c r="AT29" s="747"/>
      <c r="AU29" s="747"/>
      <c r="AV29" s="747"/>
      <c r="AW29" s="747"/>
      <c r="AX29" s="747"/>
    </row>
    <row r="30" spans="1:50" s="845" customFormat="1">
      <c r="A30" s="976" t="s">
        <v>3869</v>
      </c>
      <c r="B30" s="976"/>
      <c r="C30" s="977">
        <v>1322000420</v>
      </c>
      <c r="D30" s="976" t="s">
        <v>3193</v>
      </c>
      <c r="E30" s="976">
        <v>20</v>
      </c>
      <c r="F30" s="976">
        <v>20</v>
      </c>
      <c r="G30" s="976">
        <v>15</v>
      </c>
      <c r="H30" s="976">
        <v>101.271</v>
      </c>
      <c r="I30" s="976"/>
      <c r="J30" s="1040">
        <v>-9</v>
      </c>
      <c r="K30" s="976">
        <v>92.271000000000001</v>
      </c>
      <c r="L30" s="978">
        <v>77.271000000000001</v>
      </c>
      <c r="M30" s="976" t="s">
        <v>3583</v>
      </c>
      <c r="N30" s="976">
        <v>123.02799999999999</v>
      </c>
      <c r="O30" s="735">
        <f t="shared" si="2"/>
        <v>103.02799999999999</v>
      </c>
      <c r="P30" s="738">
        <f t="shared" si="0"/>
        <v>123027.99999999999</v>
      </c>
      <c r="Q30" s="751">
        <f t="shared" si="1"/>
        <v>123000</v>
      </c>
      <c r="R30" s="747"/>
      <c r="S30" s="747"/>
      <c r="T30" s="747"/>
      <c r="U30" s="747"/>
      <c r="V30" s="988"/>
      <c r="W30" s="1024"/>
      <c r="X30" s="747"/>
      <c r="Y30" s="747"/>
      <c r="Z30" s="747"/>
      <c r="AA30" s="747"/>
      <c r="AB30" s="747"/>
      <c r="AC30" s="747"/>
      <c r="AD30" s="747"/>
      <c r="AE30" s="747"/>
      <c r="AF30" s="747"/>
      <c r="AG30" s="747"/>
      <c r="AH30" s="747"/>
      <c r="AI30" s="747"/>
      <c r="AJ30" s="747"/>
      <c r="AK30" s="747"/>
      <c r="AL30" s="747"/>
      <c r="AM30" s="747"/>
      <c r="AN30" s="747"/>
      <c r="AO30" s="747"/>
      <c r="AP30" s="747"/>
      <c r="AQ30" s="747"/>
      <c r="AR30" s="747"/>
      <c r="AS30" s="747"/>
      <c r="AT30" s="747"/>
      <c r="AU30" s="747"/>
      <c r="AV30" s="747"/>
      <c r="AW30" s="747"/>
      <c r="AX30" s="747"/>
    </row>
    <row r="31" spans="1:50" s="845" customFormat="1">
      <c r="A31" s="976" t="s">
        <v>3869</v>
      </c>
      <c r="B31" s="976" t="s">
        <v>1100</v>
      </c>
      <c r="C31" s="977">
        <v>1323000420</v>
      </c>
      <c r="D31" s="976" t="s">
        <v>3194</v>
      </c>
      <c r="E31" s="976">
        <v>10</v>
      </c>
      <c r="F31" s="976">
        <v>10</v>
      </c>
      <c r="G31" s="976">
        <v>7.5</v>
      </c>
      <c r="H31" s="976">
        <v>12.4815</v>
      </c>
      <c r="I31" s="976"/>
      <c r="J31" s="1040">
        <v>-1</v>
      </c>
      <c r="K31" s="976">
        <v>11.4815</v>
      </c>
      <c r="L31" s="978">
        <v>3.9815000000000005</v>
      </c>
      <c r="M31" s="976" t="s">
        <v>3583</v>
      </c>
      <c r="N31" s="976">
        <v>15.308666666666669</v>
      </c>
      <c r="O31" s="735">
        <f t="shared" si="2"/>
        <v>5.3086666666666691</v>
      </c>
      <c r="P31" s="738">
        <f t="shared" si="0"/>
        <v>15308.66666666667</v>
      </c>
      <c r="Q31" s="751">
        <f t="shared" si="1"/>
        <v>15000</v>
      </c>
      <c r="R31" s="747"/>
      <c r="S31" s="747"/>
      <c r="T31" s="747"/>
      <c r="U31" s="747"/>
      <c r="V31" s="988"/>
      <c r="W31" s="1024"/>
      <c r="X31" s="747"/>
      <c r="Y31" s="747"/>
      <c r="Z31" s="747"/>
      <c r="AA31" s="747"/>
      <c r="AB31" s="747"/>
      <c r="AC31" s="747"/>
      <c r="AD31" s="747"/>
      <c r="AE31" s="747"/>
      <c r="AF31" s="747"/>
      <c r="AG31" s="747"/>
      <c r="AH31" s="747"/>
      <c r="AI31" s="747"/>
      <c r="AJ31" s="747"/>
      <c r="AK31" s="747"/>
      <c r="AL31" s="747"/>
      <c r="AM31" s="747"/>
      <c r="AN31" s="747"/>
      <c r="AO31" s="747"/>
      <c r="AP31" s="747"/>
      <c r="AQ31" s="747"/>
      <c r="AR31" s="747"/>
      <c r="AS31" s="747"/>
      <c r="AT31" s="747"/>
      <c r="AU31" s="747"/>
      <c r="AV31" s="747"/>
      <c r="AW31" s="747"/>
      <c r="AX31" s="747"/>
    </row>
    <row r="32" spans="1:50" s="845" customFormat="1">
      <c r="A32" s="976" t="s">
        <v>3869</v>
      </c>
      <c r="B32" s="976" t="s">
        <v>1100</v>
      </c>
      <c r="C32" s="977">
        <v>1329300420</v>
      </c>
      <c r="D32" s="976" t="s">
        <v>269</v>
      </c>
      <c r="E32" s="976">
        <v>300</v>
      </c>
      <c r="F32" s="976">
        <v>300</v>
      </c>
      <c r="G32" s="976">
        <v>225</v>
      </c>
      <c r="H32" s="976">
        <v>127.3912</v>
      </c>
      <c r="I32" s="976"/>
      <c r="J32" s="1019">
        <v>98</v>
      </c>
      <c r="K32" s="976">
        <v>225.3912</v>
      </c>
      <c r="L32" s="978">
        <v>0.39119999999999777</v>
      </c>
      <c r="M32" s="976" t="s">
        <v>3583</v>
      </c>
      <c r="N32" s="976">
        <v>300.52159999999998</v>
      </c>
      <c r="O32" s="735">
        <f t="shared" si="2"/>
        <v>0.52159999999997808</v>
      </c>
      <c r="P32" s="738">
        <f t="shared" si="0"/>
        <v>300521.59999999998</v>
      </c>
      <c r="Q32" s="751">
        <f t="shared" si="1"/>
        <v>301000</v>
      </c>
      <c r="R32" s="747"/>
      <c r="S32" s="747"/>
      <c r="T32" s="747"/>
      <c r="U32" s="747"/>
      <c r="V32" s="988"/>
      <c r="W32" s="1024"/>
      <c r="X32" s="747"/>
      <c r="Y32" s="747"/>
      <c r="Z32" s="747"/>
      <c r="AA32" s="747"/>
      <c r="AB32" s="747"/>
      <c r="AC32" s="747"/>
      <c r="AD32" s="747"/>
      <c r="AE32" s="747"/>
      <c r="AF32" s="747"/>
      <c r="AG32" s="747"/>
      <c r="AH32" s="747"/>
      <c r="AI32" s="747"/>
      <c r="AJ32" s="747"/>
      <c r="AK32" s="747"/>
      <c r="AL32" s="747"/>
      <c r="AM32" s="747"/>
      <c r="AN32" s="747"/>
      <c r="AO32" s="747"/>
      <c r="AP32" s="747"/>
      <c r="AQ32" s="747"/>
      <c r="AR32" s="747"/>
      <c r="AS32" s="747"/>
      <c r="AT32" s="747"/>
      <c r="AU32" s="747"/>
      <c r="AV32" s="747"/>
      <c r="AW32" s="747"/>
      <c r="AX32" s="747"/>
    </row>
    <row r="33" spans="1:50" s="845" customFormat="1">
      <c r="A33" s="976" t="s">
        <v>3869</v>
      </c>
      <c r="B33" s="1029" t="s">
        <v>1097</v>
      </c>
      <c r="C33" s="977">
        <v>1317900420</v>
      </c>
      <c r="D33" s="987" t="s">
        <v>3195</v>
      </c>
      <c r="E33" s="976">
        <v>50</v>
      </c>
      <c r="F33" s="976">
        <v>50</v>
      </c>
      <c r="G33" s="976">
        <v>37.5</v>
      </c>
      <c r="H33" s="976">
        <v>0</v>
      </c>
      <c r="I33" s="976"/>
      <c r="J33" s="976"/>
      <c r="K33" s="976">
        <v>0</v>
      </c>
      <c r="L33" s="978">
        <v>-37.5</v>
      </c>
      <c r="M33" s="976" t="s">
        <v>3587</v>
      </c>
      <c r="N33" s="976">
        <v>0</v>
      </c>
      <c r="O33" s="860">
        <f t="shared" si="2"/>
        <v>-50</v>
      </c>
      <c r="P33" s="738">
        <f t="shared" si="0"/>
        <v>0</v>
      </c>
      <c r="Q33" s="751">
        <f t="shared" si="1"/>
        <v>0</v>
      </c>
      <c r="R33" s="861"/>
      <c r="S33" s="861"/>
      <c r="T33" s="861"/>
      <c r="U33" s="747"/>
      <c r="V33" s="988"/>
      <c r="W33" s="1024"/>
      <c r="X33" s="747"/>
      <c r="Y33" s="747"/>
      <c r="Z33" s="747"/>
      <c r="AA33" s="747"/>
      <c r="AB33" s="747"/>
      <c r="AC33" s="747"/>
      <c r="AD33" s="747"/>
      <c r="AE33" s="747"/>
      <c r="AF33" s="747"/>
      <c r="AG33" s="747"/>
      <c r="AH33" s="747"/>
      <c r="AI33" s="747"/>
      <c r="AJ33" s="747"/>
      <c r="AK33" s="747"/>
      <c r="AL33" s="747"/>
      <c r="AM33" s="747"/>
      <c r="AN33" s="747"/>
      <c r="AO33" s="747"/>
      <c r="AP33" s="747"/>
      <c r="AQ33" s="747"/>
      <c r="AR33" s="747"/>
      <c r="AS33" s="747"/>
      <c r="AT33" s="747"/>
      <c r="AU33" s="747"/>
      <c r="AV33" s="747"/>
      <c r="AW33" s="747"/>
      <c r="AX33" s="747"/>
    </row>
    <row r="34" spans="1:50" s="862" customFormat="1">
      <c r="A34" s="1029" t="s">
        <v>3869</v>
      </c>
      <c r="B34" s="976" t="s">
        <v>1097</v>
      </c>
      <c r="C34" s="1035">
        <v>1317800420</v>
      </c>
      <c r="D34" s="1029" t="s">
        <v>3196</v>
      </c>
      <c r="E34" s="1029">
        <v>150</v>
      </c>
      <c r="F34" s="1029">
        <v>150</v>
      </c>
      <c r="G34" s="1029">
        <v>112.5</v>
      </c>
      <c r="H34" s="1029">
        <v>-273.673</v>
      </c>
      <c r="I34" s="1029"/>
      <c r="J34" s="1029"/>
      <c r="K34" s="1029">
        <v>-273.673</v>
      </c>
      <c r="L34" s="1031">
        <v>-386.173</v>
      </c>
      <c r="M34" s="1029" t="s">
        <v>3588</v>
      </c>
      <c r="N34" s="1029">
        <v>-364.89733333333334</v>
      </c>
      <c r="O34" s="735">
        <f t="shared" si="2"/>
        <v>-514.89733333333334</v>
      </c>
      <c r="P34" s="738">
        <f t="shared" si="0"/>
        <v>-364897.33333333331</v>
      </c>
      <c r="Q34" s="751">
        <f t="shared" si="1"/>
        <v>-365000</v>
      </c>
      <c r="R34" s="747"/>
      <c r="S34" s="747"/>
      <c r="T34" s="747"/>
      <c r="U34" s="861"/>
      <c r="V34" s="988"/>
      <c r="W34" s="1024"/>
      <c r="X34" s="861"/>
      <c r="Y34" s="861"/>
      <c r="Z34" s="861"/>
      <c r="AA34" s="861"/>
      <c r="AB34" s="861"/>
      <c r="AC34" s="861"/>
      <c r="AD34" s="861"/>
      <c r="AE34" s="861"/>
      <c r="AF34" s="861"/>
      <c r="AG34" s="861"/>
      <c r="AH34" s="861"/>
      <c r="AI34" s="861"/>
      <c r="AJ34" s="861"/>
      <c r="AK34" s="861"/>
      <c r="AL34" s="861"/>
      <c r="AM34" s="861"/>
      <c r="AN34" s="861"/>
      <c r="AO34" s="861"/>
      <c r="AP34" s="861"/>
      <c r="AQ34" s="861"/>
      <c r="AR34" s="861"/>
      <c r="AS34" s="861"/>
      <c r="AT34" s="861"/>
      <c r="AU34" s="861"/>
      <c r="AV34" s="861"/>
      <c r="AW34" s="861"/>
      <c r="AX34" s="861"/>
    </row>
    <row r="35" spans="1:50" s="857" customFormat="1" ht="14.25" customHeight="1">
      <c r="A35" s="976"/>
      <c r="B35" s="976" t="s">
        <v>1079</v>
      </c>
      <c r="C35" s="977"/>
      <c r="D35" s="976"/>
      <c r="E35" s="976">
        <v>0</v>
      </c>
      <c r="F35" s="976"/>
      <c r="G35" s="976"/>
      <c r="H35" s="976"/>
      <c r="I35" s="976"/>
      <c r="J35" s="976"/>
      <c r="K35" s="976"/>
      <c r="L35" s="978">
        <v>0</v>
      </c>
      <c r="M35" s="976"/>
      <c r="N35" s="976"/>
      <c r="O35" s="735">
        <f t="shared" si="2"/>
        <v>0</v>
      </c>
      <c r="P35" s="738">
        <f t="shared" si="0"/>
        <v>0</v>
      </c>
      <c r="Q35" s="751">
        <f t="shared" si="1"/>
        <v>0</v>
      </c>
      <c r="R35" s="747"/>
      <c r="S35" s="747"/>
      <c r="T35" s="747"/>
      <c r="U35" s="747"/>
      <c r="V35" s="988"/>
      <c r="W35" s="1024"/>
      <c r="X35" s="747"/>
      <c r="Y35" s="747"/>
      <c r="Z35" s="747"/>
      <c r="AA35" s="747"/>
      <c r="AB35" s="747"/>
      <c r="AC35" s="747"/>
      <c r="AD35" s="747"/>
      <c r="AE35" s="747"/>
      <c r="AF35" s="747"/>
      <c r="AG35" s="747"/>
      <c r="AH35" s="747"/>
      <c r="AI35" s="747"/>
      <c r="AJ35" s="747"/>
      <c r="AK35" s="747"/>
      <c r="AL35" s="747"/>
      <c r="AM35" s="747"/>
      <c r="AN35" s="747"/>
      <c r="AO35" s="747"/>
      <c r="AP35" s="747"/>
      <c r="AQ35" s="747"/>
      <c r="AR35" s="747"/>
      <c r="AS35" s="747"/>
      <c r="AT35" s="747"/>
      <c r="AU35" s="747"/>
      <c r="AV35" s="747"/>
      <c r="AW35" s="747"/>
      <c r="AX35" s="747"/>
    </row>
    <row r="36" spans="1:50" s="856" customFormat="1" ht="15" customHeight="1">
      <c r="A36" s="979" t="s">
        <v>3577</v>
      </c>
      <c r="B36" s="976" t="s">
        <v>3862</v>
      </c>
      <c r="C36" s="980" t="s">
        <v>888</v>
      </c>
      <c r="D36" s="979" t="s">
        <v>1463</v>
      </c>
      <c r="E36" s="979">
        <v>10135</v>
      </c>
      <c r="F36" s="979">
        <v>10135</v>
      </c>
      <c r="G36" s="979">
        <v>7601.25</v>
      </c>
      <c r="H36" s="979">
        <v>5209.462590000001</v>
      </c>
      <c r="I36" s="979">
        <v>0</v>
      </c>
      <c r="J36" s="979">
        <v>1382</v>
      </c>
      <c r="K36" s="979">
        <v>6591.462590000001</v>
      </c>
      <c r="L36" s="979">
        <v>-1009.78741</v>
      </c>
      <c r="M36" s="979">
        <v>0</v>
      </c>
      <c r="N36" s="979">
        <v>8788.6167866666656</v>
      </c>
      <c r="O36" s="735">
        <f t="shared" si="2"/>
        <v>-1346.3832133333344</v>
      </c>
      <c r="P36" s="738">
        <f t="shared" si="0"/>
        <v>8788616.7866666652</v>
      </c>
      <c r="Q36" s="751">
        <f t="shared" si="1"/>
        <v>8789000</v>
      </c>
      <c r="R36" s="854"/>
      <c r="S36" s="854"/>
      <c r="T36" s="854"/>
      <c r="U36" s="855"/>
      <c r="V36" s="988"/>
      <c r="W36" s="1024"/>
      <c r="X36" s="854"/>
      <c r="Y36" s="854"/>
      <c r="Z36" s="854"/>
      <c r="AA36" s="854"/>
      <c r="AB36" s="854"/>
      <c r="AC36" s="854"/>
      <c r="AD36" s="854"/>
      <c r="AE36" s="854"/>
      <c r="AF36" s="854"/>
      <c r="AG36" s="854"/>
      <c r="AH36" s="854"/>
      <c r="AI36" s="854"/>
      <c r="AJ36" s="854"/>
      <c r="AK36" s="854"/>
      <c r="AL36" s="854"/>
      <c r="AM36" s="854"/>
      <c r="AN36" s="854"/>
      <c r="AO36" s="854"/>
      <c r="AP36" s="854"/>
      <c r="AQ36" s="854"/>
      <c r="AR36" s="854"/>
      <c r="AS36" s="854"/>
      <c r="AT36" s="854"/>
      <c r="AU36" s="854"/>
      <c r="AV36" s="854"/>
      <c r="AW36" s="854"/>
      <c r="AX36" s="854"/>
    </row>
    <row r="37" spans="1:50" s="852" customFormat="1" ht="15" customHeight="1">
      <c r="A37" s="981"/>
      <c r="B37" s="976" t="s">
        <v>1079</v>
      </c>
      <c r="C37" s="982"/>
      <c r="D37" s="981" t="s">
        <v>1464</v>
      </c>
      <c r="E37" s="981"/>
      <c r="F37" s="981"/>
      <c r="G37" s="981"/>
      <c r="H37" s="981"/>
      <c r="I37" s="981"/>
      <c r="J37" s="981"/>
      <c r="K37" s="981"/>
      <c r="L37" s="983"/>
      <c r="M37" s="981"/>
      <c r="N37" s="981"/>
      <c r="O37" s="735">
        <f t="shared" si="2"/>
        <v>0</v>
      </c>
      <c r="P37" s="738">
        <f t="shared" si="0"/>
        <v>0</v>
      </c>
      <c r="Q37" s="751">
        <f t="shared" si="1"/>
        <v>0</v>
      </c>
      <c r="R37" s="853"/>
      <c r="S37" s="853"/>
      <c r="T37" s="853"/>
      <c r="U37" s="853"/>
      <c r="V37" s="988"/>
      <c r="W37" s="1024"/>
      <c r="X37" s="853"/>
      <c r="Y37" s="853"/>
      <c r="Z37" s="853"/>
      <c r="AA37" s="853"/>
      <c r="AB37" s="853"/>
      <c r="AC37" s="853"/>
      <c r="AD37" s="853"/>
      <c r="AE37" s="853"/>
      <c r="AF37" s="853"/>
      <c r="AG37" s="853"/>
      <c r="AH37" s="853"/>
      <c r="AI37" s="853"/>
      <c r="AJ37" s="853"/>
      <c r="AK37" s="853"/>
      <c r="AL37" s="853"/>
      <c r="AM37" s="853"/>
      <c r="AN37" s="853"/>
      <c r="AO37" s="853"/>
      <c r="AP37" s="853"/>
      <c r="AQ37" s="853"/>
      <c r="AR37" s="853"/>
      <c r="AS37" s="853"/>
      <c r="AT37" s="853"/>
      <c r="AU37" s="853"/>
      <c r="AV37" s="853"/>
      <c r="AW37" s="853"/>
      <c r="AX37" s="853"/>
    </row>
    <row r="38" spans="1:50" s="845" customFormat="1" ht="14.25" customHeight="1">
      <c r="A38" s="976" t="s">
        <v>3872</v>
      </c>
      <c r="B38" s="976" t="s">
        <v>1107</v>
      </c>
      <c r="C38" s="977">
        <v>1341000490</v>
      </c>
      <c r="D38" s="976" t="s">
        <v>110</v>
      </c>
      <c r="E38" s="976">
        <v>30</v>
      </c>
      <c r="F38" s="976">
        <v>30</v>
      </c>
      <c r="G38" s="976">
        <v>22.5</v>
      </c>
      <c r="H38" s="976">
        <v>18.055</v>
      </c>
      <c r="I38" s="976"/>
      <c r="J38" s="1019">
        <v>5</v>
      </c>
      <c r="K38" s="976">
        <v>23.055</v>
      </c>
      <c r="L38" s="978">
        <v>0.55499999999999972</v>
      </c>
      <c r="M38" s="976" t="s">
        <v>3589</v>
      </c>
      <c r="N38" s="976">
        <v>30.739999999999995</v>
      </c>
      <c r="O38" s="735">
        <f t="shared" si="2"/>
        <v>0.73999999999999488</v>
      </c>
      <c r="P38" s="738">
        <f t="shared" si="0"/>
        <v>30739.999999999996</v>
      </c>
      <c r="Q38" s="751">
        <f t="shared" si="1"/>
        <v>31000</v>
      </c>
      <c r="R38" s="747"/>
      <c r="S38" s="747"/>
      <c r="T38" s="747"/>
      <c r="U38" s="751"/>
      <c r="V38" s="988"/>
      <c r="W38" s="1024"/>
      <c r="X38" s="747"/>
      <c r="Y38" s="747"/>
      <c r="Z38" s="747"/>
      <c r="AA38" s="747"/>
      <c r="AB38" s="747"/>
      <c r="AC38" s="747"/>
      <c r="AD38" s="747"/>
      <c r="AE38" s="747"/>
      <c r="AF38" s="747"/>
      <c r="AG38" s="747"/>
      <c r="AH38" s="747"/>
      <c r="AI38" s="747"/>
      <c r="AJ38" s="747"/>
      <c r="AK38" s="747"/>
      <c r="AL38" s="747"/>
      <c r="AM38" s="747"/>
      <c r="AN38" s="747"/>
      <c r="AO38" s="747"/>
      <c r="AP38" s="747"/>
      <c r="AQ38" s="747"/>
      <c r="AR38" s="747"/>
      <c r="AS38" s="747"/>
      <c r="AT38" s="747"/>
      <c r="AU38" s="747"/>
      <c r="AV38" s="747"/>
      <c r="AW38" s="747"/>
      <c r="AX38" s="747"/>
    </row>
    <row r="39" spans="1:50" s="845" customFormat="1" ht="14.25" customHeight="1">
      <c r="A39" s="976" t="s">
        <v>3872</v>
      </c>
      <c r="B39" s="976" t="s">
        <v>1107</v>
      </c>
      <c r="C39" s="977">
        <v>1342000490</v>
      </c>
      <c r="D39" s="976" t="s">
        <v>114</v>
      </c>
      <c r="E39" s="976">
        <v>254</v>
      </c>
      <c r="F39" s="976">
        <v>254</v>
      </c>
      <c r="G39" s="976">
        <v>190.5</v>
      </c>
      <c r="H39" s="976">
        <v>293.41199999999998</v>
      </c>
      <c r="I39" s="976"/>
      <c r="J39" s="1040">
        <v>-103</v>
      </c>
      <c r="K39" s="976">
        <v>190.41199999999998</v>
      </c>
      <c r="L39" s="978">
        <v>-8.8000000000022283E-2</v>
      </c>
      <c r="M39" s="976" t="s">
        <v>3589</v>
      </c>
      <c r="N39" s="976">
        <v>253.88266666666661</v>
      </c>
      <c r="O39" s="735">
        <f t="shared" si="2"/>
        <v>-0.11733333333339147</v>
      </c>
      <c r="P39" s="738">
        <f t="shared" si="0"/>
        <v>253882.6666666666</v>
      </c>
      <c r="Q39" s="751">
        <f t="shared" si="1"/>
        <v>254000</v>
      </c>
      <c r="R39" s="747"/>
      <c r="S39" s="747"/>
      <c r="T39" s="747"/>
      <c r="U39" s="751"/>
      <c r="V39" s="988"/>
      <c r="W39" s="1024"/>
      <c r="X39" s="747"/>
      <c r="Y39" s="747"/>
      <c r="Z39" s="747"/>
      <c r="AA39" s="747"/>
      <c r="AB39" s="747"/>
      <c r="AC39" s="747"/>
      <c r="AD39" s="747"/>
      <c r="AE39" s="747"/>
      <c r="AF39" s="747"/>
      <c r="AG39" s="747"/>
      <c r="AH39" s="747"/>
      <c r="AI39" s="747"/>
      <c r="AJ39" s="747"/>
      <c r="AK39" s="747"/>
      <c r="AL39" s="747"/>
      <c r="AM39" s="747"/>
      <c r="AN39" s="747"/>
      <c r="AO39" s="747"/>
      <c r="AP39" s="747"/>
      <c r="AQ39" s="747"/>
      <c r="AR39" s="747"/>
      <c r="AS39" s="747"/>
      <c r="AT39" s="747"/>
      <c r="AU39" s="747"/>
      <c r="AV39" s="747"/>
      <c r="AW39" s="747"/>
      <c r="AX39" s="747"/>
    </row>
    <row r="40" spans="1:50" s="845" customFormat="1" ht="14.25" customHeight="1">
      <c r="A40" s="976" t="s">
        <v>3869</v>
      </c>
      <c r="B40" s="976" t="s">
        <v>1107</v>
      </c>
      <c r="C40" s="977">
        <v>1343800420</v>
      </c>
      <c r="D40" s="976" t="s">
        <v>132</v>
      </c>
      <c r="E40" s="976">
        <v>700</v>
      </c>
      <c r="F40" s="976">
        <v>700</v>
      </c>
      <c r="G40" s="976">
        <v>525</v>
      </c>
      <c r="H40" s="976">
        <v>808.64359999999999</v>
      </c>
      <c r="I40" s="976"/>
      <c r="J40" s="976">
        <v>0</v>
      </c>
      <c r="K40" s="976">
        <v>808.64359999999999</v>
      </c>
      <c r="L40" s="978">
        <v>283.64359999999999</v>
      </c>
      <c r="M40" s="976" t="s">
        <v>3589</v>
      </c>
      <c r="N40" s="976">
        <v>1078.1914666666667</v>
      </c>
      <c r="O40" s="735">
        <f t="shared" si="2"/>
        <v>378.19146666666666</v>
      </c>
      <c r="P40" s="738">
        <f t="shared" si="0"/>
        <v>1078191.4666666666</v>
      </c>
      <c r="Q40" s="751">
        <f t="shared" si="1"/>
        <v>1078000</v>
      </c>
      <c r="R40" s="747"/>
      <c r="S40" s="747"/>
      <c r="T40" s="747"/>
      <c r="U40" s="751"/>
      <c r="V40" s="988"/>
      <c r="W40" s="1024"/>
      <c r="X40" s="747"/>
      <c r="Y40" s="747"/>
      <c r="Z40" s="747"/>
      <c r="AA40" s="747"/>
      <c r="AB40" s="747"/>
      <c r="AC40" s="747"/>
      <c r="AD40" s="747"/>
      <c r="AE40" s="747"/>
      <c r="AF40" s="747"/>
      <c r="AG40" s="747"/>
      <c r="AH40" s="747"/>
      <c r="AI40" s="747"/>
      <c r="AJ40" s="747"/>
      <c r="AK40" s="747"/>
      <c r="AL40" s="747"/>
      <c r="AM40" s="747"/>
      <c r="AN40" s="747"/>
      <c r="AO40" s="747"/>
      <c r="AP40" s="747"/>
      <c r="AQ40" s="747"/>
      <c r="AR40" s="747"/>
      <c r="AS40" s="747"/>
      <c r="AT40" s="747"/>
      <c r="AU40" s="747"/>
      <c r="AV40" s="747"/>
      <c r="AW40" s="747"/>
      <c r="AX40" s="747"/>
    </row>
    <row r="41" spans="1:50" s="845" customFormat="1" ht="14.25" customHeight="1">
      <c r="A41" s="976" t="s">
        <v>3869</v>
      </c>
      <c r="B41" s="976" t="s">
        <v>1107</v>
      </c>
      <c r="C41" s="977">
        <v>1344000420</v>
      </c>
      <c r="D41" s="976" t="s">
        <v>142</v>
      </c>
      <c r="E41" s="976">
        <v>470</v>
      </c>
      <c r="F41" s="976">
        <v>470</v>
      </c>
      <c r="G41" s="976">
        <v>352.5</v>
      </c>
      <c r="H41" s="976">
        <v>901.71910000000003</v>
      </c>
      <c r="I41" s="976"/>
      <c r="J41" s="1040">
        <v>-552</v>
      </c>
      <c r="K41" s="976">
        <v>349.71910000000003</v>
      </c>
      <c r="L41" s="978">
        <v>-2.7808999999999742</v>
      </c>
      <c r="M41" s="976" t="s">
        <v>3589</v>
      </c>
      <c r="N41" s="976">
        <v>466.29213333333337</v>
      </c>
      <c r="O41" s="735">
        <f t="shared" si="2"/>
        <v>-3.7078666666666322</v>
      </c>
      <c r="P41" s="738">
        <f t="shared" si="0"/>
        <v>466292.13333333336</v>
      </c>
      <c r="Q41" s="751">
        <f t="shared" si="1"/>
        <v>466000</v>
      </c>
      <c r="R41" s="747"/>
      <c r="S41" s="747"/>
      <c r="T41" s="747"/>
      <c r="U41" s="751"/>
      <c r="V41" s="988"/>
      <c r="W41" s="1024"/>
      <c r="X41" s="747"/>
      <c r="Y41" s="747"/>
      <c r="Z41" s="747"/>
      <c r="AA41" s="747"/>
      <c r="AB41" s="747"/>
      <c r="AC41" s="747"/>
      <c r="AD41" s="747"/>
      <c r="AE41" s="747"/>
      <c r="AF41" s="747"/>
      <c r="AG41" s="747"/>
      <c r="AH41" s="747"/>
      <c r="AI41" s="747"/>
      <c r="AJ41" s="747"/>
      <c r="AK41" s="747"/>
      <c r="AL41" s="747"/>
      <c r="AM41" s="747"/>
      <c r="AN41" s="747"/>
      <c r="AO41" s="747"/>
      <c r="AP41" s="747"/>
      <c r="AQ41" s="747"/>
      <c r="AR41" s="747"/>
      <c r="AS41" s="747"/>
      <c r="AT41" s="747"/>
      <c r="AU41" s="747"/>
      <c r="AV41" s="747"/>
      <c r="AW41" s="747"/>
      <c r="AX41" s="747"/>
    </row>
    <row r="42" spans="1:50" s="857" customFormat="1" ht="14.25" customHeight="1">
      <c r="A42" s="976" t="s">
        <v>3873</v>
      </c>
      <c r="B42" s="976" t="s">
        <v>1107</v>
      </c>
      <c r="C42" s="977">
        <v>1345400610</v>
      </c>
      <c r="D42" s="976" t="s">
        <v>167</v>
      </c>
      <c r="E42" s="976">
        <v>388</v>
      </c>
      <c r="F42" s="976">
        <v>388</v>
      </c>
      <c r="G42" s="976">
        <v>291</v>
      </c>
      <c r="H42" s="976">
        <v>404.03434000000004</v>
      </c>
      <c r="I42" s="976"/>
      <c r="J42" s="1040">
        <v>-107</v>
      </c>
      <c r="K42" s="976">
        <v>297.03434000000004</v>
      </c>
      <c r="L42" s="978">
        <v>6.0343400000000429</v>
      </c>
      <c r="M42" s="976" t="s">
        <v>3589</v>
      </c>
      <c r="N42" s="976">
        <v>396.04578666666674</v>
      </c>
      <c r="O42" s="735">
        <f t="shared" si="2"/>
        <v>8.0457866666667428</v>
      </c>
      <c r="P42" s="738">
        <f t="shared" si="0"/>
        <v>396045.78666666674</v>
      </c>
      <c r="Q42" s="751">
        <f t="shared" si="1"/>
        <v>396000</v>
      </c>
      <c r="R42" s="747"/>
      <c r="S42" s="747"/>
      <c r="T42" s="747"/>
      <c r="U42" s="751"/>
      <c r="V42" s="988"/>
      <c r="W42" s="1024"/>
      <c r="X42" s="747"/>
      <c r="Y42" s="747"/>
      <c r="Z42" s="747"/>
      <c r="AA42" s="747"/>
      <c r="AB42" s="747"/>
      <c r="AC42" s="747"/>
      <c r="AD42" s="747"/>
      <c r="AE42" s="747"/>
      <c r="AF42" s="747"/>
      <c r="AG42" s="747"/>
      <c r="AH42" s="747"/>
      <c r="AI42" s="747"/>
      <c r="AJ42" s="747"/>
      <c r="AK42" s="747"/>
      <c r="AL42" s="747"/>
      <c r="AM42" s="747"/>
      <c r="AN42" s="747"/>
      <c r="AO42" s="747"/>
      <c r="AP42" s="747"/>
      <c r="AQ42" s="747"/>
      <c r="AR42" s="747"/>
      <c r="AS42" s="747"/>
      <c r="AT42" s="747"/>
      <c r="AU42" s="747"/>
      <c r="AV42" s="747"/>
      <c r="AW42" s="747"/>
      <c r="AX42" s="747"/>
    </row>
    <row r="43" spans="1:50" s="856" customFormat="1" ht="15" customHeight="1">
      <c r="A43" s="979" t="s">
        <v>3577</v>
      </c>
      <c r="B43" s="976" t="s">
        <v>3862</v>
      </c>
      <c r="C43" s="980" t="s">
        <v>888</v>
      </c>
      <c r="D43" s="979" t="s">
        <v>1464</v>
      </c>
      <c r="E43" s="979">
        <v>1842</v>
      </c>
      <c r="F43" s="979">
        <v>1842</v>
      </c>
      <c r="G43" s="979">
        <v>1381.5</v>
      </c>
      <c r="H43" s="979">
        <v>2425.8640399999999</v>
      </c>
      <c r="I43" s="979">
        <v>0</v>
      </c>
      <c r="J43" s="979">
        <v>-757</v>
      </c>
      <c r="K43" s="979">
        <v>1668.8640399999999</v>
      </c>
      <c r="L43" s="979">
        <v>287.36404000000005</v>
      </c>
      <c r="M43" s="979">
        <v>0</v>
      </c>
      <c r="N43" s="979">
        <v>2225.1520533333332</v>
      </c>
      <c r="O43" s="735">
        <f t="shared" si="2"/>
        <v>383.15205333333324</v>
      </c>
      <c r="P43" s="738">
        <f t="shared" si="0"/>
        <v>2225152.0533333332</v>
      </c>
      <c r="Q43" s="751">
        <f t="shared" si="1"/>
        <v>2225000</v>
      </c>
      <c r="R43" s="854"/>
      <c r="S43" s="854"/>
      <c r="T43" s="854"/>
      <c r="U43" s="855"/>
      <c r="V43" s="988"/>
      <c r="W43" s="1024"/>
      <c r="X43" s="854"/>
      <c r="Y43" s="854"/>
      <c r="Z43" s="854"/>
      <c r="AA43" s="854"/>
      <c r="AB43" s="854"/>
      <c r="AC43" s="854"/>
      <c r="AD43" s="854"/>
      <c r="AE43" s="854"/>
      <c r="AF43" s="854"/>
      <c r="AG43" s="854"/>
      <c r="AH43" s="854"/>
      <c r="AI43" s="854"/>
      <c r="AJ43" s="854"/>
      <c r="AK43" s="854"/>
      <c r="AL43" s="854"/>
      <c r="AM43" s="854"/>
      <c r="AN43" s="854"/>
      <c r="AO43" s="854"/>
      <c r="AP43" s="854"/>
      <c r="AQ43" s="854"/>
      <c r="AR43" s="854"/>
      <c r="AS43" s="854"/>
      <c r="AT43" s="854"/>
      <c r="AU43" s="854"/>
      <c r="AV43" s="854"/>
      <c r="AW43" s="854"/>
      <c r="AX43" s="854"/>
    </row>
    <row r="44" spans="1:50" s="852" customFormat="1" ht="15" customHeight="1">
      <c r="A44" s="981"/>
      <c r="B44" s="976" t="s">
        <v>1079</v>
      </c>
      <c r="C44" s="982"/>
      <c r="D44" s="981" t="s">
        <v>3197</v>
      </c>
      <c r="E44" s="981"/>
      <c r="F44" s="981"/>
      <c r="G44" s="981"/>
      <c r="H44" s="981"/>
      <c r="I44" s="981"/>
      <c r="J44" s="981"/>
      <c r="K44" s="981"/>
      <c r="L44" s="983"/>
      <c r="M44" s="981"/>
      <c r="N44" s="981"/>
      <c r="O44" s="735">
        <f t="shared" si="2"/>
        <v>0</v>
      </c>
      <c r="P44" s="738">
        <f t="shared" si="0"/>
        <v>0</v>
      </c>
      <c r="Q44" s="751">
        <f t="shared" si="1"/>
        <v>0</v>
      </c>
      <c r="R44" s="853"/>
      <c r="S44" s="853"/>
      <c r="T44" s="853"/>
      <c r="U44" s="853"/>
      <c r="V44" s="988"/>
      <c r="W44" s="1024"/>
      <c r="X44" s="853"/>
      <c r="Y44" s="853"/>
      <c r="Z44" s="853"/>
      <c r="AA44" s="853"/>
      <c r="AB44" s="853"/>
      <c r="AC44" s="853"/>
      <c r="AD44" s="853"/>
      <c r="AE44" s="853"/>
      <c r="AF44" s="853"/>
      <c r="AG44" s="853"/>
      <c r="AH44" s="853"/>
      <c r="AI44" s="853"/>
      <c r="AJ44" s="853"/>
      <c r="AK44" s="853"/>
      <c r="AL44" s="853"/>
      <c r="AM44" s="853"/>
      <c r="AN44" s="853"/>
      <c r="AO44" s="853"/>
      <c r="AP44" s="853"/>
      <c r="AQ44" s="853"/>
      <c r="AR44" s="853"/>
      <c r="AS44" s="853"/>
      <c r="AT44" s="853"/>
      <c r="AU44" s="853"/>
      <c r="AV44" s="853"/>
      <c r="AW44" s="853"/>
      <c r="AX44" s="853"/>
    </row>
    <row r="45" spans="1:50" s="845" customFormat="1" ht="14.25" customHeight="1">
      <c r="A45" s="976" t="s">
        <v>3864</v>
      </c>
      <c r="B45" s="976" t="s">
        <v>1041</v>
      </c>
      <c r="C45" s="977">
        <v>1121000220</v>
      </c>
      <c r="D45" s="976" t="s">
        <v>12</v>
      </c>
      <c r="E45" s="976">
        <v>200</v>
      </c>
      <c r="F45" s="976">
        <v>200</v>
      </c>
      <c r="G45" s="976">
        <v>150</v>
      </c>
      <c r="H45" s="976">
        <v>174.51316</v>
      </c>
      <c r="I45" s="976"/>
      <c r="J45" s="976"/>
      <c r="K45" s="976">
        <v>174.51316</v>
      </c>
      <c r="L45" s="978">
        <v>24.513159999999999</v>
      </c>
      <c r="M45" s="976"/>
      <c r="N45" s="976">
        <v>232.68421333333333</v>
      </c>
      <c r="O45" s="735">
        <f t="shared" si="2"/>
        <v>32.684213333333332</v>
      </c>
      <c r="P45" s="738">
        <f t="shared" si="0"/>
        <v>232684.21333333332</v>
      </c>
      <c r="Q45" s="751">
        <f t="shared" si="1"/>
        <v>233000</v>
      </c>
      <c r="R45" s="747"/>
      <c r="S45" s="747"/>
      <c r="T45" s="747"/>
      <c r="U45" s="751"/>
      <c r="V45" s="988"/>
      <c r="W45" s="1024"/>
      <c r="X45" s="747"/>
      <c r="Y45" s="747"/>
      <c r="Z45" s="747"/>
      <c r="AA45" s="747"/>
      <c r="AB45" s="747"/>
      <c r="AC45" s="747"/>
      <c r="AD45" s="747"/>
      <c r="AE45" s="747"/>
      <c r="AF45" s="747"/>
      <c r="AG45" s="747"/>
      <c r="AH45" s="747"/>
      <c r="AI45" s="747"/>
      <c r="AJ45" s="747"/>
      <c r="AK45" s="747"/>
      <c r="AL45" s="747"/>
      <c r="AM45" s="747"/>
      <c r="AN45" s="747"/>
      <c r="AO45" s="747"/>
      <c r="AP45" s="747"/>
      <c r="AQ45" s="747"/>
      <c r="AR45" s="747"/>
      <c r="AS45" s="747"/>
      <c r="AT45" s="747"/>
      <c r="AU45" s="747"/>
      <c r="AV45" s="747"/>
      <c r="AW45" s="747"/>
      <c r="AX45" s="747"/>
    </row>
    <row r="46" spans="1:50" s="845" customFormat="1" ht="14.25" customHeight="1">
      <c r="A46" s="976" t="s">
        <v>3864</v>
      </c>
      <c r="B46" s="976" t="s">
        <v>1041</v>
      </c>
      <c r="C46" s="977">
        <v>1122000220</v>
      </c>
      <c r="D46" s="976" t="s">
        <v>13</v>
      </c>
      <c r="E46" s="976">
        <v>6000</v>
      </c>
      <c r="F46" s="976">
        <v>6000</v>
      </c>
      <c r="G46" s="976">
        <v>4500</v>
      </c>
      <c r="H46" s="976">
        <v>7553.8140300000005</v>
      </c>
      <c r="I46" s="976"/>
      <c r="J46" s="1040">
        <v>-1550</v>
      </c>
      <c r="K46" s="976">
        <v>6003.8140300000005</v>
      </c>
      <c r="L46" s="978">
        <v>1503.8140300000005</v>
      </c>
      <c r="M46" s="976" t="s">
        <v>3576</v>
      </c>
      <c r="N46" s="976">
        <v>8005.0853733333333</v>
      </c>
      <c r="O46" s="735">
        <f t="shared" si="2"/>
        <v>2005.0853733333333</v>
      </c>
      <c r="P46" s="738">
        <f t="shared" si="0"/>
        <v>8005085.3733333331</v>
      </c>
      <c r="Q46" s="751">
        <f t="shared" si="1"/>
        <v>8005000</v>
      </c>
      <c r="R46" s="747"/>
      <c r="S46" s="747"/>
      <c r="T46" s="747"/>
      <c r="U46" s="747"/>
      <c r="V46" s="988"/>
      <c r="W46" s="1024"/>
      <c r="X46" s="747"/>
      <c r="Y46" s="747"/>
      <c r="Z46" s="747"/>
      <c r="AA46" s="747"/>
      <c r="AB46" s="747"/>
      <c r="AC46" s="747"/>
      <c r="AD46" s="747"/>
      <c r="AE46" s="747"/>
      <c r="AF46" s="747"/>
      <c r="AG46" s="747"/>
      <c r="AH46" s="747"/>
      <c r="AI46" s="747"/>
      <c r="AJ46" s="747"/>
      <c r="AK46" s="747"/>
      <c r="AL46" s="747"/>
      <c r="AM46" s="747"/>
      <c r="AN46" s="747"/>
      <c r="AO46" s="747"/>
      <c r="AP46" s="747"/>
      <c r="AQ46" s="747"/>
      <c r="AR46" s="747"/>
      <c r="AS46" s="747"/>
      <c r="AT46" s="747"/>
      <c r="AU46" s="747"/>
      <c r="AV46" s="747"/>
      <c r="AW46" s="747"/>
      <c r="AX46" s="747"/>
    </row>
    <row r="47" spans="1:50" s="845" customFormat="1" ht="14.25" customHeight="1">
      <c r="A47" s="976" t="s">
        <v>3864</v>
      </c>
      <c r="B47" s="976" t="s">
        <v>1071</v>
      </c>
      <c r="C47" s="977">
        <v>1180000220</v>
      </c>
      <c r="D47" s="976" t="s">
        <v>15</v>
      </c>
      <c r="E47" s="976">
        <v>90</v>
      </c>
      <c r="F47" s="976">
        <v>90</v>
      </c>
      <c r="G47" s="976">
        <v>67.5</v>
      </c>
      <c r="H47" s="976">
        <v>67</v>
      </c>
      <c r="I47" s="976"/>
      <c r="J47" s="1019">
        <v>19</v>
      </c>
      <c r="K47" s="976">
        <v>86</v>
      </c>
      <c r="L47" s="978">
        <v>18.5</v>
      </c>
      <c r="M47" s="976" t="s">
        <v>3590</v>
      </c>
      <c r="N47" s="976">
        <v>114.66666666666667</v>
      </c>
      <c r="O47" s="735">
        <f t="shared" si="2"/>
        <v>24.666666666666671</v>
      </c>
      <c r="P47" s="738">
        <f t="shared" si="0"/>
        <v>114666.66666666667</v>
      </c>
      <c r="Q47" s="751">
        <f t="shared" si="1"/>
        <v>115000</v>
      </c>
      <c r="R47" s="747"/>
      <c r="S47" s="747"/>
      <c r="T47" s="747"/>
      <c r="U47" s="747"/>
      <c r="V47" s="988"/>
      <c r="W47" s="1024"/>
      <c r="X47" s="747"/>
      <c r="Y47" s="747"/>
      <c r="Z47" s="747"/>
      <c r="AA47" s="747"/>
      <c r="AB47" s="747"/>
      <c r="AC47" s="747"/>
      <c r="AD47" s="747"/>
      <c r="AE47" s="747"/>
      <c r="AF47" s="747"/>
      <c r="AG47" s="747"/>
      <c r="AH47" s="747"/>
      <c r="AI47" s="747"/>
      <c r="AJ47" s="747"/>
      <c r="AK47" s="747"/>
      <c r="AL47" s="747"/>
      <c r="AM47" s="747"/>
      <c r="AN47" s="747"/>
      <c r="AO47" s="747"/>
      <c r="AP47" s="747"/>
      <c r="AQ47" s="747"/>
      <c r="AR47" s="747"/>
      <c r="AS47" s="747"/>
      <c r="AT47" s="747"/>
      <c r="AU47" s="747"/>
      <c r="AV47" s="747"/>
      <c r="AW47" s="747"/>
      <c r="AX47" s="747"/>
    </row>
    <row r="48" spans="1:50" s="845" customFormat="1" ht="14.25" customHeight="1">
      <c r="A48" s="976" t="s">
        <v>3866</v>
      </c>
      <c r="B48" s="976" t="s">
        <v>1081</v>
      </c>
      <c r="C48" s="977">
        <v>1212300690</v>
      </c>
      <c r="D48" s="976" t="s">
        <v>3198</v>
      </c>
      <c r="E48" s="976">
        <v>0</v>
      </c>
      <c r="F48" s="976">
        <v>0</v>
      </c>
      <c r="G48" s="976">
        <v>0</v>
      </c>
      <c r="H48" s="976">
        <v>56.029800000000002</v>
      </c>
      <c r="I48" s="976"/>
      <c r="J48" s="1040">
        <v>-10</v>
      </c>
      <c r="K48" s="976">
        <v>46.029800000000002</v>
      </c>
      <c r="L48" s="978">
        <v>46.029800000000002</v>
      </c>
      <c r="M48" s="976"/>
      <c r="N48" s="976">
        <v>61.373066666666674</v>
      </c>
      <c r="O48" s="735">
        <f t="shared" si="2"/>
        <v>61.373066666666674</v>
      </c>
      <c r="P48" s="738">
        <f t="shared" si="0"/>
        <v>61373.066666666673</v>
      </c>
      <c r="Q48" s="751">
        <f t="shared" si="1"/>
        <v>61000</v>
      </c>
      <c r="R48" s="747"/>
      <c r="S48" s="747"/>
      <c r="T48" s="747"/>
      <c r="U48" s="747"/>
      <c r="V48" s="988"/>
      <c r="W48" s="1024"/>
      <c r="X48" s="747"/>
      <c r="Y48" s="747"/>
      <c r="Z48" s="747"/>
      <c r="AA48" s="747"/>
      <c r="AB48" s="747"/>
      <c r="AC48" s="747"/>
      <c r="AD48" s="747"/>
      <c r="AE48" s="747"/>
      <c r="AF48" s="747"/>
      <c r="AG48" s="747"/>
      <c r="AH48" s="747"/>
      <c r="AI48" s="747"/>
      <c r="AJ48" s="747"/>
      <c r="AK48" s="747"/>
      <c r="AL48" s="747"/>
      <c r="AM48" s="747"/>
      <c r="AN48" s="747"/>
      <c r="AO48" s="747"/>
      <c r="AP48" s="747"/>
      <c r="AQ48" s="747"/>
      <c r="AR48" s="747"/>
      <c r="AS48" s="747"/>
      <c r="AT48" s="747"/>
      <c r="AU48" s="747"/>
      <c r="AV48" s="747"/>
      <c r="AW48" s="747"/>
      <c r="AX48" s="747"/>
    </row>
    <row r="49" spans="1:50" s="845" customFormat="1" ht="14.25" customHeight="1">
      <c r="A49" s="976" t="s">
        <v>3873</v>
      </c>
      <c r="B49" s="976" t="s">
        <v>1081</v>
      </c>
      <c r="C49" s="977">
        <v>1212300610</v>
      </c>
      <c r="D49" s="976" t="s">
        <v>3199</v>
      </c>
      <c r="E49" s="976">
        <v>450</v>
      </c>
      <c r="F49" s="976">
        <v>450</v>
      </c>
      <c r="G49" s="976">
        <v>337.5</v>
      </c>
      <c r="H49" s="976">
        <v>360.5557</v>
      </c>
      <c r="I49" s="976"/>
      <c r="J49" s="1040">
        <v>-23</v>
      </c>
      <c r="K49" s="976">
        <v>337.5557</v>
      </c>
      <c r="L49" s="978">
        <v>5.5700000000001637E-2</v>
      </c>
      <c r="M49" s="976" t="s">
        <v>3591</v>
      </c>
      <c r="N49" s="976">
        <v>450.07426666666669</v>
      </c>
      <c r="O49" s="735">
        <f t="shared" si="2"/>
        <v>7.4266666666687797E-2</v>
      </c>
      <c r="P49" s="738">
        <f t="shared" si="0"/>
        <v>450074.26666666666</v>
      </c>
      <c r="Q49" s="751">
        <f t="shared" si="1"/>
        <v>450000</v>
      </c>
      <c r="R49" s="747"/>
      <c r="S49" s="747"/>
      <c r="T49" s="747"/>
      <c r="U49" s="747"/>
      <c r="V49" s="988"/>
      <c r="W49" s="1024"/>
      <c r="X49" s="747"/>
      <c r="Y49" s="747"/>
      <c r="Z49" s="747"/>
      <c r="AA49" s="747"/>
      <c r="AB49" s="747"/>
      <c r="AC49" s="747"/>
      <c r="AD49" s="747"/>
      <c r="AE49" s="747"/>
      <c r="AF49" s="747"/>
      <c r="AG49" s="747"/>
      <c r="AH49" s="747"/>
      <c r="AI49" s="747"/>
      <c r="AJ49" s="747"/>
      <c r="AK49" s="747"/>
      <c r="AL49" s="747"/>
      <c r="AM49" s="747"/>
      <c r="AN49" s="747"/>
      <c r="AO49" s="747"/>
      <c r="AP49" s="747"/>
      <c r="AQ49" s="747"/>
      <c r="AR49" s="747"/>
      <c r="AS49" s="747"/>
      <c r="AT49" s="747"/>
      <c r="AU49" s="747"/>
      <c r="AV49" s="747"/>
      <c r="AW49" s="747"/>
      <c r="AX49" s="747"/>
    </row>
    <row r="50" spans="1:50" s="845" customFormat="1" ht="14.25" customHeight="1">
      <c r="A50" s="976" t="s">
        <v>3874</v>
      </c>
      <c r="B50" s="976" t="s">
        <v>1081</v>
      </c>
      <c r="C50" s="977">
        <v>1212300611</v>
      </c>
      <c r="D50" s="976" t="s">
        <v>18</v>
      </c>
      <c r="E50" s="976">
        <v>400</v>
      </c>
      <c r="F50" s="976">
        <v>400</v>
      </c>
      <c r="G50" s="976">
        <v>300</v>
      </c>
      <c r="H50" s="976">
        <v>118.65439000000001</v>
      </c>
      <c r="I50" s="976"/>
      <c r="J50" s="1019">
        <v>121</v>
      </c>
      <c r="K50" s="976">
        <v>239.65439000000001</v>
      </c>
      <c r="L50" s="978">
        <v>-60.345609999999994</v>
      </c>
      <c r="M50" s="976" t="s">
        <v>3592</v>
      </c>
      <c r="N50" s="976">
        <v>319.53918666666664</v>
      </c>
      <c r="O50" s="735">
        <f t="shared" si="2"/>
        <v>-80.460813333333363</v>
      </c>
      <c r="P50" s="738">
        <f t="shared" si="0"/>
        <v>319539.18666666665</v>
      </c>
      <c r="Q50" s="751">
        <f t="shared" si="1"/>
        <v>320000</v>
      </c>
      <c r="R50" s="747"/>
      <c r="S50" s="747"/>
      <c r="T50" s="747"/>
      <c r="U50" s="747"/>
      <c r="V50" s="988"/>
      <c r="W50" s="1024"/>
      <c r="X50" s="747"/>
      <c r="Y50" s="747"/>
      <c r="Z50" s="747"/>
      <c r="AA50" s="747"/>
      <c r="AB50" s="747"/>
      <c r="AC50" s="747"/>
      <c r="AD50" s="747"/>
      <c r="AE50" s="747"/>
      <c r="AF50" s="747"/>
      <c r="AG50" s="747"/>
      <c r="AH50" s="747"/>
      <c r="AI50" s="747"/>
      <c r="AJ50" s="747"/>
      <c r="AK50" s="747"/>
      <c r="AL50" s="747"/>
      <c r="AM50" s="747"/>
      <c r="AN50" s="747"/>
      <c r="AO50" s="747"/>
      <c r="AP50" s="747"/>
      <c r="AQ50" s="747"/>
      <c r="AR50" s="747"/>
      <c r="AS50" s="747"/>
      <c r="AT50" s="747"/>
      <c r="AU50" s="747"/>
      <c r="AV50" s="747"/>
      <c r="AW50" s="747"/>
      <c r="AX50" s="747"/>
    </row>
    <row r="51" spans="1:50" s="845" customFormat="1" ht="14.25" customHeight="1">
      <c r="A51" s="976" t="s">
        <v>3864</v>
      </c>
      <c r="B51" s="976" t="s">
        <v>1081</v>
      </c>
      <c r="C51" s="977">
        <v>1214200220</v>
      </c>
      <c r="D51" s="976" t="s">
        <v>19</v>
      </c>
      <c r="E51" s="976">
        <v>420</v>
      </c>
      <c r="F51" s="976">
        <v>420</v>
      </c>
      <c r="G51" s="976">
        <v>315</v>
      </c>
      <c r="H51" s="976">
        <v>405.54950000000002</v>
      </c>
      <c r="I51" s="976"/>
      <c r="J51" s="1040">
        <v>-90</v>
      </c>
      <c r="K51" s="976">
        <v>315.54950000000002</v>
      </c>
      <c r="L51" s="978">
        <v>0.54950000000002319</v>
      </c>
      <c r="M51" s="976" t="s">
        <v>3591</v>
      </c>
      <c r="N51" s="976">
        <v>420.73266666666666</v>
      </c>
      <c r="O51" s="735">
        <f t="shared" si="2"/>
        <v>0.73266666666665969</v>
      </c>
      <c r="P51" s="738">
        <f t="shared" si="0"/>
        <v>420732.66666666669</v>
      </c>
      <c r="Q51" s="751">
        <f t="shared" si="1"/>
        <v>421000</v>
      </c>
      <c r="R51" s="747"/>
      <c r="S51" s="747"/>
      <c r="T51" s="747"/>
      <c r="U51" s="747"/>
      <c r="V51" s="988"/>
      <c r="W51" s="1024"/>
      <c r="X51" s="747"/>
      <c r="Y51" s="747"/>
      <c r="Z51" s="747"/>
      <c r="AA51" s="747"/>
      <c r="AB51" s="747"/>
      <c r="AC51" s="747"/>
      <c r="AD51" s="747"/>
      <c r="AE51" s="747"/>
      <c r="AF51" s="747"/>
      <c r="AG51" s="747"/>
      <c r="AH51" s="747"/>
      <c r="AI51" s="747"/>
      <c r="AJ51" s="747"/>
      <c r="AK51" s="747"/>
      <c r="AL51" s="747"/>
      <c r="AM51" s="747"/>
      <c r="AN51" s="747"/>
      <c r="AO51" s="747"/>
      <c r="AP51" s="747"/>
      <c r="AQ51" s="747"/>
      <c r="AR51" s="747"/>
      <c r="AS51" s="747"/>
      <c r="AT51" s="747"/>
      <c r="AU51" s="747"/>
      <c r="AV51" s="747"/>
      <c r="AW51" s="747"/>
      <c r="AX51" s="747"/>
    </row>
    <row r="52" spans="1:50" s="845" customFormat="1" ht="14.25" customHeight="1">
      <c r="A52" s="976" t="s">
        <v>3864</v>
      </c>
      <c r="B52" s="976" t="s">
        <v>1083</v>
      </c>
      <c r="C52" s="977">
        <v>1222000220</v>
      </c>
      <c r="D52" s="976" t="s">
        <v>23</v>
      </c>
      <c r="E52" s="976">
        <v>6700</v>
      </c>
      <c r="F52" s="976">
        <v>6700</v>
      </c>
      <c r="G52" s="976">
        <v>5025</v>
      </c>
      <c r="H52" s="976">
        <v>5816.9309699999994</v>
      </c>
      <c r="I52" s="976"/>
      <c r="J52" s="1040">
        <v>-791.5</v>
      </c>
      <c r="K52" s="976">
        <v>5025.4309699999994</v>
      </c>
      <c r="L52" s="978">
        <v>0.43096999999943364</v>
      </c>
      <c r="M52" s="976" t="s">
        <v>3576</v>
      </c>
      <c r="N52" s="976">
        <v>6700.5746266666656</v>
      </c>
      <c r="O52" s="735">
        <f t="shared" si="2"/>
        <v>0.57462666666560835</v>
      </c>
      <c r="P52" s="738">
        <f t="shared" si="0"/>
        <v>6700574.626666666</v>
      </c>
      <c r="Q52" s="751">
        <f t="shared" si="1"/>
        <v>6701000</v>
      </c>
      <c r="R52" s="747"/>
      <c r="S52" s="747"/>
      <c r="T52" s="747"/>
      <c r="U52" s="747"/>
      <c r="V52" s="988"/>
      <c r="W52" s="1024"/>
      <c r="X52" s="747"/>
      <c r="Y52" s="747"/>
      <c r="Z52" s="747"/>
      <c r="AA52" s="747"/>
      <c r="AB52" s="747"/>
      <c r="AC52" s="747"/>
      <c r="AD52" s="747"/>
      <c r="AE52" s="747"/>
      <c r="AF52" s="747"/>
      <c r="AG52" s="747"/>
      <c r="AH52" s="747"/>
      <c r="AI52" s="747"/>
      <c r="AJ52" s="747"/>
      <c r="AK52" s="747"/>
      <c r="AL52" s="747"/>
      <c r="AM52" s="747"/>
      <c r="AN52" s="747"/>
      <c r="AO52" s="747"/>
      <c r="AP52" s="747"/>
      <c r="AQ52" s="747"/>
      <c r="AR52" s="747"/>
      <c r="AS52" s="747"/>
      <c r="AT52" s="747"/>
      <c r="AU52" s="747"/>
      <c r="AV52" s="747"/>
      <c r="AW52" s="747"/>
      <c r="AX52" s="747"/>
    </row>
    <row r="53" spans="1:50" s="845" customFormat="1" ht="14.25" customHeight="1">
      <c r="A53" s="976" t="s">
        <v>3864</v>
      </c>
      <c r="B53" s="976" t="s">
        <v>1085</v>
      </c>
      <c r="C53" s="977">
        <v>1231000220</v>
      </c>
      <c r="D53" s="976" t="s">
        <v>28</v>
      </c>
      <c r="E53" s="976">
        <v>90</v>
      </c>
      <c r="F53" s="976">
        <v>90</v>
      </c>
      <c r="G53" s="976">
        <v>67.5</v>
      </c>
      <c r="H53" s="976">
        <v>96.105699999999999</v>
      </c>
      <c r="I53" s="976"/>
      <c r="J53" s="1040">
        <v>-16</v>
      </c>
      <c r="K53" s="976">
        <v>80.105699999999999</v>
      </c>
      <c r="L53" s="978">
        <v>12.605699999999999</v>
      </c>
      <c r="M53" s="976" t="s">
        <v>2388</v>
      </c>
      <c r="N53" s="976">
        <v>106.80759999999999</v>
      </c>
      <c r="O53" s="735">
        <f t="shared" si="2"/>
        <v>16.807599999999994</v>
      </c>
      <c r="P53" s="738">
        <f t="shared" si="0"/>
        <v>106807.59999999999</v>
      </c>
      <c r="Q53" s="751">
        <f t="shared" si="1"/>
        <v>107000</v>
      </c>
      <c r="R53" s="747"/>
      <c r="S53" s="747"/>
      <c r="T53" s="747"/>
      <c r="U53" s="747"/>
      <c r="V53" s="988"/>
      <c r="W53" s="1024"/>
      <c r="X53" s="747"/>
      <c r="Y53" s="747"/>
      <c r="Z53" s="747"/>
      <c r="AA53" s="747"/>
      <c r="AB53" s="747"/>
      <c r="AC53" s="747"/>
      <c r="AD53" s="747"/>
      <c r="AE53" s="747"/>
      <c r="AF53" s="747"/>
      <c r="AG53" s="747"/>
      <c r="AH53" s="747"/>
      <c r="AI53" s="747"/>
      <c r="AJ53" s="747"/>
      <c r="AK53" s="747"/>
      <c r="AL53" s="747"/>
      <c r="AM53" s="747"/>
      <c r="AN53" s="747"/>
      <c r="AO53" s="747"/>
      <c r="AP53" s="747"/>
      <c r="AQ53" s="747"/>
      <c r="AR53" s="747"/>
      <c r="AS53" s="747"/>
      <c r="AT53" s="747"/>
      <c r="AU53" s="747"/>
      <c r="AV53" s="747"/>
      <c r="AW53" s="747"/>
      <c r="AX53" s="747"/>
    </row>
    <row r="54" spans="1:50" s="845" customFormat="1" ht="14.25" customHeight="1">
      <c r="A54" s="976" t="s">
        <v>3864</v>
      </c>
      <c r="B54" s="976" t="s">
        <v>1085</v>
      </c>
      <c r="C54" s="977">
        <v>1233100220</v>
      </c>
      <c r="D54" s="976" t="s">
        <v>29</v>
      </c>
      <c r="E54" s="976">
        <v>6290</v>
      </c>
      <c r="F54" s="976">
        <v>6290</v>
      </c>
      <c r="G54" s="976">
        <v>4717.5</v>
      </c>
      <c r="H54" s="976">
        <v>5135.9352199999994</v>
      </c>
      <c r="I54" s="976"/>
      <c r="J54" s="1040">
        <v>-1011</v>
      </c>
      <c r="K54" s="976">
        <v>4124.9352199999994</v>
      </c>
      <c r="L54" s="978">
        <v>-592.56478000000061</v>
      </c>
      <c r="M54" s="976" t="s">
        <v>3593</v>
      </c>
      <c r="N54" s="976">
        <v>5499.9136266666656</v>
      </c>
      <c r="O54" s="735">
        <f t="shared" si="2"/>
        <v>-790.08637333333445</v>
      </c>
      <c r="P54" s="738">
        <f t="shared" si="0"/>
        <v>5499913.626666666</v>
      </c>
      <c r="Q54" s="751">
        <f t="shared" si="1"/>
        <v>5500000</v>
      </c>
      <c r="R54" s="747"/>
      <c r="S54" s="747"/>
      <c r="T54" s="747"/>
      <c r="U54" s="747"/>
      <c r="V54" s="988"/>
      <c r="W54" s="1024"/>
      <c r="X54" s="747"/>
      <c r="Y54" s="747"/>
      <c r="Z54" s="747"/>
      <c r="AA54" s="747"/>
      <c r="AB54" s="747"/>
      <c r="AC54" s="747"/>
      <c r="AD54" s="747"/>
      <c r="AE54" s="747"/>
      <c r="AF54" s="747"/>
      <c r="AG54" s="747"/>
      <c r="AH54" s="747"/>
      <c r="AI54" s="747"/>
      <c r="AJ54" s="747"/>
      <c r="AK54" s="747"/>
      <c r="AL54" s="747"/>
      <c r="AM54" s="747"/>
      <c r="AN54" s="747"/>
      <c r="AO54" s="747"/>
      <c r="AP54" s="747"/>
      <c r="AQ54" s="747"/>
      <c r="AR54" s="747"/>
      <c r="AS54" s="747"/>
      <c r="AT54" s="747"/>
      <c r="AU54" s="747"/>
      <c r="AV54" s="747"/>
      <c r="AW54" s="747"/>
      <c r="AX54" s="747"/>
    </row>
    <row r="55" spans="1:50" s="845" customFormat="1" ht="14.25" customHeight="1">
      <c r="A55" s="976" t="s">
        <v>3866</v>
      </c>
      <c r="B55" s="976" t="s">
        <v>1086</v>
      </c>
      <c r="C55" s="977">
        <v>1243000690</v>
      </c>
      <c r="D55" s="987" t="s">
        <v>3200</v>
      </c>
      <c r="E55" s="976">
        <v>0</v>
      </c>
      <c r="F55" s="976">
        <v>0</v>
      </c>
      <c r="G55" s="976">
        <v>0</v>
      </c>
      <c r="H55" s="976">
        <v>117.78962</v>
      </c>
      <c r="I55" s="976"/>
      <c r="J55" s="976"/>
      <c r="K55" s="976">
        <v>117.78962</v>
      </c>
      <c r="L55" s="978">
        <v>117.78962</v>
      </c>
      <c r="M55" s="976"/>
      <c r="N55" s="976">
        <v>157.05282666666665</v>
      </c>
      <c r="O55" s="735">
        <f t="shared" si="2"/>
        <v>157.05282666666665</v>
      </c>
      <c r="P55" s="738">
        <f t="shared" si="0"/>
        <v>157052.82666666666</v>
      </c>
      <c r="Q55" s="751">
        <f t="shared" si="1"/>
        <v>157000</v>
      </c>
      <c r="R55" s="747"/>
      <c r="S55" s="747"/>
      <c r="T55" s="747"/>
      <c r="U55" s="747"/>
      <c r="V55" s="988"/>
      <c r="W55" s="1024"/>
      <c r="X55" s="747"/>
      <c r="Y55" s="747"/>
      <c r="Z55" s="747"/>
      <c r="AA55" s="747"/>
      <c r="AB55" s="747"/>
      <c r="AC55" s="747"/>
      <c r="AD55" s="747"/>
      <c r="AE55" s="747"/>
      <c r="AF55" s="747"/>
      <c r="AG55" s="747"/>
      <c r="AH55" s="747"/>
      <c r="AI55" s="747"/>
      <c r="AJ55" s="747"/>
      <c r="AK55" s="747"/>
      <c r="AL55" s="747"/>
      <c r="AM55" s="747"/>
      <c r="AN55" s="747"/>
      <c r="AO55" s="747"/>
      <c r="AP55" s="747"/>
      <c r="AQ55" s="747"/>
      <c r="AR55" s="747"/>
      <c r="AS55" s="747"/>
      <c r="AT55" s="747"/>
      <c r="AU55" s="747"/>
      <c r="AV55" s="747"/>
      <c r="AW55" s="747"/>
      <c r="AX55" s="747"/>
    </row>
    <row r="56" spans="1:50" s="845" customFormat="1" ht="14.25" customHeight="1">
      <c r="A56" s="976" t="s">
        <v>3875</v>
      </c>
      <c r="B56" s="976" t="s">
        <v>964</v>
      </c>
      <c r="C56" s="977">
        <v>1262000650</v>
      </c>
      <c r="D56" s="976" t="s">
        <v>35</v>
      </c>
      <c r="E56" s="976">
        <v>0</v>
      </c>
      <c r="F56" s="976">
        <v>0</v>
      </c>
      <c r="G56" s="976">
        <v>0</v>
      </c>
      <c r="H56" s="976">
        <v>0.57999999999999996</v>
      </c>
      <c r="I56" s="976"/>
      <c r="J56" s="976"/>
      <c r="K56" s="976">
        <v>0.57999999999999996</v>
      </c>
      <c r="L56" s="978">
        <v>0.57999999999999996</v>
      </c>
      <c r="M56" s="976"/>
      <c r="N56" s="976">
        <v>0.77333333333333321</v>
      </c>
      <c r="O56" s="735">
        <f t="shared" si="2"/>
        <v>0.77333333333333321</v>
      </c>
      <c r="P56" s="738">
        <f t="shared" si="0"/>
        <v>773.33333333333326</v>
      </c>
      <c r="Q56" s="751">
        <f t="shared" si="1"/>
        <v>1000</v>
      </c>
      <c r="R56" s="747"/>
      <c r="S56" s="747"/>
      <c r="T56" s="747"/>
      <c r="U56" s="747"/>
      <c r="V56" s="988"/>
      <c r="W56" s="1024"/>
      <c r="X56" s="747"/>
      <c r="Y56" s="747"/>
      <c r="Z56" s="747"/>
      <c r="AA56" s="747"/>
      <c r="AB56" s="747"/>
      <c r="AC56" s="747"/>
      <c r="AD56" s="747"/>
      <c r="AE56" s="747"/>
      <c r="AF56" s="747"/>
      <c r="AG56" s="747"/>
      <c r="AH56" s="747"/>
      <c r="AI56" s="747"/>
      <c r="AJ56" s="747"/>
      <c r="AK56" s="747"/>
      <c r="AL56" s="747"/>
      <c r="AM56" s="747"/>
      <c r="AN56" s="747"/>
      <c r="AO56" s="747"/>
      <c r="AP56" s="747"/>
      <c r="AQ56" s="747"/>
      <c r="AR56" s="747"/>
      <c r="AS56" s="747"/>
      <c r="AT56" s="747"/>
      <c r="AU56" s="747"/>
      <c r="AV56" s="747"/>
      <c r="AW56" s="747"/>
      <c r="AX56" s="747"/>
    </row>
    <row r="57" spans="1:50" s="845" customFormat="1" ht="15" customHeight="1">
      <c r="A57" s="976" t="s">
        <v>3864</v>
      </c>
      <c r="B57" s="976" t="s">
        <v>1091</v>
      </c>
      <c r="C57" s="977">
        <v>1274000220</v>
      </c>
      <c r="D57" s="976" t="s">
        <v>3201</v>
      </c>
      <c r="E57" s="976">
        <v>0</v>
      </c>
      <c r="F57" s="976">
        <v>0</v>
      </c>
      <c r="G57" s="976">
        <v>0</v>
      </c>
      <c r="H57" s="976">
        <v>0</v>
      </c>
      <c r="I57" s="976"/>
      <c r="J57" s="976"/>
      <c r="K57" s="976">
        <v>0</v>
      </c>
      <c r="L57" s="978">
        <v>0</v>
      </c>
      <c r="M57" s="976"/>
      <c r="N57" s="976">
        <v>0</v>
      </c>
      <c r="O57" s="735">
        <f t="shared" si="2"/>
        <v>0</v>
      </c>
      <c r="P57" s="738">
        <f t="shared" si="0"/>
        <v>0</v>
      </c>
      <c r="Q57" s="751">
        <f t="shared" si="1"/>
        <v>0</v>
      </c>
      <c r="R57" s="747"/>
      <c r="S57" s="747"/>
      <c r="T57" s="747"/>
      <c r="U57" s="747"/>
      <c r="V57" s="988"/>
      <c r="W57" s="1024"/>
      <c r="X57" s="747"/>
      <c r="Y57" s="747"/>
      <c r="Z57" s="747"/>
      <c r="AA57" s="747"/>
      <c r="AB57" s="747"/>
      <c r="AC57" s="747"/>
      <c r="AD57" s="747"/>
      <c r="AE57" s="747"/>
      <c r="AF57" s="747"/>
      <c r="AG57" s="747"/>
      <c r="AH57" s="747"/>
      <c r="AI57" s="747"/>
      <c r="AJ57" s="747"/>
      <c r="AK57" s="747"/>
      <c r="AL57" s="747"/>
      <c r="AM57" s="747"/>
      <c r="AN57" s="747"/>
      <c r="AO57" s="747"/>
      <c r="AP57" s="747"/>
      <c r="AQ57" s="747"/>
      <c r="AR57" s="747"/>
      <c r="AS57" s="747"/>
      <c r="AT57" s="747"/>
      <c r="AU57" s="747"/>
      <c r="AV57" s="747"/>
      <c r="AW57" s="747"/>
      <c r="AX57" s="747"/>
    </row>
    <row r="58" spans="1:50" s="845" customFormat="1" ht="15" customHeight="1">
      <c r="A58" s="976" t="s">
        <v>3866</v>
      </c>
      <c r="B58" s="976" t="s">
        <v>1092</v>
      </c>
      <c r="C58" s="992">
        <v>1281000690</v>
      </c>
      <c r="D58" s="988" t="s">
        <v>37</v>
      </c>
      <c r="E58" s="976">
        <v>11000</v>
      </c>
      <c r="F58" s="976">
        <v>11000</v>
      </c>
      <c r="G58" s="976">
        <v>8250</v>
      </c>
      <c r="H58" s="976">
        <v>6648.6043200000004</v>
      </c>
      <c r="I58" s="976"/>
      <c r="J58" s="1019">
        <v>481</v>
      </c>
      <c r="K58" s="976">
        <v>7129.6043200000004</v>
      </c>
      <c r="L58" s="978">
        <v>-1120.3956799999996</v>
      </c>
      <c r="M58" s="976" t="s">
        <v>1651</v>
      </c>
      <c r="N58" s="976">
        <v>9506.139093333335</v>
      </c>
      <c r="O58" s="735">
        <f t="shared" si="2"/>
        <v>-1493.860906666665</v>
      </c>
      <c r="P58" s="738">
        <f t="shared" si="0"/>
        <v>9506139.0933333356</v>
      </c>
      <c r="Q58" s="751">
        <f t="shared" si="1"/>
        <v>9506000</v>
      </c>
      <c r="R58" s="747"/>
      <c r="S58" s="747"/>
      <c r="T58" s="747"/>
      <c r="U58" s="747"/>
      <c r="V58" s="988"/>
      <c r="W58" s="1024"/>
      <c r="X58" s="747"/>
      <c r="Y58" s="747"/>
      <c r="Z58" s="747"/>
      <c r="AA58" s="747"/>
      <c r="AB58" s="747"/>
      <c r="AC58" s="747"/>
      <c r="AD58" s="747"/>
      <c r="AE58" s="747"/>
      <c r="AF58" s="747"/>
      <c r="AG58" s="747"/>
      <c r="AH58" s="747"/>
      <c r="AI58" s="747"/>
      <c r="AJ58" s="747"/>
      <c r="AK58" s="747"/>
      <c r="AL58" s="747"/>
      <c r="AM58" s="747"/>
      <c r="AN58" s="747"/>
      <c r="AO58" s="747"/>
      <c r="AP58" s="747"/>
      <c r="AQ58" s="747"/>
      <c r="AR58" s="747"/>
      <c r="AS58" s="747"/>
      <c r="AT58" s="747"/>
      <c r="AU58" s="747"/>
      <c r="AV58" s="747"/>
      <c r="AW58" s="747"/>
      <c r="AX58" s="747"/>
    </row>
    <row r="59" spans="1:50" s="866" customFormat="1" ht="14.25" customHeight="1">
      <c r="A59" s="976" t="s">
        <v>3876</v>
      </c>
      <c r="B59" s="976" t="s">
        <v>1092</v>
      </c>
      <c r="C59" s="977">
        <v>1282000440</v>
      </c>
      <c r="D59" s="976" t="s">
        <v>38</v>
      </c>
      <c r="E59" s="976">
        <v>830</v>
      </c>
      <c r="F59" s="976">
        <v>830</v>
      </c>
      <c r="G59" s="976">
        <v>622.5</v>
      </c>
      <c r="H59" s="976">
        <v>794.24400000000003</v>
      </c>
      <c r="I59" s="976"/>
      <c r="J59" s="1040">
        <v>-199</v>
      </c>
      <c r="K59" s="976">
        <v>595.24400000000003</v>
      </c>
      <c r="L59" s="978">
        <v>-27.255999999999972</v>
      </c>
      <c r="M59" s="976" t="s">
        <v>3594</v>
      </c>
      <c r="N59" s="976">
        <v>793.6586666666667</v>
      </c>
      <c r="O59" s="863">
        <f t="shared" si="2"/>
        <v>-36.341333333333296</v>
      </c>
      <c r="P59" s="738">
        <f t="shared" si="0"/>
        <v>793658.66666666674</v>
      </c>
      <c r="Q59" s="751">
        <f t="shared" si="1"/>
        <v>794000</v>
      </c>
      <c r="R59" s="865"/>
      <c r="S59" s="865"/>
      <c r="T59" s="865"/>
      <c r="U59" s="865"/>
      <c r="V59" s="988"/>
      <c r="W59" s="1024"/>
      <c r="X59" s="865"/>
      <c r="Y59" s="865"/>
      <c r="Z59" s="865"/>
      <c r="AA59" s="865"/>
      <c r="AB59" s="865"/>
      <c r="AC59" s="865"/>
      <c r="AD59" s="865"/>
      <c r="AE59" s="865"/>
      <c r="AF59" s="865"/>
      <c r="AG59" s="865"/>
      <c r="AH59" s="865"/>
      <c r="AI59" s="865"/>
      <c r="AJ59" s="865"/>
      <c r="AK59" s="865"/>
      <c r="AL59" s="865"/>
      <c r="AM59" s="865"/>
      <c r="AN59" s="865"/>
      <c r="AO59" s="865"/>
      <c r="AP59" s="865"/>
      <c r="AQ59" s="865"/>
      <c r="AR59" s="865"/>
      <c r="AS59" s="865"/>
      <c r="AT59" s="865"/>
      <c r="AU59" s="865"/>
      <c r="AV59" s="865"/>
      <c r="AW59" s="865"/>
      <c r="AX59" s="865"/>
    </row>
    <row r="60" spans="1:50" s="845" customFormat="1" ht="14.25" customHeight="1">
      <c r="A60" s="976" t="s">
        <v>3866</v>
      </c>
      <c r="B60" s="976" t="s">
        <v>1092</v>
      </c>
      <c r="C60" s="977">
        <v>1282000690</v>
      </c>
      <c r="D60" s="976" t="s">
        <v>39</v>
      </c>
      <c r="E60" s="976">
        <v>250</v>
      </c>
      <c r="F60" s="976">
        <v>250</v>
      </c>
      <c r="G60" s="976">
        <v>187.5</v>
      </c>
      <c r="H60" s="976">
        <v>157.81571</v>
      </c>
      <c r="I60" s="976"/>
      <c r="J60" s="976"/>
      <c r="K60" s="976">
        <v>157.81571</v>
      </c>
      <c r="L60" s="978">
        <v>-29.684290000000004</v>
      </c>
      <c r="M60" s="976"/>
      <c r="N60" s="976">
        <v>210.42094666666668</v>
      </c>
      <c r="O60" s="735">
        <f t="shared" si="2"/>
        <v>-39.57905333333332</v>
      </c>
      <c r="P60" s="738">
        <f t="shared" si="0"/>
        <v>210420.94666666668</v>
      </c>
      <c r="Q60" s="751">
        <f t="shared" si="1"/>
        <v>210000</v>
      </c>
      <c r="R60" s="747"/>
      <c r="S60" s="747"/>
      <c r="T60" s="747"/>
      <c r="U60" s="747"/>
      <c r="V60" s="988"/>
      <c r="W60" s="1024"/>
      <c r="X60" s="747"/>
      <c r="Y60" s="747"/>
      <c r="Z60" s="747"/>
      <c r="AA60" s="747"/>
      <c r="AB60" s="747"/>
      <c r="AC60" s="747"/>
      <c r="AD60" s="747"/>
      <c r="AE60" s="747"/>
      <c r="AF60" s="747"/>
      <c r="AG60" s="747"/>
      <c r="AH60" s="747"/>
      <c r="AI60" s="747"/>
      <c r="AJ60" s="747"/>
      <c r="AK60" s="747"/>
      <c r="AL60" s="747"/>
      <c r="AM60" s="747"/>
      <c r="AN60" s="747"/>
      <c r="AO60" s="747"/>
      <c r="AP60" s="747"/>
      <c r="AQ60" s="747"/>
      <c r="AR60" s="747"/>
      <c r="AS60" s="747"/>
      <c r="AT60" s="747"/>
      <c r="AU60" s="747"/>
      <c r="AV60" s="747"/>
      <c r="AW60" s="747"/>
      <c r="AX60" s="747"/>
    </row>
    <row r="61" spans="1:50" s="845" customFormat="1" ht="14.25" customHeight="1">
      <c r="A61" s="976" t="s">
        <v>3877</v>
      </c>
      <c r="B61" s="976" t="s">
        <v>1092</v>
      </c>
      <c r="C61" s="977">
        <v>1282000691</v>
      </c>
      <c r="D61" s="976" t="s">
        <v>40</v>
      </c>
      <c r="E61" s="976">
        <v>20</v>
      </c>
      <c r="F61" s="976">
        <v>20</v>
      </c>
      <c r="G61" s="976">
        <v>15</v>
      </c>
      <c r="H61" s="976">
        <v>11.1145</v>
      </c>
      <c r="I61" s="976"/>
      <c r="J61" s="976"/>
      <c r="K61" s="976">
        <v>11.1145</v>
      </c>
      <c r="L61" s="978">
        <v>-3.8855000000000004</v>
      </c>
      <c r="M61" s="976"/>
      <c r="N61" s="976">
        <v>14.819333333333333</v>
      </c>
      <c r="O61" s="735">
        <f t="shared" si="2"/>
        <v>-5.1806666666666672</v>
      </c>
      <c r="P61" s="738">
        <f t="shared" si="0"/>
        <v>14819.333333333332</v>
      </c>
      <c r="Q61" s="751">
        <f t="shared" si="1"/>
        <v>15000</v>
      </c>
      <c r="R61" s="747"/>
      <c r="S61" s="747"/>
      <c r="T61" s="747"/>
      <c r="U61" s="747"/>
      <c r="V61" s="988"/>
      <c r="W61" s="1024"/>
      <c r="X61" s="747"/>
      <c r="Y61" s="747"/>
      <c r="Z61" s="747"/>
      <c r="AA61" s="747"/>
      <c r="AB61" s="747"/>
      <c r="AC61" s="747"/>
      <c r="AD61" s="747"/>
      <c r="AE61" s="747"/>
      <c r="AF61" s="747"/>
      <c r="AG61" s="747"/>
      <c r="AH61" s="747"/>
      <c r="AI61" s="747"/>
      <c r="AJ61" s="747"/>
      <c r="AK61" s="747"/>
      <c r="AL61" s="747"/>
      <c r="AM61" s="747"/>
      <c r="AN61" s="747"/>
      <c r="AO61" s="747"/>
      <c r="AP61" s="747"/>
      <c r="AQ61" s="747"/>
      <c r="AR61" s="747"/>
      <c r="AS61" s="747"/>
      <c r="AT61" s="747"/>
      <c r="AU61" s="747"/>
      <c r="AV61" s="747"/>
      <c r="AW61" s="747"/>
      <c r="AX61" s="747"/>
    </row>
    <row r="62" spans="1:50" s="845" customFormat="1" ht="14.25" customHeight="1">
      <c r="A62" s="976" t="s">
        <v>3878</v>
      </c>
      <c r="B62" s="976" t="s">
        <v>1092</v>
      </c>
      <c r="C62" s="977">
        <v>1282000692</v>
      </c>
      <c r="D62" s="976"/>
      <c r="E62" s="976">
        <v>0</v>
      </c>
      <c r="F62" s="976">
        <v>0</v>
      </c>
      <c r="G62" s="976">
        <v>0</v>
      </c>
      <c r="H62" s="976">
        <v>0</v>
      </c>
      <c r="I62" s="976"/>
      <c r="J62" s="976"/>
      <c r="K62" s="976">
        <v>0</v>
      </c>
      <c r="L62" s="978">
        <v>0</v>
      </c>
      <c r="M62" s="976"/>
      <c r="N62" s="976">
        <v>0</v>
      </c>
      <c r="O62" s="735">
        <f t="shared" si="2"/>
        <v>0</v>
      </c>
      <c r="P62" s="738">
        <f t="shared" si="0"/>
        <v>0</v>
      </c>
      <c r="Q62" s="751">
        <f t="shared" si="1"/>
        <v>0</v>
      </c>
      <c r="R62" s="747"/>
      <c r="S62" s="747"/>
      <c r="T62" s="747"/>
      <c r="U62" s="747"/>
      <c r="V62" s="988"/>
      <c r="W62" s="1024"/>
      <c r="X62" s="747"/>
      <c r="Y62" s="747"/>
      <c r="Z62" s="747"/>
      <c r="AA62" s="747"/>
      <c r="AB62" s="747"/>
      <c r="AC62" s="747"/>
      <c r="AD62" s="747"/>
      <c r="AE62" s="747"/>
      <c r="AF62" s="747"/>
      <c r="AG62" s="747"/>
      <c r="AH62" s="747"/>
      <c r="AI62" s="747"/>
      <c r="AJ62" s="747"/>
      <c r="AK62" s="747"/>
      <c r="AL62" s="747"/>
      <c r="AM62" s="747"/>
      <c r="AN62" s="747"/>
      <c r="AO62" s="747"/>
      <c r="AP62" s="747"/>
      <c r="AQ62" s="747"/>
      <c r="AR62" s="747"/>
      <c r="AS62" s="747"/>
      <c r="AT62" s="747"/>
      <c r="AU62" s="747"/>
      <c r="AV62" s="747"/>
      <c r="AW62" s="747"/>
      <c r="AX62" s="747"/>
    </row>
    <row r="63" spans="1:50" s="845" customFormat="1" ht="14.25" customHeight="1">
      <c r="A63" s="976" t="s">
        <v>3879</v>
      </c>
      <c r="B63" s="976" t="s">
        <v>1092</v>
      </c>
      <c r="C63" s="977">
        <v>1282000693</v>
      </c>
      <c r="D63" s="976" t="s">
        <v>41</v>
      </c>
      <c r="E63" s="976">
        <v>130</v>
      </c>
      <c r="F63" s="976">
        <v>130</v>
      </c>
      <c r="G63" s="976">
        <v>97.5</v>
      </c>
      <c r="H63" s="976">
        <v>136.41665</v>
      </c>
      <c r="I63" s="976"/>
      <c r="J63" s="976"/>
      <c r="K63" s="976">
        <v>136.41665</v>
      </c>
      <c r="L63" s="978">
        <v>38.916650000000004</v>
      </c>
      <c r="M63" s="976"/>
      <c r="N63" s="976">
        <v>181.88886666666667</v>
      </c>
      <c r="O63" s="735">
        <f t="shared" si="2"/>
        <v>51.888866666666672</v>
      </c>
      <c r="P63" s="738">
        <f t="shared" si="0"/>
        <v>181888.86666666667</v>
      </c>
      <c r="Q63" s="751">
        <f t="shared" si="1"/>
        <v>182000</v>
      </c>
      <c r="R63" s="747"/>
      <c r="S63" s="747"/>
      <c r="T63" s="747"/>
      <c r="U63" s="747"/>
      <c r="V63" s="988"/>
      <c r="W63" s="1024"/>
      <c r="X63" s="747"/>
      <c r="Y63" s="747"/>
      <c r="Z63" s="747"/>
      <c r="AA63" s="747"/>
      <c r="AB63" s="747"/>
      <c r="AC63" s="747"/>
      <c r="AD63" s="747"/>
      <c r="AE63" s="747"/>
      <c r="AF63" s="747"/>
      <c r="AG63" s="747"/>
      <c r="AH63" s="747"/>
      <c r="AI63" s="747"/>
      <c r="AJ63" s="747"/>
      <c r="AK63" s="747"/>
      <c r="AL63" s="747"/>
      <c r="AM63" s="747"/>
      <c r="AN63" s="747"/>
      <c r="AO63" s="747"/>
      <c r="AP63" s="747"/>
      <c r="AQ63" s="747"/>
      <c r="AR63" s="747"/>
      <c r="AS63" s="747"/>
      <c r="AT63" s="747"/>
      <c r="AU63" s="747"/>
      <c r="AV63" s="747"/>
      <c r="AW63" s="747"/>
      <c r="AX63" s="747"/>
    </row>
    <row r="64" spans="1:50" s="845" customFormat="1" ht="14.25" customHeight="1">
      <c r="A64" s="976" t="s">
        <v>3880</v>
      </c>
      <c r="B64" s="976" t="s">
        <v>1092</v>
      </c>
      <c r="C64" s="977">
        <v>1282000694</v>
      </c>
      <c r="D64" s="976" t="s">
        <v>42</v>
      </c>
      <c r="E64" s="976">
        <v>60</v>
      </c>
      <c r="F64" s="976">
        <v>60</v>
      </c>
      <c r="G64" s="976">
        <v>45</v>
      </c>
      <c r="H64" s="976">
        <v>75.072779999999995</v>
      </c>
      <c r="I64" s="976"/>
      <c r="J64" s="976"/>
      <c r="K64" s="976">
        <v>75.072779999999995</v>
      </c>
      <c r="L64" s="978">
        <v>30.072779999999995</v>
      </c>
      <c r="M64" s="976"/>
      <c r="N64" s="976">
        <v>100.09703999999999</v>
      </c>
      <c r="O64" s="735">
        <f t="shared" si="2"/>
        <v>40.097039999999993</v>
      </c>
      <c r="P64" s="738">
        <f t="shared" si="0"/>
        <v>100097.04</v>
      </c>
      <c r="Q64" s="751">
        <f t="shared" si="1"/>
        <v>100000</v>
      </c>
      <c r="R64" s="747"/>
      <c r="S64" s="747"/>
      <c r="T64" s="747"/>
      <c r="U64" s="747"/>
      <c r="V64" s="988"/>
      <c r="W64" s="1024"/>
      <c r="X64" s="747"/>
      <c r="Y64" s="747"/>
      <c r="Z64" s="747"/>
      <c r="AA64" s="747"/>
      <c r="AB64" s="747"/>
      <c r="AC64" s="747"/>
      <c r="AD64" s="747"/>
      <c r="AE64" s="747"/>
      <c r="AF64" s="747"/>
      <c r="AG64" s="747"/>
      <c r="AH64" s="747"/>
      <c r="AI64" s="747"/>
      <c r="AJ64" s="747"/>
      <c r="AK64" s="747"/>
      <c r="AL64" s="747"/>
      <c r="AM64" s="747"/>
      <c r="AN64" s="747"/>
      <c r="AO64" s="747"/>
      <c r="AP64" s="747"/>
      <c r="AQ64" s="747"/>
      <c r="AR64" s="747"/>
      <c r="AS64" s="747"/>
      <c r="AT64" s="747"/>
      <c r="AU64" s="747"/>
      <c r="AV64" s="747"/>
      <c r="AW64" s="747"/>
      <c r="AX64" s="747"/>
    </row>
    <row r="65" spans="1:51" s="845" customFormat="1" ht="14.25" customHeight="1">
      <c r="A65" s="976" t="s">
        <v>3864</v>
      </c>
      <c r="B65" s="976" t="s">
        <v>1094</v>
      </c>
      <c r="C65" s="977">
        <v>1291000220</v>
      </c>
      <c r="D65" s="976" t="s">
        <v>45</v>
      </c>
      <c r="E65" s="976">
        <v>100</v>
      </c>
      <c r="F65" s="976">
        <v>100</v>
      </c>
      <c r="G65" s="976">
        <v>75</v>
      </c>
      <c r="H65" s="976">
        <v>52.331800000000001</v>
      </c>
      <c r="I65" s="976"/>
      <c r="J65" s="976"/>
      <c r="K65" s="976">
        <v>52.331800000000001</v>
      </c>
      <c r="L65" s="978">
        <v>-22.668199999999999</v>
      </c>
      <c r="M65" s="976" t="s">
        <v>1651</v>
      </c>
      <c r="N65" s="976">
        <v>69.775733333333335</v>
      </c>
      <c r="O65" s="735">
        <f t="shared" si="2"/>
        <v>-30.224266666666665</v>
      </c>
      <c r="P65" s="738">
        <f t="shared" si="0"/>
        <v>69775.733333333337</v>
      </c>
      <c r="Q65" s="751">
        <f t="shared" si="1"/>
        <v>70000</v>
      </c>
      <c r="R65" s="747"/>
      <c r="S65" s="747"/>
      <c r="T65" s="747"/>
      <c r="U65" s="747"/>
      <c r="V65" s="988"/>
      <c r="W65" s="1024"/>
      <c r="X65" s="747"/>
      <c r="Y65" s="747"/>
      <c r="Z65" s="747"/>
      <c r="AA65" s="747"/>
      <c r="AB65" s="747"/>
      <c r="AC65" s="747"/>
      <c r="AD65" s="747"/>
      <c r="AE65" s="747"/>
      <c r="AF65" s="747"/>
      <c r="AG65" s="747"/>
      <c r="AH65" s="747"/>
      <c r="AI65" s="747"/>
      <c r="AJ65" s="747"/>
      <c r="AK65" s="747"/>
      <c r="AL65" s="747"/>
      <c r="AM65" s="747"/>
      <c r="AN65" s="747"/>
      <c r="AO65" s="747"/>
      <c r="AP65" s="747"/>
      <c r="AQ65" s="747"/>
      <c r="AR65" s="747"/>
      <c r="AS65" s="747"/>
      <c r="AT65" s="747"/>
      <c r="AU65" s="747"/>
      <c r="AV65" s="747"/>
      <c r="AW65" s="747"/>
      <c r="AX65" s="747"/>
    </row>
    <row r="66" spans="1:51" s="845" customFormat="1" ht="14.25" customHeight="1">
      <c r="A66" s="976" t="s">
        <v>3876</v>
      </c>
      <c r="B66" s="976" t="s">
        <v>1113</v>
      </c>
      <c r="C66" s="977">
        <v>1360000440</v>
      </c>
      <c r="D66" s="976" t="s">
        <v>226</v>
      </c>
      <c r="E66" s="976">
        <v>40</v>
      </c>
      <c r="F66" s="976">
        <v>40</v>
      </c>
      <c r="G66" s="976">
        <v>30</v>
      </c>
      <c r="H66" s="976">
        <v>27.244</v>
      </c>
      <c r="I66" s="976"/>
      <c r="J66" s="1019">
        <v>3</v>
      </c>
      <c r="K66" s="976">
        <v>30.244</v>
      </c>
      <c r="L66" s="978">
        <v>0.24399999999999977</v>
      </c>
      <c r="M66" s="976" t="s">
        <v>3583</v>
      </c>
      <c r="N66" s="976">
        <v>40.325333333333333</v>
      </c>
      <c r="O66" s="735">
        <f t="shared" si="2"/>
        <v>0.32533333333333303</v>
      </c>
      <c r="P66" s="738">
        <f t="shared" si="0"/>
        <v>40325.333333333336</v>
      </c>
      <c r="Q66" s="751">
        <f t="shared" si="1"/>
        <v>40000</v>
      </c>
      <c r="R66" s="747"/>
      <c r="S66" s="747"/>
      <c r="T66" s="747"/>
      <c r="U66" s="747"/>
      <c r="V66" s="988"/>
      <c r="W66" s="1024"/>
      <c r="X66" s="747"/>
      <c r="Y66" s="747"/>
      <c r="Z66" s="747"/>
      <c r="AA66" s="747"/>
      <c r="AB66" s="747"/>
      <c r="AC66" s="747"/>
      <c r="AD66" s="747"/>
      <c r="AE66" s="747"/>
      <c r="AF66" s="747"/>
      <c r="AG66" s="747"/>
      <c r="AH66" s="747"/>
      <c r="AI66" s="747"/>
      <c r="AJ66" s="747"/>
      <c r="AK66" s="747"/>
      <c r="AL66" s="747"/>
      <c r="AM66" s="747"/>
      <c r="AN66" s="747"/>
      <c r="AO66" s="747"/>
      <c r="AP66" s="747"/>
      <c r="AQ66" s="747"/>
      <c r="AR66" s="747"/>
      <c r="AS66" s="747"/>
      <c r="AT66" s="747"/>
      <c r="AU66" s="747"/>
      <c r="AV66" s="747"/>
      <c r="AW66" s="747"/>
      <c r="AX66" s="747"/>
    </row>
    <row r="67" spans="1:51" s="845" customFormat="1">
      <c r="A67" s="976" t="s">
        <v>3866</v>
      </c>
      <c r="B67" s="976" t="s">
        <v>1115</v>
      </c>
      <c r="C67" s="977">
        <v>1379000690</v>
      </c>
      <c r="D67" s="976" t="s">
        <v>230</v>
      </c>
      <c r="E67" s="976">
        <v>500</v>
      </c>
      <c r="F67" s="976">
        <v>500</v>
      </c>
      <c r="G67" s="976">
        <v>375</v>
      </c>
      <c r="H67" s="976">
        <v>158.50143</v>
      </c>
      <c r="I67" s="976"/>
      <c r="J67" s="1040">
        <v>-8</v>
      </c>
      <c r="K67" s="976">
        <v>150.50143</v>
      </c>
      <c r="L67" s="978">
        <v>-224.49857</v>
      </c>
      <c r="M67" s="976" t="s">
        <v>1651</v>
      </c>
      <c r="N67" s="976">
        <v>200.66857333333331</v>
      </c>
      <c r="O67" s="735">
        <f t="shared" si="2"/>
        <v>-299.33142666666669</v>
      </c>
      <c r="P67" s="738">
        <f t="shared" si="0"/>
        <v>200668.5733333333</v>
      </c>
      <c r="Q67" s="751">
        <f t="shared" si="1"/>
        <v>201000</v>
      </c>
      <c r="R67" s="747"/>
      <c r="S67" s="747"/>
      <c r="T67" s="747"/>
      <c r="U67" s="747"/>
      <c r="V67" s="988"/>
      <c r="W67" s="1024"/>
      <c r="X67" s="747"/>
      <c r="Y67" s="747"/>
      <c r="Z67" s="747"/>
      <c r="AA67" s="747"/>
      <c r="AB67" s="747"/>
      <c r="AC67" s="747"/>
      <c r="AD67" s="747"/>
      <c r="AE67" s="747"/>
      <c r="AF67" s="747"/>
      <c r="AG67" s="747"/>
      <c r="AH67" s="747"/>
      <c r="AI67" s="747"/>
      <c r="AJ67" s="747"/>
      <c r="AK67" s="747"/>
      <c r="AL67" s="747"/>
      <c r="AM67" s="747"/>
      <c r="AN67" s="747"/>
      <c r="AO67" s="747"/>
      <c r="AP67" s="747"/>
      <c r="AQ67" s="747"/>
      <c r="AR67" s="747"/>
      <c r="AS67" s="747"/>
      <c r="AT67" s="747"/>
      <c r="AU67" s="747"/>
      <c r="AV67" s="747"/>
      <c r="AW67" s="747"/>
      <c r="AX67" s="747"/>
    </row>
    <row r="68" spans="1:51" s="845" customFormat="1">
      <c r="A68" s="976" t="s">
        <v>3876</v>
      </c>
      <c r="B68" s="976" t="s">
        <v>1127</v>
      </c>
      <c r="C68" s="977">
        <v>1413100440</v>
      </c>
      <c r="D68" s="976" t="s">
        <v>3202</v>
      </c>
      <c r="E68" s="976">
        <v>0</v>
      </c>
      <c r="F68" s="976">
        <v>0</v>
      </c>
      <c r="G68" s="976">
        <v>0</v>
      </c>
      <c r="H68" s="976">
        <v>-8.6E-3</v>
      </c>
      <c r="I68" s="976"/>
      <c r="J68" s="976"/>
      <c r="K68" s="976">
        <v>-8.6E-3</v>
      </c>
      <c r="L68" s="978">
        <v>-8.6E-3</v>
      </c>
      <c r="M68" s="976"/>
      <c r="N68" s="976">
        <v>-1.1466666666666667E-2</v>
      </c>
      <c r="O68" s="735">
        <f t="shared" si="2"/>
        <v>-1.1466666666666667E-2</v>
      </c>
      <c r="P68" s="738">
        <f t="shared" si="0"/>
        <v>-11.466666666666667</v>
      </c>
      <c r="Q68" s="751">
        <f t="shared" si="1"/>
        <v>0</v>
      </c>
      <c r="R68" s="747"/>
      <c r="S68" s="747"/>
      <c r="T68" s="747"/>
      <c r="U68" s="747"/>
      <c r="V68" s="988"/>
      <c r="W68" s="1024"/>
      <c r="X68" s="747"/>
      <c r="Y68" s="747"/>
      <c r="Z68" s="747"/>
      <c r="AA68" s="747"/>
      <c r="AB68" s="747"/>
      <c r="AC68" s="747"/>
      <c r="AD68" s="747"/>
      <c r="AE68" s="747"/>
      <c r="AF68" s="747"/>
      <c r="AG68" s="747"/>
      <c r="AH68" s="747"/>
      <c r="AI68" s="747"/>
      <c r="AJ68" s="747"/>
      <c r="AK68" s="747"/>
      <c r="AL68" s="747"/>
      <c r="AM68" s="747"/>
      <c r="AN68" s="747"/>
      <c r="AO68" s="747"/>
      <c r="AP68" s="747"/>
      <c r="AQ68" s="747"/>
      <c r="AR68" s="747"/>
      <c r="AS68" s="747"/>
      <c r="AT68" s="747"/>
      <c r="AU68" s="747"/>
      <c r="AV68" s="747"/>
      <c r="AW68" s="747"/>
      <c r="AX68" s="747"/>
    </row>
    <row r="69" spans="1:51" s="845" customFormat="1">
      <c r="A69" s="976" t="s">
        <v>3875</v>
      </c>
      <c r="B69" s="976" t="s">
        <v>1127</v>
      </c>
      <c r="C69" s="977">
        <v>1413100650</v>
      </c>
      <c r="D69" s="976" t="s">
        <v>3203</v>
      </c>
      <c r="E69" s="976">
        <v>0</v>
      </c>
      <c r="F69" s="976">
        <v>0</v>
      </c>
      <c r="G69" s="976">
        <v>0</v>
      </c>
      <c r="H69" s="976">
        <v>0</v>
      </c>
      <c r="I69" s="976"/>
      <c r="J69" s="976"/>
      <c r="K69" s="976">
        <v>0</v>
      </c>
      <c r="L69" s="978">
        <v>0</v>
      </c>
      <c r="M69" s="976"/>
      <c r="N69" s="976">
        <v>0</v>
      </c>
      <c r="O69" s="735">
        <f t="shared" si="2"/>
        <v>0</v>
      </c>
      <c r="P69" s="738">
        <f t="shared" si="0"/>
        <v>0</v>
      </c>
      <c r="Q69" s="751">
        <f t="shared" si="1"/>
        <v>0</v>
      </c>
      <c r="R69" s="747"/>
      <c r="S69" s="747"/>
      <c r="T69" s="747"/>
      <c r="U69" s="747"/>
      <c r="V69" s="988"/>
      <c r="W69" s="1024"/>
      <c r="X69" s="747"/>
      <c r="Y69" s="747"/>
      <c r="Z69" s="747"/>
      <c r="AA69" s="747"/>
      <c r="AB69" s="747"/>
      <c r="AC69" s="747"/>
      <c r="AD69" s="747"/>
      <c r="AE69" s="747"/>
      <c r="AF69" s="747"/>
      <c r="AG69" s="747"/>
      <c r="AH69" s="747"/>
      <c r="AI69" s="747"/>
      <c r="AJ69" s="747"/>
      <c r="AK69" s="747"/>
      <c r="AL69" s="747"/>
      <c r="AM69" s="747"/>
      <c r="AN69" s="747"/>
      <c r="AO69" s="747"/>
      <c r="AP69" s="747"/>
      <c r="AQ69" s="747"/>
      <c r="AR69" s="747"/>
      <c r="AS69" s="747"/>
      <c r="AT69" s="747"/>
      <c r="AU69" s="747"/>
      <c r="AV69" s="747"/>
      <c r="AW69" s="747"/>
      <c r="AX69" s="747"/>
    </row>
    <row r="70" spans="1:51" s="845" customFormat="1">
      <c r="A70" s="989" t="s">
        <v>3869</v>
      </c>
      <c r="B70" s="976" t="s">
        <v>1100</v>
      </c>
      <c r="C70" s="990">
        <v>1325000420</v>
      </c>
      <c r="D70" s="976" t="s">
        <v>3204</v>
      </c>
      <c r="E70" s="976">
        <v>0</v>
      </c>
      <c r="F70" s="976">
        <v>0</v>
      </c>
      <c r="G70" s="976">
        <v>0</v>
      </c>
      <c r="H70" s="976">
        <v>0</v>
      </c>
      <c r="I70" s="976"/>
      <c r="J70" s="976"/>
      <c r="K70" s="989">
        <v>0</v>
      </c>
      <c r="L70" s="991">
        <v>0</v>
      </c>
      <c r="M70" s="989"/>
      <c r="N70" s="976">
        <v>0</v>
      </c>
      <c r="O70" s="735">
        <f t="shared" si="2"/>
        <v>0</v>
      </c>
      <c r="P70" s="738">
        <f t="shared" si="0"/>
        <v>0</v>
      </c>
      <c r="Q70" s="751">
        <f t="shared" si="1"/>
        <v>0</v>
      </c>
      <c r="R70" s="747"/>
      <c r="S70" s="747"/>
      <c r="T70" s="747"/>
      <c r="U70" s="747"/>
      <c r="V70" s="988"/>
      <c r="W70" s="1024"/>
      <c r="X70" s="747"/>
      <c r="Y70" s="747"/>
      <c r="Z70" s="747"/>
      <c r="AA70" s="747"/>
      <c r="AB70" s="747"/>
      <c r="AC70" s="747"/>
      <c r="AD70" s="747"/>
      <c r="AE70" s="747"/>
      <c r="AF70" s="747"/>
      <c r="AG70" s="747"/>
      <c r="AH70" s="747"/>
      <c r="AI70" s="747"/>
      <c r="AJ70" s="747"/>
      <c r="AK70" s="747"/>
      <c r="AL70" s="747"/>
      <c r="AM70" s="747"/>
      <c r="AN70" s="747"/>
      <c r="AO70" s="747"/>
      <c r="AP70" s="747"/>
      <c r="AQ70" s="747"/>
      <c r="AR70" s="747"/>
      <c r="AS70" s="747"/>
      <c r="AT70" s="747"/>
      <c r="AU70" s="747"/>
      <c r="AV70" s="747"/>
      <c r="AW70" s="747"/>
      <c r="AX70" s="747"/>
    </row>
    <row r="71" spans="1:51" s="746" customFormat="1">
      <c r="A71" s="976" t="s">
        <v>3869</v>
      </c>
      <c r="B71" s="976" t="s">
        <v>1100</v>
      </c>
      <c r="C71" s="977">
        <v>1327000420</v>
      </c>
      <c r="D71" s="976" t="s">
        <v>3205</v>
      </c>
      <c r="E71" s="976">
        <v>20</v>
      </c>
      <c r="F71" s="976">
        <v>20</v>
      </c>
      <c r="G71" s="976">
        <v>15</v>
      </c>
      <c r="H71" s="976">
        <v>31.2</v>
      </c>
      <c r="I71" s="976"/>
      <c r="J71" s="1040">
        <v>-8</v>
      </c>
      <c r="K71" s="976">
        <v>23.2</v>
      </c>
      <c r="L71" s="978">
        <v>8.1999999999999993</v>
      </c>
      <c r="M71" s="976" t="s">
        <v>3583</v>
      </c>
      <c r="N71" s="976">
        <v>30.93333333333333</v>
      </c>
      <c r="O71" s="735">
        <f t="shared" si="2"/>
        <v>10.93333333333333</v>
      </c>
      <c r="P71" s="738">
        <f t="shared" si="0"/>
        <v>30933.333333333328</v>
      </c>
      <c r="Q71" s="751">
        <f t="shared" si="1"/>
        <v>31000</v>
      </c>
      <c r="R71" s="747"/>
      <c r="S71" s="747"/>
      <c r="T71" s="747"/>
      <c r="U71" s="747"/>
      <c r="V71" s="988"/>
      <c r="W71" s="1024"/>
      <c r="X71" s="747"/>
      <c r="Y71" s="747"/>
      <c r="Z71" s="747"/>
      <c r="AA71" s="747"/>
      <c r="AB71" s="747"/>
      <c r="AC71" s="747"/>
      <c r="AD71" s="747"/>
      <c r="AE71" s="747"/>
      <c r="AF71" s="747"/>
      <c r="AG71" s="747"/>
      <c r="AH71" s="747"/>
      <c r="AI71" s="747"/>
      <c r="AJ71" s="747"/>
      <c r="AK71" s="747"/>
      <c r="AL71" s="747"/>
      <c r="AM71" s="747"/>
      <c r="AN71" s="747"/>
      <c r="AO71" s="747"/>
      <c r="AP71" s="747"/>
      <c r="AQ71" s="747"/>
      <c r="AR71" s="747"/>
      <c r="AS71" s="747"/>
      <c r="AT71" s="747"/>
      <c r="AU71" s="747"/>
      <c r="AV71" s="747"/>
      <c r="AW71" s="747"/>
      <c r="AX71" s="747"/>
      <c r="AY71" s="867"/>
    </row>
    <row r="72" spans="1:51" s="746" customFormat="1">
      <c r="A72" s="976" t="s">
        <v>3881</v>
      </c>
      <c r="B72" s="976"/>
      <c r="C72" s="977">
        <v>1327000421</v>
      </c>
      <c r="D72" s="976" t="s">
        <v>3206</v>
      </c>
      <c r="E72" s="976">
        <v>0</v>
      </c>
      <c r="F72" s="976">
        <v>0</v>
      </c>
      <c r="G72" s="976">
        <v>0</v>
      </c>
      <c r="H72" s="976">
        <v>0</v>
      </c>
      <c r="I72" s="976"/>
      <c r="J72" s="976"/>
      <c r="K72" s="976">
        <v>0</v>
      </c>
      <c r="L72" s="978">
        <v>0</v>
      </c>
      <c r="M72" s="976"/>
      <c r="N72" s="976">
        <v>0</v>
      </c>
      <c r="O72" s="735">
        <f t="shared" si="2"/>
        <v>0</v>
      </c>
      <c r="P72" s="738">
        <f t="shared" ref="P72:P135" si="3">N72*1000</f>
        <v>0</v>
      </c>
      <c r="Q72" s="751">
        <f t="shared" ref="Q72:Q135" si="4">ROUND(P72,-3)</f>
        <v>0</v>
      </c>
      <c r="R72" s="747"/>
      <c r="S72" s="747"/>
      <c r="T72" s="747"/>
      <c r="U72" s="747"/>
      <c r="V72" s="988"/>
      <c r="W72" s="1024"/>
      <c r="X72" s="747"/>
      <c r="Y72" s="747"/>
      <c r="Z72" s="747"/>
      <c r="AA72" s="747"/>
      <c r="AB72" s="747"/>
      <c r="AC72" s="747"/>
      <c r="AD72" s="747"/>
      <c r="AE72" s="747"/>
      <c r="AF72" s="747"/>
      <c r="AG72" s="747"/>
      <c r="AH72" s="747"/>
      <c r="AI72" s="747"/>
      <c r="AJ72" s="747"/>
      <c r="AK72" s="747"/>
      <c r="AL72" s="747"/>
      <c r="AM72" s="747"/>
      <c r="AN72" s="747"/>
      <c r="AO72" s="747"/>
      <c r="AP72" s="747"/>
      <c r="AQ72" s="747"/>
      <c r="AR72" s="747"/>
      <c r="AS72" s="747"/>
      <c r="AT72" s="747"/>
      <c r="AU72" s="747"/>
      <c r="AV72" s="747"/>
      <c r="AW72" s="747"/>
      <c r="AX72" s="747"/>
      <c r="AY72" s="867"/>
    </row>
    <row r="73" spans="1:51" s="746" customFormat="1">
      <c r="A73" s="976" t="s">
        <v>3882</v>
      </c>
      <c r="B73" s="976" t="s">
        <v>1133</v>
      </c>
      <c r="C73" s="977">
        <v>1433000640</v>
      </c>
      <c r="D73" s="976" t="s">
        <v>236</v>
      </c>
      <c r="E73" s="976">
        <v>900</v>
      </c>
      <c r="F73" s="976">
        <v>900</v>
      </c>
      <c r="G73" s="976">
        <v>675</v>
      </c>
      <c r="H73" s="976">
        <v>611.44038999999998</v>
      </c>
      <c r="I73" s="976"/>
      <c r="J73" s="1019">
        <v>214</v>
      </c>
      <c r="K73" s="976">
        <v>825.44038999999998</v>
      </c>
      <c r="L73" s="978">
        <v>150.44038999999998</v>
      </c>
      <c r="M73" s="976" t="s">
        <v>3595</v>
      </c>
      <c r="N73" s="976">
        <v>1100.5871866666666</v>
      </c>
      <c r="O73" s="735">
        <f t="shared" ref="O73:O136" si="5">N73-E73</f>
        <v>200.58718666666664</v>
      </c>
      <c r="P73" s="738">
        <f t="shared" si="3"/>
        <v>1100587.1866666665</v>
      </c>
      <c r="Q73" s="751">
        <f t="shared" si="4"/>
        <v>1101000</v>
      </c>
      <c r="R73" s="747"/>
      <c r="S73" s="747"/>
      <c r="T73" s="747"/>
      <c r="U73" s="747"/>
      <c r="V73" s="988"/>
      <c r="W73" s="1024"/>
      <c r="X73" s="747"/>
      <c r="Y73" s="747"/>
      <c r="Z73" s="747"/>
      <c r="AA73" s="747"/>
      <c r="AB73" s="747"/>
      <c r="AC73" s="747"/>
      <c r="AD73" s="747"/>
      <c r="AE73" s="747"/>
      <c r="AF73" s="747"/>
      <c r="AG73" s="747"/>
      <c r="AH73" s="747"/>
      <c r="AI73" s="747"/>
      <c r="AJ73" s="747"/>
      <c r="AK73" s="747"/>
      <c r="AL73" s="747"/>
      <c r="AM73" s="747"/>
      <c r="AN73" s="747"/>
      <c r="AO73" s="747"/>
      <c r="AP73" s="747"/>
      <c r="AQ73" s="747"/>
      <c r="AR73" s="747"/>
      <c r="AS73" s="747"/>
      <c r="AT73" s="747"/>
      <c r="AU73" s="747"/>
      <c r="AV73" s="747"/>
      <c r="AW73" s="747"/>
      <c r="AX73" s="747"/>
      <c r="AY73" s="867"/>
    </row>
    <row r="74" spans="1:51" s="845" customFormat="1">
      <c r="A74" s="976" t="s">
        <v>3864</v>
      </c>
      <c r="B74" s="976" t="s">
        <v>1133</v>
      </c>
      <c r="C74" s="977">
        <v>1437000220</v>
      </c>
      <c r="D74" s="976" t="s">
        <v>239</v>
      </c>
      <c r="E74" s="976">
        <v>120</v>
      </c>
      <c r="F74" s="976">
        <v>120</v>
      </c>
      <c r="G74" s="976">
        <v>90</v>
      </c>
      <c r="H74" s="976">
        <v>16.795900000000003</v>
      </c>
      <c r="I74" s="976"/>
      <c r="J74" s="976"/>
      <c r="K74" s="976">
        <v>16.795900000000003</v>
      </c>
      <c r="L74" s="978">
        <v>-73.204099999999997</v>
      </c>
      <c r="M74" s="976"/>
      <c r="N74" s="976">
        <v>22.394533333333339</v>
      </c>
      <c r="O74" s="735">
        <f t="shared" si="5"/>
        <v>-97.605466666666658</v>
      </c>
      <c r="P74" s="738">
        <f t="shared" si="3"/>
        <v>22394.53333333334</v>
      </c>
      <c r="Q74" s="751">
        <f t="shared" si="4"/>
        <v>22000</v>
      </c>
      <c r="R74" s="747"/>
      <c r="S74" s="747"/>
      <c r="T74" s="747"/>
      <c r="U74" s="747"/>
      <c r="V74" s="988"/>
      <c r="W74" s="1024"/>
      <c r="X74" s="747"/>
      <c r="Y74" s="747"/>
      <c r="Z74" s="747"/>
      <c r="AA74" s="747"/>
      <c r="AB74" s="747"/>
      <c r="AC74" s="747"/>
      <c r="AD74" s="747"/>
      <c r="AE74" s="747"/>
      <c r="AF74" s="747"/>
      <c r="AG74" s="747"/>
      <c r="AH74" s="747"/>
      <c r="AI74" s="747"/>
      <c r="AJ74" s="747"/>
      <c r="AK74" s="747"/>
      <c r="AL74" s="747"/>
      <c r="AM74" s="747"/>
      <c r="AN74" s="747"/>
      <c r="AO74" s="747"/>
      <c r="AP74" s="747"/>
      <c r="AQ74" s="747"/>
      <c r="AR74" s="747"/>
      <c r="AS74" s="747"/>
      <c r="AT74" s="747"/>
      <c r="AU74" s="747"/>
      <c r="AV74" s="747"/>
      <c r="AW74" s="747"/>
      <c r="AX74" s="747"/>
    </row>
    <row r="75" spans="1:51" s="845" customFormat="1">
      <c r="A75" s="976" t="s">
        <v>3873</v>
      </c>
      <c r="B75" s="976" t="s">
        <v>1136</v>
      </c>
      <c r="C75" s="977">
        <v>1443200610</v>
      </c>
      <c r="D75" s="976" t="s">
        <v>242</v>
      </c>
      <c r="E75" s="976">
        <v>7500</v>
      </c>
      <c r="F75" s="976">
        <v>7500</v>
      </c>
      <c r="G75" s="976">
        <v>5625</v>
      </c>
      <c r="H75" s="976">
        <v>5841.8855100000001</v>
      </c>
      <c r="I75" s="976"/>
      <c r="J75" s="1040">
        <v>-292</v>
      </c>
      <c r="K75" s="976">
        <v>5549.8855100000001</v>
      </c>
      <c r="L75" s="978">
        <v>-75.114489999999932</v>
      </c>
      <c r="M75" s="976" t="s">
        <v>1651</v>
      </c>
      <c r="N75" s="976">
        <v>7399.8473466666665</v>
      </c>
      <c r="O75" s="735">
        <f t="shared" si="5"/>
        <v>-100.15265333333355</v>
      </c>
      <c r="P75" s="738">
        <f t="shared" si="3"/>
        <v>7399847.3466666667</v>
      </c>
      <c r="Q75" s="751">
        <f t="shared" si="4"/>
        <v>7400000</v>
      </c>
      <c r="R75" s="747"/>
      <c r="S75" s="747"/>
      <c r="T75" s="747"/>
      <c r="U75" s="747"/>
      <c r="V75" s="988"/>
      <c r="W75" s="1024"/>
      <c r="X75" s="747"/>
      <c r="Y75" s="747"/>
      <c r="Z75" s="747"/>
      <c r="AA75" s="747"/>
      <c r="AB75" s="747"/>
      <c r="AC75" s="747"/>
      <c r="AD75" s="747"/>
      <c r="AE75" s="747"/>
      <c r="AF75" s="747"/>
      <c r="AG75" s="747"/>
      <c r="AH75" s="747"/>
      <c r="AI75" s="747"/>
      <c r="AJ75" s="747"/>
      <c r="AK75" s="747"/>
      <c r="AL75" s="747"/>
      <c r="AM75" s="747"/>
      <c r="AN75" s="747"/>
      <c r="AO75" s="747"/>
      <c r="AP75" s="747"/>
      <c r="AQ75" s="747"/>
      <c r="AR75" s="747"/>
      <c r="AS75" s="747"/>
      <c r="AT75" s="747"/>
      <c r="AU75" s="747"/>
      <c r="AV75" s="747"/>
      <c r="AW75" s="747"/>
      <c r="AX75" s="747"/>
    </row>
    <row r="76" spans="1:51" s="845" customFormat="1">
      <c r="A76" s="976" t="s">
        <v>3863</v>
      </c>
      <c r="B76" s="976" t="s">
        <v>1145</v>
      </c>
      <c r="C76" s="977">
        <v>1472000210</v>
      </c>
      <c r="D76" s="976" t="s">
        <v>245</v>
      </c>
      <c r="E76" s="976">
        <v>10</v>
      </c>
      <c r="F76" s="976">
        <v>10</v>
      </c>
      <c r="G76" s="976">
        <v>7.5</v>
      </c>
      <c r="H76" s="976">
        <v>20.669220000000003</v>
      </c>
      <c r="I76" s="976"/>
      <c r="J76" s="976"/>
      <c r="K76" s="976">
        <v>20.669220000000003</v>
      </c>
      <c r="L76" s="978">
        <v>13.169220000000003</v>
      </c>
      <c r="M76" s="976"/>
      <c r="N76" s="976">
        <v>27.558960000000003</v>
      </c>
      <c r="O76" s="735">
        <f t="shared" si="5"/>
        <v>17.558960000000003</v>
      </c>
      <c r="P76" s="738">
        <f t="shared" si="3"/>
        <v>27558.960000000003</v>
      </c>
      <c r="Q76" s="751">
        <f t="shared" si="4"/>
        <v>28000</v>
      </c>
      <c r="R76" s="747"/>
      <c r="S76" s="747"/>
      <c r="T76" s="747"/>
      <c r="U76" s="747"/>
      <c r="V76" s="988"/>
      <c r="W76" s="1024"/>
      <c r="X76" s="747"/>
      <c r="Y76" s="747"/>
      <c r="Z76" s="747"/>
      <c r="AA76" s="747"/>
      <c r="AB76" s="747"/>
      <c r="AC76" s="747"/>
      <c r="AD76" s="747"/>
      <c r="AE76" s="747"/>
      <c r="AF76" s="747"/>
      <c r="AG76" s="747"/>
      <c r="AH76" s="747"/>
      <c r="AI76" s="747"/>
      <c r="AJ76" s="747"/>
      <c r="AK76" s="747"/>
      <c r="AL76" s="747"/>
      <c r="AM76" s="747"/>
      <c r="AN76" s="747"/>
      <c r="AO76" s="747"/>
      <c r="AP76" s="747"/>
      <c r="AQ76" s="747"/>
      <c r="AR76" s="747"/>
      <c r="AS76" s="747"/>
      <c r="AT76" s="747"/>
      <c r="AU76" s="747"/>
      <c r="AV76" s="747"/>
      <c r="AW76" s="747"/>
      <c r="AX76" s="747"/>
    </row>
    <row r="77" spans="1:51" s="845" customFormat="1">
      <c r="A77" s="976" t="s">
        <v>3869</v>
      </c>
      <c r="B77" s="976" t="s">
        <v>1100</v>
      </c>
      <c r="C77" s="977">
        <v>1325200420</v>
      </c>
      <c r="D77" s="976" t="s">
        <v>3207</v>
      </c>
      <c r="E77" s="976">
        <v>1770</v>
      </c>
      <c r="F77" s="976">
        <v>1770</v>
      </c>
      <c r="G77" s="976">
        <v>1327.5</v>
      </c>
      <c r="H77" s="976">
        <v>963.89369999999997</v>
      </c>
      <c r="I77" s="976"/>
      <c r="J77" s="1019">
        <v>364</v>
      </c>
      <c r="K77" s="976">
        <v>1327.8937000000001</v>
      </c>
      <c r="L77" s="978">
        <v>0.39370000000008076</v>
      </c>
      <c r="M77" s="976" t="s">
        <v>3583</v>
      </c>
      <c r="N77" s="976">
        <v>1770.5249333333334</v>
      </c>
      <c r="O77" s="735">
        <f t="shared" si="5"/>
        <v>0.52493333333336523</v>
      </c>
      <c r="P77" s="738">
        <f t="shared" si="3"/>
        <v>1770524.9333333333</v>
      </c>
      <c r="Q77" s="751">
        <f t="shared" si="4"/>
        <v>1771000</v>
      </c>
      <c r="R77" s="747"/>
      <c r="S77" s="747"/>
      <c r="T77" s="747"/>
      <c r="U77" s="747"/>
      <c r="V77" s="988"/>
      <c r="W77" s="1024"/>
      <c r="X77" s="747"/>
      <c r="Y77" s="747"/>
      <c r="Z77" s="747"/>
      <c r="AA77" s="747"/>
      <c r="AB77" s="747"/>
      <c r="AC77" s="747"/>
      <c r="AD77" s="747"/>
      <c r="AE77" s="747"/>
      <c r="AF77" s="747"/>
      <c r="AG77" s="747"/>
      <c r="AH77" s="747"/>
      <c r="AI77" s="747"/>
      <c r="AJ77" s="747"/>
      <c r="AK77" s="747"/>
      <c r="AL77" s="747"/>
      <c r="AM77" s="747"/>
      <c r="AN77" s="747"/>
      <c r="AO77" s="747"/>
      <c r="AP77" s="747"/>
      <c r="AQ77" s="747"/>
      <c r="AR77" s="747"/>
      <c r="AS77" s="747"/>
      <c r="AT77" s="747"/>
      <c r="AU77" s="747"/>
      <c r="AV77" s="747"/>
      <c r="AW77" s="747"/>
      <c r="AX77" s="747"/>
    </row>
    <row r="78" spans="1:51" s="869" customFormat="1" ht="13.5" customHeight="1">
      <c r="A78" s="993" t="s">
        <v>3883</v>
      </c>
      <c r="B78" s="976" t="s">
        <v>1187</v>
      </c>
      <c r="C78" s="994">
        <v>1591900590</v>
      </c>
      <c r="D78" s="993" t="s">
        <v>254</v>
      </c>
      <c r="E78" s="995">
        <v>34891</v>
      </c>
      <c r="F78" s="995">
        <v>34891</v>
      </c>
      <c r="G78" s="995">
        <v>26168.25</v>
      </c>
      <c r="H78" s="995">
        <v>0</v>
      </c>
      <c r="I78" s="995"/>
      <c r="J78" s="993">
        <v>20997.267789624999</v>
      </c>
      <c r="K78" s="993">
        <v>20997.267789624999</v>
      </c>
      <c r="L78" s="993">
        <v>-5170.9822103750012</v>
      </c>
      <c r="M78" s="993" t="s">
        <v>3596</v>
      </c>
      <c r="N78" s="993">
        <v>27996.357052833333</v>
      </c>
      <c r="O78" s="735">
        <f t="shared" si="5"/>
        <v>-6894.642947166667</v>
      </c>
      <c r="P78" s="738">
        <f t="shared" si="3"/>
        <v>27996357.052833334</v>
      </c>
      <c r="Q78" s="751">
        <f t="shared" si="4"/>
        <v>27996000</v>
      </c>
      <c r="R78" s="868"/>
      <c r="S78" s="868"/>
      <c r="T78" s="868"/>
      <c r="U78" s="868"/>
      <c r="V78" s="988"/>
      <c r="W78" s="1024"/>
      <c r="X78" s="868"/>
      <c r="Y78" s="868"/>
      <c r="Z78" s="868"/>
      <c r="AA78" s="868"/>
      <c r="AB78" s="868"/>
      <c r="AC78" s="868"/>
      <c r="AD78" s="868"/>
      <c r="AE78" s="868"/>
      <c r="AF78" s="868"/>
      <c r="AG78" s="868"/>
      <c r="AH78" s="868"/>
      <c r="AI78" s="868"/>
      <c r="AJ78" s="868"/>
      <c r="AK78" s="868"/>
      <c r="AL78" s="868"/>
      <c r="AM78" s="868"/>
      <c r="AN78" s="868"/>
      <c r="AO78" s="868"/>
      <c r="AP78" s="868"/>
      <c r="AQ78" s="868"/>
      <c r="AR78" s="868"/>
      <c r="AS78" s="868"/>
      <c r="AT78" s="868"/>
      <c r="AU78" s="868"/>
      <c r="AV78" s="868"/>
      <c r="AW78" s="868"/>
      <c r="AX78" s="868"/>
    </row>
    <row r="79" spans="1:51" s="870" customFormat="1" ht="15" customHeight="1">
      <c r="A79" s="996" t="s">
        <v>3577</v>
      </c>
      <c r="B79" s="976" t="s">
        <v>3862</v>
      </c>
      <c r="C79" s="997" t="s">
        <v>888</v>
      </c>
      <c r="D79" s="996" t="s">
        <v>3197</v>
      </c>
      <c r="E79" s="996">
        <v>78781</v>
      </c>
      <c r="F79" s="996">
        <v>78781</v>
      </c>
      <c r="G79" s="996">
        <v>59085.75</v>
      </c>
      <c r="H79" s="996">
        <v>35450.679400000001</v>
      </c>
      <c r="I79" s="996">
        <v>0</v>
      </c>
      <c r="J79" s="996">
        <v>18200.767789624999</v>
      </c>
      <c r="K79" s="996">
        <v>53651.447189624989</v>
      </c>
      <c r="L79" s="996">
        <v>-5434.3028103750012</v>
      </c>
      <c r="M79" s="996">
        <v>0</v>
      </c>
      <c r="N79" s="996">
        <v>71535.262919500005</v>
      </c>
      <c r="O79" s="735">
        <f t="shared" si="5"/>
        <v>-7245.7370804999955</v>
      </c>
      <c r="P79" s="738">
        <f t="shared" si="3"/>
        <v>71535262.919500008</v>
      </c>
      <c r="Q79" s="751">
        <f t="shared" si="4"/>
        <v>71535000</v>
      </c>
      <c r="R79" s="854"/>
      <c r="S79" s="854"/>
      <c r="T79" s="854"/>
      <c r="U79" s="855"/>
      <c r="V79" s="988"/>
      <c r="W79" s="1024"/>
      <c r="X79" s="854"/>
      <c r="Y79" s="854"/>
      <c r="Z79" s="854"/>
      <c r="AA79" s="854"/>
      <c r="AB79" s="854"/>
      <c r="AC79" s="854"/>
      <c r="AD79" s="854"/>
      <c r="AE79" s="854"/>
      <c r="AF79" s="854"/>
      <c r="AG79" s="854"/>
      <c r="AH79" s="854"/>
      <c r="AI79" s="854"/>
      <c r="AJ79" s="854"/>
      <c r="AK79" s="854"/>
      <c r="AL79" s="854"/>
      <c r="AM79" s="854"/>
      <c r="AN79" s="854"/>
      <c r="AO79" s="854"/>
      <c r="AP79" s="854"/>
      <c r="AQ79" s="854"/>
      <c r="AR79" s="854"/>
      <c r="AS79" s="854"/>
      <c r="AT79" s="854"/>
      <c r="AU79" s="854"/>
      <c r="AV79" s="854"/>
      <c r="AW79" s="854"/>
      <c r="AX79" s="854"/>
    </row>
    <row r="80" spans="1:51" s="859" customFormat="1" ht="15.75" customHeight="1">
      <c r="A80" s="984" t="s">
        <v>3577</v>
      </c>
      <c r="B80" s="976" t="s">
        <v>3862</v>
      </c>
      <c r="C80" s="985" t="s">
        <v>888</v>
      </c>
      <c r="D80" s="984" t="s">
        <v>3189</v>
      </c>
      <c r="E80" s="984">
        <v>90758</v>
      </c>
      <c r="F80" s="984">
        <v>90758</v>
      </c>
      <c r="G80" s="984">
        <v>68068.5</v>
      </c>
      <c r="H80" s="984">
        <v>43086.006030000004</v>
      </c>
      <c r="I80" s="984">
        <v>0</v>
      </c>
      <c r="J80" s="984">
        <v>18825.767789624999</v>
      </c>
      <c r="K80" s="984">
        <v>61911.773819624992</v>
      </c>
      <c r="L80" s="986">
        <v>-6156.7261803750007</v>
      </c>
      <c r="M80" s="984">
        <v>0</v>
      </c>
      <c r="N80" s="984">
        <v>82549.031759500009</v>
      </c>
      <c r="O80" s="735">
        <f t="shared" si="5"/>
        <v>-8208.9682404999912</v>
      </c>
      <c r="P80" s="738">
        <f t="shared" si="3"/>
        <v>82549031.759500012</v>
      </c>
      <c r="Q80" s="751">
        <f t="shared" si="4"/>
        <v>82549000</v>
      </c>
      <c r="R80" s="858"/>
      <c r="S80" s="858"/>
      <c r="T80" s="858"/>
      <c r="U80" s="858"/>
      <c r="V80" s="988"/>
      <c r="W80" s="1024"/>
      <c r="X80" s="858"/>
      <c r="Y80" s="858"/>
      <c r="Z80" s="858"/>
      <c r="AA80" s="858"/>
      <c r="AB80" s="858"/>
      <c r="AC80" s="858"/>
      <c r="AD80" s="858"/>
      <c r="AE80" s="858"/>
      <c r="AF80" s="858"/>
      <c r="AG80" s="858"/>
      <c r="AH80" s="858"/>
      <c r="AI80" s="858"/>
      <c r="AJ80" s="858"/>
      <c r="AK80" s="858"/>
      <c r="AL80" s="858"/>
      <c r="AM80" s="858"/>
      <c r="AN80" s="858"/>
      <c r="AO80" s="858"/>
      <c r="AP80" s="858"/>
      <c r="AQ80" s="858"/>
      <c r="AR80" s="858"/>
      <c r="AS80" s="858"/>
      <c r="AT80" s="858"/>
      <c r="AU80" s="858"/>
      <c r="AV80" s="858"/>
      <c r="AW80" s="858"/>
      <c r="AX80" s="858"/>
    </row>
    <row r="81" spans="1:50" s="852" customFormat="1" ht="15" customHeight="1">
      <c r="A81" s="981"/>
      <c r="B81" s="976" t="s">
        <v>1079</v>
      </c>
      <c r="C81" s="982"/>
      <c r="D81" s="981" t="s">
        <v>1467</v>
      </c>
      <c r="E81" s="981"/>
      <c r="F81" s="981"/>
      <c r="G81" s="981"/>
      <c r="H81" s="981"/>
      <c r="I81" s="981"/>
      <c r="J81" s="981"/>
      <c r="K81" s="981"/>
      <c r="L81" s="983"/>
      <c r="M81" s="981"/>
      <c r="N81" s="981"/>
      <c r="O81" s="735">
        <f t="shared" si="5"/>
        <v>0</v>
      </c>
      <c r="P81" s="738">
        <f t="shared" si="3"/>
        <v>0</v>
      </c>
      <c r="Q81" s="751">
        <f t="shared" si="4"/>
        <v>0</v>
      </c>
      <c r="R81" s="853"/>
      <c r="S81" s="853"/>
      <c r="T81" s="853"/>
      <c r="U81" s="853"/>
      <c r="V81" s="988"/>
      <c r="W81" s="1024"/>
      <c r="X81" s="853"/>
      <c r="Y81" s="853"/>
      <c r="Z81" s="853"/>
      <c r="AA81" s="853"/>
      <c r="AB81" s="853"/>
      <c r="AC81" s="853"/>
      <c r="AD81" s="853"/>
      <c r="AE81" s="853"/>
      <c r="AF81" s="853"/>
      <c r="AG81" s="853"/>
      <c r="AH81" s="853"/>
      <c r="AI81" s="853"/>
      <c r="AJ81" s="853"/>
      <c r="AK81" s="853"/>
      <c r="AL81" s="853"/>
      <c r="AM81" s="853"/>
      <c r="AN81" s="853"/>
      <c r="AO81" s="853"/>
      <c r="AP81" s="853"/>
      <c r="AQ81" s="853"/>
      <c r="AR81" s="853"/>
      <c r="AS81" s="853"/>
      <c r="AT81" s="853"/>
      <c r="AU81" s="853"/>
      <c r="AV81" s="853"/>
      <c r="AW81" s="853"/>
      <c r="AX81" s="853"/>
    </row>
    <row r="82" spans="1:50" s="845" customFormat="1" ht="14.25" customHeight="1">
      <c r="A82" s="976" t="s">
        <v>3884</v>
      </c>
      <c r="B82" s="1029" t="s">
        <v>1097</v>
      </c>
      <c r="C82" s="977">
        <v>1312204920</v>
      </c>
      <c r="D82" s="976" t="s">
        <v>50</v>
      </c>
      <c r="E82" s="976">
        <v>9655</v>
      </c>
      <c r="F82" s="976">
        <v>9655</v>
      </c>
      <c r="G82" s="976">
        <v>7241.25</v>
      </c>
      <c r="H82" s="976">
        <v>6439.1100500000002</v>
      </c>
      <c r="I82" s="976"/>
      <c r="J82" s="1019">
        <v>802</v>
      </c>
      <c r="K82" s="976">
        <v>7241.1100500000002</v>
      </c>
      <c r="L82" s="978">
        <v>-0.13994999999977153</v>
      </c>
      <c r="M82" s="976" t="s">
        <v>3597</v>
      </c>
      <c r="N82" s="976">
        <v>9654.8134000000009</v>
      </c>
      <c r="O82" s="860">
        <f t="shared" si="5"/>
        <v>-0.18659999999908905</v>
      </c>
      <c r="P82" s="738">
        <f t="shared" si="3"/>
        <v>9654813.4000000004</v>
      </c>
      <c r="Q82" s="751">
        <f t="shared" si="4"/>
        <v>9655000</v>
      </c>
      <c r="R82" s="861"/>
      <c r="S82" s="861"/>
      <c r="T82" s="861"/>
      <c r="U82" s="747"/>
      <c r="V82" s="988"/>
      <c r="W82" s="1024"/>
      <c r="X82" s="747"/>
      <c r="Y82" s="747"/>
      <c r="Z82" s="747"/>
      <c r="AA82" s="747"/>
      <c r="AB82" s="747"/>
      <c r="AC82" s="747"/>
      <c r="AD82" s="747"/>
      <c r="AE82" s="747"/>
      <c r="AF82" s="747"/>
      <c r="AG82" s="747"/>
      <c r="AH82" s="747"/>
      <c r="AI82" s="747"/>
      <c r="AJ82" s="747"/>
      <c r="AK82" s="747"/>
      <c r="AL82" s="747"/>
      <c r="AM82" s="747"/>
      <c r="AN82" s="747"/>
      <c r="AO82" s="747"/>
      <c r="AP82" s="747"/>
      <c r="AQ82" s="747"/>
      <c r="AR82" s="747"/>
      <c r="AS82" s="747"/>
      <c r="AT82" s="747"/>
      <c r="AU82" s="747"/>
      <c r="AV82" s="747"/>
      <c r="AW82" s="747"/>
      <c r="AX82" s="747"/>
    </row>
    <row r="83" spans="1:50" s="845" customFormat="1" ht="14.25" customHeight="1">
      <c r="A83" s="976" t="s">
        <v>3884</v>
      </c>
      <c r="B83" s="976" t="s">
        <v>1097</v>
      </c>
      <c r="C83" s="977">
        <v>1312207920</v>
      </c>
      <c r="D83" s="976" t="s">
        <v>51</v>
      </c>
      <c r="E83" s="976">
        <v>11963</v>
      </c>
      <c r="F83" s="976">
        <v>11963</v>
      </c>
      <c r="G83" s="976">
        <v>8972.25</v>
      </c>
      <c r="H83" s="976">
        <v>9078.6559900000011</v>
      </c>
      <c r="I83" s="976"/>
      <c r="J83" s="976"/>
      <c r="K83" s="976">
        <v>9078.6559900000011</v>
      </c>
      <c r="L83" s="978">
        <v>106.40599000000111</v>
      </c>
      <c r="M83" s="976" t="s">
        <v>3597</v>
      </c>
      <c r="N83" s="976">
        <v>12104.874653333336</v>
      </c>
      <c r="O83" s="735">
        <f t="shared" si="5"/>
        <v>141.87465333333603</v>
      </c>
      <c r="P83" s="738">
        <f t="shared" si="3"/>
        <v>12104874.653333336</v>
      </c>
      <c r="Q83" s="751">
        <f t="shared" si="4"/>
        <v>12105000</v>
      </c>
      <c r="R83" s="747"/>
      <c r="S83" s="747"/>
      <c r="T83" s="747"/>
      <c r="U83" s="747"/>
      <c r="V83" s="988"/>
      <c r="W83" s="1024"/>
      <c r="X83" s="747"/>
      <c r="Y83" s="747"/>
      <c r="Z83" s="747"/>
      <c r="AA83" s="747"/>
      <c r="AB83" s="747"/>
      <c r="AC83" s="747"/>
      <c r="AD83" s="747"/>
      <c r="AE83" s="747"/>
      <c r="AF83" s="747"/>
      <c r="AG83" s="747"/>
      <c r="AH83" s="747"/>
      <c r="AI83" s="747"/>
      <c r="AJ83" s="747"/>
      <c r="AK83" s="747"/>
      <c r="AL83" s="747"/>
      <c r="AM83" s="747"/>
      <c r="AN83" s="747"/>
      <c r="AO83" s="747"/>
      <c r="AP83" s="747"/>
      <c r="AQ83" s="747"/>
      <c r="AR83" s="747"/>
      <c r="AS83" s="747"/>
      <c r="AT83" s="747"/>
      <c r="AU83" s="747"/>
      <c r="AV83" s="747"/>
      <c r="AW83" s="747"/>
      <c r="AX83" s="747"/>
    </row>
    <row r="84" spans="1:50" s="845" customFormat="1" ht="14.25" customHeight="1">
      <c r="A84" s="976" t="s">
        <v>3885</v>
      </c>
      <c r="B84" s="976" t="s">
        <v>1085</v>
      </c>
      <c r="C84" s="998">
        <v>1233100910</v>
      </c>
      <c r="D84" s="999" t="s">
        <v>3208</v>
      </c>
      <c r="E84" s="976">
        <v>0</v>
      </c>
      <c r="F84" s="976">
        <v>0</v>
      </c>
      <c r="G84" s="976">
        <v>0</v>
      </c>
      <c r="H84" s="976">
        <v>0</v>
      </c>
      <c r="I84" s="976"/>
      <c r="J84" s="976"/>
      <c r="K84" s="976">
        <v>0</v>
      </c>
      <c r="L84" s="978">
        <v>0</v>
      </c>
      <c r="M84" s="976" t="s">
        <v>3598</v>
      </c>
      <c r="N84" s="976">
        <v>0</v>
      </c>
      <c r="O84" s="735">
        <f t="shared" si="5"/>
        <v>0</v>
      </c>
      <c r="P84" s="738">
        <f t="shared" si="3"/>
        <v>0</v>
      </c>
      <c r="Q84" s="751">
        <f t="shared" si="4"/>
        <v>0</v>
      </c>
      <c r="R84" s="747"/>
      <c r="S84" s="747"/>
      <c r="T84" s="747"/>
      <c r="U84" s="747"/>
      <c r="V84" s="988"/>
      <c r="W84" s="1024"/>
      <c r="X84" s="747"/>
      <c r="Y84" s="747"/>
      <c r="Z84" s="747"/>
      <c r="AA84" s="747"/>
      <c r="AB84" s="747"/>
      <c r="AC84" s="747"/>
      <c r="AD84" s="747"/>
      <c r="AE84" s="747"/>
      <c r="AF84" s="747"/>
      <c r="AG84" s="747"/>
      <c r="AH84" s="747"/>
      <c r="AI84" s="747"/>
      <c r="AJ84" s="747"/>
      <c r="AK84" s="747"/>
      <c r="AL84" s="747"/>
      <c r="AM84" s="747"/>
      <c r="AN84" s="747"/>
      <c r="AO84" s="747"/>
      <c r="AP84" s="747"/>
      <c r="AQ84" s="747"/>
      <c r="AR84" s="747"/>
      <c r="AS84" s="747"/>
      <c r="AT84" s="747"/>
      <c r="AU84" s="747"/>
      <c r="AV84" s="747"/>
      <c r="AW84" s="747"/>
      <c r="AX84" s="747"/>
    </row>
    <row r="85" spans="1:50" s="845" customFormat="1" ht="14.25" customHeight="1">
      <c r="A85" s="976" t="s">
        <v>3884</v>
      </c>
      <c r="B85" s="1029" t="s">
        <v>1097</v>
      </c>
      <c r="C85" s="977">
        <v>1312305920</v>
      </c>
      <c r="D85" s="976" t="s">
        <v>3209</v>
      </c>
      <c r="E85" s="976">
        <v>33225</v>
      </c>
      <c r="F85" s="976">
        <v>33225</v>
      </c>
      <c r="G85" s="976">
        <v>24918.75</v>
      </c>
      <c r="H85" s="976">
        <v>22555.333730000002</v>
      </c>
      <c r="I85" s="976"/>
      <c r="J85" s="1019">
        <v>2363</v>
      </c>
      <c r="K85" s="976">
        <v>24918.333730000002</v>
      </c>
      <c r="L85" s="978">
        <v>-0.41626999999789405</v>
      </c>
      <c r="M85" s="976" t="s">
        <v>3597</v>
      </c>
      <c r="N85" s="976">
        <v>33224.444973333339</v>
      </c>
      <c r="O85" s="860">
        <f t="shared" si="5"/>
        <v>-0.55502666666143341</v>
      </c>
      <c r="P85" s="738">
        <f t="shared" si="3"/>
        <v>33224444.97333334</v>
      </c>
      <c r="Q85" s="751">
        <f t="shared" si="4"/>
        <v>33224000</v>
      </c>
      <c r="R85" s="861"/>
      <c r="S85" s="861"/>
      <c r="T85" s="861"/>
      <c r="U85" s="747"/>
      <c r="V85" s="988"/>
      <c r="W85" s="1024"/>
      <c r="X85" s="747"/>
      <c r="Y85" s="747"/>
      <c r="Z85" s="747"/>
      <c r="AA85" s="747"/>
      <c r="AB85" s="747"/>
      <c r="AC85" s="747"/>
      <c r="AD85" s="747"/>
      <c r="AE85" s="747"/>
      <c r="AF85" s="747"/>
      <c r="AG85" s="747"/>
      <c r="AH85" s="747"/>
      <c r="AI85" s="747"/>
      <c r="AJ85" s="747"/>
      <c r="AK85" s="747"/>
      <c r="AL85" s="747"/>
      <c r="AM85" s="747"/>
      <c r="AN85" s="747"/>
      <c r="AO85" s="747"/>
      <c r="AP85" s="747"/>
      <c r="AQ85" s="747"/>
      <c r="AR85" s="747"/>
      <c r="AS85" s="747"/>
      <c r="AT85" s="747"/>
      <c r="AU85" s="747"/>
      <c r="AV85" s="747"/>
      <c r="AW85" s="747"/>
      <c r="AX85" s="747"/>
    </row>
    <row r="86" spans="1:50" s="845" customFormat="1" ht="14.25" customHeight="1">
      <c r="A86" s="976" t="s">
        <v>3884</v>
      </c>
      <c r="B86" s="976"/>
      <c r="C86" s="977">
        <v>1312300920</v>
      </c>
      <c r="D86" s="976" t="s">
        <v>3210</v>
      </c>
      <c r="E86" s="976">
        <v>0</v>
      </c>
      <c r="F86" s="976">
        <v>0</v>
      </c>
      <c r="G86" s="976">
        <v>0</v>
      </c>
      <c r="H86" s="976">
        <v>0</v>
      </c>
      <c r="I86" s="976"/>
      <c r="J86" s="976"/>
      <c r="K86" s="976">
        <v>0</v>
      </c>
      <c r="L86" s="978">
        <v>0</v>
      </c>
      <c r="M86" s="976" t="s">
        <v>3582</v>
      </c>
      <c r="N86" s="976">
        <v>0</v>
      </c>
      <c r="O86" s="735">
        <f t="shared" si="5"/>
        <v>0</v>
      </c>
      <c r="P86" s="738">
        <f t="shared" si="3"/>
        <v>0</v>
      </c>
      <c r="Q86" s="751">
        <f t="shared" si="4"/>
        <v>0</v>
      </c>
      <c r="R86" s="747"/>
      <c r="S86" s="747"/>
      <c r="T86" s="747"/>
      <c r="U86" s="747"/>
      <c r="V86" s="988"/>
      <c r="W86" s="1024"/>
      <c r="X86" s="747"/>
      <c r="Y86" s="747"/>
      <c r="Z86" s="747"/>
      <c r="AA86" s="747"/>
      <c r="AB86" s="747"/>
      <c r="AC86" s="747"/>
      <c r="AD86" s="747"/>
      <c r="AE86" s="747"/>
      <c r="AF86" s="747"/>
      <c r="AG86" s="747"/>
      <c r="AH86" s="747"/>
      <c r="AI86" s="747"/>
      <c r="AJ86" s="747"/>
      <c r="AK86" s="747"/>
      <c r="AL86" s="747"/>
      <c r="AM86" s="747"/>
      <c r="AN86" s="747"/>
      <c r="AO86" s="747"/>
      <c r="AP86" s="747"/>
      <c r="AQ86" s="747"/>
      <c r="AR86" s="747"/>
      <c r="AS86" s="747"/>
      <c r="AT86" s="747"/>
      <c r="AU86" s="747"/>
      <c r="AV86" s="747"/>
      <c r="AW86" s="747"/>
      <c r="AX86" s="747"/>
    </row>
    <row r="87" spans="1:50" s="845" customFormat="1" ht="14.25" customHeight="1">
      <c r="A87" s="976" t="s">
        <v>3886</v>
      </c>
      <c r="B87" s="976" t="s">
        <v>1097</v>
      </c>
      <c r="C87" s="977">
        <v>1312300921</v>
      </c>
      <c r="D87" s="976" t="s">
        <v>3211</v>
      </c>
      <c r="E87" s="976">
        <v>2160</v>
      </c>
      <c r="F87" s="976">
        <v>2160</v>
      </c>
      <c r="G87" s="976">
        <v>1620</v>
      </c>
      <c r="H87" s="976">
        <v>1693.3906999999999</v>
      </c>
      <c r="I87" s="976"/>
      <c r="J87" s="1019">
        <v>100</v>
      </c>
      <c r="K87" s="976">
        <v>1793.3906999999999</v>
      </c>
      <c r="L87" s="978">
        <v>173.39069999999992</v>
      </c>
      <c r="M87" s="976" t="s">
        <v>3599</v>
      </c>
      <c r="N87" s="976">
        <v>2391.1875999999997</v>
      </c>
      <c r="O87" s="735">
        <f t="shared" si="5"/>
        <v>231.18759999999975</v>
      </c>
      <c r="P87" s="738">
        <f t="shared" si="3"/>
        <v>2391187.5999999996</v>
      </c>
      <c r="Q87" s="751">
        <f t="shared" si="4"/>
        <v>2391000</v>
      </c>
      <c r="R87" s="747"/>
      <c r="S87" s="747"/>
      <c r="T87" s="747"/>
      <c r="U87" s="747"/>
      <c r="V87" s="988"/>
      <c r="W87" s="1024"/>
      <c r="X87" s="747"/>
      <c r="Y87" s="747"/>
      <c r="Z87" s="747"/>
      <c r="AA87" s="747"/>
      <c r="AB87" s="747"/>
      <c r="AC87" s="747"/>
      <c r="AD87" s="747"/>
      <c r="AE87" s="747"/>
      <c r="AF87" s="747"/>
      <c r="AG87" s="747"/>
      <c r="AH87" s="747"/>
      <c r="AI87" s="747"/>
      <c r="AJ87" s="747"/>
      <c r="AK87" s="747"/>
      <c r="AL87" s="747"/>
      <c r="AM87" s="747"/>
      <c r="AN87" s="747"/>
      <c r="AO87" s="747"/>
      <c r="AP87" s="747"/>
      <c r="AQ87" s="747"/>
      <c r="AR87" s="747"/>
      <c r="AS87" s="747"/>
      <c r="AT87" s="747"/>
      <c r="AU87" s="747"/>
      <c r="AV87" s="747"/>
      <c r="AW87" s="747"/>
      <c r="AX87" s="747"/>
    </row>
    <row r="88" spans="1:50" s="845" customFormat="1" ht="14.25" customHeight="1">
      <c r="A88" s="976" t="s">
        <v>3887</v>
      </c>
      <c r="B88" s="976" t="s">
        <v>1097</v>
      </c>
      <c r="C88" s="977">
        <v>1312300922</v>
      </c>
      <c r="D88" s="976" t="s">
        <v>3212</v>
      </c>
      <c r="E88" s="976">
        <v>250</v>
      </c>
      <c r="F88" s="976">
        <v>250</v>
      </c>
      <c r="G88" s="976">
        <v>187.5</v>
      </c>
      <c r="H88" s="976">
        <v>1271.8108999999999</v>
      </c>
      <c r="I88" s="976"/>
      <c r="J88" s="1040">
        <v>-1019</v>
      </c>
      <c r="K88" s="976">
        <v>252.81089999999995</v>
      </c>
      <c r="L88" s="978">
        <v>65.310899999999947</v>
      </c>
      <c r="M88" s="976" t="s">
        <v>3600</v>
      </c>
      <c r="N88" s="976">
        <v>337.08119999999991</v>
      </c>
      <c r="O88" s="735">
        <f t="shared" si="5"/>
        <v>87.08119999999991</v>
      </c>
      <c r="P88" s="738">
        <f t="shared" si="3"/>
        <v>337081.1999999999</v>
      </c>
      <c r="Q88" s="751">
        <f t="shared" si="4"/>
        <v>337000</v>
      </c>
      <c r="R88" s="747"/>
      <c r="S88" s="747"/>
      <c r="T88" s="747"/>
      <c r="U88" s="747"/>
      <c r="V88" s="988"/>
      <c r="W88" s="1024"/>
      <c r="X88" s="747"/>
      <c r="Y88" s="747"/>
      <c r="Z88" s="747"/>
      <c r="AA88" s="747"/>
      <c r="AB88" s="747"/>
      <c r="AC88" s="747"/>
      <c r="AD88" s="747"/>
      <c r="AE88" s="747"/>
      <c r="AF88" s="747"/>
      <c r="AG88" s="747"/>
      <c r="AH88" s="747"/>
      <c r="AI88" s="747"/>
      <c r="AJ88" s="747"/>
      <c r="AK88" s="747"/>
      <c r="AL88" s="747"/>
      <c r="AM88" s="747"/>
      <c r="AN88" s="747"/>
      <c r="AO88" s="747"/>
      <c r="AP88" s="747"/>
      <c r="AQ88" s="747"/>
      <c r="AR88" s="747"/>
      <c r="AS88" s="747"/>
      <c r="AT88" s="747"/>
      <c r="AU88" s="747"/>
      <c r="AV88" s="747"/>
      <c r="AW88" s="747"/>
      <c r="AX88" s="747"/>
    </row>
    <row r="89" spans="1:50" s="845" customFormat="1" ht="14.25" customHeight="1">
      <c r="A89" s="976" t="s">
        <v>3884</v>
      </c>
      <c r="B89" s="976" t="s">
        <v>1097</v>
      </c>
      <c r="C89" s="977">
        <v>1312601920</v>
      </c>
      <c r="D89" s="976" t="s">
        <v>3213</v>
      </c>
      <c r="E89" s="976">
        <v>0</v>
      </c>
      <c r="F89" s="976">
        <v>0</v>
      </c>
      <c r="G89" s="976">
        <v>0</v>
      </c>
      <c r="H89" s="976">
        <v>0</v>
      </c>
      <c r="I89" s="976"/>
      <c r="J89" s="976"/>
      <c r="K89" s="976">
        <v>0</v>
      </c>
      <c r="L89" s="978">
        <v>0</v>
      </c>
      <c r="M89" s="976" t="s">
        <v>3582</v>
      </c>
      <c r="N89" s="976">
        <v>0</v>
      </c>
      <c r="O89" s="735">
        <f t="shared" si="5"/>
        <v>0</v>
      </c>
      <c r="P89" s="738">
        <f t="shared" si="3"/>
        <v>0</v>
      </c>
      <c r="Q89" s="751">
        <f t="shared" si="4"/>
        <v>0</v>
      </c>
      <c r="R89" s="747"/>
      <c r="S89" s="747"/>
      <c r="T89" s="747"/>
      <c r="U89" s="747"/>
      <c r="V89" s="988"/>
      <c r="W89" s="1024"/>
      <c r="X89" s="747"/>
      <c r="Y89" s="747"/>
      <c r="Z89" s="747"/>
      <c r="AA89" s="747"/>
      <c r="AB89" s="747"/>
      <c r="AC89" s="747"/>
      <c r="AD89" s="747"/>
      <c r="AE89" s="747"/>
      <c r="AF89" s="747"/>
      <c r="AG89" s="747"/>
      <c r="AH89" s="747"/>
      <c r="AI89" s="747"/>
      <c r="AJ89" s="747"/>
      <c r="AK89" s="747"/>
      <c r="AL89" s="747"/>
      <c r="AM89" s="747"/>
      <c r="AN89" s="747"/>
      <c r="AO89" s="747"/>
      <c r="AP89" s="747"/>
      <c r="AQ89" s="747"/>
      <c r="AR89" s="747"/>
      <c r="AS89" s="747"/>
      <c r="AT89" s="747"/>
      <c r="AU89" s="747"/>
      <c r="AV89" s="747"/>
      <c r="AW89" s="747"/>
      <c r="AX89" s="747"/>
    </row>
    <row r="90" spans="1:50" s="845" customFormat="1" ht="14.25" customHeight="1">
      <c r="A90" s="976" t="s">
        <v>3884</v>
      </c>
      <c r="B90" s="976" t="s">
        <v>1097</v>
      </c>
      <c r="C90" s="977">
        <v>1312602920</v>
      </c>
      <c r="D90" s="976" t="s">
        <v>54</v>
      </c>
      <c r="E90" s="976">
        <v>200</v>
      </c>
      <c r="F90" s="976">
        <v>200</v>
      </c>
      <c r="G90" s="976">
        <v>150</v>
      </c>
      <c r="H90" s="976">
        <v>175.85079999999999</v>
      </c>
      <c r="I90" s="976"/>
      <c r="J90" s="1019">
        <v>15</v>
      </c>
      <c r="K90" s="976">
        <v>190.85079999999999</v>
      </c>
      <c r="L90" s="978">
        <v>40.850799999999992</v>
      </c>
      <c r="M90" s="976" t="s">
        <v>3601</v>
      </c>
      <c r="N90" s="976">
        <v>254.46773333333334</v>
      </c>
      <c r="O90" s="735">
        <f t="shared" si="5"/>
        <v>54.467733333333342</v>
      </c>
      <c r="P90" s="738">
        <f t="shared" si="3"/>
        <v>254467.73333333334</v>
      </c>
      <c r="Q90" s="751">
        <f t="shared" si="4"/>
        <v>254000</v>
      </c>
      <c r="R90" s="747"/>
      <c r="S90" s="747"/>
      <c r="T90" s="747"/>
      <c r="U90" s="747"/>
      <c r="V90" s="988"/>
      <c r="W90" s="1024"/>
      <c r="X90" s="747"/>
      <c r="Y90" s="747"/>
      <c r="Z90" s="747"/>
      <c r="AA90" s="747"/>
      <c r="AB90" s="747"/>
      <c r="AC90" s="747"/>
      <c r="AD90" s="747"/>
      <c r="AE90" s="747"/>
      <c r="AF90" s="747"/>
      <c r="AG90" s="747"/>
      <c r="AH90" s="747"/>
      <c r="AI90" s="747"/>
      <c r="AJ90" s="747"/>
      <c r="AK90" s="747"/>
      <c r="AL90" s="747"/>
      <c r="AM90" s="747"/>
      <c r="AN90" s="747"/>
      <c r="AO90" s="747"/>
      <c r="AP90" s="747"/>
      <c r="AQ90" s="747"/>
      <c r="AR90" s="747"/>
      <c r="AS90" s="747"/>
      <c r="AT90" s="747"/>
      <c r="AU90" s="747"/>
      <c r="AV90" s="747"/>
      <c r="AW90" s="747"/>
      <c r="AX90" s="747"/>
    </row>
    <row r="91" spans="1:50" s="845" customFormat="1" ht="14.25" customHeight="1">
      <c r="A91" s="976" t="s">
        <v>3884</v>
      </c>
      <c r="B91" s="976" t="s">
        <v>1097</v>
      </c>
      <c r="C91" s="977">
        <v>1313200920</v>
      </c>
      <c r="D91" s="976" t="s">
        <v>60</v>
      </c>
      <c r="E91" s="976">
        <v>9733</v>
      </c>
      <c r="F91" s="976">
        <v>9733</v>
      </c>
      <c r="G91" s="976">
        <v>7299.75</v>
      </c>
      <c r="H91" s="976">
        <v>7160.6869800000004</v>
      </c>
      <c r="I91" s="976"/>
      <c r="J91" s="976"/>
      <c r="K91" s="976">
        <v>7160.6869800000004</v>
      </c>
      <c r="L91" s="978">
        <v>-139.0630199999996</v>
      </c>
      <c r="M91" s="976" t="s">
        <v>3602</v>
      </c>
      <c r="N91" s="976">
        <v>9547.5826400000005</v>
      </c>
      <c r="O91" s="735">
        <f t="shared" si="5"/>
        <v>-185.41735999999946</v>
      </c>
      <c r="P91" s="738">
        <f t="shared" si="3"/>
        <v>9547582.6400000006</v>
      </c>
      <c r="Q91" s="751">
        <f t="shared" si="4"/>
        <v>9548000</v>
      </c>
      <c r="R91" s="747"/>
      <c r="S91" s="747"/>
      <c r="T91" s="747"/>
      <c r="U91" s="747"/>
      <c r="V91" s="988"/>
      <c r="W91" s="1024"/>
      <c r="X91" s="747"/>
      <c r="Y91" s="747"/>
      <c r="Z91" s="747"/>
      <c r="AA91" s="747"/>
      <c r="AB91" s="747"/>
      <c r="AC91" s="747"/>
      <c r="AD91" s="747"/>
      <c r="AE91" s="747"/>
      <c r="AF91" s="747"/>
      <c r="AG91" s="747"/>
      <c r="AH91" s="747"/>
      <c r="AI91" s="747"/>
      <c r="AJ91" s="747"/>
      <c r="AK91" s="747"/>
      <c r="AL91" s="747"/>
      <c r="AM91" s="747"/>
      <c r="AN91" s="747"/>
      <c r="AO91" s="747"/>
      <c r="AP91" s="747"/>
      <c r="AQ91" s="747"/>
      <c r="AR91" s="747"/>
      <c r="AS91" s="747"/>
      <c r="AT91" s="747"/>
      <c r="AU91" s="747"/>
      <c r="AV91" s="747"/>
      <c r="AW91" s="747"/>
      <c r="AX91" s="747"/>
    </row>
    <row r="92" spans="1:50" s="845" customFormat="1" ht="14.25" customHeight="1">
      <c r="A92" s="976" t="s">
        <v>3887</v>
      </c>
      <c r="B92" s="976"/>
      <c r="C92" s="968">
        <v>1313200922</v>
      </c>
      <c r="D92" s="976" t="s">
        <v>3856</v>
      </c>
      <c r="E92" s="976">
        <v>0</v>
      </c>
      <c r="F92" s="976">
        <v>0</v>
      </c>
      <c r="G92" s="976">
        <v>0</v>
      </c>
      <c r="H92" s="976">
        <v>675.46857999999997</v>
      </c>
      <c r="I92" s="976"/>
      <c r="J92" s="1040">
        <v>-169</v>
      </c>
      <c r="K92" s="976">
        <v>506.46857999999997</v>
      </c>
      <c r="L92" s="978">
        <v>506.46857999999997</v>
      </c>
      <c r="M92" s="976"/>
      <c r="N92" s="976">
        <v>675.29143999999997</v>
      </c>
      <c r="O92" s="735">
        <f t="shared" si="5"/>
        <v>675.29143999999997</v>
      </c>
      <c r="P92" s="738">
        <f t="shared" si="3"/>
        <v>675291.44</v>
      </c>
      <c r="Q92" s="751">
        <f t="shared" si="4"/>
        <v>675000</v>
      </c>
      <c r="R92" s="747"/>
      <c r="S92" s="747"/>
      <c r="T92" s="747"/>
      <c r="U92" s="747"/>
      <c r="V92" s="988"/>
      <c r="W92" s="1024"/>
      <c r="X92" s="747"/>
      <c r="Y92" s="747"/>
      <c r="Z92" s="747"/>
      <c r="AA92" s="747"/>
      <c r="AB92" s="747"/>
      <c r="AC92" s="747"/>
      <c r="AD92" s="747"/>
      <c r="AE92" s="747"/>
      <c r="AF92" s="747"/>
      <c r="AG92" s="747"/>
      <c r="AH92" s="747"/>
      <c r="AI92" s="747"/>
      <c r="AJ92" s="747"/>
      <c r="AK92" s="747"/>
      <c r="AL92" s="747"/>
      <c r="AM92" s="747"/>
      <c r="AN92" s="747"/>
      <c r="AO92" s="747"/>
      <c r="AP92" s="747"/>
      <c r="AQ92" s="747"/>
      <c r="AR92" s="747"/>
      <c r="AS92" s="747"/>
      <c r="AT92" s="747"/>
      <c r="AU92" s="747"/>
      <c r="AV92" s="747"/>
      <c r="AW92" s="747"/>
      <c r="AX92" s="747"/>
    </row>
    <row r="93" spans="1:50" s="845" customFormat="1" ht="14.25" customHeight="1">
      <c r="A93" s="976" t="s">
        <v>3886</v>
      </c>
      <c r="B93" s="976" t="s">
        <v>1097</v>
      </c>
      <c r="C93" s="977">
        <v>1313200921</v>
      </c>
      <c r="D93" s="976" t="s">
        <v>3214</v>
      </c>
      <c r="E93" s="976">
        <v>75</v>
      </c>
      <c r="F93" s="976">
        <v>75</v>
      </c>
      <c r="G93" s="976">
        <v>56.25</v>
      </c>
      <c r="H93" s="976">
        <v>0</v>
      </c>
      <c r="I93" s="976"/>
      <c r="J93" s="976"/>
      <c r="K93" s="976">
        <v>0</v>
      </c>
      <c r="L93" s="978">
        <v>-56.25</v>
      </c>
      <c r="M93" s="976" t="s">
        <v>3603</v>
      </c>
      <c r="N93" s="976">
        <v>0</v>
      </c>
      <c r="O93" s="735">
        <f t="shared" si="5"/>
        <v>-75</v>
      </c>
      <c r="P93" s="738">
        <f t="shared" si="3"/>
        <v>0</v>
      </c>
      <c r="Q93" s="751">
        <f t="shared" si="4"/>
        <v>0</v>
      </c>
      <c r="R93" s="747"/>
      <c r="S93" s="747"/>
      <c r="T93" s="747"/>
      <c r="U93" s="747"/>
      <c r="V93" s="988"/>
      <c r="W93" s="1024"/>
      <c r="X93" s="747"/>
      <c r="Y93" s="747"/>
      <c r="Z93" s="747"/>
      <c r="AA93" s="747"/>
      <c r="AB93" s="747"/>
      <c r="AC93" s="747"/>
      <c r="AD93" s="747"/>
      <c r="AE93" s="747"/>
      <c r="AF93" s="747"/>
      <c r="AG93" s="747"/>
      <c r="AH93" s="747"/>
      <c r="AI93" s="747"/>
      <c r="AJ93" s="747"/>
      <c r="AK93" s="747"/>
      <c r="AL93" s="747"/>
      <c r="AM93" s="747"/>
      <c r="AN93" s="747"/>
      <c r="AO93" s="747"/>
      <c r="AP93" s="747"/>
      <c r="AQ93" s="747"/>
      <c r="AR93" s="747"/>
      <c r="AS93" s="747"/>
      <c r="AT93" s="747"/>
      <c r="AU93" s="747"/>
      <c r="AV93" s="747"/>
      <c r="AW93" s="747"/>
      <c r="AX93" s="747"/>
    </row>
    <row r="94" spans="1:50" s="845" customFormat="1" ht="14.25" customHeight="1">
      <c r="A94" s="976" t="s">
        <v>3884</v>
      </c>
      <c r="B94" s="976" t="s">
        <v>1097</v>
      </c>
      <c r="C94" s="977">
        <v>1313206920</v>
      </c>
      <c r="D94" s="976" t="s">
        <v>62</v>
      </c>
      <c r="E94" s="976">
        <v>1180</v>
      </c>
      <c r="F94" s="976">
        <v>1180</v>
      </c>
      <c r="G94" s="976">
        <v>885</v>
      </c>
      <c r="H94" s="976">
        <v>1467.79026</v>
      </c>
      <c r="I94" s="976"/>
      <c r="J94" s="976"/>
      <c r="K94" s="976">
        <v>1467.79026</v>
      </c>
      <c r="L94" s="978">
        <v>582.79025999999999</v>
      </c>
      <c r="M94" s="976" t="s">
        <v>3604</v>
      </c>
      <c r="N94" s="976">
        <v>1957.05368</v>
      </c>
      <c r="O94" s="735">
        <f t="shared" si="5"/>
        <v>777.05367999999999</v>
      </c>
      <c r="P94" s="738">
        <f t="shared" si="3"/>
        <v>1957053.68</v>
      </c>
      <c r="Q94" s="751">
        <f t="shared" si="4"/>
        <v>1957000</v>
      </c>
      <c r="R94" s="747"/>
      <c r="S94" s="747"/>
      <c r="T94" s="747"/>
      <c r="U94" s="747"/>
      <c r="V94" s="988"/>
      <c r="W94" s="1024"/>
      <c r="X94" s="747"/>
      <c r="Y94" s="747"/>
      <c r="Z94" s="747"/>
      <c r="AA94" s="747"/>
      <c r="AB94" s="747"/>
      <c r="AC94" s="747"/>
      <c r="AD94" s="747"/>
      <c r="AE94" s="747"/>
      <c r="AF94" s="747"/>
      <c r="AG94" s="747"/>
      <c r="AH94" s="747"/>
      <c r="AI94" s="747"/>
      <c r="AJ94" s="747"/>
      <c r="AK94" s="747"/>
      <c r="AL94" s="747"/>
      <c r="AM94" s="747"/>
      <c r="AN94" s="747"/>
      <c r="AO94" s="747"/>
      <c r="AP94" s="747"/>
      <c r="AQ94" s="747"/>
      <c r="AR94" s="747"/>
      <c r="AS94" s="747"/>
      <c r="AT94" s="747"/>
      <c r="AU94" s="747"/>
      <c r="AV94" s="747"/>
      <c r="AW94" s="747"/>
      <c r="AX94" s="747"/>
    </row>
    <row r="95" spans="1:50" s="845" customFormat="1" ht="14.25" customHeight="1">
      <c r="A95" s="976" t="s">
        <v>3884</v>
      </c>
      <c r="B95" s="976" t="s">
        <v>1097</v>
      </c>
      <c r="C95" s="977">
        <v>1313207920</v>
      </c>
      <c r="D95" s="976" t="s">
        <v>63</v>
      </c>
      <c r="E95" s="976">
        <v>408</v>
      </c>
      <c r="F95" s="976">
        <v>408</v>
      </c>
      <c r="G95" s="976">
        <v>306</v>
      </c>
      <c r="H95" s="976">
        <v>499.70140000000004</v>
      </c>
      <c r="I95" s="976"/>
      <c r="J95" s="976"/>
      <c r="K95" s="976">
        <v>499.70140000000004</v>
      </c>
      <c r="L95" s="978">
        <v>193.70140000000004</v>
      </c>
      <c r="M95" s="976" t="s">
        <v>3604</v>
      </c>
      <c r="N95" s="976">
        <v>666.26853333333338</v>
      </c>
      <c r="O95" s="735">
        <f t="shared" si="5"/>
        <v>258.26853333333338</v>
      </c>
      <c r="P95" s="738">
        <f t="shared" si="3"/>
        <v>666268.53333333333</v>
      </c>
      <c r="Q95" s="751">
        <f t="shared" si="4"/>
        <v>666000</v>
      </c>
      <c r="R95" s="747"/>
      <c r="S95" s="747"/>
      <c r="T95" s="747"/>
      <c r="U95" s="747"/>
      <c r="V95" s="988"/>
      <c r="W95" s="1024"/>
      <c r="X95" s="747"/>
      <c r="Y95" s="747"/>
      <c r="Z95" s="747"/>
      <c r="AA95" s="747"/>
      <c r="AB95" s="747"/>
      <c r="AC95" s="747"/>
      <c r="AD95" s="747"/>
      <c r="AE95" s="747"/>
      <c r="AF95" s="747"/>
      <c r="AG95" s="747"/>
      <c r="AH95" s="747"/>
      <c r="AI95" s="747"/>
      <c r="AJ95" s="747"/>
      <c r="AK95" s="747"/>
      <c r="AL95" s="747"/>
      <c r="AM95" s="747"/>
      <c r="AN95" s="747"/>
      <c r="AO95" s="747"/>
      <c r="AP95" s="747"/>
      <c r="AQ95" s="747"/>
      <c r="AR95" s="747"/>
      <c r="AS95" s="747"/>
      <c r="AT95" s="747"/>
      <c r="AU95" s="747"/>
      <c r="AV95" s="747"/>
      <c r="AW95" s="747"/>
      <c r="AX95" s="747"/>
    </row>
    <row r="96" spans="1:50" s="845" customFormat="1" ht="14.25" customHeight="1">
      <c r="A96" s="976" t="s">
        <v>3884</v>
      </c>
      <c r="B96" s="976" t="s">
        <v>1097</v>
      </c>
      <c r="C96" s="977">
        <v>1313209920</v>
      </c>
      <c r="D96" s="976" t="s">
        <v>64</v>
      </c>
      <c r="E96" s="976">
        <v>290</v>
      </c>
      <c r="F96" s="976">
        <v>290</v>
      </c>
      <c r="G96" s="976">
        <v>217.5</v>
      </c>
      <c r="H96" s="976">
        <v>199.07028</v>
      </c>
      <c r="I96" s="976"/>
      <c r="J96" s="976"/>
      <c r="K96" s="976">
        <v>199.07028</v>
      </c>
      <c r="L96" s="978">
        <v>-18.429720000000003</v>
      </c>
      <c r="M96" s="976" t="s">
        <v>3582</v>
      </c>
      <c r="N96" s="976">
        <v>265.42703999999998</v>
      </c>
      <c r="O96" s="735">
        <f t="shared" si="5"/>
        <v>-24.572960000000023</v>
      </c>
      <c r="P96" s="738">
        <f t="shared" si="3"/>
        <v>265427.03999999998</v>
      </c>
      <c r="Q96" s="751">
        <f t="shared" si="4"/>
        <v>265000</v>
      </c>
      <c r="R96" s="747"/>
      <c r="S96" s="747"/>
      <c r="T96" s="747"/>
      <c r="U96" s="747"/>
      <c r="V96" s="988"/>
      <c r="W96" s="1024"/>
      <c r="X96" s="747"/>
      <c r="Y96" s="747"/>
      <c r="Z96" s="747"/>
      <c r="AA96" s="747"/>
      <c r="AB96" s="747"/>
      <c r="AC96" s="747"/>
      <c r="AD96" s="747"/>
      <c r="AE96" s="747"/>
      <c r="AF96" s="747"/>
      <c r="AG96" s="747"/>
      <c r="AH96" s="747"/>
      <c r="AI96" s="747"/>
      <c r="AJ96" s="747"/>
      <c r="AK96" s="747"/>
      <c r="AL96" s="747"/>
      <c r="AM96" s="747"/>
      <c r="AN96" s="747"/>
      <c r="AO96" s="747"/>
      <c r="AP96" s="747"/>
      <c r="AQ96" s="747"/>
      <c r="AR96" s="747"/>
      <c r="AS96" s="747"/>
      <c r="AT96" s="747"/>
      <c r="AU96" s="747"/>
      <c r="AV96" s="747"/>
      <c r="AW96" s="747"/>
      <c r="AX96" s="747"/>
    </row>
    <row r="97" spans="1:50" s="845" customFormat="1" ht="14.25" customHeight="1">
      <c r="A97" s="976" t="s">
        <v>3884</v>
      </c>
      <c r="B97" s="976" t="s">
        <v>1097</v>
      </c>
      <c r="C97" s="977">
        <v>1313210920</v>
      </c>
      <c r="D97" s="976" t="s">
        <v>65</v>
      </c>
      <c r="E97" s="976">
        <v>550</v>
      </c>
      <c r="F97" s="976">
        <v>550</v>
      </c>
      <c r="G97" s="976">
        <v>412.5</v>
      </c>
      <c r="H97" s="976">
        <v>714.01146999999992</v>
      </c>
      <c r="I97" s="976"/>
      <c r="J97" s="1040">
        <v>-178</v>
      </c>
      <c r="K97" s="976">
        <v>536.01146999999992</v>
      </c>
      <c r="L97" s="978">
        <v>123.51146999999992</v>
      </c>
      <c r="M97" s="976" t="s">
        <v>3582</v>
      </c>
      <c r="N97" s="976">
        <v>714.68195999999989</v>
      </c>
      <c r="O97" s="735">
        <f t="shared" si="5"/>
        <v>164.68195999999989</v>
      </c>
      <c r="P97" s="738">
        <f t="shared" si="3"/>
        <v>714681.95999999985</v>
      </c>
      <c r="Q97" s="751">
        <f t="shared" si="4"/>
        <v>715000</v>
      </c>
      <c r="R97" s="747"/>
      <c r="S97" s="747"/>
      <c r="T97" s="747"/>
      <c r="U97" s="747"/>
      <c r="V97" s="988"/>
      <c r="W97" s="1024"/>
      <c r="X97" s="747"/>
      <c r="Y97" s="747"/>
      <c r="Z97" s="747"/>
      <c r="AA97" s="747"/>
      <c r="AB97" s="747"/>
      <c r="AC97" s="747"/>
      <c r="AD97" s="747"/>
      <c r="AE97" s="747"/>
      <c r="AF97" s="747"/>
      <c r="AG97" s="747"/>
      <c r="AH97" s="747"/>
      <c r="AI97" s="747"/>
      <c r="AJ97" s="747"/>
      <c r="AK97" s="747"/>
      <c r="AL97" s="747"/>
      <c r="AM97" s="747"/>
      <c r="AN97" s="747"/>
      <c r="AO97" s="747"/>
      <c r="AP97" s="747"/>
      <c r="AQ97" s="747"/>
      <c r="AR97" s="747"/>
      <c r="AS97" s="747"/>
      <c r="AT97" s="747"/>
      <c r="AU97" s="747"/>
      <c r="AV97" s="747"/>
      <c r="AW97" s="747"/>
      <c r="AX97" s="747"/>
    </row>
    <row r="98" spans="1:50" s="845" customFormat="1" ht="14.25" customHeight="1">
      <c r="A98" s="976" t="s">
        <v>3884</v>
      </c>
      <c r="B98" s="976" t="s">
        <v>1097</v>
      </c>
      <c r="C98" s="977">
        <v>1313211920</v>
      </c>
      <c r="D98" s="976" t="s">
        <v>66</v>
      </c>
      <c r="E98" s="976">
        <v>20</v>
      </c>
      <c r="F98" s="976">
        <v>20</v>
      </c>
      <c r="G98" s="976">
        <v>15</v>
      </c>
      <c r="H98" s="976">
        <v>0.93933</v>
      </c>
      <c r="I98" s="976"/>
      <c r="J98" s="976"/>
      <c r="K98" s="976">
        <v>0.93933</v>
      </c>
      <c r="L98" s="978">
        <v>-14.06067</v>
      </c>
      <c r="M98" s="976" t="s">
        <v>3582</v>
      </c>
      <c r="N98" s="976">
        <v>1.25244</v>
      </c>
      <c r="O98" s="735">
        <f t="shared" si="5"/>
        <v>-18.74756</v>
      </c>
      <c r="P98" s="738">
        <f t="shared" si="3"/>
        <v>1252.44</v>
      </c>
      <c r="Q98" s="751">
        <f t="shared" si="4"/>
        <v>1000</v>
      </c>
      <c r="R98" s="747"/>
      <c r="S98" s="747"/>
      <c r="T98" s="747"/>
      <c r="U98" s="747"/>
      <c r="V98" s="988"/>
      <c r="W98" s="1024"/>
      <c r="X98" s="747"/>
      <c r="Y98" s="747"/>
      <c r="Z98" s="747"/>
      <c r="AA98" s="747"/>
      <c r="AB98" s="747"/>
      <c r="AC98" s="747"/>
      <c r="AD98" s="747"/>
      <c r="AE98" s="747"/>
      <c r="AF98" s="747"/>
      <c r="AG98" s="747"/>
      <c r="AH98" s="747"/>
      <c r="AI98" s="747"/>
      <c r="AJ98" s="747"/>
      <c r="AK98" s="747"/>
      <c r="AL98" s="747"/>
      <c r="AM98" s="747"/>
      <c r="AN98" s="747"/>
      <c r="AO98" s="747"/>
      <c r="AP98" s="747"/>
      <c r="AQ98" s="747"/>
      <c r="AR98" s="747"/>
      <c r="AS98" s="747"/>
      <c r="AT98" s="747"/>
      <c r="AU98" s="747"/>
      <c r="AV98" s="747"/>
      <c r="AW98" s="747"/>
      <c r="AX98" s="747"/>
    </row>
    <row r="99" spans="1:50" s="845" customFormat="1" ht="14.25" customHeight="1">
      <c r="A99" s="976" t="s">
        <v>3884</v>
      </c>
      <c r="B99" s="976" t="s">
        <v>1097</v>
      </c>
      <c r="C99" s="977">
        <v>1313212920</v>
      </c>
      <c r="D99" s="976" t="s">
        <v>67</v>
      </c>
      <c r="E99" s="976">
        <v>75</v>
      </c>
      <c r="F99" s="976">
        <v>75</v>
      </c>
      <c r="G99" s="976">
        <v>56.25</v>
      </c>
      <c r="H99" s="976">
        <v>51.869330000000005</v>
      </c>
      <c r="I99" s="976"/>
      <c r="J99" s="976"/>
      <c r="K99" s="976">
        <v>51.869330000000005</v>
      </c>
      <c r="L99" s="978">
        <v>-4.380669999999995</v>
      </c>
      <c r="M99" s="976" t="s">
        <v>3582</v>
      </c>
      <c r="N99" s="976">
        <v>69.159106666666673</v>
      </c>
      <c r="O99" s="735">
        <f t="shared" si="5"/>
        <v>-5.8408933333333266</v>
      </c>
      <c r="P99" s="738">
        <f t="shared" si="3"/>
        <v>69159.106666666674</v>
      </c>
      <c r="Q99" s="751">
        <f t="shared" si="4"/>
        <v>69000</v>
      </c>
      <c r="R99" s="747"/>
      <c r="S99" s="747"/>
      <c r="T99" s="747"/>
      <c r="U99" s="747"/>
      <c r="V99" s="988"/>
      <c r="W99" s="1024"/>
      <c r="X99" s="747"/>
      <c r="Y99" s="747"/>
      <c r="Z99" s="747"/>
      <c r="AA99" s="747"/>
      <c r="AB99" s="747"/>
      <c r="AC99" s="747"/>
      <c r="AD99" s="747"/>
      <c r="AE99" s="747"/>
      <c r="AF99" s="747"/>
      <c r="AG99" s="747"/>
      <c r="AH99" s="747"/>
      <c r="AI99" s="747"/>
      <c r="AJ99" s="747"/>
      <c r="AK99" s="747"/>
      <c r="AL99" s="747"/>
      <c r="AM99" s="747"/>
      <c r="AN99" s="747"/>
      <c r="AO99" s="747"/>
      <c r="AP99" s="747"/>
      <c r="AQ99" s="747"/>
      <c r="AR99" s="747"/>
      <c r="AS99" s="747"/>
      <c r="AT99" s="747"/>
      <c r="AU99" s="747"/>
      <c r="AV99" s="747"/>
      <c r="AW99" s="747"/>
      <c r="AX99" s="747"/>
    </row>
    <row r="100" spans="1:50" s="845" customFormat="1" ht="14.25" customHeight="1">
      <c r="A100" s="976" t="s">
        <v>3884</v>
      </c>
      <c r="B100" s="976" t="s">
        <v>1097</v>
      </c>
      <c r="C100" s="977">
        <v>1313214920</v>
      </c>
      <c r="D100" s="976" t="s">
        <v>68</v>
      </c>
      <c r="E100" s="976">
        <v>165</v>
      </c>
      <c r="F100" s="976">
        <v>165</v>
      </c>
      <c r="G100" s="976">
        <v>123.75</v>
      </c>
      <c r="H100" s="976">
        <v>104.08521</v>
      </c>
      <c r="I100" s="976"/>
      <c r="J100" s="976"/>
      <c r="K100" s="976">
        <v>104.08521</v>
      </c>
      <c r="L100" s="978">
        <v>-19.664789999999996</v>
      </c>
      <c r="M100" s="976" t="s">
        <v>3582</v>
      </c>
      <c r="N100" s="976">
        <v>138.78028</v>
      </c>
      <c r="O100" s="735">
        <f t="shared" si="5"/>
        <v>-26.219719999999995</v>
      </c>
      <c r="P100" s="738">
        <f t="shared" si="3"/>
        <v>138780.28</v>
      </c>
      <c r="Q100" s="751">
        <f t="shared" si="4"/>
        <v>139000</v>
      </c>
      <c r="R100" s="747"/>
      <c r="S100" s="747"/>
      <c r="T100" s="747"/>
      <c r="U100" s="747"/>
      <c r="V100" s="988"/>
      <c r="W100" s="1024"/>
      <c r="X100" s="747"/>
      <c r="Y100" s="747"/>
      <c r="Z100" s="747"/>
      <c r="AA100" s="747"/>
      <c r="AB100" s="747"/>
      <c r="AC100" s="747"/>
      <c r="AD100" s="747"/>
      <c r="AE100" s="747"/>
      <c r="AF100" s="747"/>
      <c r="AG100" s="747"/>
      <c r="AH100" s="747"/>
      <c r="AI100" s="747"/>
      <c r="AJ100" s="747"/>
      <c r="AK100" s="747"/>
      <c r="AL100" s="747"/>
      <c r="AM100" s="747"/>
      <c r="AN100" s="747"/>
      <c r="AO100" s="747"/>
      <c r="AP100" s="747"/>
      <c r="AQ100" s="747"/>
      <c r="AR100" s="747"/>
      <c r="AS100" s="747"/>
      <c r="AT100" s="747"/>
      <c r="AU100" s="747"/>
      <c r="AV100" s="747"/>
      <c r="AW100" s="747"/>
      <c r="AX100" s="747"/>
    </row>
    <row r="101" spans="1:50" s="845" customFormat="1" ht="14.25" customHeight="1">
      <c r="A101" s="976" t="s">
        <v>3884</v>
      </c>
      <c r="B101" s="976" t="s">
        <v>1097</v>
      </c>
      <c r="C101" s="977">
        <v>1313302920</v>
      </c>
      <c r="D101" s="976" t="s">
        <v>70</v>
      </c>
      <c r="E101" s="976">
        <v>1600</v>
      </c>
      <c r="F101" s="976">
        <v>1600</v>
      </c>
      <c r="G101" s="976">
        <v>1200</v>
      </c>
      <c r="H101" s="976">
        <v>937.41743999999994</v>
      </c>
      <c r="I101" s="976"/>
      <c r="J101" s="1019">
        <v>100</v>
      </c>
      <c r="K101" s="976">
        <v>1037.4174399999999</v>
      </c>
      <c r="L101" s="978">
        <v>-162.58256000000006</v>
      </c>
      <c r="M101" s="976" t="s">
        <v>3605</v>
      </c>
      <c r="N101" s="976">
        <v>1383.2232533333331</v>
      </c>
      <c r="O101" s="735">
        <f t="shared" si="5"/>
        <v>-216.7767466666669</v>
      </c>
      <c r="P101" s="738">
        <f t="shared" si="3"/>
        <v>1383223.2533333332</v>
      </c>
      <c r="Q101" s="751">
        <f t="shared" si="4"/>
        <v>1383000</v>
      </c>
      <c r="R101" s="747"/>
      <c r="S101" s="747"/>
      <c r="T101" s="747"/>
      <c r="U101" s="747"/>
      <c r="V101" s="988"/>
      <c r="W101" s="1024"/>
      <c r="X101" s="747"/>
      <c r="Y101" s="747"/>
      <c r="Z101" s="747"/>
      <c r="AA101" s="747"/>
      <c r="AB101" s="747"/>
      <c r="AC101" s="747"/>
      <c r="AD101" s="747"/>
      <c r="AE101" s="747"/>
      <c r="AF101" s="747"/>
      <c r="AG101" s="747"/>
      <c r="AH101" s="747"/>
      <c r="AI101" s="747"/>
      <c r="AJ101" s="747"/>
      <c r="AK101" s="747"/>
      <c r="AL101" s="747"/>
      <c r="AM101" s="747"/>
      <c r="AN101" s="747"/>
      <c r="AO101" s="747"/>
      <c r="AP101" s="747"/>
      <c r="AQ101" s="747"/>
      <c r="AR101" s="747"/>
      <c r="AS101" s="747"/>
      <c r="AT101" s="747"/>
      <c r="AU101" s="747"/>
      <c r="AV101" s="747"/>
      <c r="AW101" s="747"/>
      <c r="AX101" s="747"/>
    </row>
    <row r="102" spans="1:50" s="845" customFormat="1" ht="14.25" customHeight="1">
      <c r="A102" s="976" t="s">
        <v>3884</v>
      </c>
      <c r="B102" s="976" t="s">
        <v>1097</v>
      </c>
      <c r="C102" s="977">
        <v>1313303920</v>
      </c>
      <c r="D102" s="976" t="s">
        <v>71</v>
      </c>
      <c r="E102" s="976">
        <v>5930</v>
      </c>
      <c r="F102" s="976">
        <v>5930</v>
      </c>
      <c r="G102" s="976">
        <v>4447.5</v>
      </c>
      <c r="H102" s="976">
        <v>4835.6684599999999</v>
      </c>
      <c r="I102" s="976"/>
      <c r="J102" s="976"/>
      <c r="K102" s="976">
        <v>4835.6684599999999</v>
      </c>
      <c r="L102" s="978">
        <v>388.16845999999987</v>
      </c>
      <c r="M102" s="976" t="s">
        <v>3606</v>
      </c>
      <c r="N102" s="976">
        <v>6447.5579466666659</v>
      </c>
      <c r="O102" s="735">
        <f t="shared" si="5"/>
        <v>517.55794666666588</v>
      </c>
      <c r="P102" s="738">
        <f t="shared" si="3"/>
        <v>6447557.9466666663</v>
      </c>
      <c r="Q102" s="751">
        <f t="shared" si="4"/>
        <v>6448000</v>
      </c>
      <c r="R102" s="747"/>
      <c r="S102" s="747"/>
      <c r="T102" s="747"/>
      <c r="U102" s="747"/>
      <c r="V102" s="988"/>
      <c r="W102" s="1024"/>
      <c r="X102" s="747"/>
      <c r="Y102" s="747"/>
      <c r="Z102" s="747"/>
      <c r="AA102" s="747"/>
      <c r="AB102" s="747"/>
      <c r="AC102" s="747"/>
      <c r="AD102" s="747"/>
      <c r="AE102" s="747"/>
      <c r="AF102" s="747"/>
      <c r="AG102" s="747"/>
      <c r="AH102" s="747"/>
      <c r="AI102" s="747"/>
      <c r="AJ102" s="747"/>
      <c r="AK102" s="747"/>
      <c r="AL102" s="747"/>
      <c r="AM102" s="747"/>
      <c r="AN102" s="747"/>
      <c r="AO102" s="747"/>
      <c r="AP102" s="747"/>
      <c r="AQ102" s="747"/>
      <c r="AR102" s="747"/>
      <c r="AS102" s="747"/>
      <c r="AT102" s="747"/>
      <c r="AU102" s="747"/>
      <c r="AV102" s="747"/>
      <c r="AW102" s="747"/>
      <c r="AX102" s="747"/>
    </row>
    <row r="103" spans="1:50" s="845" customFormat="1" ht="14.25" customHeight="1">
      <c r="A103" s="976" t="s">
        <v>3884</v>
      </c>
      <c r="B103" s="976" t="s">
        <v>1097</v>
      </c>
      <c r="C103" s="977">
        <v>1313305920</v>
      </c>
      <c r="D103" s="976" t="s">
        <v>72</v>
      </c>
      <c r="E103" s="976">
        <v>12800</v>
      </c>
      <c r="F103" s="976">
        <v>12800</v>
      </c>
      <c r="G103" s="976">
        <v>9600</v>
      </c>
      <c r="H103" s="976">
        <v>9100.1538800000017</v>
      </c>
      <c r="I103" s="976"/>
      <c r="J103" s="1019">
        <v>350</v>
      </c>
      <c r="K103" s="976">
        <v>9450.1538800000017</v>
      </c>
      <c r="L103" s="978">
        <v>-149.84611999999834</v>
      </c>
      <c r="M103" s="976" t="s">
        <v>3607</v>
      </c>
      <c r="N103" s="976">
        <v>12600.205173333336</v>
      </c>
      <c r="O103" s="735">
        <f t="shared" si="5"/>
        <v>-199.79482666666445</v>
      </c>
      <c r="P103" s="738">
        <f t="shared" si="3"/>
        <v>12600205.173333336</v>
      </c>
      <c r="Q103" s="751">
        <f t="shared" si="4"/>
        <v>12600000</v>
      </c>
      <c r="R103" s="747"/>
      <c r="S103" s="747"/>
      <c r="T103" s="747"/>
      <c r="U103" s="747"/>
      <c r="V103" s="988"/>
      <c r="W103" s="1024"/>
      <c r="X103" s="747"/>
      <c r="Y103" s="747"/>
      <c r="Z103" s="747"/>
      <c r="AA103" s="747"/>
      <c r="AB103" s="747"/>
      <c r="AC103" s="747"/>
      <c r="AD103" s="747"/>
      <c r="AE103" s="747"/>
      <c r="AF103" s="747"/>
      <c r="AG103" s="747"/>
      <c r="AH103" s="747"/>
      <c r="AI103" s="747"/>
      <c r="AJ103" s="747"/>
      <c r="AK103" s="747"/>
      <c r="AL103" s="747"/>
      <c r="AM103" s="747"/>
      <c r="AN103" s="747"/>
      <c r="AO103" s="747"/>
      <c r="AP103" s="747"/>
      <c r="AQ103" s="747"/>
      <c r="AR103" s="747"/>
      <c r="AS103" s="747"/>
      <c r="AT103" s="747"/>
      <c r="AU103" s="747"/>
      <c r="AV103" s="747"/>
      <c r="AW103" s="747"/>
      <c r="AX103" s="747"/>
    </row>
    <row r="104" spans="1:50" s="845" customFormat="1" ht="14.25" customHeight="1">
      <c r="A104" s="976" t="s">
        <v>3884</v>
      </c>
      <c r="B104" s="976" t="s">
        <v>1097</v>
      </c>
      <c r="C104" s="977">
        <v>1313306920</v>
      </c>
      <c r="D104" s="976" t="s">
        <v>73</v>
      </c>
      <c r="E104" s="976">
        <v>750</v>
      </c>
      <c r="F104" s="976">
        <v>750</v>
      </c>
      <c r="G104" s="976">
        <v>562.5</v>
      </c>
      <c r="H104" s="976">
        <v>638.20772999999997</v>
      </c>
      <c r="I104" s="976"/>
      <c r="J104" s="976"/>
      <c r="K104" s="976">
        <v>638.20772999999997</v>
      </c>
      <c r="L104" s="978">
        <v>75.70772999999997</v>
      </c>
      <c r="M104" s="976" t="s">
        <v>3608</v>
      </c>
      <c r="N104" s="976">
        <v>850.94363999999996</v>
      </c>
      <c r="O104" s="735">
        <f t="shared" si="5"/>
        <v>100.94363999999996</v>
      </c>
      <c r="P104" s="738">
        <f t="shared" si="3"/>
        <v>850943.64</v>
      </c>
      <c r="Q104" s="751">
        <f t="shared" si="4"/>
        <v>851000</v>
      </c>
      <c r="R104" s="747"/>
      <c r="S104" s="747"/>
      <c r="T104" s="747"/>
      <c r="U104" s="747"/>
      <c r="V104" s="988"/>
      <c r="W104" s="1024"/>
      <c r="X104" s="747"/>
      <c r="Y104" s="747"/>
      <c r="Z104" s="747"/>
      <c r="AA104" s="747"/>
      <c r="AB104" s="747"/>
      <c r="AC104" s="747"/>
      <c r="AD104" s="747"/>
      <c r="AE104" s="747"/>
      <c r="AF104" s="747"/>
      <c r="AG104" s="747"/>
      <c r="AH104" s="747"/>
      <c r="AI104" s="747"/>
      <c r="AJ104" s="747"/>
      <c r="AK104" s="747"/>
      <c r="AL104" s="747"/>
      <c r="AM104" s="747"/>
      <c r="AN104" s="747"/>
      <c r="AO104" s="747"/>
      <c r="AP104" s="747"/>
      <c r="AQ104" s="747"/>
      <c r="AR104" s="747"/>
      <c r="AS104" s="747"/>
      <c r="AT104" s="747"/>
      <c r="AU104" s="747"/>
      <c r="AV104" s="747"/>
      <c r="AW104" s="747"/>
      <c r="AX104" s="747"/>
    </row>
    <row r="105" spans="1:50" s="845" customFormat="1" ht="14.25" customHeight="1">
      <c r="A105" s="976" t="s">
        <v>3884</v>
      </c>
      <c r="B105" s="976" t="s">
        <v>1097</v>
      </c>
      <c r="C105" s="977">
        <v>1313307920</v>
      </c>
      <c r="D105" s="976" t="s">
        <v>74</v>
      </c>
      <c r="E105" s="976">
        <v>5726</v>
      </c>
      <c r="F105" s="976">
        <v>5726</v>
      </c>
      <c r="G105" s="976">
        <v>4294.5</v>
      </c>
      <c r="H105" s="976">
        <v>4218.3920099999996</v>
      </c>
      <c r="I105" s="976"/>
      <c r="J105" s="976"/>
      <c r="K105" s="976">
        <v>4218.3920099999996</v>
      </c>
      <c r="L105" s="978">
        <v>-76.107990000000427</v>
      </c>
      <c r="M105" s="976" t="s">
        <v>3609</v>
      </c>
      <c r="N105" s="976">
        <v>5624.5226799999991</v>
      </c>
      <c r="O105" s="735">
        <f t="shared" si="5"/>
        <v>-101.47732000000087</v>
      </c>
      <c r="P105" s="738">
        <f t="shared" si="3"/>
        <v>5624522.6799999988</v>
      </c>
      <c r="Q105" s="751">
        <f t="shared" si="4"/>
        <v>5625000</v>
      </c>
      <c r="R105" s="747"/>
      <c r="S105" s="747"/>
      <c r="T105" s="747"/>
      <c r="U105" s="747"/>
      <c r="V105" s="988"/>
      <c r="W105" s="1024"/>
      <c r="X105" s="747"/>
      <c r="Y105" s="747"/>
      <c r="Z105" s="747"/>
      <c r="AA105" s="747"/>
      <c r="AB105" s="747"/>
      <c r="AC105" s="747"/>
      <c r="AD105" s="747"/>
      <c r="AE105" s="747"/>
      <c r="AF105" s="747"/>
      <c r="AG105" s="747"/>
      <c r="AH105" s="747"/>
      <c r="AI105" s="747"/>
      <c r="AJ105" s="747"/>
      <c r="AK105" s="747"/>
      <c r="AL105" s="747"/>
      <c r="AM105" s="747"/>
      <c r="AN105" s="747"/>
      <c r="AO105" s="747"/>
      <c r="AP105" s="747"/>
      <c r="AQ105" s="747"/>
      <c r="AR105" s="747"/>
      <c r="AS105" s="747"/>
      <c r="AT105" s="747"/>
      <c r="AU105" s="747"/>
      <c r="AV105" s="747"/>
      <c r="AW105" s="747"/>
      <c r="AX105" s="747"/>
    </row>
    <row r="106" spans="1:50" s="845" customFormat="1" ht="14.25" customHeight="1">
      <c r="A106" s="976" t="s">
        <v>3884</v>
      </c>
      <c r="B106" s="976" t="s">
        <v>1097</v>
      </c>
      <c r="C106" s="977">
        <v>1313700920</v>
      </c>
      <c r="D106" s="976" t="s">
        <v>77</v>
      </c>
      <c r="E106" s="976">
        <v>202</v>
      </c>
      <c r="F106" s="976">
        <v>202</v>
      </c>
      <c r="G106" s="976">
        <v>151.5</v>
      </c>
      <c r="H106" s="976">
        <v>132.71384</v>
      </c>
      <c r="I106" s="976"/>
      <c r="J106" s="976"/>
      <c r="K106" s="976">
        <v>132.71384</v>
      </c>
      <c r="L106" s="978">
        <v>-18.786159999999995</v>
      </c>
      <c r="M106" s="976" t="s">
        <v>3582</v>
      </c>
      <c r="N106" s="976">
        <v>176.95178666666666</v>
      </c>
      <c r="O106" s="735">
        <f t="shared" si="5"/>
        <v>-25.048213333333337</v>
      </c>
      <c r="P106" s="738">
        <f t="shared" si="3"/>
        <v>176951.78666666665</v>
      </c>
      <c r="Q106" s="751">
        <f t="shared" si="4"/>
        <v>177000</v>
      </c>
      <c r="R106" s="747"/>
      <c r="S106" s="747"/>
      <c r="T106" s="747"/>
      <c r="U106" s="747"/>
      <c r="V106" s="988"/>
      <c r="W106" s="1024"/>
      <c r="X106" s="747"/>
      <c r="Y106" s="747"/>
      <c r="Z106" s="747"/>
      <c r="AA106" s="747"/>
      <c r="AB106" s="747"/>
      <c r="AC106" s="747"/>
      <c r="AD106" s="747"/>
      <c r="AE106" s="747"/>
      <c r="AF106" s="747"/>
      <c r="AG106" s="747"/>
      <c r="AH106" s="747"/>
      <c r="AI106" s="747"/>
      <c r="AJ106" s="747"/>
      <c r="AK106" s="747"/>
      <c r="AL106" s="747"/>
      <c r="AM106" s="747"/>
      <c r="AN106" s="747"/>
      <c r="AO106" s="747"/>
      <c r="AP106" s="747"/>
      <c r="AQ106" s="747"/>
      <c r="AR106" s="747"/>
      <c r="AS106" s="747"/>
      <c r="AT106" s="747"/>
      <c r="AU106" s="747"/>
      <c r="AV106" s="747"/>
      <c r="AW106" s="747"/>
      <c r="AX106" s="747"/>
    </row>
    <row r="107" spans="1:50" s="845" customFormat="1" ht="14.25" customHeight="1">
      <c r="A107" s="976" t="s">
        <v>3884</v>
      </c>
      <c r="B107" s="976" t="s">
        <v>1097</v>
      </c>
      <c r="C107" s="977">
        <v>1314000920</v>
      </c>
      <c r="D107" s="976" t="s">
        <v>3215</v>
      </c>
      <c r="E107" s="976">
        <v>0</v>
      </c>
      <c r="F107" s="976">
        <v>0</v>
      </c>
      <c r="G107" s="976">
        <v>0</v>
      </c>
      <c r="H107" s="976">
        <v>0</v>
      </c>
      <c r="I107" s="976"/>
      <c r="J107" s="976"/>
      <c r="K107" s="976">
        <v>0</v>
      </c>
      <c r="L107" s="978">
        <v>0</v>
      </c>
      <c r="M107" s="976" t="s">
        <v>3582</v>
      </c>
      <c r="N107" s="976">
        <v>0</v>
      </c>
      <c r="O107" s="860">
        <f t="shared" si="5"/>
        <v>0</v>
      </c>
      <c r="P107" s="738">
        <f t="shared" si="3"/>
        <v>0</v>
      </c>
      <c r="Q107" s="751">
        <f t="shared" si="4"/>
        <v>0</v>
      </c>
      <c r="R107" s="861"/>
      <c r="S107" s="861"/>
      <c r="T107" s="861"/>
      <c r="U107" s="747"/>
      <c r="V107" s="988"/>
      <c r="W107" s="1024"/>
      <c r="X107" s="747"/>
      <c r="Y107" s="747"/>
      <c r="Z107" s="747"/>
      <c r="AA107" s="747"/>
      <c r="AB107" s="747"/>
      <c r="AC107" s="747"/>
      <c r="AD107" s="747"/>
      <c r="AE107" s="747"/>
      <c r="AF107" s="747"/>
      <c r="AG107" s="747"/>
      <c r="AH107" s="747"/>
      <c r="AI107" s="747"/>
      <c r="AJ107" s="747"/>
      <c r="AK107" s="747"/>
      <c r="AL107" s="747"/>
      <c r="AM107" s="747"/>
      <c r="AN107" s="747"/>
      <c r="AO107" s="747"/>
      <c r="AP107" s="747"/>
      <c r="AQ107" s="747"/>
      <c r="AR107" s="747"/>
      <c r="AS107" s="747"/>
      <c r="AT107" s="747"/>
      <c r="AU107" s="747"/>
      <c r="AV107" s="747"/>
      <c r="AW107" s="747"/>
      <c r="AX107" s="747"/>
    </row>
    <row r="108" spans="1:50" s="845" customFormat="1" ht="14.25" customHeight="1">
      <c r="A108" s="976" t="s">
        <v>3884</v>
      </c>
      <c r="B108" s="1029"/>
      <c r="C108" s="977">
        <v>1315000920</v>
      </c>
      <c r="D108" s="976" t="s">
        <v>1526</v>
      </c>
      <c r="E108" s="976">
        <v>280</v>
      </c>
      <c r="F108" s="976">
        <v>280</v>
      </c>
      <c r="G108" s="976">
        <v>210</v>
      </c>
      <c r="H108" s="976">
        <v>0</v>
      </c>
      <c r="I108" s="976"/>
      <c r="J108" s="1019">
        <v>210</v>
      </c>
      <c r="K108" s="976">
        <v>210</v>
      </c>
      <c r="L108" s="978">
        <v>0</v>
      </c>
      <c r="M108" s="976" t="s">
        <v>3610</v>
      </c>
      <c r="N108" s="976">
        <v>280</v>
      </c>
      <c r="O108" s="735">
        <f t="shared" si="5"/>
        <v>0</v>
      </c>
      <c r="P108" s="738">
        <f t="shared" si="3"/>
        <v>280000</v>
      </c>
      <c r="Q108" s="751">
        <f t="shared" si="4"/>
        <v>280000</v>
      </c>
      <c r="R108" s="747"/>
      <c r="S108" s="747"/>
      <c r="T108" s="747"/>
      <c r="U108" s="747"/>
      <c r="V108" s="988"/>
      <c r="W108" s="1024"/>
      <c r="X108" s="747"/>
      <c r="Y108" s="747"/>
      <c r="Z108" s="747"/>
      <c r="AA108" s="747"/>
      <c r="AB108" s="747"/>
      <c r="AC108" s="747"/>
      <c r="AD108" s="747"/>
      <c r="AE108" s="747"/>
      <c r="AF108" s="747"/>
      <c r="AG108" s="747"/>
      <c r="AH108" s="747"/>
      <c r="AI108" s="747"/>
      <c r="AJ108" s="747"/>
      <c r="AK108" s="747"/>
      <c r="AL108" s="747"/>
      <c r="AM108" s="747"/>
      <c r="AN108" s="747"/>
      <c r="AO108" s="747"/>
      <c r="AP108" s="747"/>
      <c r="AQ108" s="747"/>
      <c r="AR108" s="747"/>
      <c r="AS108" s="747"/>
      <c r="AT108" s="747"/>
      <c r="AU108" s="747"/>
      <c r="AV108" s="747"/>
      <c r="AW108" s="747"/>
      <c r="AX108" s="747"/>
    </row>
    <row r="109" spans="1:50" s="845" customFormat="1" ht="14.25" customHeight="1">
      <c r="A109" s="976" t="s">
        <v>3884</v>
      </c>
      <c r="B109" s="976" t="s">
        <v>1097</v>
      </c>
      <c r="C109" s="977">
        <v>1315200920</v>
      </c>
      <c r="D109" s="976" t="s">
        <v>3216</v>
      </c>
      <c r="E109" s="976">
        <v>0</v>
      </c>
      <c r="F109" s="976">
        <v>0</v>
      </c>
      <c r="G109" s="976">
        <v>0</v>
      </c>
      <c r="H109" s="976">
        <v>0</v>
      </c>
      <c r="I109" s="976"/>
      <c r="J109" s="976"/>
      <c r="K109" s="976">
        <v>0</v>
      </c>
      <c r="L109" s="978">
        <v>0</v>
      </c>
      <c r="M109" s="976" t="s">
        <v>3582</v>
      </c>
      <c r="N109" s="976">
        <v>0</v>
      </c>
      <c r="O109" s="735">
        <f t="shared" si="5"/>
        <v>0</v>
      </c>
      <c r="P109" s="738">
        <f t="shared" si="3"/>
        <v>0</v>
      </c>
      <c r="Q109" s="751">
        <f t="shared" si="4"/>
        <v>0</v>
      </c>
      <c r="R109" s="747"/>
      <c r="S109" s="747"/>
      <c r="T109" s="747"/>
      <c r="U109" s="747"/>
      <c r="V109" s="988"/>
      <c r="W109" s="1024"/>
      <c r="X109" s="747"/>
      <c r="Y109" s="747"/>
      <c r="Z109" s="747"/>
      <c r="AA109" s="747"/>
      <c r="AB109" s="747"/>
      <c r="AC109" s="747"/>
      <c r="AD109" s="747"/>
      <c r="AE109" s="747"/>
      <c r="AF109" s="747"/>
      <c r="AG109" s="747"/>
      <c r="AH109" s="747"/>
      <c r="AI109" s="747"/>
      <c r="AJ109" s="747"/>
      <c r="AK109" s="747"/>
      <c r="AL109" s="747"/>
      <c r="AM109" s="747"/>
      <c r="AN109" s="747"/>
      <c r="AO109" s="747"/>
      <c r="AP109" s="747"/>
      <c r="AQ109" s="747"/>
      <c r="AR109" s="747"/>
      <c r="AS109" s="747"/>
      <c r="AT109" s="747"/>
      <c r="AU109" s="747"/>
      <c r="AV109" s="747"/>
      <c r="AW109" s="747"/>
      <c r="AX109" s="747"/>
    </row>
    <row r="110" spans="1:50" s="845" customFormat="1" ht="14.25" customHeight="1">
      <c r="A110" s="976" t="s">
        <v>3884</v>
      </c>
      <c r="B110" s="976" t="s">
        <v>1097</v>
      </c>
      <c r="C110" s="977">
        <v>1316500920</v>
      </c>
      <c r="D110" s="976" t="s">
        <v>3217</v>
      </c>
      <c r="E110" s="976">
        <v>0</v>
      </c>
      <c r="F110" s="976">
        <v>0</v>
      </c>
      <c r="G110" s="976">
        <v>0</v>
      </c>
      <c r="H110" s="976">
        <v>0</v>
      </c>
      <c r="I110" s="976"/>
      <c r="J110" s="976"/>
      <c r="K110" s="976">
        <v>0</v>
      </c>
      <c r="L110" s="978">
        <v>0</v>
      </c>
      <c r="M110" s="976" t="s">
        <v>3582</v>
      </c>
      <c r="N110" s="976">
        <v>0</v>
      </c>
      <c r="O110" s="735">
        <f t="shared" si="5"/>
        <v>0</v>
      </c>
      <c r="P110" s="738">
        <f t="shared" si="3"/>
        <v>0</v>
      </c>
      <c r="Q110" s="751">
        <f t="shared" si="4"/>
        <v>0</v>
      </c>
      <c r="R110" s="747"/>
      <c r="S110" s="747"/>
      <c r="T110" s="747"/>
      <c r="U110" s="747"/>
      <c r="V110" s="988"/>
      <c r="W110" s="1024"/>
      <c r="X110" s="747"/>
      <c r="Y110" s="747"/>
      <c r="Z110" s="747"/>
      <c r="AA110" s="747"/>
      <c r="AB110" s="747"/>
      <c r="AC110" s="747"/>
      <c r="AD110" s="747"/>
      <c r="AE110" s="747"/>
      <c r="AF110" s="747"/>
      <c r="AG110" s="747"/>
      <c r="AH110" s="747"/>
      <c r="AI110" s="747"/>
      <c r="AJ110" s="747"/>
      <c r="AK110" s="747"/>
      <c r="AL110" s="747"/>
      <c r="AM110" s="747"/>
      <c r="AN110" s="747"/>
      <c r="AO110" s="747"/>
      <c r="AP110" s="747"/>
      <c r="AQ110" s="747"/>
      <c r="AR110" s="747"/>
      <c r="AS110" s="747"/>
      <c r="AT110" s="747"/>
      <c r="AU110" s="747"/>
      <c r="AV110" s="747"/>
      <c r="AW110" s="747"/>
      <c r="AX110" s="747"/>
    </row>
    <row r="111" spans="1:50" s="845" customFormat="1" ht="14.25" customHeight="1">
      <c r="A111" s="976" t="s">
        <v>3876</v>
      </c>
      <c r="B111" s="976" t="s">
        <v>1097</v>
      </c>
      <c r="C111" s="988">
        <v>1316600440</v>
      </c>
      <c r="D111" s="988" t="s">
        <v>3218</v>
      </c>
      <c r="E111" s="976">
        <v>0</v>
      </c>
      <c r="F111" s="976">
        <v>0</v>
      </c>
      <c r="G111" s="976">
        <v>0</v>
      </c>
      <c r="H111" s="976">
        <v>0</v>
      </c>
      <c r="I111" s="976"/>
      <c r="J111" s="976"/>
      <c r="K111" s="976">
        <v>0</v>
      </c>
      <c r="L111" s="978">
        <v>0</v>
      </c>
      <c r="M111" s="976" t="s">
        <v>3582</v>
      </c>
      <c r="N111" s="976">
        <v>0</v>
      </c>
      <c r="O111" s="735">
        <f t="shared" si="5"/>
        <v>0</v>
      </c>
      <c r="P111" s="738">
        <f t="shared" si="3"/>
        <v>0</v>
      </c>
      <c r="Q111" s="751">
        <f t="shared" si="4"/>
        <v>0</v>
      </c>
      <c r="R111" s="747"/>
      <c r="S111" s="747"/>
      <c r="T111" s="747"/>
      <c r="U111" s="747"/>
      <c r="V111" s="988"/>
      <c r="W111" s="1024"/>
      <c r="X111" s="747"/>
      <c r="Y111" s="747"/>
      <c r="Z111" s="747"/>
      <c r="AA111" s="747"/>
      <c r="AB111" s="747"/>
      <c r="AC111" s="747"/>
      <c r="AD111" s="747"/>
      <c r="AE111" s="747"/>
      <c r="AF111" s="747"/>
      <c r="AG111" s="747"/>
      <c r="AH111" s="747"/>
      <c r="AI111" s="747"/>
      <c r="AJ111" s="747"/>
      <c r="AK111" s="747"/>
      <c r="AL111" s="747"/>
      <c r="AM111" s="747"/>
      <c r="AN111" s="747"/>
      <c r="AO111" s="747"/>
      <c r="AP111" s="747"/>
      <c r="AQ111" s="747"/>
      <c r="AR111" s="747"/>
      <c r="AS111" s="747"/>
      <c r="AT111" s="747"/>
      <c r="AU111" s="747"/>
      <c r="AV111" s="747"/>
      <c r="AW111" s="747"/>
      <c r="AX111" s="747"/>
    </row>
    <row r="112" spans="1:50" s="845" customFormat="1" ht="14.25" customHeight="1">
      <c r="A112" s="976" t="s">
        <v>3884</v>
      </c>
      <c r="B112" s="976" t="s">
        <v>1097</v>
      </c>
      <c r="C112" s="977">
        <v>1317100920</v>
      </c>
      <c r="D112" s="976" t="s">
        <v>81</v>
      </c>
      <c r="E112" s="976">
        <v>270</v>
      </c>
      <c r="F112" s="976">
        <v>270</v>
      </c>
      <c r="G112" s="976">
        <v>202.5</v>
      </c>
      <c r="H112" s="976">
        <v>82.133070000000004</v>
      </c>
      <c r="I112" s="976"/>
      <c r="J112" s="976"/>
      <c r="K112" s="976">
        <v>82.133070000000004</v>
      </c>
      <c r="L112" s="978">
        <v>-120.36693</v>
      </c>
      <c r="M112" s="976" t="s">
        <v>3611</v>
      </c>
      <c r="N112" s="976">
        <v>109.51076</v>
      </c>
      <c r="O112" s="735">
        <f t="shared" si="5"/>
        <v>-160.48924</v>
      </c>
      <c r="P112" s="738">
        <f t="shared" si="3"/>
        <v>109510.76000000001</v>
      </c>
      <c r="Q112" s="751">
        <f t="shared" si="4"/>
        <v>110000</v>
      </c>
      <c r="R112" s="747"/>
      <c r="S112" s="747"/>
      <c r="T112" s="747"/>
      <c r="U112" s="747"/>
      <c r="V112" s="988"/>
      <c r="W112" s="1024"/>
      <c r="X112" s="747"/>
      <c r="Y112" s="747"/>
      <c r="Z112" s="747"/>
      <c r="AA112" s="747"/>
      <c r="AB112" s="747"/>
      <c r="AC112" s="747"/>
      <c r="AD112" s="747"/>
      <c r="AE112" s="747"/>
      <c r="AF112" s="747"/>
      <c r="AG112" s="747"/>
      <c r="AH112" s="747"/>
      <c r="AI112" s="747"/>
      <c r="AJ112" s="747"/>
      <c r="AK112" s="747"/>
      <c r="AL112" s="747"/>
      <c r="AM112" s="747"/>
      <c r="AN112" s="747"/>
      <c r="AO112" s="747"/>
      <c r="AP112" s="747"/>
      <c r="AQ112" s="747"/>
      <c r="AR112" s="747"/>
      <c r="AS112" s="747"/>
      <c r="AT112" s="747"/>
      <c r="AU112" s="747"/>
      <c r="AV112" s="747"/>
      <c r="AW112" s="747"/>
      <c r="AX112" s="747"/>
    </row>
    <row r="113" spans="1:50" s="845" customFormat="1" ht="14.25" customHeight="1">
      <c r="A113" s="976" t="s">
        <v>3884</v>
      </c>
      <c r="B113" s="976" t="s">
        <v>1097</v>
      </c>
      <c r="C113" s="977">
        <v>1317103920</v>
      </c>
      <c r="D113" s="976" t="s">
        <v>82</v>
      </c>
      <c r="E113" s="976">
        <v>235</v>
      </c>
      <c r="F113" s="976">
        <v>235</v>
      </c>
      <c r="G113" s="976">
        <v>176.25</v>
      </c>
      <c r="H113" s="976">
        <v>163.61802</v>
      </c>
      <c r="I113" s="976"/>
      <c r="J113" s="976"/>
      <c r="K113" s="976">
        <v>163.61802</v>
      </c>
      <c r="L113" s="978">
        <v>-12.631979999999999</v>
      </c>
      <c r="M113" s="976" t="s">
        <v>3611</v>
      </c>
      <c r="N113" s="976">
        <v>218.15736000000001</v>
      </c>
      <c r="O113" s="735">
        <f t="shared" si="5"/>
        <v>-16.842639999999989</v>
      </c>
      <c r="P113" s="738">
        <f t="shared" si="3"/>
        <v>218157.36000000002</v>
      </c>
      <c r="Q113" s="751">
        <f t="shared" si="4"/>
        <v>218000</v>
      </c>
      <c r="R113" s="747"/>
      <c r="S113" s="747"/>
      <c r="T113" s="747"/>
      <c r="U113" s="747"/>
      <c r="V113" s="988"/>
      <c r="W113" s="1024"/>
      <c r="X113" s="747"/>
      <c r="Y113" s="747"/>
      <c r="Z113" s="747"/>
      <c r="AA113" s="747"/>
      <c r="AB113" s="747"/>
      <c r="AC113" s="747"/>
      <c r="AD113" s="747"/>
      <c r="AE113" s="747"/>
      <c r="AF113" s="747"/>
      <c r="AG113" s="747"/>
      <c r="AH113" s="747"/>
      <c r="AI113" s="747"/>
      <c r="AJ113" s="747"/>
      <c r="AK113" s="747"/>
      <c r="AL113" s="747"/>
      <c r="AM113" s="747"/>
      <c r="AN113" s="747"/>
      <c r="AO113" s="747"/>
      <c r="AP113" s="747"/>
      <c r="AQ113" s="747"/>
      <c r="AR113" s="747"/>
      <c r="AS113" s="747"/>
      <c r="AT113" s="747"/>
      <c r="AU113" s="747"/>
      <c r="AV113" s="747"/>
      <c r="AW113" s="747"/>
      <c r="AX113" s="747"/>
    </row>
    <row r="114" spans="1:50" s="845" customFormat="1">
      <c r="A114" s="976" t="s">
        <v>3884</v>
      </c>
      <c r="B114" s="976" t="s">
        <v>1097</v>
      </c>
      <c r="C114" s="977">
        <v>1317200920</v>
      </c>
      <c r="D114" s="976" t="s">
        <v>83</v>
      </c>
      <c r="E114" s="976">
        <v>0</v>
      </c>
      <c r="F114" s="976">
        <v>0</v>
      </c>
      <c r="G114" s="976">
        <v>0</v>
      </c>
      <c r="H114" s="976">
        <v>15</v>
      </c>
      <c r="I114" s="976"/>
      <c r="J114" s="976"/>
      <c r="K114" s="976">
        <v>15</v>
      </c>
      <c r="L114" s="978">
        <v>15</v>
      </c>
      <c r="M114" s="976" t="s">
        <v>3612</v>
      </c>
      <c r="N114" s="976">
        <v>20</v>
      </c>
      <c r="O114" s="735">
        <f t="shared" si="5"/>
        <v>20</v>
      </c>
      <c r="P114" s="738">
        <f t="shared" si="3"/>
        <v>20000</v>
      </c>
      <c r="Q114" s="751">
        <f t="shared" si="4"/>
        <v>20000</v>
      </c>
      <c r="R114" s="747"/>
      <c r="S114" s="747"/>
      <c r="T114" s="747"/>
      <c r="U114" s="747"/>
      <c r="V114" s="988"/>
      <c r="W114" s="1024"/>
      <c r="X114" s="747"/>
      <c r="Y114" s="747"/>
      <c r="Z114" s="747"/>
      <c r="AA114" s="747"/>
      <c r="AB114" s="747"/>
      <c r="AC114" s="747"/>
      <c r="AD114" s="747"/>
      <c r="AE114" s="747"/>
      <c r="AF114" s="747"/>
      <c r="AG114" s="747"/>
      <c r="AH114" s="747"/>
      <c r="AI114" s="747"/>
      <c r="AJ114" s="747"/>
      <c r="AK114" s="747"/>
      <c r="AL114" s="747"/>
      <c r="AM114" s="747"/>
      <c r="AN114" s="747"/>
      <c r="AO114" s="747"/>
      <c r="AP114" s="747"/>
      <c r="AQ114" s="747"/>
      <c r="AR114" s="747"/>
      <c r="AS114" s="747"/>
      <c r="AT114" s="747"/>
      <c r="AU114" s="747"/>
      <c r="AV114" s="747"/>
      <c r="AW114" s="747"/>
      <c r="AX114" s="747"/>
    </row>
    <row r="115" spans="1:50" s="845" customFormat="1">
      <c r="A115" s="976" t="s">
        <v>3884</v>
      </c>
      <c r="B115" s="976" t="s">
        <v>1097</v>
      </c>
      <c r="C115" s="977">
        <v>1317300920</v>
      </c>
      <c r="D115" s="976" t="s">
        <v>84</v>
      </c>
      <c r="E115" s="976">
        <v>4036</v>
      </c>
      <c r="F115" s="976">
        <v>4036</v>
      </c>
      <c r="G115" s="976">
        <v>3027</v>
      </c>
      <c r="H115" s="976">
        <v>2344.7503299999998</v>
      </c>
      <c r="I115" s="976"/>
      <c r="J115" s="976"/>
      <c r="K115" s="976">
        <v>2344.7503299999998</v>
      </c>
      <c r="L115" s="978">
        <v>-682.24967000000015</v>
      </c>
      <c r="M115" s="976" t="s">
        <v>3613</v>
      </c>
      <c r="N115" s="976">
        <v>3126.3337733333333</v>
      </c>
      <c r="O115" s="860">
        <f t="shared" si="5"/>
        <v>-909.66622666666672</v>
      </c>
      <c r="P115" s="738">
        <f t="shared" si="3"/>
        <v>3126333.7733333334</v>
      </c>
      <c r="Q115" s="751">
        <f t="shared" si="4"/>
        <v>3126000</v>
      </c>
      <c r="R115" s="861"/>
      <c r="S115" s="861"/>
      <c r="T115" s="861"/>
      <c r="U115" s="747"/>
      <c r="V115" s="988"/>
      <c r="W115" s="1024"/>
      <c r="X115" s="747"/>
      <c r="Y115" s="747"/>
      <c r="Z115" s="747"/>
      <c r="AA115" s="747"/>
      <c r="AB115" s="747"/>
      <c r="AC115" s="747"/>
      <c r="AD115" s="747"/>
      <c r="AE115" s="747"/>
      <c r="AF115" s="747"/>
      <c r="AG115" s="747"/>
      <c r="AH115" s="747"/>
      <c r="AI115" s="747"/>
      <c r="AJ115" s="747"/>
      <c r="AK115" s="747"/>
      <c r="AL115" s="747"/>
      <c r="AM115" s="747"/>
      <c r="AN115" s="747"/>
      <c r="AO115" s="747"/>
      <c r="AP115" s="747"/>
      <c r="AQ115" s="747"/>
      <c r="AR115" s="747"/>
      <c r="AS115" s="747"/>
      <c r="AT115" s="747"/>
      <c r="AU115" s="747"/>
      <c r="AV115" s="747"/>
      <c r="AW115" s="747"/>
      <c r="AX115" s="747"/>
    </row>
    <row r="116" spans="1:50" s="845" customFormat="1">
      <c r="A116" s="976" t="s">
        <v>3886</v>
      </c>
      <c r="B116" s="1029" t="s">
        <v>1097</v>
      </c>
      <c r="C116" s="977">
        <v>1317300921</v>
      </c>
      <c r="D116" s="976" t="s">
        <v>85</v>
      </c>
      <c r="E116" s="976">
        <v>150</v>
      </c>
      <c r="F116" s="976">
        <v>150</v>
      </c>
      <c r="G116" s="976">
        <v>112.5</v>
      </c>
      <c r="H116" s="976">
        <v>0</v>
      </c>
      <c r="I116" s="976"/>
      <c r="J116" s="976">
        <v>0</v>
      </c>
      <c r="K116" s="976">
        <v>0</v>
      </c>
      <c r="L116" s="978">
        <v>-112.5</v>
      </c>
      <c r="M116" s="976" t="s">
        <v>3614</v>
      </c>
      <c r="N116" s="976">
        <v>0</v>
      </c>
      <c r="O116" s="860">
        <f t="shared" si="5"/>
        <v>-150</v>
      </c>
      <c r="P116" s="738">
        <f t="shared" si="3"/>
        <v>0</v>
      </c>
      <c r="Q116" s="751">
        <f t="shared" si="4"/>
        <v>0</v>
      </c>
      <c r="R116" s="861"/>
      <c r="S116" s="861"/>
      <c r="T116" s="861"/>
      <c r="U116" s="747"/>
      <c r="V116" s="988"/>
      <c r="W116" s="1024"/>
      <c r="X116" s="747"/>
      <c r="Y116" s="747"/>
      <c r="Z116" s="747"/>
      <c r="AA116" s="747"/>
      <c r="AB116" s="747"/>
      <c r="AC116" s="747"/>
      <c r="AD116" s="747"/>
      <c r="AE116" s="747"/>
      <c r="AF116" s="747"/>
      <c r="AG116" s="747"/>
      <c r="AH116" s="747"/>
      <c r="AI116" s="747"/>
      <c r="AJ116" s="747"/>
      <c r="AK116" s="747"/>
      <c r="AL116" s="747"/>
      <c r="AM116" s="747"/>
      <c r="AN116" s="747"/>
      <c r="AO116" s="747"/>
      <c r="AP116" s="747"/>
      <c r="AQ116" s="747"/>
      <c r="AR116" s="747"/>
      <c r="AS116" s="747"/>
      <c r="AT116" s="747"/>
      <c r="AU116" s="747"/>
      <c r="AV116" s="747"/>
      <c r="AW116" s="747"/>
      <c r="AX116" s="747"/>
    </row>
    <row r="117" spans="1:50" s="845" customFormat="1">
      <c r="A117" s="976" t="s">
        <v>3884</v>
      </c>
      <c r="B117" s="1029" t="s">
        <v>1097</v>
      </c>
      <c r="C117" s="977">
        <v>1317600920</v>
      </c>
      <c r="D117" s="976" t="s">
        <v>86</v>
      </c>
      <c r="E117" s="976">
        <v>800</v>
      </c>
      <c r="F117" s="976">
        <v>800</v>
      </c>
      <c r="G117" s="976">
        <v>600</v>
      </c>
      <c r="H117" s="976">
        <v>129.9059</v>
      </c>
      <c r="I117" s="976"/>
      <c r="J117" s="1019">
        <v>470</v>
      </c>
      <c r="K117" s="976">
        <v>599.90589999999997</v>
      </c>
      <c r="L117" s="978">
        <v>-9.410000000002583E-2</v>
      </c>
      <c r="M117" s="976" t="s">
        <v>3615</v>
      </c>
      <c r="N117" s="976">
        <v>799.87453333333326</v>
      </c>
      <c r="O117" s="735">
        <f t="shared" si="5"/>
        <v>-0.125466666666739</v>
      </c>
      <c r="P117" s="738">
        <f t="shared" si="3"/>
        <v>799874.53333333321</v>
      </c>
      <c r="Q117" s="751">
        <f t="shared" si="4"/>
        <v>800000</v>
      </c>
      <c r="R117" s="747"/>
      <c r="S117" s="747"/>
      <c r="T117" s="747"/>
      <c r="U117" s="747"/>
      <c r="V117" s="988"/>
      <c r="W117" s="1024"/>
      <c r="X117" s="747"/>
      <c r="Y117" s="747"/>
      <c r="Z117" s="747"/>
      <c r="AA117" s="747"/>
      <c r="AB117" s="747"/>
      <c r="AC117" s="747"/>
      <c r="AD117" s="747"/>
      <c r="AE117" s="747"/>
      <c r="AF117" s="747"/>
      <c r="AG117" s="747"/>
      <c r="AH117" s="747"/>
      <c r="AI117" s="747"/>
      <c r="AJ117" s="747"/>
      <c r="AK117" s="747"/>
      <c r="AL117" s="747"/>
      <c r="AM117" s="747"/>
      <c r="AN117" s="747"/>
      <c r="AO117" s="747"/>
      <c r="AP117" s="747"/>
      <c r="AQ117" s="747"/>
      <c r="AR117" s="747"/>
      <c r="AS117" s="747"/>
      <c r="AT117" s="747"/>
      <c r="AU117" s="747"/>
      <c r="AV117" s="747"/>
      <c r="AW117" s="747"/>
      <c r="AX117" s="747"/>
    </row>
    <row r="118" spans="1:50" s="845" customFormat="1">
      <c r="A118" s="976" t="s">
        <v>3886</v>
      </c>
      <c r="B118" s="976" t="s">
        <v>1097</v>
      </c>
      <c r="C118" s="977">
        <v>1317600921</v>
      </c>
      <c r="D118" s="976" t="s">
        <v>3219</v>
      </c>
      <c r="E118" s="976">
        <v>0</v>
      </c>
      <c r="F118" s="976">
        <v>0</v>
      </c>
      <c r="G118" s="976">
        <v>0</v>
      </c>
      <c r="H118" s="976">
        <v>0</v>
      </c>
      <c r="I118" s="976"/>
      <c r="J118" s="976"/>
      <c r="K118" s="976">
        <v>0</v>
      </c>
      <c r="L118" s="978">
        <v>0</v>
      </c>
      <c r="M118" s="976" t="s">
        <v>3582</v>
      </c>
      <c r="N118" s="976">
        <v>0</v>
      </c>
      <c r="O118" s="735">
        <f t="shared" si="5"/>
        <v>0</v>
      </c>
      <c r="P118" s="738">
        <f t="shared" si="3"/>
        <v>0</v>
      </c>
      <c r="Q118" s="751">
        <f t="shared" si="4"/>
        <v>0</v>
      </c>
      <c r="R118" s="747"/>
      <c r="S118" s="747"/>
      <c r="T118" s="747"/>
      <c r="U118" s="747"/>
      <c r="V118" s="988"/>
      <c r="W118" s="1024"/>
      <c r="X118" s="747"/>
      <c r="Y118" s="747"/>
      <c r="Z118" s="747"/>
      <c r="AA118" s="747"/>
      <c r="AB118" s="747"/>
      <c r="AC118" s="747"/>
      <c r="AD118" s="747"/>
      <c r="AE118" s="747"/>
      <c r="AF118" s="747"/>
      <c r="AG118" s="747"/>
      <c r="AH118" s="747"/>
      <c r="AI118" s="747"/>
      <c r="AJ118" s="747"/>
      <c r="AK118" s="747"/>
      <c r="AL118" s="747"/>
      <c r="AM118" s="747"/>
      <c r="AN118" s="747"/>
      <c r="AO118" s="747"/>
      <c r="AP118" s="747"/>
      <c r="AQ118" s="747"/>
      <c r="AR118" s="747"/>
      <c r="AS118" s="747"/>
      <c r="AT118" s="747"/>
      <c r="AU118" s="747"/>
      <c r="AV118" s="747"/>
      <c r="AW118" s="747"/>
      <c r="AX118" s="747"/>
    </row>
    <row r="119" spans="1:50" s="845" customFormat="1">
      <c r="A119" s="976" t="s">
        <v>3887</v>
      </c>
      <c r="B119" s="976" t="s">
        <v>1097</v>
      </c>
      <c r="C119" s="977">
        <v>1317600922</v>
      </c>
      <c r="D119" s="976" t="s">
        <v>3220</v>
      </c>
      <c r="E119" s="976">
        <v>0</v>
      </c>
      <c r="F119" s="976">
        <v>0</v>
      </c>
      <c r="G119" s="976">
        <v>0</v>
      </c>
      <c r="H119" s="976">
        <v>0</v>
      </c>
      <c r="I119" s="976"/>
      <c r="J119" s="976"/>
      <c r="K119" s="976">
        <v>0</v>
      </c>
      <c r="L119" s="978">
        <v>0</v>
      </c>
      <c r="M119" s="976" t="s">
        <v>3582</v>
      </c>
      <c r="N119" s="976">
        <v>0</v>
      </c>
      <c r="O119" s="735">
        <f t="shared" si="5"/>
        <v>0</v>
      </c>
      <c r="P119" s="738">
        <f t="shared" si="3"/>
        <v>0</v>
      </c>
      <c r="Q119" s="751">
        <f t="shared" si="4"/>
        <v>0</v>
      </c>
      <c r="R119" s="747"/>
      <c r="S119" s="747"/>
      <c r="T119" s="747"/>
      <c r="U119" s="747"/>
      <c r="V119" s="988"/>
      <c r="W119" s="1024"/>
      <c r="X119" s="747"/>
      <c r="Y119" s="747"/>
      <c r="Z119" s="747"/>
      <c r="AA119" s="747"/>
      <c r="AB119" s="747"/>
      <c r="AC119" s="747"/>
      <c r="AD119" s="747"/>
      <c r="AE119" s="747"/>
      <c r="AF119" s="747"/>
      <c r="AG119" s="747"/>
      <c r="AH119" s="747"/>
      <c r="AI119" s="747"/>
      <c r="AJ119" s="747"/>
      <c r="AK119" s="747"/>
      <c r="AL119" s="747"/>
      <c r="AM119" s="747"/>
      <c r="AN119" s="747"/>
      <c r="AO119" s="747"/>
      <c r="AP119" s="747"/>
      <c r="AQ119" s="747"/>
      <c r="AR119" s="747"/>
      <c r="AS119" s="747"/>
      <c r="AT119" s="747"/>
      <c r="AU119" s="747"/>
      <c r="AV119" s="747"/>
      <c r="AW119" s="747"/>
      <c r="AX119" s="747"/>
    </row>
    <row r="120" spans="1:50" s="845" customFormat="1">
      <c r="A120" s="976" t="s">
        <v>3888</v>
      </c>
      <c r="B120" s="976" t="s">
        <v>1097</v>
      </c>
      <c r="C120" s="977">
        <v>1317600923</v>
      </c>
      <c r="D120" s="976" t="s">
        <v>3221</v>
      </c>
      <c r="E120" s="976">
        <v>0</v>
      </c>
      <c r="F120" s="976">
        <v>0</v>
      </c>
      <c r="G120" s="976">
        <v>0</v>
      </c>
      <c r="H120" s="976">
        <v>0</v>
      </c>
      <c r="I120" s="976"/>
      <c r="J120" s="976"/>
      <c r="K120" s="976">
        <v>0</v>
      </c>
      <c r="L120" s="978">
        <v>0</v>
      </c>
      <c r="M120" s="976" t="s">
        <v>3582</v>
      </c>
      <c r="N120" s="976">
        <v>0</v>
      </c>
      <c r="O120" s="860">
        <f t="shared" si="5"/>
        <v>0</v>
      </c>
      <c r="P120" s="738">
        <f t="shared" si="3"/>
        <v>0</v>
      </c>
      <c r="Q120" s="751">
        <f t="shared" si="4"/>
        <v>0</v>
      </c>
      <c r="R120" s="861"/>
      <c r="S120" s="861"/>
      <c r="T120" s="861"/>
      <c r="U120" s="747"/>
      <c r="V120" s="988"/>
      <c r="W120" s="1024"/>
      <c r="X120" s="747"/>
      <c r="Y120" s="747"/>
      <c r="Z120" s="747"/>
      <c r="AA120" s="747"/>
      <c r="AB120" s="747"/>
      <c r="AC120" s="747"/>
      <c r="AD120" s="747"/>
      <c r="AE120" s="747"/>
      <c r="AF120" s="747"/>
      <c r="AG120" s="747"/>
      <c r="AH120" s="747"/>
      <c r="AI120" s="747"/>
      <c r="AJ120" s="747"/>
      <c r="AK120" s="747"/>
      <c r="AL120" s="747"/>
      <c r="AM120" s="747"/>
      <c r="AN120" s="747"/>
      <c r="AO120" s="747"/>
      <c r="AP120" s="747"/>
      <c r="AQ120" s="747"/>
      <c r="AR120" s="747"/>
      <c r="AS120" s="747"/>
      <c r="AT120" s="747"/>
      <c r="AU120" s="747"/>
      <c r="AV120" s="747"/>
      <c r="AW120" s="747"/>
      <c r="AX120" s="747"/>
    </row>
    <row r="121" spans="1:50" s="845" customFormat="1">
      <c r="A121" s="976" t="s">
        <v>3889</v>
      </c>
      <c r="B121" s="1029" t="s">
        <v>1097</v>
      </c>
      <c r="C121" s="977">
        <v>1317600990</v>
      </c>
      <c r="D121" s="976" t="s">
        <v>3222</v>
      </c>
      <c r="E121" s="976">
        <v>1029</v>
      </c>
      <c r="F121" s="976">
        <v>1029</v>
      </c>
      <c r="G121" s="976">
        <v>771.75</v>
      </c>
      <c r="H121" s="976">
        <v>309.50599999999997</v>
      </c>
      <c r="I121" s="976"/>
      <c r="J121" s="1019">
        <v>463</v>
      </c>
      <c r="K121" s="976">
        <v>772.50599999999997</v>
      </c>
      <c r="L121" s="978">
        <v>0.75599999999997181</v>
      </c>
      <c r="M121" s="976" t="s">
        <v>3616</v>
      </c>
      <c r="N121" s="976">
        <v>1030.008</v>
      </c>
      <c r="O121" s="860">
        <f t="shared" si="5"/>
        <v>1.0080000000000382</v>
      </c>
      <c r="P121" s="738">
        <f t="shared" si="3"/>
        <v>1030008</v>
      </c>
      <c r="Q121" s="751">
        <f t="shared" si="4"/>
        <v>1030000</v>
      </c>
      <c r="R121" s="861"/>
      <c r="S121" s="861"/>
      <c r="T121" s="861"/>
      <c r="U121" s="747"/>
      <c r="V121" s="988"/>
      <c r="W121" s="1024"/>
      <c r="X121" s="747"/>
      <c r="Y121" s="747"/>
      <c r="Z121" s="747"/>
      <c r="AA121" s="747"/>
      <c r="AB121" s="747"/>
      <c r="AC121" s="747"/>
      <c r="AD121" s="747"/>
      <c r="AE121" s="747"/>
      <c r="AF121" s="747"/>
      <c r="AG121" s="747"/>
      <c r="AH121" s="747"/>
      <c r="AI121" s="747"/>
      <c r="AJ121" s="747"/>
      <c r="AK121" s="747"/>
      <c r="AL121" s="747"/>
      <c r="AM121" s="747"/>
      <c r="AN121" s="747"/>
      <c r="AO121" s="747"/>
      <c r="AP121" s="747"/>
      <c r="AQ121" s="747"/>
      <c r="AR121" s="747"/>
      <c r="AS121" s="747"/>
      <c r="AT121" s="747"/>
      <c r="AU121" s="747"/>
      <c r="AV121" s="747"/>
      <c r="AW121" s="747"/>
      <c r="AX121" s="747"/>
    </row>
    <row r="122" spans="1:50" s="845" customFormat="1">
      <c r="A122" s="976" t="s">
        <v>3884</v>
      </c>
      <c r="B122" s="1029" t="s">
        <v>1097</v>
      </c>
      <c r="C122" s="977">
        <v>1317703920</v>
      </c>
      <c r="D122" s="976" t="s">
        <v>89</v>
      </c>
      <c r="E122" s="976">
        <v>930</v>
      </c>
      <c r="F122" s="976">
        <v>930</v>
      </c>
      <c r="G122" s="976">
        <v>697.5</v>
      </c>
      <c r="H122" s="976">
        <v>709.05826999999999</v>
      </c>
      <c r="I122" s="976"/>
      <c r="J122" s="976"/>
      <c r="K122" s="976">
        <v>709.05826999999999</v>
      </c>
      <c r="L122" s="978">
        <v>11.558269999999993</v>
      </c>
      <c r="M122" s="976" t="s">
        <v>3617</v>
      </c>
      <c r="N122" s="976">
        <v>945.41102666666666</v>
      </c>
      <c r="O122" s="860">
        <f t="shared" si="5"/>
        <v>15.411026666666658</v>
      </c>
      <c r="P122" s="738">
        <f t="shared" si="3"/>
        <v>945411.02666666661</v>
      </c>
      <c r="Q122" s="751">
        <f t="shared" si="4"/>
        <v>945000</v>
      </c>
      <c r="R122" s="861"/>
      <c r="S122" s="861"/>
      <c r="T122" s="861"/>
      <c r="U122" s="747"/>
      <c r="V122" s="988"/>
      <c r="W122" s="1024"/>
      <c r="X122" s="747"/>
      <c r="Y122" s="747"/>
      <c r="Z122" s="747"/>
      <c r="AA122" s="747"/>
      <c r="AB122" s="747"/>
      <c r="AC122" s="747"/>
      <c r="AD122" s="747"/>
      <c r="AE122" s="747"/>
      <c r="AF122" s="747"/>
      <c r="AG122" s="747"/>
      <c r="AH122" s="747"/>
      <c r="AI122" s="747"/>
      <c r="AJ122" s="747"/>
      <c r="AK122" s="747"/>
      <c r="AL122" s="747"/>
      <c r="AM122" s="747"/>
      <c r="AN122" s="747"/>
      <c r="AO122" s="747"/>
      <c r="AP122" s="747"/>
      <c r="AQ122" s="747"/>
      <c r="AR122" s="747"/>
      <c r="AS122" s="747"/>
      <c r="AT122" s="747"/>
      <c r="AU122" s="747"/>
      <c r="AV122" s="747"/>
      <c r="AW122" s="747"/>
      <c r="AX122" s="747"/>
    </row>
    <row r="123" spans="1:50" s="845" customFormat="1">
      <c r="A123" s="976" t="s">
        <v>3884</v>
      </c>
      <c r="B123" s="1029" t="s">
        <v>1097</v>
      </c>
      <c r="C123" s="977">
        <v>1317800920</v>
      </c>
      <c r="D123" s="976" t="s">
        <v>3223</v>
      </c>
      <c r="E123" s="976">
        <v>0</v>
      </c>
      <c r="F123" s="976">
        <v>0</v>
      </c>
      <c r="G123" s="976">
        <v>0</v>
      </c>
      <c r="H123" s="976">
        <v>0</v>
      </c>
      <c r="I123" s="976"/>
      <c r="J123" s="976"/>
      <c r="K123" s="976">
        <v>0</v>
      </c>
      <c r="L123" s="978">
        <v>0</v>
      </c>
      <c r="M123" s="976" t="s">
        <v>3582</v>
      </c>
      <c r="N123" s="976">
        <v>0</v>
      </c>
      <c r="O123" s="860">
        <f t="shared" si="5"/>
        <v>0</v>
      </c>
      <c r="P123" s="738">
        <f t="shared" si="3"/>
        <v>0</v>
      </c>
      <c r="Q123" s="751">
        <f t="shared" si="4"/>
        <v>0</v>
      </c>
      <c r="R123" s="861"/>
      <c r="S123" s="861"/>
      <c r="T123" s="861"/>
      <c r="U123" s="747"/>
      <c r="V123" s="988"/>
      <c r="W123" s="1024"/>
      <c r="X123" s="747"/>
      <c r="Y123" s="747"/>
      <c r="Z123" s="747"/>
      <c r="AA123" s="747"/>
      <c r="AB123" s="747"/>
      <c r="AC123" s="747"/>
      <c r="AD123" s="747"/>
      <c r="AE123" s="747"/>
      <c r="AF123" s="747"/>
      <c r="AG123" s="747"/>
      <c r="AH123" s="747"/>
      <c r="AI123" s="747"/>
      <c r="AJ123" s="747"/>
      <c r="AK123" s="747"/>
      <c r="AL123" s="747"/>
      <c r="AM123" s="747"/>
      <c r="AN123" s="747"/>
      <c r="AO123" s="747"/>
      <c r="AP123" s="747"/>
      <c r="AQ123" s="747"/>
      <c r="AR123" s="747"/>
      <c r="AS123" s="747"/>
      <c r="AT123" s="747"/>
      <c r="AU123" s="747"/>
      <c r="AV123" s="747"/>
      <c r="AW123" s="747"/>
      <c r="AX123" s="747"/>
    </row>
    <row r="124" spans="1:50" s="845" customFormat="1">
      <c r="A124" s="976" t="s">
        <v>3884</v>
      </c>
      <c r="B124" s="1029" t="s">
        <v>1097</v>
      </c>
      <c r="C124" s="977">
        <v>1317801920</v>
      </c>
      <c r="D124" s="1001" t="s">
        <v>3224</v>
      </c>
      <c r="E124" s="976">
        <v>0</v>
      </c>
      <c r="F124" s="976">
        <v>0</v>
      </c>
      <c r="G124" s="976">
        <v>0</v>
      </c>
      <c r="H124" s="976">
        <v>0</v>
      </c>
      <c r="I124" s="976"/>
      <c r="J124" s="976"/>
      <c r="K124" s="976">
        <v>0</v>
      </c>
      <c r="L124" s="978">
        <v>0</v>
      </c>
      <c r="M124" s="976" t="s">
        <v>3582</v>
      </c>
      <c r="N124" s="976">
        <v>0</v>
      </c>
      <c r="O124" s="860">
        <f t="shared" si="5"/>
        <v>0</v>
      </c>
      <c r="P124" s="738">
        <f t="shared" si="3"/>
        <v>0</v>
      </c>
      <c r="Q124" s="751">
        <f t="shared" si="4"/>
        <v>0</v>
      </c>
      <c r="R124" s="861"/>
      <c r="S124" s="861"/>
      <c r="T124" s="861"/>
      <c r="U124" s="747"/>
      <c r="V124" s="988"/>
      <c r="W124" s="1024"/>
      <c r="X124" s="747"/>
      <c r="Y124" s="747"/>
      <c r="Z124" s="747"/>
      <c r="AA124" s="747"/>
      <c r="AB124" s="747"/>
      <c r="AC124" s="747"/>
      <c r="AD124" s="747"/>
      <c r="AE124" s="747"/>
      <c r="AF124" s="747"/>
      <c r="AG124" s="747"/>
      <c r="AH124" s="747"/>
      <c r="AI124" s="747"/>
      <c r="AJ124" s="747"/>
      <c r="AK124" s="747"/>
      <c r="AL124" s="747"/>
      <c r="AM124" s="747"/>
      <c r="AN124" s="747"/>
      <c r="AO124" s="747"/>
      <c r="AP124" s="747"/>
      <c r="AQ124" s="747"/>
      <c r="AR124" s="747"/>
      <c r="AS124" s="747"/>
      <c r="AT124" s="747"/>
      <c r="AU124" s="747"/>
      <c r="AV124" s="747"/>
      <c r="AW124" s="747"/>
      <c r="AX124" s="747"/>
    </row>
    <row r="125" spans="1:50" s="845" customFormat="1">
      <c r="A125" s="976" t="s">
        <v>3884</v>
      </c>
      <c r="B125" s="1029" t="s">
        <v>1097</v>
      </c>
      <c r="C125" s="977">
        <v>1317802920</v>
      </c>
      <c r="D125" s="976" t="s">
        <v>91</v>
      </c>
      <c r="E125" s="976">
        <v>3500</v>
      </c>
      <c r="F125" s="976">
        <v>3500</v>
      </c>
      <c r="G125" s="976">
        <v>2625</v>
      </c>
      <c r="H125" s="976">
        <v>1829.33718</v>
      </c>
      <c r="I125" s="976"/>
      <c r="J125" s="1019">
        <v>646</v>
      </c>
      <c r="K125" s="976">
        <v>2475.33718</v>
      </c>
      <c r="L125" s="978">
        <v>-149.66282000000001</v>
      </c>
      <c r="M125" s="976" t="s">
        <v>3618</v>
      </c>
      <c r="N125" s="976">
        <v>3300.4495733333333</v>
      </c>
      <c r="O125" s="735">
        <f t="shared" si="5"/>
        <v>-199.55042666666668</v>
      </c>
      <c r="P125" s="738">
        <f t="shared" si="3"/>
        <v>3300449.5733333332</v>
      </c>
      <c r="Q125" s="751">
        <f t="shared" si="4"/>
        <v>3300000</v>
      </c>
      <c r="R125" s="747"/>
      <c r="S125" s="747"/>
      <c r="T125" s="747"/>
      <c r="U125" s="747"/>
      <c r="V125" s="988"/>
      <c r="W125" s="1024"/>
      <c r="X125" s="747"/>
      <c r="Y125" s="747"/>
      <c r="Z125" s="747"/>
      <c r="AA125" s="747"/>
      <c r="AB125" s="747"/>
      <c r="AC125" s="747"/>
      <c r="AD125" s="747"/>
      <c r="AE125" s="747"/>
      <c r="AF125" s="747"/>
      <c r="AG125" s="747"/>
      <c r="AH125" s="747"/>
      <c r="AI125" s="747"/>
      <c r="AJ125" s="747"/>
      <c r="AK125" s="747"/>
      <c r="AL125" s="747"/>
      <c r="AM125" s="747"/>
      <c r="AN125" s="747"/>
      <c r="AO125" s="747"/>
      <c r="AP125" s="747"/>
      <c r="AQ125" s="747"/>
      <c r="AR125" s="747"/>
      <c r="AS125" s="747"/>
      <c r="AT125" s="747"/>
      <c r="AU125" s="747"/>
      <c r="AV125" s="747"/>
      <c r="AW125" s="747"/>
      <c r="AX125" s="747"/>
    </row>
    <row r="126" spans="1:50" s="845" customFormat="1">
      <c r="A126" s="976" t="s">
        <v>3884</v>
      </c>
      <c r="B126" s="976" t="s">
        <v>1097</v>
      </c>
      <c r="C126" s="977">
        <v>1317803920</v>
      </c>
      <c r="D126" s="976" t="s">
        <v>92</v>
      </c>
      <c r="E126" s="976">
        <v>840</v>
      </c>
      <c r="F126" s="976">
        <v>840</v>
      </c>
      <c r="G126" s="976">
        <v>630</v>
      </c>
      <c r="H126" s="976">
        <v>430.04156</v>
      </c>
      <c r="I126" s="976"/>
      <c r="J126" s="976"/>
      <c r="K126" s="976">
        <v>430.04156</v>
      </c>
      <c r="L126" s="978">
        <v>-199.95844</v>
      </c>
      <c r="M126" s="976" t="s">
        <v>3619</v>
      </c>
      <c r="N126" s="976">
        <v>573.38874666666663</v>
      </c>
      <c r="O126" s="860">
        <f t="shared" si="5"/>
        <v>-266.61125333333337</v>
      </c>
      <c r="P126" s="738">
        <f t="shared" si="3"/>
        <v>573388.74666666659</v>
      </c>
      <c r="Q126" s="751">
        <f t="shared" si="4"/>
        <v>573000</v>
      </c>
      <c r="R126" s="861"/>
      <c r="S126" s="861"/>
      <c r="T126" s="861"/>
      <c r="U126" s="747"/>
      <c r="V126" s="988"/>
      <c r="W126" s="1024"/>
      <c r="X126" s="747"/>
      <c r="Y126" s="747"/>
      <c r="Z126" s="747"/>
      <c r="AA126" s="747"/>
      <c r="AB126" s="747"/>
      <c r="AC126" s="747"/>
      <c r="AD126" s="747"/>
      <c r="AE126" s="747"/>
      <c r="AF126" s="747"/>
      <c r="AG126" s="747"/>
      <c r="AH126" s="747"/>
      <c r="AI126" s="747"/>
      <c r="AJ126" s="747"/>
      <c r="AK126" s="747"/>
      <c r="AL126" s="747"/>
      <c r="AM126" s="747"/>
      <c r="AN126" s="747"/>
      <c r="AO126" s="747"/>
      <c r="AP126" s="747"/>
      <c r="AQ126" s="747"/>
      <c r="AR126" s="747"/>
      <c r="AS126" s="747"/>
      <c r="AT126" s="747"/>
      <c r="AU126" s="747"/>
      <c r="AV126" s="747"/>
      <c r="AW126" s="747"/>
      <c r="AX126" s="747"/>
    </row>
    <row r="127" spans="1:50" s="845" customFormat="1">
      <c r="A127" s="976" t="s">
        <v>3884</v>
      </c>
      <c r="B127" s="1029" t="s">
        <v>1097</v>
      </c>
      <c r="C127" s="977">
        <v>1317804920</v>
      </c>
      <c r="D127" s="976" t="s">
        <v>93</v>
      </c>
      <c r="E127" s="976">
        <v>3378</v>
      </c>
      <c r="F127" s="976">
        <v>3378</v>
      </c>
      <c r="G127" s="976">
        <v>2533.5</v>
      </c>
      <c r="H127" s="976">
        <v>3033.9581200000002</v>
      </c>
      <c r="I127" s="976"/>
      <c r="J127" s="976"/>
      <c r="K127" s="976">
        <v>3033.9581200000002</v>
      </c>
      <c r="L127" s="978">
        <v>500.45812000000024</v>
      </c>
      <c r="M127" s="976" t="s">
        <v>3620</v>
      </c>
      <c r="N127" s="976">
        <v>4045.277493333334</v>
      </c>
      <c r="O127" s="735">
        <f t="shared" si="5"/>
        <v>667.27749333333395</v>
      </c>
      <c r="P127" s="738">
        <f t="shared" si="3"/>
        <v>4045277.4933333341</v>
      </c>
      <c r="Q127" s="751">
        <f t="shared" si="4"/>
        <v>4045000</v>
      </c>
      <c r="R127" s="747"/>
      <c r="S127" s="747"/>
      <c r="T127" s="747"/>
      <c r="U127" s="747"/>
      <c r="V127" s="988"/>
      <c r="W127" s="1024"/>
      <c r="X127" s="747"/>
      <c r="Y127" s="747"/>
      <c r="Z127" s="747"/>
      <c r="AA127" s="747"/>
      <c r="AB127" s="747"/>
      <c r="AC127" s="747"/>
      <c r="AD127" s="747"/>
      <c r="AE127" s="747"/>
      <c r="AF127" s="747"/>
      <c r="AG127" s="747"/>
      <c r="AH127" s="747"/>
      <c r="AI127" s="747"/>
      <c r="AJ127" s="747"/>
      <c r="AK127" s="747"/>
      <c r="AL127" s="747"/>
      <c r="AM127" s="747"/>
      <c r="AN127" s="747"/>
      <c r="AO127" s="747"/>
      <c r="AP127" s="747"/>
      <c r="AQ127" s="747"/>
      <c r="AR127" s="747"/>
      <c r="AS127" s="747"/>
      <c r="AT127" s="747"/>
      <c r="AU127" s="747"/>
      <c r="AV127" s="747"/>
      <c r="AW127" s="747"/>
      <c r="AX127" s="747"/>
    </row>
    <row r="128" spans="1:50" s="845" customFormat="1">
      <c r="A128" s="976" t="s">
        <v>3884</v>
      </c>
      <c r="B128" s="976" t="s">
        <v>1097</v>
      </c>
      <c r="C128" s="977">
        <v>1317900920</v>
      </c>
      <c r="D128" s="976" t="s">
        <v>3225</v>
      </c>
      <c r="E128" s="976">
        <v>0</v>
      </c>
      <c r="F128" s="976">
        <v>0</v>
      </c>
      <c r="G128" s="976">
        <v>0</v>
      </c>
      <c r="H128" s="976">
        <v>0</v>
      </c>
      <c r="I128" s="976"/>
      <c r="J128" s="976"/>
      <c r="K128" s="976">
        <v>0</v>
      </c>
      <c r="L128" s="978">
        <v>0</v>
      </c>
      <c r="M128" s="976" t="s">
        <v>3582</v>
      </c>
      <c r="N128" s="976">
        <v>0</v>
      </c>
      <c r="O128" s="735">
        <f t="shared" si="5"/>
        <v>0</v>
      </c>
      <c r="P128" s="738">
        <f t="shared" si="3"/>
        <v>0</v>
      </c>
      <c r="Q128" s="751">
        <f t="shared" si="4"/>
        <v>0</v>
      </c>
      <c r="R128" s="747"/>
      <c r="S128" s="747"/>
      <c r="T128" s="747"/>
      <c r="U128" s="747"/>
      <c r="V128" s="988"/>
      <c r="W128" s="1024"/>
      <c r="X128" s="747"/>
      <c r="Y128" s="747"/>
      <c r="Z128" s="747"/>
      <c r="AA128" s="747"/>
      <c r="AB128" s="747"/>
      <c r="AC128" s="747"/>
      <c r="AD128" s="747"/>
      <c r="AE128" s="747"/>
      <c r="AF128" s="747"/>
      <c r="AG128" s="747"/>
      <c r="AH128" s="747"/>
      <c r="AI128" s="747"/>
      <c r="AJ128" s="747"/>
      <c r="AK128" s="747"/>
      <c r="AL128" s="747"/>
      <c r="AM128" s="747"/>
      <c r="AN128" s="747"/>
      <c r="AO128" s="747"/>
      <c r="AP128" s="747"/>
      <c r="AQ128" s="747"/>
      <c r="AR128" s="747"/>
      <c r="AS128" s="747"/>
      <c r="AT128" s="747"/>
      <c r="AU128" s="747"/>
      <c r="AV128" s="747"/>
      <c r="AW128" s="747"/>
      <c r="AX128" s="747"/>
    </row>
    <row r="129" spans="1:81">
      <c r="A129" s="976" t="s">
        <v>3886</v>
      </c>
      <c r="B129" s="976" t="s">
        <v>1097</v>
      </c>
      <c r="C129" s="977">
        <v>1317900921</v>
      </c>
      <c r="D129" s="976" t="s">
        <v>95</v>
      </c>
      <c r="E129" s="976">
        <v>4000</v>
      </c>
      <c r="F129" s="976">
        <v>4000</v>
      </c>
      <c r="G129" s="976">
        <v>3000</v>
      </c>
      <c r="H129" s="976">
        <v>4291.6346399999993</v>
      </c>
      <c r="I129" s="976"/>
      <c r="J129" s="1040">
        <v>-1000</v>
      </c>
      <c r="K129" s="976">
        <v>3291.6346399999993</v>
      </c>
      <c r="L129" s="978">
        <v>291.63463999999931</v>
      </c>
      <c r="M129" s="976" t="s">
        <v>3621</v>
      </c>
      <c r="N129" s="976">
        <v>4388.8461866666657</v>
      </c>
      <c r="O129" s="860">
        <f t="shared" si="5"/>
        <v>388.84618666666574</v>
      </c>
      <c r="P129" s="738">
        <f t="shared" si="3"/>
        <v>4388846.1866666656</v>
      </c>
      <c r="Q129" s="751">
        <f t="shared" si="4"/>
        <v>4389000</v>
      </c>
      <c r="R129" s="861"/>
      <c r="S129" s="861"/>
      <c r="T129" s="861"/>
      <c r="U129" s="747"/>
      <c r="V129" s="988"/>
      <c r="W129" s="1024"/>
      <c r="AY129" s="845"/>
      <c r="AZ129" s="845"/>
      <c r="BA129" s="845"/>
      <c r="BB129" s="845"/>
      <c r="BC129" s="845"/>
      <c r="BD129" s="845"/>
      <c r="BE129" s="845"/>
      <c r="BF129" s="845"/>
      <c r="BG129" s="845"/>
      <c r="BH129" s="845"/>
      <c r="BI129" s="845"/>
      <c r="BJ129" s="845"/>
      <c r="BK129" s="845"/>
      <c r="BL129" s="845"/>
      <c r="BM129" s="845"/>
      <c r="BN129" s="845"/>
      <c r="BO129" s="845"/>
      <c r="BP129" s="845"/>
      <c r="BQ129" s="845"/>
      <c r="BR129" s="845"/>
      <c r="BS129" s="845"/>
      <c r="BT129" s="845"/>
      <c r="BU129" s="845"/>
      <c r="BV129" s="845"/>
      <c r="BW129" s="845"/>
      <c r="BX129" s="845"/>
      <c r="BY129" s="845"/>
      <c r="BZ129" s="845"/>
      <c r="CA129" s="845"/>
      <c r="CB129" s="845"/>
      <c r="CC129" s="845"/>
    </row>
    <row r="130" spans="1:81">
      <c r="A130" s="976" t="s">
        <v>3887</v>
      </c>
      <c r="B130" s="1029" t="s">
        <v>1097</v>
      </c>
      <c r="C130" s="977">
        <v>1317900922</v>
      </c>
      <c r="D130" s="976" t="s">
        <v>96</v>
      </c>
      <c r="E130" s="976">
        <v>550</v>
      </c>
      <c r="F130" s="976">
        <v>550</v>
      </c>
      <c r="G130" s="976">
        <v>412.5</v>
      </c>
      <c r="H130" s="976">
        <v>342.00046999999995</v>
      </c>
      <c r="I130" s="976"/>
      <c r="J130" s="1040">
        <v>-85</v>
      </c>
      <c r="K130" s="976">
        <v>257.00046999999995</v>
      </c>
      <c r="L130" s="978">
        <v>-155.49953000000005</v>
      </c>
      <c r="M130" s="976" t="s">
        <v>3622</v>
      </c>
      <c r="N130" s="976">
        <v>342.66729333333325</v>
      </c>
      <c r="O130" s="860">
        <f t="shared" si="5"/>
        <v>-207.33270666666675</v>
      </c>
      <c r="P130" s="738">
        <f t="shared" si="3"/>
        <v>342667.29333333328</v>
      </c>
      <c r="Q130" s="751">
        <f t="shared" si="4"/>
        <v>343000</v>
      </c>
      <c r="R130" s="861"/>
      <c r="S130" s="861"/>
      <c r="T130" s="861"/>
      <c r="U130" s="747"/>
      <c r="V130" s="988"/>
      <c r="W130" s="1024"/>
      <c r="AY130" s="845"/>
      <c r="AZ130" s="845"/>
      <c r="BA130" s="845"/>
      <c r="BB130" s="845"/>
      <c r="BC130" s="845"/>
      <c r="BD130" s="845"/>
      <c r="BE130" s="845"/>
      <c r="BF130" s="845"/>
      <c r="BG130" s="845"/>
      <c r="BH130" s="845"/>
      <c r="BI130" s="845"/>
      <c r="BJ130" s="845"/>
      <c r="BK130" s="845"/>
      <c r="BL130" s="845"/>
      <c r="BM130" s="845"/>
      <c r="BN130" s="845"/>
      <c r="BO130" s="845"/>
      <c r="BP130" s="845"/>
      <c r="BQ130" s="845"/>
      <c r="BR130" s="845"/>
      <c r="BS130" s="845"/>
      <c r="BT130" s="845"/>
      <c r="BU130" s="845"/>
      <c r="BV130" s="845"/>
      <c r="BW130" s="845"/>
      <c r="BX130" s="845"/>
      <c r="BY130" s="845"/>
      <c r="BZ130" s="845"/>
      <c r="CA130" s="845"/>
      <c r="CB130" s="845"/>
      <c r="CC130" s="845"/>
    </row>
    <row r="131" spans="1:81">
      <c r="A131" s="976" t="s">
        <v>3888</v>
      </c>
      <c r="B131" s="1029"/>
      <c r="C131" s="977">
        <v>1317900923</v>
      </c>
      <c r="D131" s="976" t="s">
        <v>2413</v>
      </c>
      <c r="E131" s="976">
        <v>780</v>
      </c>
      <c r="F131" s="976">
        <v>780</v>
      </c>
      <c r="G131" s="976">
        <v>585</v>
      </c>
      <c r="H131" s="976">
        <v>630.4</v>
      </c>
      <c r="I131" s="976"/>
      <c r="J131" s="1040">
        <v>-45</v>
      </c>
      <c r="K131" s="976">
        <v>585.4</v>
      </c>
      <c r="L131" s="978">
        <v>0.39999999999997726</v>
      </c>
      <c r="M131" s="976" t="s">
        <v>3622</v>
      </c>
      <c r="N131" s="976">
        <v>780.5333333333333</v>
      </c>
      <c r="O131" s="735">
        <f t="shared" si="5"/>
        <v>0.53333333333330302</v>
      </c>
      <c r="P131" s="738">
        <f t="shared" si="3"/>
        <v>780533.33333333326</v>
      </c>
      <c r="Q131" s="751">
        <f t="shared" si="4"/>
        <v>781000</v>
      </c>
      <c r="U131" s="747"/>
      <c r="V131" s="988"/>
      <c r="W131" s="1024"/>
      <c r="AY131" s="845"/>
      <c r="AZ131" s="845"/>
      <c r="BA131" s="845"/>
      <c r="BB131" s="845"/>
      <c r="BC131" s="845"/>
      <c r="BD131" s="845"/>
      <c r="BE131" s="845"/>
      <c r="BF131" s="845"/>
      <c r="BG131" s="845"/>
      <c r="BH131" s="845"/>
      <c r="BI131" s="845"/>
      <c r="BJ131" s="845"/>
      <c r="BK131" s="845"/>
      <c r="BL131" s="845"/>
      <c r="BM131" s="845"/>
      <c r="BN131" s="845"/>
      <c r="BO131" s="845"/>
      <c r="BP131" s="845"/>
      <c r="BQ131" s="845"/>
      <c r="BR131" s="845"/>
      <c r="BS131" s="845"/>
      <c r="BT131" s="845"/>
      <c r="BU131" s="845"/>
      <c r="BV131" s="845"/>
      <c r="BW131" s="845"/>
      <c r="BX131" s="845"/>
      <c r="BY131" s="845"/>
      <c r="BZ131" s="845"/>
      <c r="CA131" s="845"/>
      <c r="CB131" s="845"/>
      <c r="CC131" s="845"/>
    </row>
    <row r="132" spans="1:81">
      <c r="A132" s="976" t="s">
        <v>3890</v>
      </c>
      <c r="B132" s="976" t="s">
        <v>1095</v>
      </c>
      <c r="C132" s="977">
        <v>1300000740</v>
      </c>
      <c r="D132" s="976" t="s">
        <v>47</v>
      </c>
      <c r="E132" s="976">
        <v>1000</v>
      </c>
      <c r="F132" s="976">
        <v>1000</v>
      </c>
      <c r="G132" s="976">
        <v>750</v>
      </c>
      <c r="H132" s="976">
        <v>0</v>
      </c>
      <c r="I132" s="976"/>
      <c r="J132" s="1019">
        <v>750</v>
      </c>
      <c r="K132" s="976">
        <v>750</v>
      </c>
      <c r="L132" s="978">
        <v>0</v>
      </c>
      <c r="M132" s="976"/>
      <c r="N132" s="976">
        <v>1000</v>
      </c>
      <c r="O132" s="735">
        <f t="shared" si="5"/>
        <v>0</v>
      </c>
      <c r="P132" s="738">
        <f t="shared" si="3"/>
        <v>1000000</v>
      </c>
      <c r="Q132" s="751">
        <f t="shared" si="4"/>
        <v>1000000</v>
      </c>
      <c r="U132" s="747"/>
      <c r="V132" s="988"/>
      <c r="W132" s="1024"/>
      <c r="AY132" s="845"/>
      <c r="AZ132" s="845"/>
      <c r="BA132" s="845"/>
      <c r="BB132" s="845"/>
      <c r="BC132" s="845"/>
      <c r="BD132" s="845"/>
      <c r="BE132" s="845"/>
      <c r="BF132" s="845"/>
      <c r="BG132" s="845"/>
      <c r="BH132" s="845"/>
      <c r="BI132" s="845"/>
      <c r="BJ132" s="845"/>
      <c r="BK132" s="845"/>
      <c r="BL132" s="845"/>
      <c r="BM132" s="845"/>
      <c r="BN132" s="845"/>
      <c r="BO132" s="845"/>
      <c r="BP132" s="845"/>
      <c r="BQ132" s="845"/>
      <c r="BR132" s="845"/>
      <c r="BS132" s="845"/>
      <c r="BT132" s="845"/>
      <c r="BU132" s="845"/>
      <c r="BV132" s="845"/>
      <c r="BW132" s="845"/>
      <c r="BX132" s="845"/>
      <c r="BY132" s="845"/>
      <c r="BZ132" s="845"/>
      <c r="CA132" s="845"/>
      <c r="CB132" s="845"/>
      <c r="CC132" s="845"/>
    </row>
    <row r="133" spans="1:81">
      <c r="A133" s="976" t="s">
        <v>3869</v>
      </c>
      <c r="B133" s="976"/>
      <c r="C133" s="977">
        <v>1300000420</v>
      </c>
      <c r="D133" s="976" t="s">
        <v>3226</v>
      </c>
      <c r="E133" s="976">
        <v>0</v>
      </c>
      <c r="F133" s="976">
        <v>0</v>
      </c>
      <c r="G133" s="976">
        <v>0</v>
      </c>
      <c r="H133" s="976">
        <v>7</v>
      </c>
      <c r="I133" s="976"/>
      <c r="J133" s="976"/>
      <c r="K133" s="976">
        <v>7</v>
      </c>
      <c r="L133" s="978">
        <v>7</v>
      </c>
      <c r="M133" s="976" t="s">
        <v>3583</v>
      </c>
      <c r="N133" s="976">
        <v>9.3333333333333339</v>
      </c>
      <c r="O133" s="860">
        <f t="shared" si="5"/>
        <v>9.3333333333333339</v>
      </c>
      <c r="P133" s="738">
        <f t="shared" si="3"/>
        <v>9333.3333333333339</v>
      </c>
      <c r="Q133" s="751">
        <f t="shared" si="4"/>
        <v>9000</v>
      </c>
      <c r="R133" s="861"/>
      <c r="S133" s="861"/>
      <c r="T133" s="861"/>
      <c r="U133" s="747"/>
      <c r="V133" s="988"/>
      <c r="W133" s="1024"/>
      <c r="AY133" s="845"/>
      <c r="AZ133" s="845"/>
      <c r="BA133" s="845"/>
      <c r="BB133" s="845"/>
      <c r="BC133" s="845"/>
      <c r="BD133" s="845"/>
      <c r="BE133" s="845"/>
      <c r="BF133" s="845"/>
      <c r="BG133" s="845"/>
      <c r="BH133" s="845"/>
      <c r="BI133" s="845"/>
      <c r="BJ133" s="845"/>
      <c r="BK133" s="845"/>
      <c r="BL133" s="845"/>
      <c r="BM133" s="845"/>
      <c r="BN133" s="845"/>
      <c r="BO133" s="845"/>
      <c r="BP133" s="845"/>
      <c r="BQ133" s="845"/>
      <c r="BR133" s="845"/>
      <c r="BS133" s="845"/>
      <c r="BT133" s="845"/>
      <c r="BU133" s="845"/>
      <c r="BV133" s="845"/>
      <c r="BW133" s="845"/>
      <c r="BX133" s="845"/>
      <c r="BY133" s="845"/>
      <c r="BZ133" s="845"/>
      <c r="CA133" s="845"/>
      <c r="CB133" s="845"/>
      <c r="CC133" s="845"/>
    </row>
    <row r="134" spans="1:81">
      <c r="A134" s="976" t="s">
        <v>3884</v>
      </c>
      <c r="B134" s="1029" t="s">
        <v>1097</v>
      </c>
      <c r="C134" s="977">
        <v>1313500920</v>
      </c>
      <c r="D134" s="976" t="s">
        <v>76</v>
      </c>
      <c r="E134" s="976">
        <v>1200</v>
      </c>
      <c r="F134" s="976">
        <v>1200</v>
      </c>
      <c r="G134" s="976">
        <v>900</v>
      </c>
      <c r="H134" s="976">
        <v>0</v>
      </c>
      <c r="I134" s="976"/>
      <c r="J134" s="1019">
        <v>863</v>
      </c>
      <c r="K134" s="976">
        <v>863</v>
      </c>
      <c r="L134" s="978">
        <v>-37</v>
      </c>
      <c r="M134" s="976" t="s">
        <v>3623</v>
      </c>
      <c r="N134" s="976">
        <v>1150.6666666666667</v>
      </c>
      <c r="O134" s="735">
        <f t="shared" si="5"/>
        <v>-49.333333333333258</v>
      </c>
      <c r="P134" s="738">
        <f t="shared" si="3"/>
        <v>1150666.6666666667</v>
      </c>
      <c r="Q134" s="751">
        <f t="shared" si="4"/>
        <v>1151000</v>
      </c>
      <c r="U134" s="747"/>
      <c r="V134" s="988"/>
      <c r="W134" s="1024"/>
      <c r="AY134" s="845"/>
      <c r="AZ134" s="845"/>
      <c r="BA134" s="845"/>
      <c r="BB134" s="845"/>
      <c r="BC134" s="845"/>
      <c r="BD134" s="845"/>
      <c r="BE134" s="845"/>
      <c r="BF134" s="845"/>
      <c r="BG134" s="845"/>
      <c r="BH134" s="845"/>
      <c r="BI134" s="845"/>
      <c r="BJ134" s="845"/>
      <c r="BK134" s="845"/>
      <c r="BL134" s="845"/>
      <c r="BM134" s="845"/>
      <c r="BN134" s="845"/>
      <c r="BO134" s="845"/>
      <c r="BP134" s="845"/>
      <c r="BQ134" s="845"/>
      <c r="BR134" s="845"/>
      <c r="BS134" s="845"/>
      <c r="BT134" s="845"/>
      <c r="BU134" s="845"/>
      <c r="BV134" s="845"/>
      <c r="BW134" s="845"/>
      <c r="BX134" s="845"/>
      <c r="BY134" s="845"/>
      <c r="BZ134" s="845"/>
      <c r="CA134" s="845"/>
      <c r="CB134" s="845"/>
      <c r="CC134" s="845"/>
    </row>
    <row r="135" spans="1:81" s="856" customFormat="1" ht="24.75" customHeight="1">
      <c r="A135" s="968"/>
      <c r="B135" s="976" t="s">
        <v>1079</v>
      </c>
      <c r="C135" s="968"/>
      <c r="D135" s="968"/>
      <c r="E135" s="968"/>
      <c r="F135" s="968"/>
      <c r="G135" s="968"/>
      <c r="H135" s="968"/>
      <c r="I135" s="968"/>
      <c r="J135" s="968"/>
      <c r="K135" s="968"/>
      <c r="L135" s="968"/>
      <c r="M135" s="968"/>
      <c r="N135" s="968"/>
      <c r="O135" s="735">
        <f t="shared" si="5"/>
        <v>0</v>
      </c>
      <c r="P135" s="738">
        <f t="shared" si="3"/>
        <v>0</v>
      </c>
      <c r="Q135" s="751">
        <f t="shared" si="4"/>
        <v>0</v>
      </c>
      <c r="R135" s="854"/>
      <c r="S135" s="854"/>
      <c r="T135" s="854"/>
      <c r="U135" s="855"/>
      <c r="V135" s="988"/>
      <c r="W135" s="1024"/>
      <c r="X135" s="854"/>
      <c r="Y135" s="854"/>
      <c r="Z135" s="854"/>
      <c r="AA135" s="854"/>
      <c r="AB135" s="854"/>
      <c r="AC135" s="854"/>
      <c r="AD135" s="854"/>
      <c r="AE135" s="854"/>
      <c r="AF135" s="854"/>
      <c r="AG135" s="854"/>
      <c r="AH135" s="854"/>
      <c r="AI135" s="854"/>
      <c r="AJ135" s="854"/>
      <c r="AK135" s="854"/>
      <c r="AL135" s="854"/>
      <c r="AM135" s="854"/>
      <c r="AN135" s="854"/>
      <c r="AO135" s="854"/>
      <c r="AP135" s="854"/>
      <c r="AQ135" s="854"/>
      <c r="AR135" s="854"/>
      <c r="AS135" s="854"/>
      <c r="AT135" s="854"/>
      <c r="AU135" s="854"/>
      <c r="AV135" s="854"/>
      <c r="AW135" s="854"/>
      <c r="AX135" s="854"/>
    </row>
    <row r="136" spans="1:81" s="852" customFormat="1" ht="12.75" customHeight="1">
      <c r="A136" s="979" t="s">
        <v>3577</v>
      </c>
      <c r="B136" s="976" t="s">
        <v>3862</v>
      </c>
      <c r="C136" s="980" t="s">
        <v>888</v>
      </c>
      <c r="D136" s="979" t="s">
        <v>1467</v>
      </c>
      <c r="E136" s="979">
        <v>119935</v>
      </c>
      <c r="F136" s="979">
        <v>119935</v>
      </c>
      <c r="G136" s="979">
        <v>89951.25</v>
      </c>
      <c r="H136" s="979">
        <v>86268.671929999953</v>
      </c>
      <c r="I136" s="979">
        <v>0</v>
      </c>
      <c r="J136" s="979">
        <v>4636</v>
      </c>
      <c r="K136" s="979">
        <v>90904.671929999953</v>
      </c>
      <c r="L136" s="979">
        <v>953.42193000000373</v>
      </c>
      <c r="M136" s="979">
        <v>0</v>
      </c>
      <c r="N136" s="979">
        <v>121206.22924</v>
      </c>
      <c r="O136" s="735">
        <f t="shared" si="5"/>
        <v>1271.2292400000006</v>
      </c>
      <c r="P136" s="738">
        <f t="shared" ref="P136:P199" si="6">N136*1000</f>
        <v>121206229.23999999</v>
      </c>
      <c r="Q136" s="751">
        <f t="shared" ref="Q136:Q199" si="7">ROUND(P136,-3)</f>
        <v>121206000</v>
      </c>
      <c r="R136" s="853"/>
      <c r="S136" s="853"/>
      <c r="T136" s="853"/>
      <c r="U136" s="853"/>
      <c r="V136" s="988"/>
      <c r="W136" s="1024"/>
      <c r="X136" s="853"/>
      <c r="Y136" s="853"/>
      <c r="Z136" s="853"/>
      <c r="AA136" s="853"/>
      <c r="AB136" s="853"/>
      <c r="AC136" s="853"/>
      <c r="AD136" s="853"/>
      <c r="AE136" s="853"/>
      <c r="AF136" s="853"/>
      <c r="AG136" s="853"/>
      <c r="AH136" s="853"/>
      <c r="AI136" s="853"/>
      <c r="AJ136" s="853"/>
      <c r="AK136" s="853"/>
      <c r="AL136" s="853"/>
      <c r="AM136" s="853"/>
      <c r="AN136" s="853"/>
      <c r="AO136" s="853"/>
      <c r="AP136" s="853"/>
      <c r="AQ136" s="853"/>
      <c r="AR136" s="853"/>
      <c r="AS136" s="853"/>
      <c r="AT136" s="853"/>
      <c r="AU136" s="853"/>
      <c r="AV136" s="853"/>
      <c r="AW136" s="853"/>
      <c r="AX136" s="853"/>
    </row>
    <row r="137" spans="1:81" ht="12.75" customHeight="1">
      <c r="A137" s="981"/>
      <c r="B137" s="976" t="s">
        <v>1079</v>
      </c>
      <c r="C137" s="982"/>
      <c r="D137" s="981" t="s">
        <v>1468</v>
      </c>
      <c r="E137" s="981"/>
      <c r="F137" s="981"/>
      <c r="G137" s="981"/>
      <c r="H137" s="981"/>
      <c r="I137" s="981"/>
      <c r="J137" s="981"/>
      <c r="K137" s="981"/>
      <c r="L137" s="983"/>
      <c r="M137" s="981"/>
      <c r="N137" s="981"/>
      <c r="O137" s="735">
        <f t="shared" ref="O137:O200" si="8">N137-E137</f>
        <v>0</v>
      </c>
      <c r="P137" s="738">
        <f t="shared" si="6"/>
        <v>0</v>
      </c>
      <c r="Q137" s="751">
        <f t="shared" si="7"/>
        <v>0</v>
      </c>
      <c r="U137" s="751"/>
      <c r="V137" s="988"/>
      <c r="W137" s="1024"/>
      <c r="AY137" s="845"/>
      <c r="AZ137" s="845"/>
      <c r="BA137" s="845"/>
      <c r="BB137" s="845"/>
      <c r="BC137" s="845"/>
      <c r="BD137" s="845"/>
      <c r="BE137" s="845"/>
      <c r="BF137" s="845"/>
      <c r="BG137" s="845"/>
      <c r="BH137" s="845"/>
      <c r="BI137" s="845"/>
      <c r="BJ137" s="845"/>
      <c r="BK137" s="845"/>
      <c r="BL137" s="845"/>
      <c r="BM137" s="845"/>
      <c r="BN137" s="845"/>
      <c r="BO137" s="845"/>
      <c r="BP137" s="845"/>
      <c r="BQ137" s="845"/>
      <c r="BR137" s="845"/>
      <c r="BS137" s="845"/>
      <c r="BT137" s="845"/>
      <c r="BU137" s="845"/>
      <c r="BV137" s="845"/>
      <c r="BW137" s="845"/>
      <c r="BX137" s="845"/>
      <c r="BY137" s="845"/>
      <c r="BZ137" s="845"/>
      <c r="CA137" s="845"/>
      <c r="CB137" s="845"/>
      <c r="CC137" s="845"/>
    </row>
    <row r="138" spans="1:81" ht="12.75" customHeight="1">
      <c r="A138" s="976" t="s">
        <v>3891</v>
      </c>
      <c r="B138" s="976" t="s">
        <v>1107</v>
      </c>
      <c r="C138" s="977">
        <v>1341000930</v>
      </c>
      <c r="D138" s="976" t="s">
        <v>111</v>
      </c>
      <c r="E138" s="976">
        <v>12037.885</v>
      </c>
      <c r="F138" s="976">
        <v>12037.885</v>
      </c>
      <c r="G138" s="976">
        <v>9028.4137499999997</v>
      </c>
      <c r="H138" s="976">
        <v>9523.5740000000005</v>
      </c>
      <c r="I138" s="976"/>
      <c r="J138" s="1040">
        <v>-495</v>
      </c>
      <c r="K138" s="976">
        <v>9028.5740000000005</v>
      </c>
      <c r="L138" s="978">
        <v>0.16025000000081491</v>
      </c>
      <c r="M138" s="976" t="s">
        <v>3589</v>
      </c>
      <c r="N138" s="976">
        <v>12038.098666666667</v>
      </c>
      <c r="O138" s="735">
        <f t="shared" si="8"/>
        <v>0.21366666666654055</v>
      </c>
      <c r="P138" s="738">
        <f t="shared" si="6"/>
        <v>12038098.666666666</v>
      </c>
      <c r="Q138" s="751">
        <f t="shared" si="7"/>
        <v>12038000</v>
      </c>
      <c r="U138" s="751"/>
      <c r="V138" s="988"/>
      <c r="W138" s="1024"/>
      <c r="AY138" s="845"/>
      <c r="AZ138" s="845"/>
      <c r="BA138" s="845"/>
      <c r="BB138" s="845"/>
      <c r="BC138" s="845"/>
      <c r="BD138" s="845"/>
      <c r="BE138" s="845"/>
      <c r="BF138" s="845"/>
      <c r="BG138" s="845"/>
      <c r="BH138" s="845"/>
      <c r="BI138" s="845"/>
      <c r="BJ138" s="845"/>
      <c r="BK138" s="845"/>
      <c r="BL138" s="845"/>
      <c r="BM138" s="845"/>
      <c r="BN138" s="845"/>
      <c r="BO138" s="845"/>
      <c r="BP138" s="845"/>
      <c r="BQ138" s="845"/>
      <c r="BR138" s="845"/>
      <c r="BS138" s="845"/>
      <c r="BT138" s="845"/>
      <c r="BU138" s="845"/>
      <c r="BV138" s="845"/>
      <c r="BW138" s="845"/>
      <c r="BX138" s="845"/>
      <c r="BY138" s="845"/>
      <c r="BZ138" s="845"/>
      <c r="CA138" s="845"/>
      <c r="CB138" s="845"/>
      <c r="CC138" s="845"/>
    </row>
    <row r="139" spans="1:81" ht="12.75" customHeight="1">
      <c r="A139" s="976" t="s">
        <v>3892</v>
      </c>
      <c r="B139" s="976"/>
      <c r="C139" s="977">
        <v>1341000931</v>
      </c>
      <c r="D139" s="976" t="s">
        <v>3227</v>
      </c>
      <c r="E139" s="976">
        <v>338</v>
      </c>
      <c r="F139" s="976">
        <v>338</v>
      </c>
      <c r="G139" s="976">
        <v>253.5</v>
      </c>
      <c r="H139" s="976">
        <v>116.348</v>
      </c>
      <c r="I139" s="976"/>
      <c r="J139" s="1019">
        <v>137</v>
      </c>
      <c r="K139" s="976">
        <v>253.34800000000001</v>
      </c>
      <c r="L139" s="978">
        <v>-0.15199999999998681</v>
      </c>
      <c r="M139" s="976" t="s">
        <v>3589</v>
      </c>
      <c r="N139" s="976">
        <v>337.79733333333337</v>
      </c>
      <c r="O139" s="735">
        <f t="shared" si="8"/>
        <v>-0.20266666666663014</v>
      </c>
      <c r="P139" s="738">
        <f t="shared" si="6"/>
        <v>337797.33333333337</v>
      </c>
      <c r="Q139" s="751">
        <f t="shared" si="7"/>
        <v>338000</v>
      </c>
      <c r="U139" s="751"/>
      <c r="V139" s="988"/>
      <c r="W139" s="1024"/>
      <c r="AY139" s="845"/>
      <c r="AZ139" s="845"/>
      <c r="BA139" s="845"/>
      <c r="BB139" s="845"/>
      <c r="BC139" s="845"/>
      <c r="BD139" s="845"/>
      <c r="BE139" s="845"/>
      <c r="BF139" s="845"/>
      <c r="BG139" s="845"/>
      <c r="BH139" s="845"/>
      <c r="BI139" s="845"/>
      <c r="BJ139" s="845"/>
      <c r="BK139" s="845"/>
      <c r="BL139" s="845"/>
      <c r="BM139" s="845"/>
      <c r="BN139" s="845"/>
      <c r="BO139" s="845"/>
      <c r="BP139" s="845"/>
      <c r="BQ139" s="845"/>
      <c r="BR139" s="845"/>
      <c r="BS139" s="845"/>
      <c r="BT139" s="845"/>
      <c r="BU139" s="845"/>
      <c r="BV139" s="845"/>
      <c r="BW139" s="845"/>
      <c r="BX139" s="845"/>
      <c r="BY139" s="845"/>
      <c r="BZ139" s="845"/>
      <c r="CA139" s="845"/>
      <c r="CB139" s="845"/>
      <c r="CC139" s="845"/>
    </row>
    <row r="140" spans="1:81" ht="12.75" customHeight="1">
      <c r="A140" s="976" t="s">
        <v>3893</v>
      </c>
      <c r="B140" s="976" t="s">
        <v>1107</v>
      </c>
      <c r="C140" s="977">
        <v>1341000932</v>
      </c>
      <c r="D140" s="987" t="s">
        <v>3228</v>
      </c>
      <c r="E140" s="976">
        <v>0</v>
      </c>
      <c r="F140" s="976">
        <v>0</v>
      </c>
      <c r="G140" s="976">
        <v>0</v>
      </c>
      <c r="H140" s="976">
        <v>0</v>
      </c>
      <c r="I140" s="976"/>
      <c r="J140" s="976"/>
      <c r="K140" s="976">
        <v>0</v>
      </c>
      <c r="L140" s="978">
        <v>0</v>
      </c>
      <c r="M140" s="976" t="s">
        <v>3589</v>
      </c>
      <c r="N140" s="976">
        <v>0</v>
      </c>
      <c r="O140" s="735">
        <f t="shared" si="8"/>
        <v>0</v>
      </c>
      <c r="P140" s="738">
        <f t="shared" si="6"/>
        <v>0</v>
      </c>
      <c r="Q140" s="751">
        <f t="shared" si="7"/>
        <v>0</v>
      </c>
      <c r="U140" s="751"/>
      <c r="V140" s="988"/>
      <c r="W140" s="1024"/>
      <c r="AY140" s="845"/>
      <c r="AZ140" s="845"/>
      <c r="BA140" s="845"/>
      <c r="BB140" s="845"/>
      <c r="BC140" s="845"/>
      <c r="BD140" s="845"/>
      <c r="BE140" s="845"/>
      <c r="BF140" s="845"/>
      <c r="BG140" s="845"/>
      <c r="BH140" s="845"/>
      <c r="BI140" s="845"/>
      <c r="BJ140" s="845"/>
      <c r="BK140" s="845"/>
      <c r="BL140" s="845"/>
      <c r="BM140" s="845"/>
      <c r="BN140" s="845"/>
      <c r="BO140" s="845"/>
      <c r="BP140" s="845"/>
      <c r="BQ140" s="845"/>
      <c r="BR140" s="845"/>
      <c r="BS140" s="845"/>
      <c r="BT140" s="845"/>
      <c r="BU140" s="845"/>
      <c r="BV140" s="845"/>
      <c r="BW140" s="845"/>
      <c r="BX140" s="845"/>
      <c r="BY140" s="845"/>
      <c r="BZ140" s="845"/>
      <c r="CA140" s="845"/>
      <c r="CB140" s="845"/>
      <c r="CC140" s="845"/>
    </row>
    <row r="141" spans="1:81" ht="12.75" customHeight="1">
      <c r="A141" s="976" t="s">
        <v>3891</v>
      </c>
      <c r="B141" s="976" t="s">
        <v>1107</v>
      </c>
      <c r="C141" s="977">
        <v>1342200930</v>
      </c>
      <c r="D141" s="976" t="s">
        <v>3229</v>
      </c>
      <c r="E141" s="976">
        <v>0</v>
      </c>
      <c r="F141" s="976">
        <v>0</v>
      </c>
      <c r="G141" s="976">
        <v>0</v>
      </c>
      <c r="H141" s="976">
        <v>0</v>
      </c>
      <c r="I141" s="976"/>
      <c r="J141" s="976"/>
      <c r="K141" s="976">
        <v>0</v>
      </c>
      <c r="L141" s="978">
        <v>0</v>
      </c>
      <c r="M141" s="976" t="s">
        <v>3589</v>
      </c>
      <c r="N141" s="976">
        <v>0</v>
      </c>
      <c r="O141" s="735">
        <f t="shared" si="8"/>
        <v>0</v>
      </c>
      <c r="P141" s="738">
        <f t="shared" si="6"/>
        <v>0</v>
      </c>
      <c r="Q141" s="751">
        <f t="shared" si="7"/>
        <v>0</v>
      </c>
      <c r="U141" s="751"/>
      <c r="V141" s="988"/>
      <c r="W141" s="1024"/>
      <c r="AY141" s="845"/>
      <c r="AZ141" s="845"/>
      <c r="BA141" s="845"/>
      <c r="BB141" s="845"/>
      <c r="BC141" s="845"/>
      <c r="BD141" s="845"/>
      <c r="BE141" s="845"/>
      <c r="BF141" s="845"/>
      <c r="BG141" s="845"/>
      <c r="BH141" s="845"/>
      <c r="BI141" s="845"/>
      <c r="BJ141" s="845"/>
      <c r="BK141" s="845"/>
      <c r="BL141" s="845"/>
      <c r="BM141" s="845"/>
      <c r="BN141" s="845"/>
      <c r="BO141" s="845"/>
      <c r="BP141" s="845"/>
      <c r="BQ141" s="845"/>
      <c r="BR141" s="845"/>
      <c r="BS141" s="845"/>
      <c r="BT141" s="845"/>
      <c r="BU141" s="845"/>
      <c r="BV141" s="845"/>
      <c r="BW141" s="845"/>
      <c r="BX141" s="845"/>
      <c r="BY141" s="845"/>
      <c r="BZ141" s="845"/>
      <c r="CA141" s="845"/>
      <c r="CB141" s="845"/>
      <c r="CC141" s="845"/>
    </row>
    <row r="142" spans="1:81" ht="12.75" customHeight="1">
      <c r="A142" s="976" t="s">
        <v>3894</v>
      </c>
      <c r="B142" s="976" t="s">
        <v>1107</v>
      </c>
      <c r="C142" s="977">
        <v>1342200933</v>
      </c>
      <c r="D142" s="976" t="s">
        <v>115</v>
      </c>
      <c r="E142" s="976">
        <v>260</v>
      </c>
      <c r="F142" s="976">
        <v>260</v>
      </c>
      <c r="G142" s="976">
        <v>195</v>
      </c>
      <c r="H142" s="976">
        <v>192.773</v>
      </c>
      <c r="I142" s="976"/>
      <c r="J142" s="1019">
        <v>2.5</v>
      </c>
      <c r="K142" s="976">
        <v>195.273</v>
      </c>
      <c r="L142" s="978">
        <v>0.27299999999999613</v>
      </c>
      <c r="M142" s="976" t="s">
        <v>3589</v>
      </c>
      <c r="N142" s="976">
        <v>260.36399999999998</v>
      </c>
      <c r="O142" s="735">
        <f t="shared" si="8"/>
        <v>0.3639999999999759</v>
      </c>
      <c r="P142" s="738">
        <f t="shared" si="6"/>
        <v>260363.99999999997</v>
      </c>
      <c r="Q142" s="751">
        <f t="shared" si="7"/>
        <v>260000</v>
      </c>
      <c r="U142" s="751"/>
      <c r="V142" s="988"/>
      <c r="W142" s="1024"/>
      <c r="AY142" s="845"/>
      <c r="AZ142" s="845"/>
      <c r="BA142" s="845"/>
      <c r="BB142" s="845"/>
      <c r="BC142" s="845"/>
      <c r="BD142" s="845"/>
      <c r="BE142" s="845"/>
      <c r="BF142" s="845"/>
      <c r="BG142" s="845"/>
      <c r="BH142" s="845"/>
      <c r="BI142" s="845"/>
      <c r="BJ142" s="845"/>
      <c r="BK142" s="845"/>
      <c r="BL142" s="845"/>
      <c r="BM142" s="845"/>
      <c r="BN142" s="845"/>
      <c r="BO142" s="845"/>
      <c r="BP142" s="845"/>
      <c r="BQ142" s="845"/>
      <c r="BR142" s="845"/>
      <c r="BS142" s="845"/>
      <c r="BT142" s="845"/>
      <c r="BU142" s="845"/>
      <c r="BV142" s="845"/>
      <c r="BW142" s="845"/>
      <c r="BX142" s="845"/>
      <c r="BY142" s="845"/>
      <c r="BZ142" s="845"/>
      <c r="CA142" s="845"/>
      <c r="CB142" s="845"/>
      <c r="CC142" s="845"/>
    </row>
    <row r="143" spans="1:81" ht="12.75" customHeight="1">
      <c r="A143" s="976" t="s">
        <v>3891</v>
      </c>
      <c r="B143" s="976" t="s">
        <v>1107</v>
      </c>
      <c r="C143" s="977">
        <v>1342400930</v>
      </c>
      <c r="D143" s="976" t="s">
        <v>117</v>
      </c>
      <c r="E143" s="976">
        <v>723</v>
      </c>
      <c r="F143" s="976">
        <v>723</v>
      </c>
      <c r="G143" s="976">
        <v>542.25</v>
      </c>
      <c r="H143" s="976">
        <v>764.83199999999999</v>
      </c>
      <c r="I143" s="976"/>
      <c r="J143" s="1040">
        <v>-223</v>
      </c>
      <c r="K143" s="976">
        <v>541.83199999999999</v>
      </c>
      <c r="L143" s="978">
        <v>-0.41800000000000637</v>
      </c>
      <c r="M143" s="976" t="s">
        <v>3589</v>
      </c>
      <c r="N143" s="976">
        <v>722.4426666666667</v>
      </c>
      <c r="O143" s="735">
        <f t="shared" si="8"/>
        <v>-0.55733333333330393</v>
      </c>
      <c r="P143" s="738">
        <f t="shared" si="6"/>
        <v>722442.66666666674</v>
      </c>
      <c r="Q143" s="751">
        <f t="shared" si="7"/>
        <v>722000</v>
      </c>
      <c r="U143" s="751"/>
      <c r="V143" s="988"/>
      <c r="W143" s="1024"/>
      <c r="AY143" s="845"/>
      <c r="AZ143" s="845"/>
      <c r="BA143" s="845"/>
      <c r="BB143" s="845"/>
      <c r="BC143" s="845"/>
      <c r="BD143" s="845"/>
      <c r="BE143" s="845"/>
      <c r="BF143" s="845"/>
      <c r="BG143" s="845"/>
      <c r="BH143" s="845"/>
      <c r="BI143" s="845"/>
      <c r="BJ143" s="845"/>
      <c r="BK143" s="845"/>
      <c r="BL143" s="845"/>
      <c r="BM143" s="845"/>
      <c r="BN143" s="845"/>
      <c r="BO143" s="845"/>
      <c r="BP143" s="845"/>
      <c r="BQ143" s="845"/>
      <c r="BR143" s="845"/>
      <c r="BS143" s="845"/>
      <c r="BT143" s="845"/>
      <c r="BU143" s="845"/>
      <c r="BV143" s="845"/>
      <c r="BW143" s="845"/>
      <c r="BX143" s="845"/>
      <c r="BY143" s="845"/>
      <c r="BZ143" s="845"/>
      <c r="CA143" s="845"/>
      <c r="CB143" s="845"/>
      <c r="CC143" s="845"/>
    </row>
    <row r="144" spans="1:81" ht="12.75" customHeight="1">
      <c r="A144" s="976" t="s">
        <v>3895</v>
      </c>
      <c r="B144" s="976" t="s">
        <v>1107</v>
      </c>
      <c r="C144" s="999">
        <v>1342200936</v>
      </c>
      <c r="D144" s="999" t="s">
        <v>3230</v>
      </c>
      <c r="E144" s="976">
        <v>0</v>
      </c>
      <c r="F144" s="976">
        <v>0</v>
      </c>
      <c r="G144" s="976">
        <v>0</v>
      </c>
      <c r="H144" s="976">
        <v>0</v>
      </c>
      <c r="I144" s="976"/>
      <c r="J144" s="976">
        <v>0</v>
      </c>
      <c r="K144" s="976">
        <v>0</v>
      </c>
      <c r="L144" s="978">
        <v>0</v>
      </c>
      <c r="M144" s="976" t="s">
        <v>3589</v>
      </c>
      <c r="N144" s="976">
        <v>0</v>
      </c>
      <c r="O144" s="735">
        <f t="shared" si="8"/>
        <v>0</v>
      </c>
      <c r="P144" s="738">
        <f t="shared" si="6"/>
        <v>0</v>
      </c>
      <c r="Q144" s="751">
        <f t="shared" si="7"/>
        <v>0</v>
      </c>
      <c r="U144" s="751"/>
      <c r="V144" s="988"/>
      <c r="W144" s="1024"/>
      <c r="AY144" s="845"/>
      <c r="AZ144" s="845"/>
      <c r="BA144" s="845"/>
      <c r="BB144" s="845"/>
      <c r="BC144" s="845"/>
      <c r="BD144" s="845"/>
      <c r="BE144" s="845"/>
      <c r="BF144" s="845"/>
      <c r="BG144" s="845"/>
      <c r="BH144" s="845"/>
      <c r="BI144" s="845"/>
      <c r="BJ144" s="845"/>
      <c r="BK144" s="845"/>
      <c r="BL144" s="845"/>
      <c r="BM144" s="845"/>
      <c r="BN144" s="845"/>
      <c r="BO144" s="845"/>
      <c r="BP144" s="845"/>
      <c r="BQ144" s="845"/>
      <c r="BR144" s="845"/>
      <c r="BS144" s="845"/>
      <c r="BT144" s="845"/>
      <c r="BU144" s="845"/>
      <c r="BV144" s="845"/>
      <c r="BW144" s="845"/>
      <c r="BX144" s="845"/>
      <c r="BY144" s="845"/>
      <c r="BZ144" s="845"/>
      <c r="CA144" s="845"/>
      <c r="CB144" s="845"/>
      <c r="CC144" s="845"/>
    </row>
    <row r="145" spans="1:81" ht="12.75" customHeight="1">
      <c r="A145" s="976" t="s">
        <v>3892</v>
      </c>
      <c r="B145" s="976" t="s">
        <v>1107</v>
      </c>
      <c r="C145" s="977">
        <v>1342400931</v>
      </c>
      <c r="D145" s="976" t="s">
        <v>119</v>
      </c>
      <c r="E145" s="976">
        <v>268</v>
      </c>
      <c r="F145" s="976">
        <v>268</v>
      </c>
      <c r="G145" s="976">
        <v>201</v>
      </c>
      <c r="H145" s="976">
        <v>127.11</v>
      </c>
      <c r="I145" s="976"/>
      <c r="J145" s="1019">
        <v>74</v>
      </c>
      <c r="K145" s="976">
        <v>201.11</v>
      </c>
      <c r="L145" s="978">
        <v>0.11000000000001364</v>
      </c>
      <c r="M145" s="976" t="s">
        <v>3589</v>
      </c>
      <c r="N145" s="976">
        <v>268.1466666666667</v>
      </c>
      <c r="O145" s="735">
        <f t="shared" si="8"/>
        <v>0.1466666666667038</v>
      </c>
      <c r="P145" s="738">
        <f t="shared" si="6"/>
        <v>268146.66666666669</v>
      </c>
      <c r="Q145" s="751">
        <f t="shared" si="7"/>
        <v>268000</v>
      </c>
      <c r="U145" s="751"/>
      <c r="V145" s="988"/>
      <c r="W145" s="1024"/>
      <c r="AY145" s="845"/>
      <c r="AZ145" s="845"/>
      <c r="BA145" s="845"/>
      <c r="BB145" s="845"/>
      <c r="BC145" s="845"/>
      <c r="BD145" s="845"/>
      <c r="BE145" s="845"/>
      <c r="BF145" s="845"/>
      <c r="BG145" s="845"/>
      <c r="BH145" s="845"/>
      <c r="BI145" s="845"/>
      <c r="BJ145" s="845"/>
      <c r="BK145" s="845"/>
      <c r="BL145" s="845"/>
      <c r="BM145" s="845"/>
      <c r="BN145" s="845"/>
      <c r="BO145" s="845"/>
      <c r="BP145" s="845"/>
      <c r="BQ145" s="845"/>
      <c r="BR145" s="845"/>
      <c r="BS145" s="845"/>
      <c r="BT145" s="845"/>
      <c r="BU145" s="845"/>
      <c r="BV145" s="845"/>
      <c r="BW145" s="845"/>
      <c r="BX145" s="845"/>
      <c r="BY145" s="845"/>
      <c r="BZ145" s="845"/>
      <c r="CA145" s="845"/>
      <c r="CB145" s="845"/>
      <c r="CC145" s="845"/>
    </row>
    <row r="146" spans="1:81" ht="12.75" customHeight="1">
      <c r="A146" s="976" t="s">
        <v>3893</v>
      </c>
      <c r="B146" s="976" t="s">
        <v>1107</v>
      </c>
      <c r="C146" s="977">
        <v>1342400932</v>
      </c>
      <c r="D146" s="976" t="s">
        <v>121</v>
      </c>
      <c r="E146" s="976">
        <v>330</v>
      </c>
      <c r="F146" s="976">
        <v>330</v>
      </c>
      <c r="G146" s="976">
        <v>247.5</v>
      </c>
      <c r="H146" s="976">
        <v>117.858</v>
      </c>
      <c r="I146" s="976"/>
      <c r="J146" s="1019">
        <v>63</v>
      </c>
      <c r="K146" s="976">
        <v>180.858</v>
      </c>
      <c r="L146" s="978">
        <v>-66.641999999999996</v>
      </c>
      <c r="M146" s="976" t="s">
        <v>3589</v>
      </c>
      <c r="N146" s="976">
        <v>241.14400000000003</v>
      </c>
      <c r="O146" s="735">
        <f t="shared" si="8"/>
        <v>-88.855999999999966</v>
      </c>
      <c r="P146" s="738">
        <f t="shared" si="6"/>
        <v>241144.00000000003</v>
      </c>
      <c r="Q146" s="751">
        <f t="shared" si="7"/>
        <v>241000</v>
      </c>
      <c r="U146" s="751"/>
      <c r="V146" s="988"/>
      <c r="W146" s="1024"/>
      <c r="AY146" s="845"/>
      <c r="AZ146" s="845"/>
      <c r="BA146" s="845"/>
      <c r="BB146" s="845"/>
      <c r="BC146" s="845"/>
      <c r="BD146" s="845"/>
      <c r="BE146" s="845"/>
      <c r="BF146" s="845"/>
      <c r="BG146" s="845"/>
      <c r="BH146" s="845"/>
      <c r="BI146" s="845"/>
      <c r="BJ146" s="845"/>
      <c r="BK146" s="845"/>
      <c r="BL146" s="845"/>
      <c r="BM146" s="845"/>
      <c r="BN146" s="845"/>
      <c r="BO146" s="845"/>
      <c r="BP146" s="845"/>
      <c r="BQ146" s="845"/>
      <c r="BR146" s="845"/>
      <c r="BS146" s="845"/>
      <c r="BT146" s="845"/>
      <c r="BU146" s="845"/>
      <c r="BV146" s="845"/>
      <c r="BW146" s="845"/>
      <c r="BX146" s="845"/>
      <c r="BY146" s="845"/>
      <c r="BZ146" s="845"/>
      <c r="CA146" s="845"/>
      <c r="CB146" s="845"/>
      <c r="CC146" s="845"/>
    </row>
    <row r="147" spans="1:81" ht="12.75" customHeight="1">
      <c r="A147" s="976" t="s">
        <v>3894</v>
      </c>
      <c r="B147" s="976" t="s">
        <v>1107</v>
      </c>
      <c r="C147" s="977">
        <v>1342400933</v>
      </c>
      <c r="D147" s="976" t="s">
        <v>3231</v>
      </c>
      <c r="E147" s="976">
        <v>0</v>
      </c>
      <c r="F147" s="976">
        <v>0</v>
      </c>
      <c r="G147" s="976">
        <v>0</v>
      </c>
      <c r="H147" s="976">
        <v>0</v>
      </c>
      <c r="I147" s="976"/>
      <c r="J147" s="976">
        <v>0</v>
      </c>
      <c r="K147" s="976">
        <v>0</v>
      </c>
      <c r="L147" s="978">
        <v>0</v>
      </c>
      <c r="M147" s="976" t="s">
        <v>3589</v>
      </c>
      <c r="N147" s="976">
        <v>0</v>
      </c>
      <c r="O147" s="735">
        <f t="shared" si="8"/>
        <v>0</v>
      </c>
      <c r="P147" s="738">
        <f t="shared" si="6"/>
        <v>0</v>
      </c>
      <c r="Q147" s="751">
        <f t="shared" si="7"/>
        <v>0</v>
      </c>
      <c r="U147" s="751"/>
      <c r="V147" s="988"/>
      <c r="W147" s="1024"/>
      <c r="AY147" s="845"/>
      <c r="AZ147" s="845"/>
      <c r="BA147" s="845"/>
      <c r="BB147" s="845"/>
      <c r="BC147" s="845"/>
      <c r="BD147" s="845"/>
      <c r="BE147" s="845"/>
      <c r="BF147" s="845"/>
      <c r="BG147" s="845"/>
      <c r="BH147" s="845"/>
      <c r="BI147" s="845"/>
      <c r="BJ147" s="845"/>
      <c r="BK147" s="845"/>
      <c r="BL147" s="845"/>
      <c r="BM147" s="845"/>
      <c r="BN147" s="845"/>
      <c r="BO147" s="845"/>
      <c r="BP147" s="845"/>
      <c r="BQ147" s="845"/>
      <c r="BR147" s="845"/>
      <c r="BS147" s="845"/>
      <c r="BT147" s="845"/>
      <c r="BU147" s="845"/>
      <c r="BV147" s="845"/>
      <c r="BW147" s="845"/>
      <c r="BX147" s="845"/>
      <c r="BY147" s="845"/>
      <c r="BZ147" s="845"/>
      <c r="CA147" s="845"/>
      <c r="CB147" s="845"/>
      <c r="CC147" s="845"/>
    </row>
    <row r="148" spans="1:81" ht="12.75" customHeight="1">
      <c r="A148" s="976" t="s">
        <v>3896</v>
      </c>
      <c r="B148" s="976"/>
      <c r="C148" s="977">
        <v>1342200934</v>
      </c>
      <c r="D148" s="976" t="s">
        <v>1543</v>
      </c>
      <c r="E148" s="976">
        <v>394</v>
      </c>
      <c r="F148" s="976">
        <v>394</v>
      </c>
      <c r="G148" s="976">
        <v>295.5</v>
      </c>
      <c r="H148" s="976">
        <v>190.875</v>
      </c>
      <c r="I148" s="976"/>
      <c r="J148" s="1040">
        <v>-17</v>
      </c>
      <c r="K148" s="976">
        <v>173.875</v>
      </c>
      <c r="L148" s="978">
        <v>-121.625</v>
      </c>
      <c r="M148" s="976" t="s">
        <v>3589</v>
      </c>
      <c r="N148" s="976">
        <v>231.83333333333334</v>
      </c>
      <c r="O148" s="735">
        <f t="shared" si="8"/>
        <v>-162.16666666666666</v>
      </c>
      <c r="P148" s="738">
        <f t="shared" si="6"/>
        <v>231833.33333333334</v>
      </c>
      <c r="Q148" s="751">
        <f t="shared" si="7"/>
        <v>232000</v>
      </c>
      <c r="U148" s="751"/>
      <c r="V148" s="988"/>
      <c r="W148" s="1024"/>
      <c r="AY148" s="845"/>
      <c r="AZ148" s="845"/>
      <c r="BA148" s="845"/>
      <c r="BB148" s="845"/>
      <c r="BC148" s="845"/>
      <c r="BD148" s="845"/>
      <c r="BE148" s="845"/>
      <c r="BF148" s="845"/>
      <c r="BG148" s="845"/>
      <c r="BH148" s="845"/>
      <c r="BI148" s="845"/>
      <c r="BJ148" s="845"/>
      <c r="BK148" s="845"/>
      <c r="BL148" s="845"/>
      <c r="BM148" s="845"/>
      <c r="BN148" s="845"/>
      <c r="BO148" s="845"/>
      <c r="BP148" s="845"/>
      <c r="BQ148" s="845"/>
      <c r="BR148" s="845"/>
      <c r="BS148" s="845"/>
      <c r="BT148" s="845"/>
      <c r="BU148" s="845"/>
      <c r="BV148" s="845"/>
      <c r="BW148" s="845"/>
      <c r="BX148" s="845"/>
      <c r="BY148" s="845"/>
      <c r="BZ148" s="845"/>
      <c r="CA148" s="845"/>
      <c r="CB148" s="845"/>
      <c r="CC148" s="845"/>
    </row>
    <row r="149" spans="1:81" ht="12.75" customHeight="1">
      <c r="A149" s="976" t="s">
        <v>3896</v>
      </c>
      <c r="B149" s="976" t="s">
        <v>1107</v>
      </c>
      <c r="C149" s="977">
        <v>1342400934</v>
      </c>
      <c r="D149" s="976" t="s">
        <v>122</v>
      </c>
      <c r="E149" s="976">
        <v>81</v>
      </c>
      <c r="F149" s="976">
        <v>81</v>
      </c>
      <c r="G149" s="976">
        <v>60.75</v>
      </c>
      <c r="H149" s="976">
        <v>90.203999999999994</v>
      </c>
      <c r="I149" s="976"/>
      <c r="J149" s="1040">
        <v>-29.5</v>
      </c>
      <c r="K149" s="976">
        <v>60.703999999999994</v>
      </c>
      <c r="L149" s="978">
        <v>-4.600000000000648E-2</v>
      </c>
      <c r="M149" s="976" t="s">
        <v>3589</v>
      </c>
      <c r="N149" s="976">
        <v>80.938666666666649</v>
      </c>
      <c r="O149" s="735">
        <f t="shared" si="8"/>
        <v>-6.1333333333351447E-2</v>
      </c>
      <c r="P149" s="738">
        <f t="shared" si="6"/>
        <v>80938.666666666642</v>
      </c>
      <c r="Q149" s="751">
        <f t="shared" si="7"/>
        <v>81000</v>
      </c>
      <c r="U149" s="751"/>
      <c r="V149" s="988"/>
      <c r="W149" s="1024"/>
      <c r="AY149" s="845"/>
      <c r="AZ149" s="845"/>
      <c r="BA149" s="845"/>
      <c r="BB149" s="845"/>
      <c r="BC149" s="845"/>
      <c r="BD149" s="845"/>
      <c r="BE149" s="845"/>
      <c r="BF149" s="845"/>
      <c r="BG149" s="845"/>
      <c r="BH149" s="845"/>
      <c r="BI149" s="845"/>
      <c r="BJ149" s="845"/>
      <c r="BK149" s="845"/>
      <c r="BL149" s="845"/>
      <c r="BM149" s="845"/>
      <c r="BN149" s="845"/>
      <c r="BO149" s="845"/>
      <c r="BP149" s="845"/>
      <c r="BQ149" s="845"/>
      <c r="BR149" s="845"/>
      <c r="BS149" s="845"/>
      <c r="BT149" s="845"/>
      <c r="BU149" s="845"/>
      <c r="BV149" s="845"/>
      <c r="BW149" s="845"/>
      <c r="BX149" s="845"/>
      <c r="BY149" s="845"/>
      <c r="BZ149" s="845"/>
      <c r="CA149" s="845"/>
      <c r="CB149" s="845"/>
      <c r="CC149" s="845"/>
    </row>
    <row r="150" spans="1:81" ht="13.5" customHeight="1">
      <c r="A150" s="976" t="s">
        <v>3897</v>
      </c>
      <c r="B150" s="976" t="s">
        <v>1107</v>
      </c>
      <c r="C150" s="977">
        <v>1342400935</v>
      </c>
      <c r="D150" s="976" t="s">
        <v>123</v>
      </c>
      <c r="E150" s="976">
        <v>756</v>
      </c>
      <c r="F150" s="976">
        <v>756</v>
      </c>
      <c r="G150" s="976">
        <v>567</v>
      </c>
      <c r="H150" s="976">
        <v>437.29300000000001</v>
      </c>
      <c r="I150" s="976"/>
      <c r="J150" s="1019">
        <v>130</v>
      </c>
      <c r="K150" s="976">
        <v>567.29300000000001</v>
      </c>
      <c r="L150" s="978">
        <v>0.29300000000000637</v>
      </c>
      <c r="M150" s="976" t="s">
        <v>3589</v>
      </c>
      <c r="N150" s="976">
        <v>756.39066666666668</v>
      </c>
      <c r="O150" s="735">
        <f t="shared" si="8"/>
        <v>0.39066666666667516</v>
      </c>
      <c r="P150" s="738">
        <f t="shared" si="6"/>
        <v>756390.66666666663</v>
      </c>
      <c r="Q150" s="751">
        <f t="shared" si="7"/>
        <v>756000</v>
      </c>
      <c r="U150" s="751"/>
      <c r="V150" s="988"/>
      <c r="W150" s="1024"/>
      <c r="AY150" s="845"/>
      <c r="AZ150" s="845"/>
      <c r="BA150" s="845"/>
      <c r="BB150" s="845"/>
      <c r="BC150" s="845"/>
      <c r="BD150" s="845"/>
      <c r="BE150" s="845"/>
      <c r="BF150" s="845"/>
      <c r="BG150" s="845"/>
      <c r="BH150" s="845"/>
      <c r="BI150" s="845"/>
      <c r="BJ150" s="845"/>
      <c r="BK150" s="845"/>
      <c r="BL150" s="845"/>
      <c r="BM150" s="845"/>
      <c r="BN150" s="845"/>
      <c r="BO150" s="845"/>
      <c r="BP150" s="845"/>
      <c r="BQ150" s="845"/>
      <c r="BR150" s="845"/>
      <c r="BS150" s="845"/>
      <c r="BT150" s="845"/>
      <c r="BU150" s="845"/>
      <c r="BV150" s="845"/>
      <c r="BW150" s="845"/>
      <c r="BX150" s="845"/>
      <c r="BY150" s="845"/>
      <c r="BZ150" s="845"/>
      <c r="CA150" s="845"/>
      <c r="CB150" s="845"/>
      <c r="CC150" s="845"/>
    </row>
    <row r="151" spans="1:81" ht="12.75" customHeight="1">
      <c r="A151" s="976" t="s">
        <v>3895</v>
      </c>
      <c r="B151" s="976" t="s">
        <v>1107</v>
      </c>
      <c r="C151" s="977">
        <v>1342400936</v>
      </c>
      <c r="D151" s="976" t="s">
        <v>124</v>
      </c>
      <c r="E151" s="976">
        <v>314</v>
      </c>
      <c r="F151" s="976">
        <v>314</v>
      </c>
      <c r="G151" s="976">
        <v>235.5</v>
      </c>
      <c r="H151" s="976">
        <v>243.24700000000001</v>
      </c>
      <c r="I151" s="976"/>
      <c r="J151" s="976">
        <v>0</v>
      </c>
      <c r="K151" s="976">
        <v>243.24700000000001</v>
      </c>
      <c r="L151" s="978">
        <v>7.7470000000000141</v>
      </c>
      <c r="M151" s="976" t="s">
        <v>3589</v>
      </c>
      <c r="N151" s="976">
        <v>324.32933333333335</v>
      </c>
      <c r="O151" s="735">
        <f t="shared" si="8"/>
        <v>10.329333333333352</v>
      </c>
      <c r="P151" s="738">
        <f t="shared" si="6"/>
        <v>324329.33333333337</v>
      </c>
      <c r="Q151" s="751">
        <f t="shared" si="7"/>
        <v>324000</v>
      </c>
      <c r="U151" s="751"/>
      <c r="V151" s="988"/>
      <c r="W151" s="1024"/>
      <c r="AY151" s="845"/>
      <c r="AZ151" s="845"/>
      <c r="BA151" s="845"/>
      <c r="BB151" s="845"/>
      <c r="BC151" s="845"/>
      <c r="BD151" s="845"/>
      <c r="BE151" s="845"/>
      <c r="BF151" s="845"/>
      <c r="BG151" s="845"/>
      <c r="BH151" s="845"/>
      <c r="BI151" s="845"/>
      <c r="BJ151" s="845"/>
      <c r="BK151" s="845"/>
      <c r="BL151" s="845"/>
      <c r="BM151" s="845"/>
      <c r="BN151" s="845"/>
      <c r="BO151" s="845"/>
      <c r="BP151" s="845"/>
      <c r="BQ151" s="845"/>
      <c r="BR151" s="845"/>
      <c r="BS151" s="845"/>
      <c r="BT151" s="845"/>
      <c r="BU151" s="845"/>
      <c r="BV151" s="845"/>
      <c r="BW151" s="845"/>
      <c r="BX151" s="845"/>
      <c r="BY151" s="845"/>
      <c r="BZ151" s="845"/>
      <c r="CA151" s="845"/>
      <c r="CB151" s="845"/>
      <c r="CC151" s="845"/>
    </row>
    <row r="152" spans="1:81" ht="12.75" customHeight="1">
      <c r="A152" s="976" t="s">
        <v>3898</v>
      </c>
      <c r="B152" s="976" t="s">
        <v>1107</v>
      </c>
      <c r="C152" s="999">
        <v>1342400938</v>
      </c>
      <c r="D152" s="999" t="s">
        <v>3232</v>
      </c>
      <c r="E152" s="976">
        <v>0</v>
      </c>
      <c r="F152" s="976">
        <v>0</v>
      </c>
      <c r="G152" s="976">
        <v>0</v>
      </c>
      <c r="H152" s="976">
        <v>0</v>
      </c>
      <c r="I152" s="976"/>
      <c r="J152" s="976">
        <v>0</v>
      </c>
      <c r="K152" s="976">
        <v>0</v>
      </c>
      <c r="L152" s="978">
        <v>0</v>
      </c>
      <c r="M152" s="976" t="s">
        <v>3589</v>
      </c>
      <c r="N152" s="976">
        <v>0</v>
      </c>
      <c r="O152" s="735">
        <f t="shared" si="8"/>
        <v>0</v>
      </c>
      <c r="P152" s="738">
        <f t="shared" si="6"/>
        <v>0</v>
      </c>
      <c r="Q152" s="751">
        <f t="shared" si="7"/>
        <v>0</v>
      </c>
      <c r="U152" s="751"/>
      <c r="V152" s="988"/>
      <c r="W152" s="1024"/>
      <c r="AY152" s="845"/>
      <c r="AZ152" s="845"/>
      <c r="BA152" s="845"/>
      <c r="BB152" s="845"/>
      <c r="BC152" s="845"/>
      <c r="BD152" s="845"/>
      <c r="BE152" s="845"/>
      <c r="BF152" s="845"/>
      <c r="BG152" s="845"/>
      <c r="BH152" s="845"/>
      <c r="BI152" s="845"/>
      <c r="BJ152" s="845"/>
      <c r="BK152" s="845"/>
      <c r="BL152" s="845"/>
      <c r="BM152" s="845"/>
      <c r="BN152" s="845"/>
      <c r="BO152" s="845"/>
      <c r="BP152" s="845"/>
      <c r="BQ152" s="845"/>
      <c r="BR152" s="845"/>
      <c r="BS152" s="845"/>
      <c r="BT152" s="845"/>
      <c r="BU152" s="845"/>
      <c r="BV152" s="845"/>
      <c r="BW152" s="845"/>
      <c r="BX152" s="845"/>
      <c r="BY152" s="845"/>
      <c r="BZ152" s="845"/>
      <c r="CA152" s="845"/>
      <c r="CB152" s="845"/>
      <c r="CC152" s="845"/>
    </row>
    <row r="153" spans="1:81" ht="12.75" customHeight="1">
      <c r="A153" s="976" t="s">
        <v>3899</v>
      </c>
      <c r="B153" s="976" t="s">
        <v>1107</v>
      </c>
      <c r="C153" s="977">
        <v>1342400939</v>
      </c>
      <c r="D153" s="976" t="s">
        <v>3233</v>
      </c>
      <c r="E153" s="976">
        <v>0</v>
      </c>
      <c r="F153" s="976">
        <v>0</v>
      </c>
      <c r="G153" s="976">
        <v>0</v>
      </c>
      <c r="H153" s="976">
        <v>0</v>
      </c>
      <c r="I153" s="976"/>
      <c r="J153" s="976">
        <v>0</v>
      </c>
      <c r="K153" s="976">
        <v>0</v>
      </c>
      <c r="L153" s="978">
        <v>0</v>
      </c>
      <c r="M153" s="976" t="s">
        <v>3589</v>
      </c>
      <c r="N153" s="976">
        <v>0</v>
      </c>
      <c r="O153" s="735">
        <f t="shared" si="8"/>
        <v>0</v>
      </c>
      <c r="P153" s="738">
        <f t="shared" si="6"/>
        <v>0</v>
      </c>
      <c r="Q153" s="751">
        <f t="shared" si="7"/>
        <v>0</v>
      </c>
      <c r="U153" s="751"/>
      <c r="V153" s="988"/>
      <c r="W153" s="1024"/>
      <c r="AY153" s="845"/>
      <c r="AZ153" s="845"/>
      <c r="BA153" s="845"/>
      <c r="BB153" s="845"/>
      <c r="BC153" s="845"/>
      <c r="BD153" s="845"/>
      <c r="BE153" s="845"/>
      <c r="BF153" s="845"/>
      <c r="BG153" s="845"/>
      <c r="BH153" s="845"/>
      <c r="BI153" s="845"/>
      <c r="BJ153" s="845"/>
      <c r="BK153" s="845"/>
      <c r="BL153" s="845"/>
      <c r="BM153" s="845"/>
      <c r="BN153" s="845"/>
      <c r="BO153" s="845"/>
      <c r="BP153" s="845"/>
      <c r="BQ153" s="845"/>
      <c r="BR153" s="845"/>
      <c r="BS153" s="845"/>
      <c r="BT153" s="845"/>
      <c r="BU153" s="845"/>
      <c r="BV153" s="845"/>
      <c r="BW153" s="845"/>
      <c r="BX153" s="845"/>
      <c r="BY153" s="845"/>
      <c r="BZ153" s="845"/>
      <c r="CA153" s="845"/>
      <c r="CB153" s="845"/>
      <c r="CC153" s="845"/>
    </row>
    <row r="154" spans="1:81" ht="12.75" customHeight="1">
      <c r="A154" s="976" t="s">
        <v>3898</v>
      </c>
      <c r="B154" s="976" t="s">
        <v>1107</v>
      </c>
      <c r="C154" s="977">
        <v>1342410938</v>
      </c>
      <c r="D154" s="976" t="s">
        <v>125</v>
      </c>
      <c r="E154" s="976">
        <v>258</v>
      </c>
      <c r="F154" s="976">
        <v>258</v>
      </c>
      <c r="G154" s="976">
        <v>193.5</v>
      </c>
      <c r="H154" s="976">
        <v>201.68799999999999</v>
      </c>
      <c r="I154" s="976"/>
      <c r="J154" s="1040">
        <v>-49</v>
      </c>
      <c r="K154" s="976">
        <v>152.68799999999999</v>
      </c>
      <c r="L154" s="978">
        <v>-40.812000000000012</v>
      </c>
      <c r="M154" s="976" t="s">
        <v>3589</v>
      </c>
      <c r="N154" s="976">
        <v>203.58399999999997</v>
      </c>
      <c r="O154" s="735">
        <f t="shared" si="8"/>
        <v>-54.416000000000025</v>
      </c>
      <c r="P154" s="738">
        <f t="shared" si="6"/>
        <v>203583.99999999997</v>
      </c>
      <c r="Q154" s="751">
        <f t="shared" si="7"/>
        <v>204000</v>
      </c>
      <c r="U154" s="751"/>
      <c r="V154" s="988"/>
      <c r="W154" s="1024"/>
      <c r="AY154" s="845"/>
      <c r="AZ154" s="845"/>
      <c r="BA154" s="845"/>
      <c r="BB154" s="845"/>
      <c r="BC154" s="845"/>
      <c r="BD154" s="845"/>
      <c r="BE154" s="845"/>
      <c r="BF154" s="845"/>
      <c r="BG154" s="845"/>
      <c r="BH154" s="845"/>
      <c r="BI154" s="845"/>
      <c r="BJ154" s="845"/>
      <c r="BK154" s="845"/>
      <c r="BL154" s="845"/>
      <c r="BM154" s="845"/>
      <c r="BN154" s="845"/>
      <c r="BO154" s="845"/>
      <c r="BP154" s="845"/>
      <c r="BQ154" s="845"/>
      <c r="BR154" s="845"/>
      <c r="BS154" s="845"/>
      <c r="BT154" s="845"/>
      <c r="BU154" s="845"/>
      <c r="BV154" s="845"/>
      <c r="BW154" s="845"/>
      <c r="BX154" s="845"/>
      <c r="BY154" s="845"/>
      <c r="BZ154" s="845"/>
      <c r="CA154" s="845"/>
      <c r="CB154" s="845"/>
      <c r="CC154" s="845"/>
    </row>
    <row r="155" spans="1:81" ht="12.75" customHeight="1">
      <c r="A155" s="976" t="s">
        <v>3891</v>
      </c>
      <c r="B155" s="976" t="s">
        <v>1107</v>
      </c>
      <c r="C155" s="977">
        <v>1343500930</v>
      </c>
      <c r="D155" s="976" t="s">
        <v>128</v>
      </c>
      <c r="E155" s="976">
        <v>583</v>
      </c>
      <c r="F155" s="976">
        <v>583</v>
      </c>
      <c r="G155" s="976">
        <v>437.25</v>
      </c>
      <c r="H155" s="976">
        <v>412.15899999999999</v>
      </c>
      <c r="I155" s="976"/>
      <c r="J155" s="1019">
        <v>25</v>
      </c>
      <c r="K155" s="976">
        <v>437.15899999999999</v>
      </c>
      <c r="L155" s="978">
        <v>-9.1000000000008185E-2</v>
      </c>
      <c r="M155" s="976" t="s">
        <v>3589</v>
      </c>
      <c r="N155" s="976">
        <v>582.87866666666662</v>
      </c>
      <c r="O155" s="735">
        <f t="shared" si="8"/>
        <v>-0.12133333333338214</v>
      </c>
      <c r="P155" s="738">
        <f t="shared" si="6"/>
        <v>582878.66666666663</v>
      </c>
      <c r="Q155" s="751">
        <f t="shared" si="7"/>
        <v>583000</v>
      </c>
      <c r="U155" s="751"/>
      <c r="V155" s="988"/>
      <c r="W155" s="1024"/>
      <c r="AY155" s="845"/>
      <c r="AZ155" s="845"/>
      <c r="BA155" s="845"/>
      <c r="BB155" s="845"/>
      <c r="BC155" s="845"/>
      <c r="BD155" s="845"/>
      <c r="BE155" s="845"/>
      <c r="BF155" s="845"/>
      <c r="BG155" s="845"/>
      <c r="BH155" s="845"/>
      <c r="BI155" s="845"/>
      <c r="BJ155" s="845"/>
      <c r="BK155" s="845"/>
      <c r="BL155" s="845"/>
      <c r="BM155" s="845"/>
      <c r="BN155" s="845"/>
      <c r="BO155" s="845"/>
      <c r="BP155" s="845"/>
      <c r="BQ155" s="845"/>
      <c r="BR155" s="845"/>
      <c r="BS155" s="845"/>
      <c r="BT155" s="845"/>
      <c r="BU155" s="845"/>
      <c r="BV155" s="845"/>
      <c r="BW155" s="845"/>
      <c r="BX155" s="845"/>
      <c r="BY155" s="845"/>
      <c r="BZ155" s="845"/>
      <c r="CA155" s="845"/>
      <c r="CB155" s="845"/>
      <c r="CC155" s="845"/>
    </row>
    <row r="156" spans="1:81" ht="12.75" customHeight="1">
      <c r="A156" s="976" t="s">
        <v>3892</v>
      </c>
      <c r="B156" s="976" t="s">
        <v>1107</v>
      </c>
      <c r="C156" s="977">
        <v>1343500931</v>
      </c>
      <c r="D156" s="976" t="s">
        <v>129</v>
      </c>
      <c r="E156" s="976">
        <v>198</v>
      </c>
      <c r="F156" s="976">
        <v>198</v>
      </c>
      <c r="G156" s="976">
        <v>148.5</v>
      </c>
      <c r="H156" s="976">
        <v>39.844000000000001</v>
      </c>
      <c r="I156" s="976"/>
      <c r="J156" s="1019">
        <v>89</v>
      </c>
      <c r="K156" s="976">
        <v>128.84399999999999</v>
      </c>
      <c r="L156" s="978">
        <v>-19.656000000000006</v>
      </c>
      <c r="M156" s="976" t="s">
        <v>3589</v>
      </c>
      <c r="N156" s="976">
        <v>171.792</v>
      </c>
      <c r="O156" s="735">
        <f t="shared" si="8"/>
        <v>-26.207999999999998</v>
      </c>
      <c r="P156" s="738">
        <f t="shared" si="6"/>
        <v>171792</v>
      </c>
      <c r="Q156" s="751">
        <f t="shared" si="7"/>
        <v>172000</v>
      </c>
      <c r="U156" s="751"/>
      <c r="V156" s="988"/>
      <c r="W156" s="1024"/>
      <c r="AY156" s="845"/>
      <c r="AZ156" s="845"/>
      <c r="BA156" s="845"/>
      <c r="BB156" s="845"/>
      <c r="BC156" s="845"/>
      <c r="BD156" s="845"/>
      <c r="BE156" s="845"/>
      <c r="BF156" s="845"/>
      <c r="BG156" s="845"/>
      <c r="BH156" s="845"/>
      <c r="BI156" s="845"/>
      <c r="BJ156" s="845"/>
      <c r="BK156" s="845"/>
      <c r="BL156" s="845"/>
      <c r="BM156" s="845"/>
      <c r="BN156" s="845"/>
      <c r="BO156" s="845"/>
      <c r="BP156" s="845"/>
      <c r="BQ156" s="845"/>
      <c r="BR156" s="845"/>
      <c r="BS156" s="845"/>
      <c r="BT156" s="845"/>
      <c r="BU156" s="845"/>
      <c r="BV156" s="845"/>
      <c r="BW156" s="845"/>
      <c r="BX156" s="845"/>
      <c r="BY156" s="845"/>
      <c r="BZ156" s="845"/>
      <c r="CA156" s="845"/>
      <c r="CB156" s="845"/>
      <c r="CC156" s="845"/>
    </row>
    <row r="157" spans="1:81" ht="12.75" customHeight="1">
      <c r="A157" s="976" t="s">
        <v>3893</v>
      </c>
      <c r="B157" s="976" t="s">
        <v>1107</v>
      </c>
      <c r="C157" s="977">
        <v>1343500932</v>
      </c>
      <c r="D157" s="976" t="s">
        <v>130</v>
      </c>
      <c r="E157" s="976">
        <v>1408</v>
      </c>
      <c r="F157" s="976">
        <v>1408</v>
      </c>
      <c r="G157" s="976">
        <v>1056</v>
      </c>
      <c r="H157" s="976">
        <v>685.10599999999999</v>
      </c>
      <c r="I157" s="976"/>
      <c r="J157" s="1019">
        <v>371</v>
      </c>
      <c r="K157" s="976">
        <v>1056.106</v>
      </c>
      <c r="L157" s="978">
        <v>0.10599999999999454</v>
      </c>
      <c r="M157" s="976" t="s">
        <v>3589</v>
      </c>
      <c r="N157" s="976">
        <v>1408.1413333333335</v>
      </c>
      <c r="O157" s="735">
        <f t="shared" si="8"/>
        <v>0.14133333333347764</v>
      </c>
      <c r="P157" s="738">
        <f t="shared" si="6"/>
        <v>1408141.3333333335</v>
      </c>
      <c r="Q157" s="751">
        <f t="shared" si="7"/>
        <v>1408000</v>
      </c>
      <c r="U157" s="751"/>
      <c r="V157" s="988"/>
      <c r="W157" s="1024"/>
      <c r="AY157" s="845"/>
      <c r="AZ157" s="845"/>
      <c r="BA157" s="845"/>
      <c r="BB157" s="845"/>
      <c r="BC157" s="845"/>
      <c r="BD157" s="845"/>
      <c r="BE157" s="845"/>
      <c r="BF157" s="845"/>
      <c r="BG157" s="845"/>
      <c r="BH157" s="845"/>
      <c r="BI157" s="845"/>
      <c r="BJ157" s="845"/>
      <c r="BK157" s="845"/>
      <c r="BL157" s="845"/>
      <c r="BM157" s="845"/>
      <c r="BN157" s="845"/>
      <c r="BO157" s="845"/>
      <c r="BP157" s="845"/>
      <c r="BQ157" s="845"/>
      <c r="BR157" s="845"/>
      <c r="BS157" s="845"/>
      <c r="BT157" s="845"/>
      <c r="BU157" s="845"/>
      <c r="BV157" s="845"/>
      <c r="BW157" s="845"/>
      <c r="BX157" s="845"/>
      <c r="BY157" s="845"/>
      <c r="BZ157" s="845"/>
      <c r="CA157" s="845"/>
      <c r="CB157" s="845"/>
      <c r="CC157" s="845"/>
    </row>
    <row r="158" spans="1:81" ht="12.75" customHeight="1">
      <c r="A158" s="976" t="s">
        <v>3896</v>
      </c>
      <c r="B158" s="976" t="s">
        <v>1107</v>
      </c>
      <c r="C158" s="977">
        <v>1343500934</v>
      </c>
      <c r="D158" s="976" t="s">
        <v>131</v>
      </c>
      <c r="E158" s="976">
        <v>225</v>
      </c>
      <c r="F158" s="976">
        <v>225</v>
      </c>
      <c r="G158" s="976">
        <v>168.75</v>
      </c>
      <c r="H158" s="976">
        <v>195.71799999999999</v>
      </c>
      <c r="I158" s="976"/>
      <c r="J158" s="1040">
        <v>-27</v>
      </c>
      <c r="K158" s="976">
        <v>168.71799999999999</v>
      </c>
      <c r="L158" s="978">
        <v>-3.2000000000010687E-2</v>
      </c>
      <c r="M158" s="976" t="s">
        <v>3589</v>
      </c>
      <c r="N158" s="976">
        <v>224.95733333333334</v>
      </c>
      <c r="O158" s="735">
        <f t="shared" si="8"/>
        <v>-4.2666666666661968E-2</v>
      </c>
      <c r="P158" s="738">
        <f t="shared" si="6"/>
        <v>224957.33333333334</v>
      </c>
      <c r="Q158" s="751">
        <f t="shared" si="7"/>
        <v>225000</v>
      </c>
      <c r="U158" s="751"/>
      <c r="V158" s="988"/>
      <c r="W158" s="1024"/>
      <c r="AY158" s="845"/>
      <c r="AZ158" s="845"/>
      <c r="BA158" s="845"/>
      <c r="BB158" s="845"/>
      <c r="BC158" s="845"/>
      <c r="BD158" s="845"/>
      <c r="BE158" s="845"/>
      <c r="BF158" s="845"/>
      <c r="BG158" s="845"/>
      <c r="BH158" s="845"/>
      <c r="BI158" s="845"/>
      <c r="BJ158" s="845"/>
      <c r="BK158" s="845"/>
      <c r="BL158" s="845"/>
      <c r="BM158" s="845"/>
      <c r="BN158" s="845"/>
      <c r="BO158" s="845"/>
      <c r="BP158" s="845"/>
      <c r="BQ158" s="845"/>
      <c r="BR158" s="845"/>
      <c r="BS158" s="845"/>
      <c r="BT158" s="845"/>
      <c r="BU158" s="845"/>
      <c r="BV158" s="845"/>
      <c r="BW158" s="845"/>
      <c r="BX158" s="845"/>
      <c r="BY158" s="845"/>
      <c r="BZ158" s="845"/>
      <c r="CA158" s="845"/>
      <c r="CB158" s="845"/>
      <c r="CC158" s="845"/>
    </row>
    <row r="159" spans="1:81" ht="12.75" customHeight="1">
      <c r="A159" s="976" t="s">
        <v>3895</v>
      </c>
      <c r="B159" s="976" t="s">
        <v>1107</v>
      </c>
      <c r="C159" s="977">
        <v>1343500936</v>
      </c>
      <c r="D159" s="976" t="s">
        <v>3234</v>
      </c>
      <c r="E159" s="976">
        <v>0</v>
      </c>
      <c r="F159" s="976">
        <v>0</v>
      </c>
      <c r="G159" s="976">
        <v>0</v>
      </c>
      <c r="H159" s="976">
        <v>0</v>
      </c>
      <c r="I159" s="976"/>
      <c r="J159" s="976">
        <v>0</v>
      </c>
      <c r="K159" s="976">
        <v>0</v>
      </c>
      <c r="L159" s="978">
        <v>0</v>
      </c>
      <c r="M159" s="976" t="s">
        <v>3589</v>
      </c>
      <c r="N159" s="976">
        <v>0</v>
      </c>
      <c r="O159" s="735">
        <f t="shared" si="8"/>
        <v>0</v>
      </c>
      <c r="P159" s="738">
        <f t="shared" si="6"/>
        <v>0</v>
      </c>
      <c r="Q159" s="751">
        <f t="shared" si="7"/>
        <v>0</v>
      </c>
      <c r="U159" s="751"/>
      <c r="V159" s="988"/>
      <c r="W159" s="1024"/>
      <c r="AY159" s="845"/>
      <c r="AZ159" s="845"/>
      <c r="BA159" s="845"/>
      <c r="BB159" s="845"/>
      <c r="BC159" s="845"/>
      <c r="BD159" s="845"/>
      <c r="BE159" s="845"/>
      <c r="BF159" s="845"/>
      <c r="BG159" s="845"/>
      <c r="BH159" s="845"/>
      <c r="BI159" s="845"/>
      <c r="BJ159" s="845"/>
      <c r="BK159" s="845"/>
      <c r="BL159" s="845"/>
      <c r="BM159" s="845"/>
      <c r="BN159" s="845"/>
      <c r="BO159" s="845"/>
      <c r="BP159" s="845"/>
      <c r="BQ159" s="845"/>
      <c r="BR159" s="845"/>
      <c r="BS159" s="845"/>
      <c r="BT159" s="845"/>
      <c r="BU159" s="845"/>
      <c r="BV159" s="845"/>
      <c r="BW159" s="845"/>
      <c r="BX159" s="845"/>
      <c r="BY159" s="845"/>
      <c r="BZ159" s="845"/>
      <c r="CA159" s="845"/>
      <c r="CB159" s="845"/>
      <c r="CC159" s="845"/>
    </row>
    <row r="160" spans="1:81" ht="12.75" customHeight="1">
      <c r="A160" s="976" t="s">
        <v>3891</v>
      </c>
      <c r="B160" s="976" t="s">
        <v>1107</v>
      </c>
      <c r="C160" s="977">
        <v>1343510930</v>
      </c>
      <c r="D160" s="976" t="s">
        <v>3235</v>
      </c>
      <c r="E160" s="976">
        <v>0</v>
      </c>
      <c r="F160" s="976">
        <v>0</v>
      </c>
      <c r="G160" s="976">
        <v>0</v>
      </c>
      <c r="H160" s="976">
        <v>0</v>
      </c>
      <c r="I160" s="976"/>
      <c r="J160" s="976">
        <v>0</v>
      </c>
      <c r="K160" s="976">
        <v>0</v>
      </c>
      <c r="L160" s="978">
        <v>0</v>
      </c>
      <c r="M160" s="976" t="s">
        <v>3589</v>
      </c>
      <c r="N160" s="976">
        <v>0</v>
      </c>
      <c r="O160" s="735">
        <f t="shared" si="8"/>
        <v>0</v>
      </c>
      <c r="P160" s="738">
        <f t="shared" si="6"/>
        <v>0</v>
      </c>
      <c r="Q160" s="751">
        <f t="shared" si="7"/>
        <v>0</v>
      </c>
      <c r="U160" s="751"/>
      <c r="V160" s="988"/>
      <c r="W160" s="1024"/>
      <c r="AY160" s="845"/>
      <c r="AZ160" s="845"/>
      <c r="BA160" s="845"/>
      <c r="BB160" s="845"/>
      <c r="BC160" s="845"/>
      <c r="BD160" s="845"/>
      <c r="BE160" s="845"/>
      <c r="BF160" s="845"/>
      <c r="BG160" s="845"/>
      <c r="BH160" s="845"/>
      <c r="BI160" s="845"/>
      <c r="BJ160" s="845"/>
      <c r="BK160" s="845"/>
      <c r="BL160" s="845"/>
      <c r="BM160" s="845"/>
      <c r="BN160" s="845"/>
      <c r="BO160" s="845"/>
      <c r="BP160" s="845"/>
      <c r="BQ160" s="845"/>
      <c r="BR160" s="845"/>
      <c r="BS160" s="845"/>
      <c r="BT160" s="845"/>
      <c r="BU160" s="845"/>
      <c r="BV160" s="845"/>
      <c r="BW160" s="845"/>
      <c r="BX160" s="845"/>
      <c r="BY160" s="845"/>
      <c r="BZ160" s="845"/>
      <c r="CA160" s="845"/>
      <c r="CB160" s="845"/>
      <c r="CC160" s="845"/>
    </row>
    <row r="161" spans="1:81" ht="12.75" customHeight="1">
      <c r="A161" s="976" t="s">
        <v>3897</v>
      </c>
      <c r="B161" s="976" t="s">
        <v>1107</v>
      </c>
      <c r="C161" s="977">
        <v>1343600935</v>
      </c>
      <c r="D161" s="976" t="s">
        <v>735</v>
      </c>
      <c r="E161" s="976">
        <v>0</v>
      </c>
      <c r="F161" s="976">
        <v>0</v>
      </c>
      <c r="G161" s="976">
        <v>0</v>
      </c>
      <c r="H161" s="976">
        <v>0</v>
      </c>
      <c r="I161" s="976"/>
      <c r="J161" s="976">
        <v>0</v>
      </c>
      <c r="K161" s="976">
        <v>0</v>
      </c>
      <c r="L161" s="978">
        <v>0</v>
      </c>
      <c r="M161" s="976" t="s">
        <v>3589</v>
      </c>
      <c r="N161" s="976">
        <v>0</v>
      </c>
      <c r="O161" s="735">
        <f t="shared" si="8"/>
        <v>0</v>
      </c>
      <c r="P161" s="738">
        <f t="shared" si="6"/>
        <v>0</v>
      </c>
      <c r="Q161" s="751">
        <f t="shared" si="7"/>
        <v>0</v>
      </c>
      <c r="U161" s="751"/>
      <c r="V161" s="988"/>
      <c r="W161" s="1024"/>
      <c r="AY161" s="845"/>
      <c r="AZ161" s="845"/>
      <c r="BA161" s="845"/>
      <c r="BB161" s="845"/>
      <c r="BC161" s="845"/>
      <c r="BD161" s="845"/>
      <c r="BE161" s="845"/>
      <c r="BF161" s="845"/>
      <c r="BG161" s="845"/>
      <c r="BH161" s="845"/>
      <c r="BI161" s="845"/>
      <c r="BJ161" s="845"/>
      <c r="BK161" s="845"/>
      <c r="BL161" s="845"/>
      <c r="BM161" s="845"/>
      <c r="BN161" s="845"/>
      <c r="BO161" s="845"/>
      <c r="BP161" s="845"/>
      <c r="BQ161" s="845"/>
      <c r="BR161" s="845"/>
      <c r="BS161" s="845"/>
      <c r="BT161" s="845"/>
      <c r="BU161" s="845"/>
      <c r="BV161" s="845"/>
      <c r="BW161" s="845"/>
      <c r="BX161" s="845"/>
      <c r="BY161" s="845"/>
      <c r="BZ161" s="845"/>
      <c r="CA161" s="845"/>
      <c r="CB161" s="845"/>
      <c r="CC161" s="845"/>
    </row>
    <row r="162" spans="1:81" ht="12.75" customHeight="1">
      <c r="A162" s="976" t="s">
        <v>3891</v>
      </c>
      <c r="B162" s="976" t="s">
        <v>1107</v>
      </c>
      <c r="C162" s="977">
        <v>1343800930</v>
      </c>
      <c r="D162" s="976" t="s">
        <v>133</v>
      </c>
      <c r="E162" s="976">
        <v>12250</v>
      </c>
      <c r="F162" s="976">
        <v>12250</v>
      </c>
      <c r="G162" s="976">
        <v>9187.5</v>
      </c>
      <c r="H162" s="976">
        <v>8302.7649999999994</v>
      </c>
      <c r="I162" s="976"/>
      <c r="J162" s="1019">
        <v>108</v>
      </c>
      <c r="K162" s="976">
        <v>8410.7649999999994</v>
      </c>
      <c r="L162" s="978">
        <v>-776.73500000000058</v>
      </c>
      <c r="M162" s="976" t="s">
        <v>3589</v>
      </c>
      <c r="N162" s="976">
        <v>11214.353333333333</v>
      </c>
      <c r="O162" s="735">
        <f t="shared" si="8"/>
        <v>-1035.6466666666674</v>
      </c>
      <c r="P162" s="738">
        <f t="shared" si="6"/>
        <v>11214353.333333332</v>
      </c>
      <c r="Q162" s="751">
        <f t="shared" si="7"/>
        <v>11214000</v>
      </c>
      <c r="U162" s="751"/>
      <c r="V162" s="988"/>
      <c r="W162" s="1024"/>
      <c r="AY162" s="845"/>
      <c r="AZ162" s="845"/>
      <c r="BA162" s="845"/>
      <c r="BB162" s="845"/>
      <c r="BC162" s="845"/>
      <c r="BD162" s="845"/>
      <c r="BE162" s="845"/>
      <c r="BF162" s="845"/>
      <c r="BG162" s="845"/>
      <c r="BH162" s="845"/>
      <c r="BI162" s="845"/>
      <c r="BJ162" s="845"/>
      <c r="BK162" s="845"/>
      <c r="BL162" s="845"/>
      <c r="BM162" s="845"/>
      <c r="BN162" s="845"/>
      <c r="BO162" s="845"/>
      <c r="BP162" s="845"/>
      <c r="BQ162" s="845"/>
      <c r="BR162" s="845"/>
      <c r="BS162" s="845"/>
      <c r="BT162" s="845"/>
      <c r="BU162" s="845"/>
      <c r="BV162" s="845"/>
      <c r="BW162" s="845"/>
      <c r="BX162" s="845"/>
      <c r="BY162" s="845"/>
      <c r="BZ162" s="845"/>
      <c r="CA162" s="845"/>
      <c r="CB162" s="845"/>
      <c r="CC162" s="845"/>
    </row>
    <row r="163" spans="1:81" ht="12.75" customHeight="1">
      <c r="A163" s="976" t="s">
        <v>3892</v>
      </c>
      <c r="B163" s="976" t="s">
        <v>1107</v>
      </c>
      <c r="C163" s="977">
        <v>1343800931</v>
      </c>
      <c r="D163" s="976" t="s">
        <v>134</v>
      </c>
      <c r="E163" s="976">
        <v>889</v>
      </c>
      <c r="F163" s="976">
        <v>889</v>
      </c>
      <c r="G163" s="976">
        <v>666.75</v>
      </c>
      <c r="H163" s="976">
        <v>652.5</v>
      </c>
      <c r="I163" s="976"/>
      <c r="J163" s="1019">
        <v>14</v>
      </c>
      <c r="K163" s="976">
        <v>666.5</v>
      </c>
      <c r="L163" s="978">
        <v>-0.25</v>
      </c>
      <c r="M163" s="976" t="s">
        <v>3589</v>
      </c>
      <c r="N163" s="976">
        <v>888.66666666666663</v>
      </c>
      <c r="O163" s="735">
        <f t="shared" si="8"/>
        <v>-0.33333333333337123</v>
      </c>
      <c r="P163" s="738">
        <f t="shared" si="6"/>
        <v>888666.66666666663</v>
      </c>
      <c r="Q163" s="751">
        <f t="shared" si="7"/>
        <v>889000</v>
      </c>
      <c r="U163" s="751"/>
      <c r="V163" s="988"/>
      <c r="W163" s="1024"/>
      <c r="AY163" s="845"/>
      <c r="AZ163" s="845"/>
      <c r="BA163" s="845"/>
      <c r="BB163" s="845"/>
      <c r="BC163" s="845"/>
      <c r="BD163" s="845"/>
      <c r="BE163" s="845"/>
      <c r="BF163" s="845"/>
      <c r="BG163" s="845"/>
      <c r="BH163" s="845"/>
      <c r="BI163" s="845"/>
      <c r="BJ163" s="845"/>
      <c r="BK163" s="845"/>
      <c r="BL163" s="845"/>
      <c r="BM163" s="845"/>
      <c r="BN163" s="845"/>
      <c r="BO163" s="845"/>
      <c r="BP163" s="845"/>
      <c r="BQ163" s="845"/>
      <c r="BR163" s="845"/>
      <c r="BS163" s="845"/>
      <c r="BT163" s="845"/>
      <c r="BU163" s="845"/>
      <c r="BV163" s="845"/>
      <c r="BW163" s="845"/>
      <c r="BX163" s="845"/>
      <c r="BY163" s="845"/>
      <c r="BZ163" s="845"/>
      <c r="CA163" s="845"/>
      <c r="CB163" s="845"/>
      <c r="CC163" s="845"/>
    </row>
    <row r="164" spans="1:81" ht="12.75" customHeight="1">
      <c r="A164" s="976" t="s">
        <v>3894</v>
      </c>
      <c r="B164" s="976" t="s">
        <v>1107</v>
      </c>
      <c r="C164" s="977">
        <v>1343800933</v>
      </c>
      <c r="D164" s="976" t="s">
        <v>737</v>
      </c>
      <c r="E164" s="976">
        <v>0</v>
      </c>
      <c r="F164" s="976">
        <v>0</v>
      </c>
      <c r="G164" s="976">
        <v>0</v>
      </c>
      <c r="H164" s="976">
        <v>0</v>
      </c>
      <c r="I164" s="976"/>
      <c r="J164" s="976">
        <v>0</v>
      </c>
      <c r="K164" s="976">
        <v>0</v>
      </c>
      <c r="L164" s="978">
        <v>0</v>
      </c>
      <c r="M164" s="976" t="s">
        <v>3589</v>
      </c>
      <c r="N164" s="976">
        <v>0</v>
      </c>
      <c r="O164" s="735">
        <f t="shared" si="8"/>
        <v>0</v>
      </c>
      <c r="P164" s="738">
        <f t="shared" si="6"/>
        <v>0</v>
      </c>
      <c r="Q164" s="751">
        <f t="shared" si="7"/>
        <v>0</v>
      </c>
      <c r="U164" s="751"/>
      <c r="V164" s="988"/>
      <c r="W164" s="1024"/>
      <c r="AY164" s="845"/>
      <c r="AZ164" s="845"/>
      <c r="BA164" s="845"/>
      <c r="BB164" s="845"/>
      <c r="BC164" s="845"/>
      <c r="BD164" s="845"/>
      <c r="BE164" s="845"/>
      <c r="BF164" s="845"/>
      <c r="BG164" s="845"/>
      <c r="BH164" s="845"/>
      <c r="BI164" s="845"/>
      <c r="BJ164" s="845"/>
      <c r="BK164" s="845"/>
      <c r="BL164" s="845"/>
      <c r="BM164" s="845"/>
      <c r="BN164" s="845"/>
      <c r="BO164" s="845"/>
      <c r="BP164" s="845"/>
      <c r="BQ164" s="845"/>
      <c r="BR164" s="845"/>
      <c r="BS164" s="845"/>
      <c r="BT164" s="845"/>
      <c r="BU164" s="845"/>
      <c r="BV164" s="845"/>
      <c r="BW164" s="845"/>
      <c r="BX164" s="845"/>
      <c r="BY164" s="845"/>
      <c r="BZ164" s="845"/>
      <c r="CA164" s="845"/>
      <c r="CB164" s="845"/>
      <c r="CC164" s="845"/>
    </row>
    <row r="165" spans="1:81" ht="12.75" customHeight="1">
      <c r="A165" s="976" t="s">
        <v>3896</v>
      </c>
      <c r="B165" s="976" t="s">
        <v>1107</v>
      </c>
      <c r="C165" s="977">
        <v>1343800934</v>
      </c>
      <c r="D165" s="976" t="s">
        <v>135</v>
      </c>
      <c r="E165" s="976">
        <v>671</v>
      </c>
      <c r="F165" s="976">
        <v>671</v>
      </c>
      <c r="G165" s="976">
        <v>503.25</v>
      </c>
      <c r="H165" s="976">
        <v>507.73399999999998</v>
      </c>
      <c r="I165" s="976"/>
      <c r="J165" s="1040">
        <v>-5</v>
      </c>
      <c r="K165" s="976">
        <v>502.73399999999998</v>
      </c>
      <c r="L165" s="978">
        <v>-0.51600000000001955</v>
      </c>
      <c r="M165" s="976" t="s">
        <v>3589</v>
      </c>
      <c r="N165" s="976">
        <v>670.31200000000001</v>
      </c>
      <c r="O165" s="735">
        <f t="shared" si="8"/>
        <v>-0.68799999999998818</v>
      </c>
      <c r="P165" s="738">
        <f t="shared" si="6"/>
        <v>670312</v>
      </c>
      <c r="Q165" s="751">
        <f t="shared" si="7"/>
        <v>670000</v>
      </c>
      <c r="U165" s="751"/>
      <c r="V165" s="988"/>
      <c r="W165" s="1024"/>
      <c r="X165" s="751">
        <f>W165-H165</f>
        <v>-507.73399999999998</v>
      </c>
      <c r="AY165" s="845"/>
      <c r="AZ165" s="845"/>
      <c r="BA165" s="845"/>
      <c r="BB165" s="845"/>
      <c r="BC165" s="845"/>
      <c r="BD165" s="845"/>
      <c r="BE165" s="845"/>
      <c r="BF165" s="845"/>
      <c r="BG165" s="845"/>
      <c r="BH165" s="845"/>
      <c r="BI165" s="845"/>
      <c r="BJ165" s="845"/>
      <c r="BK165" s="845"/>
      <c r="BL165" s="845"/>
      <c r="BM165" s="845"/>
      <c r="BN165" s="845"/>
      <c r="BO165" s="845"/>
      <c r="BP165" s="845"/>
      <c r="BQ165" s="845"/>
      <c r="BR165" s="845"/>
      <c r="BS165" s="845"/>
      <c r="BT165" s="845"/>
      <c r="BU165" s="845"/>
      <c r="BV165" s="845"/>
      <c r="BW165" s="845"/>
      <c r="BX165" s="845"/>
      <c r="BY165" s="845"/>
      <c r="BZ165" s="845"/>
      <c r="CA165" s="845"/>
      <c r="CB165" s="845"/>
      <c r="CC165" s="845"/>
    </row>
    <row r="166" spans="1:81" ht="12.75" customHeight="1">
      <c r="A166" s="976" t="s">
        <v>3891</v>
      </c>
      <c r="B166" s="976" t="s">
        <v>1107</v>
      </c>
      <c r="C166" s="977">
        <v>1343900930</v>
      </c>
      <c r="D166" s="976" t="s">
        <v>136</v>
      </c>
      <c r="E166" s="976">
        <v>2925</v>
      </c>
      <c r="F166" s="976">
        <v>2925</v>
      </c>
      <c r="G166" s="976">
        <v>2193.75</v>
      </c>
      <c r="H166" s="976">
        <v>2336.8809999999999</v>
      </c>
      <c r="I166" s="976"/>
      <c r="J166" s="1040">
        <v>-214</v>
      </c>
      <c r="K166" s="976">
        <v>2122.8809999999999</v>
      </c>
      <c r="L166" s="978">
        <v>-70.869000000000142</v>
      </c>
      <c r="M166" s="976" t="s">
        <v>3589</v>
      </c>
      <c r="N166" s="976">
        <v>2830.5079999999998</v>
      </c>
      <c r="O166" s="735">
        <f t="shared" si="8"/>
        <v>-94.492000000000189</v>
      </c>
      <c r="P166" s="738">
        <f t="shared" si="6"/>
        <v>2830508</v>
      </c>
      <c r="Q166" s="751">
        <f t="shared" si="7"/>
        <v>2831000</v>
      </c>
      <c r="U166" s="751"/>
      <c r="V166" s="988"/>
      <c r="W166" s="1024"/>
      <c r="AY166" s="845"/>
      <c r="AZ166" s="845"/>
      <c r="BA166" s="845"/>
      <c r="BB166" s="845"/>
      <c r="BC166" s="845"/>
      <c r="BD166" s="845"/>
      <c r="BE166" s="845"/>
      <c r="BF166" s="845"/>
      <c r="BG166" s="845"/>
      <c r="BH166" s="845"/>
      <c r="BI166" s="845"/>
      <c r="BJ166" s="845"/>
      <c r="BK166" s="845"/>
      <c r="BL166" s="845"/>
      <c r="BM166" s="845"/>
      <c r="BN166" s="845"/>
      <c r="BO166" s="845"/>
      <c r="BP166" s="845"/>
      <c r="BQ166" s="845"/>
      <c r="BR166" s="845"/>
      <c r="BS166" s="845"/>
      <c r="BT166" s="845"/>
      <c r="BU166" s="845"/>
      <c r="BV166" s="845"/>
      <c r="BW166" s="845"/>
      <c r="BX166" s="845"/>
      <c r="BY166" s="845"/>
      <c r="BZ166" s="845"/>
      <c r="CA166" s="845"/>
      <c r="CB166" s="845"/>
      <c r="CC166" s="845"/>
    </row>
    <row r="167" spans="1:81" ht="12.75" customHeight="1">
      <c r="A167" s="976" t="s">
        <v>3892</v>
      </c>
      <c r="B167" s="976" t="s">
        <v>1107</v>
      </c>
      <c r="C167" s="977">
        <v>1343900931</v>
      </c>
      <c r="D167" s="976" t="s">
        <v>137</v>
      </c>
      <c r="E167" s="976">
        <v>50</v>
      </c>
      <c r="F167" s="976">
        <v>50</v>
      </c>
      <c r="G167" s="976">
        <v>37.5</v>
      </c>
      <c r="H167" s="976">
        <v>37.502000000000002</v>
      </c>
      <c r="I167" s="976"/>
      <c r="J167" s="976">
        <v>0</v>
      </c>
      <c r="K167" s="976">
        <v>37.502000000000002</v>
      </c>
      <c r="L167" s="978">
        <v>2.0000000000024443E-3</v>
      </c>
      <c r="M167" s="976" t="s">
        <v>3589</v>
      </c>
      <c r="N167" s="976">
        <v>50.00266666666667</v>
      </c>
      <c r="O167" s="735">
        <f t="shared" si="8"/>
        <v>2.6666666666699257E-3</v>
      </c>
      <c r="P167" s="738">
        <f t="shared" si="6"/>
        <v>50002.666666666672</v>
      </c>
      <c r="Q167" s="751">
        <f t="shared" si="7"/>
        <v>50000</v>
      </c>
      <c r="U167" s="751"/>
      <c r="V167" s="988"/>
      <c r="W167" s="1024"/>
      <c r="AY167" s="845"/>
      <c r="AZ167" s="845"/>
      <c r="BA167" s="845"/>
      <c r="BB167" s="845"/>
      <c r="BC167" s="845"/>
      <c r="BD167" s="845"/>
      <c r="BE167" s="845"/>
      <c r="BF167" s="845"/>
      <c r="BG167" s="845"/>
      <c r="BH167" s="845"/>
      <c r="BI167" s="845"/>
      <c r="BJ167" s="845"/>
      <c r="BK167" s="845"/>
      <c r="BL167" s="845"/>
      <c r="BM167" s="845"/>
      <c r="BN167" s="845"/>
      <c r="BO167" s="845"/>
      <c r="BP167" s="845"/>
      <c r="BQ167" s="845"/>
      <c r="BR167" s="845"/>
      <c r="BS167" s="845"/>
      <c r="BT167" s="845"/>
      <c r="BU167" s="845"/>
      <c r="BV167" s="845"/>
      <c r="BW167" s="845"/>
      <c r="BX167" s="845"/>
      <c r="BY167" s="845"/>
      <c r="BZ167" s="845"/>
      <c r="CA167" s="845"/>
      <c r="CB167" s="845"/>
      <c r="CC167" s="845"/>
    </row>
    <row r="168" spans="1:81" ht="12.75" customHeight="1">
      <c r="A168" s="976" t="s">
        <v>3896</v>
      </c>
      <c r="B168" s="976" t="s">
        <v>1107</v>
      </c>
      <c r="C168" s="977">
        <v>1343900934</v>
      </c>
      <c r="D168" s="976" t="s">
        <v>138</v>
      </c>
      <c r="E168" s="976">
        <v>113</v>
      </c>
      <c r="F168" s="976">
        <v>113</v>
      </c>
      <c r="G168" s="976">
        <v>84.75</v>
      </c>
      <c r="H168" s="976">
        <v>99.991</v>
      </c>
      <c r="I168" s="976"/>
      <c r="J168" s="1040">
        <v>-15</v>
      </c>
      <c r="K168" s="976">
        <v>84.991</v>
      </c>
      <c r="L168" s="978">
        <v>0.24099999999999966</v>
      </c>
      <c r="M168" s="976" t="s">
        <v>3589</v>
      </c>
      <c r="N168" s="976">
        <v>113.32133333333334</v>
      </c>
      <c r="O168" s="735">
        <f t="shared" si="8"/>
        <v>0.32133333333334235</v>
      </c>
      <c r="P168" s="738">
        <f t="shared" si="6"/>
        <v>113321.33333333334</v>
      </c>
      <c r="Q168" s="751">
        <f t="shared" si="7"/>
        <v>113000</v>
      </c>
      <c r="U168" s="751"/>
      <c r="V168" s="988"/>
      <c r="W168" s="1024"/>
      <c r="AY168" s="845"/>
      <c r="AZ168" s="845"/>
      <c r="BA168" s="845"/>
      <c r="BB168" s="845"/>
      <c r="BC168" s="845"/>
      <c r="BD168" s="845"/>
      <c r="BE168" s="845"/>
      <c r="BF168" s="845"/>
      <c r="BG168" s="845"/>
      <c r="BH168" s="845"/>
      <c r="BI168" s="845"/>
      <c r="BJ168" s="845"/>
      <c r="BK168" s="845"/>
      <c r="BL168" s="845"/>
      <c r="BM168" s="845"/>
      <c r="BN168" s="845"/>
      <c r="BO168" s="845"/>
      <c r="BP168" s="845"/>
      <c r="BQ168" s="845"/>
      <c r="BR168" s="845"/>
      <c r="BS168" s="845"/>
      <c r="BT168" s="845"/>
      <c r="BU168" s="845"/>
      <c r="BV168" s="845"/>
      <c r="BW168" s="845"/>
      <c r="BX168" s="845"/>
      <c r="BY168" s="845"/>
      <c r="BZ168" s="845"/>
      <c r="CA168" s="845"/>
      <c r="CB168" s="845"/>
      <c r="CC168" s="845"/>
    </row>
    <row r="169" spans="1:81" ht="12.75" customHeight="1">
      <c r="A169" s="976" t="s">
        <v>3897</v>
      </c>
      <c r="B169" s="976" t="s">
        <v>1107</v>
      </c>
      <c r="C169" s="977">
        <v>1343900935</v>
      </c>
      <c r="D169" s="976" t="s">
        <v>139</v>
      </c>
      <c r="E169" s="976">
        <v>360</v>
      </c>
      <c r="F169" s="976">
        <v>360</v>
      </c>
      <c r="G169" s="976">
        <v>270</v>
      </c>
      <c r="H169" s="976">
        <v>258.34500000000003</v>
      </c>
      <c r="I169" s="976"/>
      <c r="J169" s="1019">
        <v>12</v>
      </c>
      <c r="K169" s="976">
        <v>270.34500000000003</v>
      </c>
      <c r="L169" s="978">
        <v>0.34500000000002728</v>
      </c>
      <c r="M169" s="976" t="s">
        <v>3589</v>
      </c>
      <c r="N169" s="976">
        <v>360.46000000000004</v>
      </c>
      <c r="O169" s="735">
        <f t="shared" si="8"/>
        <v>0.46000000000003638</v>
      </c>
      <c r="P169" s="738">
        <f t="shared" si="6"/>
        <v>360460.00000000006</v>
      </c>
      <c r="Q169" s="751">
        <f t="shared" si="7"/>
        <v>360000</v>
      </c>
      <c r="U169" s="751"/>
      <c r="V169" s="988"/>
      <c r="W169" s="1024"/>
      <c r="AY169" s="845"/>
      <c r="AZ169" s="845"/>
      <c r="BA169" s="845"/>
      <c r="BB169" s="845"/>
      <c r="BC169" s="845"/>
      <c r="BD169" s="845"/>
      <c r="BE169" s="845"/>
      <c r="BF169" s="845"/>
      <c r="BG169" s="845"/>
      <c r="BH169" s="845"/>
      <c r="BI169" s="845"/>
      <c r="BJ169" s="845"/>
      <c r="BK169" s="845"/>
      <c r="BL169" s="845"/>
      <c r="BM169" s="845"/>
      <c r="BN169" s="845"/>
      <c r="BO169" s="845"/>
      <c r="BP169" s="845"/>
      <c r="BQ169" s="845"/>
      <c r="BR169" s="845"/>
      <c r="BS169" s="845"/>
      <c r="BT169" s="845"/>
      <c r="BU169" s="845"/>
      <c r="BV169" s="845"/>
      <c r="BW169" s="845"/>
      <c r="BX169" s="845"/>
      <c r="BY169" s="845"/>
      <c r="BZ169" s="845"/>
      <c r="CA169" s="845"/>
      <c r="CB169" s="845"/>
      <c r="CC169" s="845"/>
    </row>
    <row r="170" spans="1:81" ht="12.75" customHeight="1">
      <c r="A170" s="976" t="s">
        <v>3898</v>
      </c>
      <c r="B170" s="976" t="s">
        <v>1107</v>
      </c>
      <c r="C170" s="977">
        <v>1344300938</v>
      </c>
      <c r="D170" s="976" t="s">
        <v>148</v>
      </c>
      <c r="E170" s="976">
        <v>121</v>
      </c>
      <c r="F170" s="976">
        <v>121</v>
      </c>
      <c r="G170" s="976">
        <v>90.75</v>
      </c>
      <c r="H170" s="976">
        <v>149.553</v>
      </c>
      <c r="I170" s="976"/>
      <c r="J170" s="1040">
        <v>-59</v>
      </c>
      <c r="K170" s="976">
        <v>90.552999999999997</v>
      </c>
      <c r="L170" s="978">
        <v>-0.19700000000000273</v>
      </c>
      <c r="M170" s="976" t="s">
        <v>3589</v>
      </c>
      <c r="N170" s="976">
        <v>120.73733333333332</v>
      </c>
      <c r="O170" s="735">
        <f t="shared" si="8"/>
        <v>-0.26266666666667504</v>
      </c>
      <c r="P170" s="738">
        <f t="shared" si="6"/>
        <v>120737.33333333333</v>
      </c>
      <c r="Q170" s="751">
        <f t="shared" si="7"/>
        <v>121000</v>
      </c>
      <c r="U170" s="751"/>
      <c r="V170" s="988"/>
      <c r="W170" s="1024"/>
      <c r="AY170" s="845"/>
      <c r="AZ170" s="845"/>
      <c r="BA170" s="845"/>
      <c r="BB170" s="845"/>
      <c r="BC170" s="845"/>
      <c r="BD170" s="845"/>
      <c r="BE170" s="845"/>
      <c r="BF170" s="845"/>
      <c r="BG170" s="845"/>
      <c r="BH170" s="845"/>
      <c r="BI170" s="845"/>
      <c r="BJ170" s="845"/>
      <c r="BK170" s="845"/>
      <c r="BL170" s="845"/>
      <c r="BM170" s="845"/>
      <c r="BN170" s="845"/>
      <c r="BO170" s="845"/>
      <c r="BP170" s="845"/>
      <c r="BQ170" s="845"/>
      <c r="BR170" s="845"/>
      <c r="BS170" s="845"/>
      <c r="BT170" s="845"/>
      <c r="BU170" s="845"/>
      <c r="BV170" s="845"/>
      <c r="BW170" s="845"/>
      <c r="BX170" s="845"/>
      <c r="BY170" s="845"/>
      <c r="BZ170" s="845"/>
      <c r="CA170" s="845"/>
      <c r="CB170" s="845"/>
      <c r="CC170" s="845"/>
    </row>
    <row r="171" spans="1:81" ht="12.75" customHeight="1">
      <c r="A171" s="976" t="s">
        <v>3899</v>
      </c>
      <c r="B171" s="976" t="s">
        <v>1107</v>
      </c>
      <c r="C171" s="977">
        <v>1344300939</v>
      </c>
      <c r="D171" s="976" t="s">
        <v>149</v>
      </c>
      <c r="E171" s="976">
        <v>455</v>
      </c>
      <c r="F171" s="976">
        <v>455</v>
      </c>
      <c r="G171" s="976">
        <v>341.25</v>
      </c>
      <c r="H171" s="976">
        <v>299.49400000000003</v>
      </c>
      <c r="I171" s="976"/>
      <c r="J171" s="1019">
        <v>42</v>
      </c>
      <c r="K171" s="976">
        <v>341.49400000000003</v>
      </c>
      <c r="L171" s="978">
        <v>0.24400000000002819</v>
      </c>
      <c r="M171" s="976" t="s">
        <v>3589</v>
      </c>
      <c r="N171" s="976">
        <v>455.32533333333333</v>
      </c>
      <c r="O171" s="735">
        <f t="shared" si="8"/>
        <v>0.32533333333333303</v>
      </c>
      <c r="P171" s="738">
        <f t="shared" si="6"/>
        <v>455325.33333333331</v>
      </c>
      <c r="Q171" s="751">
        <f t="shared" si="7"/>
        <v>455000</v>
      </c>
      <c r="U171" s="751"/>
      <c r="V171" s="988"/>
      <c r="W171" s="1024"/>
      <c r="AY171" s="845"/>
      <c r="AZ171" s="845"/>
      <c r="BA171" s="845"/>
      <c r="BB171" s="845"/>
      <c r="BC171" s="845"/>
      <c r="BD171" s="845"/>
      <c r="BE171" s="845"/>
      <c r="BF171" s="845"/>
      <c r="BG171" s="845"/>
      <c r="BH171" s="845"/>
      <c r="BI171" s="845"/>
      <c r="BJ171" s="845"/>
      <c r="BK171" s="845"/>
      <c r="BL171" s="845"/>
      <c r="BM171" s="845"/>
      <c r="BN171" s="845"/>
      <c r="BO171" s="845"/>
      <c r="BP171" s="845"/>
      <c r="BQ171" s="845"/>
      <c r="BR171" s="845"/>
      <c r="BS171" s="845"/>
      <c r="BT171" s="845"/>
      <c r="BU171" s="845"/>
      <c r="BV171" s="845"/>
      <c r="BW171" s="845"/>
      <c r="BX171" s="845"/>
      <c r="BY171" s="845"/>
      <c r="BZ171" s="845"/>
      <c r="CA171" s="845"/>
      <c r="CB171" s="845"/>
      <c r="CC171" s="845"/>
    </row>
    <row r="172" spans="1:81" ht="12.75" customHeight="1">
      <c r="A172" s="976" t="s">
        <v>3899</v>
      </c>
      <c r="B172" s="976" t="s">
        <v>1107</v>
      </c>
      <c r="C172" s="977">
        <v>1347300939</v>
      </c>
      <c r="D172" s="976" t="s">
        <v>120</v>
      </c>
      <c r="E172" s="976">
        <v>167</v>
      </c>
      <c r="F172" s="976">
        <v>167</v>
      </c>
      <c r="G172" s="976">
        <v>125.25</v>
      </c>
      <c r="H172" s="976">
        <v>79.031000000000006</v>
      </c>
      <c r="I172" s="976"/>
      <c r="J172" s="976">
        <v>0</v>
      </c>
      <c r="K172" s="976">
        <v>79.031000000000006</v>
      </c>
      <c r="L172" s="978">
        <v>-46.218999999999994</v>
      </c>
      <c r="M172" s="976" t="s">
        <v>3589</v>
      </c>
      <c r="N172" s="976">
        <v>105.37466666666667</v>
      </c>
      <c r="O172" s="735">
        <f t="shared" si="8"/>
        <v>-61.62533333333333</v>
      </c>
      <c r="P172" s="738">
        <f t="shared" si="6"/>
        <v>105374.66666666667</v>
      </c>
      <c r="Q172" s="751">
        <f t="shared" si="7"/>
        <v>105000</v>
      </c>
      <c r="U172" s="751"/>
      <c r="V172" s="988"/>
      <c r="W172" s="1024"/>
      <c r="AY172" s="845"/>
      <c r="AZ172" s="845"/>
      <c r="BA172" s="845"/>
      <c r="BB172" s="845"/>
      <c r="BC172" s="845"/>
      <c r="BD172" s="845"/>
      <c r="BE172" s="845"/>
      <c r="BF172" s="845"/>
      <c r="BG172" s="845"/>
      <c r="BH172" s="845"/>
      <c r="BI172" s="845"/>
      <c r="BJ172" s="845"/>
      <c r="BK172" s="845"/>
      <c r="BL172" s="845"/>
      <c r="BM172" s="845"/>
      <c r="BN172" s="845"/>
      <c r="BO172" s="845"/>
      <c r="BP172" s="845"/>
      <c r="BQ172" s="845"/>
      <c r="BR172" s="845"/>
      <c r="BS172" s="845"/>
      <c r="BT172" s="845"/>
      <c r="BU172" s="845"/>
      <c r="BV172" s="845"/>
      <c r="BW172" s="845"/>
      <c r="BX172" s="845"/>
      <c r="BY172" s="845"/>
      <c r="BZ172" s="845"/>
      <c r="CA172" s="845"/>
      <c r="CB172" s="845"/>
      <c r="CC172" s="845"/>
    </row>
    <row r="173" spans="1:81" ht="12.75" customHeight="1">
      <c r="A173" s="976" t="s">
        <v>3896</v>
      </c>
      <c r="B173" s="976" t="s">
        <v>1107</v>
      </c>
      <c r="C173" s="977">
        <v>1347900934</v>
      </c>
      <c r="D173" s="976" t="s">
        <v>211</v>
      </c>
      <c r="E173" s="976">
        <v>65</v>
      </c>
      <c r="F173" s="976">
        <v>65</v>
      </c>
      <c r="G173" s="976">
        <v>48.75</v>
      </c>
      <c r="H173" s="976">
        <v>26.713000000000001</v>
      </c>
      <c r="I173" s="976"/>
      <c r="J173" s="1019">
        <v>28</v>
      </c>
      <c r="K173" s="976">
        <v>54.713000000000001</v>
      </c>
      <c r="L173" s="978">
        <v>5.963000000000001</v>
      </c>
      <c r="M173" s="976" t="s">
        <v>3589</v>
      </c>
      <c r="N173" s="976">
        <v>72.950666666666677</v>
      </c>
      <c r="O173" s="735">
        <f t="shared" si="8"/>
        <v>7.9506666666666774</v>
      </c>
      <c r="P173" s="738">
        <f t="shared" si="6"/>
        <v>72950.666666666672</v>
      </c>
      <c r="Q173" s="751">
        <f t="shared" si="7"/>
        <v>73000</v>
      </c>
      <c r="U173" s="751"/>
      <c r="V173" s="988"/>
      <c r="W173" s="1024"/>
      <c r="AY173" s="845"/>
      <c r="AZ173" s="845"/>
      <c r="BA173" s="845"/>
      <c r="BB173" s="845"/>
      <c r="BC173" s="845"/>
      <c r="BD173" s="845"/>
      <c r="BE173" s="845"/>
      <c r="BF173" s="845"/>
      <c r="BG173" s="845"/>
      <c r="BH173" s="845"/>
      <c r="BI173" s="845"/>
      <c r="BJ173" s="845"/>
      <c r="BK173" s="845"/>
      <c r="BL173" s="845"/>
      <c r="BM173" s="845"/>
      <c r="BN173" s="845"/>
      <c r="BO173" s="845"/>
      <c r="BP173" s="845"/>
      <c r="BQ173" s="845"/>
      <c r="BR173" s="845"/>
      <c r="BS173" s="845"/>
      <c r="BT173" s="845"/>
      <c r="BU173" s="845"/>
      <c r="BV173" s="845"/>
      <c r="BW173" s="845"/>
      <c r="BX173" s="845"/>
      <c r="BY173" s="845"/>
      <c r="BZ173" s="845"/>
      <c r="CA173" s="845"/>
      <c r="CB173" s="845"/>
      <c r="CC173" s="845"/>
    </row>
    <row r="174" spans="1:81" ht="12.75" customHeight="1">
      <c r="A174" s="976" t="s">
        <v>3891</v>
      </c>
      <c r="B174" s="976" t="s">
        <v>1107</v>
      </c>
      <c r="C174" s="977">
        <v>1344300930</v>
      </c>
      <c r="D174" s="976" t="s">
        <v>143</v>
      </c>
      <c r="E174" s="976">
        <v>3718</v>
      </c>
      <c r="F174" s="976">
        <v>3718</v>
      </c>
      <c r="G174" s="976">
        <v>2788.5</v>
      </c>
      <c r="H174" s="976">
        <v>2799.3090000000002</v>
      </c>
      <c r="I174" s="976"/>
      <c r="J174" s="1040">
        <v>-40</v>
      </c>
      <c r="K174" s="976">
        <v>2759.3090000000002</v>
      </c>
      <c r="L174" s="978">
        <v>-29.190999999999804</v>
      </c>
      <c r="M174" s="976" t="s">
        <v>3589</v>
      </c>
      <c r="N174" s="976">
        <v>3679.0786666666663</v>
      </c>
      <c r="O174" s="735">
        <f t="shared" si="8"/>
        <v>-38.921333333333678</v>
      </c>
      <c r="P174" s="738">
        <f t="shared" si="6"/>
        <v>3679078.6666666665</v>
      </c>
      <c r="Q174" s="751">
        <f t="shared" si="7"/>
        <v>3679000</v>
      </c>
      <c r="U174" s="751"/>
      <c r="V174" s="988"/>
      <c r="W174" s="1024"/>
      <c r="AY174" s="845"/>
      <c r="AZ174" s="845"/>
      <c r="BA174" s="845"/>
      <c r="BB174" s="845"/>
      <c r="BC174" s="845"/>
      <c r="BD174" s="845"/>
      <c r="BE174" s="845"/>
      <c r="BF174" s="845"/>
      <c r="BG174" s="845"/>
      <c r="BH174" s="845"/>
      <c r="BI174" s="845"/>
      <c r="BJ174" s="845"/>
      <c r="BK174" s="845"/>
      <c r="BL174" s="845"/>
      <c r="BM174" s="845"/>
      <c r="BN174" s="845"/>
      <c r="BO174" s="845"/>
      <c r="BP174" s="845"/>
      <c r="BQ174" s="845"/>
      <c r="BR174" s="845"/>
      <c r="BS174" s="845"/>
      <c r="BT174" s="845"/>
      <c r="BU174" s="845"/>
      <c r="BV174" s="845"/>
      <c r="BW174" s="845"/>
      <c r="BX174" s="845"/>
      <c r="BY174" s="845"/>
      <c r="BZ174" s="845"/>
      <c r="CA174" s="845"/>
      <c r="CB174" s="845"/>
      <c r="CC174" s="845"/>
    </row>
    <row r="175" spans="1:81" ht="12.75" customHeight="1">
      <c r="A175" s="976" t="s">
        <v>3892</v>
      </c>
      <c r="B175" s="976" t="s">
        <v>1107</v>
      </c>
      <c r="C175" s="977">
        <v>1344300931</v>
      </c>
      <c r="D175" s="976" t="s">
        <v>144</v>
      </c>
      <c r="E175" s="976">
        <v>146</v>
      </c>
      <c r="F175" s="976">
        <v>146</v>
      </c>
      <c r="G175" s="976">
        <v>109.5</v>
      </c>
      <c r="H175" s="976">
        <v>88.531000000000006</v>
      </c>
      <c r="I175" s="976"/>
      <c r="J175" s="1019">
        <v>20.5</v>
      </c>
      <c r="K175" s="976">
        <v>109.03100000000001</v>
      </c>
      <c r="L175" s="978">
        <v>-0.46899999999999409</v>
      </c>
      <c r="M175" s="976" t="s">
        <v>3589</v>
      </c>
      <c r="N175" s="976">
        <v>145.37466666666668</v>
      </c>
      <c r="O175" s="735">
        <f t="shared" si="8"/>
        <v>-0.62533333333331598</v>
      </c>
      <c r="P175" s="738">
        <f t="shared" si="6"/>
        <v>145374.66666666669</v>
      </c>
      <c r="Q175" s="751">
        <f t="shared" si="7"/>
        <v>145000</v>
      </c>
      <c r="U175" s="751"/>
      <c r="V175" s="988"/>
      <c r="W175" s="1024"/>
      <c r="AY175" s="845"/>
      <c r="AZ175" s="845"/>
      <c r="BA175" s="845"/>
      <c r="BB175" s="845"/>
      <c r="BC175" s="845"/>
      <c r="BD175" s="845"/>
      <c r="BE175" s="845"/>
      <c r="BF175" s="845"/>
      <c r="BG175" s="845"/>
      <c r="BH175" s="845"/>
      <c r="BI175" s="845"/>
      <c r="BJ175" s="845"/>
      <c r="BK175" s="845"/>
      <c r="BL175" s="845"/>
      <c r="BM175" s="845"/>
      <c r="BN175" s="845"/>
      <c r="BO175" s="845"/>
      <c r="BP175" s="845"/>
      <c r="BQ175" s="845"/>
      <c r="BR175" s="845"/>
      <c r="BS175" s="845"/>
      <c r="BT175" s="845"/>
      <c r="BU175" s="845"/>
      <c r="BV175" s="845"/>
      <c r="BW175" s="845"/>
      <c r="BX175" s="845"/>
      <c r="BY175" s="845"/>
      <c r="BZ175" s="845"/>
      <c r="CA175" s="845"/>
      <c r="CB175" s="845"/>
      <c r="CC175" s="845"/>
    </row>
    <row r="176" spans="1:81" ht="12.75" customHeight="1">
      <c r="A176" s="976" t="s">
        <v>3893</v>
      </c>
      <c r="B176" s="976" t="s">
        <v>1107</v>
      </c>
      <c r="C176" s="977">
        <v>1344300932</v>
      </c>
      <c r="D176" s="976" t="s">
        <v>3236</v>
      </c>
      <c r="E176" s="976">
        <v>607</v>
      </c>
      <c r="F176" s="976">
        <v>607</v>
      </c>
      <c r="G176" s="976">
        <v>455.25</v>
      </c>
      <c r="H176" s="976">
        <v>518.54499999999996</v>
      </c>
      <c r="I176" s="976"/>
      <c r="J176" s="1040">
        <v>-63</v>
      </c>
      <c r="K176" s="976">
        <v>455.54499999999996</v>
      </c>
      <c r="L176" s="978">
        <v>0.29499999999995907</v>
      </c>
      <c r="M176" s="976" t="s">
        <v>3589</v>
      </c>
      <c r="N176" s="976">
        <v>607.3933333333332</v>
      </c>
      <c r="O176" s="735">
        <f t="shared" si="8"/>
        <v>0.39333333333320297</v>
      </c>
      <c r="P176" s="738">
        <f t="shared" si="6"/>
        <v>607393.33333333326</v>
      </c>
      <c r="Q176" s="751">
        <f t="shared" si="7"/>
        <v>607000</v>
      </c>
      <c r="U176" s="751"/>
      <c r="V176" s="988"/>
      <c r="W176" s="1024"/>
      <c r="AY176" s="845"/>
      <c r="AZ176" s="845"/>
      <c r="BA176" s="845"/>
      <c r="BB176" s="845"/>
      <c r="BC176" s="845"/>
      <c r="BD176" s="845"/>
      <c r="BE176" s="845"/>
      <c r="BF176" s="845"/>
      <c r="BG176" s="845"/>
      <c r="BH176" s="845"/>
      <c r="BI176" s="845"/>
      <c r="BJ176" s="845"/>
      <c r="BK176" s="845"/>
      <c r="BL176" s="845"/>
      <c r="BM176" s="845"/>
      <c r="BN176" s="845"/>
      <c r="BO176" s="845"/>
      <c r="BP176" s="845"/>
      <c r="BQ176" s="845"/>
      <c r="BR176" s="845"/>
      <c r="BS176" s="845"/>
      <c r="BT176" s="845"/>
      <c r="BU176" s="845"/>
      <c r="BV176" s="845"/>
      <c r="BW176" s="845"/>
      <c r="BX176" s="845"/>
      <c r="BY176" s="845"/>
      <c r="BZ176" s="845"/>
      <c r="CA176" s="845"/>
      <c r="CB176" s="845"/>
      <c r="CC176" s="845"/>
    </row>
    <row r="177" spans="1:81" ht="12.75" customHeight="1">
      <c r="A177" s="976" t="s">
        <v>3894</v>
      </c>
      <c r="B177" s="976" t="s">
        <v>1107</v>
      </c>
      <c r="C177" s="977">
        <v>1344300933</v>
      </c>
      <c r="D177" s="976" t="s">
        <v>146</v>
      </c>
      <c r="E177" s="976">
        <v>173</v>
      </c>
      <c r="F177" s="976">
        <v>173</v>
      </c>
      <c r="G177" s="976">
        <v>129.75</v>
      </c>
      <c r="H177" s="976">
        <v>134.50299999999999</v>
      </c>
      <c r="I177" s="976"/>
      <c r="J177" s="1040">
        <v>-5</v>
      </c>
      <c r="K177" s="976">
        <v>129.50299999999999</v>
      </c>
      <c r="L177" s="978">
        <v>-0.2470000000000141</v>
      </c>
      <c r="M177" s="976" t="s">
        <v>3589</v>
      </c>
      <c r="N177" s="976">
        <v>172.67066666666665</v>
      </c>
      <c r="O177" s="735">
        <f t="shared" si="8"/>
        <v>-0.32933333333335213</v>
      </c>
      <c r="P177" s="738">
        <f t="shared" si="6"/>
        <v>172670.66666666666</v>
      </c>
      <c r="Q177" s="751">
        <f t="shared" si="7"/>
        <v>173000</v>
      </c>
      <c r="U177" s="751"/>
      <c r="V177" s="988"/>
      <c r="W177" s="1024"/>
      <c r="AY177" s="845"/>
      <c r="AZ177" s="845"/>
      <c r="BA177" s="845"/>
      <c r="BB177" s="845"/>
      <c r="BC177" s="845"/>
      <c r="BD177" s="845"/>
      <c r="BE177" s="845"/>
      <c r="BF177" s="845"/>
      <c r="BG177" s="845"/>
      <c r="BH177" s="845"/>
      <c r="BI177" s="845"/>
      <c r="BJ177" s="845"/>
      <c r="BK177" s="845"/>
      <c r="BL177" s="845"/>
      <c r="BM177" s="845"/>
      <c r="BN177" s="845"/>
      <c r="BO177" s="845"/>
      <c r="BP177" s="845"/>
      <c r="BQ177" s="845"/>
      <c r="BR177" s="845"/>
      <c r="BS177" s="845"/>
      <c r="BT177" s="845"/>
      <c r="BU177" s="845"/>
      <c r="BV177" s="845"/>
      <c r="BW177" s="845"/>
      <c r="BX177" s="845"/>
      <c r="BY177" s="845"/>
      <c r="BZ177" s="845"/>
      <c r="CA177" s="845"/>
      <c r="CB177" s="845"/>
      <c r="CC177" s="845"/>
    </row>
    <row r="178" spans="1:81" ht="12.75" customHeight="1">
      <c r="A178" s="976" t="s">
        <v>3897</v>
      </c>
      <c r="B178" s="976" t="s">
        <v>1107</v>
      </c>
      <c r="C178" s="977">
        <v>1344300935</v>
      </c>
      <c r="D178" s="976" t="s">
        <v>3237</v>
      </c>
      <c r="E178" s="976">
        <v>750</v>
      </c>
      <c r="F178" s="976">
        <v>750</v>
      </c>
      <c r="G178" s="976">
        <v>562.5</v>
      </c>
      <c r="H178" s="976">
        <v>348.07400000000001</v>
      </c>
      <c r="I178" s="976"/>
      <c r="J178" s="1019">
        <v>214.5</v>
      </c>
      <c r="K178" s="976">
        <v>562.57400000000007</v>
      </c>
      <c r="L178" s="978">
        <v>7.4000000000069122E-2</v>
      </c>
      <c r="M178" s="976" t="s">
        <v>3589</v>
      </c>
      <c r="N178" s="976">
        <v>750.09866666666676</v>
      </c>
      <c r="O178" s="735">
        <f t="shared" si="8"/>
        <v>9.8666666666758829E-2</v>
      </c>
      <c r="P178" s="738">
        <f t="shared" si="6"/>
        <v>750098.66666666674</v>
      </c>
      <c r="Q178" s="751">
        <f t="shared" si="7"/>
        <v>750000</v>
      </c>
      <c r="U178" s="751"/>
      <c r="V178" s="988"/>
      <c r="W178" s="1024"/>
      <c r="AY178" s="845"/>
      <c r="AZ178" s="845"/>
      <c r="BA178" s="845"/>
      <c r="BB178" s="845"/>
      <c r="BC178" s="845"/>
      <c r="BD178" s="845"/>
      <c r="BE178" s="845"/>
      <c r="BF178" s="845"/>
      <c r="BG178" s="845"/>
      <c r="BH178" s="845"/>
      <c r="BI178" s="845"/>
      <c r="BJ178" s="845"/>
      <c r="BK178" s="845"/>
      <c r="BL178" s="845"/>
      <c r="BM178" s="845"/>
      <c r="BN178" s="845"/>
      <c r="BO178" s="845"/>
      <c r="BP178" s="845"/>
      <c r="BQ178" s="845"/>
      <c r="BR178" s="845"/>
      <c r="BS178" s="845"/>
      <c r="BT178" s="845"/>
      <c r="BU178" s="845"/>
      <c r="BV178" s="845"/>
      <c r="BW178" s="845"/>
      <c r="BX178" s="845"/>
      <c r="BY178" s="845"/>
      <c r="BZ178" s="845"/>
      <c r="CA178" s="845"/>
      <c r="CB178" s="845"/>
      <c r="CC178" s="845"/>
    </row>
    <row r="179" spans="1:81" ht="12.75" customHeight="1">
      <c r="A179" s="976" t="s">
        <v>3895</v>
      </c>
      <c r="B179" s="976" t="s">
        <v>1107</v>
      </c>
      <c r="C179" s="977">
        <v>1344300936</v>
      </c>
      <c r="D179" s="976" t="s">
        <v>147</v>
      </c>
      <c r="E179" s="976">
        <v>30</v>
      </c>
      <c r="F179" s="976">
        <v>30</v>
      </c>
      <c r="G179" s="976">
        <v>22.5</v>
      </c>
      <c r="H179" s="976">
        <v>1.444</v>
      </c>
      <c r="I179" s="976"/>
      <c r="J179" s="1040">
        <v>-1.5</v>
      </c>
      <c r="K179" s="976">
        <v>-5.600000000000005E-2</v>
      </c>
      <c r="L179" s="978">
        <v>-22.556000000000001</v>
      </c>
      <c r="M179" s="976" t="s">
        <v>3589</v>
      </c>
      <c r="N179" s="976">
        <v>-7.4666666666666728E-2</v>
      </c>
      <c r="O179" s="735">
        <f t="shared" si="8"/>
        <v>-30.074666666666666</v>
      </c>
      <c r="P179" s="738">
        <f t="shared" si="6"/>
        <v>-74.666666666666728</v>
      </c>
      <c r="Q179" s="751">
        <f t="shared" si="7"/>
        <v>0</v>
      </c>
      <c r="U179" s="751"/>
      <c r="V179" s="988"/>
      <c r="W179" s="1024"/>
      <c r="AY179" s="845"/>
      <c r="AZ179" s="845"/>
      <c r="BA179" s="845"/>
      <c r="BB179" s="845"/>
      <c r="BC179" s="845"/>
      <c r="BD179" s="845"/>
      <c r="BE179" s="845"/>
      <c r="BF179" s="845"/>
      <c r="BG179" s="845"/>
      <c r="BH179" s="845"/>
      <c r="BI179" s="845"/>
      <c r="BJ179" s="845"/>
      <c r="BK179" s="845"/>
      <c r="BL179" s="845"/>
      <c r="BM179" s="845"/>
      <c r="BN179" s="845"/>
      <c r="BO179" s="845"/>
      <c r="BP179" s="845"/>
      <c r="BQ179" s="845"/>
      <c r="BR179" s="845"/>
      <c r="BS179" s="845"/>
      <c r="BT179" s="845"/>
      <c r="BU179" s="845"/>
      <c r="BV179" s="845"/>
      <c r="BW179" s="845"/>
      <c r="BX179" s="845"/>
      <c r="BY179" s="845"/>
      <c r="BZ179" s="845"/>
      <c r="CA179" s="845"/>
      <c r="CB179" s="845"/>
      <c r="CC179" s="845"/>
    </row>
    <row r="180" spans="1:81" ht="12.75" customHeight="1">
      <c r="A180" s="976" t="s">
        <v>3891</v>
      </c>
      <c r="B180" s="976"/>
      <c r="C180" s="977">
        <v>1344400930</v>
      </c>
      <c r="D180" s="976" t="s">
        <v>3238</v>
      </c>
      <c r="E180" s="976">
        <v>344</v>
      </c>
      <c r="F180" s="976">
        <v>344</v>
      </c>
      <c r="G180" s="976">
        <v>258</v>
      </c>
      <c r="H180" s="976">
        <v>0</v>
      </c>
      <c r="I180" s="976"/>
      <c r="J180" s="1019">
        <v>258</v>
      </c>
      <c r="K180" s="976">
        <v>258</v>
      </c>
      <c r="L180" s="978">
        <v>0</v>
      </c>
      <c r="M180" s="976" t="s">
        <v>3589</v>
      </c>
      <c r="N180" s="976">
        <v>344</v>
      </c>
      <c r="O180" s="735">
        <f t="shared" si="8"/>
        <v>0</v>
      </c>
      <c r="P180" s="738">
        <f t="shared" si="6"/>
        <v>344000</v>
      </c>
      <c r="Q180" s="751">
        <f t="shared" si="7"/>
        <v>344000</v>
      </c>
      <c r="U180" s="751"/>
      <c r="V180" s="988"/>
      <c r="W180" s="1024"/>
      <c r="AY180" s="845"/>
      <c r="AZ180" s="845"/>
      <c r="BA180" s="845"/>
      <c r="BB180" s="845"/>
      <c r="BC180" s="845"/>
      <c r="BD180" s="845"/>
      <c r="BE180" s="845"/>
      <c r="BF180" s="845"/>
      <c r="BG180" s="845"/>
      <c r="BH180" s="845"/>
      <c r="BI180" s="845"/>
      <c r="BJ180" s="845"/>
      <c r="BK180" s="845"/>
      <c r="BL180" s="845"/>
      <c r="BM180" s="845"/>
      <c r="BN180" s="845"/>
      <c r="BO180" s="845"/>
      <c r="BP180" s="845"/>
      <c r="BQ180" s="845"/>
      <c r="BR180" s="845"/>
      <c r="BS180" s="845"/>
      <c r="BT180" s="845"/>
      <c r="BU180" s="845"/>
      <c r="BV180" s="845"/>
      <c r="BW180" s="845"/>
      <c r="BX180" s="845"/>
      <c r="BY180" s="845"/>
      <c r="BZ180" s="845"/>
      <c r="CA180" s="845"/>
      <c r="CB180" s="845"/>
      <c r="CC180" s="845"/>
    </row>
    <row r="181" spans="1:81" ht="12.75" customHeight="1">
      <c r="A181" s="976" t="s">
        <v>3893</v>
      </c>
      <c r="B181" s="976" t="s">
        <v>1107</v>
      </c>
      <c r="C181" s="977">
        <v>1344400932</v>
      </c>
      <c r="D181" s="976" t="s">
        <v>150</v>
      </c>
      <c r="E181" s="976">
        <v>1249</v>
      </c>
      <c r="F181" s="976">
        <v>1249</v>
      </c>
      <c r="G181" s="976">
        <v>936.75</v>
      </c>
      <c r="H181" s="976">
        <v>788.803</v>
      </c>
      <c r="I181" s="976"/>
      <c r="J181" s="1019">
        <v>148</v>
      </c>
      <c r="K181" s="976">
        <v>936.803</v>
      </c>
      <c r="L181" s="978">
        <v>5.2999999999997272E-2</v>
      </c>
      <c r="M181" s="976" t="s">
        <v>3589</v>
      </c>
      <c r="N181" s="976">
        <v>1249.0706666666667</v>
      </c>
      <c r="O181" s="735">
        <f t="shared" si="8"/>
        <v>7.066666666673882E-2</v>
      </c>
      <c r="P181" s="738">
        <f t="shared" si="6"/>
        <v>1249070.6666666667</v>
      </c>
      <c r="Q181" s="751">
        <f t="shared" si="7"/>
        <v>1249000</v>
      </c>
      <c r="U181" s="751"/>
      <c r="V181" s="988"/>
      <c r="W181" s="1024"/>
      <c r="AY181" s="845"/>
      <c r="AZ181" s="845"/>
      <c r="BA181" s="845"/>
      <c r="BB181" s="845"/>
      <c r="BC181" s="845"/>
      <c r="BD181" s="845"/>
      <c r="BE181" s="845"/>
      <c r="BF181" s="845"/>
      <c r="BG181" s="845"/>
      <c r="BH181" s="845"/>
      <c r="BI181" s="845"/>
      <c r="BJ181" s="845"/>
      <c r="BK181" s="845"/>
      <c r="BL181" s="845"/>
      <c r="BM181" s="845"/>
      <c r="BN181" s="845"/>
      <c r="BO181" s="845"/>
      <c r="BP181" s="845"/>
      <c r="BQ181" s="845"/>
      <c r="BR181" s="845"/>
      <c r="BS181" s="845"/>
      <c r="BT181" s="845"/>
      <c r="BU181" s="845"/>
      <c r="BV181" s="845"/>
      <c r="BW181" s="845"/>
      <c r="BX181" s="845"/>
      <c r="BY181" s="845"/>
      <c r="BZ181" s="845"/>
      <c r="CA181" s="845"/>
      <c r="CB181" s="845"/>
      <c r="CC181" s="845"/>
    </row>
    <row r="182" spans="1:81" ht="12.75" customHeight="1">
      <c r="A182" s="976" t="s">
        <v>3894</v>
      </c>
      <c r="B182" s="976"/>
      <c r="C182" s="977">
        <v>1344400933</v>
      </c>
      <c r="D182" s="976" t="s">
        <v>1515</v>
      </c>
      <c r="E182" s="976">
        <v>276</v>
      </c>
      <c r="F182" s="976">
        <v>276</v>
      </c>
      <c r="G182" s="976">
        <v>207</v>
      </c>
      <c r="H182" s="976">
        <v>0</v>
      </c>
      <c r="I182" s="976"/>
      <c r="J182" s="1019">
        <v>207</v>
      </c>
      <c r="K182" s="976">
        <v>207</v>
      </c>
      <c r="L182" s="978">
        <v>0</v>
      </c>
      <c r="M182" s="976" t="s">
        <v>3589</v>
      </c>
      <c r="N182" s="976">
        <v>276</v>
      </c>
      <c r="O182" s="735">
        <f t="shared" si="8"/>
        <v>0</v>
      </c>
      <c r="P182" s="738">
        <f t="shared" si="6"/>
        <v>276000</v>
      </c>
      <c r="Q182" s="751">
        <f t="shared" si="7"/>
        <v>276000</v>
      </c>
      <c r="U182" s="751"/>
      <c r="V182" s="988"/>
      <c r="W182" s="1024"/>
      <c r="AY182" s="845"/>
      <c r="AZ182" s="845"/>
      <c r="BA182" s="845"/>
      <c r="BB182" s="845"/>
      <c r="BC182" s="845"/>
      <c r="BD182" s="845"/>
      <c r="BE182" s="845"/>
      <c r="BF182" s="845"/>
      <c r="BG182" s="845"/>
      <c r="BH182" s="845"/>
      <c r="BI182" s="845"/>
      <c r="BJ182" s="845"/>
      <c r="BK182" s="845"/>
      <c r="BL182" s="845"/>
      <c r="BM182" s="845"/>
      <c r="BN182" s="845"/>
      <c r="BO182" s="845"/>
      <c r="BP182" s="845"/>
      <c r="BQ182" s="845"/>
      <c r="BR182" s="845"/>
      <c r="BS182" s="845"/>
      <c r="BT182" s="845"/>
      <c r="BU182" s="845"/>
      <c r="BV182" s="845"/>
      <c r="BW182" s="845"/>
      <c r="BX182" s="845"/>
      <c r="BY182" s="845"/>
      <c r="BZ182" s="845"/>
      <c r="CA182" s="845"/>
      <c r="CB182" s="845"/>
      <c r="CC182" s="845"/>
    </row>
    <row r="183" spans="1:81" ht="12.75" customHeight="1">
      <c r="A183" s="976" t="s">
        <v>3891</v>
      </c>
      <c r="B183" s="976" t="s">
        <v>1107</v>
      </c>
      <c r="C183" s="977">
        <v>1345100930</v>
      </c>
      <c r="D183" s="976" t="s">
        <v>153</v>
      </c>
      <c r="E183" s="976">
        <v>16877</v>
      </c>
      <c r="F183" s="976">
        <v>16877</v>
      </c>
      <c r="G183" s="976">
        <v>12657.75</v>
      </c>
      <c r="H183" s="976">
        <v>11945.737539999998</v>
      </c>
      <c r="I183" s="976"/>
      <c r="J183" s="1019">
        <v>14</v>
      </c>
      <c r="K183" s="976">
        <v>11959.737539999998</v>
      </c>
      <c r="L183" s="978">
        <v>-698.01246000000174</v>
      </c>
      <c r="M183" s="976" t="s">
        <v>3589</v>
      </c>
      <c r="N183" s="976">
        <v>15946.316719999995</v>
      </c>
      <c r="O183" s="735">
        <f t="shared" si="8"/>
        <v>-930.68328000000474</v>
      </c>
      <c r="P183" s="738">
        <f t="shared" si="6"/>
        <v>15946316.719999995</v>
      </c>
      <c r="Q183" s="751">
        <f t="shared" si="7"/>
        <v>15946000</v>
      </c>
      <c r="U183" s="751"/>
      <c r="V183" s="988"/>
      <c r="W183" s="1024"/>
      <c r="AY183" s="845"/>
      <c r="AZ183" s="845"/>
      <c r="BA183" s="845"/>
      <c r="BB183" s="845"/>
      <c r="BC183" s="845"/>
      <c r="BD183" s="845"/>
      <c r="BE183" s="845"/>
      <c r="BF183" s="845"/>
      <c r="BG183" s="845"/>
      <c r="BH183" s="845"/>
      <c r="BI183" s="845"/>
      <c r="BJ183" s="845"/>
      <c r="BK183" s="845"/>
      <c r="BL183" s="845"/>
      <c r="BM183" s="845"/>
      <c r="BN183" s="845"/>
      <c r="BO183" s="845"/>
      <c r="BP183" s="845"/>
      <c r="BQ183" s="845"/>
      <c r="BR183" s="845"/>
      <c r="BS183" s="845"/>
      <c r="BT183" s="845"/>
      <c r="BU183" s="845"/>
      <c r="BV183" s="845"/>
      <c r="BW183" s="845"/>
      <c r="BX183" s="845"/>
      <c r="BY183" s="845"/>
      <c r="BZ183" s="845"/>
      <c r="CA183" s="845"/>
      <c r="CB183" s="845"/>
      <c r="CC183" s="845"/>
    </row>
    <row r="184" spans="1:81" ht="12.75" customHeight="1">
      <c r="A184" s="976" t="s">
        <v>3892</v>
      </c>
      <c r="B184" s="976" t="s">
        <v>1107</v>
      </c>
      <c r="C184" s="977">
        <v>1345100931</v>
      </c>
      <c r="D184" s="976" t="s">
        <v>154</v>
      </c>
      <c r="E184" s="976">
        <v>3128</v>
      </c>
      <c r="F184" s="976">
        <v>3128</v>
      </c>
      <c r="G184" s="976">
        <v>2346</v>
      </c>
      <c r="H184" s="976">
        <v>2234.5320000000002</v>
      </c>
      <c r="I184" s="976"/>
      <c r="J184" s="1019">
        <v>27</v>
      </c>
      <c r="K184" s="976">
        <v>2261.5320000000002</v>
      </c>
      <c r="L184" s="978">
        <v>-84.467999999999847</v>
      </c>
      <c r="M184" s="976" t="s">
        <v>3589</v>
      </c>
      <c r="N184" s="976">
        <v>3015.3760000000002</v>
      </c>
      <c r="O184" s="735">
        <f t="shared" si="8"/>
        <v>-112.6239999999998</v>
      </c>
      <c r="P184" s="738">
        <f t="shared" si="6"/>
        <v>3015376</v>
      </c>
      <c r="Q184" s="751">
        <f t="shared" si="7"/>
        <v>3015000</v>
      </c>
      <c r="U184" s="751"/>
      <c r="V184" s="988"/>
      <c r="W184" s="1024"/>
      <c r="AY184" s="845"/>
      <c r="AZ184" s="845"/>
      <c r="BA184" s="845"/>
      <c r="BB184" s="845"/>
      <c r="BC184" s="845"/>
      <c r="BD184" s="845"/>
      <c r="BE184" s="845"/>
      <c r="BF184" s="845"/>
      <c r="BG184" s="845"/>
      <c r="BH184" s="845"/>
      <c r="BI184" s="845"/>
      <c r="BJ184" s="845"/>
      <c r="BK184" s="845"/>
      <c r="BL184" s="845"/>
      <c r="BM184" s="845"/>
      <c r="BN184" s="845"/>
      <c r="BO184" s="845"/>
      <c r="BP184" s="845"/>
      <c r="BQ184" s="845"/>
      <c r="BR184" s="845"/>
      <c r="BS184" s="845"/>
      <c r="BT184" s="845"/>
      <c r="BU184" s="845"/>
      <c r="BV184" s="845"/>
      <c r="BW184" s="845"/>
      <c r="BX184" s="845"/>
      <c r="BY184" s="845"/>
      <c r="BZ184" s="845"/>
      <c r="CA184" s="845"/>
      <c r="CB184" s="845"/>
      <c r="CC184" s="845"/>
    </row>
    <row r="185" spans="1:81" ht="12.75" customHeight="1">
      <c r="A185" s="976" t="s">
        <v>3893</v>
      </c>
      <c r="B185" s="976" t="s">
        <v>1107</v>
      </c>
      <c r="C185" s="977">
        <v>1345100932</v>
      </c>
      <c r="D185" s="976" t="s">
        <v>155</v>
      </c>
      <c r="E185" s="976">
        <v>533</v>
      </c>
      <c r="F185" s="976">
        <v>533</v>
      </c>
      <c r="G185" s="976">
        <v>399.75</v>
      </c>
      <c r="H185" s="976">
        <v>412.863</v>
      </c>
      <c r="I185" s="976"/>
      <c r="J185" s="1040">
        <v>-13</v>
      </c>
      <c r="K185" s="976">
        <v>399.863</v>
      </c>
      <c r="L185" s="978">
        <v>0.11299999999999955</v>
      </c>
      <c r="M185" s="976" t="s">
        <v>3589</v>
      </c>
      <c r="N185" s="976">
        <v>533.15066666666667</v>
      </c>
      <c r="O185" s="735">
        <f t="shared" si="8"/>
        <v>0.15066666666666606</v>
      </c>
      <c r="P185" s="738">
        <f t="shared" si="6"/>
        <v>533150.66666666663</v>
      </c>
      <c r="Q185" s="751">
        <f t="shared" si="7"/>
        <v>533000</v>
      </c>
      <c r="U185" s="751"/>
      <c r="V185" s="988"/>
      <c r="W185" s="1024"/>
      <c r="AY185" s="845"/>
      <c r="AZ185" s="845"/>
      <c r="BA185" s="845"/>
      <c r="BB185" s="845"/>
      <c r="BC185" s="845"/>
      <c r="BD185" s="845"/>
      <c r="BE185" s="845"/>
      <c r="BF185" s="845"/>
      <c r="BG185" s="845"/>
      <c r="BH185" s="845"/>
      <c r="BI185" s="845"/>
      <c r="BJ185" s="845"/>
      <c r="BK185" s="845"/>
      <c r="BL185" s="845"/>
      <c r="BM185" s="845"/>
      <c r="BN185" s="845"/>
      <c r="BO185" s="845"/>
      <c r="BP185" s="845"/>
      <c r="BQ185" s="845"/>
      <c r="BR185" s="845"/>
      <c r="BS185" s="845"/>
      <c r="BT185" s="845"/>
      <c r="BU185" s="845"/>
      <c r="BV185" s="845"/>
      <c r="BW185" s="845"/>
      <c r="BX185" s="845"/>
      <c r="BY185" s="845"/>
      <c r="BZ185" s="845"/>
      <c r="CA185" s="845"/>
      <c r="CB185" s="845"/>
      <c r="CC185" s="845"/>
    </row>
    <row r="186" spans="1:81" ht="12.75" customHeight="1">
      <c r="A186" s="976" t="s">
        <v>3894</v>
      </c>
      <c r="B186" s="976" t="s">
        <v>1107</v>
      </c>
      <c r="C186" s="977">
        <v>1345100933</v>
      </c>
      <c r="D186" s="976" t="s">
        <v>128</v>
      </c>
      <c r="E186" s="976">
        <v>1057</v>
      </c>
      <c r="F186" s="976">
        <v>1057</v>
      </c>
      <c r="G186" s="976">
        <v>792.75</v>
      </c>
      <c r="H186" s="976">
        <v>298.91899999999998</v>
      </c>
      <c r="I186" s="976"/>
      <c r="J186" s="1019">
        <v>498</v>
      </c>
      <c r="K186" s="976">
        <v>796.91899999999998</v>
      </c>
      <c r="L186" s="978">
        <v>4.1689999999999827</v>
      </c>
      <c r="M186" s="976" t="s">
        <v>3589</v>
      </c>
      <c r="N186" s="976">
        <v>1062.5586666666668</v>
      </c>
      <c r="O186" s="735">
        <f t="shared" si="8"/>
        <v>5.5586666666667952</v>
      </c>
      <c r="P186" s="738">
        <f t="shared" si="6"/>
        <v>1062558.6666666667</v>
      </c>
      <c r="Q186" s="751">
        <f t="shared" si="7"/>
        <v>1063000</v>
      </c>
      <c r="U186" s="751"/>
      <c r="V186" s="988"/>
      <c r="W186" s="1024"/>
      <c r="AY186" s="845"/>
      <c r="AZ186" s="845"/>
      <c r="BA186" s="845"/>
      <c r="BB186" s="845"/>
      <c r="BC186" s="845"/>
      <c r="BD186" s="845"/>
      <c r="BE186" s="845"/>
      <c r="BF186" s="845"/>
      <c r="BG186" s="845"/>
      <c r="BH186" s="845"/>
      <c r="BI186" s="845"/>
      <c r="BJ186" s="845"/>
      <c r="BK186" s="845"/>
      <c r="BL186" s="845"/>
      <c r="BM186" s="845"/>
      <c r="BN186" s="845"/>
      <c r="BO186" s="845"/>
      <c r="BP186" s="845"/>
      <c r="BQ186" s="845"/>
      <c r="BR186" s="845"/>
      <c r="BS186" s="845"/>
      <c r="BT186" s="845"/>
      <c r="BU186" s="845"/>
      <c r="BV186" s="845"/>
      <c r="BW186" s="845"/>
      <c r="BX186" s="845"/>
      <c r="BY186" s="845"/>
      <c r="BZ186" s="845"/>
      <c r="CA186" s="845"/>
      <c r="CB186" s="845"/>
      <c r="CC186" s="845"/>
    </row>
    <row r="187" spans="1:81" ht="12.75" customHeight="1">
      <c r="A187" s="976" t="s">
        <v>3896</v>
      </c>
      <c r="B187" s="976" t="s">
        <v>1107</v>
      </c>
      <c r="C187" s="977">
        <v>1345100934</v>
      </c>
      <c r="D187" s="976" t="s">
        <v>156</v>
      </c>
      <c r="E187" s="976">
        <v>1622</v>
      </c>
      <c r="F187" s="976">
        <v>1622</v>
      </c>
      <c r="G187" s="976">
        <v>1216.5</v>
      </c>
      <c r="H187" s="976">
        <v>2918.4029999999998</v>
      </c>
      <c r="I187" s="976"/>
      <c r="J187" s="976">
        <v>0</v>
      </c>
      <c r="K187" s="976">
        <v>2918.4029999999998</v>
      </c>
      <c r="L187" s="978">
        <v>1701.9029999999998</v>
      </c>
      <c r="M187" s="976" t="s">
        <v>3589</v>
      </c>
      <c r="N187" s="976">
        <v>3891.2039999999997</v>
      </c>
      <c r="O187" s="735">
        <f t="shared" si="8"/>
        <v>2269.2039999999997</v>
      </c>
      <c r="P187" s="738">
        <f t="shared" si="6"/>
        <v>3891203.9999999995</v>
      </c>
      <c r="Q187" s="751">
        <f t="shared" si="7"/>
        <v>3891000</v>
      </c>
      <c r="U187" s="751"/>
      <c r="V187" s="988"/>
      <c r="W187" s="1024"/>
      <c r="AY187" s="845"/>
      <c r="AZ187" s="845"/>
      <c r="BA187" s="845"/>
      <c r="BB187" s="845"/>
      <c r="BC187" s="845"/>
      <c r="BD187" s="845"/>
      <c r="BE187" s="845"/>
      <c r="BF187" s="845"/>
      <c r="BG187" s="845"/>
      <c r="BH187" s="845"/>
      <c r="BI187" s="845"/>
      <c r="BJ187" s="845"/>
      <c r="BK187" s="845"/>
      <c r="BL187" s="845"/>
      <c r="BM187" s="845"/>
      <c r="BN187" s="845"/>
      <c r="BO187" s="845"/>
      <c r="BP187" s="845"/>
      <c r="BQ187" s="845"/>
      <c r="BR187" s="845"/>
      <c r="BS187" s="845"/>
      <c r="BT187" s="845"/>
      <c r="BU187" s="845"/>
      <c r="BV187" s="845"/>
      <c r="BW187" s="845"/>
      <c r="BX187" s="845"/>
      <c r="BY187" s="845"/>
      <c r="BZ187" s="845"/>
      <c r="CA187" s="845"/>
      <c r="CB187" s="845"/>
      <c r="CC187" s="845"/>
    </row>
    <row r="188" spans="1:81" ht="12.75" customHeight="1">
      <c r="A188" s="976" t="s">
        <v>3897</v>
      </c>
      <c r="B188" s="976" t="s">
        <v>1107</v>
      </c>
      <c r="C188" s="977">
        <v>1345100935</v>
      </c>
      <c r="D188" s="976" t="s">
        <v>157</v>
      </c>
      <c r="E188" s="976">
        <v>0</v>
      </c>
      <c r="F188" s="976">
        <v>0</v>
      </c>
      <c r="G188" s="976">
        <v>0</v>
      </c>
      <c r="H188" s="976">
        <v>0</v>
      </c>
      <c r="I188" s="976"/>
      <c r="J188" s="976">
        <v>0</v>
      </c>
      <c r="K188" s="976">
        <v>0</v>
      </c>
      <c r="L188" s="978">
        <v>0</v>
      </c>
      <c r="M188" s="976" t="s">
        <v>3589</v>
      </c>
      <c r="N188" s="976">
        <v>0</v>
      </c>
      <c r="O188" s="735">
        <f t="shared" si="8"/>
        <v>0</v>
      </c>
      <c r="P188" s="738">
        <f t="shared" si="6"/>
        <v>0</v>
      </c>
      <c r="Q188" s="751">
        <f t="shared" si="7"/>
        <v>0</v>
      </c>
      <c r="U188" s="751"/>
      <c r="V188" s="988"/>
      <c r="W188" s="1024"/>
      <c r="AY188" s="845"/>
      <c r="AZ188" s="845"/>
      <c r="BA188" s="845"/>
      <c r="BB188" s="845"/>
      <c r="BC188" s="845"/>
      <c r="BD188" s="845"/>
      <c r="BE188" s="845"/>
      <c r="BF188" s="845"/>
      <c r="BG188" s="845"/>
      <c r="BH188" s="845"/>
      <c r="BI188" s="845"/>
      <c r="BJ188" s="845"/>
      <c r="BK188" s="845"/>
      <c r="BL188" s="845"/>
      <c r="BM188" s="845"/>
      <c r="BN188" s="845"/>
      <c r="BO188" s="845"/>
      <c r="BP188" s="845"/>
      <c r="BQ188" s="845"/>
      <c r="BR188" s="845"/>
      <c r="BS188" s="845"/>
      <c r="BT188" s="845"/>
      <c r="BU188" s="845"/>
      <c r="BV188" s="845"/>
      <c r="BW188" s="845"/>
      <c r="BX188" s="845"/>
      <c r="BY188" s="845"/>
      <c r="BZ188" s="845"/>
      <c r="CA188" s="845"/>
      <c r="CB188" s="845"/>
      <c r="CC188" s="845"/>
    </row>
    <row r="189" spans="1:81" ht="12.75" customHeight="1">
      <c r="A189" s="976" t="s">
        <v>3895</v>
      </c>
      <c r="B189" s="976" t="s">
        <v>1107</v>
      </c>
      <c r="C189" s="977">
        <v>1345100936</v>
      </c>
      <c r="D189" s="976" t="s">
        <v>3239</v>
      </c>
      <c r="E189" s="976">
        <v>0</v>
      </c>
      <c r="F189" s="976">
        <v>0</v>
      </c>
      <c r="G189" s="976">
        <v>0</v>
      </c>
      <c r="H189" s="976">
        <v>0</v>
      </c>
      <c r="I189" s="976"/>
      <c r="J189" s="976">
        <v>0</v>
      </c>
      <c r="K189" s="976">
        <v>0</v>
      </c>
      <c r="L189" s="978">
        <v>0</v>
      </c>
      <c r="M189" s="976" t="s">
        <v>3589</v>
      </c>
      <c r="N189" s="976">
        <v>0</v>
      </c>
      <c r="O189" s="735">
        <f t="shared" si="8"/>
        <v>0</v>
      </c>
      <c r="P189" s="738">
        <f t="shared" si="6"/>
        <v>0</v>
      </c>
      <c r="Q189" s="751">
        <f t="shared" si="7"/>
        <v>0</v>
      </c>
      <c r="U189" s="751"/>
      <c r="V189" s="988"/>
      <c r="W189" s="1024"/>
      <c r="AY189" s="845"/>
      <c r="AZ189" s="845"/>
      <c r="BA189" s="845"/>
      <c r="BB189" s="845"/>
      <c r="BC189" s="845"/>
      <c r="BD189" s="845"/>
      <c r="BE189" s="845"/>
      <c r="BF189" s="845"/>
      <c r="BG189" s="845"/>
      <c r="BH189" s="845"/>
      <c r="BI189" s="845"/>
      <c r="BJ189" s="845"/>
      <c r="BK189" s="845"/>
      <c r="BL189" s="845"/>
      <c r="BM189" s="845"/>
      <c r="BN189" s="845"/>
      <c r="BO189" s="845"/>
      <c r="BP189" s="845"/>
      <c r="BQ189" s="845"/>
      <c r="BR189" s="845"/>
      <c r="BS189" s="845"/>
      <c r="BT189" s="845"/>
      <c r="BU189" s="845"/>
      <c r="BV189" s="845"/>
      <c r="BW189" s="845"/>
      <c r="BX189" s="845"/>
      <c r="BY189" s="845"/>
      <c r="BZ189" s="845"/>
      <c r="CA189" s="845"/>
      <c r="CB189" s="845"/>
      <c r="CC189" s="845"/>
    </row>
    <row r="190" spans="1:81" ht="12.75" customHeight="1">
      <c r="A190" s="976" t="s">
        <v>3900</v>
      </c>
      <c r="B190" s="976" t="s">
        <v>1107</v>
      </c>
      <c r="C190" s="977">
        <v>1345100937</v>
      </c>
      <c r="D190" s="976" t="s">
        <v>3240</v>
      </c>
      <c r="E190" s="976">
        <v>0</v>
      </c>
      <c r="F190" s="976">
        <v>0</v>
      </c>
      <c r="G190" s="976">
        <v>0</v>
      </c>
      <c r="H190" s="976">
        <v>0</v>
      </c>
      <c r="I190" s="976"/>
      <c r="J190" s="976">
        <v>0</v>
      </c>
      <c r="K190" s="976">
        <v>0</v>
      </c>
      <c r="L190" s="978">
        <v>0</v>
      </c>
      <c r="M190" s="976" t="s">
        <v>3589</v>
      </c>
      <c r="N190" s="976">
        <v>0</v>
      </c>
      <c r="O190" s="735">
        <f t="shared" si="8"/>
        <v>0</v>
      </c>
      <c r="P190" s="738">
        <f t="shared" si="6"/>
        <v>0</v>
      </c>
      <c r="Q190" s="751">
        <f t="shared" si="7"/>
        <v>0</v>
      </c>
      <c r="U190" s="751"/>
      <c r="V190" s="988"/>
      <c r="W190" s="1024"/>
      <c r="AY190" s="845"/>
      <c r="AZ190" s="845"/>
      <c r="BA190" s="845"/>
      <c r="BB190" s="845"/>
      <c r="BC190" s="845"/>
      <c r="BD190" s="845"/>
      <c r="BE190" s="845"/>
      <c r="BF190" s="845"/>
      <c r="BG190" s="845"/>
      <c r="BH190" s="845"/>
      <c r="BI190" s="845"/>
      <c r="BJ190" s="845"/>
      <c r="BK190" s="845"/>
      <c r="BL190" s="845"/>
      <c r="BM190" s="845"/>
      <c r="BN190" s="845"/>
      <c r="BO190" s="845"/>
      <c r="BP190" s="845"/>
      <c r="BQ190" s="845"/>
      <c r="BR190" s="845"/>
      <c r="BS190" s="845"/>
      <c r="BT190" s="845"/>
      <c r="BU190" s="845"/>
      <c r="BV190" s="845"/>
      <c r="BW190" s="845"/>
      <c r="BX190" s="845"/>
      <c r="BY190" s="845"/>
      <c r="BZ190" s="845"/>
      <c r="CA190" s="845"/>
      <c r="CB190" s="845"/>
      <c r="CC190" s="845"/>
    </row>
    <row r="191" spans="1:81" ht="12.75" customHeight="1">
      <c r="A191" s="976" t="s">
        <v>3898</v>
      </c>
      <c r="B191" s="976" t="s">
        <v>1107</v>
      </c>
      <c r="C191" s="977">
        <v>1345100938</v>
      </c>
      <c r="D191" s="976" t="s">
        <v>158</v>
      </c>
      <c r="E191" s="976">
        <v>20</v>
      </c>
      <c r="F191" s="976">
        <v>20</v>
      </c>
      <c r="G191" s="976">
        <v>15</v>
      </c>
      <c r="H191" s="976">
        <v>17.437999999999999</v>
      </c>
      <c r="I191" s="976"/>
      <c r="J191" s="976">
        <v>0</v>
      </c>
      <c r="K191" s="976">
        <v>17.437999999999999</v>
      </c>
      <c r="L191" s="978">
        <v>2.4379999999999988</v>
      </c>
      <c r="M191" s="976" t="s">
        <v>3589</v>
      </c>
      <c r="N191" s="976">
        <v>23.250666666666664</v>
      </c>
      <c r="O191" s="735">
        <f t="shared" si="8"/>
        <v>3.2506666666666639</v>
      </c>
      <c r="P191" s="738">
        <f t="shared" si="6"/>
        <v>23250.666666666664</v>
      </c>
      <c r="Q191" s="751">
        <f t="shared" si="7"/>
        <v>23000</v>
      </c>
      <c r="U191" s="751"/>
      <c r="V191" s="988"/>
      <c r="W191" s="1024"/>
      <c r="AY191" s="845"/>
      <c r="AZ191" s="845"/>
      <c r="BA191" s="845"/>
      <c r="BB191" s="845"/>
      <c r="BC191" s="845"/>
      <c r="BD191" s="845"/>
      <c r="BE191" s="845"/>
      <c r="BF191" s="845"/>
      <c r="BG191" s="845"/>
      <c r="BH191" s="845"/>
      <c r="BI191" s="845"/>
      <c r="BJ191" s="845"/>
      <c r="BK191" s="845"/>
      <c r="BL191" s="845"/>
      <c r="BM191" s="845"/>
      <c r="BN191" s="845"/>
      <c r="BO191" s="845"/>
      <c r="BP191" s="845"/>
      <c r="BQ191" s="845"/>
      <c r="BR191" s="845"/>
      <c r="BS191" s="845"/>
      <c r="BT191" s="845"/>
      <c r="BU191" s="845"/>
      <c r="BV191" s="845"/>
      <c r="BW191" s="845"/>
      <c r="BX191" s="845"/>
      <c r="BY191" s="845"/>
      <c r="BZ191" s="845"/>
      <c r="CA191" s="845"/>
      <c r="CB191" s="845"/>
      <c r="CC191" s="845"/>
    </row>
    <row r="192" spans="1:81" ht="12.75" customHeight="1">
      <c r="A192" s="976" t="s">
        <v>3899</v>
      </c>
      <c r="B192" s="976" t="s">
        <v>1107</v>
      </c>
      <c r="C192" s="977">
        <v>1345100939</v>
      </c>
      <c r="D192" s="976" t="s">
        <v>159</v>
      </c>
      <c r="E192" s="976">
        <v>59</v>
      </c>
      <c r="F192" s="976">
        <v>59</v>
      </c>
      <c r="G192" s="976">
        <v>44.25</v>
      </c>
      <c r="H192" s="976">
        <v>35.274999999999999</v>
      </c>
      <c r="I192" s="976"/>
      <c r="J192" s="976">
        <v>0</v>
      </c>
      <c r="K192" s="976">
        <v>35.274999999999999</v>
      </c>
      <c r="L192" s="978">
        <v>-8.9750000000000014</v>
      </c>
      <c r="M192" s="976" t="s">
        <v>3589</v>
      </c>
      <c r="N192" s="976">
        <v>47.033333333333331</v>
      </c>
      <c r="O192" s="735">
        <f t="shared" si="8"/>
        <v>-11.966666666666669</v>
      </c>
      <c r="P192" s="738">
        <f t="shared" si="6"/>
        <v>47033.333333333328</v>
      </c>
      <c r="Q192" s="751">
        <f t="shared" si="7"/>
        <v>47000</v>
      </c>
      <c r="U192" s="751"/>
      <c r="V192" s="988"/>
      <c r="W192" s="1024"/>
      <c r="AY192" s="845"/>
      <c r="AZ192" s="845"/>
      <c r="BA192" s="845"/>
      <c r="BB192" s="845"/>
      <c r="BC192" s="845"/>
      <c r="BD192" s="845"/>
      <c r="BE192" s="845"/>
      <c r="BF192" s="845"/>
      <c r="BG192" s="845"/>
      <c r="BH192" s="845"/>
      <c r="BI192" s="845"/>
      <c r="BJ192" s="845"/>
      <c r="BK192" s="845"/>
      <c r="BL192" s="845"/>
      <c r="BM192" s="845"/>
      <c r="BN192" s="845"/>
      <c r="BO192" s="845"/>
      <c r="BP192" s="845"/>
      <c r="BQ192" s="845"/>
      <c r="BR192" s="845"/>
      <c r="BS192" s="845"/>
      <c r="BT192" s="845"/>
      <c r="BU192" s="845"/>
      <c r="BV192" s="845"/>
      <c r="BW192" s="845"/>
      <c r="BX192" s="845"/>
      <c r="BY192" s="845"/>
      <c r="BZ192" s="845"/>
      <c r="CA192" s="845"/>
      <c r="CB192" s="845"/>
      <c r="CC192" s="845"/>
    </row>
    <row r="193" spans="1:81" ht="12.75" customHeight="1">
      <c r="A193" s="976" t="s">
        <v>3891</v>
      </c>
      <c r="B193" s="976" t="s">
        <v>1107</v>
      </c>
      <c r="C193" s="977">
        <v>1345200930</v>
      </c>
      <c r="D193" s="976" t="s">
        <v>160</v>
      </c>
      <c r="E193" s="976">
        <v>8107</v>
      </c>
      <c r="F193" s="976">
        <v>8107</v>
      </c>
      <c r="G193" s="976">
        <v>6080.25</v>
      </c>
      <c r="H193" s="976">
        <v>6457.46</v>
      </c>
      <c r="I193" s="976"/>
      <c r="J193" s="1040">
        <v>-1644</v>
      </c>
      <c r="K193" s="976">
        <v>4813.46</v>
      </c>
      <c r="L193" s="978">
        <v>-1266.79</v>
      </c>
      <c r="M193" s="976" t="s">
        <v>3589</v>
      </c>
      <c r="N193" s="976">
        <v>6417.9466666666667</v>
      </c>
      <c r="O193" s="735">
        <f t="shared" si="8"/>
        <v>-1689.0533333333333</v>
      </c>
      <c r="P193" s="738">
        <f t="shared" si="6"/>
        <v>6417946.666666667</v>
      </c>
      <c r="Q193" s="751">
        <f t="shared" si="7"/>
        <v>6418000</v>
      </c>
      <c r="U193" s="751"/>
      <c r="V193" s="988"/>
      <c r="W193" s="1024"/>
      <c r="AY193" s="845"/>
      <c r="AZ193" s="845"/>
      <c r="BA193" s="845"/>
      <c r="BB193" s="845"/>
      <c r="BC193" s="845"/>
      <c r="BD193" s="845"/>
      <c r="BE193" s="845"/>
      <c r="BF193" s="845"/>
      <c r="BG193" s="845"/>
      <c r="BH193" s="845"/>
      <c r="BI193" s="845"/>
      <c r="BJ193" s="845"/>
      <c r="BK193" s="845"/>
      <c r="BL193" s="845"/>
      <c r="BM193" s="845"/>
      <c r="BN193" s="845"/>
      <c r="BO193" s="845"/>
      <c r="BP193" s="845"/>
      <c r="BQ193" s="845"/>
      <c r="BR193" s="845"/>
      <c r="BS193" s="845"/>
      <c r="BT193" s="845"/>
      <c r="BU193" s="845"/>
      <c r="BV193" s="845"/>
      <c r="BW193" s="845"/>
      <c r="BX193" s="845"/>
      <c r="BY193" s="845"/>
      <c r="BZ193" s="845"/>
      <c r="CA193" s="845"/>
      <c r="CB193" s="845"/>
      <c r="CC193" s="845"/>
    </row>
    <row r="194" spans="1:81" ht="12.75" customHeight="1">
      <c r="A194" s="976" t="s">
        <v>3892</v>
      </c>
      <c r="B194" s="976" t="s">
        <v>1107</v>
      </c>
      <c r="C194" s="977">
        <v>1345200931</v>
      </c>
      <c r="D194" s="976" t="s">
        <v>161</v>
      </c>
      <c r="E194" s="976">
        <v>0</v>
      </c>
      <c r="F194" s="976">
        <v>0</v>
      </c>
      <c r="G194" s="976">
        <v>0</v>
      </c>
      <c r="H194" s="976">
        <v>0</v>
      </c>
      <c r="I194" s="976"/>
      <c r="J194" s="976">
        <v>0</v>
      </c>
      <c r="K194" s="976">
        <v>0</v>
      </c>
      <c r="L194" s="978">
        <v>0</v>
      </c>
      <c r="M194" s="976" t="s">
        <v>3589</v>
      </c>
      <c r="N194" s="976">
        <v>0</v>
      </c>
      <c r="O194" s="735">
        <f t="shared" si="8"/>
        <v>0</v>
      </c>
      <c r="P194" s="738">
        <f t="shared" si="6"/>
        <v>0</v>
      </c>
      <c r="Q194" s="751">
        <f t="shared" si="7"/>
        <v>0</v>
      </c>
      <c r="U194" s="751"/>
      <c r="V194" s="988"/>
      <c r="W194" s="1024"/>
      <c r="AY194" s="845"/>
      <c r="AZ194" s="845"/>
      <c r="BA194" s="845"/>
      <c r="BB194" s="845"/>
      <c r="BC194" s="845"/>
      <c r="BD194" s="845"/>
      <c r="BE194" s="845"/>
      <c r="BF194" s="845"/>
      <c r="BG194" s="845"/>
      <c r="BH194" s="845"/>
      <c r="BI194" s="845"/>
      <c r="BJ194" s="845"/>
      <c r="BK194" s="845"/>
      <c r="BL194" s="845"/>
      <c r="BM194" s="845"/>
      <c r="BN194" s="845"/>
      <c r="BO194" s="845"/>
      <c r="BP194" s="845"/>
      <c r="BQ194" s="845"/>
      <c r="BR194" s="845"/>
      <c r="BS194" s="845"/>
      <c r="BT194" s="845"/>
      <c r="BU194" s="845"/>
      <c r="BV194" s="845"/>
      <c r="BW194" s="845"/>
      <c r="BX194" s="845"/>
      <c r="BY194" s="845"/>
      <c r="BZ194" s="845"/>
      <c r="CA194" s="845"/>
      <c r="CB194" s="845"/>
      <c r="CC194" s="845"/>
    </row>
    <row r="195" spans="1:81" ht="12.75" customHeight="1">
      <c r="A195" s="976" t="s">
        <v>3893</v>
      </c>
      <c r="B195" s="976" t="s">
        <v>1107</v>
      </c>
      <c r="C195" s="977">
        <v>1345200932</v>
      </c>
      <c r="D195" s="976" t="s">
        <v>3241</v>
      </c>
      <c r="E195" s="976">
        <v>0</v>
      </c>
      <c r="F195" s="976">
        <v>0</v>
      </c>
      <c r="G195" s="976">
        <v>0</v>
      </c>
      <c r="H195" s="976">
        <v>0</v>
      </c>
      <c r="I195" s="976"/>
      <c r="J195" s="976">
        <v>0</v>
      </c>
      <c r="K195" s="976">
        <v>0</v>
      </c>
      <c r="L195" s="978">
        <v>0</v>
      </c>
      <c r="M195" s="976" t="s">
        <v>3589</v>
      </c>
      <c r="N195" s="976">
        <v>0</v>
      </c>
      <c r="O195" s="735">
        <f t="shared" si="8"/>
        <v>0</v>
      </c>
      <c r="P195" s="738">
        <f t="shared" si="6"/>
        <v>0</v>
      </c>
      <c r="Q195" s="751">
        <f t="shared" si="7"/>
        <v>0</v>
      </c>
      <c r="U195" s="751"/>
      <c r="V195" s="988"/>
      <c r="W195" s="1024"/>
      <c r="AY195" s="845"/>
      <c r="AZ195" s="845"/>
      <c r="BA195" s="845"/>
      <c r="BB195" s="845"/>
      <c r="BC195" s="845"/>
      <c r="BD195" s="845"/>
      <c r="BE195" s="845"/>
      <c r="BF195" s="845"/>
      <c r="BG195" s="845"/>
      <c r="BH195" s="845"/>
      <c r="BI195" s="845"/>
      <c r="BJ195" s="845"/>
      <c r="BK195" s="845"/>
      <c r="BL195" s="845"/>
      <c r="BM195" s="845"/>
      <c r="BN195" s="845"/>
      <c r="BO195" s="845"/>
      <c r="BP195" s="845"/>
      <c r="BQ195" s="845"/>
      <c r="BR195" s="845"/>
      <c r="BS195" s="845"/>
      <c r="BT195" s="845"/>
      <c r="BU195" s="845"/>
      <c r="BV195" s="845"/>
      <c r="BW195" s="845"/>
      <c r="BX195" s="845"/>
      <c r="BY195" s="845"/>
      <c r="BZ195" s="845"/>
      <c r="CA195" s="845"/>
      <c r="CB195" s="845"/>
      <c r="CC195" s="845"/>
    </row>
    <row r="196" spans="1:81" ht="12.75" customHeight="1">
      <c r="A196" s="976" t="s">
        <v>3894</v>
      </c>
      <c r="B196" s="976" t="s">
        <v>1107</v>
      </c>
      <c r="C196" s="977">
        <v>1345200933</v>
      </c>
      <c r="D196" s="976" t="s">
        <v>3015</v>
      </c>
      <c r="E196" s="976">
        <v>3380</v>
      </c>
      <c r="F196" s="976">
        <v>3380</v>
      </c>
      <c r="G196" s="976">
        <v>2535</v>
      </c>
      <c r="H196" s="976">
        <v>2257.973</v>
      </c>
      <c r="I196" s="976"/>
      <c r="J196" s="1019">
        <v>277</v>
      </c>
      <c r="K196" s="976">
        <v>2534.973</v>
      </c>
      <c r="L196" s="978">
        <v>-2.7000000000043656E-2</v>
      </c>
      <c r="M196" s="976" t="s">
        <v>3589</v>
      </c>
      <c r="N196" s="976">
        <v>3379.9639999999999</v>
      </c>
      <c r="O196" s="735">
        <f t="shared" si="8"/>
        <v>-3.6000000000058208E-2</v>
      </c>
      <c r="P196" s="738">
        <f t="shared" si="6"/>
        <v>3379964</v>
      </c>
      <c r="Q196" s="751">
        <f t="shared" si="7"/>
        <v>3380000</v>
      </c>
      <c r="U196" s="751"/>
      <c r="V196" s="988"/>
      <c r="W196" s="1024"/>
      <c r="AY196" s="845"/>
      <c r="AZ196" s="845"/>
      <c r="BA196" s="845"/>
      <c r="BB196" s="845"/>
      <c r="BC196" s="845"/>
      <c r="BD196" s="845"/>
      <c r="BE196" s="845"/>
      <c r="BF196" s="845"/>
      <c r="BG196" s="845"/>
      <c r="BH196" s="845"/>
      <c r="BI196" s="845"/>
      <c r="BJ196" s="845"/>
      <c r="BK196" s="845"/>
      <c r="BL196" s="845"/>
      <c r="BM196" s="845"/>
      <c r="BN196" s="845"/>
      <c r="BO196" s="845"/>
      <c r="BP196" s="845"/>
      <c r="BQ196" s="845"/>
      <c r="BR196" s="845"/>
      <c r="BS196" s="845"/>
      <c r="BT196" s="845"/>
      <c r="BU196" s="845"/>
      <c r="BV196" s="845"/>
      <c r="BW196" s="845"/>
      <c r="BX196" s="845"/>
      <c r="BY196" s="845"/>
      <c r="BZ196" s="845"/>
      <c r="CA196" s="845"/>
      <c r="CB196" s="845"/>
      <c r="CC196" s="845"/>
    </row>
    <row r="197" spans="1:81" ht="12.75" customHeight="1">
      <c r="A197" s="976" t="s">
        <v>3896</v>
      </c>
      <c r="B197" s="976" t="s">
        <v>1107</v>
      </c>
      <c r="C197" s="977">
        <v>1345200934</v>
      </c>
      <c r="D197" s="976" t="s">
        <v>163</v>
      </c>
      <c r="E197" s="976">
        <v>600</v>
      </c>
      <c r="F197" s="976">
        <v>600</v>
      </c>
      <c r="G197" s="976">
        <v>450</v>
      </c>
      <c r="H197" s="976">
        <v>370.887</v>
      </c>
      <c r="I197" s="976"/>
      <c r="J197" s="1019">
        <v>31</v>
      </c>
      <c r="K197" s="976">
        <v>401.887</v>
      </c>
      <c r="L197" s="978">
        <v>-48.113</v>
      </c>
      <c r="M197" s="976" t="s">
        <v>3589</v>
      </c>
      <c r="N197" s="976">
        <v>535.84933333333333</v>
      </c>
      <c r="O197" s="735">
        <f t="shared" si="8"/>
        <v>-64.150666666666666</v>
      </c>
      <c r="P197" s="738">
        <f t="shared" si="6"/>
        <v>535849.33333333337</v>
      </c>
      <c r="Q197" s="751">
        <f t="shared" si="7"/>
        <v>536000</v>
      </c>
      <c r="U197" s="751"/>
      <c r="V197" s="988"/>
      <c r="W197" s="1024"/>
      <c r="AY197" s="845"/>
      <c r="AZ197" s="845"/>
      <c r="BA197" s="845"/>
      <c r="BB197" s="845"/>
      <c r="BC197" s="845"/>
      <c r="BD197" s="845"/>
      <c r="BE197" s="845"/>
      <c r="BF197" s="845"/>
      <c r="BG197" s="845"/>
      <c r="BH197" s="845"/>
      <c r="BI197" s="845"/>
      <c r="BJ197" s="845"/>
      <c r="BK197" s="845"/>
      <c r="BL197" s="845"/>
      <c r="BM197" s="845"/>
      <c r="BN197" s="845"/>
      <c r="BO197" s="845"/>
      <c r="BP197" s="845"/>
      <c r="BQ197" s="845"/>
      <c r="BR197" s="845"/>
      <c r="BS197" s="845"/>
      <c r="BT197" s="845"/>
      <c r="BU197" s="845"/>
      <c r="BV197" s="845"/>
      <c r="BW197" s="845"/>
      <c r="BX197" s="845"/>
      <c r="BY197" s="845"/>
      <c r="BZ197" s="845"/>
      <c r="CA197" s="845"/>
      <c r="CB197" s="845"/>
      <c r="CC197" s="845"/>
    </row>
    <row r="198" spans="1:81" ht="12.75" customHeight="1">
      <c r="A198" s="976" t="s">
        <v>3897</v>
      </c>
      <c r="B198" s="976" t="s">
        <v>1107</v>
      </c>
      <c r="C198" s="977">
        <v>1345200935</v>
      </c>
      <c r="D198" s="976" t="s">
        <v>164</v>
      </c>
      <c r="E198" s="976">
        <v>11</v>
      </c>
      <c r="F198" s="976">
        <v>11</v>
      </c>
      <c r="G198" s="976">
        <v>8.25</v>
      </c>
      <c r="H198" s="976">
        <v>4.3520000000000003</v>
      </c>
      <c r="I198" s="976"/>
      <c r="J198" s="1019">
        <v>2</v>
      </c>
      <c r="K198" s="976">
        <v>6.3520000000000003</v>
      </c>
      <c r="L198" s="978">
        <v>-1.8979999999999997</v>
      </c>
      <c r="M198" s="976" t="s">
        <v>3589</v>
      </c>
      <c r="N198" s="976">
        <v>8.4693333333333332</v>
      </c>
      <c r="O198" s="735">
        <f t="shared" si="8"/>
        <v>-2.5306666666666668</v>
      </c>
      <c r="P198" s="738">
        <f t="shared" si="6"/>
        <v>8469.3333333333339</v>
      </c>
      <c r="Q198" s="751">
        <f t="shared" si="7"/>
        <v>8000</v>
      </c>
      <c r="U198" s="751"/>
      <c r="V198" s="988"/>
      <c r="W198" s="1024"/>
      <c r="AY198" s="845"/>
      <c r="AZ198" s="845"/>
      <c r="BA198" s="845"/>
      <c r="BB198" s="845"/>
      <c r="BC198" s="845"/>
      <c r="BD198" s="845"/>
      <c r="BE198" s="845"/>
      <c r="BF198" s="845"/>
      <c r="BG198" s="845"/>
      <c r="BH198" s="845"/>
      <c r="BI198" s="845"/>
      <c r="BJ198" s="845"/>
      <c r="BK198" s="845"/>
      <c r="BL198" s="845"/>
      <c r="BM198" s="845"/>
      <c r="BN198" s="845"/>
      <c r="BO198" s="845"/>
      <c r="BP198" s="845"/>
      <c r="BQ198" s="845"/>
      <c r="BR198" s="845"/>
      <c r="BS198" s="845"/>
      <c r="BT198" s="845"/>
      <c r="BU198" s="845"/>
      <c r="BV198" s="845"/>
      <c r="BW198" s="845"/>
      <c r="BX198" s="845"/>
      <c r="BY198" s="845"/>
      <c r="BZ198" s="845"/>
      <c r="CA198" s="845"/>
      <c r="CB198" s="845"/>
      <c r="CC198" s="845"/>
    </row>
    <row r="199" spans="1:81" ht="12.75" customHeight="1">
      <c r="A199" s="976" t="s">
        <v>3895</v>
      </c>
      <c r="B199" s="976" t="s">
        <v>1107</v>
      </c>
      <c r="C199" s="977">
        <v>1345200936</v>
      </c>
      <c r="D199" s="976" t="s">
        <v>165</v>
      </c>
      <c r="E199" s="976">
        <v>30</v>
      </c>
      <c r="F199" s="976">
        <v>30</v>
      </c>
      <c r="G199" s="976">
        <v>22.5</v>
      </c>
      <c r="H199" s="976">
        <v>6.7519999999999998</v>
      </c>
      <c r="I199" s="976"/>
      <c r="J199" s="1019">
        <v>16</v>
      </c>
      <c r="K199" s="976">
        <v>22.751999999999999</v>
      </c>
      <c r="L199" s="978">
        <v>0.25199999999999889</v>
      </c>
      <c r="M199" s="976" t="s">
        <v>3589</v>
      </c>
      <c r="N199" s="976">
        <v>30.335999999999999</v>
      </c>
      <c r="O199" s="735">
        <f t="shared" si="8"/>
        <v>0.33599999999999852</v>
      </c>
      <c r="P199" s="738">
        <f t="shared" si="6"/>
        <v>30336</v>
      </c>
      <c r="Q199" s="751">
        <f t="shared" si="7"/>
        <v>30000</v>
      </c>
      <c r="U199" s="751"/>
      <c r="V199" s="988"/>
      <c r="W199" s="1024"/>
      <c r="AY199" s="845"/>
      <c r="AZ199" s="845"/>
      <c r="BA199" s="845"/>
      <c r="BB199" s="845"/>
      <c r="BC199" s="845"/>
      <c r="BD199" s="845"/>
      <c r="BE199" s="845"/>
      <c r="BF199" s="845"/>
      <c r="BG199" s="845"/>
      <c r="BH199" s="845"/>
      <c r="BI199" s="845"/>
      <c r="BJ199" s="845"/>
      <c r="BK199" s="845"/>
      <c r="BL199" s="845"/>
      <c r="BM199" s="845"/>
      <c r="BN199" s="845"/>
      <c r="BO199" s="845"/>
      <c r="BP199" s="845"/>
      <c r="BQ199" s="845"/>
      <c r="BR199" s="845"/>
      <c r="BS199" s="845"/>
      <c r="BT199" s="845"/>
      <c r="BU199" s="845"/>
      <c r="BV199" s="845"/>
      <c r="BW199" s="845"/>
      <c r="BX199" s="845"/>
      <c r="BY199" s="845"/>
      <c r="BZ199" s="845"/>
      <c r="CA199" s="845"/>
      <c r="CB199" s="845"/>
      <c r="CC199" s="845"/>
    </row>
    <row r="200" spans="1:81" ht="12.75" customHeight="1">
      <c r="A200" s="976" t="s">
        <v>3900</v>
      </c>
      <c r="B200" s="976" t="s">
        <v>1107</v>
      </c>
      <c r="C200" s="977">
        <v>1345200937</v>
      </c>
      <c r="D200" s="976" t="s">
        <v>3242</v>
      </c>
      <c r="E200" s="976">
        <v>123</v>
      </c>
      <c r="F200" s="976">
        <v>123</v>
      </c>
      <c r="G200" s="976">
        <v>92.25</v>
      </c>
      <c r="H200" s="976">
        <v>90</v>
      </c>
      <c r="I200" s="976"/>
      <c r="J200" s="1019">
        <v>2</v>
      </c>
      <c r="K200" s="976">
        <v>92</v>
      </c>
      <c r="L200" s="978">
        <v>-0.25</v>
      </c>
      <c r="M200" s="976" t="s">
        <v>3589</v>
      </c>
      <c r="N200" s="976">
        <v>122.66666666666667</v>
      </c>
      <c r="O200" s="735">
        <f t="shared" si="8"/>
        <v>-0.3333333333333286</v>
      </c>
      <c r="P200" s="738">
        <f t="shared" ref="P200:P263" si="9">N200*1000</f>
        <v>122666.66666666667</v>
      </c>
      <c r="Q200" s="751">
        <f t="shared" ref="Q200:Q263" si="10">ROUND(P200,-3)</f>
        <v>123000</v>
      </c>
      <c r="U200" s="751"/>
      <c r="V200" s="988"/>
      <c r="W200" s="1024"/>
      <c r="AY200" s="845"/>
      <c r="AZ200" s="845"/>
      <c r="BA200" s="845"/>
      <c r="BB200" s="845"/>
      <c r="BC200" s="845"/>
      <c r="BD200" s="845"/>
      <c r="BE200" s="845"/>
      <c r="BF200" s="845"/>
      <c r="BG200" s="845"/>
      <c r="BH200" s="845"/>
      <c r="BI200" s="845"/>
      <c r="BJ200" s="845"/>
      <c r="BK200" s="845"/>
      <c r="BL200" s="845"/>
      <c r="BM200" s="845"/>
      <c r="BN200" s="845"/>
      <c r="BO200" s="845"/>
      <c r="BP200" s="845"/>
      <c r="BQ200" s="845"/>
      <c r="BR200" s="845"/>
      <c r="BS200" s="845"/>
      <c r="BT200" s="845"/>
      <c r="BU200" s="845"/>
      <c r="BV200" s="845"/>
      <c r="BW200" s="845"/>
      <c r="BX200" s="845"/>
      <c r="BY200" s="845"/>
      <c r="BZ200" s="845"/>
      <c r="CA200" s="845"/>
      <c r="CB200" s="845"/>
      <c r="CC200" s="845"/>
    </row>
    <row r="201" spans="1:81" ht="12.75" customHeight="1">
      <c r="A201" s="976" t="s">
        <v>3891</v>
      </c>
      <c r="B201" s="976" t="s">
        <v>1107</v>
      </c>
      <c r="C201" s="977">
        <v>1345400930</v>
      </c>
      <c r="D201" s="976" t="s">
        <v>168</v>
      </c>
      <c r="E201" s="976">
        <v>230</v>
      </c>
      <c r="F201" s="976">
        <v>230</v>
      </c>
      <c r="G201" s="976">
        <v>172.5</v>
      </c>
      <c r="H201" s="976">
        <v>461.88299999999998</v>
      </c>
      <c r="I201" s="976"/>
      <c r="J201" s="1040">
        <v>-294</v>
      </c>
      <c r="K201" s="976">
        <v>167.88299999999998</v>
      </c>
      <c r="L201" s="978">
        <v>-4.6170000000000186</v>
      </c>
      <c r="M201" s="976" t="s">
        <v>3589</v>
      </c>
      <c r="N201" s="976">
        <v>223.84399999999997</v>
      </c>
      <c r="O201" s="735">
        <f t="shared" ref="O201:O264" si="11">N201-E201</f>
        <v>-6.1560000000000343</v>
      </c>
      <c r="P201" s="738">
        <f t="shared" si="9"/>
        <v>223843.99999999997</v>
      </c>
      <c r="Q201" s="751">
        <f t="shared" si="10"/>
        <v>224000</v>
      </c>
      <c r="U201" s="751"/>
      <c r="V201" s="988"/>
      <c r="W201" s="1024"/>
      <c r="AY201" s="845"/>
      <c r="AZ201" s="845"/>
      <c r="BA201" s="845"/>
      <c r="BB201" s="845"/>
      <c r="BC201" s="845"/>
      <c r="BD201" s="845"/>
      <c r="BE201" s="845"/>
      <c r="BF201" s="845"/>
      <c r="BG201" s="845"/>
      <c r="BH201" s="845"/>
      <c r="BI201" s="845"/>
      <c r="BJ201" s="845"/>
      <c r="BK201" s="845"/>
      <c r="BL201" s="845"/>
      <c r="BM201" s="845"/>
      <c r="BN201" s="845"/>
      <c r="BO201" s="845"/>
      <c r="BP201" s="845"/>
      <c r="BQ201" s="845"/>
      <c r="BR201" s="845"/>
      <c r="BS201" s="845"/>
      <c r="BT201" s="845"/>
      <c r="BU201" s="845"/>
      <c r="BV201" s="845"/>
      <c r="BW201" s="845"/>
      <c r="BX201" s="845"/>
      <c r="BY201" s="845"/>
      <c r="BZ201" s="845"/>
      <c r="CA201" s="845"/>
      <c r="CB201" s="845"/>
      <c r="CC201" s="845"/>
    </row>
    <row r="202" spans="1:81" ht="12.75" customHeight="1">
      <c r="A202" s="976" t="s">
        <v>3892</v>
      </c>
      <c r="B202" s="976" t="s">
        <v>1107</v>
      </c>
      <c r="C202" s="977">
        <v>1345400931</v>
      </c>
      <c r="D202" s="976" t="s">
        <v>3243</v>
      </c>
      <c r="E202" s="976">
        <v>0</v>
      </c>
      <c r="F202" s="976">
        <v>0</v>
      </c>
      <c r="G202" s="976">
        <v>0</v>
      </c>
      <c r="H202" s="976">
        <v>0</v>
      </c>
      <c r="I202" s="976"/>
      <c r="J202" s="976">
        <v>0</v>
      </c>
      <c r="K202" s="976">
        <v>0</v>
      </c>
      <c r="L202" s="978">
        <v>0</v>
      </c>
      <c r="M202" s="976" t="s">
        <v>3589</v>
      </c>
      <c r="N202" s="976">
        <v>0</v>
      </c>
      <c r="O202" s="735">
        <f t="shared" si="11"/>
        <v>0</v>
      </c>
      <c r="P202" s="738">
        <f t="shared" si="9"/>
        <v>0</v>
      </c>
      <c r="Q202" s="751">
        <f t="shared" si="10"/>
        <v>0</v>
      </c>
      <c r="U202" s="751"/>
      <c r="V202" s="988"/>
      <c r="W202" s="1024"/>
      <c r="AY202" s="845"/>
      <c r="AZ202" s="845"/>
      <c r="BA202" s="845"/>
      <c r="BB202" s="845"/>
      <c r="BC202" s="845"/>
      <c r="BD202" s="845"/>
      <c r="BE202" s="845"/>
      <c r="BF202" s="845"/>
      <c r="BG202" s="845"/>
      <c r="BH202" s="845"/>
      <c r="BI202" s="845"/>
      <c r="BJ202" s="845"/>
      <c r="BK202" s="845"/>
      <c r="BL202" s="845"/>
      <c r="BM202" s="845"/>
      <c r="BN202" s="845"/>
      <c r="BO202" s="845"/>
      <c r="BP202" s="845"/>
      <c r="BQ202" s="845"/>
      <c r="BR202" s="845"/>
      <c r="BS202" s="845"/>
      <c r="BT202" s="845"/>
      <c r="BU202" s="845"/>
      <c r="BV202" s="845"/>
      <c r="BW202" s="845"/>
      <c r="BX202" s="845"/>
      <c r="BY202" s="845"/>
      <c r="BZ202" s="845"/>
      <c r="CA202" s="845"/>
      <c r="CB202" s="845"/>
      <c r="CC202" s="845"/>
    </row>
    <row r="203" spans="1:81" ht="12.75" customHeight="1">
      <c r="A203" s="976" t="s">
        <v>3891</v>
      </c>
      <c r="B203" s="976" t="s">
        <v>1107</v>
      </c>
      <c r="C203" s="977">
        <v>1346100930</v>
      </c>
      <c r="D203" s="976" t="s">
        <v>173</v>
      </c>
      <c r="E203" s="976">
        <v>15</v>
      </c>
      <c r="F203" s="976">
        <v>15</v>
      </c>
      <c r="G203" s="976">
        <v>11.25</v>
      </c>
      <c r="H203" s="976">
        <v>43.831000000000003</v>
      </c>
      <c r="I203" s="976"/>
      <c r="J203" s="1040">
        <v>-33</v>
      </c>
      <c r="K203" s="976">
        <v>10.831000000000003</v>
      </c>
      <c r="L203" s="978">
        <v>-0.41899999999999693</v>
      </c>
      <c r="M203" s="976" t="s">
        <v>3589</v>
      </c>
      <c r="N203" s="976">
        <v>14.441333333333338</v>
      </c>
      <c r="O203" s="735">
        <f t="shared" si="11"/>
        <v>-0.55866666666666198</v>
      </c>
      <c r="P203" s="738">
        <f t="shared" si="9"/>
        <v>14441.333333333338</v>
      </c>
      <c r="Q203" s="751">
        <f t="shared" si="10"/>
        <v>14000</v>
      </c>
      <c r="U203" s="751"/>
      <c r="V203" s="988"/>
      <c r="W203" s="1024"/>
      <c r="AY203" s="845"/>
      <c r="AZ203" s="845"/>
      <c r="BA203" s="845"/>
      <c r="BB203" s="845"/>
      <c r="BC203" s="845"/>
      <c r="BD203" s="845"/>
      <c r="BE203" s="845"/>
      <c r="BF203" s="845"/>
      <c r="BG203" s="845"/>
      <c r="BH203" s="845"/>
      <c r="BI203" s="845"/>
      <c r="BJ203" s="845"/>
      <c r="BK203" s="845"/>
      <c r="BL203" s="845"/>
      <c r="BM203" s="845"/>
      <c r="BN203" s="845"/>
      <c r="BO203" s="845"/>
      <c r="BP203" s="845"/>
      <c r="BQ203" s="845"/>
      <c r="BR203" s="845"/>
      <c r="BS203" s="845"/>
      <c r="BT203" s="845"/>
      <c r="BU203" s="845"/>
      <c r="BV203" s="845"/>
      <c r="BW203" s="845"/>
      <c r="BX203" s="845"/>
      <c r="BY203" s="845"/>
      <c r="BZ203" s="845"/>
      <c r="CA203" s="845"/>
      <c r="CB203" s="845"/>
      <c r="CC203" s="845"/>
    </row>
    <row r="204" spans="1:81" ht="12.75" customHeight="1">
      <c r="A204" s="976" t="s">
        <v>3893</v>
      </c>
      <c r="B204" s="976" t="s">
        <v>1107</v>
      </c>
      <c r="C204" s="977">
        <v>1345400932</v>
      </c>
      <c r="D204" s="976" t="s">
        <v>169</v>
      </c>
      <c r="E204" s="976">
        <v>685</v>
      </c>
      <c r="F204" s="976">
        <v>685</v>
      </c>
      <c r="G204" s="976">
        <v>513.75</v>
      </c>
      <c r="H204" s="976">
        <v>287.91000000000003</v>
      </c>
      <c r="I204" s="976"/>
      <c r="J204" s="1019">
        <v>85</v>
      </c>
      <c r="K204" s="976">
        <v>372.91</v>
      </c>
      <c r="L204" s="978">
        <v>-140.83999999999997</v>
      </c>
      <c r="M204" s="976" t="s">
        <v>3589</v>
      </c>
      <c r="N204" s="976">
        <v>497.21333333333337</v>
      </c>
      <c r="O204" s="735">
        <f t="shared" si="11"/>
        <v>-187.78666666666663</v>
      </c>
      <c r="P204" s="738">
        <f t="shared" si="9"/>
        <v>497213.33333333337</v>
      </c>
      <c r="Q204" s="751">
        <f t="shared" si="10"/>
        <v>497000</v>
      </c>
      <c r="U204" s="751"/>
      <c r="V204" s="988"/>
      <c r="W204" s="1024"/>
      <c r="AY204" s="845"/>
      <c r="AZ204" s="845"/>
      <c r="BA204" s="845"/>
      <c r="BB204" s="845"/>
      <c r="BC204" s="845"/>
      <c r="BD204" s="845"/>
      <c r="BE204" s="845"/>
      <c r="BF204" s="845"/>
      <c r="BG204" s="845"/>
      <c r="BH204" s="845"/>
      <c r="BI204" s="845"/>
      <c r="BJ204" s="845"/>
      <c r="BK204" s="845"/>
      <c r="BL204" s="845"/>
      <c r="BM204" s="845"/>
      <c r="BN204" s="845"/>
      <c r="BO204" s="845"/>
      <c r="BP204" s="845"/>
      <c r="BQ204" s="845"/>
      <c r="BR204" s="845"/>
      <c r="BS204" s="845"/>
      <c r="BT204" s="845"/>
      <c r="BU204" s="845"/>
      <c r="BV204" s="845"/>
      <c r="BW204" s="845"/>
      <c r="BX204" s="845"/>
      <c r="BY204" s="845"/>
      <c r="BZ204" s="845"/>
      <c r="CA204" s="845"/>
      <c r="CB204" s="845"/>
      <c r="CC204" s="845"/>
    </row>
    <row r="205" spans="1:81" ht="12.75" customHeight="1">
      <c r="A205" s="976" t="s">
        <v>3894</v>
      </c>
      <c r="B205" s="976" t="s">
        <v>1107</v>
      </c>
      <c r="C205" s="977">
        <v>1345400933</v>
      </c>
      <c r="D205" s="976" t="s">
        <v>170</v>
      </c>
      <c r="E205" s="976">
        <v>73</v>
      </c>
      <c r="F205" s="976">
        <v>73</v>
      </c>
      <c r="G205" s="976">
        <v>54.75</v>
      </c>
      <c r="H205" s="976">
        <v>40.661999999999999</v>
      </c>
      <c r="I205" s="976"/>
      <c r="J205" s="1019">
        <v>14</v>
      </c>
      <c r="K205" s="976">
        <v>54.661999999999999</v>
      </c>
      <c r="L205" s="978">
        <v>-8.8000000000000966E-2</v>
      </c>
      <c r="M205" s="976" t="s">
        <v>3589</v>
      </c>
      <c r="N205" s="976">
        <v>72.882666666666665</v>
      </c>
      <c r="O205" s="735">
        <f t="shared" si="11"/>
        <v>-0.11733333333333462</v>
      </c>
      <c r="P205" s="738">
        <f t="shared" si="9"/>
        <v>72882.666666666672</v>
      </c>
      <c r="Q205" s="751">
        <f t="shared" si="10"/>
        <v>73000</v>
      </c>
      <c r="U205" s="751"/>
      <c r="V205" s="988"/>
      <c r="W205" s="1024"/>
      <c r="AY205" s="845"/>
      <c r="AZ205" s="845"/>
      <c r="BA205" s="845"/>
      <c r="BB205" s="845"/>
      <c r="BC205" s="845"/>
      <c r="BD205" s="845"/>
      <c r="BE205" s="845"/>
      <c r="BF205" s="845"/>
      <c r="BG205" s="845"/>
      <c r="BH205" s="845"/>
      <c r="BI205" s="845"/>
      <c r="BJ205" s="845"/>
      <c r="BK205" s="845"/>
      <c r="BL205" s="845"/>
      <c r="BM205" s="845"/>
      <c r="BN205" s="845"/>
      <c r="BO205" s="845"/>
      <c r="BP205" s="845"/>
      <c r="BQ205" s="845"/>
      <c r="BR205" s="845"/>
      <c r="BS205" s="845"/>
      <c r="BT205" s="845"/>
      <c r="BU205" s="845"/>
      <c r="BV205" s="845"/>
      <c r="BW205" s="845"/>
      <c r="BX205" s="845"/>
      <c r="BY205" s="845"/>
      <c r="BZ205" s="845"/>
      <c r="CA205" s="845"/>
      <c r="CB205" s="845"/>
      <c r="CC205" s="845"/>
    </row>
    <row r="206" spans="1:81" ht="12.75" customHeight="1">
      <c r="A206" s="976" t="s">
        <v>3893</v>
      </c>
      <c r="B206" s="976" t="s">
        <v>1107</v>
      </c>
      <c r="C206" s="977">
        <v>1346300932</v>
      </c>
      <c r="D206" s="976" t="s">
        <v>174</v>
      </c>
      <c r="E206" s="976">
        <v>36</v>
      </c>
      <c r="F206" s="976">
        <v>36</v>
      </c>
      <c r="G206" s="976">
        <v>27</v>
      </c>
      <c r="H206" s="976">
        <v>12.333</v>
      </c>
      <c r="I206" s="976"/>
      <c r="J206" s="1019">
        <v>15</v>
      </c>
      <c r="K206" s="976">
        <v>27.332999999999998</v>
      </c>
      <c r="L206" s="978">
        <v>0.33299999999999841</v>
      </c>
      <c r="M206" s="976" t="s">
        <v>3589</v>
      </c>
      <c r="N206" s="976">
        <v>36.443999999999996</v>
      </c>
      <c r="O206" s="735">
        <f t="shared" si="11"/>
        <v>0.44399999999999551</v>
      </c>
      <c r="P206" s="738">
        <f t="shared" si="9"/>
        <v>36443.999999999993</v>
      </c>
      <c r="Q206" s="751">
        <f t="shared" si="10"/>
        <v>36000</v>
      </c>
      <c r="U206" s="751"/>
      <c r="V206" s="988"/>
      <c r="W206" s="1024"/>
      <c r="AY206" s="845"/>
      <c r="AZ206" s="845"/>
      <c r="BA206" s="845"/>
      <c r="BB206" s="845"/>
      <c r="BC206" s="845"/>
      <c r="BD206" s="845"/>
      <c r="BE206" s="845"/>
      <c r="BF206" s="845"/>
      <c r="BG206" s="845"/>
      <c r="BH206" s="845"/>
      <c r="BI206" s="845"/>
      <c r="BJ206" s="845"/>
      <c r="BK206" s="845"/>
      <c r="BL206" s="845"/>
      <c r="BM206" s="845"/>
      <c r="BN206" s="845"/>
      <c r="BO206" s="845"/>
      <c r="BP206" s="845"/>
      <c r="BQ206" s="845"/>
      <c r="BR206" s="845"/>
      <c r="BS206" s="845"/>
      <c r="BT206" s="845"/>
      <c r="BU206" s="845"/>
      <c r="BV206" s="845"/>
      <c r="BW206" s="845"/>
      <c r="BX206" s="845"/>
      <c r="BY206" s="845"/>
      <c r="BZ206" s="845"/>
      <c r="CA206" s="845"/>
      <c r="CB206" s="845"/>
      <c r="CC206" s="845"/>
    </row>
    <row r="207" spans="1:81" ht="12.75" customHeight="1">
      <c r="A207" s="976" t="s">
        <v>3894</v>
      </c>
      <c r="B207" s="976" t="s">
        <v>1107</v>
      </c>
      <c r="C207" s="977">
        <v>1346300933</v>
      </c>
      <c r="D207" s="976" t="s">
        <v>3244</v>
      </c>
      <c r="E207" s="976">
        <v>0</v>
      </c>
      <c r="F207" s="976">
        <v>0</v>
      </c>
      <c r="G207" s="976">
        <v>0</v>
      </c>
      <c r="H207" s="976">
        <v>0</v>
      </c>
      <c r="I207" s="976"/>
      <c r="J207" s="976">
        <v>0</v>
      </c>
      <c r="K207" s="976">
        <v>0</v>
      </c>
      <c r="L207" s="978">
        <v>0</v>
      </c>
      <c r="M207" s="976" t="s">
        <v>3589</v>
      </c>
      <c r="N207" s="976">
        <v>0</v>
      </c>
      <c r="O207" s="735">
        <f t="shared" si="11"/>
        <v>0</v>
      </c>
      <c r="P207" s="738">
        <f t="shared" si="9"/>
        <v>0</v>
      </c>
      <c r="Q207" s="751">
        <f t="shared" si="10"/>
        <v>0</v>
      </c>
      <c r="U207" s="751"/>
      <c r="V207" s="988"/>
      <c r="W207" s="1024"/>
      <c r="AY207" s="845"/>
      <c r="AZ207" s="845"/>
      <c r="BA207" s="845"/>
      <c r="BB207" s="845"/>
      <c r="BC207" s="845"/>
      <c r="BD207" s="845"/>
      <c r="BE207" s="845"/>
      <c r="BF207" s="845"/>
      <c r="BG207" s="845"/>
      <c r="BH207" s="845"/>
      <c r="BI207" s="845"/>
      <c r="BJ207" s="845"/>
      <c r="BK207" s="845"/>
      <c r="BL207" s="845"/>
      <c r="BM207" s="845"/>
      <c r="BN207" s="845"/>
      <c r="BO207" s="845"/>
      <c r="BP207" s="845"/>
      <c r="BQ207" s="845"/>
      <c r="BR207" s="845"/>
      <c r="BS207" s="845"/>
      <c r="BT207" s="845"/>
      <c r="BU207" s="845"/>
      <c r="BV207" s="845"/>
      <c r="BW207" s="845"/>
      <c r="BX207" s="845"/>
      <c r="BY207" s="845"/>
      <c r="BZ207" s="845"/>
      <c r="CA207" s="845"/>
      <c r="CB207" s="845"/>
      <c r="CC207" s="845"/>
    </row>
    <row r="208" spans="1:81" ht="12.75" customHeight="1">
      <c r="A208" s="976" t="s">
        <v>3896</v>
      </c>
      <c r="B208" s="976" t="s">
        <v>1107</v>
      </c>
      <c r="C208" s="977">
        <v>1346300934</v>
      </c>
      <c r="D208" s="976" t="s">
        <v>175</v>
      </c>
      <c r="E208" s="976">
        <v>79</v>
      </c>
      <c r="F208" s="976">
        <v>79</v>
      </c>
      <c r="G208" s="976">
        <v>59.25</v>
      </c>
      <c r="H208" s="976">
        <v>67.3</v>
      </c>
      <c r="I208" s="976"/>
      <c r="J208" s="1040">
        <v>-9</v>
      </c>
      <c r="K208" s="976">
        <v>58.3</v>
      </c>
      <c r="L208" s="978">
        <v>-0.95000000000000284</v>
      </c>
      <c r="M208" s="976" t="s">
        <v>3589</v>
      </c>
      <c r="N208" s="976">
        <v>77.73333333333332</v>
      </c>
      <c r="O208" s="735">
        <f t="shared" si="11"/>
        <v>-1.2666666666666799</v>
      </c>
      <c r="P208" s="738">
        <f t="shared" si="9"/>
        <v>77733.333333333314</v>
      </c>
      <c r="Q208" s="751">
        <f t="shared" si="10"/>
        <v>78000</v>
      </c>
      <c r="U208" s="751"/>
      <c r="V208" s="988"/>
      <c r="W208" s="1024"/>
      <c r="AY208" s="845"/>
      <c r="AZ208" s="845"/>
      <c r="BA208" s="845"/>
      <c r="BB208" s="845"/>
      <c r="BC208" s="845"/>
      <c r="BD208" s="845"/>
      <c r="BE208" s="845"/>
      <c r="BF208" s="845"/>
      <c r="BG208" s="845"/>
      <c r="BH208" s="845"/>
      <c r="BI208" s="845"/>
      <c r="BJ208" s="845"/>
      <c r="BK208" s="845"/>
      <c r="BL208" s="845"/>
      <c r="BM208" s="845"/>
      <c r="BN208" s="845"/>
      <c r="BO208" s="845"/>
      <c r="BP208" s="845"/>
      <c r="BQ208" s="845"/>
      <c r="BR208" s="845"/>
      <c r="BS208" s="845"/>
      <c r="BT208" s="845"/>
      <c r="BU208" s="845"/>
      <c r="BV208" s="845"/>
      <c r="BW208" s="845"/>
      <c r="BX208" s="845"/>
      <c r="BY208" s="845"/>
      <c r="BZ208" s="845"/>
      <c r="CA208" s="845"/>
      <c r="CB208" s="845"/>
      <c r="CC208" s="845"/>
    </row>
    <row r="209" spans="1:81" ht="12.75" customHeight="1">
      <c r="A209" s="976" t="s">
        <v>3897</v>
      </c>
      <c r="B209" s="976" t="s">
        <v>1107</v>
      </c>
      <c r="C209" s="977">
        <v>1346400935</v>
      </c>
      <c r="D209" s="976" t="s">
        <v>3245</v>
      </c>
      <c r="E209" s="976">
        <v>0</v>
      </c>
      <c r="F209" s="976">
        <v>0</v>
      </c>
      <c r="G209" s="976">
        <v>0</v>
      </c>
      <c r="H209" s="976">
        <v>0</v>
      </c>
      <c r="I209" s="976"/>
      <c r="J209" s="976">
        <v>0</v>
      </c>
      <c r="K209" s="976">
        <v>0</v>
      </c>
      <c r="L209" s="978">
        <v>0</v>
      </c>
      <c r="M209" s="976" t="s">
        <v>3589</v>
      </c>
      <c r="N209" s="976">
        <v>0</v>
      </c>
      <c r="O209" s="735">
        <f t="shared" si="11"/>
        <v>0</v>
      </c>
      <c r="P209" s="738">
        <f t="shared" si="9"/>
        <v>0</v>
      </c>
      <c r="Q209" s="751">
        <f t="shared" si="10"/>
        <v>0</v>
      </c>
      <c r="U209" s="751"/>
      <c r="V209" s="988"/>
      <c r="W209" s="1024"/>
      <c r="AY209" s="845"/>
      <c r="AZ209" s="845"/>
      <c r="BA209" s="845"/>
      <c r="BB209" s="845"/>
      <c r="BC209" s="845"/>
      <c r="BD209" s="845"/>
      <c r="BE209" s="845"/>
      <c r="BF209" s="845"/>
      <c r="BG209" s="845"/>
      <c r="BH209" s="845"/>
      <c r="BI209" s="845"/>
      <c r="BJ209" s="845"/>
      <c r="BK209" s="845"/>
      <c r="BL209" s="845"/>
      <c r="BM209" s="845"/>
      <c r="BN209" s="845"/>
      <c r="BO209" s="845"/>
      <c r="BP209" s="845"/>
      <c r="BQ209" s="845"/>
      <c r="BR209" s="845"/>
      <c r="BS209" s="845"/>
      <c r="BT209" s="845"/>
      <c r="BU209" s="845"/>
      <c r="BV209" s="845"/>
      <c r="BW209" s="845"/>
      <c r="BX209" s="845"/>
      <c r="BY209" s="845"/>
      <c r="BZ209" s="845"/>
      <c r="CA209" s="845"/>
      <c r="CB209" s="845"/>
      <c r="CC209" s="845"/>
    </row>
    <row r="210" spans="1:81" ht="12.75" customHeight="1">
      <c r="A210" s="976" t="s">
        <v>3895</v>
      </c>
      <c r="B210" s="976" t="s">
        <v>1107</v>
      </c>
      <c r="C210" s="977">
        <v>1346400936</v>
      </c>
      <c r="D210" s="976" t="s">
        <v>3246</v>
      </c>
      <c r="E210" s="976">
        <v>0</v>
      </c>
      <c r="F210" s="976">
        <v>0</v>
      </c>
      <c r="G210" s="976">
        <v>0</v>
      </c>
      <c r="H210" s="976">
        <v>0</v>
      </c>
      <c r="I210" s="976"/>
      <c r="J210" s="976">
        <v>0</v>
      </c>
      <c r="K210" s="976">
        <v>0</v>
      </c>
      <c r="L210" s="978">
        <v>0</v>
      </c>
      <c r="M210" s="976" t="s">
        <v>3589</v>
      </c>
      <c r="N210" s="976">
        <v>0</v>
      </c>
      <c r="O210" s="735">
        <f t="shared" si="11"/>
        <v>0</v>
      </c>
      <c r="P210" s="738">
        <f t="shared" si="9"/>
        <v>0</v>
      </c>
      <c r="Q210" s="751">
        <f t="shared" si="10"/>
        <v>0</v>
      </c>
      <c r="U210" s="751"/>
      <c r="V210" s="988"/>
      <c r="W210" s="1024"/>
      <c r="AY210" s="845"/>
      <c r="AZ210" s="845"/>
      <c r="BA210" s="845"/>
      <c r="BB210" s="845"/>
      <c r="BC210" s="845"/>
      <c r="BD210" s="845"/>
      <c r="BE210" s="845"/>
      <c r="BF210" s="845"/>
      <c r="BG210" s="845"/>
      <c r="BH210" s="845"/>
      <c r="BI210" s="845"/>
      <c r="BJ210" s="845"/>
      <c r="BK210" s="845"/>
      <c r="BL210" s="845"/>
      <c r="BM210" s="845"/>
      <c r="BN210" s="845"/>
      <c r="BO210" s="845"/>
      <c r="BP210" s="845"/>
      <c r="BQ210" s="845"/>
      <c r="BR210" s="845"/>
      <c r="BS210" s="845"/>
      <c r="BT210" s="845"/>
      <c r="BU210" s="845"/>
      <c r="BV210" s="845"/>
      <c r="BW210" s="845"/>
      <c r="BX210" s="845"/>
      <c r="BY210" s="845"/>
      <c r="BZ210" s="845"/>
      <c r="CA210" s="845"/>
      <c r="CB210" s="845"/>
      <c r="CC210" s="845"/>
    </row>
    <row r="211" spans="1:81" ht="12.75" customHeight="1">
      <c r="A211" s="976" t="s">
        <v>3900</v>
      </c>
      <c r="B211" s="976" t="s">
        <v>1107</v>
      </c>
      <c r="C211" s="977">
        <v>1346400937</v>
      </c>
      <c r="D211" s="976" t="s">
        <v>176</v>
      </c>
      <c r="E211" s="976">
        <v>232</v>
      </c>
      <c r="F211" s="976">
        <v>232</v>
      </c>
      <c r="G211" s="976">
        <v>174</v>
      </c>
      <c r="H211" s="976">
        <v>100.965</v>
      </c>
      <c r="I211" s="976"/>
      <c r="J211" s="1019">
        <v>24</v>
      </c>
      <c r="K211" s="976">
        <v>124.965</v>
      </c>
      <c r="L211" s="978">
        <v>-49.034999999999997</v>
      </c>
      <c r="M211" s="976" t="s">
        <v>3589</v>
      </c>
      <c r="N211" s="976">
        <v>166.62</v>
      </c>
      <c r="O211" s="735">
        <f t="shared" si="11"/>
        <v>-65.38</v>
      </c>
      <c r="P211" s="738">
        <f t="shared" si="9"/>
        <v>166620</v>
      </c>
      <c r="Q211" s="751">
        <f t="shared" si="10"/>
        <v>167000</v>
      </c>
      <c r="U211" s="751"/>
      <c r="V211" s="988"/>
      <c r="W211" s="1024"/>
      <c r="AY211" s="845"/>
      <c r="AZ211" s="845"/>
      <c r="BA211" s="845"/>
      <c r="BB211" s="845"/>
      <c r="BC211" s="845"/>
      <c r="BD211" s="845"/>
      <c r="BE211" s="845"/>
      <c r="BF211" s="845"/>
      <c r="BG211" s="845"/>
      <c r="BH211" s="845"/>
      <c r="BI211" s="845"/>
      <c r="BJ211" s="845"/>
      <c r="BK211" s="845"/>
      <c r="BL211" s="845"/>
      <c r="BM211" s="845"/>
      <c r="BN211" s="845"/>
      <c r="BO211" s="845"/>
      <c r="BP211" s="845"/>
      <c r="BQ211" s="845"/>
      <c r="BR211" s="845"/>
      <c r="BS211" s="845"/>
      <c r="BT211" s="845"/>
      <c r="BU211" s="845"/>
      <c r="BV211" s="845"/>
      <c r="BW211" s="845"/>
      <c r="BX211" s="845"/>
      <c r="BY211" s="845"/>
      <c r="BZ211" s="845"/>
      <c r="CA211" s="845"/>
      <c r="CB211" s="845"/>
      <c r="CC211" s="845"/>
    </row>
    <row r="212" spans="1:81" ht="12.75" customHeight="1">
      <c r="A212" s="976" t="s">
        <v>3891</v>
      </c>
      <c r="B212" s="976" t="s">
        <v>1107</v>
      </c>
      <c r="C212" s="977">
        <v>1346500930</v>
      </c>
      <c r="D212" s="976" t="s">
        <v>177</v>
      </c>
      <c r="E212" s="976">
        <v>161</v>
      </c>
      <c r="F212" s="976">
        <v>161</v>
      </c>
      <c r="G212" s="976">
        <v>120.75</v>
      </c>
      <c r="H212" s="976">
        <v>95.234999999999999</v>
      </c>
      <c r="I212" s="976"/>
      <c r="J212" s="976">
        <v>0</v>
      </c>
      <c r="K212" s="976">
        <v>95.234999999999999</v>
      </c>
      <c r="L212" s="978">
        <v>-25.515000000000001</v>
      </c>
      <c r="M212" s="976" t="s">
        <v>3589</v>
      </c>
      <c r="N212" s="976">
        <v>126.97999999999999</v>
      </c>
      <c r="O212" s="735">
        <f t="shared" si="11"/>
        <v>-34.02000000000001</v>
      </c>
      <c r="P212" s="738">
        <f t="shared" si="9"/>
        <v>126979.99999999999</v>
      </c>
      <c r="Q212" s="751">
        <f t="shared" si="10"/>
        <v>127000</v>
      </c>
      <c r="U212" s="751"/>
      <c r="V212" s="988"/>
      <c r="W212" s="1024"/>
      <c r="AY212" s="845"/>
      <c r="AZ212" s="845"/>
      <c r="BA212" s="845"/>
      <c r="BB212" s="845"/>
      <c r="BC212" s="845"/>
      <c r="BD212" s="845"/>
      <c r="BE212" s="845"/>
      <c r="BF212" s="845"/>
      <c r="BG212" s="845"/>
      <c r="BH212" s="845"/>
      <c r="BI212" s="845"/>
      <c r="BJ212" s="845"/>
      <c r="BK212" s="845"/>
      <c r="BL212" s="845"/>
      <c r="BM212" s="845"/>
      <c r="BN212" s="845"/>
      <c r="BO212" s="845"/>
      <c r="BP212" s="845"/>
      <c r="BQ212" s="845"/>
      <c r="BR212" s="845"/>
      <c r="BS212" s="845"/>
      <c r="BT212" s="845"/>
      <c r="BU212" s="845"/>
      <c r="BV212" s="845"/>
      <c r="BW212" s="845"/>
      <c r="BX212" s="845"/>
      <c r="BY212" s="845"/>
      <c r="BZ212" s="845"/>
      <c r="CA212" s="845"/>
      <c r="CB212" s="845"/>
      <c r="CC212" s="845"/>
    </row>
    <row r="213" spans="1:81" ht="12.75" customHeight="1">
      <c r="A213" s="976" t="s">
        <v>3892</v>
      </c>
      <c r="B213" s="976" t="s">
        <v>1107</v>
      </c>
      <c r="C213" s="977">
        <v>1346500931</v>
      </c>
      <c r="D213" s="976" t="s">
        <v>3247</v>
      </c>
      <c r="E213" s="976">
        <v>0</v>
      </c>
      <c r="F213" s="976">
        <v>0</v>
      </c>
      <c r="G213" s="976">
        <v>0</v>
      </c>
      <c r="H213" s="976">
        <v>0</v>
      </c>
      <c r="I213" s="976"/>
      <c r="J213" s="976">
        <v>0</v>
      </c>
      <c r="K213" s="976">
        <v>0</v>
      </c>
      <c r="L213" s="978">
        <v>0</v>
      </c>
      <c r="M213" s="976" t="s">
        <v>3589</v>
      </c>
      <c r="N213" s="976">
        <v>0</v>
      </c>
      <c r="O213" s="735">
        <f t="shared" si="11"/>
        <v>0</v>
      </c>
      <c r="P213" s="738">
        <f t="shared" si="9"/>
        <v>0</v>
      </c>
      <c r="Q213" s="751">
        <f t="shared" si="10"/>
        <v>0</v>
      </c>
      <c r="U213" s="751"/>
      <c r="V213" s="988"/>
      <c r="W213" s="1024"/>
      <c r="AY213" s="845"/>
      <c r="AZ213" s="845"/>
      <c r="BA213" s="845"/>
      <c r="BB213" s="845"/>
      <c r="BC213" s="845"/>
      <c r="BD213" s="845"/>
      <c r="BE213" s="845"/>
      <c r="BF213" s="845"/>
      <c r="BG213" s="845"/>
      <c r="BH213" s="845"/>
      <c r="BI213" s="845"/>
      <c r="BJ213" s="845"/>
      <c r="BK213" s="845"/>
      <c r="BL213" s="845"/>
      <c r="BM213" s="845"/>
      <c r="BN213" s="845"/>
      <c r="BO213" s="845"/>
      <c r="BP213" s="845"/>
      <c r="BQ213" s="845"/>
      <c r="BR213" s="845"/>
      <c r="BS213" s="845"/>
      <c r="BT213" s="845"/>
      <c r="BU213" s="845"/>
      <c r="BV213" s="845"/>
      <c r="BW213" s="845"/>
      <c r="BX213" s="845"/>
      <c r="BY213" s="845"/>
      <c r="BZ213" s="845"/>
      <c r="CA213" s="845"/>
      <c r="CB213" s="845"/>
      <c r="CC213" s="845"/>
    </row>
    <row r="214" spans="1:81" ht="12.75" customHeight="1">
      <c r="A214" s="976" t="s">
        <v>3894</v>
      </c>
      <c r="B214" s="976" t="s">
        <v>1107</v>
      </c>
      <c r="C214" s="977">
        <v>1346500933</v>
      </c>
      <c r="D214" s="976" t="s">
        <v>134</v>
      </c>
      <c r="E214" s="976">
        <v>32</v>
      </c>
      <c r="F214" s="976">
        <v>32</v>
      </c>
      <c r="G214" s="976">
        <v>24</v>
      </c>
      <c r="H214" s="976">
        <v>23.251000000000001</v>
      </c>
      <c r="I214" s="976"/>
      <c r="J214" s="1019">
        <v>1</v>
      </c>
      <c r="K214" s="976">
        <v>24.251000000000001</v>
      </c>
      <c r="L214" s="978">
        <v>0.25100000000000122</v>
      </c>
      <c r="M214" s="976" t="s">
        <v>3589</v>
      </c>
      <c r="N214" s="976">
        <v>32.334666666666664</v>
      </c>
      <c r="O214" s="735">
        <f t="shared" si="11"/>
        <v>0.33466666666666356</v>
      </c>
      <c r="P214" s="738">
        <f t="shared" si="9"/>
        <v>32334.666666666664</v>
      </c>
      <c r="Q214" s="751">
        <f t="shared" si="10"/>
        <v>32000</v>
      </c>
      <c r="U214" s="751"/>
      <c r="V214" s="988"/>
      <c r="W214" s="1024"/>
      <c r="AY214" s="845"/>
      <c r="AZ214" s="845"/>
      <c r="BA214" s="845"/>
      <c r="BB214" s="845"/>
      <c r="BC214" s="845"/>
      <c r="BD214" s="845"/>
      <c r="BE214" s="845"/>
      <c r="BF214" s="845"/>
      <c r="BG214" s="845"/>
      <c r="BH214" s="845"/>
      <c r="BI214" s="845"/>
      <c r="BJ214" s="845"/>
      <c r="BK214" s="845"/>
      <c r="BL214" s="845"/>
      <c r="BM214" s="845"/>
      <c r="BN214" s="845"/>
      <c r="BO214" s="845"/>
      <c r="BP214" s="845"/>
      <c r="BQ214" s="845"/>
      <c r="BR214" s="845"/>
      <c r="BS214" s="845"/>
      <c r="BT214" s="845"/>
      <c r="BU214" s="845"/>
      <c r="BV214" s="845"/>
      <c r="BW214" s="845"/>
      <c r="BX214" s="845"/>
      <c r="BY214" s="845"/>
      <c r="BZ214" s="845"/>
      <c r="CA214" s="845"/>
      <c r="CB214" s="845"/>
      <c r="CC214" s="845"/>
    </row>
    <row r="215" spans="1:81" ht="12.75" customHeight="1">
      <c r="A215" s="976" t="s">
        <v>3900</v>
      </c>
      <c r="B215" s="976" t="s">
        <v>1107</v>
      </c>
      <c r="C215" s="977">
        <v>1346500937</v>
      </c>
      <c r="D215" s="976" t="s">
        <v>178</v>
      </c>
      <c r="E215" s="976">
        <v>5191</v>
      </c>
      <c r="F215" s="976">
        <v>5191</v>
      </c>
      <c r="G215" s="976">
        <v>3893.25</v>
      </c>
      <c r="H215" s="976">
        <v>3558.3049999999998</v>
      </c>
      <c r="I215" s="976"/>
      <c r="J215" s="1019">
        <v>155</v>
      </c>
      <c r="K215" s="976">
        <v>3713.3049999999998</v>
      </c>
      <c r="L215" s="978">
        <v>-179.94500000000016</v>
      </c>
      <c r="M215" s="976" t="s">
        <v>3589</v>
      </c>
      <c r="N215" s="976">
        <v>4951.0733333333328</v>
      </c>
      <c r="O215" s="735">
        <f t="shared" si="11"/>
        <v>-239.92666666666719</v>
      </c>
      <c r="P215" s="738">
        <f t="shared" si="9"/>
        <v>4951073.333333333</v>
      </c>
      <c r="Q215" s="751">
        <f t="shared" si="10"/>
        <v>4951000</v>
      </c>
      <c r="U215" s="751"/>
      <c r="V215" s="988"/>
      <c r="W215" s="1024"/>
      <c r="AY215" s="845"/>
      <c r="AZ215" s="845"/>
      <c r="BA215" s="845"/>
      <c r="BB215" s="845"/>
      <c r="BC215" s="845"/>
      <c r="BD215" s="845"/>
      <c r="BE215" s="845"/>
      <c r="BF215" s="845"/>
      <c r="BG215" s="845"/>
      <c r="BH215" s="845"/>
      <c r="BI215" s="845"/>
      <c r="BJ215" s="845"/>
      <c r="BK215" s="845"/>
      <c r="BL215" s="845"/>
      <c r="BM215" s="845"/>
      <c r="BN215" s="845"/>
      <c r="BO215" s="845"/>
      <c r="BP215" s="845"/>
      <c r="BQ215" s="845"/>
      <c r="BR215" s="845"/>
      <c r="BS215" s="845"/>
      <c r="BT215" s="845"/>
      <c r="BU215" s="845"/>
      <c r="BV215" s="845"/>
      <c r="BW215" s="845"/>
      <c r="BX215" s="845"/>
      <c r="BY215" s="845"/>
      <c r="BZ215" s="845"/>
      <c r="CA215" s="845"/>
      <c r="CB215" s="845"/>
      <c r="CC215" s="845"/>
    </row>
    <row r="216" spans="1:81" ht="12.75" customHeight="1">
      <c r="A216" s="976" t="s">
        <v>3898</v>
      </c>
      <c r="B216" s="976" t="s">
        <v>1107</v>
      </c>
      <c r="C216" s="977">
        <v>1346500938</v>
      </c>
      <c r="D216" s="976" t="s">
        <v>179</v>
      </c>
      <c r="E216" s="976">
        <v>115</v>
      </c>
      <c r="F216" s="976">
        <v>115</v>
      </c>
      <c r="G216" s="976">
        <v>86.25</v>
      </c>
      <c r="H216" s="976">
        <v>66.525000000000006</v>
      </c>
      <c r="I216" s="976"/>
      <c r="J216" s="1019">
        <v>19</v>
      </c>
      <c r="K216" s="976">
        <v>85.525000000000006</v>
      </c>
      <c r="L216" s="978">
        <v>-0.72499999999999432</v>
      </c>
      <c r="M216" s="976" t="s">
        <v>3589</v>
      </c>
      <c r="N216" s="976">
        <v>114.03333333333336</v>
      </c>
      <c r="O216" s="735">
        <f t="shared" si="11"/>
        <v>-0.96666666666664014</v>
      </c>
      <c r="P216" s="738">
        <f t="shared" si="9"/>
        <v>114033.33333333336</v>
      </c>
      <c r="Q216" s="751">
        <f t="shared" si="10"/>
        <v>114000</v>
      </c>
      <c r="U216" s="751"/>
      <c r="V216" s="988"/>
      <c r="W216" s="1024"/>
      <c r="AY216" s="845"/>
      <c r="AZ216" s="845"/>
      <c r="BA216" s="845"/>
      <c r="BB216" s="845"/>
      <c r="BC216" s="845"/>
      <c r="BD216" s="845"/>
      <c r="BE216" s="845"/>
      <c r="BF216" s="845"/>
      <c r="BG216" s="845"/>
      <c r="BH216" s="845"/>
      <c r="BI216" s="845"/>
      <c r="BJ216" s="845"/>
      <c r="BK216" s="845"/>
      <c r="BL216" s="845"/>
      <c r="BM216" s="845"/>
      <c r="BN216" s="845"/>
      <c r="BO216" s="845"/>
      <c r="BP216" s="845"/>
      <c r="BQ216" s="845"/>
      <c r="BR216" s="845"/>
      <c r="BS216" s="845"/>
      <c r="BT216" s="845"/>
      <c r="BU216" s="845"/>
      <c r="BV216" s="845"/>
      <c r="BW216" s="845"/>
      <c r="BX216" s="845"/>
      <c r="BY216" s="845"/>
      <c r="BZ216" s="845"/>
      <c r="CA216" s="845"/>
      <c r="CB216" s="845"/>
      <c r="CC216" s="845"/>
    </row>
    <row r="217" spans="1:81" ht="12.75" customHeight="1">
      <c r="A217" s="976" t="s">
        <v>3891</v>
      </c>
      <c r="B217" s="976" t="s">
        <v>1107</v>
      </c>
      <c r="C217" s="977">
        <v>1346600930</v>
      </c>
      <c r="D217" s="976" t="s">
        <v>180</v>
      </c>
      <c r="E217" s="976">
        <v>157</v>
      </c>
      <c r="F217" s="976">
        <v>157</v>
      </c>
      <c r="G217" s="976">
        <v>117.75</v>
      </c>
      <c r="H217" s="976">
        <v>46.347999999999999</v>
      </c>
      <c r="I217" s="976"/>
      <c r="J217" s="1019">
        <v>16</v>
      </c>
      <c r="K217" s="976">
        <v>62.347999999999999</v>
      </c>
      <c r="L217" s="978">
        <v>-55.402000000000001</v>
      </c>
      <c r="M217" s="976" t="s">
        <v>3589</v>
      </c>
      <c r="N217" s="976">
        <v>83.130666666666656</v>
      </c>
      <c r="O217" s="735">
        <f t="shared" si="11"/>
        <v>-73.869333333333344</v>
      </c>
      <c r="P217" s="738">
        <f t="shared" si="9"/>
        <v>83130.666666666657</v>
      </c>
      <c r="Q217" s="751">
        <f t="shared" si="10"/>
        <v>83000</v>
      </c>
      <c r="U217" s="751"/>
      <c r="V217" s="988"/>
      <c r="W217" s="1024"/>
      <c r="AY217" s="845"/>
      <c r="AZ217" s="845"/>
      <c r="BA217" s="845"/>
      <c r="BB217" s="845"/>
      <c r="BC217" s="845"/>
      <c r="BD217" s="845"/>
      <c r="BE217" s="845"/>
      <c r="BF217" s="845"/>
      <c r="BG217" s="845"/>
      <c r="BH217" s="845"/>
      <c r="BI217" s="845"/>
      <c r="BJ217" s="845"/>
      <c r="BK217" s="845"/>
      <c r="BL217" s="845"/>
      <c r="BM217" s="845"/>
      <c r="BN217" s="845"/>
      <c r="BO217" s="845"/>
      <c r="BP217" s="845"/>
      <c r="BQ217" s="845"/>
      <c r="BR217" s="845"/>
      <c r="BS217" s="845"/>
      <c r="BT217" s="845"/>
      <c r="BU217" s="845"/>
      <c r="BV217" s="845"/>
      <c r="BW217" s="845"/>
      <c r="BX217" s="845"/>
      <c r="BY217" s="845"/>
      <c r="BZ217" s="845"/>
      <c r="CA217" s="845"/>
      <c r="CB217" s="845"/>
      <c r="CC217" s="845"/>
    </row>
    <row r="218" spans="1:81" ht="12.75" customHeight="1">
      <c r="A218" s="976" t="s">
        <v>3892</v>
      </c>
      <c r="B218" s="976" t="s">
        <v>1107</v>
      </c>
      <c r="C218" s="977">
        <v>1346600931</v>
      </c>
      <c r="D218" s="976" t="s">
        <v>181</v>
      </c>
      <c r="E218" s="976">
        <v>675</v>
      </c>
      <c r="F218" s="976">
        <v>675</v>
      </c>
      <c r="G218" s="976">
        <v>506.25</v>
      </c>
      <c r="H218" s="976">
        <v>510.62799999999999</v>
      </c>
      <c r="I218" s="976"/>
      <c r="J218" s="1040">
        <v>-116</v>
      </c>
      <c r="K218" s="976">
        <v>394.62799999999999</v>
      </c>
      <c r="L218" s="978">
        <v>-111.62200000000001</v>
      </c>
      <c r="M218" s="976" t="s">
        <v>3589</v>
      </c>
      <c r="N218" s="976">
        <v>526.17066666666665</v>
      </c>
      <c r="O218" s="735">
        <f t="shared" si="11"/>
        <v>-148.82933333333335</v>
      </c>
      <c r="P218" s="738">
        <f t="shared" si="9"/>
        <v>526170.66666666663</v>
      </c>
      <c r="Q218" s="751">
        <f t="shared" si="10"/>
        <v>526000</v>
      </c>
      <c r="U218" s="751"/>
      <c r="V218" s="988"/>
      <c r="W218" s="1024"/>
      <c r="AY218" s="845"/>
      <c r="AZ218" s="845"/>
      <c r="BA218" s="845"/>
      <c r="BB218" s="845"/>
      <c r="BC218" s="845"/>
      <c r="BD218" s="845"/>
      <c r="BE218" s="845"/>
      <c r="BF218" s="845"/>
      <c r="BG218" s="845"/>
      <c r="BH218" s="845"/>
      <c r="BI218" s="845"/>
      <c r="BJ218" s="845"/>
      <c r="BK218" s="845"/>
      <c r="BL218" s="845"/>
      <c r="BM218" s="845"/>
      <c r="BN218" s="845"/>
      <c r="BO218" s="845"/>
      <c r="BP218" s="845"/>
      <c r="BQ218" s="845"/>
      <c r="BR218" s="845"/>
      <c r="BS218" s="845"/>
      <c r="BT218" s="845"/>
      <c r="BU218" s="845"/>
      <c r="BV218" s="845"/>
      <c r="BW218" s="845"/>
      <c r="BX218" s="845"/>
      <c r="BY218" s="845"/>
      <c r="BZ218" s="845"/>
      <c r="CA218" s="845"/>
      <c r="CB218" s="845"/>
      <c r="CC218" s="845"/>
    </row>
    <row r="219" spans="1:81" ht="12.75" customHeight="1">
      <c r="A219" s="976" t="s">
        <v>3893</v>
      </c>
      <c r="B219" s="976" t="s">
        <v>1107</v>
      </c>
      <c r="C219" s="977">
        <v>1346600932</v>
      </c>
      <c r="D219" s="976" t="s">
        <v>182</v>
      </c>
      <c r="E219" s="976">
        <v>540</v>
      </c>
      <c r="F219" s="976">
        <v>540</v>
      </c>
      <c r="G219" s="976">
        <v>405</v>
      </c>
      <c r="H219" s="976">
        <v>245.49</v>
      </c>
      <c r="I219" s="976"/>
      <c r="J219" s="1019">
        <v>159.5</v>
      </c>
      <c r="K219" s="976">
        <v>404.99</v>
      </c>
      <c r="L219" s="978">
        <v>-9.9999999999909051E-3</v>
      </c>
      <c r="M219" s="976" t="s">
        <v>3589</v>
      </c>
      <c r="N219" s="976">
        <v>539.98666666666668</v>
      </c>
      <c r="O219" s="735">
        <f t="shared" si="11"/>
        <v>-1.3333333333321207E-2</v>
      </c>
      <c r="P219" s="738">
        <f t="shared" si="9"/>
        <v>539986.66666666663</v>
      </c>
      <c r="Q219" s="751">
        <f t="shared" si="10"/>
        <v>540000</v>
      </c>
      <c r="U219" s="751"/>
      <c r="V219" s="988"/>
      <c r="W219" s="1024"/>
      <c r="AY219" s="845"/>
      <c r="AZ219" s="845"/>
      <c r="BA219" s="845"/>
      <c r="BB219" s="845"/>
      <c r="BC219" s="845"/>
      <c r="BD219" s="845"/>
      <c r="BE219" s="845"/>
      <c r="BF219" s="845"/>
      <c r="BG219" s="845"/>
      <c r="BH219" s="845"/>
      <c r="BI219" s="845"/>
      <c r="BJ219" s="845"/>
      <c r="BK219" s="845"/>
      <c r="BL219" s="845"/>
      <c r="BM219" s="845"/>
      <c r="BN219" s="845"/>
      <c r="BO219" s="845"/>
      <c r="BP219" s="845"/>
      <c r="BQ219" s="845"/>
      <c r="BR219" s="845"/>
      <c r="BS219" s="845"/>
      <c r="BT219" s="845"/>
      <c r="BU219" s="845"/>
      <c r="BV219" s="845"/>
      <c r="BW219" s="845"/>
      <c r="BX219" s="845"/>
      <c r="BY219" s="845"/>
      <c r="BZ219" s="845"/>
      <c r="CA219" s="845"/>
      <c r="CB219" s="845"/>
      <c r="CC219" s="845"/>
    </row>
    <row r="220" spans="1:81" ht="12.75" customHeight="1">
      <c r="A220" s="976" t="s">
        <v>3894</v>
      </c>
      <c r="B220" s="976" t="s">
        <v>1107</v>
      </c>
      <c r="C220" s="977">
        <v>1346600933</v>
      </c>
      <c r="D220" s="976" t="s">
        <v>183</v>
      </c>
      <c r="E220" s="976">
        <v>45</v>
      </c>
      <c r="F220" s="976">
        <v>45</v>
      </c>
      <c r="G220" s="976">
        <v>33.75</v>
      </c>
      <c r="H220" s="976">
        <v>16.603999999999999</v>
      </c>
      <c r="I220" s="976"/>
      <c r="J220" s="1019">
        <v>3</v>
      </c>
      <c r="K220" s="976">
        <v>19.603999999999999</v>
      </c>
      <c r="L220" s="978">
        <v>-14.146000000000001</v>
      </c>
      <c r="M220" s="976" t="s">
        <v>3589</v>
      </c>
      <c r="N220" s="976">
        <v>26.138666666666666</v>
      </c>
      <c r="O220" s="735">
        <f t="shared" si="11"/>
        <v>-18.861333333333334</v>
      </c>
      <c r="P220" s="738">
        <f t="shared" si="9"/>
        <v>26138.666666666664</v>
      </c>
      <c r="Q220" s="751">
        <f t="shared" si="10"/>
        <v>26000</v>
      </c>
      <c r="U220" s="751"/>
      <c r="V220" s="988"/>
      <c r="W220" s="1024"/>
      <c r="AY220" s="845"/>
      <c r="AZ220" s="845"/>
      <c r="BA220" s="845"/>
      <c r="BB220" s="845"/>
      <c r="BC220" s="845"/>
      <c r="BD220" s="845"/>
      <c r="BE220" s="845"/>
      <c r="BF220" s="845"/>
      <c r="BG220" s="845"/>
      <c r="BH220" s="845"/>
      <c r="BI220" s="845"/>
      <c r="BJ220" s="845"/>
      <c r="BK220" s="845"/>
      <c r="BL220" s="845"/>
      <c r="BM220" s="845"/>
      <c r="BN220" s="845"/>
      <c r="BO220" s="845"/>
      <c r="BP220" s="845"/>
      <c r="BQ220" s="845"/>
      <c r="BR220" s="845"/>
      <c r="BS220" s="845"/>
      <c r="BT220" s="845"/>
      <c r="BU220" s="845"/>
      <c r="BV220" s="845"/>
      <c r="BW220" s="845"/>
      <c r="BX220" s="845"/>
      <c r="BY220" s="845"/>
      <c r="BZ220" s="845"/>
      <c r="CA220" s="845"/>
      <c r="CB220" s="845"/>
      <c r="CC220" s="845"/>
    </row>
    <row r="221" spans="1:81" ht="12.75" customHeight="1">
      <c r="A221" s="976" t="s">
        <v>3895</v>
      </c>
      <c r="B221" s="976" t="s">
        <v>1107</v>
      </c>
      <c r="C221" s="977">
        <v>1346600936</v>
      </c>
      <c r="D221" s="976" t="s">
        <v>184</v>
      </c>
      <c r="E221" s="976">
        <v>2250</v>
      </c>
      <c r="F221" s="976">
        <v>2250</v>
      </c>
      <c r="G221" s="976">
        <v>1687.5</v>
      </c>
      <c r="H221" s="976">
        <v>1167.2639999999999</v>
      </c>
      <c r="I221" s="976"/>
      <c r="J221" s="1019">
        <v>363</v>
      </c>
      <c r="K221" s="976">
        <v>1530.2639999999999</v>
      </c>
      <c r="L221" s="978">
        <v>-157.2360000000001</v>
      </c>
      <c r="M221" s="976" t="s">
        <v>3589</v>
      </c>
      <c r="N221" s="976">
        <v>2040.3519999999999</v>
      </c>
      <c r="O221" s="735">
        <f t="shared" si="11"/>
        <v>-209.64800000000014</v>
      </c>
      <c r="P221" s="738">
        <f t="shared" si="9"/>
        <v>2040351.9999999998</v>
      </c>
      <c r="Q221" s="751">
        <f t="shared" si="10"/>
        <v>2040000</v>
      </c>
      <c r="U221" s="751"/>
      <c r="V221" s="988"/>
      <c r="W221" s="1024"/>
      <c r="AY221" s="845"/>
      <c r="AZ221" s="845"/>
      <c r="BA221" s="845"/>
      <c r="BB221" s="845"/>
      <c r="BC221" s="845"/>
      <c r="BD221" s="845"/>
      <c r="BE221" s="845"/>
      <c r="BF221" s="845"/>
      <c r="BG221" s="845"/>
      <c r="BH221" s="845"/>
      <c r="BI221" s="845"/>
      <c r="BJ221" s="845"/>
      <c r="BK221" s="845"/>
      <c r="BL221" s="845"/>
      <c r="BM221" s="845"/>
      <c r="BN221" s="845"/>
      <c r="BO221" s="845"/>
      <c r="BP221" s="845"/>
      <c r="BQ221" s="845"/>
      <c r="BR221" s="845"/>
      <c r="BS221" s="845"/>
      <c r="BT221" s="845"/>
      <c r="BU221" s="845"/>
      <c r="BV221" s="845"/>
      <c r="BW221" s="845"/>
      <c r="BX221" s="845"/>
      <c r="BY221" s="845"/>
      <c r="BZ221" s="845"/>
      <c r="CA221" s="845"/>
      <c r="CB221" s="845"/>
      <c r="CC221" s="845"/>
    </row>
    <row r="222" spans="1:81" ht="12.75" customHeight="1">
      <c r="A222" s="976" t="s">
        <v>3900</v>
      </c>
      <c r="B222" s="976" t="s">
        <v>1107</v>
      </c>
      <c r="C222" s="977">
        <v>1346600937</v>
      </c>
      <c r="D222" s="976" t="s">
        <v>185</v>
      </c>
      <c r="E222" s="976">
        <v>222</v>
      </c>
      <c r="F222" s="976">
        <v>222</v>
      </c>
      <c r="G222" s="976">
        <v>166.5</v>
      </c>
      <c r="H222" s="976">
        <v>94.501000000000005</v>
      </c>
      <c r="I222" s="976"/>
      <c r="J222" s="1019">
        <v>47</v>
      </c>
      <c r="K222" s="976">
        <v>141.501</v>
      </c>
      <c r="L222" s="978">
        <v>-24.998999999999995</v>
      </c>
      <c r="M222" s="976" t="s">
        <v>3589</v>
      </c>
      <c r="N222" s="976">
        <v>188.66800000000001</v>
      </c>
      <c r="O222" s="735">
        <f t="shared" si="11"/>
        <v>-33.331999999999994</v>
      </c>
      <c r="P222" s="738">
        <f t="shared" si="9"/>
        <v>188668</v>
      </c>
      <c r="Q222" s="751">
        <f t="shared" si="10"/>
        <v>189000</v>
      </c>
      <c r="U222" s="751"/>
      <c r="V222" s="988"/>
      <c r="W222" s="1024"/>
      <c r="AY222" s="845"/>
      <c r="AZ222" s="845"/>
      <c r="BA222" s="845"/>
      <c r="BB222" s="845"/>
      <c r="BC222" s="845"/>
      <c r="BD222" s="845"/>
      <c r="BE222" s="845"/>
      <c r="BF222" s="845"/>
      <c r="BG222" s="845"/>
      <c r="BH222" s="845"/>
      <c r="BI222" s="845"/>
      <c r="BJ222" s="845"/>
      <c r="BK222" s="845"/>
      <c r="BL222" s="845"/>
      <c r="BM222" s="845"/>
      <c r="BN222" s="845"/>
      <c r="BO222" s="845"/>
      <c r="BP222" s="845"/>
      <c r="BQ222" s="845"/>
      <c r="BR222" s="845"/>
      <c r="BS222" s="845"/>
      <c r="BT222" s="845"/>
      <c r="BU222" s="845"/>
      <c r="BV222" s="845"/>
      <c r="BW222" s="845"/>
      <c r="BX222" s="845"/>
      <c r="BY222" s="845"/>
      <c r="BZ222" s="845"/>
      <c r="CA222" s="845"/>
      <c r="CB222" s="845"/>
      <c r="CC222" s="845"/>
    </row>
    <row r="223" spans="1:81" ht="12.75" customHeight="1">
      <c r="A223" s="976" t="s">
        <v>3899</v>
      </c>
      <c r="B223" s="976" t="s">
        <v>1107</v>
      </c>
      <c r="C223" s="977">
        <v>1346600939</v>
      </c>
      <c r="D223" s="976" t="s">
        <v>186</v>
      </c>
      <c r="E223" s="976">
        <v>375</v>
      </c>
      <c r="F223" s="976">
        <v>375</v>
      </c>
      <c r="G223" s="976">
        <v>281.25</v>
      </c>
      <c r="H223" s="976">
        <v>220.119</v>
      </c>
      <c r="I223" s="976"/>
      <c r="J223" s="1019">
        <v>60</v>
      </c>
      <c r="K223" s="976">
        <v>280.11900000000003</v>
      </c>
      <c r="L223" s="978">
        <v>-1.1309999999999718</v>
      </c>
      <c r="M223" s="976" t="s">
        <v>3589</v>
      </c>
      <c r="N223" s="976">
        <v>373.49200000000002</v>
      </c>
      <c r="O223" s="735">
        <f t="shared" si="11"/>
        <v>-1.5079999999999814</v>
      </c>
      <c r="P223" s="738">
        <f t="shared" si="9"/>
        <v>373492</v>
      </c>
      <c r="Q223" s="751">
        <f t="shared" si="10"/>
        <v>373000</v>
      </c>
      <c r="U223" s="751"/>
      <c r="V223" s="988"/>
      <c r="W223" s="1024"/>
      <c r="AY223" s="845"/>
      <c r="AZ223" s="845"/>
      <c r="BA223" s="845"/>
      <c r="BB223" s="845"/>
      <c r="BC223" s="845"/>
      <c r="BD223" s="845"/>
      <c r="BE223" s="845"/>
      <c r="BF223" s="845"/>
      <c r="BG223" s="845"/>
      <c r="BH223" s="845"/>
      <c r="BI223" s="845"/>
      <c r="BJ223" s="845"/>
      <c r="BK223" s="845"/>
      <c r="BL223" s="845"/>
      <c r="BM223" s="845"/>
      <c r="BN223" s="845"/>
      <c r="BO223" s="845"/>
      <c r="BP223" s="845"/>
      <c r="BQ223" s="845"/>
      <c r="BR223" s="845"/>
      <c r="BS223" s="845"/>
      <c r="BT223" s="845"/>
      <c r="BU223" s="845"/>
      <c r="BV223" s="845"/>
      <c r="BW223" s="845"/>
      <c r="BX223" s="845"/>
      <c r="BY223" s="845"/>
      <c r="BZ223" s="845"/>
      <c r="CA223" s="845"/>
      <c r="CB223" s="845"/>
      <c r="CC223" s="845"/>
    </row>
    <row r="224" spans="1:81" ht="12.75" customHeight="1">
      <c r="A224" s="976" t="s">
        <v>3891</v>
      </c>
      <c r="B224" s="976" t="s">
        <v>1107</v>
      </c>
      <c r="C224" s="977">
        <v>1346700930</v>
      </c>
      <c r="D224" s="976" t="s">
        <v>187</v>
      </c>
      <c r="E224" s="976">
        <v>93</v>
      </c>
      <c r="F224" s="976">
        <v>93</v>
      </c>
      <c r="G224" s="976">
        <v>69.75</v>
      </c>
      <c r="H224" s="976">
        <v>37.700000000000003</v>
      </c>
      <c r="I224" s="976"/>
      <c r="J224" s="1019">
        <v>32</v>
      </c>
      <c r="K224" s="976">
        <v>69.7</v>
      </c>
      <c r="L224" s="978">
        <v>-4.9999999999997158E-2</v>
      </c>
      <c r="M224" s="976" t="s">
        <v>3589</v>
      </c>
      <c r="N224" s="976">
        <v>92.933333333333337</v>
      </c>
      <c r="O224" s="735">
        <f t="shared" si="11"/>
        <v>-6.6666666666662877E-2</v>
      </c>
      <c r="P224" s="738">
        <f t="shared" si="9"/>
        <v>92933.333333333343</v>
      </c>
      <c r="Q224" s="751">
        <f t="shared" si="10"/>
        <v>93000</v>
      </c>
      <c r="U224" s="751"/>
      <c r="V224" s="988"/>
      <c r="W224" s="1024"/>
      <c r="AY224" s="845"/>
      <c r="AZ224" s="845"/>
      <c r="BA224" s="845"/>
      <c r="BB224" s="845"/>
      <c r="BC224" s="845"/>
      <c r="BD224" s="845"/>
      <c r="BE224" s="845"/>
      <c r="BF224" s="845"/>
      <c r="BG224" s="845"/>
      <c r="BH224" s="845"/>
      <c r="BI224" s="845"/>
      <c r="BJ224" s="845"/>
      <c r="BK224" s="845"/>
      <c r="BL224" s="845"/>
      <c r="BM224" s="845"/>
      <c r="BN224" s="845"/>
      <c r="BO224" s="845"/>
      <c r="BP224" s="845"/>
      <c r="BQ224" s="845"/>
      <c r="BR224" s="845"/>
      <c r="BS224" s="845"/>
      <c r="BT224" s="845"/>
      <c r="BU224" s="845"/>
      <c r="BV224" s="845"/>
      <c r="BW224" s="845"/>
      <c r="BX224" s="845"/>
      <c r="BY224" s="845"/>
      <c r="BZ224" s="845"/>
      <c r="CA224" s="845"/>
      <c r="CB224" s="845"/>
      <c r="CC224" s="845"/>
    </row>
    <row r="225" spans="1:81" ht="12.75" customHeight="1">
      <c r="A225" s="976" t="s">
        <v>3892</v>
      </c>
      <c r="B225" s="976" t="s">
        <v>1107</v>
      </c>
      <c r="C225" s="977">
        <v>1346700931</v>
      </c>
      <c r="D225" s="976" t="s">
        <v>3248</v>
      </c>
      <c r="E225" s="976">
        <v>0</v>
      </c>
      <c r="F225" s="976">
        <v>0</v>
      </c>
      <c r="G225" s="976">
        <v>0</v>
      </c>
      <c r="H225" s="976">
        <v>0</v>
      </c>
      <c r="I225" s="976"/>
      <c r="J225" s="976">
        <v>0</v>
      </c>
      <c r="K225" s="976">
        <v>0</v>
      </c>
      <c r="L225" s="978">
        <v>0</v>
      </c>
      <c r="M225" s="976" t="s">
        <v>3589</v>
      </c>
      <c r="N225" s="976">
        <v>0</v>
      </c>
      <c r="O225" s="735">
        <f t="shared" si="11"/>
        <v>0</v>
      </c>
      <c r="P225" s="738">
        <f t="shared" si="9"/>
        <v>0</v>
      </c>
      <c r="Q225" s="751">
        <f t="shared" si="10"/>
        <v>0</v>
      </c>
      <c r="U225" s="751"/>
      <c r="V225" s="988"/>
      <c r="W225" s="1024"/>
      <c r="AY225" s="845"/>
      <c r="AZ225" s="845"/>
      <c r="BA225" s="845"/>
      <c r="BB225" s="845"/>
      <c r="BC225" s="845"/>
      <c r="BD225" s="845"/>
      <c r="BE225" s="845"/>
      <c r="BF225" s="845"/>
      <c r="BG225" s="845"/>
      <c r="BH225" s="845"/>
      <c r="BI225" s="845"/>
      <c r="BJ225" s="845"/>
      <c r="BK225" s="845"/>
      <c r="BL225" s="845"/>
      <c r="BM225" s="845"/>
      <c r="BN225" s="845"/>
      <c r="BO225" s="845"/>
      <c r="BP225" s="845"/>
      <c r="BQ225" s="845"/>
      <c r="BR225" s="845"/>
      <c r="BS225" s="845"/>
      <c r="BT225" s="845"/>
      <c r="BU225" s="845"/>
      <c r="BV225" s="845"/>
      <c r="BW225" s="845"/>
      <c r="BX225" s="845"/>
      <c r="BY225" s="845"/>
      <c r="BZ225" s="845"/>
      <c r="CA225" s="845"/>
      <c r="CB225" s="845"/>
      <c r="CC225" s="845"/>
    </row>
    <row r="226" spans="1:81" ht="12.75" customHeight="1">
      <c r="A226" s="976" t="s">
        <v>3893</v>
      </c>
      <c r="B226" s="976" t="s">
        <v>1107</v>
      </c>
      <c r="C226" s="977">
        <v>1346700932</v>
      </c>
      <c r="D226" s="976" t="s">
        <v>188</v>
      </c>
      <c r="E226" s="976">
        <v>206</v>
      </c>
      <c r="F226" s="976">
        <v>206</v>
      </c>
      <c r="G226" s="976">
        <v>154.5</v>
      </c>
      <c r="H226" s="976">
        <v>186.48070000000001</v>
      </c>
      <c r="I226" s="976"/>
      <c r="J226" s="1040">
        <v>-38</v>
      </c>
      <c r="K226" s="976">
        <v>148.48070000000001</v>
      </c>
      <c r="L226" s="978">
        <v>-6.019299999999987</v>
      </c>
      <c r="M226" s="976" t="s">
        <v>3589</v>
      </c>
      <c r="N226" s="976">
        <v>197.97426666666669</v>
      </c>
      <c r="O226" s="735">
        <f t="shared" si="11"/>
        <v>-8.0257333333333065</v>
      </c>
      <c r="P226" s="738">
        <f t="shared" si="9"/>
        <v>197974.26666666669</v>
      </c>
      <c r="Q226" s="751">
        <f t="shared" si="10"/>
        <v>198000</v>
      </c>
      <c r="U226" s="751"/>
      <c r="V226" s="988"/>
      <c r="W226" s="1024"/>
      <c r="AY226" s="845"/>
      <c r="AZ226" s="845"/>
      <c r="BA226" s="845"/>
      <c r="BB226" s="845"/>
      <c r="BC226" s="845"/>
      <c r="BD226" s="845"/>
      <c r="BE226" s="845"/>
      <c r="BF226" s="845"/>
      <c r="BG226" s="845"/>
      <c r="BH226" s="845"/>
      <c r="BI226" s="845"/>
      <c r="BJ226" s="845"/>
      <c r="BK226" s="845"/>
      <c r="BL226" s="845"/>
      <c r="BM226" s="845"/>
      <c r="BN226" s="845"/>
      <c r="BO226" s="845"/>
      <c r="BP226" s="845"/>
      <c r="BQ226" s="845"/>
      <c r="BR226" s="845"/>
      <c r="BS226" s="845"/>
      <c r="BT226" s="845"/>
      <c r="BU226" s="845"/>
      <c r="BV226" s="845"/>
      <c r="BW226" s="845"/>
      <c r="BX226" s="845"/>
      <c r="BY226" s="845"/>
      <c r="BZ226" s="845"/>
      <c r="CA226" s="845"/>
      <c r="CB226" s="845"/>
      <c r="CC226" s="845"/>
    </row>
    <row r="227" spans="1:81" ht="12.75" customHeight="1">
      <c r="A227" s="976" t="s">
        <v>3894</v>
      </c>
      <c r="B227" s="976" t="s">
        <v>1107</v>
      </c>
      <c r="C227" s="977">
        <v>1346700933</v>
      </c>
      <c r="D227" s="976" t="s">
        <v>3249</v>
      </c>
      <c r="E227" s="976">
        <v>0</v>
      </c>
      <c r="F227" s="976">
        <v>0</v>
      </c>
      <c r="G227" s="976">
        <v>0</v>
      </c>
      <c r="H227" s="976">
        <v>0</v>
      </c>
      <c r="I227" s="976"/>
      <c r="J227" s="976">
        <v>0</v>
      </c>
      <c r="K227" s="976">
        <v>0</v>
      </c>
      <c r="L227" s="978">
        <v>0</v>
      </c>
      <c r="M227" s="976" t="s">
        <v>3589</v>
      </c>
      <c r="N227" s="976">
        <v>0</v>
      </c>
      <c r="O227" s="735">
        <f t="shared" si="11"/>
        <v>0</v>
      </c>
      <c r="P227" s="738">
        <f t="shared" si="9"/>
        <v>0</v>
      </c>
      <c r="Q227" s="751">
        <f t="shared" si="10"/>
        <v>0</v>
      </c>
      <c r="U227" s="751"/>
      <c r="V227" s="988"/>
      <c r="W227" s="1024"/>
      <c r="AY227" s="845"/>
      <c r="AZ227" s="845"/>
      <c r="BA227" s="845"/>
      <c r="BB227" s="845"/>
      <c r="BC227" s="845"/>
      <c r="BD227" s="845"/>
      <c r="BE227" s="845"/>
      <c r="BF227" s="845"/>
      <c r="BG227" s="845"/>
      <c r="BH227" s="845"/>
      <c r="BI227" s="845"/>
      <c r="BJ227" s="845"/>
      <c r="BK227" s="845"/>
      <c r="BL227" s="845"/>
      <c r="BM227" s="845"/>
      <c r="BN227" s="845"/>
      <c r="BO227" s="845"/>
      <c r="BP227" s="845"/>
      <c r="BQ227" s="845"/>
      <c r="BR227" s="845"/>
      <c r="BS227" s="845"/>
      <c r="BT227" s="845"/>
      <c r="BU227" s="845"/>
      <c r="BV227" s="845"/>
      <c r="BW227" s="845"/>
      <c r="BX227" s="845"/>
      <c r="BY227" s="845"/>
      <c r="BZ227" s="845"/>
      <c r="CA227" s="845"/>
      <c r="CB227" s="845"/>
      <c r="CC227" s="845"/>
    </row>
    <row r="228" spans="1:81" ht="12.75" customHeight="1">
      <c r="A228" s="976" t="s">
        <v>3896</v>
      </c>
      <c r="B228" s="976" t="s">
        <v>1107</v>
      </c>
      <c r="C228" s="977">
        <v>1346700934</v>
      </c>
      <c r="D228" s="976" t="s">
        <v>189</v>
      </c>
      <c r="E228" s="976">
        <v>137</v>
      </c>
      <c r="F228" s="976">
        <v>137</v>
      </c>
      <c r="G228" s="976">
        <v>102.75</v>
      </c>
      <c r="H228" s="976">
        <v>75.462429999999998</v>
      </c>
      <c r="I228" s="976"/>
      <c r="J228" s="1019">
        <v>27</v>
      </c>
      <c r="K228" s="976">
        <v>102.46243</v>
      </c>
      <c r="L228" s="978">
        <v>-0.28757000000000232</v>
      </c>
      <c r="M228" s="976" t="s">
        <v>3589</v>
      </c>
      <c r="N228" s="976">
        <v>136.61657333333335</v>
      </c>
      <c r="O228" s="735">
        <f t="shared" si="11"/>
        <v>-0.38342666666665082</v>
      </c>
      <c r="P228" s="738">
        <f t="shared" si="9"/>
        <v>136616.57333333336</v>
      </c>
      <c r="Q228" s="751">
        <f t="shared" si="10"/>
        <v>137000</v>
      </c>
      <c r="U228" s="751"/>
      <c r="V228" s="988"/>
      <c r="W228" s="1024"/>
      <c r="AY228" s="845"/>
      <c r="AZ228" s="845"/>
      <c r="BA228" s="845"/>
      <c r="BB228" s="845"/>
      <c r="BC228" s="845"/>
      <c r="BD228" s="845"/>
      <c r="BE228" s="845"/>
      <c r="BF228" s="845"/>
      <c r="BG228" s="845"/>
      <c r="BH228" s="845"/>
      <c r="BI228" s="845"/>
      <c r="BJ228" s="845"/>
      <c r="BK228" s="845"/>
      <c r="BL228" s="845"/>
      <c r="BM228" s="845"/>
      <c r="BN228" s="845"/>
      <c r="BO228" s="845"/>
      <c r="BP228" s="845"/>
      <c r="BQ228" s="845"/>
      <c r="BR228" s="845"/>
      <c r="BS228" s="845"/>
      <c r="BT228" s="845"/>
      <c r="BU228" s="845"/>
      <c r="BV228" s="845"/>
      <c r="BW228" s="845"/>
      <c r="BX228" s="845"/>
      <c r="BY228" s="845"/>
      <c r="BZ228" s="845"/>
      <c r="CA228" s="845"/>
      <c r="CB228" s="845"/>
      <c r="CC228" s="845"/>
    </row>
    <row r="229" spans="1:81" ht="12.75" customHeight="1">
      <c r="A229" s="976" t="s">
        <v>3891</v>
      </c>
      <c r="B229" s="976" t="s">
        <v>1107</v>
      </c>
      <c r="C229" s="977">
        <v>1346800930</v>
      </c>
      <c r="D229" s="976" t="s">
        <v>190</v>
      </c>
      <c r="E229" s="976">
        <v>53</v>
      </c>
      <c r="F229" s="976">
        <v>53</v>
      </c>
      <c r="G229" s="976">
        <v>39.75</v>
      </c>
      <c r="H229" s="976">
        <v>22.498999999999999</v>
      </c>
      <c r="I229" s="976"/>
      <c r="J229" s="1019">
        <v>17</v>
      </c>
      <c r="K229" s="976">
        <v>39.498999999999995</v>
      </c>
      <c r="L229" s="978">
        <v>-0.25100000000000477</v>
      </c>
      <c r="M229" s="976" t="s">
        <v>3589</v>
      </c>
      <c r="N229" s="976">
        <v>52.665333333333329</v>
      </c>
      <c r="O229" s="735">
        <f t="shared" si="11"/>
        <v>-0.33466666666667066</v>
      </c>
      <c r="P229" s="738">
        <f t="shared" si="9"/>
        <v>52665.333333333328</v>
      </c>
      <c r="Q229" s="751">
        <f t="shared" si="10"/>
        <v>53000</v>
      </c>
      <c r="U229" s="751"/>
      <c r="V229" s="988"/>
      <c r="W229" s="1024"/>
      <c r="AY229" s="845"/>
      <c r="AZ229" s="845"/>
      <c r="BA229" s="845"/>
      <c r="BB229" s="845"/>
      <c r="BC229" s="845"/>
      <c r="BD229" s="845"/>
      <c r="BE229" s="845"/>
      <c r="BF229" s="845"/>
      <c r="BG229" s="845"/>
      <c r="BH229" s="845"/>
      <c r="BI229" s="845"/>
      <c r="BJ229" s="845"/>
      <c r="BK229" s="845"/>
      <c r="BL229" s="845"/>
      <c r="BM229" s="845"/>
      <c r="BN229" s="845"/>
      <c r="BO229" s="845"/>
      <c r="BP229" s="845"/>
      <c r="BQ229" s="845"/>
      <c r="BR229" s="845"/>
      <c r="BS229" s="845"/>
      <c r="BT229" s="845"/>
      <c r="BU229" s="845"/>
      <c r="BV229" s="845"/>
      <c r="BW229" s="845"/>
      <c r="BX229" s="845"/>
      <c r="BY229" s="845"/>
      <c r="BZ229" s="845"/>
      <c r="CA229" s="845"/>
      <c r="CB229" s="845"/>
      <c r="CC229" s="845"/>
    </row>
    <row r="230" spans="1:81" ht="12.75" customHeight="1">
      <c r="A230" s="976" t="s">
        <v>3892</v>
      </c>
      <c r="B230" s="976" t="s">
        <v>1107</v>
      </c>
      <c r="C230" s="977">
        <v>1346800931</v>
      </c>
      <c r="D230" s="976" t="s">
        <v>191</v>
      </c>
      <c r="E230" s="976">
        <v>52</v>
      </c>
      <c r="F230" s="976">
        <v>52</v>
      </c>
      <c r="G230" s="976">
        <v>39</v>
      </c>
      <c r="H230" s="976">
        <v>33.764000000000003</v>
      </c>
      <c r="I230" s="976"/>
      <c r="J230" s="1019">
        <v>5.5</v>
      </c>
      <c r="K230" s="976">
        <v>39.264000000000003</v>
      </c>
      <c r="L230" s="978">
        <v>0.2640000000000029</v>
      </c>
      <c r="M230" s="976" t="s">
        <v>3589</v>
      </c>
      <c r="N230" s="976">
        <v>52.352000000000004</v>
      </c>
      <c r="O230" s="735">
        <f t="shared" si="11"/>
        <v>0.35200000000000387</v>
      </c>
      <c r="P230" s="738">
        <f t="shared" si="9"/>
        <v>52352.000000000007</v>
      </c>
      <c r="Q230" s="751">
        <f t="shared" si="10"/>
        <v>52000</v>
      </c>
      <c r="U230" s="751"/>
      <c r="V230" s="988"/>
      <c r="W230" s="1024"/>
      <c r="AY230" s="845"/>
      <c r="AZ230" s="845"/>
      <c r="BA230" s="845"/>
      <c r="BB230" s="845"/>
      <c r="BC230" s="845"/>
      <c r="BD230" s="845"/>
      <c r="BE230" s="845"/>
      <c r="BF230" s="845"/>
      <c r="BG230" s="845"/>
      <c r="BH230" s="845"/>
      <c r="BI230" s="845"/>
      <c r="BJ230" s="845"/>
      <c r="BK230" s="845"/>
      <c r="BL230" s="845"/>
      <c r="BM230" s="845"/>
      <c r="BN230" s="845"/>
      <c r="BO230" s="845"/>
      <c r="BP230" s="845"/>
      <c r="BQ230" s="845"/>
      <c r="BR230" s="845"/>
      <c r="BS230" s="845"/>
      <c r="BT230" s="845"/>
      <c r="BU230" s="845"/>
      <c r="BV230" s="845"/>
      <c r="BW230" s="845"/>
      <c r="BX230" s="845"/>
      <c r="BY230" s="845"/>
      <c r="BZ230" s="845"/>
      <c r="CA230" s="845"/>
      <c r="CB230" s="845"/>
      <c r="CC230" s="845"/>
    </row>
    <row r="231" spans="1:81" ht="12.75" customHeight="1">
      <c r="A231" s="976" t="s">
        <v>3893</v>
      </c>
      <c r="B231" s="976" t="s">
        <v>1107</v>
      </c>
      <c r="C231" s="977">
        <v>1346800932</v>
      </c>
      <c r="D231" s="976" t="s">
        <v>192</v>
      </c>
      <c r="E231" s="976">
        <v>60</v>
      </c>
      <c r="F231" s="976">
        <v>60</v>
      </c>
      <c r="G231" s="976">
        <v>45</v>
      </c>
      <c r="H231" s="976">
        <v>28.05</v>
      </c>
      <c r="I231" s="976"/>
      <c r="J231" s="1019">
        <v>2</v>
      </c>
      <c r="K231" s="976">
        <v>30.05</v>
      </c>
      <c r="L231" s="978">
        <v>-14.95</v>
      </c>
      <c r="M231" s="976" t="s">
        <v>3589</v>
      </c>
      <c r="N231" s="976">
        <v>40.06666666666667</v>
      </c>
      <c r="O231" s="735">
        <f t="shared" si="11"/>
        <v>-19.93333333333333</v>
      </c>
      <c r="P231" s="738">
        <f t="shared" si="9"/>
        <v>40066.666666666672</v>
      </c>
      <c r="Q231" s="751">
        <f t="shared" si="10"/>
        <v>40000</v>
      </c>
      <c r="U231" s="751"/>
      <c r="V231" s="988"/>
      <c r="W231" s="1024"/>
      <c r="AY231" s="845"/>
      <c r="AZ231" s="845"/>
      <c r="BA231" s="845"/>
      <c r="BB231" s="845"/>
      <c r="BC231" s="845"/>
      <c r="BD231" s="845"/>
      <c r="BE231" s="845"/>
      <c r="BF231" s="845"/>
      <c r="BG231" s="845"/>
      <c r="BH231" s="845"/>
      <c r="BI231" s="845"/>
      <c r="BJ231" s="845"/>
      <c r="BK231" s="845"/>
      <c r="BL231" s="845"/>
      <c r="BM231" s="845"/>
      <c r="BN231" s="845"/>
      <c r="BO231" s="845"/>
      <c r="BP231" s="845"/>
      <c r="BQ231" s="845"/>
      <c r="BR231" s="845"/>
      <c r="BS231" s="845"/>
      <c r="BT231" s="845"/>
      <c r="BU231" s="845"/>
      <c r="BV231" s="845"/>
      <c r="BW231" s="845"/>
      <c r="BX231" s="845"/>
      <c r="BY231" s="845"/>
      <c r="BZ231" s="845"/>
      <c r="CA231" s="845"/>
      <c r="CB231" s="845"/>
      <c r="CC231" s="845"/>
    </row>
    <row r="232" spans="1:81" ht="12.75" customHeight="1">
      <c r="A232" s="976" t="s">
        <v>3894</v>
      </c>
      <c r="B232" s="976" t="s">
        <v>1107</v>
      </c>
      <c r="C232" s="977">
        <v>1346800933</v>
      </c>
      <c r="D232" s="976" t="s">
        <v>3250</v>
      </c>
      <c r="E232" s="976">
        <v>0</v>
      </c>
      <c r="F232" s="976">
        <v>0</v>
      </c>
      <c r="G232" s="976">
        <v>0</v>
      </c>
      <c r="H232" s="976">
        <v>0</v>
      </c>
      <c r="I232" s="976"/>
      <c r="J232" s="976">
        <v>0</v>
      </c>
      <c r="K232" s="976">
        <v>0</v>
      </c>
      <c r="L232" s="978">
        <v>0</v>
      </c>
      <c r="M232" s="976" t="s">
        <v>3589</v>
      </c>
      <c r="N232" s="976">
        <v>0</v>
      </c>
      <c r="O232" s="735">
        <f t="shared" si="11"/>
        <v>0</v>
      </c>
      <c r="P232" s="738">
        <f t="shared" si="9"/>
        <v>0</v>
      </c>
      <c r="Q232" s="751">
        <f t="shared" si="10"/>
        <v>0</v>
      </c>
      <c r="U232" s="751"/>
      <c r="V232" s="988"/>
      <c r="W232" s="1024"/>
      <c r="AY232" s="845"/>
      <c r="AZ232" s="845"/>
      <c r="BA232" s="845"/>
      <c r="BB232" s="845"/>
      <c r="BC232" s="845"/>
      <c r="BD232" s="845"/>
      <c r="BE232" s="845"/>
      <c r="BF232" s="845"/>
      <c r="BG232" s="845"/>
      <c r="BH232" s="845"/>
      <c r="BI232" s="845"/>
      <c r="BJ232" s="845"/>
      <c r="BK232" s="845"/>
      <c r="BL232" s="845"/>
      <c r="BM232" s="845"/>
      <c r="BN232" s="845"/>
      <c r="BO232" s="845"/>
      <c r="BP232" s="845"/>
      <c r="BQ232" s="845"/>
      <c r="BR232" s="845"/>
      <c r="BS232" s="845"/>
      <c r="BT232" s="845"/>
      <c r="BU232" s="845"/>
      <c r="BV232" s="845"/>
      <c r="BW232" s="845"/>
      <c r="BX232" s="845"/>
      <c r="BY232" s="845"/>
      <c r="BZ232" s="845"/>
      <c r="CA232" s="845"/>
      <c r="CB232" s="845"/>
      <c r="CC232" s="845"/>
    </row>
    <row r="233" spans="1:81" ht="12.75" customHeight="1">
      <c r="A233" s="976" t="s">
        <v>3896</v>
      </c>
      <c r="B233" s="976" t="s">
        <v>1107</v>
      </c>
      <c r="C233" s="977">
        <v>1346800934</v>
      </c>
      <c r="D233" s="976" t="s">
        <v>3251</v>
      </c>
      <c r="E233" s="976">
        <v>0</v>
      </c>
      <c r="F233" s="976">
        <v>0</v>
      </c>
      <c r="G233" s="976">
        <v>0</v>
      </c>
      <c r="H233" s="976">
        <v>0</v>
      </c>
      <c r="I233" s="976"/>
      <c r="J233" s="976">
        <v>0</v>
      </c>
      <c r="K233" s="976">
        <v>0</v>
      </c>
      <c r="L233" s="978">
        <v>0</v>
      </c>
      <c r="M233" s="976" t="s">
        <v>3589</v>
      </c>
      <c r="N233" s="976">
        <v>0</v>
      </c>
      <c r="O233" s="735">
        <f t="shared" si="11"/>
        <v>0</v>
      </c>
      <c r="P233" s="738">
        <f t="shared" si="9"/>
        <v>0</v>
      </c>
      <c r="Q233" s="751">
        <f t="shared" si="10"/>
        <v>0</v>
      </c>
      <c r="U233" s="751"/>
      <c r="V233" s="988"/>
      <c r="W233" s="1024"/>
      <c r="AY233" s="845"/>
      <c r="AZ233" s="845"/>
      <c r="BA233" s="845"/>
      <c r="BB233" s="845"/>
      <c r="BC233" s="845"/>
      <c r="BD233" s="845"/>
      <c r="BE233" s="845"/>
      <c r="BF233" s="845"/>
      <c r="BG233" s="845"/>
      <c r="BH233" s="845"/>
      <c r="BI233" s="845"/>
      <c r="BJ233" s="845"/>
      <c r="BK233" s="845"/>
      <c r="BL233" s="845"/>
      <c r="BM233" s="845"/>
      <c r="BN233" s="845"/>
      <c r="BO233" s="845"/>
      <c r="BP233" s="845"/>
      <c r="BQ233" s="845"/>
      <c r="BR233" s="845"/>
      <c r="BS233" s="845"/>
      <c r="BT233" s="845"/>
      <c r="BU233" s="845"/>
      <c r="BV233" s="845"/>
      <c r="BW233" s="845"/>
      <c r="BX233" s="845"/>
      <c r="BY233" s="845"/>
      <c r="BZ233" s="845"/>
      <c r="CA233" s="845"/>
      <c r="CB233" s="845"/>
      <c r="CC233" s="845"/>
    </row>
    <row r="234" spans="1:81" ht="12.75" customHeight="1">
      <c r="A234" s="976" t="s">
        <v>3897</v>
      </c>
      <c r="B234" s="976" t="s">
        <v>1107</v>
      </c>
      <c r="C234" s="977">
        <v>1346800935</v>
      </c>
      <c r="D234" s="976" t="s">
        <v>185</v>
      </c>
      <c r="E234" s="976">
        <v>0</v>
      </c>
      <c r="F234" s="976">
        <v>0</v>
      </c>
      <c r="G234" s="976">
        <v>0</v>
      </c>
      <c r="H234" s="976">
        <v>0</v>
      </c>
      <c r="I234" s="976"/>
      <c r="J234" s="976">
        <v>0</v>
      </c>
      <c r="K234" s="976">
        <v>0</v>
      </c>
      <c r="L234" s="978">
        <v>0</v>
      </c>
      <c r="M234" s="976" t="s">
        <v>3589</v>
      </c>
      <c r="N234" s="976">
        <v>0</v>
      </c>
      <c r="O234" s="735">
        <f t="shared" si="11"/>
        <v>0</v>
      </c>
      <c r="P234" s="738">
        <f t="shared" si="9"/>
        <v>0</v>
      </c>
      <c r="Q234" s="751">
        <f t="shared" si="10"/>
        <v>0</v>
      </c>
      <c r="U234" s="751"/>
      <c r="V234" s="988"/>
      <c r="W234" s="1024"/>
      <c r="AY234" s="845"/>
      <c r="AZ234" s="845"/>
      <c r="BA234" s="845"/>
      <c r="BB234" s="845"/>
      <c r="BC234" s="845"/>
      <c r="BD234" s="845"/>
      <c r="BE234" s="845"/>
      <c r="BF234" s="845"/>
      <c r="BG234" s="845"/>
      <c r="BH234" s="845"/>
      <c r="BI234" s="845"/>
      <c r="BJ234" s="845"/>
      <c r="BK234" s="845"/>
      <c r="BL234" s="845"/>
      <c r="BM234" s="845"/>
      <c r="BN234" s="845"/>
      <c r="BO234" s="845"/>
      <c r="BP234" s="845"/>
      <c r="BQ234" s="845"/>
      <c r="BR234" s="845"/>
      <c r="BS234" s="845"/>
      <c r="BT234" s="845"/>
      <c r="BU234" s="845"/>
      <c r="BV234" s="845"/>
      <c r="BW234" s="845"/>
      <c r="BX234" s="845"/>
      <c r="BY234" s="845"/>
      <c r="BZ234" s="845"/>
      <c r="CA234" s="845"/>
      <c r="CB234" s="845"/>
      <c r="CC234" s="845"/>
    </row>
    <row r="235" spans="1:81">
      <c r="A235" s="976" t="s">
        <v>3895</v>
      </c>
      <c r="B235" s="976" t="s">
        <v>1107</v>
      </c>
      <c r="C235" s="977">
        <v>1346800936</v>
      </c>
      <c r="D235" s="976" t="s">
        <v>193</v>
      </c>
      <c r="E235" s="976">
        <v>274</v>
      </c>
      <c r="F235" s="976">
        <v>274</v>
      </c>
      <c r="G235" s="976">
        <v>205.5</v>
      </c>
      <c r="H235" s="976">
        <v>254.17500000000001</v>
      </c>
      <c r="I235" s="976"/>
      <c r="J235" s="1040">
        <v>-49</v>
      </c>
      <c r="K235" s="976">
        <v>205.17500000000001</v>
      </c>
      <c r="L235" s="978">
        <v>-0.32499999999998863</v>
      </c>
      <c r="M235" s="976" t="s">
        <v>3589</v>
      </c>
      <c r="N235" s="976">
        <v>273.56666666666672</v>
      </c>
      <c r="O235" s="735">
        <f t="shared" si="11"/>
        <v>-0.43333333333328028</v>
      </c>
      <c r="P235" s="738">
        <f t="shared" si="9"/>
        <v>273566.66666666674</v>
      </c>
      <c r="Q235" s="751">
        <f t="shared" si="10"/>
        <v>274000</v>
      </c>
      <c r="U235" s="751"/>
      <c r="V235" s="988"/>
      <c r="W235" s="1024"/>
      <c r="AY235" s="845"/>
      <c r="AZ235" s="845"/>
      <c r="BA235" s="845"/>
      <c r="BB235" s="845"/>
      <c r="BC235" s="845"/>
      <c r="BD235" s="845"/>
      <c r="BE235" s="845"/>
      <c r="BF235" s="845"/>
      <c r="BG235" s="845"/>
      <c r="BH235" s="845"/>
      <c r="BI235" s="845"/>
      <c r="BJ235" s="845"/>
      <c r="BK235" s="845"/>
      <c r="BL235" s="845"/>
      <c r="BM235" s="845"/>
      <c r="BN235" s="845"/>
      <c r="BO235" s="845"/>
      <c r="BP235" s="845"/>
      <c r="BQ235" s="845"/>
      <c r="BR235" s="845"/>
      <c r="BS235" s="845"/>
      <c r="BT235" s="845"/>
      <c r="BU235" s="845"/>
      <c r="BV235" s="845"/>
      <c r="BW235" s="845"/>
      <c r="BX235" s="845"/>
      <c r="BY235" s="845"/>
      <c r="BZ235" s="845"/>
      <c r="CA235" s="845"/>
      <c r="CB235" s="845"/>
      <c r="CC235" s="845"/>
    </row>
    <row r="236" spans="1:81">
      <c r="A236" s="976" t="s">
        <v>3892</v>
      </c>
      <c r="B236" s="976" t="s">
        <v>1107</v>
      </c>
      <c r="C236" s="977">
        <v>1347100931</v>
      </c>
      <c r="D236" s="976" t="s">
        <v>196</v>
      </c>
      <c r="E236" s="976">
        <v>167</v>
      </c>
      <c r="F236" s="976">
        <v>167</v>
      </c>
      <c r="G236" s="976">
        <v>125.25</v>
      </c>
      <c r="H236" s="976">
        <v>128.52000000000001</v>
      </c>
      <c r="I236" s="976"/>
      <c r="J236" s="976">
        <v>0</v>
      </c>
      <c r="K236" s="976">
        <v>128.52000000000001</v>
      </c>
      <c r="L236" s="978">
        <v>3.2700000000000102</v>
      </c>
      <c r="M236" s="976" t="s">
        <v>3589</v>
      </c>
      <c r="N236" s="976">
        <v>171.36</v>
      </c>
      <c r="O236" s="735">
        <f t="shared" si="11"/>
        <v>4.3600000000000136</v>
      </c>
      <c r="P236" s="738">
        <f t="shared" si="9"/>
        <v>171360</v>
      </c>
      <c r="Q236" s="751">
        <f t="shared" si="10"/>
        <v>171000</v>
      </c>
      <c r="U236" s="751"/>
      <c r="V236" s="988"/>
      <c r="W236" s="1024"/>
      <c r="AY236" s="845"/>
      <c r="AZ236" s="845"/>
      <c r="BA236" s="845"/>
      <c r="BB236" s="845"/>
      <c r="BC236" s="845"/>
      <c r="BD236" s="845"/>
      <c r="BE236" s="845"/>
      <c r="BF236" s="845"/>
      <c r="BG236" s="845"/>
      <c r="BH236" s="845"/>
      <c r="BI236" s="845"/>
      <c r="BJ236" s="845"/>
      <c r="BK236" s="845"/>
      <c r="BL236" s="845"/>
      <c r="BM236" s="845"/>
      <c r="BN236" s="845"/>
      <c r="BO236" s="845"/>
      <c r="BP236" s="845"/>
      <c r="BQ236" s="845"/>
      <c r="BR236" s="845"/>
      <c r="BS236" s="845"/>
      <c r="BT236" s="845"/>
      <c r="BU236" s="845"/>
      <c r="BV236" s="845"/>
      <c r="BW236" s="845"/>
      <c r="BX236" s="845"/>
      <c r="BY236" s="845"/>
      <c r="BZ236" s="845"/>
      <c r="CA236" s="845"/>
      <c r="CB236" s="845"/>
      <c r="CC236" s="845"/>
    </row>
    <row r="237" spans="1:81">
      <c r="A237" s="976" t="s">
        <v>3893</v>
      </c>
      <c r="B237" s="976" t="s">
        <v>1107</v>
      </c>
      <c r="C237" s="977">
        <v>1347100932</v>
      </c>
      <c r="D237" s="976" t="s">
        <v>3252</v>
      </c>
      <c r="E237" s="976">
        <v>0</v>
      </c>
      <c r="F237" s="976">
        <v>0</v>
      </c>
      <c r="G237" s="976">
        <v>0</v>
      </c>
      <c r="H237" s="976">
        <v>0</v>
      </c>
      <c r="I237" s="976"/>
      <c r="J237" s="976">
        <v>0</v>
      </c>
      <c r="K237" s="976">
        <v>0</v>
      </c>
      <c r="L237" s="978">
        <v>0</v>
      </c>
      <c r="M237" s="976" t="s">
        <v>3589</v>
      </c>
      <c r="N237" s="976">
        <v>0</v>
      </c>
      <c r="O237" s="735">
        <f t="shared" si="11"/>
        <v>0</v>
      </c>
      <c r="P237" s="738">
        <f t="shared" si="9"/>
        <v>0</v>
      </c>
      <c r="Q237" s="751">
        <f t="shared" si="10"/>
        <v>0</v>
      </c>
      <c r="U237" s="751"/>
      <c r="V237" s="988"/>
      <c r="W237" s="1024"/>
      <c r="AY237" s="845"/>
      <c r="AZ237" s="845"/>
      <c r="BA237" s="845"/>
      <c r="BB237" s="845"/>
      <c r="BC237" s="845"/>
      <c r="BD237" s="845"/>
      <c r="BE237" s="845"/>
      <c r="BF237" s="845"/>
      <c r="BG237" s="845"/>
      <c r="BH237" s="845"/>
      <c r="BI237" s="845"/>
      <c r="BJ237" s="845"/>
      <c r="BK237" s="845"/>
      <c r="BL237" s="845"/>
      <c r="BM237" s="845"/>
      <c r="BN237" s="845"/>
      <c r="BO237" s="845"/>
      <c r="BP237" s="845"/>
      <c r="BQ237" s="845"/>
      <c r="BR237" s="845"/>
      <c r="BS237" s="845"/>
      <c r="BT237" s="845"/>
      <c r="BU237" s="845"/>
      <c r="BV237" s="845"/>
      <c r="BW237" s="845"/>
      <c r="BX237" s="845"/>
      <c r="BY237" s="845"/>
      <c r="BZ237" s="845"/>
      <c r="CA237" s="845"/>
      <c r="CB237" s="845"/>
      <c r="CC237" s="845"/>
    </row>
    <row r="238" spans="1:81">
      <c r="A238" s="976" t="s">
        <v>3897</v>
      </c>
      <c r="B238" s="976" t="s">
        <v>1107</v>
      </c>
      <c r="C238" s="977">
        <v>1347100935</v>
      </c>
      <c r="D238" s="976" t="s">
        <v>197</v>
      </c>
      <c r="E238" s="976">
        <v>1062</v>
      </c>
      <c r="F238" s="976">
        <v>1062</v>
      </c>
      <c r="G238" s="976">
        <v>796.5</v>
      </c>
      <c r="H238" s="976">
        <v>546</v>
      </c>
      <c r="I238" s="976"/>
      <c r="J238" s="1040">
        <v>-86</v>
      </c>
      <c r="K238" s="976">
        <v>460</v>
      </c>
      <c r="L238" s="978">
        <v>-336.5</v>
      </c>
      <c r="M238" s="976" t="s">
        <v>3589</v>
      </c>
      <c r="N238" s="976">
        <v>613.33333333333337</v>
      </c>
      <c r="O238" s="735">
        <f t="shared" si="11"/>
        <v>-448.66666666666663</v>
      </c>
      <c r="P238" s="738">
        <f t="shared" si="9"/>
        <v>613333.33333333337</v>
      </c>
      <c r="Q238" s="751">
        <f t="shared" si="10"/>
        <v>613000</v>
      </c>
      <c r="U238" s="751"/>
      <c r="V238" s="988"/>
      <c r="W238" s="1024"/>
      <c r="AY238" s="845"/>
      <c r="AZ238" s="845"/>
      <c r="BA238" s="845"/>
      <c r="BB238" s="845"/>
      <c r="BC238" s="845"/>
      <c r="BD238" s="845"/>
      <c r="BE238" s="845"/>
      <c r="BF238" s="845"/>
      <c r="BG238" s="845"/>
      <c r="BH238" s="845"/>
      <c r="BI238" s="845"/>
      <c r="BJ238" s="845"/>
      <c r="BK238" s="845"/>
      <c r="BL238" s="845"/>
      <c r="BM238" s="845"/>
      <c r="BN238" s="845"/>
      <c r="BO238" s="845"/>
      <c r="BP238" s="845"/>
      <c r="BQ238" s="845"/>
      <c r="BR238" s="845"/>
      <c r="BS238" s="845"/>
      <c r="BT238" s="845"/>
      <c r="BU238" s="845"/>
      <c r="BV238" s="845"/>
      <c r="BW238" s="845"/>
      <c r="BX238" s="845"/>
      <c r="BY238" s="845"/>
      <c r="BZ238" s="845"/>
      <c r="CA238" s="845"/>
      <c r="CB238" s="845"/>
      <c r="CC238" s="845"/>
    </row>
    <row r="239" spans="1:81">
      <c r="A239" s="976" t="s">
        <v>3895</v>
      </c>
      <c r="B239" s="976" t="s">
        <v>1107</v>
      </c>
      <c r="C239" s="977">
        <v>1347100936</v>
      </c>
      <c r="D239" s="976" t="s">
        <v>198</v>
      </c>
      <c r="E239" s="976">
        <v>64</v>
      </c>
      <c r="F239" s="976">
        <v>64</v>
      </c>
      <c r="G239" s="976">
        <v>48</v>
      </c>
      <c r="H239" s="976">
        <v>0</v>
      </c>
      <c r="I239" s="976"/>
      <c r="J239" s="1019">
        <v>48</v>
      </c>
      <c r="K239" s="976">
        <v>48</v>
      </c>
      <c r="L239" s="978">
        <v>0</v>
      </c>
      <c r="M239" s="976" t="s">
        <v>3589</v>
      </c>
      <c r="N239" s="976">
        <v>64</v>
      </c>
      <c r="O239" s="735">
        <f t="shared" si="11"/>
        <v>0</v>
      </c>
      <c r="P239" s="738">
        <f t="shared" si="9"/>
        <v>64000</v>
      </c>
      <c r="Q239" s="751">
        <f t="shared" si="10"/>
        <v>64000</v>
      </c>
      <c r="U239" s="751"/>
      <c r="V239" s="988"/>
      <c r="W239" s="1024"/>
      <c r="AY239" s="845"/>
      <c r="AZ239" s="845"/>
      <c r="BA239" s="845"/>
      <c r="BB239" s="845"/>
      <c r="BC239" s="845"/>
      <c r="BD239" s="845"/>
      <c r="BE239" s="845"/>
      <c r="BF239" s="845"/>
      <c r="BG239" s="845"/>
      <c r="BH239" s="845"/>
      <c r="BI239" s="845"/>
      <c r="BJ239" s="845"/>
      <c r="BK239" s="845"/>
      <c r="BL239" s="845"/>
      <c r="BM239" s="845"/>
      <c r="BN239" s="845"/>
      <c r="BO239" s="845"/>
      <c r="BP239" s="845"/>
      <c r="BQ239" s="845"/>
      <c r="BR239" s="845"/>
      <c r="BS239" s="845"/>
      <c r="BT239" s="845"/>
      <c r="BU239" s="845"/>
      <c r="BV239" s="845"/>
      <c r="BW239" s="845"/>
      <c r="BX239" s="845"/>
      <c r="BY239" s="845"/>
      <c r="BZ239" s="845"/>
      <c r="CA239" s="845"/>
      <c r="CB239" s="845"/>
      <c r="CC239" s="845"/>
    </row>
    <row r="240" spans="1:81">
      <c r="A240" s="976" t="s">
        <v>3900</v>
      </c>
      <c r="B240" s="976" t="s">
        <v>1107</v>
      </c>
      <c r="C240" s="992">
        <v>1347100937</v>
      </c>
      <c r="D240" s="992" t="s">
        <v>3253</v>
      </c>
      <c r="E240" s="976">
        <v>0</v>
      </c>
      <c r="F240" s="976">
        <v>0</v>
      </c>
      <c r="G240" s="976">
        <v>0</v>
      </c>
      <c r="H240" s="976">
        <v>0</v>
      </c>
      <c r="I240" s="976"/>
      <c r="J240" s="976">
        <v>0</v>
      </c>
      <c r="K240" s="976">
        <v>0</v>
      </c>
      <c r="L240" s="978">
        <v>0</v>
      </c>
      <c r="M240" s="976" t="s">
        <v>3589</v>
      </c>
      <c r="N240" s="976">
        <v>0</v>
      </c>
      <c r="O240" s="735">
        <f t="shared" si="11"/>
        <v>0</v>
      </c>
      <c r="P240" s="738">
        <f t="shared" si="9"/>
        <v>0</v>
      </c>
      <c r="Q240" s="751">
        <f t="shared" si="10"/>
        <v>0</v>
      </c>
      <c r="U240" s="751"/>
      <c r="V240" s="988"/>
      <c r="W240" s="1024"/>
      <c r="AY240" s="845"/>
      <c r="AZ240" s="845"/>
      <c r="BA240" s="845"/>
      <c r="BB240" s="845"/>
      <c r="BC240" s="845"/>
      <c r="BD240" s="845"/>
      <c r="BE240" s="845"/>
      <c r="BF240" s="845"/>
      <c r="BG240" s="845"/>
      <c r="BH240" s="845"/>
      <c r="BI240" s="845"/>
      <c r="BJ240" s="845"/>
      <c r="BK240" s="845"/>
      <c r="BL240" s="845"/>
      <c r="BM240" s="845"/>
      <c r="BN240" s="845"/>
      <c r="BO240" s="845"/>
      <c r="BP240" s="845"/>
      <c r="BQ240" s="845"/>
      <c r="BR240" s="845"/>
      <c r="BS240" s="845"/>
      <c r="BT240" s="845"/>
      <c r="BU240" s="845"/>
      <c r="BV240" s="845"/>
      <c r="BW240" s="845"/>
      <c r="BX240" s="845"/>
      <c r="BY240" s="845"/>
      <c r="BZ240" s="845"/>
      <c r="CA240" s="845"/>
      <c r="CB240" s="845"/>
      <c r="CC240" s="845"/>
    </row>
    <row r="241" spans="1:81">
      <c r="A241" s="976" t="s">
        <v>3891</v>
      </c>
      <c r="B241" s="976"/>
      <c r="C241" s="992">
        <v>1347110930</v>
      </c>
      <c r="D241" s="992" t="s">
        <v>2480</v>
      </c>
      <c r="E241" s="976">
        <v>82.2</v>
      </c>
      <c r="F241" s="976">
        <v>82.2</v>
      </c>
      <c r="G241" s="976">
        <v>61.650000000000006</v>
      </c>
      <c r="H241" s="976">
        <v>0</v>
      </c>
      <c r="I241" s="976"/>
      <c r="J241" s="976">
        <v>0</v>
      </c>
      <c r="K241" s="976">
        <v>0</v>
      </c>
      <c r="L241" s="978">
        <v>-61.650000000000006</v>
      </c>
      <c r="M241" s="976" t="s">
        <v>3589</v>
      </c>
      <c r="N241" s="976">
        <v>0</v>
      </c>
      <c r="O241" s="735">
        <f t="shared" si="11"/>
        <v>-82.2</v>
      </c>
      <c r="P241" s="738">
        <f t="shared" si="9"/>
        <v>0</v>
      </c>
      <c r="Q241" s="751">
        <f t="shared" si="10"/>
        <v>0</v>
      </c>
      <c r="U241" s="751"/>
      <c r="V241" s="988"/>
      <c r="W241" s="1024"/>
      <c r="AY241" s="845"/>
      <c r="AZ241" s="845"/>
      <c r="BA241" s="845"/>
      <c r="BB241" s="845"/>
      <c r="BC241" s="845"/>
      <c r="BD241" s="845"/>
      <c r="BE241" s="845"/>
      <c r="BF241" s="845"/>
      <c r="BG241" s="845"/>
      <c r="BH241" s="845"/>
      <c r="BI241" s="845"/>
      <c r="BJ241" s="845"/>
      <c r="BK241" s="845"/>
      <c r="BL241" s="845"/>
      <c r="BM241" s="845"/>
      <c r="BN241" s="845"/>
      <c r="BO241" s="845"/>
      <c r="BP241" s="845"/>
      <c r="BQ241" s="845"/>
      <c r="BR241" s="845"/>
      <c r="BS241" s="845"/>
      <c r="BT241" s="845"/>
      <c r="BU241" s="845"/>
      <c r="BV241" s="845"/>
      <c r="BW241" s="845"/>
      <c r="BX241" s="845"/>
      <c r="BY241" s="845"/>
      <c r="BZ241" s="845"/>
      <c r="CA241" s="845"/>
      <c r="CB241" s="845"/>
      <c r="CC241" s="845"/>
    </row>
    <row r="242" spans="1:81">
      <c r="A242" s="976" t="s">
        <v>3884</v>
      </c>
      <c r="B242" s="976" t="s">
        <v>1107</v>
      </c>
      <c r="C242" s="1000">
        <v>1347200920</v>
      </c>
      <c r="D242" s="1000" t="s">
        <v>3254</v>
      </c>
      <c r="E242" s="976">
        <v>0</v>
      </c>
      <c r="F242" s="976">
        <v>0</v>
      </c>
      <c r="G242" s="976">
        <v>0</v>
      </c>
      <c r="H242" s="976">
        <v>0</v>
      </c>
      <c r="I242" s="976"/>
      <c r="J242" s="976">
        <v>0</v>
      </c>
      <c r="K242" s="976">
        <v>0</v>
      </c>
      <c r="L242" s="978">
        <v>0</v>
      </c>
      <c r="M242" s="976" t="s">
        <v>3589</v>
      </c>
      <c r="N242" s="976">
        <v>0</v>
      </c>
      <c r="O242" s="735">
        <f t="shared" si="11"/>
        <v>0</v>
      </c>
      <c r="P242" s="738">
        <f t="shared" si="9"/>
        <v>0</v>
      </c>
      <c r="Q242" s="751">
        <f t="shared" si="10"/>
        <v>0</v>
      </c>
      <c r="U242" s="751"/>
      <c r="V242" s="988"/>
      <c r="W242" s="1024"/>
      <c r="AY242" s="845"/>
      <c r="AZ242" s="845"/>
      <c r="BA242" s="845"/>
      <c r="BB242" s="845"/>
      <c r="BC242" s="845"/>
      <c r="BD242" s="845"/>
      <c r="BE242" s="845"/>
      <c r="BF242" s="845"/>
      <c r="BG242" s="845"/>
      <c r="BH242" s="845"/>
      <c r="BI242" s="845"/>
      <c r="BJ242" s="845"/>
      <c r="BK242" s="845"/>
      <c r="BL242" s="845"/>
      <c r="BM242" s="845"/>
      <c r="BN242" s="845"/>
      <c r="BO242" s="845"/>
      <c r="BP242" s="845"/>
      <c r="BQ242" s="845"/>
      <c r="BR242" s="845"/>
      <c r="BS242" s="845"/>
      <c r="BT242" s="845"/>
      <c r="BU242" s="845"/>
      <c r="BV242" s="845"/>
      <c r="BW242" s="845"/>
      <c r="BX242" s="845"/>
      <c r="BY242" s="845"/>
      <c r="BZ242" s="845"/>
      <c r="CA242" s="845"/>
      <c r="CB242" s="845"/>
      <c r="CC242" s="845"/>
    </row>
    <row r="243" spans="1:81">
      <c r="A243" s="976" t="s">
        <v>3884</v>
      </c>
      <c r="B243" s="976" t="s">
        <v>1107</v>
      </c>
      <c r="C243" s="999">
        <v>1347300920</v>
      </c>
      <c r="D243" s="999" t="s">
        <v>199</v>
      </c>
      <c r="E243" s="976">
        <v>90</v>
      </c>
      <c r="F243" s="976">
        <v>90</v>
      </c>
      <c r="G243" s="976">
        <v>67.5</v>
      </c>
      <c r="H243" s="976">
        <v>43.917000000000002</v>
      </c>
      <c r="I243" s="976"/>
      <c r="J243" s="1019">
        <v>29</v>
      </c>
      <c r="K243" s="976">
        <v>72.917000000000002</v>
      </c>
      <c r="L243" s="978">
        <v>5.4170000000000016</v>
      </c>
      <c r="M243" s="976" t="s">
        <v>3589</v>
      </c>
      <c r="N243" s="976">
        <v>97.222666666666669</v>
      </c>
      <c r="O243" s="735">
        <f t="shared" si="11"/>
        <v>7.2226666666666688</v>
      </c>
      <c r="P243" s="738">
        <f t="shared" si="9"/>
        <v>97222.666666666672</v>
      </c>
      <c r="Q243" s="751">
        <f t="shared" si="10"/>
        <v>97000</v>
      </c>
      <c r="U243" s="751"/>
      <c r="V243" s="988"/>
      <c r="W243" s="1024"/>
      <c r="AY243" s="845"/>
      <c r="AZ243" s="845"/>
      <c r="BA243" s="845"/>
      <c r="BB243" s="845"/>
      <c r="BC243" s="845"/>
      <c r="BD243" s="845"/>
      <c r="BE243" s="845"/>
      <c r="BF243" s="845"/>
      <c r="BG243" s="845"/>
      <c r="BH243" s="845"/>
      <c r="BI243" s="845"/>
      <c r="BJ243" s="845"/>
      <c r="BK243" s="845"/>
      <c r="BL243" s="845"/>
      <c r="BM243" s="845"/>
      <c r="BN243" s="845"/>
      <c r="BO243" s="845"/>
      <c r="BP243" s="845"/>
      <c r="BQ243" s="845"/>
      <c r="BR243" s="845"/>
      <c r="BS243" s="845"/>
      <c r="BT243" s="845"/>
      <c r="BU243" s="845"/>
      <c r="BV243" s="845"/>
      <c r="BW243" s="845"/>
      <c r="BX243" s="845"/>
      <c r="BY243" s="845"/>
      <c r="BZ243" s="845"/>
      <c r="CA243" s="845"/>
      <c r="CB243" s="845"/>
      <c r="CC243" s="845"/>
    </row>
    <row r="244" spans="1:81" ht="12.75" customHeight="1">
      <c r="A244" s="976" t="s">
        <v>3893</v>
      </c>
      <c r="B244" s="976" t="s">
        <v>1107</v>
      </c>
      <c r="C244" s="977">
        <v>1347300932</v>
      </c>
      <c r="D244" s="976" t="s">
        <v>3255</v>
      </c>
      <c r="E244" s="976">
        <v>0</v>
      </c>
      <c r="F244" s="976">
        <v>0</v>
      </c>
      <c r="G244" s="976">
        <v>0</v>
      </c>
      <c r="H244" s="976">
        <v>0</v>
      </c>
      <c r="I244" s="976"/>
      <c r="J244" s="976">
        <v>0</v>
      </c>
      <c r="K244" s="976">
        <v>0</v>
      </c>
      <c r="L244" s="978">
        <v>0</v>
      </c>
      <c r="M244" s="976" t="s">
        <v>3589</v>
      </c>
      <c r="N244" s="976">
        <v>0</v>
      </c>
      <c r="O244" s="735">
        <f t="shared" si="11"/>
        <v>0</v>
      </c>
      <c r="P244" s="738">
        <f t="shared" si="9"/>
        <v>0</v>
      </c>
      <c r="Q244" s="751">
        <f t="shared" si="10"/>
        <v>0</v>
      </c>
      <c r="U244" s="751"/>
      <c r="V244" s="988"/>
      <c r="W244" s="1024"/>
      <c r="AY244" s="845"/>
      <c r="AZ244" s="845"/>
      <c r="BA244" s="845"/>
      <c r="BB244" s="845"/>
      <c r="BC244" s="845"/>
      <c r="BD244" s="845"/>
      <c r="BE244" s="845"/>
      <c r="BF244" s="845"/>
      <c r="BG244" s="845"/>
      <c r="BH244" s="845"/>
      <c r="BI244" s="845"/>
      <c r="BJ244" s="845"/>
      <c r="BK244" s="845"/>
      <c r="BL244" s="845"/>
      <c r="BM244" s="845"/>
      <c r="BN244" s="845"/>
      <c r="BO244" s="845"/>
      <c r="BP244" s="845"/>
      <c r="BQ244" s="845"/>
      <c r="BR244" s="845"/>
      <c r="BS244" s="845"/>
      <c r="BT244" s="845"/>
      <c r="BU244" s="845"/>
      <c r="BV244" s="845"/>
      <c r="BW244" s="845"/>
      <c r="BX244" s="845"/>
      <c r="BY244" s="845"/>
      <c r="BZ244" s="845"/>
      <c r="CA244" s="845"/>
      <c r="CB244" s="845"/>
      <c r="CC244" s="845"/>
    </row>
    <row r="245" spans="1:81">
      <c r="A245" s="976" t="s">
        <v>3894</v>
      </c>
      <c r="B245" s="976" t="s">
        <v>1107</v>
      </c>
      <c r="C245" s="977">
        <v>1347300933</v>
      </c>
      <c r="D245" s="976" t="s">
        <v>3256</v>
      </c>
      <c r="E245" s="976">
        <v>0</v>
      </c>
      <c r="F245" s="976">
        <v>0</v>
      </c>
      <c r="G245" s="976">
        <v>0</v>
      </c>
      <c r="H245" s="976">
        <v>0</v>
      </c>
      <c r="I245" s="976"/>
      <c r="J245" s="976">
        <v>0</v>
      </c>
      <c r="K245" s="976">
        <v>0</v>
      </c>
      <c r="L245" s="978">
        <v>0</v>
      </c>
      <c r="M245" s="976" t="s">
        <v>3589</v>
      </c>
      <c r="N245" s="976">
        <v>0</v>
      </c>
      <c r="O245" s="735">
        <f t="shared" si="11"/>
        <v>0</v>
      </c>
      <c r="P245" s="738">
        <f t="shared" si="9"/>
        <v>0</v>
      </c>
      <c r="Q245" s="751">
        <f t="shared" si="10"/>
        <v>0</v>
      </c>
      <c r="U245" s="751"/>
      <c r="V245" s="988"/>
      <c r="W245" s="1024"/>
      <c r="AY245" s="845"/>
      <c r="AZ245" s="845"/>
      <c r="BA245" s="845"/>
      <c r="BB245" s="845"/>
      <c r="BC245" s="845"/>
      <c r="BD245" s="845"/>
      <c r="BE245" s="845"/>
      <c r="BF245" s="845"/>
      <c r="BG245" s="845"/>
      <c r="BH245" s="845"/>
      <c r="BI245" s="845"/>
      <c r="BJ245" s="845"/>
      <c r="BK245" s="845"/>
      <c r="BL245" s="845"/>
      <c r="BM245" s="845"/>
      <c r="BN245" s="845"/>
      <c r="BO245" s="845"/>
      <c r="BP245" s="845"/>
      <c r="BQ245" s="845"/>
      <c r="BR245" s="845"/>
      <c r="BS245" s="845"/>
      <c r="BT245" s="845"/>
      <c r="BU245" s="845"/>
      <c r="BV245" s="845"/>
      <c r="BW245" s="845"/>
      <c r="BX245" s="845"/>
      <c r="BY245" s="845"/>
      <c r="BZ245" s="845"/>
      <c r="CA245" s="845"/>
      <c r="CB245" s="845"/>
      <c r="CC245" s="845"/>
    </row>
    <row r="246" spans="1:81" ht="12.75" customHeight="1">
      <c r="A246" s="976" t="s">
        <v>3896</v>
      </c>
      <c r="B246" s="976" t="s">
        <v>1107</v>
      </c>
      <c r="C246" s="977">
        <v>1347300934</v>
      </c>
      <c r="D246" s="976" t="s">
        <v>200</v>
      </c>
      <c r="E246" s="976">
        <v>0</v>
      </c>
      <c r="F246" s="976">
        <v>0</v>
      </c>
      <c r="G246" s="976">
        <v>0</v>
      </c>
      <c r="H246" s="976">
        <v>346.47399999999999</v>
      </c>
      <c r="I246" s="976"/>
      <c r="J246" s="976">
        <v>0</v>
      </c>
      <c r="K246" s="976">
        <v>346.47399999999999</v>
      </c>
      <c r="L246" s="978">
        <v>346.47399999999999</v>
      </c>
      <c r="M246" s="976" t="s">
        <v>3589</v>
      </c>
      <c r="N246" s="976">
        <v>461.96533333333332</v>
      </c>
      <c r="O246" s="735">
        <f t="shared" si="11"/>
        <v>461.96533333333332</v>
      </c>
      <c r="P246" s="738">
        <f t="shared" si="9"/>
        <v>461965.33333333331</v>
      </c>
      <c r="Q246" s="751">
        <f t="shared" si="10"/>
        <v>462000</v>
      </c>
      <c r="U246" s="751"/>
      <c r="V246" s="988"/>
      <c r="W246" s="1024"/>
      <c r="AY246" s="845"/>
      <c r="AZ246" s="845"/>
      <c r="BA246" s="845"/>
      <c r="BB246" s="845"/>
      <c r="BC246" s="845"/>
      <c r="BD246" s="845"/>
      <c r="BE246" s="845"/>
      <c r="BF246" s="845"/>
      <c r="BG246" s="845"/>
      <c r="BH246" s="845"/>
      <c r="BI246" s="845"/>
      <c r="BJ246" s="845"/>
      <c r="BK246" s="845"/>
      <c r="BL246" s="845"/>
      <c r="BM246" s="845"/>
      <c r="BN246" s="845"/>
      <c r="BO246" s="845"/>
      <c r="BP246" s="845"/>
      <c r="BQ246" s="845"/>
      <c r="BR246" s="845"/>
      <c r="BS246" s="845"/>
      <c r="BT246" s="845"/>
      <c r="BU246" s="845"/>
      <c r="BV246" s="845"/>
      <c r="BW246" s="845"/>
      <c r="BX246" s="845"/>
      <c r="BY246" s="845"/>
      <c r="BZ246" s="845"/>
      <c r="CA246" s="845"/>
      <c r="CB246" s="845"/>
      <c r="CC246" s="845"/>
    </row>
    <row r="247" spans="1:81" ht="12.75" customHeight="1">
      <c r="A247" s="976" t="s">
        <v>3897</v>
      </c>
      <c r="B247" s="976" t="s">
        <v>1107</v>
      </c>
      <c r="C247" s="977">
        <v>1347300935</v>
      </c>
      <c r="D247" s="976" t="s">
        <v>3257</v>
      </c>
      <c r="E247" s="976">
        <v>180</v>
      </c>
      <c r="F247" s="976">
        <v>180</v>
      </c>
      <c r="G247" s="976">
        <v>135</v>
      </c>
      <c r="H247" s="976">
        <v>0</v>
      </c>
      <c r="I247" s="976"/>
      <c r="J247" s="1019">
        <v>135</v>
      </c>
      <c r="K247" s="976">
        <v>135</v>
      </c>
      <c r="L247" s="978">
        <v>0</v>
      </c>
      <c r="M247" s="976" t="s">
        <v>3589</v>
      </c>
      <c r="N247" s="976">
        <v>180</v>
      </c>
      <c r="O247" s="735">
        <f t="shared" si="11"/>
        <v>0</v>
      </c>
      <c r="P247" s="738">
        <f t="shared" si="9"/>
        <v>180000</v>
      </c>
      <c r="Q247" s="751">
        <f t="shared" si="10"/>
        <v>180000</v>
      </c>
      <c r="U247" s="751"/>
      <c r="V247" s="988"/>
      <c r="W247" s="1024"/>
      <c r="AY247" s="845"/>
      <c r="AZ247" s="845"/>
      <c r="BA247" s="845"/>
      <c r="BB247" s="845"/>
      <c r="BC247" s="845"/>
      <c r="BD247" s="845"/>
      <c r="BE247" s="845"/>
      <c r="BF247" s="845"/>
      <c r="BG247" s="845"/>
      <c r="BH247" s="845"/>
      <c r="BI247" s="845"/>
      <c r="BJ247" s="845"/>
      <c r="BK247" s="845"/>
      <c r="BL247" s="845"/>
      <c r="BM247" s="845"/>
      <c r="BN247" s="845"/>
      <c r="BO247" s="845"/>
      <c r="BP247" s="845"/>
      <c r="BQ247" s="845"/>
      <c r="BR247" s="845"/>
      <c r="BS247" s="845"/>
      <c r="BT247" s="845"/>
      <c r="BU247" s="845"/>
      <c r="BV247" s="845"/>
      <c r="BW247" s="845"/>
      <c r="BX247" s="845"/>
      <c r="BY247" s="845"/>
      <c r="BZ247" s="845"/>
      <c r="CA247" s="845"/>
      <c r="CB247" s="845"/>
      <c r="CC247" s="845"/>
    </row>
    <row r="248" spans="1:81" ht="12.75" customHeight="1">
      <c r="A248" s="976" t="s">
        <v>3895</v>
      </c>
      <c r="B248" s="976" t="s">
        <v>1107</v>
      </c>
      <c r="C248" s="977">
        <v>1347300936</v>
      </c>
      <c r="D248" s="976" t="s">
        <v>3258</v>
      </c>
      <c r="E248" s="976">
        <v>0</v>
      </c>
      <c r="F248" s="976">
        <v>0</v>
      </c>
      <c r="G248" s="976">
        <v>0</v>
      </c>
      <c r="H248" s="976">
        <v>21.751999999999999</v>
      </c>
      <c r="I248" s="976"/>
      <c r="J248" s="976">
        <v>0</v>
      </c>
      <c r="K248" s="976">
        <v>21.751999999999999</v>
      </c>
      <c r="L248" s="978">
        <v>21.751999999999999</v>
      </c>
      <c r="M248" s="976" t="s">
        <v>3589</v>
      </c>
      <c r="N248" s="976">
        <v>29.002666666666666</v>
      </c>
      <c r="O248" s="735">
        <f t="shared" si="11"/>
        <v>29.002666666666666</v>
      </c>
      <c r="P248" s="738">
        <f t="shared" si="9"/>
        <v>29002.666666666668</v>
      </c>
      <c r="Q248" s="751">
        <f t="shared" si="10"/>
        <v>29000</v>
      </c>
      <c r="U248" s="751"/>
      <c r="V248" s="988"/>
      <c r="W248" s="1024"/>
      <c r="AY248" s="845"/>
      <c r="AZ248" s="845"/>
      <c r="BA248" s="845"/>
      <c r="BB248" s="845"/>
      <c r="BC248" s="845"/>
      <c r="BD248" s="845"/>
      <c r="BE248" s="845"/>
      <c r="BF248" s="845"/>
      <c r="BG248" s="845"/>
      <c r="BH248" s="845"/>
      <c r="BI248" s="845"/>
      <c r="BJ248" s="845"/>
      <c r="BK248" s="845"/>
      <c r="BL248" s="845"/>
      <c r="BM248" s="845"/>
      <c r="BN248" s="845"/>
      <c r="BO248" s="845"/>
      <c r="BP248" s="845"/>
      <c r="BQ248" s="845"/>
      <c r="BR248" s="845"/>
      <c r="BS248" s="845"/>
      <c r="BT248" s="845"/>
      <c r="BU248" s="845"/>
      <c r="BV248" s="845"/>
      <c r="BW248" s="845"/>
      <c r="BX248" s="845"/>
      <c r="BY248" s="845"/>
      <c r="BZ248" s="845"/>
      <c r="CA248" s="845"/>
      <c r="CB248" s="845"/>
      <c r="CC248" s="845"/>
    </row>
    <row r="249" spans="1:81" ht="12.75" customHeight="1">
      <c r="A249" s="976" t="s">
        <v>3891</v>
      </c>
      <c r="B249" s="976"/>
      <c r="C249" s="977">
        <v>1347400930</v>
      </c>
      <c r="D249" s="976" t="s">
        <v>2219</v>
      </c>
      <c r="E249" s="976">
        <v>118</v>
      </c>
      <c r="F249" s="976">
        <v>118</v>
      </c>
      <c r="G249" s="976">
        <v>88.5</v>
      </c>
      <c r="H249" s="976">
        <v>0</v>
      </c>
      <c r="I249" s="976"/>
      <c r="J249" s="976">
        <v>0</v>
      </c>
      <c r="K249" s="976">
        <v>0</v>
      </c>
      <c r="L249" s="978">
        <v>-88.5</v>
      </c>
      <c r="M249" s="976" t="s">
        <v>3589</v>
      </c>
      <c r="N249" s="976">
        <v>0</v>
      </c>
      <c r="O249" s="735">
        <f t="shared" si="11"/>
        <v>-118</v>
      </c>
      <c r="P249" s="738">
        <f t="shared" si="9"/>
        <v>0</v>
      </c>
      <c r="Q249" s="751">
        <f t="shared" si="10"/>
        <v>0</v>
      </c>
      <c r="U249" s="751"/>
      <c r="V249" s="988"/>
      <c r="W249" s="1024"/>
      <c r="AY249" s="845"/>
      <c r="AZ249" s="845"/>
      <c r="BA249" s="845"/>
      <c r="BB249" s="845"/>
      <c r="BC249" s="845"/>
      <c r="BD249" s="845"/>
      <c r="BE249" s="845"/>
      <c r="BF249" s="845"/>
      <c r="BG249" s="845"/>
      <c r="BH249" s="845"/>
      <c r="BI249" s="845"/>
      <c r="BJ249" s="845"/>
      <c r="BK249" s="845"/>
      <c r="BL249" s="845"/>
      <c r="BM249" s="845"/>
      <c r="BN249" s="845"/>
      <c r="BO249" s="845"/>
      <c r="BP249" s="845"/>
      <c r="BQ249" s="845"/>
      <c r="BR249" s="845"/>
      <c r="BS249" s="845"/>
      <c r="BT249" s="845"/>
      <c r="BU249" s="845"/>
      <c r="BV249" s="845"/>
      <c r="BW249" s="845"/>
      <c r="BX249" s="845"/>
      <c r="BY249" s="845"/>
      <c r="BZ249" s="845"/>
      <c r="CA249" s="845"/>
      <c r="CB249" s="845"/>
      <c r="CC249" s="845"/>
    </row>
    <row r="250" spans="1:81">
      <c r="A250" s="976" t="s">
        <v>3896</v>
      </c>
      <c r="B250" s="976" t="s">
        <v>1107</v>
      </c>
      <c r="C250" s="977">
        <v>1347400934</v>
      </c>
      <c r="D250" s="976" t="s">
        <v>3259</v>
      </c>
      <c r="E250" s="976">
        <v>0</v>
      </c>
      <c r="F250" s="976">
        <v>0</v>
      </c>
      <c r="G250" s="976">
        <v>0</v>
      </c>
      <c r="H250" s="976">
        <v>0</v>
      </c>
      <c r="I250" s="976"/>
      <c r="J250" s="976">
        <v>0</v>
      </c>
      <c r="K250" s="976">
        <v>0</v>
      </c>
      <c r="L250" s="978">
        <v>0</v>
      </c>
      <c r="M250" s="976" t="s">
        <v>3589</v>
      </c>
      <c r="N250" s="976">
        <v>0</v>
      </c>
      <c r="O250" s="735">
        <f t="shared" si="11"/>
        <v>0</v>
      </c>
      <c r="P250" s="738">
        <f t="shared" si="9"/>
        <v>0</v>
      </c>
      <c r="Q250" s="751">
        <f t="shared" si="10"/>
        <v>0</v>
      </c>
      <c r="U250" s="751"/>
      <c r="V250" s="988"/>
      <c r="W250" s="1024"/>
      <c r="AY250" s="845"/>
      <c r="AZ250" s="845"/>
      <c r="BA250" s="845"/>
      <c r="BB250" s="845"/>
      <c r="BC250" s="845"/>
      <c r="BD250" s="845"/>
      <c r="BE250" s="845"/>
      <c r="BF250" s="845"/>
      <c r="BG250" s="845"/>
      <c r="BH250" s="845"/>
      <c r="BI250" s="845"/>
      <c r="BJ250" s="845"/>
      <c r="BK250" s="845"/>
      <c r="BL250" s="845"/>
      <c r="BM250" s="845"/>
      <c r="BN250" s="845"/>
      <c r="BO250" s="845"/>
      <c r="BP250" s="845"/>
      <c r="BQ250" s="845"/>
      <c r="BR250" s="845"/>
      <c r="BS250" s="845"/>
      <c r="BT250" s="845"/>
      <c r="BU250" s="845"/>
      <c r="BV250" s="845"/>
      <c r="BW250" s="845"/>
      <c r="BX250" s="845"/>
      <c r="BY250" s="845"/>
      <c r="BZ250" s="845"/>
      <c r="CA250" s="845"/>
      <c r="CB250" s="845"/>
      <c r="CC250" s="845"/>
    </row>
    <row r="251" spans="1:81">
      <c r="A251" s="976" t="s">
        <v>3900</v>
      </c>
      <c r="B251" s="976" t="s">
        <v>1107</v>
      </c>
      <c r="C251" s="977">
        <v>1347400937</v>
      </c>
      <c r="D251" s="976" t="s">
        <v>203</v>
      </c>
      <c r="E251" s="976">
        <v>23</v>
      </c>
      <c r="F251" s="976">
        <v>23</v>
      </c>
      <c r="G251" s="976">
        <v>17.25</v>
      </c>
      <c r="H251" s="976">
        <v>19.504999999999999</v>
      </c>
      <c r="I251" s="976"/>
      <c r="J251" s="1040">
        <v>-2.5</v>
      </c>
      <c r="K251" s="976">
        <v>17.004999999999999</v>
      </c>
      <c r="L251" s="978">
        <v>-0.24500000000000099</v>
      </c>
      <c r="M251" s="976" t="s">
        <v>3589</v>
      </c>
      <c r="N251" s="976">
        <v>22.673333333333332</v>
      </c>
      <c r="O251" s="735">
        <f t="shared" si="11"/>
        <v>-0.32666666666666799</v>
      </c>
      <c r="P251" s="738">
        <f t="shared" si="9"/>
        <v>22673.333333333332</v>
      </c>
      <c r="Q251" s="751">
        <f t="shared" si="10"/>
        <v>23000</v>
      </c>
      <c r="U251" s="751"/>
      <c r="V251" s="988"/>
      <c r="W251" s="1024"/>
      <c r="AY251" s="845"/>
      <c r="AZ251" s="845"/>
      <c r="BA251" s="845"/>
      <c r="BB251" s="845"/>
      <c r="BC251" s="845"/>
      <c r="BD251" s="845"/>
      <c r="BE251" s="845"/>
      <c r="BF251" s="845"/>
      <c r="BG251" s="845"/>
      <c r="BH251" s="845"/>
      <c r="BI251" s="845"/>
      <c r="BJ251" s="845"/>
      <c r="BK251" s="845"/>
      <c r="BL251" s="845"/>
      <c r="BM251" s="845"/>
      <c r="BN251" s="845"/>
      <c r="BO251" s="845"/>
      <c r="BP251" s="845"/>
      <c r="BQ251" s="845"/>
      <c r="BR251" s="845"/>
      <c r="BS251" s="845"/>
      <c r="BT251" s="845"/>
      <c r="BU251" s="845"/>
      <c r="BV251" s="845"/>
      <c r="BW251" s="845"/>
      <c r="BX251" s="845"/>
      <c r="BY251" s="845"/>
      <c r="BZ251" s="845"/>
      <c r="CA251" s="845"/>
      <c r="CB251" s="845"/>
      <c r="CC251" s="845"/>
    </row>
    <row r="252" spans="1:81">
      <c r="A252" s="976" t="s">
        <v>3898</v>
      </c>
      <c r="B252" s="976" t="s">
        <v>1107</v>
      </c>
      <c r="C252" s="977">
        <v>1347300938</v>
      </c>
      <c r="D252" s="976" t="s">
        <v>201</v>
      </c>
      <c r="E252" s="976">
        <v>168</v>
      </c>
      <c r="F252" s="976">
        <v>168</v>
      </c>
      <c r="G252" s="976">
        <v>126</v>
      </c>
      <c r="H252" s="976">
        <v>0</v>
      </c>
      <c r="I252" s="976"/>
      <c r="J252" s="976">
        <v>0</v>
      </c>
      <c r="K252" s="976">
        <v>0</v>
      </c>
      <c r="L252" s="978">
        <v>-126</v>
      </c>
      <c r="M252" s="976" t="s">
        <v>3589</v>
      </c>
      <c r="N252" s="976">
        <v>0</v>
      </c>
      <c r="O252" s="735">
        <f t="shared" si="11"/>
        <v>-168</v>
      </c>
      <c r="P252" s="738">
        <f t="shared" si="9"/>
        <v>0</v>
      </c>
      <c r="Q252" s="751">
        <f t="shared" si="10"/>
        <v>0</v>
      </c>
      <c r="U252" s="751"/>
      <c r="V252" s="988"/>
      <c r="W252" s="1024"/>
      <c r="AY252" s="845"/>
      <c r="AZ252" s="845"/>
      <c r="BA252" s="845"/>
      <c r="BB252" s="845"/>
      <c r="BC252" s="845"/>
      <c r="BD252" s="845"/>
      <c r="BE252" s="845"/>
      <c r="BF252" s="845"/>
      <c r="BG252" s="845"/>
      <c r="BH252" s="845"/>
      <c r="BI252" s="845"/>
      <c r="BJ252" s="845"/>
      <c r="BK252" s="845"/>
      <c r="BL252" s="845"/>
      <c r="BM252" s="845"/>
      <c r="BN252" s="845"/>
      <c r="BO252" s="845"/>
      <c r="BP252" s="845"/>
      <c r="BQ252" s="845"/>
      <c r="BR252" s="845"/>
      <c r="BS252" s="845"/>
      <c r="BT252" s="845"/>
      <c r="BU252" s="845"/>
      <c r="BV252" s="845"/>
      <c r="BW252" s="845"/>
      <c r="BX252" s="845"/>
      <c r="BY252" s="845"/>
      <c r="BZ252" s="845"/>
      <c r="CA252" s="845"/>
      <c r="CB252" s="845"/>
      <c r="CC252" s="845"/>
    </row>
    <row r="253" spans="1:81" ht="12.75" customHeight="1">
      <c r="A253" s="976" t="s">
        <v>3897</v>
      </c>
      <c r="B253" s="976" t="s">
        <v>1107</v>
      </c>
      <c r="C253" s="988">
        <v>1347400935</v>
      </c>
      <c r="D253" s="988" t="s">
        <v>3259</v>
      </c>
      <c r="E253" s="976">
        <v>206</v>
      </c>
      <c r="F253" s="976">
        <v>206</v>
      </c>
      <c r="G253" s="976">
        <v>154.5</v>
      </c>
      <c r="H253" s="976">
        <v>162.26300000000001</v>
      </c>
      <c r="I253" s="976"/>
      <c r="J253" s="1040">
        <v>-27</v>
      </c>
      <c r="K253" s="976">
        <v>135.26300000000001</v>
      </c>
      <c r="L253" s="978">
        <v>-19.236999999999995</v>
      </c>
      <c r="M253" s="976" t="s">
        <v>3589</v>
      </c>
      <c r="N253" s="976">
        <v>180.35066666666665</v>
      </c>
      <c r="O253" s="735">
        <f t="shared" si="11"/>
        <v>-25.649333333333345</v>
      </c>
      <c r="P253" s="738">
        <f t="shared" si="9"/>
        <v>180350.66666666666</v>
      </c>
      <c r="Q253" s="751">
        <f t="shared" si="10"/>
        <v>180000</v>
      </c>
      <c r="U253" s="751"/>
      <c r="V253" s="988"/>
      <c r="W253" s="1024"/>
      <c r="AY253" s="845"/>
      <c r="AZ253" s="845"/>
      <c r="BA253" s="845"/>
      <c r="BB253" s="845"/>
      <c r="BC253" s="845"/>
      <c r="BD253" s="845"/>
      <c r="BE253" s="845"/>
      <c r="BF253" s="845"/>
      <c r="BG253" s="845"/>
      <c r="BH253" s="845"/>
      <c r="BI253" s="845"/>
      <c r="BJ253" s="845"/>
      <c r="BK253" s="845"/>
      <c r="BL253" s="845"/>
      <c r="BM253" s="845"/>
      <c r="BN253" s="845"/>
      <c r="BO253" s="845"/>
      <c r="BP253" s="845"/>
      <c r="BQ253" s="845"/>
      <c r="BR253" s="845"/>
      <c r="BS253" s="845"/>
      <c r="BT253" s="845"/>
      <c r="BU253" s="845"/>
      <c r="BV253" s="845"/>
      <c r="BW253" s="845"/>
      <c r="BX253" s="845"/>
      <c r="BY253" s="845"/>
      <c r="BZ253" s="845"/>
      <c r="CA253" s="845"/>
      <c r="CB253" s="845"/>
      <c r="CC253" s="845"/>
    </row>
    <row r="254" spans="1:81">
      <c r="A254" s="976" t="s">
        <v>3895</v>
      </c>
      <c r="B254" s="976" t="s">
        <v>1107</v>
      </c>
      <c r="C254" s="977">
        <v>1347400936</v>
      </c>
      <c r="D254" s="976" t="s">
        <v>3260</v>
      </c>
      <c r="E254" s="976">
        <v>0</v>
      </c>
      <c r="F254" s="976">
        <v>0</v>
      </c>
      <c r="G254" s="976">
        <v>0</v>
      </c>
      <c r="H254" s="976">
        <v>0</v>
      </c>
      <c r="I254" s="976"/>
      <c r="J254" s="976">
        <v>0</v>
      </c>
      <c r="K254" s="976">
        <v>0</v>
      </c>
      <c r="L254" s="978">
        <v>0</v>
      </c>
      <c r="M254" s="976" t="s">
        <v>3589</v>
      </c>
      <c r="N254" s="976">
        <v>0</v>
      </c>
      <c r="O254" s="735">
        <f t="shared" si="11"/>
        <v>0</v>
      </c>
      <c r="P254" s="738">
        <f t="shared" si="9"/>
        <v>0</v>
      </c>
      <c r="Q254" s="751">
        <f t="shared" si="10"/>
        <v>0</v>
      </c>
      <c r="U254" s="751"/>
      <c r="V254" s="988"/>
      <c r="W254" s="1024"/>
      <c r="AY254" s="845"/>
      <c r="AZ254" s="845"/>
      <c r="BA254" s="845"/>
      <c r="BB254" s="845"/>
      <c r="BC254" s="845"/>
      <c r="BD254" s="845"/>
      <c r="BE254" s="845"/>
      <c r="BF254" s="845"/>
      <c r="BG254" s="845"/>
      <c r="BH254" s="845"/>
      <c r="BI254" s="845"/>
      <c r="BJ254" s="845"/>
      <c r="BK254" s="845"/>
      <c r="BL254" s="845"/>
      <c r="BM254" s="845"/>
      <c r="BN254" s="845"/>
      <c r="BO254" s="845"/>
      <c r="BP254" s="845"/>
      <c r="BQ254" s="845"/>
      <c r="BR254" s="845"/>
      <c r="BS254" s="845"/>
      <c r="BT254" s="845"/>
      <c r="BU254" s="845"/>
      <c r="BV254" s="845"/>
      <c r="BW254" s="845"/>
      <c r="BX254" s="845"/>
      <c r="BY254" s="845"/>
      <c r="BZ254" s="845"/>
      <c r="CA254" s="845"/>
      <c r="CB254" s="845"/>
      <c r="CC254" s="845"/>
    </row>
    <row r="255" spans="1:81" ht="12.75" customHeight="1">
      <c r="A255" s="976" t="s">
        <v>3898</v>
      </c>
      <c r="B255" s="976" t="s">
        <v>1107</v>
      </c>
      <c r="C255" s="977">
        <v>1347400938</v>
      </c>
      <c r="D255" s="976" t="s">
        <v>3261</v>
      </c>
      <c r="E255" s="976">
        <v>998</v>
      </c>
      <c r="F255" s="976">
        <v>998</v>
      </c>
      <c r="G255" s="976">
        <v>748.5</v>
      </c>
      <c r="H255" s="976">
        <v>749.81299999999999</v>
      </c>
      <c r="I255" s="976"/>
      <c r="J255" s="1040">
        <v>-2</v>
      </c>
      <c r="K255" s="976">
        <v>747.81299999999999</v>
      </c>
      <c r="L255" s="978">
        <v>-0.68700000000001182</v>
      </c>
      <c r="M255" s="976" t="s">
        <v>3589</v>
      </c>
      <c r="N255" s="976">
        <v>997.08399999999995</v>
      </c>
      <c r="O255" s="735">
        <f t="shared" si="11"/>
        <v>-0.91600000000005366</v>
      </c>
      <c r="P255" s="738">
        <f t="shared" si="9"/>
        <v>997084</v>
      </c>
      <c r="Q255" s="751">
        <f t="shared" si="10"/>
        <v>997000</v>
      </c>
      <c r="U255" s="751"/>
      <c r="V255" s="988"/>
      <c r="W255" s="1024"/>
      <c r="AY255" s="845"/>
      <c r="AZ255" s="845"/>
      <c r="BA255" s="845"/>
      <c r="BB255" s="845"/>
      <c r="BC255" s="845"/>
      <c r="BD255" s="845"/>
      <c r="BE255" s="845"/>
      <c r="BF255" s="845"/>
      <c r="BG255" s="845"/>
      <c r="BH255" s="845"/>
      <c r="BI255" s="845"/>
      <c r="BJ255" s="845"/>
      <c r="BK255" s="845"/>
      <c r="BL255" s="845"/>
      <c r="BM255" s="845"/>
      <c r="BN255" s="845"/>
      <c r="BO255" s="845"/>
      <c r="BP255" s="845"/>
      <c r="BQ255" s="845"/>
      <c r="BR255" s="845"/>
      <c r="BS255" s="845"/>
      <c r="BT255" s="845"/>
      <c r="BU255" s="845"/>
      <c r="BV255" s="845"/>
      <c r="BW255" s="845"/>
      <c r="BX255" s="845"/>
      <c r="BY255" s="845"/>
      <c r="BZ255" s="845"/>
      <c r="CA255" s="845"/>
      <c r="CB255" s="845"/>
      <c r="CC255" s="845"/>
    </row>
    <row r="256" spans="1:81" ht="12.75" customHeight="1">
      <c r="A256" s="976" t="s">
        <v>3899</v>
      </c>
      <c r="B256" s="976" t="s">
        <v>1107</v>
      </c>
      <c r="C256" s="977">
        <v>1347400939</v>
      </c>
      <c r="D256" s="976" t="s">
        <v>205</v>
      </c>
      <c r="E256" s="976">
        <v>151</v>
      </c>
      <c r="F256" s="976">
        <v>151</v>
      </c>
      <c r="G256" s="976">
        <v>113.25</v>
      </c>
      <c r="H256" s="976">
        <v>94.289000000000001</v>
      </c>
      <c r="I256" s="976"/>
      <c r="J256" s="1019">
        <v>18</v>
      </c>
      <c r="K256" s="976">
        <v>112.289</v>
      </c>
      <c r="L256" s="978">
        <v>-0.96099999999999852</v>
      </c>
      <c r="M256" s="976" t="s">
        <v>3589</v>
      </c>
      <c r="N256" s="976">
        <v>149.71866666666668</v>
      </c>
      <c r="O256" s="735">
        <f t="shared" si="11"/>
        <v>-1.2813333333333219</v>
      </c>
      <c r="P256" s="738">
        <f t="shared" si="9"/>
        <v>149718.66666666669</v>
      </c>
      <c r="Q256" s="751">
        <f t="shared" si="10"/>
        <v>150000</v>
      </c>
      <c r="U256" s="751"/>
      <c r="V256" s="988"/>
      <c r="W256" s="1024"/>
      <c r="AY256" s="845"/>
      <c r="AZ256" s="845"/>
      <c r="BA256" s="845"/>
      <c r="BB256" s="845"/>
      <c r="BC256" s="845"/>
      <c r="BD256" s="845"/>
      <c r="BE256" s="845"/>
      <c r="BF256" s="845"/>
      <c r="BG256" s="845"/>
      <c r="BH256" s="845"/>
      <c r="BI256" s="845"/>
      <c r="BJ256" s="845"/>
      <c r="BK256" s="845"/>
      <c r="BL256" s="845"/>
      <c r="BM256" s="845"/>
      <c r="BN256" s="845"/>
      <c r="BO256" s="845"/>
      <c r="BP256" s="845"/>
      <c r="BQ256" s="845"/>
      <c r="BR256" s="845"/>
      <c r="BS256" s="845"/>
      <c r="BT256" s="845"/>
      <c r="BU256" s="845"/>
      <c r="BV256" s="845"/>
      <c r="BW256" s="845"/>
      <c r="BX256" s="845"/>
      <c r="BY256" s="845"/>
      <c r="BZ256" s="845"/>
      <c r="CA256" s="845"/>
      <c r="CB256" s="845"/>
      <c r="CC256" s="845"/>
    </row>
    <row r="257" spans="1:81" ht="12.75" customHeight="1">
      <c r="A257" s="976" t="s">
        <v>3891</v>
      </c>
      <c r="B257" s="976" t="s">
        <v>1107</v>
      </c>
      <c r="C257" s="977">
        <v>1347410930</v>
      </c>
      <c r="D257" s="976" t="s">
        <v>805</v>
      </c>
      <c r="E257" s="976">
        <v>0</v>
      </c>
      <c r="F257" s="976">
        <v>0</v>
      </c>
      <c r="G257" s="976">
        <v>0</v>
      </c>
      <c r="H257" s="976">
        <v>0</v>
      </c>
      <c r="I257" s="976"/>
      <c r="J257" s="976">
        <v>0</v>
      </c>
      <c r="K257" s="976">
        <v>0</v>
      </c>
      <c r="L257" s="978">
        <v>0</v>
      </c>
      <c r="M257" s="976" t="s">
        <v>3589</v>
      </c>
      <c r="N257" s="976">
        <v>0</v>
      </c>
      <c r="O257" s="735">
        <f t="shared" si="11"/>
        <v>0</v>
      </c>
      <c r="P257" s="738">
        <f t="shared" si="9"/>
        <v>0</v>
      </c>
      <c r="Q257" s="751">
        <f t="shared" si="10"/>
        <v>0</v>
      </c>
      <c r="U257" s="751"/>
      <c r="V257" s="988"/>
      <c r="W257" s="1024"/>
      <c r="AY257" s="845"/>
      <c r="AZ257" s="845"/>
      <c r="BA257" s="845"/>
      <c r="BB257" s="845"/>
      <c r="BC257" s="845"/>
      <c r="BD257" s="845"/>
      <c r="BE257" s="845"/>
      <c r="BF257" s="845"/>
      <c r="BG257" s="845"/>
      <c r="BH257" s="845"/>
      <c r="BI257" s="845"/>
      <c r="BJ257" s="845"/>
      <c r="BK257" s="845"/>
      <c r="BL257" s="845"/>
      <c r="BM257" s="845"/>
      <c r="BN257" s="845"/>
      <c r="BO257" s="845"/>
      <c r="BP257" s="845"/>
      <c r="BQ257" s="845"/>
      <c r="BR257" s="845"/>
      <c r="BS257" s="845"/>
      <c r="BT257" s="845"/>
      <c r="BU257" s="845"/>
      <c r="BV257" s="845"/>
      <c r="BW257" s="845"/>
      <c r="BX257" s="845"/>
      <c r="BY257" s="845"/>
      <c r="BZ257" s="845"/>
      <c r="CA257" s="845"/>
      <c r="CB257" s="845"/>
      <c r="CC257" s="845"/>
    </row>
    <row r="258" spans="1:81" ht="12.75" customHeight="1">
      <c r="A258" s="976" t="s">
        <v>3891</v>
      </c>
      <c r="B258" s="976"/>
      <c r="C258" s="977">
        <v>1347500930</v>
      </c>
      <c r="D258" s="976" t="s">
        <v>2218</v>
      </c>
      <c r="E258" s="976">
        <v>148.69999999999999</v>
      </c>
      <c r="F258" s="976">
        <v>148.69999999999999</v>
      </c>
      <c r="G258" s="976">
        <v>111.52499999999999</v>
      </c>
      <c r="H258" s="976">
        <v>0</v>
      </c>
      <c r="I258" s="976"/>
      <c r="J258" s="976">
        <v>0</v>
      </c>
      <c r="K258" s="976">
        <v>0</v>
      </c>
      <c r="L258" s="978">
        <v>-111.52499999999999</v>
      </c>
      <c r="M258" s="976" t="s">
        <v>3589</v>
      </c>
      <c r="N258" s="976">
        <v>0</v>
      </c>
      <c r="O258" s="735">
        <f t="shared" si="11"/>
        <v>-148.69999999999999</v>
      </c>
      <c r="P258" s="738">
        <f t="shared" si="9"/>
        <v>0</v>
      </c>
      <c r="Q258" s="751">
        <f t="shared" si="10"/>
        <v>0</v>
      </c>
      <c r="U258" s="751"/>
      <c r="V258" s="988"/>
      <c r="W258" s="1024"/>
      <c r="AY258" s="845"/>
      <c r="AZ258" s="845"/>
      <c r="BA258" s="845"/>
      <c r="BB258" s="845"/>
      <c r="BC258" s="845"/>
      <c r="BD258" s="845"/>
      <c r="BE258" s="845"/>
      <c r="BF258" s="845"/>
      <c r="BG258" s="845"/>
      <c r="BH258" s="845"/>
      <c r="BI258" s="845"/>
      <c r="BJ258" s="845"/>
      <c r="BK258" s="845"/>
      <c r="BL258" s="845"/>
      <c r="BM258" s="845"/>
      <c r="BN258" s="845"/>
      <c r="BO258" s="845"/>
      <c r="BP258" s="845"/>
      <c r="BQ258" s="845"/>
      <c r="BR258" s="845"/>
      <c r="BS258" s="845"/>
      <c r="BT258" s="845"/>
      <c r="BU258" s="845"/>
      <c r="BV258" s="845"/>
      <c r="BW258" s="845"/>
      <c r="BX258" s="845"/>
      <c r="BY258" s="845"/>
      <c r="BZ258" s="845"/>
      <c r="CA258" s="845"/>
      <c r="CB258" s="845"/>
      <c r="CC258" s="845"/>
    </row>
    <row r="259" spans="1:81" ht="12.75" customHeight="1">
      <c r="A259" s="976" t="s">
        <v>3891</v>
      </c>
      <c r="B259" s="976" t="s">
        <v>1107</v>
      </c>
      <c r="C259" s="977">
        <v>1347600930</v>
      </c>
      <c r="D259" s="976" t="s">
        <v>206</v>
      </c>
      <c r="E259" s="976">
        <v>582</v>
      </c>
      <c r="F259" s="976">
        <v>582</v>
      </c>
      <c r="G259" s="976">
        <v>436.5</v>
      </c>
      <c r="H259" s="976">
        <v>587.78599999999994</v>
      </c>
      <c r="I259" s="976"/>
      <c r="J259" s="1040">
        <v>-152</v>
      </c>
      <c r="K259" s="976">
        <v>435.78599999999994</v>
      </c>
      <c r="L259" s="978">
        <v>-0.71400000000005548</v>
      </c>
      <c r="M259" s="976" t="s">
        <v>3589</v>
      </c>
      <c r="N259" s="976">
        <v>581.04799999999989</v>
      </c>
      <c r="O259" s="735">
        <f t="shared" si="11"/>
        <v>-0.95200000000011187</v>
      </c>
      <c r="P259" s="738">
        <f t="shared" si="9"/>
        <v>581047.99999999988</v>
      </c>
      <c r="Q259" s="751">
        <f t="shared" si="10"/>
        <v>581000</v>
      </c>
      <c r="U259" s="751"/>
      <c r="V259" s="988"/>
      <c r="W259" s="1024"/>
      <c r="AY259" s="845"/>
      <c r="AZ259" s="845"/>
      <c r="BA259" s="845"/>
      <c r="BB259" s="845"/>
      <c r="BC259" s="845"/>
      <c r="BD259" s="845"/>
      <c r="BE259" s="845"/>
      <c r="BF259" s="845"/>
      <c r="BG259" s="845"/>
      <c r="BH259" s="845"/>
      <c r="BI259" s="845"/>
      <c r="BJ259" s="845"/>
      <c r="BK259" s="845"/>
      <c r="BL259" s="845"/>
      <c r="BM259" s="845"/>
      <c r="BN259" s="845"/>
      <c r="BO259" s="845"/>
      <c r="BP259" s="845"/>
      <c r="BQ259" s="845"/>
      <c r="BR259" s="845"/>
      <c r="BS259" s="845"/>
      <c r="BT259" s="845"/>
      <c r="BU259" s="845"/>
      <c r="BV259" s="845"/>
      <c r="BW259" s="845"/>
      <c r="BX259" s="845"/>
      <c r="BY259" s="845"/>
      <c r="BZ259" s="845"/>
      <c r="CA259" s="845"/>
      <c r="CB259" s="845"/>
      <c r="CC259" s="845"/>
    </row>
    <row r="260" spans="1:81" ht="12.75" customHeight="1">
      <c r="A260" s="976" t="s">
        <v>3892</v>
      </c>
      <c r="B260" s="976" t="s">
        <v>1107</v>
      </c>
      <c r="C260" s="977">
        <v>1347600931</v>
      </c>
      <c r="D260" s="976" t="s">
        <v>807</v>
      </c>
      <c r="E260" s="976">
        <v>0</v>
      </c>
      <c r="F260" s="976">
        <v>0</v>
      </c>
      <c r="G260" s="976">
        <v>0</v>
      </c>
      <c r="H260" s="976">
        <v>0</v>
      </c>
      <c r="I260" s="976"/>
      <c r="J260" s="976">
        <v>0</v>
      </c>
      <c r="K260" s="976">
        <v>0</v>
      </c>
      <c r="L260" s="978">
        <v>0</v>
      </c>
      <c r="M260" s="976" t="s">
        <v>3589</v>
      </c>
      <c r="N260" s="976">
        <v>0</v>
      </c>
      <c r="O260" s="735">
        <f t="shared" si="11"/>
        <v>0</v>
      </c>
      <c r="P260" s="738">
        <f t="shared" si="9"/>
        <v>0</v>
      </c>
      <c r="Q260" s="751">
        <f t="shared" si="10"/>
        <v>0</v>
      </c>
      <c r="U260" s="751"/>
      <c r="V260" s="988"/>
      <c r="W260" s="1024"/>
      <c r="AY260" s="845"/>
      <c r="AZ260" s="845"/>
      <c r="BA260" s="845"/>
      <c r="BB260" s="845"/>
      <c r="BC260" s="845"/>
      <c r="BD260" s="845"/>
      <c r="BE260" s="845"/>
      <c r="BF260" s="845"/>
      <c r="BG260" s="845"/>
      <c r="BH260" s="845"/>
      <c r="BI260" s="845"/>
      <c r="BJ260" s="845"/>
      <c r="BK260" s="845"/>
      <c r="BL260" s="845"/>
      <c r="BM260" s="845"/>
      <c r="BN260" s="845"/>
      <c r="BO260" s="845"/>
      <c r="BP260" s="845"/>
      <c r="BQ260" s="845"/>
      <c r="BR260" s="845"/>
      <c r="BS260" s="845"/>
      <c r="BT260" s="845"/>
      <c r="BU260" s="845"/>
      <c r="BV260" s="845"/>
      <c r="BW260" s="845"/>
      <c r="BX260" s="845"/>
      <c r="BY260" s="845"/>
      <c r="BZ260" s="845"/>
      <c r="CA260" s="845"/>
      <c r="CB260" s="845"/>
      <c r="CC260" s="845"/>
    </row>
    <row r="261" spans="1:81" ht="12.75" customHeight="1">
      <c r="A261" s="976" t="s">
        <v>3891</v>
      </c>
      <c r="B261" s="976" t="s">
        <v>1107</v>
      </c>
      <c r="C261" s="977">
        <v>1347800930</v>
      </c>
      <c r="D261" s="976" t="s">
        <v>207</v>
      </c>
      <c r="E261" s="976">
        <v>167</v>
      </c>
      <c r="F261" s="976">
        <v>167</v>
      </c>
      <c r="G261" s="976">
        <v>125.25</v>
      </c>
      <c r="H261" s="976">
        <v>117.709</v>
      </c>
      <c r="I261" s="976"/>
      <c r="J261" s="1019">
        <v>7</v>
      </c>
      <c r="K261" s="976">
        <v>124.709</v>
      </c>
      <c r="L261" s="978">
        <v>-0.54099999999999682</v>
      </c>
      <c r="M261" s="976" t="s">
        <v>3589</v>
      </c>
      <c r="N261" s="976">
        <v>166.27866666666668</v>
      </c>
      <c r="O261" s="735">
        <f t="shared" si="11"/>
        <v>-0.72133333333331962</v>
      </c>
      <c r="P261" s="738">
        <f t="shared" si="9"/>
        <v>166278.66666666669</v>
      </c>
      <c r="Q261" s="751">
        <f t="shared" si="10"/>
        <v>166000</v>
      </c>
      <c r="U261" s="751"/>
      <c r="V261" s="988"/>
      <c r="W261" s="1024"/>
      <c r="AY261" s="845"/>
      <c r="AZ261" s="845"/>
      <c r="BA261" s="845"/>
      <c r="BB261" s="845"/>
      <c r="BC261" s="845"/>
      <c r="BD261" s="845"/>
      <c r="BE261" s="845"/>
      <c r="BF261" s="845"/>
      <c r="BG261" s="845"/>
      <c r="BH261" s="845"/>
      <c r="BI261" s="845"/>
      <c r="BJ261" s="845"/>
      <c r="BK261" s="845"/>
      <c r="BL261" s="845"/>
      <c r="BM261" s="845"/>
      <c r="BN261" s="845"/>
      <c r="BO261" s="845"/>
      <c r="BP261" s="845"/>
      <c r="BQ261" s="845"/>
      <c r="BR261" s="845"/>
      <c r="BS261" s="845"/>
      <c r="BT261" s="845"/>
      <c r="BU261" s="845"/>
      <c r="BV261" s="845"/>
      <c r="BW261" s="845"/>
      <c r="BX261" s="845"/>
      <c r="BY261" s="845"/>
      <c r="BZ261" s="845"/>
      <c r="CA261" s="845"/>
      <c r="CB261" s="845"/>
      <c r="CC261" s="845"/>
    </row>
    <row r="262" spans="1:81" ht="12.75" customHeight="1">
      <c r="A262" s="976" t="s">
        <v>3892</v>
      </c>
      <c r="B262" s="976" t="s">
        <v>1107</v>
      </c>
      <c r="C262" s="977">
        <v>1347800931</v>
      </c>
      <c r="D262" s="976" t="s">
        <v>208</v>
      </c>
      <c r="E262" s="976">
        <v>113</v>
      </c>
      <c r="F262" s="976">
        <v>113</v>
      </c>
      <c r="G262" s="976">
        <v>84.75</v>
      </c>
      <c r="H262" s="976">
        <v>59.381999999999998</v>
      </c>
      <c r="I262" s="976"/>
      <c r="J262" s="1019">
        <v>20</v>
      </c>
      <c r="K262" s="976">
        <v>79.382000000000005</v>
      </c>
      <c r="L262" s="978">
        <v>-5.367999999999995</v>
      </c>
      <c r="M262" s="976" t="s">
        <v>3589</v>
      </c>
      <c r="N262" s="976">
        <v>105.84266666666667</v>
      </c>
      <c r="O262" s="735">
        <f t="shared" si="11"/>
        <v>-7.1573333333333267</v>
      </c>
      <c r="P262" s="738">
        <f t="shared" si="9"/>
        <v>105842.66666666667</v>
      </c>
      <c r="Q262" s="751">
        <f t="shared" si="10"/>
        <v>106000</v>
      </c>
      <c r="U262" s="751"/>
      <c r="V262" s="988"/>
      <c r="W262" s="1024"/>
      <c r="AY262" s="845"/>
      <c r="AZ262" s="845"/>
      <c r="BA262" s="845"/>
      <c r="BB262" s="845"/>
      <c r="BC262" s="845"/>
      <c r="BD262" s="845"/>
      <c r="BE262" s="845"/>
      <c r="BF262" s="845"/>
      <c r="BG262" s="845"/>
      <c r="BH262" s="845"/>
      <c r="BI262" s="845"/>
      <c r="BJ262" s="845"/>
      <c r="BK262" s="845"/>
      <c r="BL262" s="845"/>
      <c r="BM262" s="845"/>
      <c r="BN262" s="845"/>
      <c r="BO262" s="845"/>
      <c r="BP262" s="845"/>
      <c r="BQ262" s="845"/>
      <c r="BR262" s="845"/>
      <c r="BS262" s="845"/>
      <c r="BT262" s="845"/>
      <c r="BU262" s="845"/>
      <c r="BV262" s="845"/>
      <c r="BW262" s="845"/>
      <c r="BX262" s="845"/>
      <c r="BY262" s="845"/>
      <c r="BZ262" s="845"/>
      <c r="CA262" s="845"/>
      <c r="CB262" s="845"/>
      <c r="CC262" s="845"/>
    </row>
    <row r="263" spans="1:81" ht="12.75" customHeight="1">
      <c r="A263" s="976" t="s">
        <v>3893</v>
      </c>
      <c r="B263" s="976" t="s">
        <v>1107</v>
      </c>
      <c r="C263" s="977">
        <v>1347800932</v>
      </c>
      <c r="D263" s="976" t="s">
        <v>3262</v>
      </c>
      <c r="E263" s="976">
        <v>178</v>
      </c>
      <c r="F263" s="976">
        <v>178</v>
      </c>
      <c r="G263" s="976">
        <v>133.5</v>
      </c>
      <c r="H263" s="976">
        <v>139.57</v>
      </c>
      <c r="I263" s="976"/>
      <c r="J263" s="1019">
        <v>64</v>
      </c>
      <c r="K263" s="976">
        <v>203.57</v>
      </c>
      <c r="L263" s="978">
        <v>70.069999999999993</v>
      </c>
      <c r="M263" s="976" t="s">
        <v>3589</v>
      </c>
      <c r="N263" s="976">
        <v>271.42666666666668</v>
      </c>
      <c r="O263" s="735">
        <f t="shared" si="11"/>
        <v>93.426666666666677</v>
      </c>
      <c r="P263" s="738">
        <f t="shared" si="9"/>
        <v>271426.66666666669</v>
      </c>
      <c r="Q263" s="751">
        <f t="shared" si="10"/>
        <v>271000</v>
      </c>
      <c r="U263" s="751"/>
      <c r="V263" s="988"/>
      <c r="W263" s="1024"/>
      <c r="AY263" s="845"/>
      <c r="AZ263" s="845"/>
      <c r="BA263" s="845"/>
      <c r="BB263" s="845"/>
      <c r="BC263" s="845"/>
      <c r="BD263" s="845"/>
      <c r="BE263" s="845"/>
      <c r="BF263" s="845"/>
      <c r="BG263" s="845"/>
      <c r="BH263" s="845"/>
      <c r="BI263" s="845"/>
      <c r="BJ263" s="845"/>
      <c r="BK263" s="845"/>
      <c r="BL263" s="845"/>
      <c r="BM263" s="845"/>
      <c r="BN263" s="845"/>
      <c r="BO263" s="845"/>
      <c r="BP263" s="845"/>
      <c r="BQ263" s="845"/>
      <c r="BR263" s="845"/>
      <c r="BS263" s="845"/>
      <c r="BT263" s="845"/>
      <c r="BU263" s="845"/>
      <c r="BV263" s="845"/>
      <c r="BW263" s="845"/>
      <c r="BX263" s="845"/>
      <c r="BY263" s="845"/>
      <c r="BZ263" s="845"/>
      <c r="CA263" s="845"/>
      <c r="CB263" s="845"/>
      <c r="CC263" s="845"/>
    </row>
    <row r="264" spans="1:81">
      <c r="A264" s="976" t="s">
        <v>3892</v>
      </c>
      <c r="B264" s="976" t="s">
        <v>1107</v>
      </c>
      <c r="C264" s="977">
        <v>1347900931</v>
      </c>
      <c r="D264" s="976" t="s">
        <v>210</v>
      </c>
      <c r="E264" s="976">
        <v>749</v>
      </c>
      <c r="F264" s="976">
        <v>749</v>
      </c>
      <c r="G264" s="976">
        <v>561.75</v>
      </c>
      <c r="H264" s="976">
        <v>890.65899999999999</v>
      </c>
      <c r="I264" s="976"/>
      <c r="J264" s="1040">
        <v>-333</v>
      </c>
      <c r="K264" s="976">
        <v>557.65899999999999</v>
      </c>
      <c r="L264" s="978">
        <v>-4.0910000000000082</v>
      </c>
      <c r="M264" s="976" t="s">
        <v>3589</v>
      </c>
      <c r="N264" s="976">
        <v>743.54533333333325</v>
      </c>
      <c r="O264" s="735">
        <f t="shared" si="11"/>
        <v>-5.4546666666667534</v>
      </c>
      <c r="P264" s="738">
        <f t="shared" ref="P264:P327" si="12">N264*1000</f>
        <v>743545.33333333326</v>
      </c>
      <c r="Q264" s="751">
        <f t="shared" ref="Q264:Q327" si="13">ROUND(P264,-3)</f>
        <v>744000</v>
      </c>
      <c r="U264" s="751"/>
      <c r="V264" s="988"/>
      <c r="W264" s="1024"/>
      <c r="AY264" s="845"/>
      <c r="AZ264" s="845"/>
      <c r="BA264" s="845"/>
      <c r="BB264" s="845"/>
      <c r="BC264" s="845"/>
      <c r="BD264" s="845"/>
      <c r="BE264" s="845"/>
      <c r="BF264" s="845"/>
      <c r="BG264" s="845"/>
      <c r="BH264" s="845"/>
      <c r="BI264" s="845"/>
      <c r="BJ264" s="845"/>
      <c r="BK264" s="845"/>
      <c r="BL264" s="845"/>
      <c r="BM264" s="845"/>
      <c r="BN264" s="845"/>
      <c r="BO264" s="845"/>
      <c r="BP264" s="845"/>
      <c r="BQ264" s="845"/>
      <c r="BR264" s="845"/>
      <c r="BS264" s="845"/>
      <c r="BT264" s="845"/>
      <c r="BU264" s="845"/>
      <c r="BV264" s="845"/>
      <c r="BW264" s="845"/>
      <c r="BX264" s="845"/>
      <c r="BY264" s="845"/>
      <c r="BZ264" s="845"/>
      <c r="CA264" s="845"/>
      <c r="CB264" s="845"/>
      <c r="CC264" s="845"/>
    </row>
    <row r="265" spans="1:81">
      <c r="A265" s="976" t="s">
        <v>3891</v>
      </c>
      <c r="B265" s="976" t="s">
        <v>1107</v>
      </c>
      <c r="C265" s="977">
        <v>1348200930</v>
      </c>
      <c r="D265" s="976" t="s">
        <v>213</v>
      </c>
      <c r="E265" s="976">
        <v>22</v>
      </c>
      <c r="F265" s="976">
        <v>22</v>
      </c>
      <c r="G265" s="976">
        <v>16.5</v>
      </c>
      <c r="H265" s="976">
        <v>1.7989999999999999</v>
      </c>
      <c r="I265" s="976"/>
      <c r="J265" s="1019">
        <v>3.5</v>
      </c>
      <c r="K265" s="976">
        <v>5.2989999999999995</v>
      </c>
      <c r="L265" s="978">
        <v>-11.201000000000001</v>
      </c>
      <c r="M265" s="976" t="s">
        <v>3589</v>
      </c>
      <c r="N265" s="976">
        <v>7.0653333333333324</v>
      </c>
      <c r="O265" s="735">
        <f t="shared" ref="O265:O328" si="14">N265-E265</f>
        <v>-14.934666666666669</v>
      </c>
      <c r="P265" s="738">
        <f t="shared" si="12"/>
        <v>7065.3333333333321</v>
      </c>
      <c r="Q265" s="751">
        <f t="shared" si="13"/>
        <v>7000</v>
      </c>
      <c r="U265" s="751"/>
      <c r="V265" s="988"/>
      <c r="W265" s="1024"/>
      <c r="AY265" s="845"/>
      <c r="AZ265" s="845"/>
      <c r="BA265" s="845"/>
      <c r="BB265" s="845"/>
      <c r="BC265" s="845"/>
      <c r="BD265" s="845"/>
      <c r="BE265" s="845"/>
      <c r="BF265" s="845"/>
      <c r="BG265" s="845"/>
      <c r="BH265" s="845"/>
      <c r="BI265" s="845"/>
      <c r="BJ265" s="845"/>
      <c r="BK265" s="845"/>
      <c r="BL265" s="845"/>
      <c r="BM265" s="845"/>
      <c r="BN265" s="845"/>
      <c r="BO265" s="845"/>
      <c r="BP265" s="845"/>
      <c r="BQ265" s="845"/>
      <c r="BR265" s="845"/>
      <c r="BS265" s="845"/>
      <c r="BT265" s="845"/>
      <c r="BU265" s="845"/>
      <c r="BV265" s="845"/>
      <c r="BW265" s="845"/>
      <c r="BX265" s="845"/>
      <c r="BY265" s="845"/>
      <c r="BZ265" s="845"/>
      <c r="CA265" s="845"/>
      <c r="CB265" s="845"/>
      <c r="CC265" s="845"/>
    </row>
    <row r="266" spans="1:81">
      <c r="A266" s="976" t="s">
        <v>3892</v>
      </c>
      <c r="B266" s="976" t="s">
        <v>1107</v>
      </c>
      <c r="C266" s="977">
        <v>1348200931</v>
      </c>
      <c r="D266" s="976" t="s">
        <v>3263</v>
      </c>
      <c r="E266" s="976">
        <v>0</v>
      </c>
      <c r="F266" s="976">
        <v>0</v>
      </c>
      <c r="G266" s="976">
        <v>0</v>
      </c>
      <c r="H266" s="976">
        <v>0</v>
      </c>
      <c r="I266" s="976"/>
      <c r="J266" s="976">
        <v>0</v>
      </c>
      <c r="K266" s="976">
        <v>0</v>
      </c>
      <c r="L266" s="978">
        <v>0</v>
      </c>
      <c r="M266" s="976" t="s">
        <v>3589</v>
      </c>
      <c r="N266" s="976">
        <v>0</v>
      </c>
      <c r="O266" s="735">
        <f t="shared" si="14"/>
        <v>0</v>
      </c>
      <c r="P266" s="738">
        <f t="shared" si="12"/>
        <v>0</v>
      </c>
      <c r="Q266" s="751">
        <f t="shared" si="13"/>
        <v>0</v>
      </c>
      <c r="U266" s="751"/>
      <c r="V266" s="988"/>
      <c r="W266" s="1024"/>
      <c r="AY266" s="845"/>
      <c r="AZ266" s="845"/>
      <c r="BA266" s="845"/>
      <c r="BB266" s="845"/>
      <c r="BC266" s="845"/>
      <c r="BD266" s="845"/>
      <c r="BE266" s="845"/>
      <c r="BF266" s="845"/>
      <c r="BG266" s="845"/>
      <c r="BH266" s="845"/>
      <c r="BI266" s="845"/>
      <c r="BJ266" s="845"/>
      <c r="BK266" s="845"/>
      <c r="BL266" s="845"/>
      <c r="BM266" s="845"/>
      <c r="BN266" s="845"/>
      <c r="BO266" s="845"/>
      <c r="BP266" s="845"/>
      <c r="BQ266" s="845"/>
      <c r="BR266" s="845"/>
      <c r="BS266" s="845"/>
      <c r="BT266" s="845"/>
      <c r="BU266" s="845"/>
      <c r="BV266" s="845"/>
      <c r="BW266" s="845"/>
      <c r="BX266" s="845"/>
      <c r="BY266" s="845"/>
      <c r="BZ266" s="845"/>
      <c r="CA266" s="845"/>
      <c r="CB266" s="845"/>
      <c r="CC266" s="845"/>
    </row>
    <row r="267" spans="1:81">
      <c r="A267" s="976" t="s">
        <v>3894</v>
      </c>
      <c r="B267" s="976" t="s">
        <v>1107</v>
      </c>
      <c r="C267" s="977">
        <v>1348300933</v>
      </c>
      <c r="D267" s="976" t="s">
        <v>214</v>
      </c>
      <c r="E267" s="976">
        <v>38</v>
      </c>
      <c r="F267" s="976">
        <v>38</v>
      </c>
      <c r="G267" s="976">
        <v>28.5</v>
      </c>
      <c r="H267" s="976">
        <v>6.7290000000000001</v>
      </c>
      <c r="I267" s="976"/>
      <c r="J267" s="1040">
        <v>-1</v>
      </c>
      <c r="K267" s="976">
        <v>5.7290000000000001</v>
      </c>
      <c r="L267" s="978">
        <v>-22.771000000000001</v>
      </c>
      <c r="M267" s="976" t="s">
        <v>3589</v>
      </c>
      <c r="N267" s="976">
        <v>7.6386666666666674</v>
      </c>
      <c r="O267" s="735">
        <f t="shared" si="14"/>
        <v>-30.361333333333334</v>
      </c>
      <c r="P267" s="738">
        <f t="shared" si="12"/>
        <v>7638.666666666667</v>
      </c>
      <c r="Q267" s="751">
        <f t="shared" si="13"/>
        <v>8000</v>
      </c>
      <c r="U267" s="751"/>
      <c r="V267" s="988"/>
      <c r="W267" s="1024"/>
      <c r="AY267" s="845"/>
      <c r="AZ267" s="845"/>
      <c r="BA267" s="845"/>
      <c r="BB267" s="845"/>
      <c r="BC267" s="845"/>
      <c r="BD267" s="845"/>
      <c r="BE267" s="845"/>
      <c r="BF267" s="845"/>
      <c r="BG267" s="845"/>
      <c r="BH267" s="845"/>
      <c r="BI267" s="845"/>
      <c r="BJ267" s="845"/>
      <c r="BK267" s="845"/>
      <c r="BL267" s="845"/>
      <c r="BM267" s="845"/>
      <c r="BN267" s="845"/>
      <c r="BO267" s="845"/>
      <c r="BP267" s="845"/>
      <c r="BQ267" s="845"/>
      <c r="BR267" s="845"/>
      <c r="BS267" s="845"/>
      <c r="BT267" s="845"/>
      <c r="BU267" s="845"/>
      <c r="BV267" s="845"/>
      <c r="BW267" s="845"/>
      <c r="BX267" s="845"/>
      <c r="BY267" s="845"/>
      <c r="BZ267" s="845"/>
      <c r="CA267" s="845"/>
      <c r="CB267" s="845"/>
      <c r="CC267" s="845"/>
    </row>
    <row r="268" spans="1:81">
      <c r="A268" s="976" t="s">
        <v>3896</v>
      </c>
      <c r="B268" s="976" t="s">
        <v>1107</v>
      </c>
      <c r="C268" s="977">
        <v>1348300934</v>
      </c>
      <c r="D268" s="976" t="s">
        <v>215</v>
      </c>
      <c r="E268" s="976">
        <v>11</v>
      </c>
      <c r="F268" s="976">
        <v>11</v>
      </c>
      <c r="G268" s="976">
        <v>8.25</v>
      </c>
      <c r="H268" s="976">
        <v>2.3570000000000002</v>
      </c>
      <c r="I268" s="976"/>
      <c r="J268" s="1019">
        <v>4</v>
      </c>
      <c r="K268" s="976">
        <v>6.3570000000000002</v>
      </c>
      <c r="L268" s="978">
        <v>-1.8929999999999998</v>
      </c>
      <c r="M268" s="976" t="s">
        <v>3589</v>
      </c>
      <c r="N268" s="976">
        <v>8.4760000000000009</v>
      </c>
      <c r="O268" s="735">
        <f t="shared" si="14"/>
        <v>-2.5239999999999991</v>
      </c>
      <c r="P268" s="738">
        <f t="shared" si="12"/>
        <v>8476</v>
      </c>
      <c r="Q268" s="751">
        <f t="shared" si="13"/>
        <v>8000</v>
      </c>
      <c r="U268" s="751"/>
      <c r="V268" s="988"/>
      <c r="W268" s="1024"/>
      <c r="AY268" s="845"/>
      <c r="AZ268" s="845"/>
      <c r="BA268" s="845"/>
      <c r="BB268" s="845"/>
      <c r="BC268" s="845"/>
      <c r="BD268" s="845"/>
      <c r="BE268" s="845"/>
      <c r="BF268" s="845"/>
      <c r="BG268" s="845"/>
      <c r="BH268" s="845"/>
      <c r="BI268" s="845"/>
      <c r="BJ268" s="845"/>
      <c r="BK268" s="845"/>
      <c r="BL268" s="845"/>
      <c r="BM268" s="845"/>
      <c r="BN268" s="845"/>
      <c r="BO268" s="845"/>
      <c r="BP268" s="845"/>
      <c r="BQ268" s="845"/>
      <c r="BR268" s="845"/>
      <c r="BS268" s="845"/>
      <c r="BT268" s="845"/>
      <c r="BU268" s="845"/>
      <c r="BV268" s="845"/>
      <c r="BW268" s="845"/>
      <c r="BX268" s="845"/>
      <c r="BY268" s="845"/>
      <c r="BZ268" s="845"/>
      <c r="CA268" s="845"/>
      <c r="CB268" s="845"/>
      <c r="CC268" s="845"/>
    </row>
    <row r="269" spans="1:81">
      <c r="A269" s="976" t="s">
        <v>3891</v>
      </c>
      <c r="B269" s="976" t="s">
        <v>1107</v>
      </c>
      <c r="C269" s="977">
        <v>1348500930</v>
      </c>
      <c r="D269" s="976" t="s">
        <v>218</v>
      </c>
      <c r="E269" s="976">
        <v>14</v>
      </c>
      <c r="F269" s="976">
        <v>14</v>
      </c>
      <c r="G269" s="976">
        <v>10.5</v>
      </c>
      <c r="H269" s="976">
        <v>3.57</v>
      </c>
      <c r="I269" s="976"/>
      <c r="J269" s="1019">
        <v>4</v>
      </c>
      <c r="K269" s="976">
        <v>7.57</v>
      </c>
      <c r="L269" s="978">
        <v>-2.9299999999999997</v>
      </c>
      <c r="M269" s="976" t="s">
        <v>3589</v>
      </c>
      <c r="N269" s="976">
        <v>10.093333333333334</v>
      </c>
      <c r="O269" s="735">
        <f t="shared" si="14"/>
        <v>-3.9066666666666663</v>
      </c>
      <c r="P269" s="738">
        <f t="shared" si="12"/>
        <v>10093.333333333334</v>
      </c>
      <c r="Q269" s="751">
        <f t="shared" si="13"/>
        <v>10000</v>
      </c>
      <c r="U269" s="751"/>
      <c r="V269" s="988"/>
      <c r="W269" s="1024"/>
      <c r="AY269" s="845"/>
      <c r="AZ269" s="845"/>
      <c r="BA269" s="845"/>
      <c r="BB269" s="845"/>
      <c r="BC269" s="845"/>
      <c r="BD269" s="845"/>
      <c r="BE269" s="845"/>
      <c r="BF269" s="845"/>
      <c r="BG269" s="845"/>
      <c r="BH269" s="845"/>
      <c r="BI269" s="845"/>
      <c r="BJ269" s="845"/>
      <c r="BK269" s="845"/>
      <c r="BL269" s="845"/>
      <c r="BM269" s="845"/>
      <c r="BN269" s="845"/>
      <c r="BO269" s="845"/>
      <c r="BP269" s="845"/>
      <c r="BQ269" s="845"/>
      <c r="BR269" s="845"/>
      <c r="BS269" s="845"/>
      <c r="BT269" s="845"/>
      <c r="BU269" s="845"/>
      <c r="BV269" s="845"/>
      <c r="BW269" s="845"/>
      <c r="BX269" s="845"/>
      <c r="BY269" s="845"/>
      <c r="BZ269" s="845"/>
      <c r="CA269" s="845"/>
      <c r="CB269" s="845"/>
      <c r="CC269" s="845"/>
    </row>
    <row r="270" spans="1:81">
      <c r="A270" s="976" t="s">
        <v>3896</v>
      </c>
      <c r="B270" s="976" t="s">
        <v>1107</v>
      </c>
      <c r="C270" s="977">
        <v>1348500934</v>
      </c>
      <c r="D270" s="976" t="s">
        <v>219</v>
      </c>
      <c r="E270" s="976">
        <v>30</v>
      </c>
      <c r="F270" s="976">
        <v>30</v>
      </c>
      <c r="G270" s="976">
        <v>22.5</v>
      </c>
      <c r="H270" s="976">
        <v>0</v>
      </c>
      <c r="I270" s="976"/>
      <c r="J270" s="1019">
        <v>9</v>
      </c>
      <c r="K270" s="976">
        <v>9</v>
      </c>
      <c r="L270" s="978">
        <v>-13.5</v>
      </c>
      <c r="M270" s="976" t="s">
        <v>3589</v>
      </c>
      <c r="N270" s="976">
        <v>12</v>
      </c>
      <c r="O270" s="735">
        <f t="shared" si="14"/>
        <v>-18</v>
      </c>
      <c r="P270" s="738">
        <f t="shared" si="12"/>
        <v>12000</v>
      </c>
      <c r="Q270" s="751">
        <f t="shared" si="13"/>
        <v>12000</v>
      </c>
      <c r="U270" s="751"/>
      <c r="V270" s="988"/>
      <c r="W270" s="1024"/>
      <c r="AY270" s="845"/>
      <c r="AZ270" s="845"/>
      <c r="BA270" s="845"/>
      <c r="BB270" s="845"/>
      <c r="BC270" s="845"/>
      <c r="BD270" s="845"/>
      <c r="BE270" s="845"/>
      <c r="BF270" s="845"/>
      <c r="BG270" s="845"/>
      <c r="BH270" s="845"/>
      <c r="BI270" s="845"/>
      <c r="BJ270" s="845"/>
      <c r="BK270" s="845"/>
      <c r="BL270" s="845"/>
      <c r="BM270" s="845"/>
      <c r="BN270" s="845"/>
      <c r="BO270" s="845"/>
      <c r="BP270" s="845"/>
      <c r="BQ270" s="845"/>
      <c r="BR270" s="845"/>
      <c r="BS270" s="845"/>
      <c r="BT270" s="845"/>
      <c r="BU270" s="845"/>
      <c r="BV270" s="845"/>
      <c r="BW270" s="845"/>
      <c r="BX270" s="845"/>
      <c r="BY270" s="845"/>
      <c r="BZ270" s="845"/>
      <c r="CA270" s="845"/>
      <c r="CB270" s="845"/>
      <c r="CC270" s="845"/>
    </row>
    <row r="271" spans="1:81">
      <c r="A271" s="976" t="s">
        <v>3892</v>
      </c>
      <c r="B271" s="976" t="s">
        <v>1107</v>
      </c>
      <c r="C271" s="977">
        <v>1349000931</v>
      </c>
      <c r="D271" s="976" t="s">
        <v>3264</v>
      </c>
      <c r="E271" s="976">
        <v>0</v>
      </c>
      <c r="F271" s="976">
        <v>0</v>
      </c>
      <c r="G271" s="976">
        <v>0</v>
      </c>
      <c r="H271" s="976">
        <v>0</v>
      </c>
      <c r="I271" s="976"/>
      <c r="J271" s="976">
        <v>0</v>
      </c>
      <c r="K271" s="976">
        <v>0</v>
      </c>
      <c r="L271" s="978">
        <v>0</v>
      </c>
      <c r="M271" s="976" t="s">
        <v>3589</v>
      </c>
      <c r="N271" s="976">
        <v>0</v>
      </c>
      <c r="O271" s="735">
        <f t="shared" si="14"/>
        <v>0</v>
      </c>
      <c r="P271" s="738">
        <f t="shared" si="12"/>
        <v>0</v>
      </c>
      <c r="Q271" s="751">
        <f t="shared" si="13"/>
        <v>0</v>
      </c>
      <c r="U271" s="751"/>
      <c r="V271" s="988"/>
      <c r="W271" s="1024"/>
      <c r="AY271" s="845"/>
      <c r="AZ271" s="845"/>
      <c r="BA271" s="845"/>
      <c r="BB271" s="845"/>
      <c r="BC271" s="845"/>
      <c r="BD271" s="845"/>
      <c r="BE271" s="845"/>
      <c r="BF271" s="845"/>
      <c r="BG271" s="845"/>
      <c r="BH271" s="845"/>
      <c r="BI271" s="845"/>
      <c r="BJ271" s="845"/>
      <c r="BK271" s="845"/>
      <c r="BL271" s="845"/>
      <c r="BM271" s="845"/>
      <c r="BN271" s="845"/>
      <c r="BO271" s="845"/>
      <c r="BP271" s="845"/>
      <c r="BQ271" s="845"/>
      <c r="BR271" s="845"/>
      <c r="BS271" s="845"/>
      <c r="BT271" s="845"/>
      <c r="BU271" s="845"/>
      <c r="BV271" s="845"/>
      <c r="BW271" s="845"/>
      <c r="BX271" s="845"/>
      <c r="BY271" s="845"/>
      <c r="BZ271" s="845"/>
      <c r="CA271" s="845"/>
      <c r="CB271" s="845"/>
      <c r="CC271" s="845"/>
    </row>
    <row r="272" spans="1:81">
      <c r="A272" s="976" t="s">
        <v>3897</v>
      </c>
      <c r="B272" s="976" t="s">
        <v>1107</v>
      </c>
      <c r="C272" s="977">
        <v>1349000935</v>
      </c>
      <c r="D272" s="976" t="s">
        <v>3265</v>
      </c>
      <c r="E272" s="976">
        <v>0</v>
      </c>
      <c r="F272" s="976">
        <v>0</v>
      </c>
      <c r="G272" s="976">
        <v>0</v>
      </c>
      <c r="H272" s="976">
        <v>0</v>
      </c>
      <c r="I272" s="976"/>
      <c r="J272" s="976">
        <v>0</v>
      </c>
      <c r="K272" s="976">
        <v>0</v>
      </c>
      <c r="L272" s="978">
        <v>0</v>
      </c>
      <c r="M272" s="976" t="s">
        <v>3589</v>
      </c>
      <c r="N272" s="976">
        <v>0</v>
      </c>
      <c r="O272" s="735">
        <f t="shared" si="14"/>
        <v>0</v>
      </c>
      <c r="P272" s="738">
        <f t="shared" si="12"/>
        <v>0</v>
      </c>
      <c r="Q272" s="751">
        <f t="shared" si="13"/>
        <v>0</v>
      </c>
      <c r="U272" s="751"/>
      <c r="V272" s="988"/>
      <c r="W272" s="1024"/>
      <c r="AY272" s="845"/>
      <c r="AZ272" s="845"/>
      <c r="BA272" s="845"/>
      <c r="BB272" s="845"/>
      <c r="BC272" s="845"/>
      <c r="BD272" s="845"/>
      <c r="BE272" s="845"/>
      <c r="BF272" s="845"/>
      <c r="BG272" s="845"/>
      <c r="BH272" s="845"/>
      <c r="BI272" s="845"/>
      <c r="BJ272" s="845"/>
      <c r="BK272" s="845"/>
      <c r="BL272" s="845"/>
      <c r="BM272" s="845"/>
      <c r="BN272" s="845"/>
      <c r="BO272" s="845"/>
      <c r="BP272" s="845"/>
      <c r="BQ272" s="845"/>
      <c r="BR272" s="845"/>
      <c r="BS272" s="845"/>
      <c r="BT272" s="845"/>
      <c r="BU272" s="845"/>
      <c r="BV272" s="845"/>
      <c r="BW272" s="845"/>
      <c r="BX272" s="845"/>
      <c r="BY272" s="845"/>
      <c r="BZ272" s="845"/>
      <c r="CA272" s="845"/>
      <c r="CB272" s="845"/>
      <c r="CC272" s="845"/>
    </row>
    <row r="273" spans="1:247">
      <c r="A273" s="976" t="s">
        <v>3895</v>
      </c>
      <c r="B273" s="976" t="s">
        <v>1107</v>
      </c>
      <c r="C273" s="977">
        <v>1349000936</v>
      </c>
      <c r="D273" s="976" t="s">
        <v>221</v>
      </c>
      <c r="E273" s="976">
        <v>578</v>
      </c>
      <c r="F273" s="976">
        <v>578</v>
      </c>
      <c r="G273" s="976">
        <v>433.5</v>
      </c>
      <c r="H273" s="976">
        <v>786.08399999999995</v>
      </c>
      <c r="I273" s="976"/>
      <c r="J273" s="1040">
        <v>-120</v>
      </c>
      <c r="K273" s="976">
        <v>666.08399999999995</v>
      </c>
      <c r="L273" s="978">
        <v>232.58399999999995</v>
      </c>
      <c r="M273" s="976" t="s">
        <v>3589</v>
      </c>
      <c r="N273" s="976">
        <v>888.11199999999997</v>
      </c>
      <c r="O273" s="735">
        <f t="shared" si="14"/>
        <v>310.11199999999997</v>
      </c>
      <c r="P273" s="738">
        <f t="shared" si="12"/>
        <v>888112</v>
      </c>
      <c r="Q273" s="751">
        <f t="shared" si="13"/>
        <v>888000</v>
      </c>
      <c r="U273" s="751"/>
      <c r="V273" s="988"/>
      <c r="W273" s="1024"/>
      <c r="AY273" s="845"/>
      <c r="AZ273" s="845"/>
      <c r="BA273" s="845"/>
      <c r="BB273" s="845"/>
      <c r="BC273" s="845"/>
      <c r="BD273" s="845"/>
      <c r="BE273" s="845"/>
      <c r="BF273" s="845"/>
      <c r="BG273" s="845"/>
      <c r="BH273" s="845"/>
      <c r="BI273" s="845"/>
      <c r="BJ273" s="845"/>
      <c r="BK273" s="845"/>
      <c r="BL273" s="845"/>
      <c r="BM273" s="845"/>
      <c r="BN273" s="845"/>
      <c r="BO273" s="845"/>
      <c r="BP273" s="845"/>
      <c r="BQ273" s="845"/>
      <c r="BR273" s="845"/>
      <c r="BS273" s="845"/>
      <c r="BT273" s="845"/>
      <c r="BU273" s="845"/>
      <c r="BV273" s="845"/>
      <c r="BW273" s="845"/>
      <c r="BX273" s="845"/>
      <c r="BY273" s="845"/>
      <c r="BZ273" s="845"/>
      <c r="CA273" s="845"/>
      <c r="CB273" s="845"/>
      <c r="CC273" s="845"/>
    </row>
    <row r="274" spans="1:247">
      <c r="A274" s="976" t="s">
        <v>3900</v>
      </c>
      <c r="B274" s="976" t="s">
        <v>1107</v>
      </c>
      <c r="C274" s="977">
        <v>1349000937</v>
      </c>
      <c r="D274" s="976" t="s">
        <v>222</v>
      </c>
      <c r="E274" s="976">
        <v>22</v>
      </c>
      <c r="F274" s="976">
        <v>22</v>
      </c>
      <c r="G274" s="976">
        <v>16.5</v>
      </c>
      <c r="H274" s="976">
        <v>51.005000000000003</v>
      </c>
      <c r="I274" s="976"/>
      <c r="J274" s="1040">
        <v>-41</v>
      </c>
      <c r="K274" s="976">
        <v>10.005000000000003</v>
      </c>
      <c r="L274" s="978">
        <v>-6.4949999999999974</v>
      </c>
      <c r="M274" s="976" t="s">
        <v>3589</v>
      </c>
      <c r="N274" s="976">
        <v>13.340000000000003</v>
      </c>
      <c r="O274" s="735">
        <f t="shared" si="14"/>
        <v>-8.6599999999999966</v>
      </c>
      <c r="P274" s="738">
        <f t="shared" si="12"/>
        <v>13340.000000000004</v>
      </c>
      <c r="Q274" s="751">
        <f t="shared" si="13"/>
        <v>13000</v>
      </c>
      <c r="U274" s="751"/>
      <c r="V274" s="988"/>
      <c r="W274" s="1024"/>
      <c r="AY274" s="845"/>
      <c r="AZ274" s="845"/>
      <c r="BA274" s="845"/>
      <c r="BB274" s="845"/>
      <c r="BC274" s="845"/>
      <c r="BD274" s="845"/>
      <c r="BE274" s="845"/>
      <c r="BF274" s="845"/>
      <c r="BG274" s="845"/>
      <c r="BH274" s="845"/>
      <c r="BI274" s="845"/>
      <c r="BJ274" s="845"/>
      <c r="BK274" s="845"/>
      <c r="BL274" s="845"/>
      <c r="BM274" s="845"/>
      <c r="BN274" s="845"/>
      <c r="BO274" s="845"/>
      <c r="BP274" s="845"/>
      <c r="BQ274" s="845"/>
      <c r="BR274" s="845"/>
      <c r="BS274" s="845"/>
      <c r="BT274" s="845"/>
      <c r="BU274" s="845"/>
      <c r="BV274" s="845"/>
      <c r="BW274" s="845"/>
      <c r="BX274" s="845"/>
      <c r="BY274" s="845"/>
      <c r="BZ274" s="845"/>
      <c r="CA274" s="845"/>
      <c r="CB274" s="845"/>
      <c r="CC274" s="845"/>
    </row>
    <row r="275" spans="1:247" s="747" customFormat="1">
      <c r="A275" s="976" t="s">
        <v>3899</v>
      </c>
      <c r="B275" s="976" t="s">
        <v>1107</v>
      </c>
      <c r="C275" s="977">
        <v>1349000939</v>
      </c>
      <c r="D275" s="976" t="s">
        <v>3266</v>
      </c>
      <c r="E275" s="976">
        <v>0</v>
      </c>
      <c r="F275" s="976">
        <v>0</v>
      </c>
      <c r="G275" s="976">
        <v>0</v>
      </c>
      <c r="H275" s="976">
        <v>0</v>
      </c>
      <c r="I275" s="976"/>
      <c r="J275" s="1040">
        <v>-4</v>
      </c>
      <c r="K275" s="976">
        <v>-4</v>
      </c>
      <c r="L275" s="978">
        <v>-4</v>
      </c>
      <c r="M275" s="976" t="s">
        <v>3589</v>
      </c>
      <c r="N275" s="976">
        <v>-5.333333333333333</v>
      </c>
      <c r="O275" s="735">
        <f t="shared" si="14"/>
        <v>-5.333333333333333</v>
      </c>
      <c r="P275" s="738">
        <f t="shared" si="12"/>
        <v>-5333.333333333333</v>
      </c>
      <c r="Q275" s="751">
        <f t="shared" si="13"/>
        <v>-5000</v>
      </c>
      <c r="U275" s="751"/>
      <c r="V275" s="988"/>
      <c r="W275" s="1024"/>
    </row>
    <row r="276" spans="1:247" s="747" customFormat="1">
      <c r="A276" s="976" t="s">
        <v>3891</v>
      </c>
      <c r="B276" s="976" t="s">
        <v>1107</v>
      </c>
      <c r="C276" s="977">
        <v>1349100930</v>
      </c>
      <c r="D276" s="976" t="s">
        <v>223</v>
      </c>
      <c r="E276" s="976">
        <v>26</v>
      </c>
      <c r="F276" s="976">
        <v>26</v>
      </c>
      <c r="G276" s="976">
        <v>19.5</v>
      </c>
      <c r="H276" s="976">
        <v>15.593</v>
      </c>
      <c r="I276" s="976"/>
      <c r="J276" s="1040">
        <v>-2</v>
      </c>
      <c r="K276" s="976">
        <v>13.593</v>
      </c>
      <c r="L276" s="978">
        <v>-5.907</v>
      </c>
      <c r="M276" s="976" t="s">
        <v>3589</v>
      </c>
      <c r="N276" s="976">
        <v>18.123999999999999</v>
      </c>
      <c r="O276" s="735">
        <f t="shared" si="14"/>
        <v>-7.8760000000000012</v>
      </c>
      <c r="P276" s="738">
        <f t="shared" si="12"/>
        <v>18124</v>
      </c>
      <c r="Q276" s="751">
        <f t="shared" si="13"/>
        <v>18000</v>
      </c>
      <c r="U276" s="751"/>
      <c r="V276" s="988"/>
      <c r="W276" s="1024"/>
    </row>
    <row r="277" spans="1:247" ht="14.25" customHeight="1">
      <c r="A277" s="976" t="s">
        <v>3892</v>
      </c>
      <c r="B277" s="976" t="s">
        <v>1107</v>
      </c>
      <c r="C277" s="977">
        <v>1349100931</v>
      </c>
      <c r="D277" s="976" t="s">
        <v>3267</v>
      </c>
      <c r="E277" s="976">
        <v>0</v>
      </c>
      <c r="F277" s="976">
        <v>0</v>
      </c>
      <c r="G277" s="976">
        <v>0</v>
      </c>
      <c r="H277" s="976">
        <v>0</v>
      </c>
      <c r="I277" s="976"/>
      <c r="J277" s="976">
        <v>0</v>
      </c>
      <c r="K277" s="976">
        <v>0</v>
      </c>
      <c r="L277" s="978">
        <v>0</v>
      </c>
      <c r="M277" s="976" t="s">
        <v>3589</v>
      </c>
      <c r="N277" s="976">
        <v>0</v>
      </c>
      <c r="O277" s="735">
        <f t="shared" si="14"/>
        <v>0</v>
      </c>
      <c r="P277" s="738">
        <f t="shared" si="12"/>
        <v>0</v>
      </c>
      <c r="Q277" s="751">
        <f t="shared" si="13"/>
        <v>0</v>
      </c>
      <c r="U277" s="751"/>
      <c r="V277" s="988"/>
      <c r="W277" s="1024"/>
      <c r="AY277" s="845"/>
      <c r="AZ277" s="845"/>
      <c r="BA277" s="845"/>
      <c r="BB277" s="845"/>
      <c r="BC277" s="845"/>
      <c r="BD277" s="845"/>
      <c r="BE277" s="845"/>
      <c r="BF277" s="845"/>
      <c r="BG277" s="845"/>
      <c r="BH277" s="845"/>
      <c r="BI277" s="845"/>
      <c r="BJ277" s="845"/>
      <c r="BK277" s="845"/>
      <c r="BL277" s="845"/>
      <c r="BM277" s="845"/>
      <c r="BN277" s="845"/>
      <c r="BO277" s="845"/>
      <c r="BP277" s="845"/>
      <c r="BQ277" s="845"/>
      <c r="BR277" s="845"/>
      <c r="BS277" s="845"/>
      <c r="BT277" s="845"/>
      <c r="BU277" s="845"/>
      <c r="BV277" s="845"/>
      <c r="BW277" s="845"/>
      <c r="BX277" s="845"/>
      <c r="BY277" s="845"/>
      <c r="BZ277" s="845"/>
      <c r="CA277" s="845"/>
      <c r="CB277" s="845"/>
      <c r="CC277" s="845"/>
    </row>
    <row r="278" spans="1:247" s="857" customFormat="1">
      <c r="A278" s="976" t="s">
        <v>3890</v>
      </c>
      <c r="B278" s="976" t="s">
        <v>1107</v>
      </c>
      <c r="C278" s="977">
        <v>1341000740</v>
      </c>
      <c r="D278" s="976" t="s">
        <v>3268</v>
      </c>
      <c r="E278" s="976">
        <v>0</v>
      </c>
      <c r="F278" s="976">
        <v>0</v>
      </c>
      <c r="G278" s="976">
        <v>0</v>
      </c>
      <c r="H278" s="976">
        <v>0</v>
      </c>
      <c r="I278" s="976"/>
      <c r="J278" s="976">
        <v>0</v>
      </c>
      <c r="K278" s="976">
        <v>0</v>
      </c>
      <c r="L278" s="978">
        <v>0</v>
      </c>
      <c r="M278" s="976" t="s">
        <v>3589</v>
      </c>
      <c r="N278" s="976">
        <v>0</v>
      </c>
      <c r="O278" s="735">
        <f t="shared" si="14"/>
        <v>0</v>
      </c>
      <c r="P278" s="738">
        <f t="shared" si="12"/>
        <v>0</v>
      </c>
      <c r="Q278" s="751">
        <f t="shared" si="13"/>
        <v>0</v>
      </c>
      <c r="R278" s="747"/>
      <c r="S278" s="747"/>
      <c r="T278" s="747"/>
      <c r="U278" s="751"/>
      <c r="V278" s="988"/>
      <c r="W278" s="1024"/>
      <c r="X278" s="747"/>
      <c r="Y278" s="747"/>
      <c r="Z278" s="747"/>
      <c r="AA278" s="747"/>
      <c r="AB278" s="747"/>
      <c r="AC278" s="747"/>
      <c r="AD278" s="747"/>
      <c r="AE278" s="747"/>
      <c r="AF278" s="747"/>
      <c r="AG278" s="747"/>
      <c r="AH278" s="747"/>
      <c r="AI278" s="747"/>
      <c r="AJ278" s="747"/>
      <c r="AK278" s="747"/>
      <c r="AL278" s="747"/>
      <c r="AM278" s="747"/>
      <c r="AN278" s="747"/>
      <c r="AO278" s="747"/>
      <c r="AP278" s="747"/>
      <c r="AQ278" s="747"/>
      <c r="AR278" s="747"/>
      <c r="AS278" s="747"/>
      <c r="AT278" s="747"/>
      <c r="AU278" s="747"/>
      <c r="AV278" s="747"/>
      <c r="AW278" s="747"/>
      <c r="AX278" s="747"/>
    </row>
    <row r="279" spans="1:247" s="856" customFormat="1">
      <c r="A279" s="976"/>
      <c r="B279" s="976" t="s">
        <v>1079</v>
      </c>
      <c r="C279" s="977"/>
      <c r="D279" s="976"/>
      <c r="E279" s="976"/>
      <c r="F279" s="976"/>
      <c r="G279" s="976"/>
      <c r="H279" s="976"/>
      <c r="I279" s="976"/>
      <c r="J279" s="976"/>
      <c r="K279" s="976"/>
      <c r="L279" s="978"/>
      <c r="M279" s="976"/>
      <c r="N279" s="976"/>
      <c r="O279" s="735">
        <f t="shared" si="14"/>
        <v>0</v>
      </c>
      <c r="P279" s="738">
        <f t="shared" si="12"/>
        <v>0</v>
      </c>
      <c r="Q279" s="751">
        <f t="shared" si="13"/>
        <v>0</v>
      </c>
      <c r="R279" s="854"/>
      <c r="S279" s="854"/>
      <c r="T279" s="854"/>
      <c r="U279" s="855"/>
      <c r="V279" s="988"/>
      <c r="W279" s="1024"/>
      <c r="X279" s="854"/>
      <c r="Y279" s="854"/>
      <c r="Z279" s="854"/>
      <c r="AA279" s="854"/>
      <c r="AB279" s="854"/>
      <c r="AC279" s="854"/>
      <c r="AD279" s="854"/>
      <c r="AE279" s="854"/>
      <c r="AF279" s="854"/>
      <c r="AG279" s="854"/>
      <c r="AH279" s="854"/>
      <c r="AI279" s="854"/>
      <c r="AJ279" s="854"/>
      <c r="AK279" s="854"/>
      <c r="AL279" s="854"/>
      <c r="AM279" s="854"/>
      <c r="AN279" s="854"/>
      <c r="AO279" s="854"/>
      <c r="AP279" s="854"/>
      <c r="AQ279" s="854"/>
      <c r="AR279" s="854"/>
      <c r="AS279" s="854"/>
      <c r="AT279" s="854"/>
      <c r="AU279" s="854"/>
      <c r="AV279" s="854"/>
      <c r="AW279" s="854"/>
      <c r="AX279" s="854"/>
    </row>
    <row r="280" spans="1:247" s="852" customFormat="1">
      <c r="A280" s="979" t="s">
        <v>3577</v>
      </c>
      <c r="B280" s="976" t="s">
        <v>3862</v>
      </c>
      <c r="C280" s="980" t="s">
        <v>888</v>
      </c>
      <c r="D280" s="979" t="s">
        <v>1468</v>
      </c>
      <c r="E280" s="979">
        <v>97055.785000000003</v>
      </c>
      <c r="F280" s="979">
        <v>97055.785000000003</v>
      </c>
      <c r="G280" s="979">
        <v>72791.838749999995</v>
      </c>
      <c r="H280" s="979">
        <v>70290.999670000019</v>
      </c>
      <c r="I280" s="979">
        <v>0</v>
      </c>
      <c r="J280" s="979">
        <v>-12.5</v>
      </c>
      <c r="K280" s="979">
        <v>70278.499670000005</v>
      </c>
      <c r="L280" s="979">
        <v>-2513.339080000002</v>
      </c>
      <c r="M280" s="979">
        <v>0</v>
      </c>
      <c r="N280" s="979">
        <v>93704.666226666639</v>
      </c>
      <c r="O280" s="735">
        <f t="shared" si="14"/>
        <v>-3351.1187733333645</v>
      </c>
      <c r="P280" s="738">
        <f t="shared" si="12"/>
        <v>93704666.226666644</v>
      </c>
      <c r="Q280" s="751">
        <f t="shared" si="13"/>
        <v>93705000</v>
      </c>
      <c r="R280" s="853"/>
      <c r="S280" s="853"/>
      <c r="T280" s="853"/>
      <c r="U280" s="853"/>
      <c r="V280" s="988"/>
      <c r="W280" s="1024"/>
      <c r="X280" s="853"/>
      <c r="Y280" s="853"/>
      <c r="Z280" s="853"/>
      <c r="AA280" s="853"/>
      <c r="AB280" s="853"/>
      <c r="AC280" s="853"/>
      <c r="AD280" s="853"/>
      <c r="AE280" s="853"/>
      <c r="AF280" s="853"/>
      <c r="AG280" s="853"/>
      <c r="AH280" s="853"/>
      <c r="AI280" s="853"/>
      <c r="AJ280" s="853"/>
      <c r="AK280" s="853"/>
      <c r="AL280" s="853"/>
      <c r="AM280" s="853"/>
      <c r="AN280" s="853"/>
      <c r="AO280" s="853"/>
      <c r="AP280" s="853"/>
      <c r="AQ280" s="853"/>
      <c r="AR280" s="853"/>
      <c r="AS280" s="853"/>
      <c r="AT280" s="853"/>
      <c r="AU280" s="853"/>
      <c r="AV280" s="853"/>
      <c r="AW280" s="853"/>
      <c r="AX280" s="853"/>
    </row>
    <row r="281" spans="1:247" s="852" customFormat="1">
      <c r="A281" s="981"/>
      <c r="B281" s="976" t="s">
        <v>1079</v>
      </c>
      <c r="C281" s="982"/>
      <c r="D281" s="981" t="s">
        <v>1469</v>
      </c>
      <c r="E281" s="976"/>
      <c r="F281" s="981"/>
      <c r="G281" s="981"/>
      <c r="H281" s="981"/>
      <c r="I281" s="981"/>
      <c r="J281" s="981"/>
      <c r="K281" s="981"/>
      <c r="L281" s="983"/>
      <c r="M281" s="981"/>
      <c r="N281" s="981"/>
      <c r="O281" s="735">
        <f t="shared" si="14"/>
        <v>0</v>
      </c>
      <c r="P281" s="738">
        <f t="shared" si="12"/>
        <v>0</v>
      </c>
      <c r="Q281" s="751">
        <f t="shared" si="13"/>
        <v>0</v>
      </c>
      <c r="R281" s="853"/>
      <c r="S281" s="853"/>
      <c r="T281" s="853"/>
      <c r="U281" s="853"/>
      <c r="V281" s="988"/>
      <c r="W281" s="1024"/>
      <c r="X281" s="853"/>
      <c r="Y281" s="853"/>
      <c r="Z281" s="853"/>
      <c r="AA281" s="853"/>
      <c r="AB281" s="853"/>
      <c r="AC281" s="853"/>
      <c r="AD281" s="853"/>
      <c r="AE281" s="853"/>
      <c r="AF281" s="853"/>
      <c r="AG281" s="853"/>
      <c r="AH281" s="853"/>
      <c r="AI281" s="853"/>
      <c r="AJ281" s="853"/>
      <c r="AK281" s="853"/>
      <c r="AL281" s="853"/>
      <c r="AM281" s="853"/>
      <c r="AN281" s="853"/>
      <c r="AO281" s="853"/>
      <c r="AP281" s="853"/>
      <c r="AQ281" s="853"/>
      <c r="AR281" s="853"/>
      <c r="AS281" s="853"/>
      <c r="AT281" s="853"/>
      <c r="AU281" s="853"/>
      <c r="AV281" s="853"/>
      <c r="AW281" s="853"/>
      <c r="AX281" s="853"/>
    </row>
    <row r="282" spans="1:247" s="852" customFormat="1" ht="13.5" customHeight="1">
      <c r="A282" s="976" t="s">
        <v>3885</v>
      </c>
      <c r="B282" s="976" t="s">
        <v>1083</v>
      </c>
      <c r="C282" s="977">
        <v>1221000910</v>
      </c>
      <c r="D282" s="976" t="s">
        <v>3269</v>
      </c>
      <c r="E282" s="976">
        <v>0</v>
      </c>
      <c r="F282" s="976">
        <v>0</v>
      </c>
      <c r="G282" s="976">
        <v>0</v>
      </c>
      <c r="H282" s="976">
        <v>0</v>
      </c>
      <c r="I282" s="976"/>
      <c r="J282" s="976"/>
      <c r="K282" s="976">
        <v>0</v>
      </c>
      <c r="L282" s="978">
        <v>0</v>
      </c>
      <c r="M282" s="976"/>
      <c r="N282" s="976">
        <v>0</v>
      </c>
      <c r="O282" s="735">
        <f t="shared" si="14"/>
        <v>0</v>
      </c>
      <c r="P282" s="738">
        <f t="shared" si="12"/>
        <v>0</v>
      </c>
      <c r="Q282" s="751">
        <f t="shared" si="13"/>
        <v>0</v>
      </c>
      <c r="R282" s="853"/>
      <c r="S282" s="853"/>
      <c r="T282" s="853"/>
      <c r="U282" s="853"/>
      <c r="V282" s="988"/>
      <c r="W282" s="1024"/>
      <c r="X282" s="853"/>
      <c r="Y282" s="853"/>
      <c r="Z282" s="853"/>
      <c r="AA282" s="853"/>
      <c r="AB282" s="853"/>
      <c r="AC282" s="853"/>
      <c r="AD282" s="853"/>
      <c r="AE282" s="853"/>
      <c r="AF282" s="853"/>
      <c r="AG282" s="853"/>
      <c r="AH282" s="853"/>
      <c r="AI282" s="853"/>
      <c r="AJ282" s="853"/>
      <c r="AK282" s="853"/>
      <c r="AL282" s="853"/>
      <c r="AM282" s="853"/>
      <c r="AN282" s="853"/>
      <c r="AO282" s="853"/>
      <c r="AP282" s="853"/>
      <c r="AQ282" s="853"/>
      <c r="AR282" s="853"/>
      <c r="AS282" s="853"/>
      <c r="AT282" s="853"/>
      <c r="AU282" s="853"/>
      <c r="AV282" s="853"/>
      <c r="AW282" s="853"/>
      <c r="AX282" s="853"/>
      <c r="II282" s="738"/>
      <c r="IJ282" s="871"/>
      <c r="IK282" s="871"/>
      <c r="IL282" s="871"/>
      <c r="IM282" s="871"/>
    </row>
    <row r="283" spans="1:247" s="852" customFormat="1">
      <c r="A283" s="976" t="s">
        <v>3885</v>
      </c>
      <c r="B283" s="977"/>
      <c r="C283" s="977">
        <v>1247000910</v>
      </c>
      <c r="D283" s="976" t="s">
        <v>3270</v>
      </c>
      <c r="E283" s="976">
        <v>450</v>
      </c>
      <c r="F283" s="976">
        <v>450</v>
      </c>
      <c r="G283" s="976">
        <v>337.5</v>
      </c>
      <c r="H283" s="976">
        <v>0</v>
      </c>
      <c r="I283" s="976"/>
      <c r="J283" s="1019">
        <v>420</v>
      </c>
      <c r="K283" s="976">
        <v>420</v>
      </c>
      <c r="L283" s="978">
        <v>82.5</v>
      </c>
      <c r="M283" s="976" t="s">
        <v>3624</v>
      </c>
      <c r="N283" s="976">
        <v>560</v>
      </c>
      <c r="O283" s="735">
        <f t="shared" si="14"/>
        <v>110</v>
      </c>
      <c r="P283" s="738">
        <f t="shared" si="12"/>
        <v>560000</v>
      </c>
      <c r="Q283" s="751">
        <f t="shared" si="13"/>
        <v>560000</v>
      </c>
      <c r="R283" s="616"/>
      <c r="S283" s="616"/>
      <c r="T283" s="616"/>
      <c r="U283" s="616"/>
      <c r="V283" s="988"/>
      <c r="W283" s="1024"/>
      <c r="X283" s="616"/>
      <c r="Y283" s="616"/>
      <c r="Z283" s="616"/>
      <c r="AA283" s="616"/>
      <c r="AB283" s="616"/>
      <c r="AC283" s="616"/>
      <c r="AD283" s="616"/>
      <c r="AE283" s="616"/>
      <c r="AF283" s="616"/>
      <c r="AG283" s="616"/>
      <c r="AH283" s="616"/>
      <c r="AI283" s="616"/>
      <c r="AJ283" s="616"/>
      <c r="AK283" s="616"/>
      <c r="AL283" s="616"/>
      <c r="AM283" s="616"/>
      <c r="AN283" s="616"/>
      <c r="AO283" s="616"/>
      <c r="AP283" s="616"/>
      <c r="AQ283" s="616"/>
      <c r="AR283" s="616"/>
      <c r="AS283" s="616"/>
      <c r="AT283" s="616"/>
      <c r="AU283" s="616"/>
      <c r="AV283" s="616"/>
      <c r="AW283" s="616"/>
      <c r="AX283" s="616"/>
      <c r="AY283" s="749"/>
      <c r="AZ283" s="749"/>
      <c r="BA283" s="749"/>
      <c r="BB283" s="749"/>
      <c r="BC283" s="749"/>
      <c r="BD283" s="749"/>
      <c r="BE283" s="749"/>
      <c r="BF283" s="749"/>
      <c r="BG283" s="749"/>
      <c r="BH283" s="749"/>
      <c r="BI283" s="749"/>
      <c r="BJ283" s="749"/>
      <c r="BK283" s="749"/>
      <c r="BL283" s="749"/>
      <c r="BM283" s="749"/>
      <c r="BN283" s="749"/>
      <c r="BO283" s="749"/>
      <c r="BP283" s="749"/>
      <c r="BQ283" s="749"/>
      <c r="BR283" s="749"/>
      <c r="BS283" s="749"/>
      <c r="BT283" s="749"/>
      <c r="BU283" s="749"/>
      <c r="BV283" s="749"/>
      <c r="BW283" s="749"/>
      <c r="BX283" s="749"/>
      <c r="BY283" s="749"/>
      <c r="BZ283" s="749"/>
      <c r="CA283" s="749"/>
      <c r="CB283" s="749"/>
      <c r="CC283" s="749"/>
      <c r="CD283" s="749"/>
      <c r="CE283" s="749"/>
      <c r="CF283" s="749"/>
      <c r="CG283" s="749"/>
      <c r="CH283" s="749"/>
      <c r="CI283" s="749"/>
      <c r="CJ283" s="749"/>
      <c r="CK283" s="749"/>
      <c r="CL283" s="749"/>
      <c r="CM283" s="749"/>
      <c r="CN283" s="749"/>
      <c r="CO283" s="749"/>
      <c r="CP283" s="749"/>
      <c r="CQ283" s="749"/>
      <c r="CR283" s="749"/>
      <c r="CS283" s="749"/>
      <c r="CT283" s="749"/>
      <c r="CU283" s="749"/>
      <c r="CV283" s="749"/>
      <c r="CW283" s="749"/>
      <c r="CX283" s="749"/>
      <c r="CY283" s="749"/>
      <c r="CZ283" s="749"/>
      <c r="DA283" s="749"/>
      <c r="DB283" s="749"/>
      <c r="DC283" s="749"/>
      <c r="DD283" s="749"/>
      <c r="DE283" s="749"/>
      <c r="DF283" s="749"/>
      <c r="DG283" s="749"/>
      <c r="DH283" s="749"/>
      <c r="DI283" s="749"/>
      <c r="DJ283" s="749"/>
      <c r="DK283" s="749"/>
      <c r="DL283" s="749"/>
      <c r="DM283" s="749"/>
      <c r="DN283" s="749"/>
      <c r="DO283" s="749"/>
      <c r="DP283" s="749"/>
      <c r="DQ283" s="749"/>
      <c r="DR283" s="749"/>
      <c r="DS283" s="749"/>
      <c r="DT283" s="749"/>
      <c r="DU283" s="749"/>
      <c r="DV283" s="749"/>
      <c r="DW283" s="749"/>
      <c r="DX283" s="749"/>
      <c r="DY283" s="749"/>
      <c r="DZ283" s="749"/>
      <c r="EA283" s="749"/>
      <c r="EB283" s="749"/>
      <c r="EC283" s="749"/>
      <c r="ED283" s="749"/>
      <c r="EE283" s="749"/>
      <c r="EF283" s="749"/>
      <c r="EG283" s="749"/>
      <c r="EH283" s="749"/>
      <c r="EI283" s="749"/>
      <c r="EJ283" s="749"/>
      <c r="EK283" s="749"/>
      <c r="EL283" s="749"/>
      <c r="EM283" s="749"/>
      <c r="EN283" s="749"/>
      <c r="EO283" s="749"/>
      <c r="EP283" s="749"/>
      <c r="EQ283" s="749"/>
      <c r="ER283" s="749"/>
      <c r="ES283" s="749"/>
      <c r="ET283" s="749"/>
      <c r="EU283" s="749"/>
      <c r="EV283" s="749"/>
      <c r="EW283" s="749"/>
      <c r="EX283" s="749"/>
      <c r="EY283" s="749"/>
      <c r="EZ283" s="749"/>
      <c r="FA283" s="749"/>
      <c r="FB283" s="749"/>
      <c r="FC283" s="749"/>
      <c r="FD283" s="749"/>
      <c r="FE283" s="749"/>
      <c r="FF283" s="749"/>
      <c r="FG283" s="749"/>
      <c r="FH283" s="749"/>
      <c r="FI283" s="749"/>
      <c r="FJ283" s="749"/>
      <c r="FK283" s="749"/>
      <c r="FL283" s="749"/>
      <c r="FM283" s="749"/>
      <c r="FN283" s="749"/>
      <c r="FO283" s="749"/>
      <c r="FP283" s="749"/>
      <c r="FQ283" s="749"/>
      <c r="FR283" s="749"/>
      <c r="FS283" s="749"/>
      <c r="FT283" s="749"/>
      <c r="FU283" s="749"/>
      <c r="FV283" s="749"/>
      <c r="FW283" s="749"/>
      <c r="FX283" s="749"/>
      <c r="FY283" s="749"/>
      <c r="FZ283" s="749"/>
      <c r="GA283" s="749"/>
      <c r="GB283" s="749"/>
      <c r="GC283" s="749"/>
      <c r="GD283" s="749"/>
      <c r="GE283" s="749"/>
      <c r="GF283" s="749"/>
      <c r="GG283" s="749"/>
      <c r="GH283" s="749"/>
      <c r="GI283" s="749"/>
      <c r="GJ283" s="749"/>
      <c r="GK283" s="749"/>
      <c r="GL283" s="749"/>
      <c r="GM283" s="749"/>
      <c r="GN283" s="749"/>
      <c r="GO283" s="749"/>
      <c r="GP283" s="749"/>
      <c r="GQ283" s="749"/>
      <c r="GR283" s="749"/>
      <c r="GS283" s="749"/>
      <c r="GT283" s="749"/>
      <c r="GU283" s="749"/>
      <c r="GV283" s="749"/>
      <c r="GW283" s="749"/>
      <c r="GX283" s="749"/>
      <c r="GY283" s="749"/>
      <c r="GZ283" s="749"/>
      <c r="HA283" s="749"/>
      <c r="HB283" s="749"/>
      <c r="HC283" s="749"/>
      <c r="HD283" s="749"/>
      <c r="HE283" s="749"/>
      <c r="HF283" s="749"/>
      <c r="HG283" s="749"/>
      <c r="HH283" s="749"/>
      <c r="HI283" s="749"/>
      <c r="HJ283" s="749"/>
      <c r="HK283" s="749"/>
      <c r="HL283" s="749"/>
      <c r="HM283" s="749"/>
      <c r="HN283" s="749"/>
      <c r="HO283" s="749"/>
      <c r="HP283" s="749"/>
      <c r="HQ283" s="749"/>
      <c r="HR283" s="749"/>
      <c r="HS283" s="749"/>
      <c r="HT283" s="749"/>
      <c r="HU283" s="749"/>
      <c r="HV283" s="749"/>
      <c r="HW283" s="749"/>
      <c r="HX283" s="749"/>
      <c r="HY283" s="749"/>
      <c r="HZ283" s="749"/>
      <c r="IA283" s="749"/>
      <c r="IB283" s="749"/>
      <c r="IC283" s="749"/>
      <c r="ID283" s="749"/>
      <c r="IE283" s="749"/>
      <c r="IF283" s="749"/>
    </row>
    <row r="284" spans="1:247" s="852" customFormat="1">
      <c r="A284" s="976" t="s">
        <v>3885</v>
      </c>
      <c r="B284" s="976" t="s">
        <v>1094</v>
      </c>
      <c r="C284" s="977">
        <v>1299998910</v>
      </c>
      <c r="D284" s="976" t="s">
        <v>3271</v>
      </c>
      <c r="E284" s="976">
        <v>0</v>
      </c>
      <c r="F284" s="976">
        <v>0</v>
      </c>
      <c r="G284" s="976">
        <v>0</v>
      </c>
      <c r="H284" s="976">
        <v>0</v>
      </c>
      <c r="I284" s="976"/>
      <c r="J284" s="976"/>
      <c r="K284" s="976">
        <v>0</v>
      </c>
      <c r="L284" s="978">
        <v>0</v>
      </c>
      <c r="M284" s="976"/>
      <c r="N284" s="976">
        <v>0</v>
      </c>
      <c r="O284" s="735">
        <f t="shared" si="14"/>
        <v>0</v>
      </c>
      <c r="P284" s="738">
        <f t="shared" si="12"/>
        <v>0</v>
      </c>
      <c r="Q284" s="751">
        <f t="shared" si="13"/>
        <v>0</v>
      </c>
      <c r="R284" s="853"/>
      <c r="S284" s="853"/>
      <c r="T284" s="853"/>
      <c r="U284" s="853"/>
      <c r="V284" s="988"/>
      <c r="W284" s="1024"/>
      <c r="X284" s="853"/>
      <c r="Y284" s="853"/>
      <c r="Z284" s="853"/>
      <c r="AA284" s="853"/>
      <c r="AB284" s="853"/>
      <c r="AC284" s="853"/>
      <c r="AD284" s="853"/>
      <c r="AE284" s="853"/>
      <c r="AF284" s="853"/>
      <c r="AG284" s="853"/>
      <c r="AH284" s="853"/>
      <c r="AI284" s="853"/>
      <c r="AJ284" s="853"/>
      <c r="AK284" s="853"/>
      <c r="AL284" s="853"/>
      <c r="AM284" s="853"/>
      <c r="AN284" s="853"/>
      <c r="AO284" s="853"/>
      <c r="AP284" s="853"/>
      <c r="AQ284" s="853"/>
      <c r="AR284" s="853"/>
      <c r="AS284" s="853"/>
      <c r="AT284" s="853"/>
      <c r="AU284" s="853"/>
      <c r="AV284" s="853"/>
      <c r="AW284" s="853"/>
      <c r="AX284" s="853"/>
    </row>
    <row r="285" spans="1:247" s="852" customFormat="1">
      <c r="A285" s="976" t="s">
        <v>3885</v>
      </c>
      <c r="B285" s="976" t="s">
        <v>1083</v>
      </c>
      <c r="C285" s="977">
        <v>1229999910</v>
      </c>
      <c r="D285" s="976" t="s">
        <v>3272</v>
      </c>
      <c r="E285" s="976">
        <v>0</v>
      </c>
      <c r="F285" s="976">
        <v>0</v>
      </c>
      <c r="G285" s="976">
        <v>0</v>
      </c>
      <c r="H285" s="976">
        <v>0</v>
      </c>
      <c r="I285" s="976"/>
      <c r="J285" s="976"/>
      <c r="K285" s="976">
        <v>0</v>
      </c>
      <c r="L285" s="978">
        <v>0</v>
      </c>
      <c r="M285" s="976"/>
      <c r="N285" s="976">
        <v>0</v>
      </c>
      <c r="O285" s="735">
        <f t="shared" si="14"/>
        <v>0</v>
      </c>
      <c r="P285" s="738">
        <f t="shared" si="12"/>
        <v>0</v>
      </c>
      <c r="Q285" s="751">
        <f t="shared" si="13"/>
        <v>0</v>
      </c>
      <c r="R285" s="853"/>
      <c r="S285" s="853"/>
      <c r="T285" s="853"/>
      <c r="U285" s="853"/>
      <c r="V285" s="988"/>
      <c r="W285" s="1024"/>
      <c r="X285" s="853"/>
      <c r="Y285" s="853"/>
      <c r="Z285" s="853"/>
      <c r="AA285" s="853"/>
      <c r="AB285" s="853"/>
      <c r="AC285" s="853"/>
      <c r="AD285" s="853"/>
      <c r="AE285" s="853"/>
      <c r="AF285" s="853"/>
      <c r="AG285" s="853"/>
      <c r="AH285" s="853"/>
      <c r="AI285" s="853"/>
      <c r="AJ285" s="853"/>
      <c r="AK285" s="853"/>
      <c r="AL285" s="853"/>
      <c r="AM285" s="853"/>
      <c r="AN285" s="853"/>
      <c r="AO285" s="853"/>
      <c r="AP285" s="853"/>
      <c r="AQ285" s="853"/>
      <c r="AR285" s="853"/>
      <c r="AS285" s="853"/>
      <c r="AT285" s="853"/>
      <c r="AU285" s="853"/>
      <c r="AV285" s="853"/>
      <c r="AW285" s="853"/>
      <c r="AX285" s="853"/>
    </row>
    <row r="286" spans="1:247" ht="12.75" customHeight="1">
      <c r="A286" s="976" t="s">
        <v>3889</v>
      </c>
      <c r="B286" s="976" t="s">
        <v>1081</v>
      </c>
      <c r="C286" s="977">
        <v>1212300990</v>
      </c>
      <c r="D286" s="976" t="s">
        <v>3273</v>
      </c>
      <c r="E286" s="976">
        <v>0</v>
      </c>
      <c r="F286" s="976">
        <v>0</v>
      </c>
      <c r="G286" s="976">
        <v>0</v>
      </c>
      <c r="H286" s="976">
        <v>0</v>
      </c>
      <c r="I286" s="976"/>
      <c r="J286" s="976"/>
      <c r="K286" s="976">
        <v>0</v>
      </c>
      <c r="L286" s="978">
        <v>0</v>
      </c>
      <c r="M286" s="976"/>
      <c r="N286" s="976">
        <v>0</v>
      </c>
      <c r="O286" s="735">
        <f t="shared" si="14"/>
        <v>0</v>
      </c>
      <c r="P286" s="738">
        <f t="shared" si="12"/>
        <v>0</v>
      </c>
      <c r="Q286" s="751">
        <f t="shared" si="13"/>
        <v>0</v>
      </c>
      <c r="U286" s="747"/>
      <c r="V286" s="988"/>
      <c r="W286" s="1024"/>
      <c r="AY286" s="845"/>
      <c r="AZ286" s="845"/>
      <c r="BA286" s="845"/>
      <c r="BB286" s="845"/>
      <c r="BC286" s="845"/>
      <c r="BD286" s="845"/>
      <c r="BE286" s="845"/>
      <c r="BF286" s="845"/>
      <c r="BG286" s="845"/>
      <c r="BH286" s="845"/>
      <c r="BI286" s="845"/>
      <c r="BJ286" s="845"/>
      <c r="BK286" s="845"/>
      <c r="BL286" s="845"/>
      <c r="BM286" s="845"/>
      <c r="BN286" s="845"/>
      <c r="BO286" s="845"/>
      <c r="BP286" s="845"/>
      <c r="BQ286" s="845"/>
      <c r="BR286" s="845"/>
      <c r="BS286" s="845"/>
      <c r="BT286" s="845"/>
      <c r="BU286" s="845"/>
      <c r="BV286" s="845"/>
      <c r="BW286" s="845"/>
      <c r="BX286" s="845"/>
      <c r="BY286" s="845"/>
      <c r="BZ286" s="845"/>
      <c r="CA286" s="845"/>
      <c r="CB286" s="845"/>
      <c r="CC286" s="845"/>
    </row>
    <row r="287" spans="1:247" ht="15.75" customHeight="1">
      <c r="A287" s="976" t="s">
        <v>3889</v>
      </c>
      <c r="B287" s="976" t="s">
        <v>1081</v>
      </c>
      <c r="C287" s="977">
        <v>1214200990</v>
      </c>
      <c r="D287" s="976" t="s">
        <v>20</v>
      </c>
      <c r="E287" s="976">
        <v>600</v>
      </c>
      <c r="F287" s="976">
        <v>600</v>
      </c>
      <c r="G287" s="976">
        <v>450</v>
      </c>
      <c r="H287" s="976">
        <v>363.92928000000001</v>
      </c>
      <c r="I287" s="976"/>
      <c r="J287" s="976"/>
      <c r="K287" s="976">
        <v>363.92928000000001</v>
      </c>
      <c r="L287" s="978">
        <v>-86.070719999999994</v>
      </c>
      <c r="M287" s="976" t="s">
        <v>3591</v>
      </c>
      <c r="N287" s="976">
        <v>485.23903999999999</v>
      </c>
      <c r="O287" s="735">
        <f t="shared" si="14"/>
        <v>-114.76096000000001</v>
      </c>
      <c r="P287" s="738">
        <f t="shared" si="12"/>
        <v>485239.03999999998</v>
      </c>
      <c r="Q287" s="751">
        <f t="shared" si="13"/>
        <v>485000</v>
      </c>
      <c r="U287" s="747"/>
      <c r="V287" s="988"/>
      <c r="W287" s="1024"/>
      <c r="AY287" s="845"/>
      <c r="AZ287" s="845"/>
      <c r="BA287" s="845"/>
      <c r="BB287" s="845"/>
      <c r="BC287" s="845"/>
      <c r="BD287" s="845"/>
      <c r="BE287" s="845"/>
      <c r="BF287" s="845"/>
      <c r="BG287" s="845"/>
      <c r="BH287" s="845"/>
      <c r="BI287" s="845"/>
      <c r="BJ287" s="845"/>
      <c r="BK287" s="845"/>
      <c r="BL287" s="845"/>
      <c r="BM287" s="845"/>
      <c r="BN287" s="845"/>
      <c r="BO287" s="845"/>
      <c r="BP287" s="845"/>
      <c r="BQ287" s="845"/>
      <c r="BR287" s="845"/>
      <c r="BS287" s="845"/>
      <c r="BT287" s="845"/>
      <c r="BU287" s="845"/>
      <c r="BV287" s="845"/>
      <c r="BW287" s="845"/>
      <c r="BX287" s="845"/>
      <c r="BY287" s="845"/>
      <c r="BZ287" s="845"/>
      <c r="CA287" s="845"/>
      <c r="CB287" s="845"/>
      <c r="CC287" s="845"/>
    </row>
    <row r="288" spans="1:247" ht="15.75" customHeight="1">
      <c r="A288" s="976" t="s">
        <v>3889</v>
      </c>
      <c r="B288" s="976" t="s">
        <v>1083</v>
      </c>
      <c r="C288" s="977">
        <v>1222000990</v>
      </c>
      <c r="D288" s="976" t="s">
        <v>24</v>
      </c>
      <c r="E288" s="976">
        <v>4459</v>
      </c>
      <c r="F288" s="976">
        <v>4459</v>
      </c>
      <c r="G288" s="976">
        <v>3344.25</v>
      </c>
      <c r="H288" s="976">
        <v>2071.7315899999999</v>
      </c>
      <c r="I288" s="976"/>
      <c r="J288" s="1019">
        <v>896</v>
      </c>
      <c r="K288" s="976">
        <v>2967.7315899999999</v>
      </c>
      <c r="L288" s="978">
        <v>-376.51841000000013</v>
      </c>
      <c r="M288" s="976" t="s">
        <v>1651</v>
      </c>
      <c r="N288" s="976">
        <v>3956.9754533333335</v>
      </c>
      <c r="O288" s="735">
        <f t="shared" si="14"/>
        <v>-502.02454666666654</v>
      </c>
      <c r="P288" s="738">
        <f t="shared" si="12"/>
        <v>3956975.4533333336</v>
      </c>
      <c r="Q288" s="751">
        <f t="shared" si="13"/>
        <v>3957000</v>
      </c>
      <c r="U288" s="747"/>
      <c r="V288" s="988"/>
      <c r="W288" s="1024"/>
      <c r="AY288" s="845"/>
      <c r="AZ288" s="845"/>
      <c r="BA288" s="845"/>
      <c r="BB288" s="845"/>
      <c r="BC288" s="845"/>
      <c r="BD288" s="845"/>
      <c r="BE288" s="845"/>
      <c r="BF288" s="845"/>
      <c r="BG288" s="845"/>
      <c r="BH288" s="845"/>
      <c r="BI288" s="845"/>
      <c r="BJ288" s="845"/>
      <c r="BK288" s="845"/>
      <c r="BL288" s="845"/>
      <c r="BM288" s="845"/>
      <c r="BN288" s="845"/>
      <c r="BO288" s="845"/>
      <c r="BP288" s="845"/>
      <c r="BQ288" s="845"/>
      <c r="BR288" s="845"/>
      <c r="BS288" s="845"/>
      <c r="BT288" s="845"/>
      <c r="BU288" s="845"/>
      <c r="BV288" s="845"/>
      <c r="BW288" s="845"/>
      <c r="BX288" s="845"/>
      <c r="BY288" s="845"/>
      <c r="BZ288" s="845"/>
      <c r="CA288" s="845"/>
      <c r="CB288" s="845"/>
      <c r="CC288" s="845"/>
    </row>
    <row r="289" spans="1:247" ht="15.75" customHeight="1">
      <c r="A289" s="976" t="s">
        <v>3901</v>
      </c>
      <c r="B289" s="976" t="s">
        <v>1086</v>
      </c>
      <c r="C289" s="977">
        <v>1244000980</v>
      </c>
      <c r="D289" s="976" t="s">
        <v>3274</v>
      </c>
      <c r="E289" s="976">
        <v>0</v>
      </c>
      <c r="F289" s="976">
        <v>0</v>
      </c>
      <c r="G289" s="976">
        <v>0</v>
      </c>
      <c r="H289" s="976">
        <v>0</v>
      </c>
      <c r="I289" s="976"/>
      <c r="J289" s="976"/>
      <c r="K289" s="976">
        <v>0</v>
      </c>
      <c r="L289" s="978">
        <v>0</v>
      </c>
      <c r="M289" s="976"/>
      <c r="N289" s="976">
        <v>0</v>
      </c>
      <c r="O289" s="735">
        <f t="shared" si="14"/>
        <v>0</v>
      </c>
      <c r="P289" s="738">
        <f t="shared" si="12"/>
        <v>0</v>
      </c>
      <c r="Q289" s="751">
        <f t="shared" si="13"/>
        <v>0</v>
      </c>
      <c r="U289" s="747"/>
      <c r="V289" s="988"/>
      <c r="W289" s="1024"/>
      <c r="AY289" s="845"/>
      <c r="AZ289" s="845"/>
      <c r="BA289" s="845"/>
      <c r="BB289" s="845"/>
      <c r="BC289" s="845"/>
      <c r="BD289" s="845"/>
      <c r="BE289" s="845"/>
      <c r="BF289" s="845"/>
      <c r="BG289" s="845"/>
      <c r="BH289" s="845"/>
      <c r="BI289" s="845"/>
      <c r="BJ289" s="845"/>
      <c r="BK289" s="845"/>
      <c r="BL289" s="845"/>
      <c r="BM289" s="845"/>
      <c r="BN289" s="845"/>
      <c r="BO289" s="845"/>
      <c r="BP289" s="845"/>
      <c r="BQ289" s="845"/>
      <c r="BR289" s="845"/>
      <c r="BS289" s="845"/>
      <c r="BT289" s="845"/>
      <c r="BU289" s="845"/>
      <c r="BV289" s="845"/>
      <c r="BW289" s="845"/>
      <c r="BX289" s="845"/>
      <c r="BY289" s="845"/>
      <c r="BZ289" s="845"/>
      <c r="CA289" s="845"/>
      <c r="CB289" s="845"/>
      <c r="CC289" s="845"/>
    </row>
    <row r="290" spans="1:247">
      <c r="A290" s="976" t="s">
        <v>3889</v>
      </c>
      <c r="B290" s="976"/>
      <c r="C290" s="977">
        <v>1222300990</v>
      </c>
      <c r="D290" s="976" t="s">
        <v>3275</v>
      </c>
      <c r="E290" s="976">
        <v>0</v>
      </c>
      <c r="F290" s="976">
        <v>0</v>
      </c>
      <c r="G290" s="976">
        <v>0</v>
      </c>
      <c r="H290" s="976">
        <v>0</v>
      </c>
      <c r="I290" s="976"/>
      <c r="J290" s="976"/>
      <c r="K290" s="976">
        <v>0</v>
      </c>
      <c r="L290" s="978">
        <v>0</v>
      </c>
      <c r="M290" s="976"/>
      <c r="N290" s="976">
        <v>0</v>
      </c>
      <c r="O290" s="735">
        <f t="shared" si="14"/>
        <v>0</v>
      </c>
      <c r="P290" s="738">
        <f t="shared" si="12"/>
        <v>0</v>
      </c>
      <c r="Q290" s="751">
        <f t="shared" si="13"/>
        <v>0</v>
      </c>
      <c r="U290" s="747"/>
      <c r="V290" s="988"/>
      <c r="W290" s="1024"/>
      <c r="AY290" s="845"/>
      <c r="AZ290" s="845"/>
      <c r="BA290" s="845"/>
      <c r="BB290" s="845"/>
      <c r="BC290" s="845"/>
      <c r="BD290" s="845"/>
      <c r="BE290" s="845"/>
      <c r="BF290" s="845"/>
      <c r="BG290" s="845"/>
      <c r="BH290" s="845"/>
      <c r="BI290" s="845"/>
      <c r="BJ290" s="845"/>
      <c r="BK290" s="845"/>
      <c r="BL290" s="845"/>
      <c r="BM290" s="845"/>
      <c r="BN290" s="845"/>
      <c r="BO290" s="845"/>
      <c r="BP290" s="845"/>
      <c r="BQ290" s="845"/>
      <c r="BR290" s="845"/>
      <c r="BS290" s="845"/>
      <c r="BT290" s="845"/>
      <c r="BU290" s="845"/>
      <c r="BV290" s="845"/>
      <c r="BW290" s="845"/>
      <c r="BX290" s="845"/>
      <c r="BY290" s="845"/>
      <c r="BZ290" s="845"/>
      <c r="CA290" s="845"/>
      <c r="CB290" s="845"/>
      <c r="CC290" s="845"/>
    </row>
    <row r="291" spans="1:247">
      <c r="A291" s="976" t="s">
        <v>3889</v>
      </c>
      <c r="B291" s="976" t="s">
        <v>1086</v>
      </c>
      <c r="C291" s="977">
        <v>1244500990</v>
      </c>
      <c r="D291" s="976" t="s">
        <v>3276</v>
      </c>
      <c r="E291" s="976">
        <v>0</v>
      </c>
      <c r="F291" s="976">
        <v>0</v>
      </c>
      <c r="G291" s="976">
        <v>0</v>
      </c>
      <c r="H291" s="976">
        <v>0</v>
      </c>
      <c r="I291" s="976"/>
      <c r="J291" s="976"/>
      <c r="K291" s="976">
        <v>0</v>
      </c>
      <c r="L291" s="978">
        <v>0</v>
      </c>
      <c r="M291" s="976"/>
      <c r="N291" s="976">
        <v>0</v>
      </c>
      <c r="O291" s="735">
        <f t="shared" si="14"/>
        <v>0</v>
      </c>
      <c r="P291" s="738">
        <f t="shared" si="12"/>
        <v>0</v>
      </c>
      <c r="Q291" s="751">
        <f t="shared" si="13"/>
        <v>0</v>
      </c>
      <c r="R291" s="861"/>
      <c r="S291" s="861"/>
      <c r="T291" s="861"/>
      <c r="U291" s="747"/>
      <c r="V291" s="988"/>
      <c r="W291" s="1024"/>
      <c r="AY291" s="845"/>
      <c r="AZ291" s="845"/>
      <c r="BA291" s="845"/>
      <c r="BB291" s="845"/>
      <c r="BC291" s="845"/>
      <c r="BD291" s="845"/>
      <c r="BE291" s="845"/>
      <c r="BF291" s="845"/>
      <c r="BG291" s="845"/>
      <c r="BH291" s="845"/>
      <c r="BI291" s="845"/>
      <c r="BJ291" s="845"/>
      <c r="BK291" s="845"/>
      <c r="BL291" s="845"/>
      <c r="BM291" s="845"/>
      <c r="BN291" s="845"/>
      <c r="BO291" s="845"/>
      <c r="BP291" s="845"/>
      <c r="BQ291" s="845"/>
      <c r="BR291" s="845"/>
      <c r="BS291" s="845"/>
      <c r="BT291" s="845"/>
      <c r="BU291" s="845"/>
      <c r="BV291" s="845"/>
      <c r="BW291" s="845"/>
      <c r="BX291" s="845"/>
      <c r="BY291" s="845"/>
      <c r="BZ291" s="845"/>
      <c r="CA291" s="845"/>
      <c r="CB291" s="845"/>
      <c r="CC291" s="845"/>
    </row>
    <row r="292" spans="1:247" s="862" customFormat="1">
      <c r="A292" s="976" t="s">
        <v>3884</v>
      </c>
      <c r="B292" s="976" t="s">
        <v>1100</v>
      </c>
      <c r="C292" s="977">
        <v>1321000920</v>
      </c>
      <c r="D292" s="976" t="s">
        <v>1147</v>
      </c>
      <c r="E292" s="976">
        <v>1569.2149999999999</v>
      </c>
      <c r="F292" s="976">
        <v>1569.2149999999999</v>
      </c>
      <c r="G292" s="976">
        <v>1176.9112499999999</v>
      </c>
      <c r="H292" s="976">
        <v>423.47199999999998</v>
      </c>
      <c r="I292" s="976"/>
      <c r="J292" s="1019">
        <v>317</v>
      </c>
      <c r="K292" s="976">
        <v>740.47199999999998</v>
      </c>
      <c r="L292" s="978">
        <v>-436.4392499999999</v>
      </c>
      <c r="M292" s="976" t="s">
        <v>3583</v>
      </c>
      <c r="N292" s="976">
        <v>987.29600000000005</v>
      </c>
      <c r="O292" s="735">
        <f t="shared" si="14"/>
        <v>-581.91899999999987</v>
      </c>
      <c r="P292" s="738">
        <f t="shared" si="12"/>
        <v>987296</v>
      </c>
      <c r="Q292" s="751">
        <f t="shared" si="13"/>
        <v>987000</v>
      </c>
      <c r="R292" s="861"/>
      <c r="S292" s="861"/>
      <c r="T292" s="861"/>
      <c r="U292" s="861"/>
      <c r="V292" s="988"/>
      <c r="W292" s="1024"/>
      <c r="X292" s="861"/>
      <c r="Y292" s="861"/>
      <c r="Z292" s="861"/>
      <c r="AA292" s="861"/>
      <c r="AB292" s="861"/>
      <c r="AC292" s="861"/>
      <c r="AD292" s="861"/>
      <c r="AE292" s="861"/>
      <c r="AF292" s="861"/>
      <c r="AG292" s="861"/>
      <c r="AH292" s="861"/>
      <c r="AI292" s="861"/>
      <c r="AJ292" s="861"/>
      <c r="AK292" s="861"/>
      <c r="AL292" s="861"/>
      <c r="AM292" s="861"/>
      <c r="AN292" s="861"/>
      <c r="AO292" s="861"/>
      <c r="AP292" s="861"/>
      <c r="AQ292" s="861"/>
      <c r="AR292" s="861"/>
      <c r="AS292" s="861"/>
      <c r="AT292" s="861"/>
      <c r="AU292" s="861"/>
      <c r="AV292" s="861"/>
      <c r="AW292" s="861"/>
      <c r="AX292" s="861"/>
    </row>
    <row r="293" spans="1:247" s="866" customFormat="1">
      <c r="A293" s="976" t="s">
        <v>3884</v>
      </c>
      <c r="B293" s="976" t="s">
        <v>1100</v>
      </c>
      <c r="C293" s="977">
        <v>1322000920</v>
      </c>
      <c r="D293" s="976" t="s">
        <v>3277</v>
      </c>
      <c r="E293" s="976">
        <v>1031.268</v>
      </c>
      <c r="F293" s="976">
        <v>1031.268</v>
      </c>
      <c r="G293" s="976">
        <v>773.45100000000002</v>
      </c>
      <c r="H293" s="976">
        <v>240.69974999999999</v>
      </c>
      <c r="I293" s="976"/>
      <c r="J293" s="1019">
        <v>532</v>
      </c>
      <c r="K293" s="976">
        <v>772.69974999999999</v>
      </c>
      <c r="L293" s="978">
        <v>-0.75125000000002728</v>
      </c>
      <c r="M293" s="976" t="s">
        <v>3583</v>
      </c>
      <c r="N293" s="976">
        <v>1030.2663333333335</v>
      </c>
      <c r="O293" s="735">
        <f t="shared" si="14"/>
        <v>-1.0016666666665515</v>
      </c>
      <c r="P293" s="738">
        <f t="shared" si="12"/>
        <v>1030266.3333333335</v>
      </c>
      <c r="Q293" s="751">
        <f t="shared" si="13"/>
        <v>1030000</v>
      </c>
      <c r="R293" s="865"/>
      <c r="S293" s="865"/>
      <c r="T293" s="865"/>
      <c r="U293" s="865"/>
      <c r="V293" s="988"/>
      <c r="W293" s="1024"/>
      <c r="X293" s="865"/>
      <c r="Y293" s="865"/>
      <c r="Z293" s="865"/>
      <c r="AA293" s="865"/>
      <c r="AB293" s="865"/>
      <c r="AC293" s="865"/>
      <c r="AD293" s="865"/>
      <c r="AE293" s="865"/>
      <c r="AF293" s="865"/>
      <c r="AG293" s="865"/>
      <c r="AH293" s="865"/>
      <c r="AI293" s="865"/>
      <c r="AJ293" s="865"/>
      <c r="AK293" s="865"/>
      <c r="AL293" s="865"/>
      <c r="AM293" s="865"/>
      <c r="AN293" s="865"/>
      <c r="AO293" s="865"/>
      <c r="AP293" s="865"/>
      <c r="AQ293" s="865"/>
      <c r="AR293" s="865"/>
      <c r="AS293" s="865"/>
      <c r="AT293" s="865"/>
      <c r="AU293" s="865"/>
      <c r="AV293" s="865"/>
      <c r="AW293" s="865"/>
      <c r="AX293" s="865"/>
    </row>
    <row r="294" spans="1:247">
      <c r="A294" s="976" t="s">
        <v>3887</v>
      </c>
      <c r="B294" s="976" t="s">
        <v>1100</v>
      </c>
      <c r="C294" s="977">
        <v>1322000922</v>
      </c>
      <c r="D294" s="976" t="s">
        <v>3278</v>
      </c>
      <c r="E294" s="976">
        <v>455</v>
      </c>
      <c r="F294" s="976">
        <v>455</v>
      </c>
      <c r="G294" s="976">
        <v>341.25</v>
      </c>
      <c r="H294" s="976">
        <v>176.137</v>
      </c>
      <c r="I294" s="976"/>
      <c r="J294" s="1019">
        <v>165</v>
      </c>
      <c r="K294" s="976">
        <v>341.137</v>
      </c>
      <c r="L294" s="978">
        <v>-0.11299999999999955</v>
      </c>
      <c r="M294" s="976" t="s">
        <v>3583</v>
      </c>
      <c r="N294" s="976">
        <v>454.84933333333333</v>
      </c>
      <c r="O294" s="735">
        <f t="shared" si="14"/>
        <v>-0.15066666666666606</v>
      </c>
      <c r="P294" s="738">
        <f t="shared" si="12"/>
        <v>454849.33333333331</v>
      </c>
      <c r="Q294" s="751">
        <f t="shared" si="13"/>
        <v>455000</v>
      </c>
      <c r="U294" s="747"/>
      <c r="V294" s="988"/>
      <c r="W294" s="1024"/>
      <c r="AY294" s="845"/>
      <c r="AZ294" s="845"/>
      <c r="BA294" s="845"/>
      <c r="BB294" s="845"/>
      <c r="BC294" s="845"/>
      <c r="BD294" s="845"/>
      <c r="BE294" s="845"/>
      <c r="BF294" s="845"/>
      <c r="BG294" s="845"/>
      <c r="BH294" s="845"/>
      <c r="BI294" s="845"/>
      <c r="BJ294" s="845"/>
      <c r="BK294" s="845"/>
      <c r="BL294" s="845"/>
      <c r="BM294" s="845"/>
      <c r="BN294" s="845"/>
      <c r="BO294" s="845"/>
      <c r="BP294" s="845"/>
      <c r="BQ294" s="845"/>
      <c r="BR294" s="845"/>
      <c r="BS294" s="845"/>
      <c r="BT294" s="845"/>
      <c r="BU294" s="845"/>
      <c r="BV294" s="845"/>
      <c r="BW294" s="845"/>
      <c r="BX294" s="845"/>
      <c r="BY294" s="845"/>
      <c r="BZ294" s="845"/>
      <c r="CA294" s="845"/>
      <c r="CB294" s="845"/>
      <c r="CC294" s="845"/>
      <c r="IG294" s="738"/>
      <c r="IH294" s="743"/>
      <c r="II294" s="738"/>
      <c r="IJ294" s="738"/>
      <c r="IK294" s="738"/>
      <c r="IL294" s="738"/>
      <c r="IM294" s="738"/>
    </row>
    <row r="295" spans="1:247">
      <c r="A295" s="976" t="s">
        <v>3884</v>
      </c>
      <c r="B295" s="977"/>
      <c r="C295" s="977">
        <v>1229999920</v>
      </c>
      <c r="D295" s="976" t="s">
        <v>266</v>
      </c>
      <c r="E295" s="976">
        <v>0</v>
      </c>
      <c r="F295" s="976">
        <v>0</v>
      </c>
      <c r="G295" s="976">
        <v>0</v>
      </c>
      <c r="H295" s="976">
        <v>120.24299999999999</v>
      </c>
      <c r="I295" s="976"/>
      <c r="J295" s="976"/>
      <c r="K295" s="976">
        <v>120.24299999999999</v>
      </c>
      <c r="L295" s="978">
        <v>120.24299999999999</v>
      </c>
      <c r="M295" s="976"/>
      <c r="N295" s="976">
        <v>160.32399999999998</v>
      </c>
      <c r="O295" s="735">
        <f t="shared" si="14"/>
        <v>160.32399999999998</v>
      </c>
      <c r="P295" s="738">
        <f t="shared" si="12"/>
        <v>160323.99999999997</v>
      </c>
      <c r="Q295" s="751">
        <f t="shared" si="13"/>
        <v>160000</v>
      </c>
      <c r="U295" s="747"/>
      <c r="V295" s="988"/>
      <c r="W295" s="1024"/>
      <c r="AY295" s="845"/>
      <c r="AZ295" s="845"/>
      <c r="BA295" s="845"/>
      <c r="BB295" s="845"/>
      <c r="BC295" s="845"/>
      <c r="BD295" s="845"/>
      <c r="BE295" s="845"/>
      <c r="BF295" s="845"/>
      <c r="BG295" s="845"/>
      <c r="BH295" s="845"/>
      <c r="BI295" s="845"/>
      <c r="BJ295" s="845"/>
      <c r="BK295" s="845"/>
      <c r="BL295" s="845"/>
      <c r="BM295" s="845"/>
      <c r="BN295" s="845"/>
      <c r="BO295" s="845"/>
      <c r="BP295" s="845"/>
      <c r="BQ295" s="845"/>
      <c r="BR295" s="845"/>
      <c r="BS295" s="845"/>
      <c r="BT295" s="845"/>
      <c r="BU295" s="845"/>
      <c r="BV295" s="845"/>
      <c r="BW295" s="845"/>
      <c r="BX295" s="845"/>
      <c r="BY295" s="845"/>
      <c r="BZ295" s="845"/>
      <c r="CA295" s="845"/>
      <c r="CB295" s="845"/>
      <c r="CC295" s="845"/>
    </row>
    <row r="296" spans="1:247">
      <c r="A296" s="976" t="s">
        <v>3884</v>
      </c>
      <c r="B296" s="976"/>
      <c r="C296" s="977">
        <v>1325200920</v>
      </c>
      <c r="D296" s="976" t="s">
        <v>3279</v>
      </c>
      <c r="E296" s="976">
        <v>404</v>
      </c>
      <c r="F296" s="976">
        <v>404</v>
      </c>
      <c r="G296" s="976">
        <v>303</v>
      </c>
      <c r="H296" s="976">
        <v>207.066</v>
      </c>
      <c r="I296" s="976"/>
      <c r="J296" s="1019">
        <v>96</v>
      </c>
      <c r="K296" s="976">
        <v>303.06600000000003</v>
      </c>
      <c r="L296" s="978">
        <v>6.6000000000030923E-2</v>
      </c>
      <c r="M296" s="976" t="s">
        <v>3583</v>
      </c>
      <c r="N296" s="976">
        <v>404.08800000000002</v>
      </c>
      <c r="O296" s="735">
        <f t="shared" si="14"/>
        <v>8.8000000000022283E-2</v>
      </c>
      <c r="P296" s="738">
        <f t="shared" si="12"/>
        <v>404088</v>
      </c>
      <c r="Q296" s="751">
        <f t="shared" si="13"/>
        <v>404000</v>
      </c>
      <c r="U296" s="747"/>
      <c r="V296" s="988"/>
      <c r="W296" s="1024"/>
      <c r="AY296" s="845"/>
      <c r="AZ296" s="845"/>
      <c r="BA296" s="845"/>
      <c r="BB296" s="845"/>
      <c r="BC296" s="845"/>
      <c r="BD296" s="845"/>
      <c r="BE296" s="845"/>
      <c r="BF296" s="845"/>
      <c r="BG296" s="845"/>
      <c r="BH296" s="845"/>
      <c r="BI296" s="845"/>
      <c r="BJ296" s="845"/>
      <c r="BK296" s="845"/>
      <c r="BL296" s="845"/>
      <c r="BM296" s="845"/>
      <c r="BN296" s="845"/>
      <c r="BO296" s="845"/>
      <c r="BP296" s="845"/>
      <c r="BQ296" s="845"/>
      <c r="BR296" s="845"/>
      <c r="BS296" s="845"/>
      <c r="BT296" s="845"/>
      <c r="BU296" s="845"/>
      <c r="BV296" s="845"/>
      <c r="BW296" s="845"/>
      <c r="BX296" s="845"/>
      <c r="BY296" s="845"/>
      <c r="BZ296" s="845"/>
      <c r="CA296" s="845"/>
      <c r="CB296" s="845"/>
      <c r="CC296" s="845"/>
    </row>
    <row r="297" spans="1:247" s="862" customFormat="1">
      <c r="A297" s="976" t="s">
        <v>3884</v>
      </c>
      <c r="B297" s="976"/>
      <c r="C297" s="977">
        <v>1326000920</v>
      </c>
      <c r="D297" s="976" t="s">
        <v>3280</v>
      </c>
      <c r="E297" s="976">
        <v>218.732</v>
      </c>
      <c r="F297" s="976">
        <v>218.732</v>
      </c>
      <c r="G297" s="976">
        <v>164.04900000000001</v>
      </c>
      <c r="H297" s="976">
        <v>62</v>
      </c>
      <c r="I297" s="976"/>
      <c r="J297" s="1019">
        <v>164</v>
      </c>
      <c r="K297" s="976">
        <v>226</v>
      </c>
      <c r="L297" s="978">
        <v>61.950999999999993</v>
      </c>
      <c r="M297" s="976" t="s">
        <v>3583</v>
      </c>
      <c r="N297" s="976">
        <v>301.33333333333331</v>
      </c>
      <c r="O297" s="735">
        <f t="shared" si="14"/>
        <v>82.601333333333315</v>
      </c>
      <c r="P297" s="738">
        <f t="shared" si="12"/>
        <v>301333.33333333331</v>
      </c>
      <c r="Q297" s="751">
        <f t="shared" si="13"/>
        <v>301000</v>
      </c>
      <c r="R297" s="861"/>
      <c r="S297" s="861"/>
      <c r="T297" s="861"/>
      <c r="U297" s="861"/>
      <c r="V297" s="988"/>
      <c r="W297" s="1024"/>
      <c r="X297" s="861"/>
      <c r="Y297" s="861"/>
      <c r="Z297" s="861"/>
      <c r="AA297" s="861"/>
      <c r="AB297" s="861"/>
      <c r="AC297" s="861"/>
      <c r="AD297" s="861"/>
      <c r="AE297" s="861"/>
      <c r="AF297" s="861"/>
      <c r="AG297" s="861"/>
      <c r="AH297" s="861"/>
      <c r="AI297" s="861"/>
      <c r="AJ297" s="861"/>
      <c r="AK297" s="861"/>
      <c r="AL297" s="861"/>
      <c r="AM297" s="861"/>
      <c r="AN297" s="861"/>
      <c r="AO297" s="861"/>
      <c r="AP297" s="861"/>
      <c r="AQ297" s="861"/>
      <c r="AR297" s="861"/>
      <c r="AS297" s="861"/>
      <c r="AT297" s="861"/>
      <c r="AU297" s="861"/>
      <c r="AV297" s="861"/>
      <c r="AW297" s="861"/>
      <c r="AX297" s="861"/>
    </row>
    <row r="298" spans="1:247" s="866" customFormat="1">
      <c r="A298" s="976" t="s">
        <v>3884</v>
      </c>
      <c r="B298" s="976" t="s">
        <v>1100</v>
      </c>
      <c r="C298" s="977">
        <v>1327000920</v>
      </c>
      <c r="D298" s="976" t="s">
        <v>105</v>
      </c>
      <c r="E298" s="976">
        <v>300</v>
      </c>
      <c r="F298" s="976">
        <v>300</v>
      </c>
      <c r="G298" s="976">
        <v>225</v>
      </c>
      <c r="H298" s="976">
        <v>213.55600000000001</v>
      </c>
      <c r="I298" s="976"/>
      <c r="J298" s="1019">
        <v>199</v>
      </c>
      <c r="K298" s="976">
        <v>412.55600000000004</v>
      </c>
      <c r="L298" s="978">
        <v>187.55600000000004</v>
      </c>
      <c r="M298" s="976" t="s">
        <v>3583</v>
      </c>
      <c r="N298" s="976">
        <v>550.07466666666676</v>
      </c>
      <c r="O298" s="735">
        <f t="shared" si="14"/>
        <v>250.07466666666676</v>
      </c>
      <c r="P298" s="738">
        <f t="shared" si="12"/>
        <v>550074.66666666674</v>
      </c>
      <c r="Q298" s="751">
        <f t="shared" si="13"/>
        <v>550000</v>
      </c>
      <c r="R298" s="865"/>
      <c r="S298" s="865"/>
      <c r="T298" s="865"/>
      <c r="U298" s="865"/>
      <c r="V298" s="988"/>
      <c r="W298" s="1024"/>
      <c r="X298" s="865"/>
      <c r="Y298" s="865"/>
      <c r="Z298" s="865"/>
      <c r="AA298" s="865"/>
      <c r="AB298" s="865"/>
      <c r="AC298" s="865"/>
      <c r="AD298" s="865"/>
      <c r="AE298" s="865"/>
      <c r="AF298" s="865"/>
      <c r="AG298" s="865"/>
      <c r="AH298" s="865"/>
      <c r="AI298" s="865"/>
      <c r="AJ298" s="865"/>
      <c r="AK298" s="865"/>
      <c r="AL298" s="865"/>
      <c r="AM298" s="865"/>
      <c r="AN298" s="865"/>
      <c r="AO298" s="865"/>
      <c r="AP298" s="865"/>
      <c r="AQ298" s="865"/>
      <c r="AR298" s="865"/>
      <c r="AS298" s="865"/>
      <c r="AT298" s="865"/>
      <c r="AU298" s="865"/>
      <c r="AV298" s="865"/>
      <c r="AW298" s="865"/>
      <c r="AX298" s="865"/>
    </row>
    <row r="299" spans="1:247" s="866" customFormat="1">
      <c r="A299" s="976" t="s">
        <v>3902</v>
      </c>
      <c r="B299" s="976"/>
      <c r="C299" s="977">
        <v>1328000960</v>
      </c>
      <c r="D299" s="976" t="s">
        <v>3281</v>
      </c>
      <c r="E299" s="976">
        <v>35</v>
      </c>
      <c r="F299" s="976">
        <v>35</v>
      </c>
      <c r="G299" s="976">
        <v>26.25</v>
      </c>
      <c r="H299" s="976">
        <v>53.713000000000001</v>
      </c>
      <c r="I299" s="976"/>
      <c r="J299" s="1040">
        <v>-13</v>
      </c>
      <c r="K299" s="976">
        <v>40.713000000000001</v>
      </c>
      <c r="L299" s="978">
        <v>14.463000000000001</v>
      </c>
      <c r="M299" s="976" t="s">
        <v>3583</v>
      </c>
      <c r="N299" s="976">
        <v>54.284000000000006</v>
      </c>
      <c r="O299" s="735">
        <f t="shared" si="14"/>
        <v>19.284000000000006</v>
      </c>
      <c r="P299" s="738">
        <f t="shared" si="12"/>
        <v>54284.000000000007</v>
      </c>
      <c r="Q299" s="751">
        <f t="shared" si="13"/>
        <v>54000</v>
      </c>
      <c r="R299" s="865"/>
      <c r="S299" s="865"/>
      <c r="T299" s="865"/>
      <c r="U299" s="865"/>
      <c r="V299" s="988"/>
      <c r="W299" s="1024"/>
      <c r="X299" s="865"/>
      <c r="Y299" s="865"/>
      <c r="Z299" s="865"/>
      <c r="AA299" s="865"/>
      <c r="AB299" s="865"/>
      <c r="AC299" s="865"/>
      <c r="AD299" s="865"/>
      <c r="AE299" s="865"/>
      <c r="AF299" s="865"/>
      <c r="AG299" s="865"/>
      <c r="AH299" s="865"/>
      <c r="AI299" s="865"/>
      <c r="AJ299" s="865"/>
      <c r="AK299" s="865"/>
      <c r="AL299" s="865"/>
      <c r="AM299" s="865"/>
      <c r="AN299" s="865"/>
      <c r="AO299" s="865"/>
      <c r="AP299" s="865"/>
      <c r="AQ299" s="865"/>
      <c r="AR299" s="865"/>
      <c r="AS299" s="865"/>
      <c r="AT299" s="865"/>
      <c r="AU299" s="865"/>
      <c r="AV299" s="865"/>
      <c r="AW299" s="865"/>
      <c r="AX299" s="865"/>
    </row>
    <row r="300" spans="1:247" s="866" customFormat="1">
      <c r="A300" s="976" t="s">
        <v>3884</v>
      </c>
      <c r="B300" s="976" t="s">
        <v>1100</v>
      </c>
      <c r="C300" s="977">
        <v>1329300920</v>
      </c>
      <c r="D300" s="976" t="s">
        <v>107</v>
      </c>
      <c r="E300" s="976">
        <v>162</v>
      </c>
      <c r="F300" s="976">
        <v>162</v>
      </c>
      <c r="G300" s="976">
        <v>121.5</v>
      </c>
      <c r="H300" s="976">
        <v>266.26506999999998</v>
      </c>
      <c r="I300" s="976"/>
      <c r="J300" s="1040">
        <v>-41</v>
      </c>
      <c r="K300" s="976">
        <v>225.26506999999998</v>
      </c>
      <c r="L300" s="978">
        <v>103.76506999999998</v>
      </c>
      <c r="M300" s="976" t="s">
        <v>3583</v>
      </c>
      <c r="N300" s="976">
        <v>300.35342666666668</v>
      </c>
      <c r="O300" s="735">
        <f t="shared" si="14"/>
        <v>138.35342666666668</v>
      </c>
      <c r="P300" s="738">
        <f t="shared" si="12"/>
        <v>300353.4266666667</v>
      </c>
      <c r="Q300" s="751">
        <f t="shared" si="13"/>
        <v>300000</v>
      </c>
      <c r="R300" s="865"/>
      <c r="S300" s="865"/>
      <c r="T300" s="865"/>
      <c r="U300" s="865"/>
      <c r="V300" s="988"/>
      <c r="W300" s="1024"/>
      <c r="X300" s="865"/>
      <c r="Y300" s="865"/>
      <c r="Z300" s="865"/>
      <c r="AA300" s="865"/>
      <c r="AB300" s="865"/>
      <c r="AC300" s="865"/>
      <c r="AD300" s="865"/>
      <c r="AE300" s="865"/>
      <c r="AF300" s="865"/>
      <c r="AG300" s="865"/>
      <c r="AH300" s="865"/>
      <c r="AI300" s="865"/>
      <c r="AJ300" s="865"/>
      <c r="AK300" s="865"/>
      <c r="AL300" s="865"/>
      <c r="AM300" s="865"/>
      <c r="AN300" s="865"/>
      <c r="AO300" s="865"/>
      <c r="AP300" s="865"/>
      <c r="AQ300" s="865"/>
      <c r="AR300" s="865"/>
      <c r="AS300" s="865"/>
      <c r="AT300" s="865"/>
      <c r="AU300" s="865"/>
      <c r="AV300" s="865"/>
      <c r="AW300" s="865"/>
      <c r="AX300" s="865"/>
      <c r="IL300" s="830"/>
    </row>
    <row r="301" spans="1:247" s="866" customFormat="1">
      <c r="A301" s="976" t="s">
        <v>3903</v>
      </c>
      <c r="B301" s="977" t="s">
        <v>1113</v>
      </c>
      <c r="C301" s="977">
        <v>1360000950</v>
      </c>
      <c r="D301" s="976" t="s">
        <v>227</v>
      </c>
      <c r="E301" s="976">
        <v>661</v>
      </c>
      <c r="F301" s="976">
        <v>661</v>
      </c>
      <c r="G301" s="976">
        <v>495.75</v>
      </c>
      <c r="H301" s="976">
        <v>607.15764999999999</v>
      </c>
      <c r="I301" s="976"/>
      <c r="J301" s="1040">
        <v>-111</v>
      </c>
      <c r="K301" s="976">
        <v>496.15764999999999</v>
      </c>
      <c r="L301" s="978">
        <v>0.40764999999998963</v>
      </c>
      <c r="M301" s="976" t="s">
        <v>3583</v>
      </c>
      <c r="N301" s="976">
        <v>661.54353333333324</v>
      </c>
      <c r="O301" s="735">
        <f t="shared" si="14"/>
        <v>0.54353333333324372</v>
      </c>
      <c r="P301" s="738">
        <f t="shared" si="12"/>
        <v>661543.53333333321</v>
      </c>
      <c r="Q301" s="751">
        <f t="shared" si="13"/>
        <v>662000</v>
      </c>
      <c r="R301" s="865"/>
      <c r="S301" s="865"/>
      <c r="T301" s="865"/>
      <c r="U301" s="865"/>
      <c r="V301" s="988"/>
      <c r="W301" s="1024"/>
      <c r="X301" s="865"/>
      <c r="Y301" s="865"/>
      <c r="Z301" s="865"/>
      <c r="AA301" s="865"/>
      <c r="AB301" s="865"/>
      <c r="AC301" s="865"/>
      <c r="AD301" s="865"/>
      <c r="AE301" s="865"/>
      <c r="AF301" s="865"/>
      <c r="AG301" s="865"/>
      <c r="AH301" s="865"/>
      <c r="AI301" s="865"/>
      <c r="AJ301" s="865"/>
      <c r="AK301" s="865"/>
      <c r="AL301" s="865"/>
      <c r="AM301" s="865"/>
      <c r="AN301" s="865"/>
      <c r="AO301" s="865"/>
      <c r="AP301" s="865"/>
      <c r="AQ301" s="865"/>
      <c r="AR301" s="865"/>
      <c r="AS301" s="865"/>
      <c r="AT301" s="865"/>
      <c r="AU301" s="865"/>
      <c r="AV301" s="865"/>
      <c r="AW301" s="865"/>
      <c r="AX301" s="865"/>
      <c r="IL301" s="830"/>
    </row>
    <row r="302" spans="1:247" ht="14.25" customHeight="1">
      <c r="A302" s="976" t="s">
        <v>3884</v>
      </c>
      <c r="B302" s="977" t="s">
        <v>1100</v>
      </c>
      <c r="C302" s="977">
        <v>1328000920</v>
      </c>
      <c r="D302" s="976" t="s">
        <v>106</v>
      </c>
      <c r="E302" s="976">
        <v>219</v>
      </c>
      <c r="F302" s="976">
        <v>219</v>
      </c>
      <c r="G302" s="976">
        <v>164.25</v>
      </c>
      <c r="H302" s="976">
        <v>0</v>
      </c>
      <c r="I302" s="976"/>
      <c r="J302" s="1019">
        <v>164</v>
      </c>
      <c r="K302" s="976">
        <v>164</v>
      </c>
      <c r="L302" s="978">
        <v>-0.25</v>
      </c>
      <c r="M302" s="976" t="s">
        <v>3625</v>
      </c>
      <c r="N302" s="976">
        <v>218.66666666666666</v>
      </c>
      <c r="O302" s="735">
        <f t="shared" si="14"/>
        <v>-0.33333333333334281</v>
      </c>
      <c r="P302" s="738">
        <f t="shared" si="12"/>
        <v>218666.66666666666</v>
      </c>
      <c r="Q302" s="751">
        <f t="shared" si="13"/>
        <v>219000</v>
      </c>
      <c r="U302" s="747"/>
      <c r="V302" s="988"/>
      <c r="W302" s="1024"/>
      <c r="AY302" s="845"/>
      <c r="AZ302" s="845"/>
      <c r="BA302" s="845"/>
      <c r="BB302" s="845"/>
      <c r="BC302" s="845"/>
      <c r="BD302" s="845"/>
      <c r="BE302" s="845"/>
      <c r="BF302" s="845"/>
      <c r="BG302" s="845"/>
      <c r="BH302" s="845"/>
      <c r="BI302" s="845"/>
      <c r="BJ302" s="845"/>
      <c r="BK302" s="845"/>
      <c r="BL302" s="845"/>
      <c r="BM302" s="845"/>
      <c r="BN302" s="845"/>
      <c r="BO302" s="845"/>
      <c r="BP302" s="845"/>
      <c r="BQ302" s="845"/>
      <c r="BR302" s="845"/>
      <c r="BS302" s="845"/>
      <c r="BT302" s="845"/>
      <c r="BU302" s="845"/>
      <c r="BV302" s="845"/>
      <c r="BW302" s="845"/>
      <c r="BX302" s="845"/>
      <c r="BY302" s="845"/>
      <c r="BZ302" s="845"/>
      <c r="CA302" s="845"/>
      <c r="CB302" s="845"/>
      <c r="CC302" s="845"/>
    </row>
    <row r="303" spans="1:247" s="866" customFormat="1" ht="14.25" customHeight="1">
      <c r="A303" s="976" t="s">
        <v>3885</v>
      </c>
      <c r="B303" s="976" t="s">
        <v>1040</v>
      </c>
      <c r="C303" s="977">
        <v>1111100910</v>
      </c>
      <c r="D303" s="976" t="s">
        <v>3282</v>
      </c>
      <c r="E303" s="976">
        <v>0</v>
      </c>
      <c r="F303" s="976">
        <v>0</v>
      </c>
      <c r="G303" s="976">
        <v>0</v>
      </c>
      <c r="H303" s="976">
        <v>1075.62437</v>
      </c>
      <c r="I303" s="976"/>
      <c r="J303" s="976"/>
      <c r="K303" s="976">
        <v>1075.62437</v>
      </c>
      <c r="L303" s="978">
        <v>1075.62437</v>
      </c>
      <c r="M303" s="976" t="s">
        <v>3626</v>
      </c>
      <c r="N303" s="976">
        <v>1434.1658266666666</v>
      </c>
      <c r="O303" s="735">
        <f t="shared" si="14"/>
        <v>1434.1658266666666</v>
      </c>
      <c r="P303" s="738">
        <f t="shared" si="12"/>
        <v>1434165.8266666667</v>
      </c>
      <c r="Q303" s="751">
        <f t="shared" si="13"/>
        <v>1434000</v>
      </c>
      <c r="R303" s="865"/>
      <c r="S303" s="865"/>
      <c r="T303" s="865"/>
      <c r="U303" s="865"/>
      <c r="V303" s="988"/>
      <c r="W303" s="1024"/>
      <c r="X303" s="865"/>
      <c r="Y303" s="865"/>
      <c r="Z303" s="865"/>
      <c r="AA303" s="865"/>
      <c r="AB303" s="865"/>
      <c r="AC303" s="865"/>
      <c r="AD303" s="865"/>
      <c r="AE303" s="865"/>
      <c r="AF303" s="865"/>
      <c r="AG303" s="865"/>
      <c r="AH303" s="865"/>
      <c r="AI303" s="865"/>
      <c r="AJ303" s="865"/>
      <c r="AK303" s="865"/>
      <c r="AL303" s="865"/>
      <c r="AM303" s="865"/>
      <c r="AN303" s="865"/>
      <c r="AO303" s="865"/>
      <c r="AP303" s="865"/>
      <c r="AQ303" s="865"/>
      <c r="AR303" s="865"/>
      <c r="AS303" s="865"/>
      <c r="AT303" s="865"/>
      <c r="AU303" s="865"/>
      <c r="AV303" s="865"/>
      <c r="AW303" s="865"/>
      <c r="AX303" s="865"/>
      <c r="IL303" s="830"/>
    </row>
    <row r="304" spans="1:247" s="862" customFormat="1">
      <c r="A304" s="976" t="s">
        <v>3889</v>
      </c>
      <c r="B304" s="977"/>
      <c r="C304" s="977">
        <v>1247000990</v>
      </c>
      <c r="D304" s="976" t="s">
        <v>33</v>
      </c>
      <c r="E304" s="976">
        <v>0</v>
      </c>
      <c r="F304" s="976">
        <v>0</v>
      </c>
      <c r="G304" s="976">
        <v>0</v>
      </c>
      <c r="H304" s="976">
        <v>0</v>
      </c>
      <c r="I304" s="976"/>
      <c r="J304" s="976"/>
      <c r="K304" s="976">
        <v>0</v>
      </c>
      <c r="L304" s="978">
        <v>0</v>
      </c>
      <c r="M304" s="976"/>
      <c r="N304" s="976">
        <v>0</v>
      </c>
      <c r="O304" s="735">
        <f t="shared" si="14"/>
        <v>0</v>
      </c>
      <c r="P304" s="738">
        <f t="shared" si="12"/>
        <v>0</v>
      </c>
      <c r="Q304" s="751">
        <f t="shared" si="13"/>
        <v>0</v>
      </c>
      <c r="R304" s="747"/>
      <c r="S304" s="747"/>
      <c r="T304" s="747"/>
      <c r="U304" s="747"/>
      <c r="V304" s="988"/>
      <c r="W304" s="1024"/>
      <c r="X304" s="747"/>
      <c r="Y304" s="747"/>
      <c r="Z304" s="747"/>
      <c r="AA304" s="747"/>
      <c r="AB304" s="747"/>
      <c r="AC304" s="747"/>
      <c r="AD304" s="747"/>
      <c r="AE304" s="747"/>
      <c r="AF304" s="747"/>
      <c r="AG304" s="747"/>
      <c r="AH304" s="747"/>
      <c r="AI304" s="747"/>
      <c r="AJ304" s="747"/>
      <c r="AK304" s="747"/>
      <c r="AL304" s="747"/>
      <c r="AM304" s="747"/>
      <c r="AN304" s="747"/>
      <c r="AO304" s="747"/>
      <c r="AP304" s="747"/>
      <c r="AQ304" s="747"/>
      <c r="AR304" s="747"/>
      <c r="AS304" s="747"/>
      <c r="AT304" s="747"/>
      <c r="AU304" s="747"/>
      <c r="AV304" s="747"/>
      <c r="AW304" s="747"/>
      <c r="AX304" s="747"/>
      <c r="AY304" s="845"/>
      <c r="AZ304" s="845"/>
      <c r="BA304" s="845"/>
      <c r="BB304" s="845"/>
      <c r="BC304" s="845"/>
      <c r="BD304" s="845"/>
      <c r="BE304" s="845"/>
      <c r="BF304" s="845"/>
      <c r="BG304" s="845"/>
      <c r="BH304" s="845"/>
      <c r="BI304" s="845"/>
      <c r="BJ304" s="845"/>
      <c r="BK304" s="845"/>
      <c r="BL304" s="845"/>
      <c r="BM304" s="845"/>
      <c r="BN304" s="845"/>
      <c r="BO304" s="845"/>
      <c r="BP304" s="845"/>
      <c r="BQ304" s="845"/>
      <c r="BR304" s="845"/>
      <c r="BS304" s="845"/>
      <c r="BT304" s="845"/>
      <c r="BU304" s="845"/>
      <c r="BV304" s="845"/>
      <c r="BW304" s="845"/>
      <c r="BX304" s="845"/>
      <c r="BY304" s="845"/>
      <c r="BZ304" s="845"/>
      <c r="CA304" s="845"/>
      <c r="CB304" s="845"/>
      <c r="CC304" s="845"/>
      <c r="CD304" s="845"/>
      <c r="CE304" s="845"/>
      <c r="CF304" s="845"/>
      <c r="CG304" s="845"/>
      <c r="CH304" s="845"/>
      <c r="CI304" s="845"/>
      <c r="CJ304" s="845"/>
      <c r="CK304" s="845"/>
      <c r="CL304" s="845"/>
      <c r="CM304" s="845"/>
      <c r="CN304" s="845"/>
      <c r="CO304" s="845"/>
      <c r="CP304" s="845"/>
      <c r="CQ304" s="845"/>
      <c r="CR304" s="845"/>
      <c r="CS304" s="845"/>
      <c r="CT304" s="845"/>
      <c r="CU304" s="845"/>
      <c r="CV304" s="845"/>
      <c r="CW304" s="845"/>
      <c r="CX304" s="845"/>
      <c r="CY304" s="845"/>
      <c r="CZ304" s="845"/>
      <c r="DA304" s="845"/>
      <c r="DB304" s="845"/>
      <c r="DC304" s="845"/>
      <c r="DD304" s="845"/>
      <c r="DE304" s="845"/>
      <c r="DF304" s="845"/>
      <c r="DG304" s="845"/>
      <c r="DH304" s="845"/>
      <c r="DI304" s="845"/>
      <c r="DJ304" s="845"/>
      <c r="DK304" s="845"/>
      <c r="DL304" s="845"/>
      <c r="DM304" s="845"/>
      <c r="DN304" s="845"/>
      <c r="DO304" s="845"/>
      <c r="DP304" s="845"/>
      <c r="DQ304" s="845"/>
      <c r="DR304" s="845"/>
      <c r="DS304" s="845"/>
      <c r="DT304" s="845"/>
      <c r="DU304" s="845"/>
      <c r="DV304" s="845"/>
      <c r="DW304" s="845"/>
      <c r="DX304" s="845"/>
      <c r="DY304" s="845"/>
      <c r="DZ304" s="845"/>
      <c r="EA304" s="845"/>
      <c r="EB304" s="845"/>
      <c r="EC304" s="845"/>
      <c r="ED304" s="845"/>
      <c r="EE304" s="845"/>
      <c r="EF304" s="845"/>
      <c r="EG304" s="845"/>
      <c r="EH304" s="845"/>
      <c r="EI304" s="845"/>
      <c r="EJ304" s="845"/>
      <c r="EK304" s="845"/>
      <c r="EL304" s="845"/>
      <c r="EM304" s="845"/>
      <c r="EN304" s="845"/>
      <c r="EO304" s="845"/>
      <c r="EP304" s="845"/>
      <c r="EQ304" s="845"/>
      <c r="ER304" s="845"/>
      <c r="ES304" s="845"/>
      <c r="ET304" s="845"/>
      <c r="EU304" s="845"/>
      <c r="EV304" s="845"/>
      <c r="EW304" s="845"/>
      <c r="EX304" s="845"/>
      <c r="EY304" s="845"/>
      <c r="EZ304" s="845"/>
      <c r="FA304" s="845"/>
      <c r="FB304" s="845"/>
      <c r="FC304" s="845"/>
      <c r="FD304" s="845"/>
      <c r="FE304" s="845"/>
      <c r="FF304" s="845"/>
      <c r="FG304" s="845"/>
      <c r="FH304" s="845"/>
      <c r="FI304" s="845"/>
      <c r="FJ304" s="845"/>
      <c r="FK304" s="845"/>
      <c r="FL304" s="845"/>
      <c r="FM304" s="845"/>
      <c r="FN304" s="845"/>
      <c r="FO304" s="845"/>
      <c r="FP304" s="845"/>
      <c r="FQ304" s="845"/>
      <c r="FR304" s="845"/>
      <c r="FS304" s="845"/>
      <c r="FT304" s="845"/>
      <c r="FU304" s="845"/>
      <c r="FV304" s="845"/>
      <c r="FW304" s="845"/>
      <c r="FX304" s="845"/>
      <c r="FY304" s="845"/>
      <c r="FZ304" s="845"/>
      <c r="GA304" s="845"/>
      <c r="GB304" s="845"/>
      <c r="GC304" s="845"/>
      <c r="GD304" s="845"/>
      <c r="GE304" s="845"/>
      <c r="GF304" s="845"/>
      <c r="GG304" s="845"/>
      <c r="GH304" s="845"/>
      <c r="GI304" s="845"/>
      <c r="GJ304" s="845"/>
      <c r="GK304" s="845"/>
      <c r="GL304" s="845"/>
      <c r="GM304" s="845"/>
      <c r="GN304" s="845"/>
      <c r="GO304" s="845"/>
      <c r="GP304" s="845"/>
      <c r="GQ304" s="845"/>
      <c r="GR304" s="845"/>
      <c r="GS304" s="845"/>
      <c r="GT304" s="845"/>
      <c r="GU304" s="845"/>
      <c r="GV304" s="845"/>
      <c r="GW304" s="845"/>
      <c r="GX304" s="845"/>
      <c r="GY304" s="845"/>
      <c r="GZ304" s="845"/>
      <c r="HA304" s="845"/>
      <c r="HB304" s="845"/>
      <c r="HC304" s="845"/>
      <c r="HD304" s="845"/>
      <c r="HE304" s="845"/>
      <c r="HF304" s="845"/>
      <c r="HG304" s="845"/>
      <c r="HH304" s="845"/>
      <c r="HI304" s="845"/>
      <c r="HJ304" s="845"/>
      <c r="HK304" s="845"/>
      <c r="HL304" s="845"/>
      <c r="HM304" s="845"/>
      <c r="HN304" s="845"/>
      <c r="HO304" s="845"/>
      <c r="HP304" s="845"/>
      <c r="HQ304" s="845"/>
      <c r="HR304" s="845"/>
      <c r="HS304" s="845"/>
      <c r="HT304" s="845"/>
      <c r="HU304" s="845"/>
      <c r="HV304" s="845"/>
      <c r="HW304" s="845"/>
      <c r="HX304" s="845"/>
      <c r="HY304" s="845"/>
      <c r="HZ304" s="845"/>
      <c r="IA304" s="845"/>
      <c r="IB304" s="738"/>
      <c r="IG304" s="738"/>
      <c r="IL304" s="738"/>
    </row>
    <row r="305" spans="1:254" s="873" customFormat="1">
      <c r="A305" s="976" t="s">
        <v>3889</v>
      </c>
      <c r="B305" s="976" t="s">
        <v>1083</v>
      </c>
      <c r="C305" s="977">
        <v>1223000990</v>
      </c>
      <c r="D305" s="976" t="s">
        <v>3283</v>
      </c>
      <c r="E305" s="976">
        <v>455</v>
      </c>
      <c r="F305" s="976">
        <v>455</v>
      </c>
      <c r="G305" s="976">
        <v>341.25</v>
      </c>
      <c r="H305" s="976">
        <v>80.962000000000003</v>
      </c>
      <c r="I305" s="976"/>
      <c r="J305" s="1019">
        <v>168</v>
      </c>
      <c r="K305" s="976">
        <v>248.96199999999999</v>
      </c>
      <c r="L305" s="978">
        <v>-92.288000000000011</v>
      </c>
      <c r="M305" s="976" t="s">
        <v>1651</v>
      </c>
      <c r="N305" s="976">
        <v>331.9493333333333</v>
      </c>
      <c r="O305" s="863">
        <f t="shared" si="14"/>
        <v>-123.0506666666667</v>
      </c>
      <c r="P305" s="738">
        <f t="shared" si="12"/>
        <v>331949.33333333331</v>
      </c>
      <c r="Q305" s="751">
        <f t="shared" si="13"/>
        <v>332000</v>
      </c>
      <c r="R305" s="872"/>
      <c r="S305" s="872"/>
      <c r="T305" s="872"/>
      <c r="U305" s="872"/>
      <c r="V305" s="988"/>
      <c r="W305" s="1024"/>
      <c r="X305" s="872"/>
      <c r="Y305" s="872"/>
      <c r="Z305" s="872"/>
      <c r="AA305" s="872"/>
      <c r="AB305" s="872"/>
      <c r="AC305" s="872"/>
      <c r="AD305" s="872"/>
      <c r="AE305" s="872"/>
      <c r="AF305" s="872"/>
      <c r="AG305" s="872"/>
      <c r="AH305" s="872"/>
      <c r="AI305" s="872"/>
      <c r="AJ305" s="872"/>
      <c r="AK305" s="872"/>
      <c r="AL305" s="872"/>
      <c r="AM305" s="872"/>
      <c r="AN305" s="872"/>
      <c r="AO305" s="872"/>
      <c r="AP305" s="872"/>
      <c r="AQ305" s="872"/>
      <c r="AR305" s="872"/>
      <c r="AS305" s="872"/>
      <c r="AT305" s="872"/>
      <c r="AU305" s="872"/>
      <c r="AV305" s="872"/>
      <c r="AW305" s="872"/>
      <c r="AX305" s="872"/>
    </row>
    <row r="306" spans="1:254" ht="18" customHeight="1">
      <c r="A306" s="976" t="s">
        <v>3885</v>
      </c>
      <c r="B306" s="976" t="s">
        <v>1187</v>
      </c>
      <c r="C306" s="977">
        <v>1599900910</v>
      </c>
      <c r="D306" s="976" t="s">
        <v>257</v>
      </c>
      <c r="E306" s="976">
        <v>6000</v>
      </c>
      <c r="F306" s="976">
        <v>6000</v>
      </c>
      <c r="G306" s="976">
        <v>4500</v>
      </c>
      <c r="H306" s="976">
        <v>177.899</v>
      </c>
      <c r="I306" s="976"/>
      <c r="J306" s="1019">
        <v>271</v>
      </c>
      <c r="K306" s="976">
        <v>448.899</v>
      </c>
      <c r="L306" s="978">
        <v>-4051.1010000000001</v>
      </c>
      <c r="M306" s="976" t="s">
        <v>3627</v>
      </c>
      <c r="N306" s="976">
        <v>598.53200000000004</v>
      </c>
      <c r="O306" s="735">
        <f t="shared" si="14"/>
        <v>-5401.4679999999998</v>
      </c>
      <c r="P306" s="738">
        <f t="shared" si="12"/>
        <v>598532</v>
      </c>
      <c r="Q306" s="751">
        <f t="shared" si="13"/>
        <v>599000</v>
      </c>
      <c r="U306" s="747"/>
      <c r="V306" s="988"/>
      <c r="W306" s="1024"/>
      <c r="AY306" s="845"/>
      <c r="AZ306" s="845"/>
      <c r="BA306" s="845"/>
      <c r="BB306" s="845"/>
      <c r="BC306" s="845"/>
      <c r="BD306" s="845"/>
      <c r="BE306" s="845"/>
      <c r="BF306" s="845"/>
      <c r="BG306" s="845"/>
      <c r="BH306" s="845"/>
      <c r="BI306" s="845"/>
      <c r="BJ306" s="845"/>
      <c r="BK306" s="845"/>
      <c r="BL306" s="845"/>
      <c r="BM306" s="845"/>
      <c r="BN306" s="845"/>
      <c r="BO306" s="845"/>
      <c r="BP306" s="845"/>
      <c r="BQ306" s="845"/>
      <c r="BR306" s="845"/>
      <c r="BS306" s="845"/>
      <c r="BT306" s="845"/>
      <c r="BU306" s="845"/>
      <c r="BV306" s="845"/>
      <c r="BW306" s="845"/>
      <c r="BX306" s="845"/>
      <c r="BY306" s="845"/>
      <c r="BZ306" s="845"/>
      <c r="CA306" s="845"/>
      <c r="CB306" s="845"/>
      <c r="CC306" s="845"/>
    </row>
    <row r="307" spans="1:254" s="856" customFormat="1" ht="15" customHeight="1">
      <c r="A307" s="976" t="s">
        <v>3885</v>
      </c>
      <c r="B307" s="976" t="s">
        <v>1187</v>
      </c>
      <c r="C307" s="1001">
        <v>1591000910</v>
      </c>
      <c r="D307" s="1001" t="s">
        <v>3284</v>
      </c>
      <c r="E307" s="976">
        <v>0</v>
      </c>
      <c r="F307" s="976">
        <v>0</v>
      </c>
      <c r="G307" s="976">
        <v>0</v>
      </c>
      <c r="H307" s="976">
        <v>0</v>
      </c>
      <c r="I307" s="976"/>
      <c r="J307" s="976"/>
      <c r="K307" s="976">
        <v>0</v>
      </c>
      <c r="L307" s="978">
        <v>0</v>
      </c>
      <c r="M307" s="976"/>
      <c r="N307" s="976">
        <v>0</v>
      </c>
      <c r="O307" s="735">
        <f t="shared" si="14"/>
        <v>0</v>
      </c>
      <c r="P307" s="738">
        <f t="shared" si="12"/>
        <v>0</v>
      </c>
      <c r="Q307" s="751">
        <f t="shared" si="13"/>
        <v>0</v>
      </c>
      <c r="R307" s="854"/>
      <c r="S307" s="854"/>
      <c r="T307" s="854"/>
      <c r="U307" s="855"/>
      <c r="V307" s="988"/>
      <c r="W307" s="1024"/>
      <c r="X307" s="854"/>
      <c r="Y307" s="854"/>
      <c r="Z307" s="854"/>
      <c r="AA307" s="854"/>
      <c r="AB307" s="854"/>
      <c r="AC307" s="854"/>
      <c r="AD307" s="854"/>
      <c r="AE307" s="854"/>
      <c r="AF307" s="854"/>
      <c r="AG307" s="854"/>
      <c r="AH307" s="854"/>
      <c r="AI307" s="854"/>
      <c r="AJ307" s="854"/>
      <c r="AK307" s="854"/>
      <c r="AL307" s="854"/>
      <c r="AM307" s="854"/>
      <c r="AN307" s="854"/>
      <c r="AO307" s="854"/>
      <c r="AP307" s="854"/>
      <c r="AQ307" s="854"/>
      <c r="AR307" s="854"/>
      <c r="AS307" s="854"/>
      <c r="AT307" s="854"/>
      <c r="AU307" s="854"/>
      <c r="AV307" s="854"/>
      <c r="AW307" s="854"/>
      <c r="AX307" s="854"/>
      <c r="IT307" s="744"/>
    </row>
    <row r="308" spans="1:254" s="852" customFormat="1" ht="15" customHeight="1">
      <c r="A308" s="979" t="s">
        <v>3577</v>
      </c>
      <c r="B308" s="973" t="s">
        <v>3862</v>
      </c>
      <c r="C308" s="979" t="s">
        <v>888</v>
      </c>
      <c r="D308" s="979" t="s">
        <v>1469</v>
      </c>
      <c r="E308" s="979">
        <v>17019.215</v>
      </c>
      <c r="F308" s="979">
        <v>17019.215</v>
      </c>
      <c r="G308" s="979">
        <v>12764.411250000001</v>
      </c>
      <c r="H308" s="979">
        <v>6140.4557100000002</v>
      </c>
      <c r="I308" s="979">
        <v>0</v>
      </c>
      <c r="J308" s="979">
        <v>3227</v>
      </c>
      <c r="K308" s="979">
        <v>9367.4557099999984</v>
      </c>
      <c r="L308" s="979">
        <v>-3396.9555399999999</v>
      </c>
      <c r="M308" s="979">
        <v>0</v>
      </c>
      <c r="N308" s="979">
        <v>12489.940946666666</v>
      </c>
      <c r="O308" s="735">
        <f t="shared" si="14"/>
        <v>-4529.2740533333345</v>
      </c>
      <c r="P308" s="738">
        <f t="shared" si="12"/>
        <v>12489940.946666665</v>
      </c>
      <c r="Q308" s="751">
        <f t="shared" si="13"/>
        <v>12490000</v>
      </c>
      <c r="R308" s="853"/>
      <c r="S308" s="853"/>
      <c r="T308" s="853"/>
      <c r="U308" s="853"/>
      <c r="V308" s="988"/>
      <c r="W308" s="1024"/>
      <c r="X308" s="853"/>
      <c r="Y308" s="853"/>
      <c r="Z308" s="853"/>
      <c r="AA308" s="853"/>
      <c r="AB308" s="853"/>
      <c r="AC308" s="853"/>
      <c r="AD308" s="853"/>
      <c r="AE308" s="853"/>
      <c r="AF308" s="853"/>
      <c r="AG308" s="853"/>
      <c r="AH308" s="853"/>
      <c r="AI308" s="853"/>
      <c r="AJ308" s="853"/>
      <c r="AK308" s="853"/>
      <c r="AL308" s="853"/>
      <c r="AM308" s="853"/>
      <c r="AN308" s="853"/>
      <c r="AO308" s="853"/>
      <c r="AP308" s="853"/>
      <c r="AQ308" s="853"/>
      <c r="AR308" s="853"/>
      <c r="AS308" s="853"/>
      <c r="AT308" s="853"/>
      <c r="AU308" s="853"/>
      <c r="AV308" s="853"/>
      <c r="AW308" s="853"/>
      <c r="AX308" s="853"/>
    </row>
    <row r="309" spans="1:254" ht="14.25" customHeight="1">
      <c r="A309" s="981"/>
      <c r="B309" s="976" t="s">
        <v>1079</v>
      </c>
      <c r="C309" s="982"/>
      <c r="D309" s="981" t="s">
        <v>1473</v>
      </c>
      <c r="E309" s="976"/>
      <c r="F309" s="981"/>
      <c r="G309" s="981"/>
      <c r="H309" s="981"/>
      <c r="I309" s="981"/>
      <c r="J309" s="981"/>
      <c r="K309" s="981"/>
      <c r="L309" s="983"/>
      <c r="M309" s="981"/>
      <c r="N309" s="976"/>
      <c r="O309" s="735">
        <f t="shared" si="14"/>
        <v>0</v>
      </c>
      <c r="P309" s="738">
        <f t="shared" si="12"/>
        <v>0</v>
      </c>
      <c r="Q309" s="751">
        <f t="shared" si="13"/>
        <v>0</v>
      </c>
      <c r="U309" s="747"/>
      <c r="V309" s="988"/>
      <c r="W309" s="1024"/>
      <c r="AY309" s="845"/>
      <c r="AZ309" s="845"/>
      <c r="BA309" s="845"/>
      <c r="BB309" s="845"/>
      <c r="BC309" s="845"/>
      <c r="BD309" s="845"/>
      <c r="BE309" s="845"/>
      <c r="BF309" s="845"/>
      <c r="BG309" s="845"/>
      <c r="BH309" s="845"/>
      <c r="BI309" s="845"/>
      <c r="BJ309" s="845"/>
      <c r="BK309" s="845"/>
      <c r="BL309" s="845"/>
      <c r="BM309" s="845"/>
      <c r="BN309" s="845"/>
      <c r="BO309" s="845"/>
      <c r="BP309" s="845"/>
      <c r="BQ309" s="845"/>
      <c r="BR309" s="845"/>
      <c r="BS309" s="845"/>
      <c r="BT309" s="845"/>
      <c r="BU309" s="845"/>
      <c r="BV309" s="845"/>
      <c r="BW309" s="845"/>
      <c r="BX309" s="845"/>
      <c r="BY309" s="845"/>
      <c r="BZ309" s="845"/>
      <c r="CA309" s="845"/>
      <c r="CB309" s="845"/>
      <c r="CC309" s="845"/>
    </row>
    <row r="310" spans="1:254" ht="14.25" customHeight="1">
      <c r="A310" s="976" t="s">
        <v>1304</v>
      </c>
      <c r="B310" s="976" t="s">
        <v>1040</v>
      </c>
      <c r="C310" s="977">
        <v>1111100102</v>
      </c>
      <c r="D310" s="976" t="s">
        <v>8</v>
      </c>
      <c r="E310" s="976">
        <v>1600</v>
      </c>
      <c r="F310" s="976">
        <v>1600</v>
      </c>
      <c r="G310" s="976">
        <v>1200</v>
      </c>
      <c r="H310" s="976">
        <v>1132.3271399999999</v>
      </c>
      <c r="I310" s="976"/>
      <c r="J310" s="976"/>
      <c r="K310" s="976">
        <v>1132.3271399999999</v>
      </c>
      <c r="L310" s="978">
        <v>-67.672860000000128</v>
      </c>
      <c r="M310" s="976"/>
      <c r="N310" s="976">
        <v>1509.7695199999998</v>
      </c>
      <c r="O310" s="735">
        <f t="shared" si="14"/>
        <v>-90.230480000000171</v>
      </c>
      <c r="P310" s="738">
        <f t="shared" si="12"/>
        <v>1509769.5199999998</v>
      </c>
      <c r="Q310" s="751">
        <f t="shared" si="13"/>
        <v>1510000</v>
      </c>
      <c r="U310" s="747"/>
      <c r="V310" s="988"/>
      <c r="W310" s="1024"/>
      <c r="AY310" s="845"/>
      <c r="AZ310" s="845"/>
      <c r="BA310" s="845"/>
      <c r="BB310" s="845"/>
      <c r="BC310" s="845"/>
      <c r="BD310" s="845"/>
      <c r="BE310" s="845"/>
      <c r="BF310" s="845"/>
      <c r="BG310" s="845"/>
      <c r="BH310" s="845"/>
      <c r="BI310" s="845"/>
      <c r="BJ310" s="845"/>
      <c r="BK310" s="845"/>
      <c r="BL310" s="845"/>
      <c r="BM310" s="845"/>
      <c r="BN310" s="845"/>
      <c r="BO310" s="845"/>
      <c r="BP310" s="845"/>
      <c r="BQ310" s="845"/>
      <c r="BR310" s="845"/>
      <c r="BS310" s="845"/>
      <c r="BT310" s="845"/>
      <c r="BU310" s="845"/>
      <c r="BV310" s="845"/>
      <c r="BW310" s="845"/>
      <c r="BX310" s="845"/>
      <c r="BY310" s="845"/>
      <c r="BZ310" s="845"/>
      <c r="CA310" s="845"/>
      <c r="CB310" s="845"/>
      <c r="CC310" s="845"/>
    </row>
    <row r="311" spans="1:254" ht="14.25" customHeight="1">
      <c r="A311" s="976" t="s">
        <v>3904</v>
      </c>
      <c r="B311" s="976" t="s">
        <v>1160</v>
      </c>
      <c r="C311" s="977">
        <v>1511000660</v>
      </c>
      <c r="D311" s="976" t="s">
        <v>248</v>
      </c>
      <c r="E311" s="976">
        <v>420</v>
      </c>
      <c r="F311" s="976">
        <v>420</v>
      </c>
      <c r="G311" s="976">
        <v>315</v>
      </c>
      <c r="H311" s="976">
        <v>352.69409000000002</v>
      </c>
      <c r="I311" s="976"/>
      <c r="J311" s="1040">
        <v>-62</v>
      </c>
      <c r="K311" s="976">
        <v>290.69409000000002</v>
      </c>
      <c r="L311" s="978">
        <v>-24.305909999999983</v>
      </c>
      <c r="M311" s="976"/>
      <c r="N311" s="976">
        <v>387.59212000000002</v>
      </c>
      <c r="O311" s="735">
        <f t="shared" si="14"/>
        <v>-32.407879999999977</v>
      </c>
      <c r="P311" s="738">
        <f t="shared" si="12"/>
        <v>387592.12</v>
      </c>
      <c r="Q311" s="751">
        <f t="shared" si="13"/>
        <v>388000</v>
      </c>
      <c r="U311" s="747"/>
      <c r="V311" s="988"/>
      <c r="W311" s="1024"/>
      <c r="AY311" s="845"/>
      <c r="AZ311" s="845"/>
      <c r="BA311" s="845"/>
      <c r="BB311" s="845"/>
      <c r="BC311" s="845"/>
      <c r="BD311" s="845"/>
      <c r="BE311" s="845"/>
      <c r="BF311" s="845"/>
      <c r="BG311" s="845"/>
      <c r="BH311" s="845"/>
      <c r="BI311" s="845"/>
      <c r="BJ311" s="845"/>
      <c r="BK311" s="845"/>
      <c r="BL311" s="845"/>
      <c r="BM311" s="845"/>
      <c r="BN311" s="845"/>
      <c r="BO311" s="845"/>
      <c r="BP311" s="845"/>
      <c r="BQ311" s="845"/>
      <c r="BR311" s="845"/>
      <c r="BS311" s="845"/>
      <c r="BT311" s="845"/>
      <c r="BU311" s="845"/>
      <c r="BV311" s="845"/>
      <c r="BW311" s="845"/>
      <c r="BX311" s="845"/>
      <c r="BY311" s="845"/>
      <c r="BZ311" s="845"/>
      <c r="CA311" s="845"/>
      <c r="CB311" s="845"/>
      <c r="CC311" s="845"/>
    </row>
    <row r="312" spans="1:254" ht="14.25" customHeight="1">
      <c r="A312" s="976" t="s">
        <v>3866</v>
      </c>
      <c r="B312" s="976" t="s">
        <v>1160</v>
      </c>
      <c r="C312" s="977">
        <v>1513000690</v>
      </c>
      <c r="D312" s="976" t="s">
        <v>249</v>
      </c>
      <c r="E312" s="976">
        <v>100</v>
      </c>
      <c r="F312" s="976">
        <v>100</v>
      </c>
      <c r="G312" s="976">
        <v>75</v>
      </c>
      <c r="H312" s="976">
        <v>0</v>
      </c>
      <c r="I312" s="976"/>
      <c r="J312" s="976"/>
      <c r="K312" s="976">
        <v>0</v>
      </c>
      <c r="L312" s="978">
        <v>-75</v>
      </c>
      <c r="M312" s="976"/>
      <c r="N312" s="976">
        <v>0</v>
      </c>
      <c r="O312" s="735">
        <f t="shared" si="14"/>
        <v>-100</v>
      </c>
      <c r="P312" s="738">
        <f t="shared" si="12"/>
        <v>0</v>
      </c>
      <c r="Q312" s="751">
        <f t="shared" si="13"/>
        <v>0</v>
      </c>
      <c r="U312" s="747"/>
      <c r="V312" s="988"/>
      <c r="W312" s="1024"/>
      <c r="AY312" s="845"/>
      <c r="AZ312" s="845"/>
      <c r="BA312" s="845"/>
      <c r="BB312" s="845"/>
      <c r="BC312" s="845"/>
      <c r="BD312" s="845"/>
      <c r="BE312" s="845"/>
      <c r="BF312" s="845"/>
      <c r="BG312" s="845"/>
      <c r="BH312" s="845"/>
      <c r="BI312" s="845"/>
      <c r="BJ312" s="845"/>
      <c r="BK312" s="845"/>
      <c r="BL312" s="845"/>
      <c r="BM312" s="845"/>
      <c r="BN312" s="845"/>
      <c r="BO312" s="845"/>
      <c r="BP312" s="845"/>
      <c r="BQ312" s="845"/>
      <c r="BR312" s="845"/>
      <c r="BS312" s="845"/>
      <c r="BT312" s="845"/>
      <c r="BU312" s="845"/>
      <c r="BV312" s="845"/>
      <c r="BW312" s="845"/>
      <c r="BX312" s="845"/>
      <c r="BY312" s="845"/>
      <c r="BZ312" s="845"/>
      <c r="CA312" s="845"/>
      <c r="CB312" s="845"/>
      <c r="CC312" s="845"/>
    </row>
    <row r="313" spans="1:254" ht="14.25" customHeight="1">
      <c r="A313" s="976" t="s">
        <v>3905</v>
      </c>
      <c r="B313" s="976" t="s">
        <v>1187</v>
      </c>
      <c r="C313" s="977">
        <v>1591000540</v>
      </c>
      <c r="D313" s="976" t="s">
        <v>252</v>
      </c>
      <c r="E313" s="976">
        <v>400</v>
      </c>
      <c r="F313" s="976">
        <v>400</v>
      </c>
      <c r="G313" s="976">
        <v>300</v>
      </c>
      <c r="H313" s="976">
        <v>433.54500000000002</v>
      </c>
      <c r="I313" s="976"/>
      <c r="J313" s="1040">
        <v>-108</v>
      </c>
      <c r="K313" s="976">
        <v>325.54500000000002</v>
      </c>
      <c r="L313" s="978">
        <v>25.545000000000016</v>
      </c>
      <c r="M313" s="976"/>
      <c r="N313" s="976">
        <v>434.06</v>
      </c>
      <c r="O313" s="735">
        <f t="shared" si="14"/>
        <v>34.06</v>
      </c>
      <c r="P313" s="738">
        <f t="shared" si="12"/>
        <v>434060</v>
      </c>
      <c r="Q313" s="751">
        <f t="shared" si="13"/>
        <v>434000</v>
      </c>
      <c r="U313" s="747"/>
      <c r="V313" s="988"/>
      <c r="W313" s="1024"/>
      <c r="AY313" s="845"/>
      <c r="AZ313" s="845"/>
      <c r="BA313" s="845"/>
      <c r="BB313" s="845"/>
      <c r="BC313" s="845"/>
      <c r="BD313" s="845"/>
      <c r="BE313" s="845"/>
      <c r="BF313" s="845"/>
      <c r="BG313" s="845"/>
      <c r="BH313" s="845"/>
      <c r="BI313" s="845"/>
      <c r="BJ313" s="845"/>
      <c r="BK313" s="845"/>
      <c r="BL313" s="845"/>
      <c r="BM313" s="845"/>
      <c r="BN313" s="845"/>
      <c r="BO313" s="845"/>
      <c r="BP313" s="845"/>
      <c r="BQ313" s="845"/>
      <c r="BR313" s="845"/>
      <c r="BS313" s="845"/>
      <c r="BT313" s="845"/>
      <c r="BU313" s="845"/>
      <c r="BV313" s="845"/>
      <c r="BW313" s="845"/>
      <c r="BX313" s="845"/>
      <c r="BY313" s="845"/>
      <c r="BZ313" s="845"/>
      <c r="CA313" s="845"/>
      <c r="CB313" s="845"/>
      <c r="CC313" s="845"/>
    </row>
    <row r="314" spans="1:254" ht="14.25" customHeight="1">
      <c r="A314" s="976" t="s">
        <v>3905</v>
      </c>
      <c r="B314" s="976" t="s">
        <v>1187</v>
      </c>
      <c r="C314" s="977">
        <v>1591900540</v>
      </c>
      <c r="D314" s="976" t="s">
        <v>253</v>
      </c>
      <c r="E314" s="976">
        <v>50</v>
      </c>
      <c r="F314" s="976">
        <v>50</v>
      </c>
      <c r="G314" s="976">
        <v>37.5</v>
      </c>
      <c r="H314" s="976">
        <v>2.3938899999999999</v>
      </c>
      <c r="I314" s="976"/>
      <c r="J314" s="976"/>
      <c r="K314" s="976">
        <v>2.3938899999999999</v>
      </c>
      <c r="L314" s="978">
        <v>-35.106110000000001</v>
      </c>
      <c r="M314" s="976"/>
      <c r="N314" s="976">
        <v>3.191853333333333</v>
      </c>
      <c r="O314" s="735">
        <f t="shared" si="14"/>
        <v>-46.808146666666666</v>
      </c>
      <c r="P314" s="738">
        <f t="shared" si="12"/>
        <v>3191.853333333333</v>
      </c>
      <c r="Q314" s="751">
        <f t="shared" si="13"/>
        <v>3000</v>
      </c>
      <c r="U314" s="747"/>
      <c r="V314" s="988"/>
      <c r="W314" s="1024"/>
      <c r="AY314" s="845"/>
      <c r="AZ314" s="845"/>
      <c r="BA314" s="845"/>
      <c r="BB314" s="845"/>
      <c r="BC314" s="845"/>
      <c r="BD314" s="845"/>
      <c r="BE314" s="845"/>
      <c r="BF314" s="845"/>
      <c r="BG314" s="845"/>
      <c r="BH314" s="845"/>
      <c r="BI314" s="845"/>
      <c r="BJ314" s="845"/>
      <c r="BK314" s="845"/>
      <c r="BL314" s="845"/>
      <c r="BM314" s="845"/>
      <c r="BN314" s="845"/>
      <c r="BO314" s="845"/>
      <c r="BP314" s="845"/>
      <c r="BQ314" s="845"/>
      <c r="BR314" s="845"/>
      <c r="BS314" s="845"/>
      <c r="BT314" s="845"/>
      <c r="BU314" s="845"/>
      <c r="BV314" s="845"/>
      <c r="BW314" s="845"/>
      <c r="BX314" s="845"/>
      <c r="BY314" s="845"/>
      <c r="BZ314" s="845"/>
      <c r="CA314" s="845"/>
      <c r="CB314" s="845"/>
      <c r="CC314" s="845"/>
    </row>
    <row r="315" spans="1:254" ht="16.5" customHeight="1">
      <c r="A315" s="976" t="s">
        <v>3866</v>
      </c>
      <c r="B315" s="976" t="s">
        <v>1187</v>
      </c>
      <c r="C315" s="977">
        <v>1591900690</v>
      </c>
      <c r="D315" s="976" t="s">
        <v>255</v>
      </c>
      <c r="E315" s="976">
        <v>60</v>
      </c>
      <c r="F315" s="976">
        <v>60</v>
      </c>
      <c r="G315" s="976">
        <v>45</v>
      </c>
      <c r="H315" s="976">
        <v>69.900000000000006</v>
      </c>
      <c r="I315" s="976"/>
      <c r="J315" s="976"/>
      <c r="K315" s="976">
        <v>69.900000000000006</v>
      </c>
      <c r="L315" s="978">
        <v>24.900000000000006</v>
      </c>
      <c r="M315" s="976"/>
      <c r="N315" s="976">
        <v>93.2</v>
      </c>
      <c r="O315" s="735">
        <f t="shared" si="14"/>
        <v>33.200000000000003</v>
      </c>
      <c r="P315" s="738">
        <f t="shared" si="12"/>
        <v>93200</v>
      </c>
      <c r="Q315" s="751">
        <f t="shared" si="13"/>
        <v>93000</v>
      </c>
      <c r="U315" s="747"/>
      <c r="V315" s="988"/>
      <c r="W315" s="1024"/>
      <c r="AY315" s="845"/>
      <c r="AZ315" s="845"/>
      <c r="BA315" s="845"/>
      <c r="BB315" s="845"/>
      <c r="BC315" s="845"/>
      <c r="BD315" s="845"/>
      <c r="BE315" s="845"/>
      <c r="BF315" s="845"/>
      <c r="BG315" s="845"/>
      <c r="BH315" s="845"/>
      <c r="BI315" s="845"/>
      <c r="BJ315" s="845"/>
      <c r="BK315" s="845"/>
      <c r="BL315" s="845"/>
      <c r="BM315" s="845"/>
      <c r="BN315" s="845"/>
      <c r="BO315" s="845"/>
      <c r="BP315" s="845"/>
      <c r="BQ315" s="845"/>
      <c r="BR315" s="845"/>
      <c r="BS315" s="845"/>
      <c r="BT315" s="845"/>
      <c r="BU315" s="845"/>
      <c r="BV315" s="845"/>
      <c r="BW315" s="845"/>
      <c r="BX315" s="845"/>
      <c r="BY315" s="845"/>
      <c r="BZ315" s="845"/>
      <c r="CA315" s="845"/>
      <c r="CB315" s="845"/>
      <c r="CC315" s="845"/>
    </row>
    <row r="316" spans="1:254" s="856" customFormat="1" ht="15" customHeight="1">
      <c r="A316" s="976" t="s">
        <v>3866</v>
      </c>
      <c r="B316" s="976" t="s">
        <v>1187</v>
      </c>
      <c r="C316" s="977">
        <v>1594000690</v>
      </c>
      <c r="D316" s="976" t="s">
        <v>256</v>
      </c>
      <c r="E316" s="976">
        <v>500</v>
      </c>
      <c r="F316" s="976">
        <v>500</v>
      </c>
      <c r="G316" s="976">
        <v>375</v>
      </c>
      <c r="H316" s="976">
        <v>105.33541000000001</v>
      </c>
      <c r="I316" s="976"/>
      <c r="J316" s="1019">
        <v>75</v>
      </c>
      <c r="K316" s="976">
        <v>180.33541000000002</v>
      </c>
      <c r="L316" s="978">
        <v>-194.66458999999998</v>
      </c>
      <c r="M316" s="976" t="s">
        <v>3627</v>
      </c>
      <c r="N316" s="976">
        <v>240.44721333333337</v>
      </c>
      <c r="O316" s="735">
        <f t="shared" si="14"/>
        <v>-259.55278666666663</v>
      </c>
      <c r="P316" s="738">
        <f t="shared" si="12"/>
        <v>240447.21333333338</v>
      </c>
      <c r="Q316" s="751">
        <f t="shared" si="13"/>
        <v>240000</v>
      </c>
      <c r="R316" s="854"/>
      <c r="S316" s="854"/>
      <c r="T316" s="854"/>
      <c r="U316" s="855"/>
      <c r="V316" s="988"/>
      <c r="W316" s="1024"/>
      <c r="X316" s="854"/>
      <c r="Y316" s="854"/>
      <c r="Z316" s="854"/>
      <c r="AA316" s="854"/>
      <c r="AB316" s="854"/>
      <c r="AC316" s="854"/>
      <c r="AD316" s="854"/>
      <c r="AE316" s="854"/>
      <c r="AF316" s="854"/>
      <c r="AG316" s="854"/>
      <c r="AH316" s="854"/>
      <c r="AI316" s="854"/>
      <c r="AJ316" s="854"/>
      <c r="AK316" s="854"/>
      <c r="AL316" s="854"/>
      <c r="AM316" s="854"/>
      <c r="AN316" s="854"/>
      <c r="AO316" s="854"/>
      <c r="AP316" s="854"/>
      <c r="AQ316" s="854"/>
      <c r="AR316" s="854"/>
      <c r="AS316" s="854"/>
      <c r="AT316" s="854"/>
      <c r="AU316" s="854"/>
      <c r="AV316" s="854"/>
      <c r="AW316" s="854"/>
      <c r="AX316" s="854"/>
    </row>
    <row r="317" spans="1:254" s="852" customFormat="1" ht="15" customHeight="1">
      <c r="A317" s="979" t="s">
        <v>3577</v>
      </c>
      <c r="B317" s="976" t="s">
        <v>3862</v>
      </c>
      <c r="C317" s="980" t="s">
        <v>888</v>
      </c>
      <c r="D317" s="979" t="s">
        <v>1473</v>
      </c>
      <c r="E317" s="979">
        <v>3130</v>
      </c>
      <c r="F317" s="979">
        <v>3130</v>
      </c>
      <c r="G317" s="979">
        <v>2347.5</v>
      </c>
      <c r="H317" s="979">
        <v>2096.19553</v>
      </c>
      <c r="I317" s="979">
        <v>0</v>
      </c>
      <c r="J317" s="979">
        <v>-95</v>
      </c>
      <c r="K317" s="979">
        <v>2001.19553</v>
      </c>
      <c r="L317" s="979">
        <v>-346.30447000000004</v>
      </c>
      <c r="M317" s="979">
        <v>0</v>
      </c>
      <c r="N317" s="979">
        <v>2668.2607066666665</v>
      </c>
      <c r="O317" s="735">
        <f t="shared" si="14"/>
        <v>-461.73929333333353</v>
      </c>
      <c r="P317" s="738">
        <f t="shared" si="12"/>
        <v>2668260.7066666665</v>
      </c>
      <c r="Q317" s="751">
        <f t="shared" si="13"/>
        <v>2668000</v>
      </c>
      <c r="R317" s="853"/>
      <c r="S317" s="853"/>
      <c r="T317" s="853"/>
      <c r="U317" s="853"/>
      <c r="V317" s="988"/>
      <c r="W317" s="1024"/>
      <c r="X317" s="853"/>
      <c r="Y317" s="853"/>
      <c r="Z317" s="853"/>
      <c r="AA317" s="853"/>
      <c r="AB317" s="853"/>
      <c r="AC317" s="853"/>
      <c r="AD317" s="853"/>
      <c r="AE317" s="853"/>
      <c r="AF317" s="853"/>
      <c r="AG317" s="853"/>
      <c r="AH317" s="853"/>
      <c r="AI317" s="853"/>
      <c r="AJ317" s="853"/>
      <c r="AK317" s="853"/>
      <c r="AL317" s="853"/>
      <c r="AM317" s="853"/>
      <c r="AN317" s="853"/>
      <c r="AO317" s="853"/>
      <c r="AP317" s="853"/>
      <c r="AQ317" s="853"/>
      <c r="AR317" s="853"/>
      <c r="AS317" s="853"/>
      <c r="AT317" s="853"/>
      <c r="AU317" s="853"/>
      <c r="AV317" s="853"/>
      <c r="AW317" s="853"/>
      <c r="AX317" s="853"/>
    </row>
    <row r="318" spans="1:254" s="857" customFormat="1" ht="14.25" customHeight="1">
      <c r="A318" s="981"/>
      <c r="B318" s="976" t="s">
        <v>1079</v>
      </c>
      <c r="C318" s="982"/>
      <c r="D318" s="981" t="s">
        <v>3285</v>
      </c>
      <c r="E318" s="976"/>
      <c r="F318" s="981"/>
      <c r="G318" s="981"/>
      <c r="H318" s="981"/>
      <c r="I318" s="981"/>
      <c r="J318" s="981"/>
      <c r="K318" s="981"/>
      <c r="L318" s="983"/>
      <c r="M318" s="981"/>
      <c r="N318" s="981"/>
      <c r="O318" s="735">
        <f t="shared" si="14"/>
        <v>0</v>
      </c>
      <c r="P318" s="738">
        <f t="shared" si="12"/>
        <v>0</v>
      </c>
      <c r="Q318" s="751">
        <f t="shared" si="13"/>
        <v>0</v>
      </c>
      <c r="R318" s="747"/>
      <c r="S318" s="747"/>
      <c r="T318" s="747"/>
      <c r="U318" s="747"/>
      <c r="V318" s="988"/>
      <c r="W318" s="1024"/>
      <c r="X318" s="747"/>
      <c r="Y318" s="747"/>
      <c r="Z318" s="747"/>
      <c r="AA318" s="747"/>
      <c r="AB318" s="747"/>
      <c r="AC318" s="747"/>
      <c r="AD318" s="747"/>
      <c r="AE318" s="747"/>
      <c r="AF318" s="747"/>
      <c r="AG318" s="747"/>
      <c r="AH318" s="747"/>
      <c r="AI318" s="747"/>
      <c r="AJ318" s="747"/>
      <c r="AK318" s="747"/>
      <c r="AL318" s="747"/>
      <c r="AM318" s="747"/>
      <c r="AN318" s="747"/>
      <c r="AO318" s="747"/>
      <c r="AP318" s="747"/>
      <c r="AQ318" s="747"/>
      <c r="AR318" s="747"/>
      <c r="AS318" s="747"/>
      <c r="AT318" s="747"/>
      <c r="AU318" s="747"/>
      <c r="AV318" s="747"/>
      <c r="AW318" s="747"/>
      <c r="AX318" s="747"/>
    </row>
    <row r="319" spans="1:254" s="856" customFormat="1" ht="15" customHeight="1">
      <c r="A319" s="1002"/>
      <c r="B319" s="976" t="s">
        <v>1079</v>
      </c>
      <c r="C319" s="1003"/>
      <c r="D319" s="1002" t="s">
        <v>3285</v>
      </c>
      <c r="E319" s="1002"/>
      <c r="F319" s="1002"/>
      <c r="G319" s="1002"/>
      <c r="H319" s="1002"/>
      <c r="I319" s="1002"/>
      <c r="J319" s="1002"/>
      <c r="K319" s="1002">
        <v>0</v>
      </c>
      <c r="L319" s="1004">
        <v>0</v>
      </c>
      <c r="M319" s="1002"/>
      <c r="N319" s="1002"/>
      <c r="O319" s="735">
        <f t="shared" si="14"/>
        <v>0</v>
      </c>
      <c r="P319" s="738">
        <f t="shared" si="12"/>
        <v>0</v>
      </c>
      <c r="Q319" s="751">
        <f t="shared" si="13"/>
        <v>0</v>
      </c>
      <c r="R319" s="854"/>
      <c r="S319" s="854"/>
      <c r="T319" s="854"/>
      <c r="U319" s="855"/>
      <c r="V319" s="988"/>
      <c r="W319" s="1024"/>
      <c r="X319" s="854"/>
      <c r="Y319" s="854"/>
      <c r="Z319" s="854"/>
      <c r="AA319" s="854"/>
      <c r="AB319" s="854"/>
      <c r="AC319" s="854"/>
      <c r="AD319" s="854"/>
      <c r="AE319" s="854"/>
      <c r="AF319" s="854"/>
      <c r="AG319" s="854"/>
      <c r="AH319" s="854"/>
      <c r="AI319" s="854"/>
      <c r="AJ319" s="854"/>
      <c r="AK319" s="854"/>
      <c r="AL319" s="854"/>
      <c r="AM319" s="854"/>
      <c r="AN319" s="854"/>
      <c r="AO319" s="854"/>
      <c r="AP319" s="854"/>
      <c r="AQ319" s="854"/>
      <c r="AR319" s="854"/>
      <c r="AS319" s="854"/>
      <c r="AT319" s="854"/>
      <c r="AU319" s="854"/>
      <c r="AV319" s="854"/>
      <c r="AW319" s="854"/>
      <c r="AX319" s="854"/>
    </row>
    <row r="320" spans="1:254" s="852" customFormat="1" ht="15" customHeight="1">
      <c r="A320" s="979" t="s">
        <v>3577</v>
      </c>
      <c r="B320" s="976" t="s">
        <v>3862</v>
      </c>
      <c r="C320" s="980" t="s">
        <v>888</v>
      </c>
      <c r="D320" s="979" t="s">
        <v>3286</v>
      </c>
      <c r="E320" s="979">
        <v>0</v>
      </c>
      <c r="F320" s="979">
        <v>0</v>
      </c>
      <c r="G320" s="979">
        <v>0</v>
      </c>
      <c r="H320" s="979">
        <v>0</v>
      </c>
      <c r="I320" s="979">
        <v>0</v>
      </c>
      <c r="J320" s="979">
        <v>0</v>
      </c>
      <c r="K320" s="979">
        <v>0</v>
      </c>
      <c r="L320" s="979">
        <v>0</v>
      </c>
      <c r="M320" s="979">
        <v>0</v>
      </c>
      <c r="N320" s="979">
        <v>0</v>
      </c>
      <c r="O320" s="735">
        <f t="shared" si="14"/>
        <v>0</v>
      </c>
      <c r="P320" s="738">
        <f t="shared" si="12"/>
        <v>0</v>
      </c>
      <c r="Q320" s="751">
        <f t="shared" si="13"/>
        <v>0</v>
      </c>
      <c r="R320" s="853"/>
      <c r="S320" s="853"/>
      <c r="T320" s="853"/>
      <c r="U320" s="853"/>
      <c r="V320" s="988"/>
      <c r="W320" s="1024"/>
      <c r="X320" s="853"/>
      <c r="Y320" s="853"/>
      <c r="Z320" s="853"/>
      <c r="AA320" s="853"/>
      <c r="AB320" s="853"/>
      <c r="AC320" s="853"/>
      <c r="AD320" s="853"/>
      <c r="AE320" s="853"/>
      <c r="AF320" s="853"/>
      <c r="AG320" s="853"/>
      <c r="AH320" s="853"/>
      <c r="AI320" s="853"/>
      <c r="AJ320" s="853"/>
      <c r="AK320" s="853"/>
      <c r="AL320" s="853"/>
      <c r="AM320" s="853"/>
      <c r="AN320" s="853"/>
      <c r="AO320" s="853"/>
      <c r="AP320" s="853"/>
      <c r="AQ320" s="853"/>
      <c r="AR320" s="853"/>
      <c r="AS320" s="853"/>
      <c r="AT320" s="853"/>
      <c r="AU320" s="853"/>
      <c r="AV320" s="853"/>
      <c r="AW320" s="853"/>
      <c r="AX320" s="853"/>
    </row>
    <row r="321" spans="1:81" s="857" customFormat="1" ht="14.25" customHeight="1">
      <c r="A321" s="981"/>
      <c r="B321" s="976" t="s">
        <v>1079</v>
      </c>
      <c r="C321" s="982"/>
      <c r="D321" s="981" t="s">
        <v>3287</v>
      </c>
      <c r="E321" s="981">
        <v>0</v>
      </c>
      <c r="F321" s="981"/>
      <c r="G321" s="981"/>
      <c r="H321" s="981"/>
      <c r="I321" s="981"/>
      <c r="J321" s="981"/>
      <c r="K321" s="981"/>
      <c r="L321" s="983"/>
      <c r="M321" s="981"/>
      <c r="N321" s="981"/>
      <c r="O321" s="735">
        <f t="shared" si="14"/>
        <v>0</v>
      </c>
      <c r="P321" s="738">
        <f t="shared" si="12"/>
        <v>0</v>
      </c>
      <c r="Q321" s="751">
        <f t="shared" si="13"/>
        <v>0</v>
      </c>
      <c r="R321" s="747"/>
      <c r="S321" s="747"/>
      <c r="T321" s="747"/>
      <c r="U321" s="747"/>
      <c r="V321" s="988"/>
      <c r="W321" s="1024"/>
      <c r="X321" s="747"/>
      <c r="Y321" s="747"/>
      <c r="Z321" s="747"/>
      <c r="AA321" s="747"/>
      <c r="AB321" s="747"/>
      <c r="AC321" s="747"/>
      <c r="AD321" s="747"/>
      <c r="AE321" s="747"/>
      <c r="AF321" s="747"/>
      <c r="AG321" s="747"/>
      <c r="AH321" s="747"/>
      <c r="AI321" s="747"/>
      <c r="AJ321" s="747"/>
      <c r="AK321" s="747"/>
      <c r="AL321" s="747"/>
      <c r="AM321" s="747"/>
      <c r="AN321" s="747"/>
      <c r="AO321" s="747"/>
      <c r="AP321" s="747"/>
      <c r="AQ321" s="747"/>
      <c r="AR321" s="747"/>
      <c r="AS321" s="747"/>
      <c r="AT321" s="747"/>
      <c r="AU321" s="747"/>
      <c r="AV321" s="747"/>
      <c r="AW321" s="747"/>
      <c r="AX321" s="747"/>
    </row>
    <row r="322" spans="1:81" s="874" customFormat="1">
      <c r="A322" s="981"/>
      <c r="B322" s="976" t="s">
        <v>1079</v>
      </c>
      <c r="C322" s="982"/>
      <c r="D322" s="981" t="s">
        <v>3288</v>
      </c>
      <c r="E322" s="981"/>
      <c r="F322" s="981"/>
      <c r="G322" s="981"/>
      <c r="H322" s="981"/>
      <c r="I322" s="981"/>
      <c r="J322" s="981"/>
      <c r="K322" s="981"/>
      <c r="L322" s="983"/>
      <c r="M322" s="981"/>
      <c r="N322" s="981"/>
      <c r="O322" s="735">
        <f t="shared" si="14"/>
        <v>0</v>
      </c>
      <c r="P322" s="738">
        <f t="shared" si="12"/>
        <v>0</v>
      </c>
      <c r="Q322" s="751">
        <f t="shared" si="13"/>
        <v>0</v>
      </c>
      <c r="R322" s="854"/>
      <c r="S322" s="854"/>
      <c r="T322" s="854"/>
      <c r="U322" s="855"/>
      <c r="V322" s="988"/>
      <c r="W322" s="1024"/>
      <c r="X322" s="854"/>
      <c r="Y322" s="854"/>
      <c r="Z322" s="854"/>
      <c r="AA322" s="854"/>
      <c r="AB322" s="854"/>
      <c r="AC322" s="854"/>
      <c r="AD322" s="854"/>
      <c r="AE322" s="854"/>
      <c r="AF322" s="854"/>
      <c r="AG322" s="854"/>
      <c r="AH322" s="854"/>
      <c r="AI322" s="854"/>
      <c r="AJ322" s="854"/>
      <c r="AK322" s="854"/>
      <c r="AL322" s="854"/>
      <c r="AM322" s="854"/>
      <c r="AN322" s="854"/>
      <c r="AO322" s="854"/>
      <c r="AP322" s="854"/>
      <c r="AQ322" s="854"/>
      <c r="AR322" s="854"/>
      <c r="AS322" s="854"/>
      <c r="AT322" s="854"/>
      <c r="AU322" s="854"/>
      <c r="AV322" s="854"/>
      <c r="AW322" s="854"/>
      <c r="AX322" s="854"/>
    </row>
    <row r="323" spans="1:81" s="876" customFormat="1" ht="18.75" customHeight="1" thickBot="1">
      <c r="A323" s="1005" t="s">
        <v>3577</v>
      </c>
      <c r="B323" s="976" t="s">
        <v>3862</v>
      </c>
      <c r="C323" s="1006" t="s">
        <v>888</v>
      </c>
      <c r="D323" s="1005" t="s">
        <v>3287</v>
      </c>
      <c r="E323" s="1005">
        <v>0</v>
      </c>
      <c r="F323" s="1005">
        <v>0</v>
      </c>
      <c r="G323" s="1005">
        <v>0</v>
      </c>
      <c r="H323" s="1005">
        <v>0</v>
      </c>
      <c r="I323" s="1005">
        <v>0</v>
      </c>
      <c r="J323" s="1005">
        <v>0</v>
      </c>
      <c r="K323" s="1005">
        <v>0</v>
      </c>
      <c r="L323" s="1005">
        <v>0</v>
      </c>
      <c r="M323" s="1005">
        <v>0</v>
      </c>
      <c r="N323" s="1005">
        <v>0</v>
      </c>
      <c r="O323" s="735">
        <f t="shared" si="14"/>
        <v>0</v>
      </c>
      <c r="P323" s="738">
        <f t="shared" si="12"/>
        <v>0</v>
      </c>
      <c r="Q323" s="751">
        <f t="shared" si="13"/>
        <v>0</v>
      </c>
      <c r="R323" s="875"/>
      <c r="S323" s="875"/>
      <c r="T323" s="875"/>
      <c r="U323" s="875"/>
      <c r="V323" s="988"/>
      <c r="W323" s="1024"/>
      <c r="X323" s="875"/>
      <c r="Y323" s="875"/>
      <c r="Z323" s="875"/>
      <c r="AA323" s="875"/>
      <c r="AB323" s="875"/>
      <c r="AC323" s="875"/>
      <c r="AD323" s="875"/>
      <c r="AE323" s="875"/>
      <c r="AF323" s="875"/>
      <c r="AG323" s="875"/>
      <c r="AH323" s="875"/>
      <c r="AI323" s="875"/>
      <c r="AJ323" s="875"/>
      <c r="AK323" s="875"/>
      <c r="AL323" s="875"/>
      <c r="AM323" s="875"/>
      <c r="AN323" s="875"/>
      <c r="AO323" s="875"/>
      <c r="AP323" s="875"/>
      <c r="AQ323" s="875"/>
      <c r="AR323" s="875"/>
      <c r="AS323" s="875"/>
      <c r="AT323" s="875"/>
      <c r="AU323" s="875"/>
      <c r="AV323" s="875"/>
      <c r="AW323" s="875"/>
      <c r="AX323" s="875"/>
    </row>
    <row r="324" spans="1:81" s="852" customFormat="1" ht="18.75" customHeight="1" thickTop="1" thickBot="1">
      <c r="A324" s="1007" t="s">
        <v>3577</v>
      </c>
      <c r="B324" s="976" t="s">
        <v>3862</v>
      </c>
      <c r="C324" s="1008" t="s">
        <v>888</v>
      </c>
      <c r="D324" s="1007" t="s">
        <v>2996</v>
      </c>
      <c r="E324" s="1007">
        <v>790047</v>
      </c>
      <c r="F324" s="1007">
        <v>793132</v>
      </c>
      <c r="G324" s="1007">
        <v>592535.25</v>
      </c>
      <c r="H324" s="1007">
        <v>558529.98089999997</v>
      </c>
      <c r="I324" s="1007">
        <v>0</v>
      </c>
      <c r="J324" s="1007">
        <v>32942.267789624995</v>
      </c>
      <c r="K324" s="1007">
        <v>591472.24868962495</v>
      </c>
      <c r="L324" s="1009">
        <v>-1063.0013103750211</v>
      </c>
      <c r="M324" s="1007">
        <v>0</v>
      </c>
      <c r="N324" s="1007">
        <v>788629.66491950001</v>
      </c>
      <c r="O324" s="735">
        <f t="shared" si="14"/>
        <v>-1417.3350804999936</v>
      </c>
      <c r="P324" s="738">
        <f t="shared" si="12"/>
        <v>788629664.91949999</v>
      </c>
      <c r="Q324" s="751">
        <f t="shared" si="13"/>
        <v>788630000</v>
      </c>
      <c r="R324" s="853"/>
      <c r="S324" s="853"/>
      <c r="T324" s="853"/>
      <c r="U324" s="853"/>
      <c r="V324" s="988"/>
      <c r="W324" s="1024"/>
      <c r="X324" s="853"/>
      <c r="Y324" s="853"/>
      <c r="Z324" s="853"/>
      <c r="AA324" s="853"/>
      <c r="AB324" s="853"/>
      <c r="AC324" s="853"/>
      <c r="AD324" s="853"/>
      <c r="AE324" s="853"/>
      <c r="AF324" s="853"/>
      <c r="AG324" s="853"/>
      <c r="AH324" s="853"/>
      <c r="AI324" s="853"/>
      <c r="AJ324" s="853"/>
      <c r="AK324" s="853"/>
      <c r="AL324" s="853"/>
      <c r="AM324" s="853"/>
      <c r="AN324" s="853"/>
      <c r="AO324" s="853"/>
      <c r="AP324" s="853"/>
      <c r="AQ324" s="853"/>
      <c r="AR324" s="853"/>
      <c r="AS324" s="853"/>
      <c r="AT324" s="853"/>
      <c r="AU324" s="853"/>
      <c r="AV324" s="853"/>
      <c r="AW324" s="853"/>
      <c r="AX324" s="853"/>
    </row>
    <row r="325" spans="1:81" s="877" customFormat="1" ht="18.75" customHeight="1" thickTop="1">
      <c r="A325" s="981"/>
      <c r="B325" s="976" t="s">
        <v>1079</v>
      </c>
      <c r="C325" s="982"/>
      <c r="D325" s="981"/>
      <c r="E325" s="981"/>
      <c r="F325" s="981"/>
      <c r="G325" s="981"/>
      <c r="H325" s="981"/>
      <c r="I325" s="981"/>
      <c r="J325" s="981"/>
      <c r="K325" s="981"/>
      <c r="L325" s="983"/>
      <c r="M325" s="981"/>
      <c r="N325" s="981"/>
      <c r="O325" s="735">
        <f t="shared" si="14"/>
        <v>0</v>
      </c>
      <c r="P325" s="738">
        <f t="shared" si="12"/>
        <v>0</v>
      </c>
      <c r="Q325" s="751">
        <f t="shared" si="13"/>
        <v>0</v>
      </c>
      <c r="R325" s="875"/>
      <c r="S325" s="875"/>
      <c r="T325" s="875"/>
      <c r="U325" s="875"/>
      <c r="V325" s="988"/>
      <c r="W325" s="1024"/>
      <c r="X325" s="875"/>
      <c r="Y325" s="875"/>
      <c r="Z325" s="875"/>
      <c r="AA325" s="875"/>
      <c r="AB325" s="875"/>
      <c r="AC325" s="875"/>
      <c r="AD325" s="875"/>
      <c r="AE325" s="875"/>
      <c r="AF325" s="875"/>
      <c r="AG325" s="875"/>
      <c r="AH325" s="875"/>
      <c r="AI325" s="875"/>
      <c r="AJ325" s="875"/>
      <c r="AK325" s="875"/>
      <c r="AL325" s="875"/>
      <c r="AM325" s="875"/>
      <c r="AN325" s="875"/>
      <c r="AO325" s="875"/>
      <c r="AP325" s="875"/>
      <c r="AQ325" s="875"/>
      <c r="AR325" s="875"/>
      <c r="AS325" s="875"/>
      <c r="AT325" s="875"/>
      <c r="AU325" s="875"/>
      <c r="AV325" s="875"/>
      <c r="AW325" s="875"/>
      <c r="AX325" s="875"/>
    </row>
    <row r="326" spans="1:81" s="878" customFormat="1" ht="15.75" customHeight="1">
      <c r="A326" s="1010" t="s">
        <v>3577</v>
      </c>
      <c r="B326" s="976" t="s">
        <v>3906</v>
      </c>
      <c r="C326" s="1011" t="s">
        <v>1481</v>
      </c>
      <c r="D326" s="1010"/>
      <c r="E326" s="1010"/>
      <c r="F326" s="1010"/>
      <c r="G326" s="1010"/>
      <c r="H326" s="1010"/>
      <c r="I326" s="1010"/>
      <c r="J326" s="1010"/>
      <c r="K326" s="1010"/>
      <c r="L326" s="1012"/>
      <c r="M326" s="1010"/>
      <c r="N326" s="1010"/>
      <c r="O326" s="735">
        <f t="shared" si="14"/>
        <v>0</v>
      </c>
      <c r="P326" s="738">
        <f t="shared" si="12"/>
        <v>0</v>
      </c>
      <c r="Q326" s="751">
        <f t="shared" si="13"/>
        <v>0</v>
      </c>
      <c r="R326" s="858"/>
      <c r="S326" s="858"/>
      <c r="T326" s="858"/>
      <c r="U326" s="858"/>
      <c r="V326" s="988"/>
      <c r="W326" s="1024"/>
      <c r="X326" s="858"/>
      <c r="Y326" s="858"/>
      <c r="Z326" s="858"/>
      <c r="AA326" s="858"/>
      <c r="AB326" s="858"/>
      <c r="AC326" s="858"/>
      <c r="AD326" s="858"/>
      <c r="AE326" s="858"/>
      <c r="AF326" s="858"/>
      <c r="AG326" s="858"/>
      <c r="AH326" s="858"/>
      <c r="AI326" s="858"/>
      <c r="AJ326" s="858"/>
      <c r="AK326" s="858"/>
      <c r="AL326" s="858"/>
      <c r="AM326" s="858"/>
      <c r="AN326" s="858"/>
      <c r="AO326" s="858"/>
      <c r="AP326" s="858"/>
      <c r="AQ326" s="858"/>
      <c r="AR326" s="858"/>
      <c r="AS326" s="858"/>
      <c r="AT326" s="858"/>
      <c r="AU326" s="858"/>
      <c r="AV326" s="858"/>
      <c r="AW326" s="858"/>
      <c r="AX326" s="858"/>
    </row>
    <row r="327" spans="1:81" s="852" customFormat="1" ht="15" customHeight="1">
      <c r="A327" s="1013" t="s">
        <v>3577</v>
      </c>
      <c r="B327" s="976" t="s">
        <v>3906</v>
      </c>
      <c r="C327" s="1014" t="s">
        <v>3289</v>
      </c>
      <c r="D327" s="1013"/>
      <c r="E327" s="1013"/>
      <c r="F327" s="1013"/>
      <c r="G327" s="1013"/>
      <c r="H327" s="1013"/>
      <c r="I327" s="1013"/>
      <c r="J327" s="1013"/>
      <c r="K327" s="1013"/>
      <c r="L327" s="1015"/>
      <c r="M327" s="1013"/>
      <c r="N327" s="1013"/>
      <c r="O327" s="735">
        <f t="shared" si="14"/>
        <v>0</v>
      </c>
      <c r="P327" s="738">
        <f t="shared" si="12"/>
        <v>0</v>
      </c>
      <c r="Q327" s="751">
        <f t="shared" si="13"/>
        <v>0</v>
      </c>
      <c r="R327" s="853"/>
      <c r="S327" s="853"/>
      <c r="T327" s="853"/>
      <c r="U327" s="853"/>
      <c r="V327" s="988"/>
      <c r="W327" s="1024"/>
      <c r="X327" s="853"/>
      <c r="Y327" s="853"/>
      <c r="Z327" s="853"/>
      <c r="AA327" s="853"/>
      <c r="AB327" s="853"/>
      <c r="AC327" s="853"/>
      <c r="AD327" s="853"/>
      <c r="AE327" s="853"/>
      <c r="AF327" s="853"/>
      <c r="AG327" s="853"/>
      <c r="AH327" s="853"/>
      <c r="AI327" s="853"/>
      <c r="AJ327" s="853"/>
      <c r="AK327" s="853"/>
      <c r="AL327" s="853"/>
      <c r="AM327" s="853"/>
      <c r="AN327" s="853"/>
      <c r="AO327" s="853"/>
      <c r="AP327" s="853"/>
      <c r="AQ327" s="853"/>
      <c r="AR327" s="853"/>
      <c r="AS327" s="853"/>
      <c r="AT327" s="853"/>
      <c r="AU327" s="853"/>
      <c r="AV327" s="853"/>
      <c r="AW327" s="853"/>
      <c r="AX327" s="853"/>
    </row>
    <row r="328" spans="1:81" ht="14.25" customHeight="1">
      <c r="A328" s="981"/>
      <c r="B328" s="976" t="s">
        <v>1079</v>
      </c>
      <c r="C328" s="982"/>
      <c r="D328" s="981" t="s">
        <v>1482</v>
      </c>
      <c r="E328" s="981"/>
      <c r="F328" s="981"/>
      <c r="G328" s="981"/>
      <c r="H328" s="981"/>
      <c r="I328" s="981"/>
      <c r="J328" s="981"/>
      <c r="K328" s="981"/>
      <c r="L328" s="983"/>
      <c r="M328" s="981"/>
      <c r="N328" s="981"/>
      <c r="O328" s="735">
        <f t="shared" si="14"/>
        <v>0</v>
      </c>
      <c r="P328" s="738">
        <f t="shared" ref="P328:P391" si="15">N328*1000</f>
        <v>0</v>
      </c>
      <c r="Q328" s="751">
        <f t="shared" ref="Q328:Q391" si="16">ROUND(P328,-3)</f>
        <v>0</v>
      </c>
      <c r="V328" s="988"/>
      <c r="W328" s="1024"/>
      <c r="AY328" s="845"/>
      <c r="AZ328" s="845"/>
      <c r="BA328" s="845"/>
      <c r="BB328" s="845"/>
      <c r="BC328" s="845"/>
      <c r="BD328" s="845"/>
      <c r="BE328" s="845"/>
      <c r="BF328" s="845"/>
      <c r="BG328" s="845"/>
      <c r="BH328" s="845"/>
      <c r="BI328" s="845"/>
      <c r="BJ328" s="845"/>
      <c r="BK328" s="845"/>
      <c r="BL328" s="845"/>
      <c r="BM328" s="845"/>
      <c r="BN328" s="845"/>
      <c r="BO328" s="845"/>
      <c r="BP328" s="845"/>
      <c r="BQ328" s="845"/>
      <c r="BR328" s="845"/>
      <c r="BS328" s="845"/>
      <c r="BT328" s="845"/>
      <c r="BU328" s="845"/>
      <c r="BV328" s="845"/>
      <c r="BW328" s="845"/>
      <c r="BX328" s="845"/>
      <c r="BY328" s="845"/>
      <c r="BZ328" s="845"/>
      <c r="CA328" s="845"/>
      <c r="CB328" s="845"/>
      <c r="CC328" s="845"/>
    </row>
    <row r="329" spans="1:81" ht="14.25" customHeight="1">
      <c r="A329" s="976" t="s">
        <v>1322</v>
      </c>
      <c r="B329" s="976" t="s">
        <v>1194</v>
      </c>
      <c r="C329" s="977">
        <v>1611000110</v>
      </c>
      <c r="D329" s="976" t="s">
        <v>273</v>
      </c>
      <c r="E329" s="976">
        <v>3180</v>
      </c>
      <c r="F329" s="976">
        <v>3180</v>
      </c>
      <c r="G329" s="976">
        <v>2385</v>
      </c>
      <c r="H329" s="976">
        <v>2676.61816</v>
      </c>
      <c r="I329" s="976"/>
      <c r="J329" s="1041">
        <v>29</v>
      </c>
      <c r="K329" s="976">
        <v>2705.61816</v>
      </c>
      <c r="L329" s="978">
        <v>320.61815999999999</v>
      </c>
      <c r="M329" s="976"/>
      <c r="N329" s="976">
        <v>3607.4908799999998</v>
      </c>
      <c r="O329" s="735">
        <f t="shared" ref="O329:O392" si="17">N329-E329</f>
        <v>427.49087999999983</v>
      </c>
      <c r="P329" s="738">
        <f t="shared" si="15"/>
        <v>3607490.88</v>
      </c>
      <c r="Q329" s="751">
        <f t="shared" si="16"/>
        <v>3607000</v>
      </c>
      <c r="V329" s="988"/>
      <c r="W329" s="1024"/>
      <c r="AY329" s="845"/>
      <c r="AZ329" s="845"/>
      <c r="BA329" s="845"/>
      <c r="BB329" s="845"/>
      <c r="BC329" s="845"/>
      <c r="BD329" s="845"/>
      <c r="BE329" s="845"/>
      <c r="BF329" s="845"/>
      <c r="BG329" s="845"/>
      <c r="BH329" s="845"/>
      <c r="BI329" s="845"/>
      <c r="BJ329" s="845"/>
      <c r="BK329" s="845"/>
      <c r="BL329" s="845"/>
      <c r="BM329" s="845"/>
      <c r="BN329" s="845"/>
      <c r="BO329" s="845"/>
      <c r="BP329" s="845"/>
      <c r="BQ329" s="845"/>
      <c r="BR329" s="845"/>
      <c r="BS329" s="845"/>
      <c r="BT329" s="845"/>
      <c r="BU329" s="845"/>
      <c r="BV329" s="845"/>
      <c r="BW329" s="845"/>
      <c r="BX329" s="845"/>
      <c r="BY329" s="845"/>
      <c r="BZ329" s="845"/>
      <c r="CA329" s="845"/>
      <c r="CB329" s="845"/>
      <c r="CC329" s="845"/>
    </row>
    <row r="330" spans="1:81" ht="14.25" customHeight="1">
      <c r="A330" s="976" t="s">
        <v>1322</v>
      </c>
      <c r="B330" s="976" t="s">
        <v>1194</v>
      </c>
      <c r="C330" s="977">
        <v>1611100110</v>
      </c>
      <c r="D330" s="976" t="s">
        <v>284</v>
      </c>
      <c r="E330" s="976">
        <v>4267</v>
      </c>
      <c r="F330" s="976">
        <v>4267</v>
      </c>
      <c r="G330" s="976">
        <v>3200.25</v>
      </c>
      <c r="H330" s="976">
        <v>3365.9482799999996</v>
      </c>
      <c r="I330" s="976"/>
      <c r="J330" s="1032">
        <v>-5</v>
      </c>
      <c r="K330" s="976">
        <v>3360.9482799999996</v>
      </c>
      <c r="L330" s="978">
        <v>160.69827999999961</v>
      </c>
      <c r="M330" s="976"/>
      <c r="N330" s="976">
        <v>4481.2643733333325</v>
      </c>
      <c r="O330" s="735">
        <f t="shared" si="17"/>
        <v>214.26437333333251</v>
      </c>
      <c r="P330" s="738">
        <f t="shared" si="15"/>
        <v>4481264.3733333321</v>
      </c>
      <c r="Q330" s="751">
        <f t="shared" si="16"/>
        <v>4481000</v>
      </c>
      <c r="V330" s="988"/>
      <c r="W330" s="1024"/>
      <c r="AY330" s="845"/>
      <c r="AZ330" s="845"/>
      <c r="BA330" s="845"/>
      <c r="BB330" s="845"/>
      <c r="BC330" s="845"/>
      <c r="BD330" s="845"/>
      <c r="BE330" s="845"/>
      <c r="BF330" s="845"/>
      <c r="BG330" s="845"/>
      <c r="BH330" s="845"/>
      <c r="BI330" s="845"/>
      <c r="BJ330" s="845"/>
      <c r="BK330" s="845"/>
      <c r="BL330" s="845"/>
      <c r="BM330" s="845"/>
      <c r="BN330" s="845"/>
      <c r="BO330" s="845"/>
      <c r="BP330" s="845"/>
      <c r="BQ330" s="845"/>
      <c r="BR330" s="845"/>
      <c r="BS330" s="845"/>
      <c r="BT330" s="845"/>
      <c r="BU330" s="845"/>
      <c r="BV330" s="845"/>
      <c r="BW330" s="845"/>
      <c r="BX330" s="845"/>
      <c r="BY330" s="845"/>
      <c r="BZ330" s="845"/>
      <c r="CA330" s="845"/>
      <c r="CB330" s="845"/>
      <c r="CC330" s="845"/>
    </row>
    <row r="331" spans="1:81" ht="14.25" customHeight="1">
      <c r="A331" s="976" t="s">
        <v>1322</v>
      </c>
      <c r="B331" s="976" t="s">
        <v>1194</v>
      </c>
      <c r="C331" s="977">
        <v>1612000110</v>
      </c>
      <c r="D331" s="976" t="s">
        <v>303</v>
      </c>
      <c r="E331" s="976">
        <v>899</v>
      </c>
      <c r="F331" s="976">
        <v>899</v>
      </c>
      <c r="G331" s="976">
        <v>674.25</v>
      </c>
      <c r="H331" s="976">
        <v>691.26015000000007</v>
      </c>
      <c r="I331" s="976"/>
      <c r="J331" s="1032">
        <v>-7</v>
      </c>
      <c r="K331" s="976">
        <v>684.26015000000007</v>
      </c>
      <c r="L331" s="978">
        <v>10.010150000000067</v>
      </c>
      <c r="M331" s="976"/>
      <c r="N331" s="976">
        <v>912.34686666666676</v>
      </c>
      <c r="O331" s="735">
        <f t="shared" si="17"/>
        <v>13.346866666666756</v>
      </c>
      <c r="P331" s="738">
        <f t="shared" si="15"/>
        <v>912346.8666666667</v>
      </c>
      <c r="Q331" s="751">
        <f t="shared" si="16"/>
        <v>912000</v>
      </c>
      <c r="V331" s="988"/>
      <c r="W331" s="1024"/>
      <c r="AY331" s="845"/>
      <c r="AZ331" s="845"/>
      <c r="BA331" s="845"/>
      <c r="BB331" s="845"/>
      <c r="BC331" s="845"/>
      <c r="BD331" s="845"/>
      <c r="BE331" s="845"/>
      <c r="BF331" s="845"/>
      <c r="BG331" s="845"/>
      <c r="BH331" s="845"/>
      <c r="BI331" s="845"/>
      <c r="BJ331" s="845"/>
      <c r="BK331" s="845"/>
      <c r="BL331" s="845"/>
      <c r="BM331" s="845"/>
      <c r="BN331" s="845"/>
      <c r="BO331" s="845"/>
      <c r="BP331" s="845"/>
      <c r="BQ331" s="845"/>
      <c r="BR331" s="845"/>
      <c r="BS331" s="845"/>
      <c r="BT331" s="845"/>
      <c r="BU331" s="845"/>
      <c r="BV331" s="845"/>
      <c r="BW331" s="845"/>
      <c r="BX331" s="845"/>
      <c r="BY331" s="845"/>
      <c r="BZ331" s="845"/>
      <c r="CA331" s="845"/>
      <c r="CB331" s="845"/>
      <c r="CC331" s="845"/>
    </row>
    <row r="332" spans="1:81" ht="14.25" customHeight="1">
      <c r="A332" s="976" t="s">
        <v>1322</v>
      </c>
      <c r="B332" s="976" t="s">
        <v>1194</v>
      </c>
      <c r="C332" s="977">
        <v>1613000110</v>
      </c>
      <c r="D332" s="976" t="s">
        <v>310</v>
      </c>
      <c r="E332" s="976">
        <v>2008</v>
      </c>
      <c r="F332" s="976">
        <v>2008</v>
      </c>
      <c r="G332" s="976">
        <v>1506</v>
      </c>
      <c r="H332" s="976">
        <v>1458.1458300000002</v>
      </c>
      <c r="I332" s="976"/>
      <c r="J332" s="1032">
        <v>-40</v>
      </c>
      <c r="K332" s="976">
        <v>1418.1458300000002</v>
      </c>
      <c r="L332" s="978">
        <v>-87.85416999999984</v>
      </c>
      <c r="M332" s="976"/>
      <c r="N332" s="976">
        <v>1890.8611066666667</v>
      </c>
      <c r="O332" s="735">
        <f t="shared" si="17"/>
        <v>-117.13889333333327</v>
      </c>
      <c r="P332" s="738">
        <f t="shared" si="15"/>
        <v>1890861.1066666667</v>
      </c>
      <c r="Q332" s="751">
        <f t="shared" si="16"/>
        <v>1891000</v>
      </c>
      <c r="V332" s="988"/>
      <c r="W332" s="1024"/>
      <c r="AY332" s="845"/>
      <c r="AZ332" s="845"/>
      <c r="BA332" s="845"/>
      <c r="BB332" s="845"/>
      <c r="BC332" s="845"/>
      <c r="BD332" s="845"/>
      <c r="BE332" s="845"/>
      <c r="BF332" s="845"/>
      <c r="BG332" s="845"/>
      <c r="BH332" s="845"/>
      <c r="BI332" s="845"/>
      <c r="BJ332" s="845"/>
      <c r="BK332" s="845"/>
      <c r="BL332" s="845"/>
      <c r="BM332" s="845"/>
      <c r="BN332" s="845"/>
      <c r="BO332" s="845"/>
      <c r="BP332" s="845"/>
      <c r="BQ332" s="845"/>
      <c r="BR332" s="845"/>
      <c r="BS332" s="845"/>
      <c r="BT332" s="845"/>
      <c r="BU332" s="845"/>
      <c r="BV332" s="845"/>
      <c r="BW332" s="845"/>
      <c r="BX332" s="845"/>
      <c r="BY332" s="845"/>
      <c r="BZ332" s="845"/>
      <c r="CA332" s="845"/>
      <c r="CB332" s="845"/>
      <c r="CC332" s="845"/>
    </row>
    <row r="333" spans="1:81" ht="14.25" customHeight="1">
      <c r="A333" s="976" t="s">
        <v>1322</v>
      </c>
      <c r="B333" s="976" t="s">
        <v>1194</v>
      </c>
      <c r="C333" s="977">
        <v>1614000110</v>
      </c>
      <c r="D333" s="976" t="s">
        <v>317</v>
      </c>
      <c r="E333" s="976">
        <v>335</v>
      </c>
      <c r="F333" s="976">
        <v>335</v>
      </c>
      <c r="G333" s="976">
        <v>251.25</v>
      </c>
      <c r="H333" s="976">
        <v>223.01237</v>
      </c>
      <c r="I333" s="976"/>
      <c r="J333" s="1032">
        <v>-17</v>
      </c>
      <c r="K333" s="976">
        <v>206.01237</v>
      </c>
      <c r="L333" s="978">
        <v>-45.237629999999996</v>
      </c>
      <c r="M333" s="976"/>
      <c r="N333" s="976">
        <v>274.68315999999999</v>
      </c>
      <c r="O333" s="735">
        <f t="shared" si="17"/>
        <v>-60.316840000000013</v>
      </c>
      <c r="P333" s="738">
        <f t="shared" si="15"/>
        <v>274683.15999999997</v>
      </c>
      <c r="Q333" s="751">
        <f t="shared" si="16"/>
        <v>275000</v>
      </c>
      <c r="V333" s="988"/>
      <c r="W333" s="1024"/>
      <c r="AY333" s="845"/>
      <c r="AZ333" s="845"/>
      <c r="BA333" s="845"/>
      <c r="BB333" s="845"/>
      <c r="BC333" s="845"/>
      <c r="BD333" s="845"/>
      <c r="BE333" s="845"/>
      <c r="BF333" s="845"/>
      <c r="BG333" s="845"/>
      <c r="BH333" s="845"/>
      <c r="BI333" s="845"/>
      <c r="BJ333" s="845"/>
      <c r="BK333" s="845"/>
      <c r="BL333" s="845"/>
      <c r="BM333" s="845"/>
      <c r="BN333" s="845"/>
      <c r="BO333" s="845"/>
      <c r="BP333" s="845"/>
      <c r="BQ333" s="845"/>
      <c r="BR333" s="845"/>
      <c r="BS333" s="845"/>
      <c r="BT333" s="845"/>
      <c r="BU333" s="845"/>
      <c r="BV333" s="845"/>
      <c r="BW333" s="845"/>
      <c r="BX333" s="845"/>
      <c r="BY333" s="845"/>
      <c r="BZ333" s="845"/>
      <c r="CA333" s="845"/>
      <c r="CB333" s="845"/>
      <c r="CC333" s="845"/>
    </row>
    <row r="334" spans="1:81" ht="14.25" customHeight="1">
      <c r="A334" s="976" t="s">
        <v>1322</v>
      </c>
      <c r="B334" s="976" t="s">
        <v>1194</v>
      </c>
      <c r="C334" s="977">
        <v>1615000110</v>
      </c>
      <c r="D334" s="976" t="s">
        <v>3290</v>
      </c>
      <c r="E334" s="976">
        <v>3267</v>
      </c>
      <c r="F334" s="976">
        <v>3267</v>
      </c>
      <c r="G334" s="976">
        <v>2450.25</v>
      </c>
      <c r="H334" s="976">
        <v>2334.8553400000001</v>
      </c>
      <c r="I334" s="976"/>
      <c r="J334" s="1032">
        <v>-40.032880000000205</v>
      </c>
      <c r="K334" s="976">
        <v>2294.8224599999999</v>
      </c>
      <c r="L334" s="978">
        <v>-155.42754000000014</v>
      </c>
      <c r="M334" s="976"/>
      <c r="N334" s="976">
        <v>3059.7632800000001</v>
      </c>
      <c r="O334" s="735">
        <f t="shared" si="17"/>
        <v>-207.23671999999988</v>
      </c>
      <c r="P334" s="738">
        <f t="shared" si="15"/>
        <v>3059763.2800000003</v>
      </c>
      <c r="Q334" s="751">
        <f t="shared" si="16"/>
        <v>3060000</v>
      </c>
      <c r="V334" s="988"/>
      <c r="W334" s="1024"/>
      <c r="AY334" s="845"/>
      <c r="AZ334" s="845"/>
      <c r="BA334" s="845"/>
      <c r="BB334" s="845"/>
      <c r="BC334" s="845"/>
      <c r="BD334" s="845"/>
      <c r="BE334" s="845"/>
      <c r="BF334" s="845"/>
      <c r="BG334" s="845"/>
      <c r="BH334" s="845"/>
      <c r="BI334" s="845"/>
      <c r="BJ334" s="845"/>
      <c r="BK334" s="845"/>
      <c r="BL334" s="845"/>
      <c r="BM334" s="845"/>
      <c r="BN334" s="845"/>
      <c r="BO334" s="845"/>
      <c r="BP334" s="845"/>
      <c r="BQ334" s="845"/>
      <c r="BR334" s="845"/>
      <c r="BS334" s="845"/>
      <c r="BT334" s="845"/>
      <c r="BU334" s="845"/>
      <c r="BV334" s="845"/>
      <c r="BW334" s="845"/>
      <c r="BX334" s="845"/>
      <c r="BY334" s="845"/>
      <c r="BZ334" s="845"/>
      <c r="CA334" s="845"/>
      <c r="CB334" s="845"/>
      <c r="CC334" s="845"/>
    </row>
    <row r="335" spans="1:81" ht="14.25" customHeight="1">
      <c r="A335" s="976" t="s">
        <v>1322</v>
      </c>
      <c r="B335" s="976" t="s">
        <v>1194</v>
      </c>
      <c r="C335" s="977">
        <v>1615100110</v>
      </c>
      <c r="D335" s="976" t="s">
        <v>330</v>
      </c>
      <c r="E335" s="976">
        <v>115</v>
      </c>
      <c r="F335" s="976">
        <v>115</v>
      </c>
      <c r="G335" s="976">
        <v>86.25</v>
      </c>
      <c r="H335" s="976">
        <v>271.36930000000001</v>
      </c>
      <c r="I335" s="976"/>
      <c r="J335" s="1032">
        <v>-16.784109999999998</v>
      </c>
      <c r="K335" s="976">
        <v>254.58519000000001</v>
      </c>
      <c r="L335" s="978">
        <v>168.33519000000001</v>
      </c>
      <c r="M335" s="976"/>
      <c r="N335" s="976">
        <v>339.44692000000003</v>
      </c>
      <c r="O335" s="735">
        <f t="shared" si="17"/>
        <v>224.44692000000003</v>
      </c>
      <c r="P335" s="738">
        <f t="shared" si="15"/>
        <v>339446.92000000004</v>
      </c>
      <c r="Q335" s="751">
        <f t="shared" si="16"/>
        <v>339000</v>
      </c>
      <c r="V335" s="988"/>
      <c r="W335" s="1024"/>
      <c r="AY335" s="845"/>
      <c r="AZ335" s="845"/>
      <c r="BA335" s="845"/>
      <c r="BB335" s="845"/>
      <c r="BC335" s="845"/>
      <c r="BD335" s="845"/>
      <c r="BE335" s="845"/>
      <c r="BF335" s="845"/>
      <c r="BG335" s="845"/>
      <c r="BH335" s="845"/>
      <c r="BI335" s="845"/>
      <c r="BJ335" s="845"/>
      <c r="BK335" s="845"/>
      <c r="BL335" s="845"/>
      <c r="BM335" s="845"/>
      <c r="BN335" s="845"/>
      <c r="BO335" s="845"/>
      <c r="BP335" s="845"/>
      <c r="BQ335" s="845"/>
      <c r="BR335" s="845"/>
      <c r="BS335" s="845"/>
      <c r="BT335" s="845"/>
      <c r="BU335" s="845"/>
      <c r="BV335" s="845"/>
      <c r="BW335" s="845"/>
      <c r="BX335" s="845"/>
      <c r="BY335" s="845"/>
      <c r="BZ335" s="845"/>
      <c r="CA335" s="845"/>
      <c r="CB335" s="845"/>
      <c r="CC335" s="845"/>
    </row>
    <row r="336" spans="1:81" ht="14.25" customHeight="1">
      <c r="A336" s="976" t="s">
        <v>1322</v>
      </c>
      <c r="B336" s="976"/>
      <c r="C336" s="977">
        <v>1616000110</v>
      </c>
      <c r="D336" s="976" t="s">
        <v>3291</v>
      </c>
      <c r="E336" s="976">
        <v>518</v>
      </c>
      <c r="F336" s="976">
        <v>518</v>
      </c>
      <c r="G336" s="976">
        <v>388.5</v>
      </c>
      <c r="H336" s="976">
        <v>0</v>
      </c>
      <c r="I336" s="976"/>
      <c r="J336" s="1041">
        <v>50.000000000000007</v>
      </c>
      <c r="K336" s="976">
        <v>50.000000000000007</v>
      </c>
      <c r="L336" s="978">
        <v>-338.5</v>
      </c>
      <c r="M336" s="976"/>
      <c r="N336" s="976">
        <v>66.666666666666686</v>
      </c>
      <c r="O336" s="735">
        <f t="shared" si="17"/>
        <v>-451.33333333333331</v>
      </c>
      <c r="P336" s="738">
        <f t="shared" si="15"/>
        <v>66666.666666666686</v>
      </c>
      <c r="Q336" s="751">
        <f t="shared" si="16"/>
        <v>67000</v>
      </c>
      <c r="V336" s="988"/>
      <c r="W336" s="1024"/>
      <c r="AY336" s="845"/>
      <c r="AZ336" s="845"/>
      <c r="BA336" s="845"/>
      <c r="BB336" s="845"/>
      <c r="BC336" s="845"/>
      <c r="BD336" s="845"/>
      <c r="BE336" s="845"/>
      <c r="BF336" s="845"/>
      <c r="BG336" s="845"/>
      <c r="BH336" s="845"/>
      <c r="BI336" s="845"/>
      <c r="BJ336" s="845"/>
      <c r="BK336" s="845"/>
      <c r="BL336" s="845"/>
      <c r="BM336" s="845"/>
      <c r="BN336" s="845"/>
      <c r="BO336" s="845"/>
      <c r="BP336" s="845"/>
      <c r="BQ336" s="845"/>
      <c r="BR336" s="845"/>
      <c r="BS336" s="845"/>
      <c r="BT336" s="845"/>
      <c r="BU336" s="845"/>
      <c r="BV336" s="845"/>
      <c r="BW336" s="845"/>
      <c r="BX336" s="845"/>
      <c r="BY336" s="845"/>
      <c r="BZ336" s="845"/>
      <c r="CA336" s="845"/>
      <c r="CB336" s="845"/>
      <c r="CC336" s="845"/>
    </row>
    <row r="337" spans="1:81" ht="14.25" customHeight="1">
      <c r="A337" s="976" t="s">
        <v>1322</v>
      </c>
      <c r="B337" s="976" t="s">
        <v>1194</v>
      </c>
      <c r="C337" s="977">
        <v>1617000110</v>
      </c>
      <c r="D337" s="976" t="s">
        <v>333</v>
      </c>
      <c r="E337" s="976">
        <v>3129</v>
      </c>
      <c r="F337" s="976">
        <v>3129</v>
      </c>
      <c r="G337" s="976">
        <v>2346.75</v>
      </c>
      <c r="H337" s="976">
        <v>2573.1657400000004</v>
      </c>
      <c r="I337" s="976"/>
      <c r="J337" s="1032">
        <v>-29.74705750000021</v>
      </c>
      <c r="K337" s="976">
        <v>2543.4186825000002</v>
      </c>
      <c r="L337" s="978">
        <v>196.66868250000016</v>
      </c>
      <c r="M337" s="976"/>
      <c r="N337" s="976">
        <v>3391.2249100000004</v>
      </c>
      <c r="O337" s="735">
        <f t="shared" si="17"/>
        <v>262.22491000000036</v>
      </c>
      <c r="P337" s="738">
        <f t="shared" si="15"/>
        <v>3391224.91</v>
      </c>
      <c r="Q337" s="751">
        <f t="shared" si="16"/>
        <v>3391000</v>
      </c>
      <c r="V337" s="988"/>
      <c r="W337" s="1024"/>
      <c r="AY337" s="845"/>
      <c r="AZ337" s="845"/>
      <c r="BA337" s="845"/>
      <c r="BB337" s="845"/>
      <c r="BC337" s="845"/>
      <c r="BD337" s="845"/>
      <c r="BE337" s="845"/>
      <c r="BF337" s="845"/>
      <c r="BG337" s="845"/>
      <c r="BH337" s="845"/>
      <c r="BI337" s="845"/>
      <c r="BJ337" s="845"/>
      <c r="BK337" s="845"/>
      <c r="BL337" s="845"/>
      <c r="BM337" s="845"/>
      <c r="BN337" s="845"/>
      <c r="BO337" s="845"/>
      <c r="BP337" s="845"/>
      <c r="BQ337" s="845"/>
      <c r="BR337" s="845"/>
      <c r="BS337" s="845"/>
      <c r="BT337" s="845"/>
      <c r="BU337" s="845"/>
      <c r="BV337" s="845"/>
      <c r="BW337" s="845"/>
      <c r="BX337" s="845"/>
      <c r="BY337" s="845"/>
      <c r="BZ337" s="845"/>
      <c r="CA337" s="845"/>
      <c r="CB337" s="845"/>
      <c r="CC337" s="845"/>
    </row>
    <row r="338" spans="1:81" ht="14.25" customHeight="1">
      <c r="A338" s="976" t="s">
        <v>1322</v>
      </c>
      <c r="B338" s="976" t="s">
        <v>1194</v>
      </c>
      <c r="C338" s="977">
        <v>1618000110</v>
      </c>
      <c r="D338" s="976" t="s">
        <v>3292</v>
      </c>
      <c r="E338" s="976">
        <v>547</v>
      </c>
      <c r="F338" s="976">
        <v>547</v>
      </c>
      <c r="G338" s="976">
        <v>410.25</v>
      </c>
      <c r="H338" s="976">
        <v>394.27067999999997</v>
      </c>
      <c r="I338" s="976"/>
      <c r="J338" s="1032">
        <v>-22.211579999999969</v>
      </c>
      <c r="K338" s="976">
        <v>372.0591</v>
      </c>
      <c r="L338" s="978">
        <v>-38.190899999999999</v>
      </c>
      <c r="M338" s="976"/>
      <c r="N338" s="976">
        <v>496.0788</v>
      </c>
      <c r="O338" s="735">
        <f t="shared" si="17"/>
        <v>-50.921199999999999</v>
      </c>
      <c r="P338" s="738">
        <f t="shared" si="15"/>
        <v>496078.8</v>
      </c>
      <c r="Q338" s="751">
        <f t="shared" si="16"/>
        <v>496000</v>
      </c>
      <c r="V338" s="988"/>
      <c r="W338" s="1024"/>
      <c r="AY338" s="845"/>
      <c r="AZ338" s="845"/>
      <c r="BA338" s="845"/>
      <c r="BB338" s="845"/>
      <c r="BC338" s="845"/>
      <c r="BD338" s="845"/>
      <c r="BE338" s="845"/>
      <c r="BF338" s="845"/>
      <c r="BG338" s="845"/>
      <c r="BH338" s="845"/>
      <c r="BI338" s="845"/>
      <c r="BJ338" s="845"/>
      <c r="BK338" s="845"/>
      <c r="BL338" s="845"/>
      <c r="BM338" s="845"/>
      <c r="BN338" s="845"/>
      <c r="BO338" s="845"/>
      <c r="BP338" s="845"/>
      <c r="BQ338" s="845"/>
      <c r="BR338" s="845"/>
      <c r="BS338" s="845"/>
      <c r="BT338" s="845"/>
      <c r="BU338" s="845"/>
      <c r="BV338" s="845"/>
      <c r="BW338" s="845"/>
      <c r="BX338" s="845"/>
      <c r="BY338" s="845"/>
      <c r="BZ338" s="845"/>
      <c r="CA338" s="845"/>
      <c r="CB338" s="845"/>
      <c r="CC338" s="845"/>
    </row>
    <row r="339" spans="1:81" ht="14.25" customHeight="1">
      <c r="A339" s="976" t="s">
        <v>1322</v>
      </c>
      <c r="B339" s="976" t="s">
        <v>1194</v>
      </c>
      <c r="C339" s="999">
        <v>1619000110</v>
      </c>
      <c r="D339" s="999" t="s">
        <v>3293</v>
      </c>
      <c r="E339" s="976">
        <v>0</v>
      </c>
      <c r="F339" s="976">
        <v>0</v>
      </c>
      <c r="G339" s="976">
        <v>0</v>
      </c>
      <c r="H339" s="976">
        <v>0</v>
      </c>
      <c r="I339" s="976"/>
      <c r="J339" s="976">
        <v>0</v>
      </c>
      <c r="K339" s="976">
        <v>0</v>
      </c>
      <c r="L339" s="978">
        <v>0</v>
      </c>
      <c r="M339" s="976"/>
      <c r="N339" s="976">
        <v>0</v>
      </c>
      <c r="O339" s="735">
        <f t="shared" si="17"/>
        <v>0</v>
      </c>
      <c r="P339" s="738">
        <f t="shared" si="15"/>
        <v>0</v>
      </c>
      <c r="Q339" s="751">
        <f t="shared" si="16"/>
        <v>0</v>
      </c>
      <c r="V339" s="988"/>
      <c r="W339" s="1024"/>
    </row>
    <row r="340" spans="1:81" ht="14.25" customHeight="1">
      <c r="A340" s="976" t="s">
        <v>1322</v>
      </c>
      <c r="B340" s="976" t="s">
        <v>1196</v>
      </c>
      <c r="C340" s="977">
        <v>1621000110</v>
      </c>
      <c r="D340" s="976" t="s">
        <v>345</v>
      </c>
      <c r="E340" s="976">
        <v>1705</v>
      </c>
      <c r="F340" s="976">
        <v>1705</v>
      </c>
      <c r="G340" s="976">
        <v>1278.75</v>
      </c>
      <c r="H340" s="976">
        <v>1293.5669499999999</v>
      </c>
      <c r="I340" s="976"/>
      <c r="J340" s="1032">
        <v>-12.296072500000037</v>
      </c>
      <c r="K340" s="976">
        <v>1281.2708774999999</v>
      </c>
      <c r="L340" s="978">
        <v>2.5208774999998695</v>
      </c>
      <c r="M340" s="976"/>
      <c r="N340" s="976">
        <v>1708.3611699999997</v>
      </c>
      <c r="O340" s="735">
        <f t="shared" si="17"/>
        <v>3.3611699999996745</v>
      </c>
      <c r="P340" s="738">
        <f t="shared" si="15"/>
        <v>1708361.1699999997</v>
      </c>
      <c r="Q340" s="751">
        <f t="shared" si="16"/>
        <v>1708000</v>
      </c>
      <c r="V340" s="988"/>
      <c r="W340" s="1024"/>
      <c r="AY340" s="845"/>
      <c r="AZ340" s="845"/>
      <c r="BA340" s="845"/>
      <c r="BB340" s="845"/>
      <c r="BC340" s="845"/>
      <c r="BD340" s="845"/>
      <c r="BE340" s="845"/>
      <c r="BF340" s="845"/>
      <c r="BG340" s="845"/>
      <c r="BH340" s="845"/>
      <c r="BI340" s="845"/>
      <c r="BJ340" s="845"/>
      <c r="BK340" s="845"/>
      <c r="BL340" s="845"/>
      <c r="BM340" s="845"/>
      <c r="BN340" s="845"/>
      <c r="BO340" s="845"/>
      <c r="BP340" s="845"/>
      <c r="BQ340" s="845"/>
      <c r="BR340" s="845"/>
      <c r="BS340" s="845"/>
      <c r="BT340" s="845"/>
      <c r="BU340" s="845"/>
      <c r="BV340" s="845"/>
      <c r="BW340" s="845"/>
      <c r="BX340" s="845"/>
      <c r="BY340" s="845"/>
      <c r="BZ340" s="845"/>
      <c r="CA340" s="845"/>
      <c r="CB340" s="845"/>
      <c r="CC340" s="845"/>
    </row>
    <row r="341" spans="1:81" ht="15.75" customHeight="1">
      <c r="A341" s="976" t="s">
        <v>1322</v>
      </c>
      <c r="B341" s="976" t="s">
        <v>1196</v>
      </c>
      <c r="C341" s="977">
        <v>1621300110</v>
      </c>
      <c r="D341" s="976" t="s">
        <v>352</v>
      </c>
      <c r="E341" s="976">
        <v>2948</v>
      </c>
      <c r="F341" s="976">
        <v>2948</v>
      </c>
      <c r="G341" s="976">
        <v>2211</v>
      </c>
      <c r="H341" s="976">
        <v>2089.95019</v>
      </c>
      <c r="I341" s="976"/>
      <c r="J341" s="1041">
        <v>1.353582500000357</v>
      </c>
      <c r="K341" s="976">
        <v>2091.3037725000004</v>
      </c>
      <c r="L341" s="978">
        <v>-119.69622749999962</v>
      </c>
      <c r="M341" s="976"/>
      <c r="N341" s="976">
        <v>2788.4050300000004</v>
      </c>
      <c r="O341" s="735">
        <f t="shared" si="17"/>
        <v>-159.59496999999965</v>
      </c>
      <c r="P341" s="738">
        <f t="shared" si="15"/>
        <v>2788405.0300000003</v>
      </c>
      <c r="Q341" s="751">
        <f t="shared" si="16"/>
        <v>2788000</v>
      </c>
      <c r="V341" s="988"/>
      <c r="W341" s="1024"/>
      <c r="AY341" s="845"/>
      <c r="AZ341" s="845"/>
      <c r="BA341" s="845"/>
      <c r="BB341" s="845"/>
      <c r="BC341" s="845"/>
      <c r="BD341" s="845"/>
      <c r="BE341" s="845"/>
      <c r="BF341" s="845"/>
      <c r="BG341" s="845"/>
      <c r="BH341" s="845"/>
      <c r="BI341" s="845"/>
      <c r="BJ341" s="845"/>
      <c r="BK341" s="845"/>
      <c r="BL341" s="845"/>
      <c r="BM341" s="845"/>
      <c r="BN341" s="845"/>
      <c r="BO341" s="845"/>
      <c r="BP341" s="845"/>
      <c r="BQ341" s="845"/>
      <c r="BR341" s="845"/>
      <c r="BS341" s="845"/>
      <c r="BT341" s="845"/>
      <c r="BU341" s="845"/>
      <c r="BV341" s="845"/>
      <c r="BW341" s="845"/>
      <c r="BX341" s="845"/>
      <c r="BY341" s="845"/>
      <c r="BZ341" s="845"/>
      <c r="CA341" s="845"/>
      <c r="CB341" s="845"/>
      <c r="CC341" s="845"/>
    </row>
    <row r="342" spans="1:81">
      <c r="A342" s="976" t="s">
        <v>1322</v>
      </c>
      <c r="B342" s="976" t="s">
        <v>1196</v>
      </c>
      <c r="C342" s="977">
        <v>1623000110</v>
      </c>
      <c r="D342" s="976" t="s">
        <v>356</v>
      </c>
      <c r="E342" s="976">
        <v>4695</v>
      </c>
      <c r="F342" s="976">
        <v>4695</v>
      </c>
      <c r="G342" s="976">
        <v>3521.25</v>
      </c>
      <c r="H342" s="976">
        <v>3599.9443199999996</v>
      </c>
      <c r="I342" s="976"/>
      <c r="J342" s="1041">
        <v>35.684542500000134</v>
      </c>
      <c r="K342" s="976">
        <v>3635.6288624999997</v>
      </c>
      <c r="L342" s="978">
        <v>114.37886249999974</v>
      </c>
      <c r="M342" s="976"/>
      <c r="N342" s="976">
        <v>4847.50515</v>
      </c>
      <c r="O342" s="735">
        <f t="shared" si="17"/>
        <v>152.50514999999996</v>
      </c>
      <c r="P342" s="738">
        <f t="shared" si="15"/>
        <v>4847505.1500000004</v>
      </c>
      <c r="Q342" s="751">
        <f t="shared" si="16"/>
        <v>4848000</v>
      </c>
      <c r="V342" s="988"/>
      <c r="W342" s="1024"/>
      <c r="AY342" s="845"/>
      <c r="AZ342" s="845"/>
      <c r="BA342" s="845"/>
      <c r="BB342" s="845"/>
      <c r="BC342" s="845"/>
      <c r="BD342" s="845"/>
      <c r="BE342" s="845"/>
      <c r="BF342" s="845"/>
      <c r="BG342" s="845"/>
      <c r="BH342" s="845"/>
      <c r="BI342" s="845"/>
      <c r="BJ342" s="845"/>
      <c r="BK342" s="845"/>
      <c r="BL342" s="845"/>
      <c r="BM342" s="845"/>
      <c r="BN342" s="845"/>
      <c r="BO342" s="845"/>
      <c r="BP342" s="845"/>
      <c r="BQ342" s="845"/>
      <c r="BR342" s="845"/>
      <c r="BS342" s="845"/>
      <c r="BT342" s="845"/>
      <c r="BU342" s="845"/>
      <c r="BV342" s="845"/>
      <c r="BW342" s="845"/>
      <c r="BX342" s="845"/>
      <c r="BY342" s="845"/>
      <c r="BZ342" s="845"/>
      <c r="CA342" s="845"/>
      <c r="CB342" s="845"/>
      <c r="CC342" s="845"/>
    </row>
    <row r="343" spans="1:81" ht="14.25" customHeight="1">
      <c r="A343" s="976" t="s">
        <v>1322</v>
      </c>
      <c r="B343" s="976" t="s">
        <v>1213</v>
      </c>
      <c r="C343" s="977">
        <v>1700000110</v>
      </c>
      <c r="D343" s="976" t="s">
        <v>3294</v>
      </c>
      <c r="E343" s="976">
        <v>0</v>
      </c>
      <c r="F343" s="976">
        <v>0</v>
      </c>
      <c r="G343" s="976">
        <v>0</v>
      </c>
      <c r="H343" s="976">
        <v>0</v>
      </c>
      <c r="I343" s="976"/>
      <c r="J343" s="976">
        <v>0</v>
      </c>
      <c r="K343" s="976">
        <v>0</v>
      </c>
      <c r="L343" s="978">
        <v>0</v>
      </c>
      <c r="M343" s="976"/>
      <c r="N343" s="976">
        <v>0</v>
      </c>
      <c r="O343" s="735">
        <f t="shared" si="17"/>
        <v>0</v>
      </c>
      <c r="P343" s="738">
        <f t="shared" si="15"/>
        <v>0</v>
      </c>
      <c r="Q343" s="751">
        <f t="shared" si="16"/>
        <v>0</v>
      </c>
      <c r="V343" s="988"/>
      <c r="W343" s="1024"/>
    </row>
    <row r="344" spans="1:81" ht="14.25" customHeight="1">
      <c r="A344" s="976" t="s">
        <v>1322</v>
      </c>
      <c r="B344" s="976" t="s">
        <v>1216</v>
      </c>
      <c r="C344" s="977">
        <v>1710000110</v>
      </c>
      <c r="D344" s="976" t="s">
        <v>3295</v>
      </c>
      <c r="E344" s="976">
        <v>2130</v>
      </c>
      <c r="F344" s="976">
        <v>2130</v>
      </c>
      <c r="G344" s="976">
        <v>1597.5</v>
      </c>
      <c r="H344" s="976">
        <v>1625.18958</v>
      </c>
      <c r="I344" s="976"/>
      <c r="J344" s="1032">
        <v>-23.572147499999801</v>
      </c>
      <c r="K344" s="976">
        <v>1601.6174325000002</v>
      </c>
      <c r="L344" s="978">
        <v>4.1174325000001772</v>
      </c>
      <c r="M344" s="976"/>
      <c r="N344" s="976">
        <v>2135.4899100000002</v>
      </c>
      <c r="O344" s="735">
        <f t="shared" si="17"/>
        <v>5.4899100000002363</v>
      </c>
      <c r="P344" s="738">
        <f t="shared" si="15"/>
        <v>2135489.91</v>
      </c>
      <c r="Q344" s="751">
        <f t="shared" si="16"/>
        <v>2135000</v>
      </c>
      <c r="V344" s="988"/>
      <c r="W344" s="1024"/>
      <c r="AY344" s="845"/>
      <c r="AZ344" s="845"/>
      <c r="BA344" s="845"/>
      <c r="BB344" s="845"/>
      <c r="BC344" s="845"/>
      <c r="BD344" s="845"/>
      <c r="BE344" s="845"/>
      <c r="BF344" s="845"/>
      <c r="BG344" s="845"/>
      <c r="BH344" s="845"/>
      <c r="BI344" s="845"/>
      <c r="BJ344" s="845"/>
      <c r="BK344" s="845"/>
      <c r="BL344" s="845"/>
      <c r="BM344" s="845"/>
      <c r="BN344" s="845"/>
      <c r="BO344" s="845"/>
      <c r="BP344" s="845"/>
      <c r="BQ344" s="845"/>
      <c r="BR344" s="845"/>
      <c r="BS344" s="845"/>
      <c r="BT344" s="845"/>
      <c r="BU344" s="845"/>
      <c r="BV344" s="845"/>
      <c r="BW344" s="845"/>
      <c r="BX344" s="845"/>
      <c r="BY344" s="845"/>
      <c r="BZ344" s="845"/>
      <c r="CA344" s="845"/>
      <c r="CB344" s="845"/>
      <c r="CC344" s="845"/>
    </row>
    <row r="345" spans="1:81" ht="14.25" customHeight="1">
      <c r="A345" s="976" t="s">
        <v>1322</v>
      </c>
      <c r="B345" s="976" t="s">
        <v>1216</v>
      </c>
      <c r="C345" s="977">
        <v>1711000110</v>
      </c>
      <c r="D345" s="976" t="s">
        <v>385</v>
      </c>
      <c r="E345" s="976">
        <v>746</v>
      </c>
      <c r="F345" s="976">
        <v>746</v>
      </c>
      <c r="G345" s="976">
        <v>559.5</v>
      </c>
      <c r="H345" s="976">
        <v>602.76581999999996</v>
      </c>
      <c r="I345" s="976"/>
      <c r="J345" s="1032">
        <v>-13.239112500000033</v>
      </c>
      <c r="K345" s="976">
        <v>589.52670749999993</v>
      </c>
      <c r="L345" s="978">
        <v>30.026707499999929</v>
      </c>
      <c r="M345" s="976"/>
      <c r="N345" s="976">
        <v>786.03560999999991</v>
      </c>
      <c r="O345" s="735">
        <f t="shared" si="17"/>
        <v>40.035609999999906</v>
      </c>
      <c r="P345" s="738">
        <f t="shared" si="15"/>
        <v>786035.60999999987</v>
      </c>
      <c r="Q345" s="751">
        <f t="shared" si="16"/>
        <v>786000</v>
      </c>
      <c r="V345" s="988"/>
      <c r="W345" s="1024"/>
      <c r="AY345" s="845"/>
      <c r="AZ345" s="845"/>
      <c r="BA345" s="845"/>
      <c r="BB345" s="845"/>
      <c r="BC345" s="845"/>
      <c r="BD345" s="845"/>
      <c r="BE345" s="845"/>
      <c r="BF345" s="845"/>
      <c r="BG345" s="845"/>
      <c r="BH345" s="845"/>
      <c r="BI345" s="845"/>
      <c r="BJ345" s="845"/>
      <c r="BK345" s="845"/>
      <c r="BL345" s="845"/>
      <c r="BM345" s="845"/>
      <c r="BN345" s="845"/>
      <c r="BO345" s="845"/>
      <c r="BP345" s="845"/>
      <c r="BQ345" s="845"/>
      <c r="BR345" s="845"/>
      <c r="BS345" s="845"/>
      <c r="BT345" s="845"/>
      <c r="BU345" s="845"/>
      <c r="BV345" s="845"/>
      <c r="BW345" s="845"/>
      <c r="BX345" s="845"/>
      <c r="BY345" s="845"/>
      <c r="BZ345" s="845"/>
      <c r="CA345" s="845"/>
      <c r="CB345" s="845"/>
      <c r="CC345" s="845"/>
    </row>
    <row r="346" spans="1:81" ht="14.25" customHeight="1">
      <c r="A346" s="976" t="s">
        <v>1322</v>
      </c>
      <c r="B346" s="976" t="s">
        <v>1216</v>
      </c>
      <c r="C346" s="977">
        <v>1712300110</v>
      </c>
      <c r="D346" s="976" t="s">
        <v>3296</v>
      </c>
      <c r="E346" s="976">
        <v>0</v>
      </c>
      <c r="F346" s="976">
        <v>0</v>
      </c>
      <c r="G346" s="976">
        <v>0</v>
      </c>
      <c r="H346" s="976">
        <v>0</v>
      </c>
      <c r="I346" s="976"/>
      <c r="J346" s="976">
        <v>0</v>
      </c>
      <c r="K346" s="976">
        <v>0</v>
      </c>
      <c r="L346" s="978">
        <v>0</v>
      </c>
      <c r="M346" s="976"/>
      <c r="N346" s="976">
        <v>0</v>
      </c>
      <c r="O346" s="735">
        <f t="shared" si="17"/>
        <v>0</v>
      </c>
      <c r="P346" s="738">
        <f t="shared" si="15"/>
        <v>0</v>
      </c>
      <c r="Q346" s="751">
        <f t="shared" si="16"/>
        <v>0</v>
      </c>
      <c r="V346" s="988"/>
      <c r="W346" s="1024"/>
      <c r="AY346" s="845"/>
      <c r="AZ346" s="845"/>
      <c r="BA346" s="845"/>
      <c r="BB346" s="845"/>
      <c r="BC346" s="845"/>
      <c r="BD346" s="845"/>
      <c r="BE346" s="845"/>
      <c r="BF346" s="845"/>
      <c r="BG346" s="845"/>
      <c r="BH346" s="845"/>
      <c r="BI346" s="845"/>
      <c r="BJ346" s="845"/>
      <c r="BK346" s="845"/>
      <c r="BL346" s="845"/>
      <c r="BM346" s="845"/>
      <c r="BN346" s="845"/>
      <c r="BO346" s="845"/>
      <c r="BP346" s="845"/>
      <c r="BQ346" s="845"/>
      <c r="BR346" s="845"/>
      <c r="BS346" s="845"/>
      <c r="BT346" s="845"/>
      <c r="BU346" s="845"/>
      <c r="BV346" s="845"/>
      <c r="BW346" s="845"/>
      <c r="BX346" s="845"/>
      <c r="BY346" s="845"/>
      <c r="BZ346" s="845"/>
      <c r="CA346" s="845"/>
      <c r="CB346" s="845"/>
      <c r="CC346" s="845"/>
    </row>
    <row r="347" spans="1:81" ht="14.25" customHeight="1">
      <c r="A347" s="976" t="s">
        <v>1322</v>
      </c>
      <c r="B347" s="976" t="s">
        <v>1216</v>
      </c>
      <c r="C347" s="977">
        <v>1713000110</v>
      </c>
      <c r="D347" s="976" t="s">
        <v>394</v>
      </c>
      <c r="E347" s="976">
        <v>5522</v>
      </c>
      <c r="F347" s="976">
        <v>5522</v>
      </c>
      <c r="G347" s="976">
        <v>4141.5</v>
      </c>
      <c r="H347" s="976">
        <v>3958.9258300000001</v>
      </c>
      <c r="I347" s="976"/>
      <c r="J347" s="1032">
        <v>-117.67270000000008</v>
      </c>
      <c r="K347" s="976">
        <v>3841.2531300000001</v>
      </c>
      <c r="L347" s="978">
        <v>-300.24686999999994</v>
      </c>
      <c r="M347" s="976"/>
      <c r="N347" s="976">
        <v>5121.6708399999998</v>
      </c>
      <c r="O347" s="735">
        <f t="shared" si="17"/>
        <v>-400.32916000000023</v>
      </c>
      <c r="P347" s="738">
        <f t="shared" si="15"/>
        <v>5121670.84</v>
      </c>
      <c r="Q347" s="751">
        <f t="shared" si="16"/>
        <v>5122000</v>
      </c>
      <c r="V347" s="988"/>
      <c r="W347" s="1024"/>
      <c r="AY347" s="845"/>
      <c r="AZ347" s="845"/>
      <c r="BA347" s="845"/>
      <c r="BB347" s="845"/>
      <c r="BC347" s="845"/>
      <c r="BD347" s="845"/>
      <c r="BE347" s="845"/>
      <c r="BF347" s="845"/>
      <c r="BG347" s="845"/>
      <c r="BH347" s="845"/>
      <c r="BI347" s="845"/>
      <c r="BJ347" s="845"/>
      <c r="BK347" s="845"/>
      <c r="BL347" s="845"/>
      <c r="BM347" s="845"/>
      <c r="BN347" s="845"/>
      <c r="BO347" s="845"/>
      <c r="BP347" s="845"/>
      <c r="BQ347" s="845"/>
      <c r="BR347" s="845"/>
      <c r="BS347" s="845"/>
      <c r="BT347" s="845"/>
      <c r="BU347" s="845"/>
      <c r="BV347" s="845"/>
      <c r="BW347" s="845"/>
      <c r="BX347" s="845"/>
      <c r="BY347" s="845"/>
      <c r="BZ347" s="845"/>
      <c r="CA347" s="845"/>
      <c r="CB347" s="845"/>
      <c r="CC347" s="845"/>
    </row>
    <row r="348" spans="1:81" ht="14.25" customHeight="1">
      <c r="A348" s="976" t="s">
        <v>1322</v>
      </c>
      <c r="B348" s="976" t="s">
        <v>1216</v>
      </c>
      <c r="C348" s="977">
        <v>1714200110</v>
      </c>
      <c r="D348" s="976" t="s">
        <v>3297</v>
      </c>
      <c r="E348" s="976">
        <v>1538</v>
      </c>
      <c r="F348" s="976">
        <v>1538</v>
      </c>
      <c r="G348" s="976">
        <v>1153.5</v>
      </c>
      <c r="H348" s="976">
        <v>1109.5471</v>
      </c>
      <c r="I348" s="976"/>
      <c r="J348" s="1032">
        <v>-1.1848524999998062</v>
      </c>
      <c r="K348" s="976">
        <v>1108.3622475000002</v>
      </c>
      <c r="L348" s="978">
        <v>-45.137752499999806</v>
      </c>
      <c r="M348" s="976"/>
      <c r="N348" s="976">
        <v>1477.8163300000003</v>
      </c>
      <c r="O348" s="735">
        <f t="shared" si="17"/>
        <v>-60.183669999999665</v>
      </c>
      <c r="P348" s="738">
        <f t="shared" si="15"/>
        <v>1477816.3300000003</v>
      </c>
      <c r="Q348" s="751">
        <f t="shared" si="16"/>
        <v>1478000</v>
      </c>
      <c r="V348" s="988"/>
      <c r="W348" s="1024"/>
    </row>
    <row r="349" spans="1:81" ht="14.25" customHeight="1">
      <c r="A349" s="976" t="s">
        <v>1322</v>
      </c>
      <c r="B349" s="976" t="s">
        <v>1218</v>
      </c>
      <c r="C349" s="977">
        <v>1722000110</v>
      </c>
      <c r="D349" s="976" t="s">
        <v>407</v>
      </c>
      <c r="E349" s="976">
        <v>1767</v>
      </c>
      <c r="F349" s="976">
        <v>1767</v>
      </c>
      <c r="G349" s="976">
        <v>1325.25</v>
      </c>
      <c r="H349" s="976">
        <v>1290.9187899999999</v>
      </c>
      <c r="I349" s="976"/>
      <c r="J349" s="1032">
        <v>-19.656857499999887</v>
      </c>
      <c r="K349" s="976">
        <v>1271.2619325000001</v>
      </c>
      <c r="L349" s="978">
        <v>-53.988067499999943</v>
      </c>
      <c r="M349" s="976" t="s">
        <v>1651</v>
      </c>
      <c r="N349" s="976">
        <v>1695.0159100000001</v>
      </c>
      <c r="O349" s="735">
        <f t="shared" si="17"/>
        <v>-71.984089999999924</v>
      </c>
      <c r="P349" s="738">
        <f t="shared" si="15"/>
        <v>1695015.9100000001</v>
      </c>
      <c r="Q349" s="751">
        <f t="shared" si="16"/>
        <v>1695000</v>
      </c>
      <c r="V349" s="988"/>
      <c r="W349" s="1024"/>
      <c r="AY349" s="845"/>
      <c r="AZ349" s="845"/>
      <c r="BA349" s="845"/>
      <c r="BB349" s="845"/>
      <c r="BC349" s="845"/>
      <c r="BD349" s="845"/>
      <c r="BE349" s="845"/>
      <c r="BF349" s="845"/>
      <c r="BG349" s="845"/>
      <c r="BH349" s="845"/>
      <c r="BI349" s="845"/>
      <c r="BJ349" s="845"/>
      <c r="BK349" s="845"/>
      <c r="BL349" s="845"/>
      <c r="BM349" s="845"/>
      <c r="BN349" s="845"/>
      <c r="BO349" s="845"/>
      <c r="BP349" s="845"/>
      <c r="BQ349" s="845"/>
      <c r="BR349" s="845"/>
      <c r="BS349" s="845"/>
      <c r="BT349" s="845"/>
      <c r="BU349" s="845"/>
      <c r="BV349" s="845"/>
      <c r="BW349" s="845"/>
      <c r="BX349" s="845"/>
      <c r="BY349" s="845"/>
      <c r="BZ349" s="845"/>
      <c r="CA349" s="845"/>
      <c r="CB349" s="845"/>
      <c r="CC349" s="845"/>
    </row>
    <row r="350" spans="1:81">
      <c r="A350" s="976" t="s">
        <v>1322</v>
      </c>
      <c r="B350" s="976" t="s">
        <v>1218</v>
      </c>
      <c r="C350" s="977">
        <v>1729998110</v>
      </c>
      <c r="D350" s="976" t="s">
        <v>3298</v>
      </c>
      <c r="E350" s="976">
        <v>0</v>
      </c>
      <c r="F350" s="976">
        <v>0</v>
      </c>
      <c r="G350" s="976">
        <v>0</v>
      </c>
      <c r="H350" s="976">
        <v>0</v>
      </c>
      <c r="I350" s="976"/>
      <c r="J350" s="976">
        <v>0</v>
      </c>
      <c r="K350" s="976">
        <v>0</v>
      </c>
      <c r="L350" s="978">
        <v>0</v>
      </c>
      <c r="M350" s="976"/>
      <c r="N350" s="976">
        <v>0</v>
      </c>
      <c r="O350" s="735">
        <f t="shared" si="17"/>
        <v>0</v>
      </c>
      <c r="P350" s="738">
        <f t="shared" si="15"/>
        <v>0</v>
      </c>
      <c r="Q350" s="751">
        <f t="shared" si="16"/>
        <v>0</v>
      </c>
      <c r="V350" s="988"/>
      <c r="W350" s="1024"/>
      <c r="AY350" s="845"/>
      <c r="AZ350" s="845"/>
      <c r="BA350" s="845"/>
      <c r="BB350" s="845"/>
      <c r="BC350" s="845"/>
      <c r="BD350" s="845"/>
      <c r="BE350" s="845"/>
      <c r="BF350" s="845"/>
      <c r="BG350" s="845"/>
      <c r="BH350" s="845"/>
      <c r="BI350" s="845"/>
      <c r="BJ350" s="845"/>
      <c r="BK350" s="845"/>
      <c r="BL350" s="845"/>
      <c r="BM350" s="845"/>
      <c r="BN350" s="845"/>
      <c r="BO350" s="845"/>
      <c r="BP350" s="845"/>
      <c r="BQ350" s="845"/>
      <c r="BR350" s="845"/>
      <c r="BS350" s="845"/>
      <c r="BT350" s="845"/>
      <c r="BU350" s="845"/>
      <c r="BV350" s="845"/>
      <c r="BW350" s="845"/>
      <c r="BX350" s="845"/>
      <c r="BY350" s="845"/>
      <c r="BZ350" s="845"/>
      <c r="CA350" s="845"/>
      <c r="CB350" s="845"/>
      <c r="CC350" s="845"/>
    </row>
    <row r="351" spans="1:81" ht="14.25" customHeight="1">
      <c r="A351" s="976" t="s">
        <v>1322</v>
      </c>
      <c r="B351" s="976" t="s">
        <v>1218</v>
      </c>
      <c r="C351" s="977">
        <v>1729999110</v>
      </c>
      <c r="D351" s="976" t="s">
        <v>3299</v>
      </c>
      <c r="E351" s="976">
        <v>0</v>
      </c>
      <c r="F351" s="976">
        <v>0</v>
      </c>
      <c r="G351" s="976">
        <v>0</v>
      </c>
      <c r="H351" s="976">
        <v>0</v>
      </c>
      <c r="I351" s="976"/>
      <c r="J351" s="976">
        <v>0</v>
      </c>
      <c r="K351" s="976">
        <v>0</v>
      </c>
      <c r="L351" s="978">
        <v>0</v>
      </c>
      <c r="M351" s="976"/>
      <c r="N351" s="976">
        <v>0</v>
      </c>
      <c r="O351" s="735">
        <f t="shared" si="17"/>
        <v>0</v>
      </c>
      <c r="P351" s="738">
        <f t="shared" si="15"/>
        <v>0</v>
      </c>
      <c r="Q351" s="751">
        <f t="shared" si="16"/>
        <v>0</v>
      </c>
      <c r="V351" s="988"/>
      <c r="W351" s="1024"/>
      <c r="AY351" s="845"/>
      <c r="AZ351" s="845"/>
      <c r="BA351" s="845"/>
      <c r="BB351" s="845"/>
      <c r="BC351" s="845"/>
      <c r="BD351" s="845"/>
      <c r="BE351" s="845"/>
      <c r="BF351" s="845"/>
      <c r="BG351" s="845"/>
      <c r="BH351" s="845"/>
      <c r="BI351" s="845"/>
      <c r="BJ351" s="845"/>
      <c r="BK351" s="845"/>
      <c r="BL351" s="845"/>
      <c r="BM351" s="845"/>
      <c r="BN351" s="845"/>
      <c r="BO351" s="845"/>
      <c r="BP351" s="845"/>
      <c r="BQ351" s="845"/>
      <c r="BR351" s="845"/>
      <c r="BS351" s="845"/>
      <c r="BT351" s="845"/>
      <c r="BU351" s="845"/>
      <c r="BV351" s="845"/>
      <c r="BW351" s="845"/>
      <c r="BX351" s="845"/>
      <c r="BY351" s="845"/>
      <c r="BZ351" s="845"/>
      <c r="CA351" s="845"/>
      <c r="CB351" s="845"/>
      <c r="CC351" s="845"/>
    </row>
    <row r="352" spans="1:81" ht="14.25" customHeight="1">
      <c r="A352" s="976" t="s">
        <v>1322</v>
      </c>
      <c r="B352" s="976" t="s">
        <v>1218</v>
      </c>
      <c r="C352" s="977">
        <v>1723000110</v>
      </c>
      <c r="D352" s="976" t="s">
        <v>3300</v>
      </c>
      <c r="E352" s="976">
        <v>520</v>
      </c>
      <c r="F352" s="976">
        <v>520</v>
      </c>
      <c r="G352" s="976">
        <v>390</v>
      </c>
      <c r="H352" s="976">
        <v>413.82646999999997</v>
      </c>
      <c r="I352" s="976"/>
      <c r="J352" s="1041">
        <v>7.514462500000036</v>
      </c>
      <c r="K352" s="976">
        <v>421.34093250000001</v>
      </c>
      <c r="L352" s="978">
        <v>31.340932500000008</v>
      </c>
      <c r="M352" s="976" t="s">
        <v>1651</v>
      </c>
      <c r="N352" s="976">
        <v>561.78791000000001</v>
      </c>
      <c r="O352" s="735">
        <f t="shared" si="17"/>
        <v>41.787910000000011</v>
      </c>
      <c r="P352" s="738">
        <f t="shared" si="15"/>
        <v>561787.91</v>
      </c>
      <c r="Q352" s="751">
        <f t="shared" si="16"/>
        <v>562000</v>
      </c>
      <c r="V352" s="988"/>
      <c r="W352" s="1024"/>
      <c r="AY352" s="845"/>
      <c r="AZ352" s="845"/>
      <c r="BA352" s="845"/>
      <c r="BB352" s="845"/>
      <c r="BC352" s="845"/>
      <c r="BD352" s="845"/>
      <c r="BE352" s="845"/>
      <c r="BF352" s="845"/>
      <c r="BG352" s="845"/>
      <c r="BH352" s="845"/>
      <c r="BI352" s="845"/>
      <c r="BJ352" s="845"/>
      <c r="BK352" s="845"/>
      <c r="BL352" s="845"/>
      <c r="BM352" s="845"/>
      <c r="BN352" s="845"/>
      <c r="BO352" s="845"/>
      <c r="BP352" s="845"/>
      <c r="BQ352" s="845"/>
      <c r="BR352" s="845"/>
      <c r="BS352" s="845"/>
      <c r="BT352" s="845"/>
      <c r="BU352" s="845"/>
      <c r="BV352" s="845"/>
      <c r="BW352" s="845"/>
      <c r="BX352" s="845"/>
      <c r="BY352" s="845"/>
      <c r="BZ352" s="845"/>
      <c r="CA352" s="845"/>
      <c r="CB352" s="845"/>
      <c r="CC352" s="845"/>
    </row>
    <row r="353" spans="1:81" ht="14.25" customHeight="1">
      <c r="A353" s="976" t="s">
        <v>1322</v>
      </c>
      <c r="B353" s="976" t="s">
        <v>1218</v>
      </c>
      <c r="C353" s="977">
        <v>1722300110</v>
      </c>
      <c r="D353" s="976" t="s">
        <v>415</v>
      </c>
      <c r="E353" s="976">
        <v>2210</v>
      </c>
      <c r="F353" s="976">
        <v>2210</v>
      </c>
      <c r="G353" s="976">
        <v>1657.5</v>
      </c>
      <c r="H353" s="976">
        <v>1312.0813999999998</v>
      </c>
      <c r="I353" s="976"/>
      <c r="J353" s="1041">
        <v>48.814150000000154</v>
      </c>
      <c r="K353" s="976">
        <v>1360.89555</v>
      </c>
      <c r="L353" s="978">
        <v>-296.60445000000004</v>
      </c>
      <c r="M353" s="976" t="s">
        <v>1651</v>
      </c>
      <c r="N353" s="976">
        <v>1814.5273999999999</v>
      </c>
      <c r="O353" s="735">
        <f t="shared" si="17"/>
        <v>-395.47260000000006</v>
      </c>
      <c r="P353" s="738">
        <f t="shared" si="15"/>
        <v>1814527.4</v>
      </c>
      <c r="Q353" s="751">
        <f t="shared" si="16"/>
        <v>1815000</v>
      </c>
      <c r="V353" s="988"/>
      <c r="W353" s="1024"/>
      <c r="AY353" s="845"/>
      <c r="AZ353" s="845"/>
      <c r="BA353" s="845"/>
      <c r="BB353" s="845"/>
      <c r="BC353" s="845"/>
      <c r="BD353" s="845"/>
      <c r="BE353" s="845"/>
      <c r="BF353" s="845"/>
      <c r="BG353" s="845"/>
      <c r="BH353" s="845"/>
      <c r="BI353" s="845"/>
      <c r="BJ353" s="845"/>
      <c r="BK353" s="845"/>
      <c r="BL353" s="845"/>
      <c r="BM353" s="845"/>
      <c r="BN353" s="845"/>
      <c r="BO353" s="845"/>
      <c r="BP353" s="845"/>
      <c r="BQ353" s="845"/>
      <c r="BR353" s="845"/>
      <c r="BS353" s="845"/>
      <c r="BT353" s="845"/>
      <c r="BU353" s="845"/>
      <c r="BV353" s="845"/>
      <c r="BW353" s="845"/>
      <c r="BX353" s="845"/>
      <c r="BY353" s="845"/>
      <c r="BZ353" s="845"/>
      <c r="CA353" s="845"/>
      <c r="CB353" s="845"/>
      <c r="CC353" s="845"/>
    </row>
    <row r="354" spans="1:81" s="881" customFormat="1" ht="14.25" customHeight="1">
      <c r="A354" s="976" t="s">
        <v>1322</v>
      </c>
      <c r="B354" s="976" t="s">
        <v>1218</v>
      </c>
      <c r="C354" s="977">
        <v>1722400110</v>
      </c>
      <c r="D354" s="976" t="s">
        <v>417</v>
      </c>
      <c r="E354" s="976">
        <v>595</v>
      </c>
      <c r="F354" s="976">
        <v>595</v>
      </c>
      <c r="G354" s="976">
        <v>446.25</v>
      </c>
      <c r="H354" s="976">
        <v>614.71603000000005</v>
      </c>
      <c r="I354" s="976"/>
      <c r="J354" s="1032">
        <v>-36.66561999999999</v>
      </c>
      <c r="K354" s="976">
        <v>578.05041000000006</v>
      </c>
      <c r="L354" s="978">
        <v>131.80041000000006</v>
      </c>
      <c r="M354" s="976" t="s">
        <v>3628</v>
      </c>
      <c r="N354" s="976">
        <v>770.73388000000011</v>
      </c>
      <c r="O354" s="735">
        <f t="shared" si="17"/>
        <v>175.73388000000011</v>
      </c>
      <c r="P354" s="738">
        <f t="shared" si="15"/>
        <v>770733.88000000012</v>
      </c>
      <c r="Q354" s="751">
        <f t="shared" si="16"/>
        <v>771000</v>
      </c>
      <c r="R354" s="879"/>
      <c r="S354" s="879"/>
      <c r="T354" s="879"/>
      <c r="U354" s="880"/>
      <c r="V354" s="988"/>
      <c r="W354" s="1024"/>
      <c r="X354" s="879"/>
      <c r="Y354" s="879"/>
      <c r="Z354" s="879"/>
      <c r="AA354" s="879"/>
      <c r="AB354" s="879"/>
      <c r="AC354" s="879"/>
      <c r="AD354" s="879"/>
      <c r="AE354" s="879"/>
      <c r="AF354" s="879"/>
      <c r="AG354" s="879"/>
      <c r="AH354" s="879"/>
      <c r="AI354" s="879"/>
      <c r="AJ354" s="879"/>
      <c r="AK354" s="879"/>
      <c r="AL354" s="879"/>
      <c r="AM354" s="879"/>
      <c r="AN354" s="879"/>
      <c r="AO354" s="879"/>
      <c r="AP354" s="879"/>
      <c r="AQ354" s="879"/>
      <c r="AR354" s="879"/>
      <c r="AS354" s="879"/>
      <c r="AT354" s="879"/>
      <c r="AU354" s="879"/>
      <c r="AV354" s="879"/>
      <c r="AW354" s="879"/>
      <c r="AX354" s="879"/>
      <c r="AY354" s="879"/>
      <c r="AZ354" s="879"/>
      <c r="BA354" s="879"/>
      <c r="BB354" s="879"/>
      <c r="BC354" s="879"/>
      <c r="BD354" s="879"/>
      <c r="BE354" s="879"/>
      <c r="BF354" s="879"/>
      <c r="BG354" s="879"/>
      <c r="BH354" s="879"/>
      <c r="BI354" s="879"/>
      <c r="BJ354" s="879"/>
      <c r="BK354" s="879"/>
      <c r="BL354" s="879"/>
      <c r="BM354" s="879"/>
      <c r="BN354" s="879"/>
      <c r="BO354" s="879"/>
      <c r="BP354" s="879"/>
      <c r="BQ354" s="879"/>
      <c r="BR354" s="879"/>
      <c r="BS354" s="879"/>
      <c r="BT354" s="879"/>
      <c r="BU354" s="879"/>
      <c r="BV354" s="879"/>
      <c r="BW354" s="879"/>
      <c r="BX354" s="879"/>
      <c r="BY354" s="879"/>
      <c r="BZ354" s="879"/>
      <c r="CA354" s="879"/>
      <c r="CB354" s="879"/>
      <c r="CC354" s="879"/>
    </row>
    <row r="355" spans="1:81" ht="14.25" customHeight="1">
      <c r="A355" s="1017" t="s">
        <v>1322</v>
      </c>
      <c r="B355" s="976" t="s">
        <v>1222</v>
      </c>
      <c r="C355" s="1018">
        <v>1731000110</v>
      </c>
      <c r="D355" s="1017" t="s">
        <v>428</v>
      </c>
      <c r="E355" s="1017">
        <v>7206</v>
      </c>
      <c r="F355" s="1017">
        <v>7206</v>
      </c>
      <c r="G355" s="1017">
        <v>5404.5</v>
      </c>
      <c r="H355" s="1017">
        <v>4875.4286199999997</v>
      </c>
      <c r="I355" s="1017"/>
      <c r="J355" s="1041">
        <v>35.472417500001029</v>
      </c>
      <c r="K355" s="1017">
        <v>4910.9010375000007</v>
      </c>
      <c r="L355" s="1039">
        <v>-493.59896249999929</v>
      </c>
      <c r="M355" s="1017"/>
      <c r="N355" s="1017">
        <v>6547.8680500000009</v>
      </c>
      <c r="O355" s="735">
        <f t="shared" si="17"/>
        <v>-658.13194999999905</v>
      </c>
      <c r="P355" s="738">
        <f t="shared" si="15"/>
        <v>6547868.0500000007</v>
      </c>
      <c r="Q355" s="751">
        <f t="shared" si="16"/>
        <v>6548000</v>
      </c>
      <c r="V355" s="988"/>
      <c r="W355" s="1024"/>
      <c r="AY355" s="845"/>
      <c r="AZ355" s="845"/>
      <c r="BA355" s="845"/>
      <c r="BB355" s="845"/>
      <c r="BC355" s="845"/>
      <c r="BD355" s="845"/>
      <c r="BE355" s="845"/>
      <c r="BF355" s="845"/>
      <c r="BG355" s="845"/>
      <c r="BH355" s="845"/>
      <c r="BI355" s="845"/>
      <c r="BJ355" s="845"/>
      <c r="BK355" s="845"/>
      <c r="BL355" s="845"/>
      <c r="BM355" s="845"/>
      <c r="BN355" s="845"/>
      <c r="BO355" s="845"/>
      <c r="BP355" s="845"/>
      <c r="BQ355" s="845"/>
      <c r="BR355" s="845"/>
      <c r="BS355" s="845"/>
      <c r="BT355" s="845"/>
      <c r="BU355" s="845"/>
      <c r="BV355" s="845"/>
      <c r="BW355" s="845"/>
      <c r="BX355" s="845"/>
      <c r="BY355" s="845"/>
      <c r="BZ355" s="845"/>
      <c r="CA355" s="845"/>
      <c r="CB355" s="845"/>
      <c r="CC355" s="845"/>
    </row>
    <row r="356" spans="1:81" ht="14.25" customHeight="1">
      <c r="A356" s="976" t="s">
        <v>1322</v>
      </c>
      <c r="B356" s="976" t="s">
        <v>1222</v>
      </c>
      <c r="C356" s="977">
        <v>1732000110</v>
      </c>
      <c r="D356" s="976" t="s">
        <v>433</v>
      </c>
      <c r="E356" s="976">
        <v>2612</v>
      </c>
      <c r="F356" s="976">
        <v>2612</v>
      </c>
      <c r="G356" s="976">
        <v>1959</v>
      </c>
      <c r="H356" s="976">
        <v>1831.32311</v>
      </c>
      <c r="I356" s="976"/>
      <c r="J356" s="1032">
        <v>-42.189222500000142</v>
      </c>
      <c r="K356" s="976">
        <v>1789.1338874999999</v>
      </c>
      <c r="L356" s="978">
        <v>-169.8661125000001</v>
      </c>
      <c r="M356" s="976"/>
      <c r="N356" s="976">
        <v>2385.5118499999999</v>
      </c>
      <c r="O356" s="735">
        <f t="shared" si="17"/>
        <v>-226.48815000000013</v>
      </c>
      <c r="P356" s="738">
        <f t="shared" si="15"/>
        <v>2385511.85</v>
      </c>
      <c r="Q356" s="751">
        <f t="shared" si="16"/>
        <v>2386000</v>
      </c>
      <c r="V356" s="988"/>
      <c r="W356" s="1024"/>
      <c r="AY356" s="845"/>
      <c r="AZ356" s="845"/>
      <c r="BA356" s="845"/>
      <c r="BB356" s="845"/>
      <c r="BC356" s="845"/>
      <c r="BD356" s="845"/>
      <c r="BE356" s="845"/>
      <c r="BF356" s="845"/>
      <c r="BG356" s="845"/>
      <c r="BH356" s="845"/>
      <c r="BI356" s="845"/>
      <c r="BJ356" s="845"/>
      <c r="BK356" s="845"/>
      <c r="BL356" s="845"/>
      <c r="BM356" s="845"/>
      <c r="BN356" s="845"/>
      <c r="BO356" s="845"/>
      <c r="BP356" s="845"/>
      <c r="BQ356" s="845"/>
      <c r="BR356" s="845"/>
      <c r="BS356" s="845"/>
      <c r="BT356" s="845"/>
      <c r="BU356" s="845"/>
      <c r="BV356" s="845"/>
      <c r="BW356" s="845"/>
      <c r="BX356" s="845"/>
      <c r="BY356" s="845"/>
      <c r="BZ356" s="845"/>
      <c r="CA356" s="845"/>
      <c r="CB356" s="845"/>
      <c r="CC356" s="845"/>
    </row>
    <row r="357" spans="1:81" ht="14.25" customHeight="1">
      <c r="A357" s="976" t="s">
        <v>1322</v>
      </c>
      <c r="B357" s="976" t="s">
        <v>1222</v>
      </c>
      <c r="C357" s="977">
        <v>1733000110</v>
      </c>
      <c r="D357" s="976" t="s">
        <v>437</v>
      </c>
      <c r="E357" s="976">
        <v>2148</v>
      </c>
      <c r="F357" s="976">
        <v>2148</v>
      </c>
      <c r="G357" s="976">
        <v>1611</v>
      </c>
      <c r="H357" s="976">
        <v>1701.4651200000001</v>
      </c>
      <c r="I357" s="976"/>
      <c r="J357" s="1032">
        <v>-0.35194500000011431</v>
      </c>
      <c r="K357" s="976">
        <v>1701.113175</v>
      </c>
      <c r="L357" s="978">
        <v>90.113174999999956</v>
      </c>
      <c r="M357" s="976"/>
      <c r="N357" s="976">
        <v>2268.1508999999996</v>
      </c>
      <c r="O357" s="735">
        <f t="shared" si="17"/>
        <v>120.15089999999964</v>
      </c>
      <c r="P357" s="738">
        <f t="shared" si="15"/>
        <v>2268150.8999999994</v>
      </c>
      <c r="Q357" s="751">
        <f t="shared" si="16"/>
        <v>2268000</v>
      </c>
      <c r="V357" s="988"/>
      <c r="W357" s="1024"/>
    </row>
    <row r="358" spans="1:81" ht="14.25" customHeight="1">
      <c r="A358" s="976" t="s">
        <v>1322</v>
      </c>
      <c r="B358" s="976" t="s">
        <v>1222</v>
      </c>
      <c r="C358" s="977">
        <v>1734000110</v>
      </c>
      <c r="D358" s="976" t="s">
        <v>440</v>
      </c>
      <c r="E358" s="976">
        <v>1535</v>
      </c>
      <c r="F358" s="976">
        <v>1535</v>
      </c>
      <c r="G358" s="976">
        <v>1151.25</v>
      </c>
      <c r="H358" s="976">
        <v>893.06639000000007</v>
      </c>
      <c r="I358" s="976"/>
      <c r="J358" s="1032">
        <v>-10.390452500000151</v>
      </c>
      <c r="K358" s="976">
        <v>882.67593749999992</v>
      </c>
      <c r="L358" s="978">
        <v>-268.57406250000008</v>
      </c>
      <c r="M358" s="976"/>
      <c r="N358" s="976">
        <v>1176.9012499999999</v>
      </c>
      <c r="O358" s="735">
        <f t="shared" si="17"/>
        <v>-358.09875000000011</v>
      </c>
      <c r="P358" s="738">
        <f t="shared" si="15"/>
        <v>1176901.25</v>
      </c>
      <c r="Q358" s="751">
        <f t="shared" si="16"/>
        <v>1177000</v>
      </c>
      <c r="V358" s="988"/>
      <c r="W358" s="1024"/>
    </row>
    <row r="359" spans="1:81" ht="14.25" customHeight="1">
      <c r="A359" s="976" t="s">
        <v>1322</v>
      </c>
      <c r="B359" s="976" t="s">
        <v>1222</v>
      </c>
      <c r="C359" s="977">
        <v>1735000110</v>
      </c>
      <c r="D359" s="976" t="s">
        <v>443</v>
      </c>
      <c r="E359" s="976">
        <v>1122</v>
      </c>
      <c r="F359" s="976">
        <v>1122</v>
      </c>
      <c r="G359" s="976">
        <v>841.5</v>
      </c>
      <c r="H359" s="976">
        <v>651.67656999999997</v>
      </c>
      <c r="I359" s="976"/>
      <c r="J359" s="1041">
        <v>18.315140000000042</v>
      </c>
      <c r="K359" s="976">
        <v>669.99171000000001</v>
      </c>
      <c r="L359" s="978">
        <v>-171.50828999999999</v>
      </c>
      <c r="M359" s="976"/>
      <c r="N359" s="976">
        <v>893.32227999999998</v>
      </c>
      <c r="O359" s="735">
        <f t="shared" si="17"/>
        <v>-228.67772000000002</v>
      </c>
      <c r="P359" s="738">
        <f t="shared" si="15"/>
        <v>893322.28</v>
      </c>
      <c r="Q359" s="751">
        <f t="shared" si="16"/>
        <v>893000</v>
      </c>
      <c r="V359" s="988"/>
      <c r="W359" s="1024"/>
      <c r="AY359" s="845"/>
      <c r="AZ359" s="845"/>
      <c r="BA359" s="845"/>
      <c r="BB359" s="845"/>
      <c r="BC359" s="845"/>
      <c r="BD359" s="845"/>
      <c r="BE359" s="845"/>
      <c r="BF359" s="845"/>
      <c r="BG359" s="845"/>
      <c r="BH359" s="845"/>
      <c r="BI359" s="845"/>
      <c r="BJ359" s="845"/>
      <c r="BK359" s="845"/>
      <c r="BL359" s="845"/>
      <c r="BM359" s="845"/>
      <c r="BN359" s="845"/>
      <c r="BO359" s="845"/>
      <c r="BP359" s="845"/>
      <c r="BQ359" s="845"/>
      <c r="BR359" s="845"/>
      <c r="BS359" s="845"/>
      <c r="BT359" s="845"/>
      <c r="BU359" s="845"/>
      <c r="BV359" s="845"/>
      <c r="BW359" s="845"/>
      <c r="BX359" s="845"/>
      <c r="BY359" s="845"/>
      <c r="BZ359" s="845"/>
      <c r="CA359" s="845"/>
      <c r="CB359" s="845"/>
      <c r="CC359" s="845"/>
    </row>
    <row r="360" spans="1:81" ht="14.25" customHeight="1">
      <c r="A360" s="976" t="s">
        <v>1322</v>
      </c>
      <c r="B360" s="976"/>
      <c r="C360" s="977">
        <v>1741000110</v>
      </c>
      <c r="D360" s="976" t="s">
        <v>3301</v>
      </c>
      <c r="E360" s="976">
        <v>0</v>
      </c>
      <c r="F360" s="976">
        <v>0</v>
      </c>
      <c r="G360" s="976">
        <v>0</v>
      </c>
      <c r="H360" s="976">
        <v>162.76457000000002</v>
      </c>
      <c r="I360" s="976"/>
      <c r="J360" s="1041">
        <v>27.403442499999954</v>
      </c>
      <c r="K360" s="976">
        <v>190.16801249999997</v>
      </c>
      <c r="L360" s="978">
        <v>190.16801249999997</v>
      </c>
      <c r="M360" s="976"/>
      <c r="N360" s="976">
        <v>253.55734999999993</v>
      </c>
      <c r="O360" s="735">
        <f t="shared" si="17"/>
        <v>253.55734999999993</v>
      </c>
      <c r="P360" s="738">
        <f t="shared" si="15"/>
        <v>253557.34999999992</v>
      </c>
      <c r="Q360" s="751">
        <f t="shared" si="16"/>
        <v>254000</v>
      </c>
      <c r="V360" s="988"/>
      <c r="W360" s="1024"/>
      <c r="AY360" s="845"/>
      <c r="AZ360" s="845"/>
      <c r="BA360" s="845"/>
      <c r="BB360" s="845"/>
      <c r="BC360" s="845"/>
      <c r="BD360" s="845"/>
      <c r="BE360" s="845"/>
      <c r="BF360" s="845"/>
      <c r="BG360" s="845"/>
      <c r="BH360" s="845"/>
      <c r="BI360" s="845"/>
      <c r="BJ360" s="845"/>
      <c r="BK360" s="845"/>
      <c r="BL360" s="845"/>
      <c r="BM360" s="845"/>
      <c r="BN360" s="845"/>
      <c r="BO360" s="845"/>
      <c r="BP360" s="845"/>
      <c r="BQ360" s="845"/>
      <c r="BR360" s="845"/>
      <c r="BS360" s="845"/>
      <c r="BT360" s="845"/>
      <c r="BU360" s="845"/>
      <c r="BV360" s="845"/>
      <c r="BW360" s="845"/>
      <c r="BX360" s="845"/>
      <c r="BY360" s="845"/>
      <c r="BZ360" s="845"/>
      <c r="CA360" s="845"/>
      <c r="CB360" s="845"/>
      <c r="CC360" s="845"/>
    </row>
    <row r="361" spans="1:81" ht="14.25" customHeight="1">
      <c r="A361" s="976" t="s">
        <v>1322</v>
      </c>
      <c r="B361" s="976" t="s">
        <v>1227</v>
      </c>
      <c r="C361" s="977">
        <v>1742000110</v>
      </c>
      <c r="D361" s="976" t="s">
        <v>446</v>
      </c>
      <c r="E361" s="976">
        <v>1839</v>
      </c>
      <c r="F361" s="976">
        <v>1839</v>
      </c>
      <c r="G361" s="976">
        <v>1379.25</v>
      </c>
      <c r="H361" s="976">
        <v>855.80977000000007</v>
      </c>
      <c r="I361" s="976"/>
      <c r="J361" s="1041">
        <v>110.1637475</v>
      </c>
      <c r="K361" s="976">
        <v>965.97351750000007</v>
      </c>
      <c r="L361" s="978">
        <v>-413.27648249999993</v>
      </c>
      <c r="M361" s="976"/>
      <c r="N361" s="976">
        <v>1287.96469</v>
      </c>
      <c r="O361" s="735">
        <f t="shared" si="17"/>
        <v>-551.03530999999998</v>
      </c>
      <c r="P361" s="738">
        <f t="shared" si="15"/>
        <v>1287964.69</v>
      </c>
      <c r="Q361" s="751">
        <f t="shared" si="16"/>
        <v>1288000</v>
      </c>
      <c r="V361" s="988"/>
      <c r="W361" s="1024"/>
      <c r="AY361" s="845"/>
      <c r="AZ361" s="845"/>
      <c r="BA361" s="845"/>
      <c r="BB361" s="845"/>
      <c r="BC361" s="845"/>
      <c r="BD361" s="845"/>
      <c r="BE361" s="845"/>
      <c r="BF361" s="845"/>
      <c r="BG361" s="845"/>
      <c r="BH361" s="845"/>
      <c r="BI361" s="845"/>
      <c r="BJ361" s="845"/>
      <c r="BK361" s="845"/>
      <c r="BL361" s="845"/>
      <c r="BM361" s="845"/>
      <c r="BN361" s="845"/>
      <c r="BO361" s="845"/>
      <c r="BP361" s="845"/>
      <c r="BQ361" s="845"/>
      <c r="BR361" s="845"/>
      <c r="BS361" s="845"/>
      <c r="BT361" s="845"/>
      <c r="BU361" s="845"/>
      <c r="BV361" s="845"/>
      <c r="BW361" s="845"/>
      <c r="BX361" s="845"/>
      <c r="BY361" s="845"/>
      <c r="BZ361" s="845"/>
      <c r="CA361" s="845"/>
      <c r="CB361" s="845"/>
      <c r="CC361" s="845"/>
    </row>
    <row r="362" spans="1:81" ht="14.25" customHeight="1">
      <c r="A362" s="976" t="s">
        <v>1322</v>
      </c>
      <c r="B362" s="976" t="s">
        <v>1227</v>
      </c>
      <c r="C362" s="977">
        <v>1743000110</v>
      </c>
      <c r="D362" s="976" t="s">
        <v>449</v>
      </c>
      <c r="E362" s="976">
        <v>3259</v>
      </c>
      <c r="F362" s="976">
        <v>3259</v>
      </c>
      <c r="G362" s="976">
        <v>2444.25</v>
      </c>
      <c r="H362" s="976">
        <v>2681.6984199999997</v>
      </c>
      <c r="I362" s="976"/>
      <c r="J362" s="1032">
        <v>-33.87949000000026</v>
      </c>
      <c r="K362" s="976">
        <v>2647.8189299999995</v>
      </c>
      <c r="L362" s="978">
        <v>203.56892999999945</v>
      </c>
      <c r="M362" s="976"/>
      <c r="N362" s="976">
        <v>3530.4252399999991</v>
      </c>
      <c r="O362" s="735">
        <f t="shared" si="17"/>
        <v>271.42523999999912</v>
      </c>
      <c r="P362" s="738">
        <f t="shared" si="15"/>
        <v>3530425.2399999993</v>
      </c>
      <c r="Q362" s="751">
        <f t="shared" si="16"/>
        <v>3530000</v>
      </c>
      <c r="V362" s="988"/>
      <c r="W362" s="1024"/>
      <c r="AY362" s="845"/>
      <c r="AZ362" s="845"/>
      <c r="BA362" s="845"/>
      <c r="BB362" s="845"/>
      <c r="BC362" s="845"/>
      <c r="BD362" s="845"/>
      <c r="BE362" s="845"/>
      <c r="BF362" s="845"/>
      <c r="BG362" s="845"/>
      <c r="BH362" s="845"/>
      <c r="BI362" s="845"/>
      <c r="BJ362" s="845"/>
      <c r="BK362" s="845"/>
      <c r="BL362" s="845"/>
      <c r="BM362" s="845"/>
      <c r="BN362" s="845"/>
      <c r="BO362" s="845"/>
      <c r="BP362" s="845"/>
      <c r="BQ362" s="845"/>
      <c r="BR362" s="845"/>
      <c r="BS362" s="845"/>
      <c r="BT362" s="845"/>
      <c r="BU362" s="845"/>
      <c r="BV362" s="845"/>
      <c r="BW362" s="845"/>
      <c r="BX362" s="845"/>
      <c r="BY362" s="845"/>
      <c r="BZ362" s="845"/>
      <c r="CA362" s="845"/>
      <c r="CB362" s="845"/>
      <c r="CC362" s="845"/>
    </row>
    <row r="363" spans="1:81" ht="14.25" customHeight="1">
      <c r="A363" s="976" t="s">
        <v>1322</v>
      </c>
      <c r="B363" s="976" t="s">
        <v>1227</v>
      </c>
      <c r="C363" s="977">
        <v>1744000110</v>
      </c>
      <c r="D363" s="976" t="s">
        <v>457</v>
      </c>
      <c r="E363" s="976">
        <v>352</v>
      </c>
      <c r="F363" s="976">
        <v>352</v>
      </c>
      <c r="G363" s="976">
        <v>264</v>
      </c>
      <c r="H363" s="976">
        <v>286.33933000000002</v>
      </c>
      <c r="I363" s="976"/>
      <c r="J363" s="1032">
        <v>-6.5007925000000455</v>
      </c>
      <c r="K363" s="976">
        <v>279.83853749999997</v>
      </c>
      <c r="L363" s="978">
        <v>15.838537499999973</v>
      </c>
      <c r="M363" s="976"/>
      <c r="N363" s="976">
        <v>373.11804999999993</v>
      </c>
      <c r="O363" s="735">
        <f t="shared" si="17"/>
        <v>21.118049999999926</v>
      </c>
      <c r="P363" s="738">
        <f t="shared" si="15"/>
        <v>373118.04999999993</v>
      </c>
      <c r="Q363" s="751">
        <f t="shared" si="16"/>
        <v>373000</v>
      </c>
      <c r="V363" s="988"/>
      <c r="W363" s="1024"/>
      <c r="AY363" s="845"/>
      <c r="AZ363" s="845"/>
      <c r="BA363" s="845"/>
      <c r="BB363" s="845"/>
      <c r="BC363" s="845"/>
      <c r="BD363" s="845"/>
      <c r="BE363" s="845"/>
      <c r="BF363" s="845"/>
      <c r="BG363" s="845"/>
      <c r="BH363" s="845"/>
      <c r="BI363" s="845"/>
      <c r="BJ363" s="845"/>
      <c r="BK363" s="845"/>
      <c r="BL363" s="845"/>
      <c r="BM363" s="845"/>
      <c r="BN363" s="845"/>
      <c r="BO363" s="845"/>
      <c r="BP363" s="845"/>
      <c r="BQ363" s="845"/>
      <c r="BR363" s="845"/>
      <c r="BS363" s="845"/>
      <c r="BT363" s="845"/>
      <c r="BU363" s="845"/>
      <c r="BV363" s="845"/>
      <c r="BW363" s="845"/>
      <c r="BX363" s="845"/>
      <c r="BY363" s="845"/>
      <c r="BZ363" s="845"/>
      <c r="CA363" s="845"/>
      <c r="CB363" s="845"/>
      <c r="CC363" s="845"/>
    </row>
    <row r="364" spans="1:81" ht="14.25" customHeight="1">
      <c r="A364" s="976" t="s">
        <v>1322</v>
      </c>
      <c r="B364" s="976" t="s">
        <v>1227</v>
      </c>
      <c r="C364" s="977">
        <v>1746000110</v>
      </c>
      <c r="D364" s="976" t="s">
        <v>461</v>
      </c>
      <c r="E364" s="976">
        <v>1612</v>
      </c>
      <c r="F364" s="976">
        <v>1612</v>
      </c>
      <c r="G364" s="976">
        <v>1209</v>
      </c>
      <c r="H364" s="976">
        <v>1369.1656399999999</v>
      </c>
      <c r="I364" s="976"/>
      <c r="J364" s="1032">
        <v>-36.06557749999979</v>
      </c>
      <c r="K364" s="976">
        <v>1333.1000625000001</v>
      </c>
      <c r="L364" s="978">
        <v>124.10006250000015</v>
      </c>
      <c r="M364" s="976"/>
      <c r="N364" s="976">
        <v>1777.4667500000003</v>
      </c>
      <c r="O364" s="735">
        <f t="shared" si="17"/>
        <v>165.46675000000027</v>
      </c>
      <c r="P364" s="738">
        <f t="shared" si="15"/>
        <v>1777466.7500000002</v>
      </c>
      <c r="Q364" s="751">
        <f t="shared" si="16"/>
        <v>1777000</v>
      </c>
      <c r="V364" s="988"/>
      <c r="W364" s="1024"/>
      <c r="AY364" s="845"/>
      <c r="AZ364" s="845"/>
      <c r="BA364" s="845"/>
      <c r="BB364" s="845"/>
      <c r="BC364" s="845"/>
      <c r="BD364" s="845"/>
      <c r="BE364" s="845"/>
      <c r="BF364" s="845"/>
      <c r="BG364" s="845"/>
      <c r="BH364" s="845"/>
      <c r="BI364" s="845"/>
      <c r="BJ364" s="845"/>
      <c r="BK364" s="845"/>
      <c r="BL364" s="845"/>
      <c r="BM364" s="845"/>
      <c r="BN364" s="845"/>
      <c r="BO364" s="845"/>
      <c r="BP364" s="845"/>
      <c r="BQ364" s="845"/>
      <c r="BR364" s="845"/>
      <c r="BS364" s="845"/>
      <c r="BT364" s="845"/>
      <c r="BU364" s="845"/>
      <c r="BV364" s="845"/>
      <c r="BW364" s="845"/>
      <c r="BX364" s="845"/>
      <c r="BY364" s="845"/>
      <c r="BZ364" s="845"/>
      <c r="CA364" s="845"/>
      <c r="CB364" s="845"/>
      <c r="CC364" s="845"/>
    </row>
    <row r="365" spans="1:81" ht="14.25" customHeight="1">
      <c r="A365" s="976" t="s">
        <v>1322</v>
      </c>
      <c r="B365" s="976" t="s">
        <v>1227</v>
      </c>
      <c r="C365" s="977">
        <v>1747000110</v>
      </c>
      <c r="D365" s="976" t="s">
        <v>472</v>
      </c>
      <c r="E365" s="976">
        <v>9400</v>
      </c>
      <c r="F365" s="976">
        <v>9400</v>
      </c>
      <c r="G365" s="976">
        <v>7050</v>
      </c>
      <c r="H365" s="976">
        <v>7668.90661</v>
      </c>
      <c r="I365" s="976"/>
      <c r="J365" s="1032">
        <v>-442.98374500000045</v>
      </c>
      <c r="K365" s="976">
        <v>7225.9228649999995</v>
      </c>
      <c r="L365" s="978">
        <v>175.92286499999955</v>
      </c>
      <c r="M365" s="976"/>
      <c r="N365" s="976">
        <v>9634.5638199999994</v>
      </c>
      <c r="O365" s="735">
        <f t="shared" si="17"/>
        <v>234.5638199999994</v>
      </c>
      <c r="P365" s="738">
        <f t="shared" si="15"/>
        <v>9634563.8200000003</v>
      </c>
      <c r="Q365" s="751">
        <f t="shared" si="16"/>
        <v>9635000</v>
      </c>
      <c r="V365" s="988"/>
      <c r="W365" s="1024"/>
      <c r="AY365" s="845"/>
      <c r="AZ365" s="845"/>
      <c r="BA365" s="845"/>
      <c r="BB365" s="845"/>
      <c r="BC365" s="845"/>
      <c r="BD365" s="845"/>
      <c r="BE365" s="845"/>
      <c r="BF365" s="845"/>
      <c r="BG365" s="845"/>
      <c r="BH365" s="845"/>
      <c r="BI365" s="845"/>
      <c r="BJ365" s="845"/>
      <c r="BK365" s="845"/>
      <c r="BL365" s="845"/>
      <c r="BM365" s="845"/>
      <c r="BN365" s="845"/>
      <c r="BO365" s="845"/>
      <c r="BP365" s="845"/>
      <c r="BQ365" s="845"/>
      <c r="BR365" s="845"/>
      <c r="BS365" s="845"/>
      <c r="BT365" s="845"/>
      <c r="BU365" s="845"/>
      <c r="BV365" s="845"/>
      <c r="BW365" s="845"/>
      <c r="BX365" s="845"/>
      <c r="BY365" s="845"/>
      <c r="BZ365" s="845"/>
      <c r="CA365" s="845"/>
      <c r="CB365" s="845"/>
      <c r="CC365" s="845"/>
    </row>
    <row r="366" spans="1:81" ht="14.25" customHeight="1">
      <c r="A366" s="976" t="s">
        <v>1322</v>
      </c>
      <c r="B366" s="976" t="s">
        <v>1227</v>
      </c>
      <c r="C366" s="977">
        <v>1749000110</v>
      </c>
      <c r="D366" s="976" t="s">
        <v>478</v>
      </c>
      <c r="E366" s="976">
        <v>2199</v>
      </c>
      <c r="F366" s="976">
        <v>2199</v>
      </c>
      <c r="G366" s="976">
        <v>1649.25</v>
      </c>
      <c r="H366" s="976">
        <v>1636.95731</v>
      </c>
      <c r="I366" s="976"/>
      <c r="J366" s="1032">
        <v>-31.922112500000139</v>
      </c>
      <c r="K366" s="976">
        <v>1605.0351974999999</v>
      </c>
      <c r="L366" s="978">
        <v>-44.214802500000133</v>
      </c>
      <c r="M366" s="976"/>
      <c r="N366" s="976">
        <v>2140.04693</v>
      </c>
      <c r="O366" s="735">
        <f t="shared" si="17"/>
        <v>-58.953070000000025</v>
      </c>
      <c r="P366" s="738">
        <f t="shared" si="15"/>
        <v>2140046.9300000002</v>
      </c>
      <c r="Q366" s="751">
        <f t="shared" si="16"/>
        <v>2140000</v>
      </c>
      <c r="V366" s="988"/>
      <c r="W366" s="1024"/>
      <c r="AY366" s="845"/>
      <c r="AZ366" s="845"/>
      <c r="BA366" s="845"/>
      <c r="BB366" s="845"/>
      <c r="BC366" s="845"/>
      <c r="BD366" s="845"/>
      <c r="BE366" s="845"/>
      <c r="BF366" s="845"/>
      <c r="BG366" s="845"/>
      <c r="BH366" s="845"/>
      <c r="BI366" s="845"/>
      <c r="BJ366" s="845"/>
      <c r="BK366" s="845"/>
      <c r="BL366" s="845"/>
      <c r="BM366" s="845"/>
      <c r="BN366" s="845"/>
      <c r="BO366" s="845"/>
      <c r="BP366" s="845"/>
      <c r="BQ366" s="845"/>
      <c r="BR366" s="845"/>
      <c r="BS366" s="845"/>
      <c r="BT366" s="845"/>
      <c r="BU366" s="845"/>
      <c r="BV366" s="845"/>
      <c r="BW366" s="845"/>
      <c r="BX366" s="845"/>
      <c r="BY366" s="845"/>
      <c r="BZ366" s="845"/>
      <c r="CA366" s="845"/>
      <c r="CB366" s="845"/>
      <c r="CC366" s="845"/>
    </row>
    <row r="367" spans="1:81" ht="14.25" customHeight="1">
      <c r="A367" s="976" t="s">
        <v>1322</v>
      </c>
      <c r="B367" s="976" t="s">
        <v>1230</v>
      </c>
      <c r="C367" s="977">
        <v>1752000110</v>
      </c>
      <c r="D367" s="976" t="s">
        <v>492</v>
      </c>
      <c r="E367" s="976">
        <v>8001</v>
      </c>
      <c r="F367" s="976">
        <v>8001</v>
      </c>
      <c r="G367" s="976">
        <v>6000.75</v>
      </c>
      <c r="H367" s="976">
        <v>6103.6286399999999</v>
      </c>
      <c r="I367" s="976"/>
      <c r="J367" s="1032">
        <v>-153.19552500000009</v>
      </c>
      <c r="K367" s="976">
        <v>5950.4331149999998</v>
      </c>
      <c r="L367" s="978">
        <v>-50.316885000000184</v>
      </c>
      <c r="M367" s="976"/>
      <c r="N367" s="976">
        <v>7933.9108200000001</v>
      </c>
      <c r="O367" s="735">
        <f t="shared" si="17"/>
        <v>-67.089179999999942</v>
      </c>
      <c r="P367" s="738">
        <f t="shared" si="15"/>
        <v>7933910.8200000003</v>
      </c>
      <c r="Q367" s="751">
        <f t="shared" si="16"/>
        <v>7934000</v>
      </c>
      <c r="V367" s="988"/>
      <c r="W367" s="1024"/>
    </row>
    <row r="368" spans="1:81" ht="14.25" customHeight="1">
      <c r="A368" s="976" t="s">
        <v>1322</v>
      </c>
      <c r="B368" s="976" t="s">
        <v>1234</v>
      </c>
      <c r="C368" s="977">
        <v>1761000110</v>
      </c>
      <c r="D368" s="976" t="s">
        <v>495</v>
      </c>
      <c r="E368" s="976">
        <v>2020</v>
      </c>
      <c r="F368" s="976">
        <v>2020</v>
      </c>
      <c r="G368" s="976">
        <v>1515</v>
      </c>
      <c r="H368" s="976">
        <v>1531.5092500000001</v>
      </c>
      <c r="I368" s="976"/>
      <c r="J368" s="1032">
        <v>-1.6453675000000203</v>
      </c>
      <c r="K368" s="976">
        <v>1529.8638825</v>
      </c>
      <c r="L368" s="978">
        <v>14.863882500000045</v>
      </c>
      <c r="M368" s="976" t="s">
        <v>1651</v>
      </c>
      <c r="N368" s="976">
        <v>2039.8185100000001</v>
      </c>
      <c r="O368" s="735">
        <f t="shared" si="17"/>
        <v>19.81851000000006</v>
      </c>
      <c r="P368" s="738">
        <f t="shared" si="15"/>
        <v>2039818.51</v>
      </c>
      <c r="Q368" s="751">
        <f t="shared" si="16"/>
        <v>2040000</v>
      </c>
      <c r="V368" s="988"/>
      <c r="W368" s="1024"/>
      <c r="AY368" s="845"/>
      <c r="AZ368" s="845"/>
      <c r="BA368" s="845"/>
      <c r="BB368" s="845"/>
      <c r="BC368" s="845"/>
      <c r="BD368" s="845"/>
      <c r="BE368" s="845"/>
      <c r="BF368" s="845"/>
      <c r="BG368" s="845"/>
      <c r="BH368" s="845"/>
      <c r="BI368" s="845"/>
      <c r="BJ368" s="845"/>
      <c r="BK368" s="845"/>
      <c r="BL368" s="845"/>
      <c r="BM368" s="845"/>
      <c r="BN368" s="845"/>
      <c r="BO368" s="845"/>
      <c r="BP368" s="845"/>
      <c r="BQ368" s="845"/>
      <c r="BR368" s="845"/>
      <c r="BS368" s="845"/>
      <c r="BT368" s="845"/>
      <c r="BU368" s="845"/>
      <c r="BV368" s="845"/>
      <c r="BW368" s="845"/>
      <c r="BX368" s="845"/>
      <c r="BY368" s="845"/>
      <c r="BZ368" s="845"/>
      <c r="CA368" s="845"/>
      <c r="CB368" s="845"/>
      <c r="CC368" s="845"/>
    </row>
    <row r="369" spans="1:81" ht="14.25" customHeight="1">
      <c r="A369" s="976" t="s">
        <v>1322</v>
      </c>
      <c r="B369" s="976" t="s">
        <v>1234</v>
      </c>
      <c r="C369" s="977">
        <v>1764000110</v>
      </c>
      <c r="D369" s="976" t="s">
        <v>498</v>
      </c>
      <c r="E369" s="976">
        <v>317</v>
      </c>
      <c r="F369" s="976">
        <v>317</v>
      </c>
      <c r="G369" s="976">
        <v>237.75</v>
      </c>
      <c r="H369" s="976">
        <v>275.56476000000004</v>
      </c>
      <c r="I369" s="976"/>
      <c r="J369" s="1032">
        <v>-15.353002500000059</v>
      </c>
      <c r="K369" s="976">
        <v>260.21175749999998</v>
      </c>
      <c r="L369" s="978">
        <v>22.461757499999976</v>
      </c>
      <c r="M369" s="976" t="s">
        <v>3629</v>
      </c>
      <c r="N369" s="976">
        <v>346.94900999999999</v>
      </c>
      <c r="O369" s="735">
        <f t="shared" si="17"/>
        <v>29.949009999999987</v>
      </c>
      <c r="P369" s="738">
        <f t="shared" si="15"/>
        <v>346949.01</v>
      </c>
      <c r="Q369" s="751">
        <f t="shared" si="16"/>
        <v>347000</v>
      </c>
      <c r="V369" s="988"/>
      <c r="W369" s="1024"/>
      <c r="AY369" s="845"/>
      <c r="AZ369" s="845"/>
      <c r="BA369" s="845"/>
      <c r="BB369" s="845"/>
      <c r="BC369" s="845"/>
      <c r="BD369" s="845"/>
      <c r="BE369" s="845"/>
      <c r="BF369" s="845"/>
      <c r="BG369" s="845"/>
      <c r="BH369" s="845"/>
      <c r="BI369" s="845"/>
      <c r="BJ369" s="845"/>
      <c r="BK369" s="845"/>
      <c r="BL369" s="845"/>
      <c r="BM369" s="845"/>
      <c r="BN369" s="845"/>
      <c r="BO369" s="845"/>
      <c r="BP369" s="845"/>
      <c r="BQ369" s="845"/>
      <c r="BR369" s="845"/>
      <c r="BS369" s="845"/>
      <c r="BT369" s="845"/>
      <c r="BU369" s="845"/>
      <c r="BV369" s="845"/>
      <c r="BW369" s="845"/>
      <c r="BX369" s="845"/>
      <c r="BY369" s="845"/>
      <c r="BZ369" s="845"/>
      <c r="CA369" s="845"/>
      <c r="CB369" s="845"/>
      <c r="CC369" s="845"/>
    </row>
    <row r="370" spans="1:81" ht="14.25" customHeight="1">
      <c r="A370" s="976" t="s">
        <v>1322</v>
      </c>
      <c r="B370" s="976" t="s">
        <v>1234</v>
      </c>
      <c r="C370" s="977">
        <v>1765000110</v>
      </c>
      <c r="D370" s="976" t="s">
        <v>3302</v>
      </c>
      <c r="E370" s="976">
        <v>0</v>
      </c>
      <c r="F370" s="976">
        <v>0</v>
      </c>
      <c r="G370" s="976">
        <v>0</v>
      </c>
      <c r="H370" s="976">
        <v>0</v>
      </c>
      <c r="I370" s="976"/>
      <c r="J370" s="976">
        <v>0</v>
      </c>
      <c r="K370" s="976">
        <v>0</v>
      </c>
      <c r="L370" s="978">
        <v>0</v>
      </c>
      <c r="M370" s="976"/>
      <c r="N370" s="976">
        <v>0</v>
      </c>
      <c r="O370" s="735">
        <f t="shared" si="17"/>
        <v>0</v>
      </c>
      <c r="P370" s="738">
        <f t="shared" si="15"/>
        <v>0</v>
      </c>
      <c r="Q370" s="751">
        <f t="shared" si="16"/>
        <v>0</v>
      </c>
      <c r="V370" s="988"/>
      <c r="W370" s="1024"/>
      <c r="AY370" s="845"/>
      <c r="AZ370" s="845"/>
      <c r="BA370" s="845"/>
      <c r="BB370" s="845"/>
      <c r="BC370" s="845"/>
      <c r="BD370" s="845"/>
      <c r="BE370" s="845"/>
      <c r="BF370" s="845"/>
      <c r="BG370" s="845"/>
      <c r="BH370" s="845"/>
      <c r="BI370" s="845"/>
      <c r="BJ370" s="845"/>
      <c r="BK370" s="845"/>
      <c r="BL370" s="845"/>
      <c r="BM370" s="845"/>
      <c r="BN370" s="845"/>
      <c r="BO370" s="845"/>
      <c r="BP370" s="845"/>
      <c r="BQ370" s="845"/>
      <c r="BR370" s="845"/>
      <c r="BS370" s="845"/>
      <c r="BT370" s="845"/>
      <c r="BU370" s="845"/>
      <c r="BV370" s="845"/>
      <c r="BW370" s="845"/>
      <c r="BX370" s="845"/>
      <c r="BY370" s="845"/>
      <c r="BZ370" s="845"/>
      <c r="CA370" s="845"/>
      <c r="CB370" s="845"/>
      <c r="CC370" s="845"/>
    </row>
    <row r="371" spans="1:81" ht="14.25" customHeight="1">
      <c r="A371" s="976" t="s">
        <v>1322</v>
      </c>
      <c r="B371" s="976" t="s">
        <v>1234</v>
      </c>
      <c r="C371" s="977">
        <v>1766000110</v>
      </c>
      <c r="D371" s="976" t="s">
        <v>511</v>
      </c>
      <c r="E371" s="976">
        <v>460</v>
      </c>
      <c r="F371" s="976">
        <v>460</v>
      </c>
      <c r="G371" s="976">
        <v>345</v>
      </c>
      <c r="H371" s="976">
        <v>268.61414000000002</v>
      </c>
      <c r="I371" s="976"/>
      <c r="J371" s="1032">
        <v>-12.793962500000021</v>
      </c>
      <c r="K371" s="976">
        <v>255.8201775</v>
      </c>
      <c r="L371" s="978">
        <v>-89.1798225</v>
      </c>
      <c r="M371" s="976"/>
      <c r="N371" s="976">
        <v>341.09357</v>
      </c>
      <c r="O371" s="735">
        <f t="shared" si="17"/>
        <v>-118.90643</v>
      </c>
      <c r="P371" s="738">
        <f t="shared" si="15"/>
        <v>341093.57</v>
      </c>
      <c r="Q371" s="751">
        <f t="shared" si="16"/>
        <v>341000</v>
      </c>
      <c r="V371" s="988"/>
      <c r="W371" s="1024"/>
    </row>
    <row r="372" spans="1:81" ht="14.25" customHeight="1">
      <c r="A372" s="976" t="s">
        <v>1322</v>
      </c>
      <c r="B372" s="976" t="s">
        <v>1237</v>
      </c>
      <c r="C372" s="977">
        <v>1772000110</v>
      </c>
      <c r="D372" s="976" t="s">
        <v>517</v>
      </c>
      <c r="E372" s="976">
        <v>1368</v>
      </c>
      <c r="F372" s="976">
        <v>1368</v>
      </c>
      <c r="G372" s="976">
        <v>1026</v>
      </c>
      <c r="H372" s="976">
        <v>943.26960999999994</v>
      </c>
      <c r="I372" s="976"/>
      <c r="J372" s="1032">
        <v>-28.994387500000016</v>
      </c>
      <c r="K372" s="976">
        <v>914.27522249999993</v>
      </c>
      <c r="L372" s="978">
        <v>-111.72477750000007</v>
      </c>
      <c r="M372" s="976"/>
      <c r="N372" s="976">
        <v>1219.0336299999999</v>
      </c>
      <c r="O372" s="735">
        <f t="shared" si="17"/>
        <v>-148.9663700000001</v>
      </c>
      <c r="P372" s="738">
        <f t="shared" si="15"/>
        <v>1219033.6299999999</v>
      </c>
      <c r="Q372" s="751">
        <f t="shared" si="16"/>
        <v>1219000</v>
      </c>
      <c r="V372" s="988"/>
      <c r="W372" s="1024"/>
    </row>
    <row r="373" spans="1:81" ht="14.25" customHeight="1">
      <c r="A373" s="976" t="s">
        <v>1322</v>
      </c>
      <c r="B373" s="976" t="s">
        <v>1240</v>
      </c>
      <c r="C373" s="977">
        <v>1780000110</v>
      </c>
      <c r="D373" s="976" t="s">
        <v>522</v>
      </c>
      <c r="E373" s="976">
        <v>1155</v>
      </c>
      <c r="F373" s="976">
        <v>1155</v>
      </c>
      <c r="G373" s="976">
        <v>866.25</v>
      </c>
      <c r="H373" s="976">
        <v>794.29993000000002</v>
      </c>
      <c r="I373" s="976"/>
      <c r="J373" s="1041">
        <v>14.487529999999992</v>
      </c>
      <c r="K373" s="976">
        <v>808.78746000000001</v>
      </c>
      <c r="L373" s="978">
        <v>-57.46253999999999</v>
      </c>
      <c r="M373" s="976" t="s">
        <v>1651</v>
      </c>
      <c r="N373" s="976">
        <v>1078.38328</v>
      </c>
      <c r="O373" s="735">
        <f t="shared" si="17"/>
        <v>-76.616719999999987</v>
      </c>
      <c r="P373" s="738">
        <f t="shared" si="15"/>
        <v>1078383.28</v>
      </c>
      <c r="Q373" s="751">
        <f t="shared" si="16"/>
        <v>1078000</v>
      </c>
      <c r="V373" s="988"/>
      <c r="W373" s="1024"/>
      <c r="AY373" s="845"/>
      <c r="AZ373" s="845"/>
      <c r="BA373" s="845"/>
      <c r="BB373" s="845"/>
      <c r="BC373" s="845"/>
      <c r="BD373" s="845"/>
      <c r="BE373" s="845"/>
      <c r="BF373" s="845"/>
      <c r="BG373" s="845"/>
      <c r="BH373" s="845"/>
      <c r="BI373" s="845"/>
      <c r="BJ373" s="845"/>
      <c r="BK373" s="845"/>
      <c r="BL373" s="845"/>
      <c r="BM373" s="845"/>
      <c r="BN373" s="845"/>
      <c r="BO373" s="845"/>
      <c r="BP373" s="845"/>
      <c r="BQ373" s="845"/>
      <c r="BR373" s="845"/>
      <c r="BS373" s="845"/>
      <c r="BT373" s="845"/>
      <c r="BU373" s="845"/>
      <c r="BV373" s="845"/>
      <c r="BW373" s="845"/>
      <c r="BX373" s="845"/>
      <c r="BY373" s="845"/>
      <c r="BZ373" s="845"/>
      <c r="CA373" s="845"/>
      <c r="CB373" s="845"/>
      <c r="CC373" s="845"/>
    </row>
    <row r="374" spans="1:81" ht="14.25" customHeight="1">
      <c r="A374" s="976" t="s">
        <v>1322</v>
      </c>
      <c r="B374" s="976" t="s">
        <v>1240</v>
      </c>
      <c r="C374" s="977">
        <v>1781000110</v>
      </c>
      <c r="D374" s="976" t="s">
        <v>525</v>
      </c>
      <c r="E374" s="976">
        <v>4358</v>
      </c>
      <c r="F374" s="976">
        <v>4358</v>
      </c>
      <c r="G374" s="976">
        <v>3268.5</v>
      </c>
      <c r="H374" s="976">
        <v>3040.35599</v>
      </c>
      <c r="I374" s="976"/>
      <c r="J374" s="1041">
        <v>9.940494999999828</v>
      </c>
      <c r="K374" s="976">
        <v>3050.2964849999998</v>
      </c>
      <c r="L374" s="978">
        <v>-218.20351500000015</v>
      </c>
      <c r="M374" s="976" t="s">
        <v>1651</v>
      </c>
      <c r="N374" s="976">
        <v>4067.0619800000004</v>
      </c>
      <c r="O374" s="735">
        <f t="shared" si="17"/>
        <v>-290.9380199999996</v>
      </c>
      <c r="P374" s="738">
        <f t="shared" si="15"/>
        <v>4067061.9800000004</v>
      </c>
      <c r="Q374" s="751">
        <f t="shared" si="16"/>
        <v>4067000</v>
      </c>
      <c r="V374" s="988"/>
      <c r="W374" s="1024"/>
      <c r="AY374" s="845"/>
      <c r="AZ374" s="845"/>
      <c r="BA374" s="845"/>
      <c r="BB374" s="845"/>
      <c r="BC374" s="845"/>
      <c r="BD374" s="845"/>
      <c r="BE374" s="845"/>
      <c r="BF374" s="845"/>
      <c r="BG374" s="845"/>
      <c r="BH374" s="845"/>
      <c r="BI374" s="845"/>
      <c r="BJ374" s="845"/>
      <c r="BK374" s="845"/>
      <c r="BL374" s="845"/>
      <c r="BM374" s="845"/>
      <c r="BN374" s="845"/>
      <c r="BO374" s="845"/>
      <c r="BP374" s="845"/>
      <c r="BQ374" s="845"/>
      <c r="BR374" s="845"/>
      <c r="BS374" s="845"/>
      <c r="BT374" s="845"/>
      <c r="BU374" s="845"/>
      <c r="BV374" s="845"/>
      <c r="BW374" s="845"/>
      <c r="BX374" s="845"/>
      <c r="BY374" s="845"/>
      <c r="BZ374" s="845"/>
      <c r="CA374" s="845"/>
      <c r="CB374" s="845"/>
      <c r="CC374" s="845"/>
    </row>
    <row r="375" spans="1:81" ht="14.25" customHeight="1">
      <c r="A375" s="976" t="s">
        <v>1322</v>
      </c>
      <c r="B375" s="976" t="s">
        <v>1240</v>
      </c>
      <c r="C375" s="977">
        <v>1782000110</v>
      </c>
      <c r="D375" s="976" t="s">
        <v>528</v>
      </c>
      <c r="E375" s="976">
        <v>634</v>
      </c>
      <c r="F375" s="976">
        <v>634</v>
      </c>
      <c r="G375" s="976">
        <v>475.5</v>
      </c>
      <c r="H375" s="976">
        <v>500.79665</v>
      </c>
      <c r="I375" s="976"/>
      <c r="J375" s="1032">
        <v>-7.3989274999998429</v>
      </c>
      <c r="K375" s="976">
        <v>493.39772250000016</v>
      </c>
      <c r="L375" s="978">
        <v>17.897722500000157</v>
      </c>
      <c r="M375" s="976"/>
      <c r="N375" s="976">
        <v>657.86363000000028</v>
      </c>
      <c r="O375" s="735">
        <f t="shared" si="17"/>
        <v>23.863630000000285</v>
      </c>
      <c r="P375" s="738">
        <f t="shared" si="15"/>
        <v>657863.63000000024</v>
      </c>
      <c r="Q375" s="751">
        <f t="shared" si="16"/>
        <v>658000</v>
      </c>
      <c r="V375" s="988"/>
      <c r="W375" s="1024"/>
      <c r="AY375" s="845"/>
      <c r="AZ375" s="845"/>
      <c r="BA375" s="845"/>
      <c r="BB375" s="845"/>
      <c r="BC375" s="845"/>
      <c r="BD375" s="845"/>
      <c r="BE375" s="845"/>
      <c r="BF375" s="845"/>
      <c r="BG375" s="845"/>
      <c r="BH375" s="845"/>
      <c r="BI375" s="845"/>
      <c r="BJ375" s="845"/>
      <c r="BK375" s="845"/>
      <c r="BL375" s="845"/>
      <c r="BM375" s="845"/>
      <c r="BN375" s="845"/>
      <c r="BO375" s="845"/>
      <c r="BP375" s="845"/>
      <c r="BQ375" s="845"/>
      <c r="BR375" s="845"/>
      <c r="BS375" s="845"/>
      <c r="BT375" s="845"/>
      <c r="BU375" s="845"/>
      <c r="BV375" s="845"/>
      <c r="BW375" s="845"/>
      <c r="BX375" s="845"/>
      <c r="BY375" s="845"/>
      <c r="BZ375" s="845"/>
      <c r="CA375" s="845"/>
      <c r="CB375" s="845"/>
      <c r="CC375" s="845"/>
    </row>
    <row r="376" spans="1:81" ht="14.25" customHeight="1">
      <c r="A376" s="976" t="s">
        <v>1322</v>
      </c>
      <c r="B376" s="976" t="s">
        <v>1240</v>
      </c>
      <c r="C376" s="977">
        <v>1783000110</v>
      </c>
      <c r="D376" s="976" t="s">
        <v>534</v>
      </c>
      <c r="E376" s="976">
        <v>1372</v>
      </c>
      <c r="F376" s="976">
        <v>1372</v>
      </c>
      <c r="G376" s="976">
        <v>1029</v>
      </c>
      <c r="H376" s="976">
        <v>1105.69866</v>
      </c>
      <c r="I376" s="976"/>
      <c r="J376" s="1032">
        <v>-43.44533249999995</v>
      </c>
      <c r="K376" s="976">
        <v>1062.2533275000001</v>
      </c>
      <c r="L376" s="978">
        <v>33.253327500000069</v>
      </c>
      <c r="M376" s="976" t="s">
        <v>1651</v>
      </c>
      <c r="N376" s="976">
        <v>1416.3377700000001</v>
      </c>
      <c r="O376" s="735">
        <f t="shared" si="17"/>
        <v>44.337770000000091</v>
      </c>
      <c r="P376" s="738">
        <f t="shared" si="15"/>
        <v>1416337.77</v>
      </c>
      <c r="Q376" s="751">
        <f t="shared" si="16"/>
        <v>1416000</v>
      </c>
      <c r="V376" s="988"/>
      <c r="W376" s="1024"/>
      <c r="AY376" s="845"/>
      <c r="AZ376" s="845"/>
      <c r="BA376" s="845"/>
      <c r="BB376" s="845"/>
      <c r="BC376" s="845"/>
      <c r="BD376" s="845"/>
      <c r="BE376" s="845"/>
      <c r="BF376" s="845"/>
      <c r="BG376" s="845"/>
      <c r="BH376" s="845"/>
      <c r="BI376" s="845"/>
      <c r="BJ376" s="845"/>
      <c r="BK376" s="845"/>
      <c r="BL376" s="845"/>
      <c r="BM376" s="845"/>
      <c r="BN376" s="845"/>
      <c r="BO376" s="845"/>
      <c r="BP376" s="845"/>
      <c r="BQ376" s="845"/>
      <c r="BR376" s="845"/>
      <c r="BS376" s="845"/>
      <c r="BT376" s="845"/>
      <c r="BU376" s="845"/>
      <c r="BV376" s="845"/>
      <c r="BW376" s="845"/>
      <c r="BX376" s="845"/>
      <c r="BY376" s="845"/>
      <c r="BZ376" s="845"/>
      <c r="CA376" s="845"/>
      <c r="CB376" s="845"/>
      <c r="CC376" s="845"/>
    </row>
    <row r="377" spans="1:81" ht="12.75" customHeight="1">
      <c r="A377" s="976" t="s">
        <v>1322</v>
      </c>
      <c r="B377" s="976" t="s">
        <v>1246</v>
      </c>
      <c r="C377" s="977">
        <v>1791000110</v>
      </c>
      <c r="D377" s="976" t="s">
        <v>536</v>
      </c>
      <c r="E377" s="976">
        <v>340</v>
      </c>
      <c r="F377" s="976">
        <v>340</v>
      </c>
      <c r="G377" s="976">
        <v>255</v>
      </c>
      <c r="H377" s="976">
        <v>301.22373999999996</v>
      </c>
      <c r="I377" s="976"/>
      <c r="J377" s="1032">
        <v>-7.5852999999999611</v>
      </c>
      <c r="K377" s="976">
        <v>293.63844</v>
      </c>
      <c r="L377" s="978">
        <v>38.638440000000003</v>
      </c>
      <c r="M377" s="976"/>
      <c r="N377" s="976">
        <v>391.51792</v>
      </c>
      <c r="O377" s="735">
        <f t="shared" si="17"/>
        <v>51.517920000000004</v>
      </c>
      <c r="P377" s="738">
        <f t="shared" si="15"/>
        <v>391517.92</v>
      </c>
      <c r="Q377" s="751">
        <f t="shared" si="16"/>
        <v>392000</v>
      </c>
      <c r="V377" s="988"/>
      <c r="W377" s="1024"/>
      <c r="AY377" s="845"/>
      <c r="AZ377" s="845"/>
      <c r="BA377" s="845"/>
      <c r="BB377" s="845"/>
      <c r="BC377" s="845"/>
      <c r="BD377" s="845"/>
      <c r="BE377" s="845"/>
      <c r="BF377" s="845"/>
      <c r="BG377" s="845"/>
      <c r="BH377" s="845"/>
      <c r="BI377" s="845"/>
      <c r="BJ377" s="845"/>
      <c r="BK377" s="845"/>
      <c r="BL377" s="845"/>
      <c r="BM377" s="845"/>
      <c r="BN377" s="845"/>
      <c r="BO377" s="845"/>
      <c r="BP377" s="845"/>
      <c r="BQ377" s="845"/>
      <c r="BR377" s="845"/>
      <c r="BS377" s="845"/>
      <c r="BT377" s="845"/>
      <c r="BU377" s="845"/>
      <c r="BV377" s="845"/>
      <c r="BW377" s="845"/>
      <c r="BX377" s="845"/>
      <c r="BY377" s="845"/>
      <c r="BZ377" s="845"/>
      <c r="CA377" s="845"/>
      <c r="CB377" s="845"/>
      <c r="CC377" s="845"/>
    </row>
    <row r="378" spans="1:81" ht="14.25" customHeight="1">
      <c r="A378" s="976" t="s">
        <v>1322</v>
      </c>
      <c r="B378" s="976" t="s">
        <v>1255</v>
      </c>
      <c r="C378" s="977">
        <v>1821100110</v>
      </c>
      <c r="D378" s="976" t="s">
        <v>3303</v>
      </c>
      <c r="E378" s="976">
        <v>0</v>
      </c>
      <c r="F378" s="976">
        <v>0</v>
      </c>
      <c r="G378" s="976">
        <v>0</v>
      </c>
      <c r="H378" s="976">
        <v>0</v>
      </c>
      <c r="I378" s="976"/>
      <c r="J378" s="976">
        <v>0</v>
      </c>
      <c r="K378" s="976">
        <v>0</v>
      </c>
      <c r="L378" s="978">
        <v>0</v>
      </c>
      <c r="M378" s="976"/>
      <c r="N378" s="976">
        <v>0</v>
      </c>
      <c r="O378" s="735">
        <f t="shared" si="17"/>
        <v>0</v>
      </c>
      <c r="P378" s="738">
        <f t="shared" si="15"/>
        <v>0</v>
      </c>
      <c r="Q378" s="751">
        <f t="shared" si="16"/>
        <v>0</v>
      </c>
      <c r="V378" s="988"/>
      <c r="W378" s="1024"/>
      <c r="AY378" s="845"/>
      <c r="AZ378" s="845"/>
      <c r="BA378" s="845"/>
      <c r="BB378" s="845"/>
      <c r="BC378" s="845"/>
      <c r="BD378" s="845"/>
      <c r="BE378" s="845"/>
      <c r="BF378" s="845"/>
      <c r="BG378" s="845"/>
      <c r="BH378" s="845"/>
      <c r="BI378" s="845"/>
      <c r="BJ378" s="845"/>
      <c r="BK378" s="845"/>
      <c r="BL378" s="845"/>
      <c r="BM378" s="845"/>
      <c r="BN378" s="845"/>
      <c r="BO378" s="845"/>
      <c r="BP378" s="845"/>
      <c r="BQ378" s="845"/>
      <c r="BR378" s="845"/>
      <c r="BS378" s="845"/>
      <c r="BT378" s="845"/>
      <c r="BU378" s="845"/>
      <c r="BV378" s="845"/>
      <c r="BW378" s="845"/>
      <c r="BX378" s="845"/>
      <c r="BY378" s="845"/>
      <c r="BZ378" s="845"/>
      <c r="CA378" s="845"/>
      <c r="CB378" s="845"/>
      <c r="CC378" s="845"/>
    </row>
    <row r="379" spans="1:81" ht="14.25" customHeight="1">
      <c r="A379" s="976" t="s">
        <v>1322</v>
      </c>
      <c r="B379" s="976" t="s">
        <v>1255</v>
      </c>
      <c r="C379" s="977">
        <v>1821200110</v>
      </c>
      <c r="D379" s="976" t="s">
        <v>3304</v>
      </c>
      <c r="E379" s="976">
        <v>0</v>
      </c>
      <c r="F379" s="976">
        <v>0</v>
      </c>
      <c r="G379" s="976">
        <v>0</v>
      </c>
      <c r="H379" s="976">
        <v>0</v>
      </c>
      <c r="I379" s="976"/>
      <c r="J379" s="976">
        <v>0</v>
      </c>
      <c r="K379" s="976">
        <v>0</v>
      </c>
      <c r="L379" s="978">
        <v>0</v>
      </c>
      <c r="M379" s="976"/>
      <c r="N379" s="976">
        <v>0</v>
      </c>
      <c r="O379" s="735">
        <f t="shared" si="17"/>
        <v>0</v>
      </c>
      <c r="P379" s="738">
        <f t="shared" si="15"/>
        <v>0</v>
      </c>
      <c r="Q379" s="751">
        <f t="shared" si="16"/>
        <v>0</v>
      </c>
      <c r="V379" s="988"/>
      <c r="W379" s="1024"/>
      <c r="AY379" s="845"/>
      <c r="AZ379" s="845"/>
      <c r="BA379" s="845"/>
      <c r="BB379" s="845"/>
      <c r="BC379" s="845"/>
      <c r="BD379" s="845"/>
      <c r="BE379" s="845"/>
      <c r="BF379" s="845"/>
      <c r="BG379" s="845"/>
      <c r="BH379" s="845"/>
      <c r="BI379" s="845"/>
      <c r="BJ379" s="845"/>
      <c r="BK379" s="845"/>
      <c r="BL379" s="845"/>
      <c r="BM379" s="845"/>
      <c r="BN379" s="845"/>
      <c r="BO379" s="845"/>
      <c r="BP379" s="845"/>
      <c r="BQ379" s="845"/>
      <c r="BR379" s="845"/>
      <c r="BS379" s="845"/>
      <c r="BT379" s="845"/>
      <c r="BU379" s="845"/>
      <c r="BV379" s="845"/>
      <c r="BW379" s="845"/>
      <c r="BX379" s="845"/>
      <c r="BY379" s="845"/>
      <c r="BZ379" s="845"/>
      <c r="CA379" s="845"/>
      <c r="CB379" s="845"/>
      <c r="CC379" s="845"/>
    </row>
    <row r="380" spans="1:81" ht="14.25" customHeight="1">
      <c r="A380" s="976" t="s">
        <v>1322</v>
      </c>
      <c r="B380" s="976" t="s">
        <v>1255</v>
      </c>
      <c r="C380" s="977">
        <v>1822000110</v>
      </c>
      <c r="D380" s="976" t="s">
        <v>3305</v>
      </c>
      <c r="E380" s="976">
        <v>410</v>
      </c>
      <c r="F380" s="976">
        <v>410</v>
      </c>
      <c r="G380" s="976">
        <v>307.5</v>
      </c>
      <c r="H380" s="976">
        <v>272.20749999999998</v>
      </c>
      <c r="I380" s="976"/>
      <c r="J380" s="1041">
        <v>4.9377650000000131</v>
      </c>
      <c r="K380" s="976">
        <v>277.14526499999999</v>
      </c>
      <c r="L380" s="978">
        <v>-30.354735000000005</v>
      </c>
      <c r="M380" s="976"/>
      <c r="N380" s="976">
        <v>369.52701999999999</v>
      </c>
      <c r="O380" s="735">
        <f t="shared" si="17"/>
        <v>-40.472980000000007</v>
      </c>
      <c r="P380" s="738">
        <f t="shared" si="15"/>
        <v>369527.02</v>
      </c>
      <c r="Q380" s="751">
        <f t="shared" si="16"/>
        <v>370000</v>
      </c>
      <c r="V380" s="988"/>
      <c r="W380" s="1024"/>
    </row>
    <row r="381" spans="1:81" ht="14.25" customHeight="1">
      <c r="A381" s="976" t="s">
        <v>1322</v>
      </c>
      <c r="B381" s="976" t="s">
        <v>1255</v>
      </c>
      <c r="C381" s="977">
        <v>1823000110</v>
      </c>
      <c r="D381" s="976" t="s">
        <v>644</v>
      </c>
      <c r="E381" s="976">
        <v>2885</v>
      </c>
      <c r="F381" s="976">
        <v>2885</v>
      </c>
      <c r="G381" s="976">
        <v>2163.75</v>
      </c>
      <c r="H381" s="976">
        <v>1858.6303</v>
      </c>
      <c r="I381" s="976"/>
      <c r="J381" s="1032">
        <v>-0.47654499999998734</v>
      </c>
      <c r="K381" s="976">
        <v>1858.153755</v>
      </c>
      <c r="L381" s="978">
        <v>-305.59624499999995</v>
      </c>
      <c r="M381" s="976" t="s">
        <v>3583</v>
      </c>
      <c r="N381" s="976">
        <v>2477.5383400000001</v>
      </c>
      <c r="O381" s="735">
        <f t="shared" si="17"/>
        <v>-407.46165999999994</v>
      </c>
      <c r="P381" s="738">
        <f t="shared" si="15"/>
        <v>2477538.34</v>
      </c>
      <c r="Q381" s="751">
        <f t="shared" si="16"/>
        <v>2478000</v>
      </c>
      <c r="V381" s="988"/>
      <c r="W381" s="1024"/>
      <c r="AY381" s="845"/>
      <c r="AZ381" s="845"/>
      <c r="BA381" s="845"/>
      <c r="BB381" s="845"/>
      <c r="BC381" s="845"/>
      <c r="BD381" s="845"/>
      <c r="BE381" s="845"/>
      <c r="BF381" s="845"/>
      <c r="BG381" s="845"/>
      <c r="BH381" s="845"/>
      <c r="BI381" s="845"/>
      <c r="BJ381" s="845"/>
      <c r="BK381" s="845"/>
      <c r="BL381" s="845"/>
      <c r="BM381" s="845"/>
      <c r="BN381" s="845"/>
      <c r="BO381" s="845"/>
      <c r="BP381" s="845"/>
      <c r="BQ381" s="845"/>
      <c r="BR381" s="845"/>
      <c r="BS381" s="845"/>
      <c r="BT381" s="845"/>
      <c r="BU381" s="845"/>
      <c r="BV381" s="845"/>
      <c r="BW381" s="845"/>
      <c r="BX381" s="845"/>
      <c r="BY381" s="845"/>
      <c r="BZ381" s="845"/>
      <c r="CA381" s="845"/>
      <c r="CB381" s="845"/>
      <c r="CC381" s="845"/>
    </row>
    <row r="382" spans="1:81" ht="14.25" customHeight="1">
      <c r="A382" s="976" t="s">
        <v>1322</v>
      </c>
      <c r="B382" s="976" t="s">
        <v>1255</v>
      </c>
      <c r="C382" s="977">
        <v>1821300110</v>
      </c>
      <c r="D382" s="976" t="s">
        <v>3306</v>
      </c>
      <c r="E382" s="976">
        <v>0</v>
      </c>
      <c r="F382" s="976">
        <v>0</v>
      </c>
      <c r="G382" s="976">
        <v>0</v>
      </c>
      <c r="H382" s="976">
        <v>0</v>
      </c>
      <c r="I382" s="976"/>
      <c r="J382" s="976">
        <v>0</v>
      </c>
      <c r="K382" s="976">
        <v>0</v>
      </c>
      <c r="L382" s="978">
        <v>0</v>
      </c>
      <c r="M382" s="976"/>
      <c r="N382" s="976">
        <v>0</v>
      </c>
      <c r="O382" s="735">
        <f t="shared" si="17"/>
        <v>0</v>
      </c>
      <c r="P382" s="738">
        <f t="shared" si="15"/>
        <v>0</v>
      </c>
      <c r="Q382" s="751">
        <f t="shared" si="16"/>
        <v>0</v>
      </c>
      <c r="V382" s="988"/>
      <c r="W382" s="1024"/>
      <c r="AY382" s="845"/>
      <c r="AZ382" s="845"/>
      <c r="BA382" s="845"/>
      <c r="BB382" s="845"/>
      <c r="BC382" s="845"/>
      <c r="BD382" s="845"/>
      <c r="BE382" s="845"/>
      <c r="BF382" s="845"/>
      <c r="BG382" s="845"/>
      <c r="BH382" s="845"/>
      <c r="BI382" s="845"/>
      <c r="BJ382" s="845"/>
      <c r="BK382" s="845"/>
      <c r="BL382" s="845"/>
      <c r="BM382" s="845"/>
      <c r="BN382" s="845"/>
      <c r="BO382" s="845"/>
      <c r="BP382" s="845"/>
      <c r="BQ382" s="845"/>
      <c r="BR382" s="845"/>
      <c r="BS382" s="845"/>
      <c r="BT382" s="845"/>
      <c r="BU382" s="845"/>
      <c r="BV382" s="845"/>
      <c r="BW382" s="845"/>
      <c r="BX382" s="845"/>
      <c r="BY382" s="845"/>
      <c r="BZ382" s="845"/>
      <c r="CA382" s="845"/>
      <c r="CB382" s="845"/>
      <c r="CC382" s="845"/>
    </row>
    <row r="383" spans="1:81" ht="14.25" customHeight="1">
      <c r="A383" s="976" t="s">
        <v>1322</v>
      </c>
      <c r="B383" s="976" t="s">
        <v>1255</v>
      </c>
      <c r="C383" s="977">
        <v>1824000110</v>
      </c>
      <c r="D383" s="976" t="s">
        <v>3307</v>
      </c>
      <c r="E383" s="976">
        <v>0</v>
      </c>
      <c r="F383" s="976">
        <v>0</v>
      </c>
      <c r="G383" s="976">
        <v>0</v>
      </c>
      <c r="H383" s="976">
        <v>0</v>
      </c>
      <c r="I383" s="976"/>
      <c r="J383" s="976">
        <v>0</v>
      </c>
      <c r="K383" s="976">
        <v>0</v>
      </c>
      <c r="L383" s="978">
        <v>0</v>
      </c>
      <c r="M383" s="976"/>
      <c r="N383" s="976">
        <v>0</v>
      </c>
      <c r="O383" s="735">
        <f t="shared" si="17"/>
        <v>0</v>
      </c>
      <c r="P383" s="738">
        <f t="shared" si="15"/>
        <v>0</v>
      </c>
      <c r="Q383" s="751">
        <f t="shared" si="16"/>
        <v>0</v>
      </c>
      <c r="V383" s="988"/>
      <c r="W383" s="1024"/>
      <c r="AY383" s="845"/>
      <c r="AZ383" s="845"/>
      <c r="BA383" s="845"/>
      <c r="BB383" s="845"/>
      <c r="BC383" s="845"/>
      <c r="BD383" s="845"/>
      <c r="BE383" s="845"/>
      <c r="BF383" s="845"/>
      <c r="BG383" s="845"/>
      <c r="BH383" s="845"/>
      <c r="BI383" s="845"/>
      <c r="BJ383" s="845"/>
      <c r="BK383" s="845"/>
      <c r="BL383" s="845"/>
      <c r="BM383" s="845"/>
      <c r="BN383" s="845"/>
      <c r="BO383" s="845"/>
      <c r="BP383" s="845"/>
      <c r="BQ383" s="845"/>
      <c r="BR383" s="845"/>
      <c r="BS383" s="845"/>
      <c r="BT383" s="845"/>
      <c r="BU383" s="845"/>
      <c r="BV383" s="845"/>
      <c r="BW383" s="845"/>
      <c r="BX383" s="845"/>
      <c r="BY383" s="845"/>
      <c r="BZ383" s="845"/>
      <c r="CA383" s="845"/>
      <c r="CB383" s="845"/>
      <c r="CC383" s="845"/>
    </row>
    <row r="384" spans="1:81" ht="14.25" customHeight="1">
      <c r="A384" s="976" t="s">
        <v>1322</v>
      </c>
      <c r="B384" s="976" t="s">
        <v>1255</v>
      </c>
      <c r="C384" s="977">
        <v>1825000110</v>
      </c>
      <c r="D384" s="976" t="s">
        <v>652</v>
      </c>
      <c r="E384" s="976">
        <v>570</v>
      </c>
      <c r="F384" s="976">
        <v>570</v>
      </c>
      <c r="G384" s="976">
        <v>427.5</v>
      </c>
      <c r="H384" s="976">
        <v>447.31394</v>
      </c>
      <c r="I384" s="976"/>
      <c r="J384" s="1041">
        <v>11.941697499999918</v>
      </c>
      <c r="K384" s="976">
        <v>459.25563749999992</v>
      </c>
      <c r="L384" s="978">
        <v>31.755637499999921</v>
      </c>
      <c r="M384" s="976"/>
      <c r="N384" s="976">
        <v>612.34084999999993</v>
      </c>
      <c r="O384" s="735">
        <f t="shared" si="17"/>
        <v>42.340849999999932</v>
      </c>
      <c r="P384" s="738">
        <f t="shared" si="15"/>
        <v>612340.85</v>
      </c>
      <c r="Q384" s="751">
        <f t="shared" si="16"/>
        <v>612000</v>
      </c>
      <c r="V384" s="988"/>
      <c r="W384" s="1024"/>
      <c r="AY384" s="845"/>
      <c r="AZ384" s="845"/>
      <c r="BA384" s="845"/>
      <c r="BB384" s="845"/>
      <c r="BC384" s="845"/>
      <c r="BD384" s="845"/>
      <c r="BE384" s="845"/>
      <c r="BF384" s="845"/>
      <c r="BG384" s="845"/>
      <c r="BH384" s="845"/>
      <c r="BI384" s="845"/>
      <c r="BJ384" s="845"/>
      <c r="BK384" s="845"/>
      <c r="BL384" s="845"/>
      <c r="BM384" s="845"/>
      <c r="BN384" s="845"/>
      <c r="BO384" s="845"/>
      <c r="BP384" s="845"/>
      <c r="BQ384" s="845"/>
      <c r="BR384" s="845"/>
      <c r="BS384" s="845"/>
      <c r="BT384" s="845"/>
      <c r="BU384" s="845"/>
      <c r="BV384" s="845"/>
      <c r="BW384" s="845"/>
      <c r="BX384" s="845"/>
      <c r="BY384" s="845"/>
      <c r="BZ384" s="845"/>
      <c r="CA384" s="845"/>
      <c r="CB384" s="845"/>
      <c r="CC384" s="845"/>
    </row>
    <row r="385" spans="1:81" ht="14.25" customHeight="1">
      <c r="A385" s="976" t="s">
        <v>1322</v>
      </c>
      <c r="B385" s="976" t="s">
        <v>1255</v>
      </c>
      <c r="C385" s="977">
        <v>1826000110</v>
      </c>
      <c r="D385" s="976" t="s">
        <v>3308</v>
      </c>
      <c r="E385" s="976">
        <v>0</v>
      </c>
      <c r="F385" s="976">
        <v>0</v>
      </c>
      <c r="G385" s="976">
        <v>0</v>
      </c>
      <c r="H385" s="976">
        <v>0</v>
      </c>
      <c r="I385" s="976"/>
      <c r="J385" s="976">
        <v>0</v>
      </c>
      <c r="K385" s="976">
        <v>0</v>
      </c>
      <c r="L385" s="978">
        <v>0</v>
      </c>
      <c r="M385" s="976"/>
      <c r="N385" s="976">
        <v>0</v>
      </c>
      <c r="O385" s="735">
        <f t="shared" si="17"/>
        <v>0</v>
      </c>
      <c r="P385" s="738">
        <f t="shared" si="15"/>
        <v>0</v>
      </c>
      <c r="Q385" s="751">
        <f t="shared" si="16"/>
        <v>0</v>
      </c>
      <c r="V385" s="988"/>
      <c r="W385" s="1024"/>
      <c r="AY385" s="845"/>
      <c r="AZ385" s="845"/>
      <c r="BA385" s="845"/>
      <c r="BB385" s="845"/>
      <c r="BC385" s="845"/>
      <c r="BD385" s="845"/>
      <c r="BE385" s="845"/>
      <c r="BF385" s="845"/>
      <c r="BG385" s="845"/>
      <c r="BH385" s="845"/>
      <c r="BI385" s="845"/>
      <c r="BJ385" s="845"/>
      <c r="BK385" s="845"/>
      <c r="BL385" s="845"/>
      <c r="BM385" s="845"/>
      <c r="BN385" s="845"/>
      <c r="BO385" s="845"/>
      <c r="BP385" s="845"/>
      <c r="BQ385" s="845"/>
      <c r="BR385" s="845"/>
      <c r="BS385" s="845"/>
      <c r="BT385" s="845"/>
      <c r="BU385" s="845"/>
      <c r="BV385" s="845"/>
      <c r="BW385" s="845"/>
      <c r="BX385" s="845"/>
      <c r="BY385" s="845"/>
      <c r="BZ385" s="845"/>
      <c r="CA385" s="845"/>
      <c r="CB385" s="845"/>
      <c r="CC385" s="845"/>
    </row>
    <row r="386" spans="1:81" ht="14.25" customHeight="1">
      <c r="A386" s="976" t="s">
        <v>1322</v>
      </c>
      <c r="B386" s="976" t="s">
        <v>1255</v>
      </c>
      <c r="C386" s="977">
        <v>1827000110</v>
      </c>
      <c r="D386" s="976" t="s">
        <v>671</v>
      </c>
      <c r="E386" s="976">
        <v>1517</v>
      </c>
      <c r="F386" s="976">
        <v>1517</v>
      </c>
      <c r="G386" s="976">
        <v>1137.75</v>
      </c>
      <c r="H386" s="976">
        <v>1234.9996899999999</v>
      </c>
      <c r="I386" s="976"/>
      <c r="J386" s="1032">
        <v>-108.88869999999997</v>
      </c>
      <c r="K386" s="976">
        <v>1126.1109899999999</v>
      </c>
      <c r="L386" s="978">
        <v>-11.639010000000098</v>
      </c>
      <c r="M386" s="976"/>
      <c r="N386" s="976">
        <v>1501.4813199999999</v>
      </c>
      <c r="O386" s="735">
        <f t="shared" si="17"/>
        <v>-15.518680000000131</v>
      </c>
      <c r="P386" s="738">
        <f t="shared" si="15"/>
        <v>1501481.3199999998</v>
      </c>
      <c r="Q386" s="751">
        <f t="shared" si="16"/>
        <v>1501000</v>
      </c>
      <c r="V386" s="988"/>
      <c r="W386" s="1024"/>
      <c r="AY386" s="845"/>
      <c r="AZ386" s="845"/>
      <c r="BA386" s="845"/>
      <c r="BB386" s="845"/>
      <c r="BC386" s="845"/>
      <c r="BD386" s="845"/>
      <c r="BE386" s="845"/>
      <c r="BF386" s="845"/>
      <c r="BG386" s="845"/>
      <c r="BH386" s="845"/>
      <c r="BI386" s="845"/>
      <c r="BJ386" s="845"/>
      <c r="BK386" s="845"/>
      <c r="BL386" s="845"/>
      <c r="BM386" s="845"/>
      <c r="BN386" s="845"/>
      <c r="BO386" s="845"/>
      <c r="BP386" s="845"/>
      <c r="BQ386" s="845"/>
      <c r="BR386" s="845"/>
      <c r="BS386" s="845"/>
      <c r="BT386" s="845"/>
      <c r="BU386" s="845"/>
      <c r="BV386" s="845"/>
      <c r="BW386" s="845"/>
      <c r="BX386" s="845"/>
      <c r="BY386" s="845"/>
      <c r="BZ386" s="845"/>
      <c r="CA386" s="845"/>
      <c r="CB386" s="845"/>
      <c r="CC386" s="845"/>
    </row>
    <row r="387" spans="1:81" ht="14.25" customHeight="1">
      <c r="A387" s="976" t="s">
        <v>1322</v>
      </c>
      <c r="B387" s="976" t="s">
        <v>1255</v>
      </c>
      <c r="C387" s="977">
        <v>1828000110</v>
      </c>
      <c r="D387" s="976" t="s">
        <v>680</v>
      </c>
      <c r="E387" s="976">
        <v>400</v>
      </c>
      <c r="F387" s="976">
        <v>400</v>
      </c>
      <c r="G387" s="976">
        <v>300</v>
      </c>
      <c r="H387" s="976">
        <v>431.29050999999998</v>
      </c>
      <c r="I387" s="976"/>
      <c r="J387" s="1032">
        <v>-29</v>
      </c>
      <c r="K387" s="976">
        <v>402.29050999999998</v>
      </c>
      <c r="L387" s="978">
        <v>102.29050999999998</v>
      </c>
      <c r="M387" s="976"/>
      <c r="N387" s="976">
        <v>536.38734666666664</v>
      </c>
      <c r="O387" s="735">
        <f t="shared" si="17"/>
        <v>136.38734666666664</v>
      </c>
      <c r="P387" s="738">
        <f t="shared" si="15"/>
        <v>536387.34666666668</v>
      </c>
      <c r="Q387" s="751">
        <f t="shared" si="16"/>
        <v>536000</v>
      </c>
      <c r="V387" s="988"/>
      <c r="W387" s="1024"/>
      <c r="AY387" s="845"/>
      <c r="AZ387" s="845"/>
      <c r="BA387" s="845"/>
      <c r="BB387" s="845"/>
      <c r="BC387" s="845"/>
      <c r="BD387" s="845"/>
      <c r="BE387" s="845"/>
      <c r="BF387" s="845"/>
      <c r="BG387" s="845"/>
      <c r="BH387" s="845"/>
      <c r="BI387" s="845"/>
      <c r="BJ387" s="845"/>
      <c r="BK387" s="845"/>
      <c r="BL387" s="845"/>
      <c r="BM387" s="845"/>
      <c r="BN387" s="845"/>
      <c r="BO387" s="845"/>
      <c r="BP387" s="845"/>
      <c r="BQ387" s="845"/>
      <c r="BR387" s="845"/>
      <c r="BS387" s="845"/>
      <c r="BT387" s="845"/>
      <c r="BU387" s="845"/>
      <c r="BV387" s="845"/>
      <c r="BW387" s="845"/>
      <c r="BX387" s="845"/>
      <c r="BY387" s="845"/>
      <c r="BZ387" s="845"/>
      <c r="CA387" s="845"/>
      <c r="CB387" s="845"/>
      <c r="CC387" s="845"/>
    </row>
    <row r="388" spans="1:81" ht="14.25" customHeight="1">
      <c r="A388" s="976" t="s">
        <v>1322</v>
      </c>
      <c r="B388" s="976" t="s">
        <v>1255</v>
      </c>
      <c r="C388" s="977">
        <v>1828300110</v>
      </c>
      <c r="D388" s="976" t="s">
        <v>691</v>
      </c>
      <c r="E388" s="976">
        <v>370</v>
      </c>
      <c r="F388" s="976">
        <v>370</v>
      </c>
      <c r="G388" s="976">
        <v>277.5</v>
      </c>
      <c r="H388" s="976">
        <v>314.82736999999997</v>
      </c>
      <c r="I388" s="976"/>
      <c r="J388" s="1041">
        <v>24.802562499999965</v>
      </c>
      <c r="K388" s="976">
        <v>339.62993249999994</v>
      </c>
      <c r="L388" s="978">
        <v>62.129932499999938</v>
      </c>
      <c r="M388" s="976"/>
      <c r="N388" s="976">
        <v>452.83990999999992</v>
      </c>
      <c r="O388" s="735">
        <f t="shared" si="17"/>
        <v>82.839909999999918</v>
      </c>
      <c r="P388" s="738">
        <f t="shared" si="15"/>
        <v>452839.90999999992</v>
      </c>
      <c r="Q388" s="751">
        <f t="shared" si="16"/>
        <v>453000</v>
      </c>
      <c r="V388" s="988"/>
      <c r="W388" s="1024"/>
      <c r="AY388" s="845"/>
      <c r="AZ388" s="845"/>
      <c r="BA388" s="845"/>
      <c r="BB388" s="845"/>
      <c r="BC388" s="845"/>
      <c r="BD388" s="845"/>
      <c r="BE388" s="845"/>
      <c r="BF388" s="845"/>
      <c r="BG388" s="845"/>
      <c r="BH388" s="845"/>
      <c r="BI388" s="845"/>
      <c r="BJ388" s="845"/>
      <c r="BK388" s="845"/>
      <c r="BL388" s="845"/>
      <c r="BM388" s="845"/>
      <c r="BN388" s="845"/>
      <c r="BO388" s="845"/>
      <c r="BP388" s="845"/>
      <c r="BQ388" s="845"/>
      <c r="BR388" s="845"/>
      <c r="BS388" s="845"/>
      <c r="BT388" s="845"/>
      <c r="BU388" s="845"/>
      <c r="BV388" s="845"/>
      <c r="BW388" s="845"/>
      <c r="BX388" s="845"/>
      <c r="BY388" s="845"/>
      <c r="BZ388" s="845"/>
      <c r="CA388" s="845"/>
      <c r="CB388" s="845"/>
      <c r="CC388" s="845"/>
    </row>
    <row r="389" spans="1:81" ht="14.25" customHeight="1">
      <c r="A389" s="976" t="s">
        <v>1322</v>
      </c>
      <c r="B389" s="976" t="s">
        <v>1255</v>
      </c>
      <c r="C389" s="977">
        <v>1828400110</v>
      </c>
      <c r="D389" s="976" t="s">
        <v>3309</v>
      </c>
      <c r="E389" s="976">
        <v>547</v>
      </c>
      <c r="F389" s="976">
        <v>547</v>
      </c>
      <c r="G389" s="976">
        <v>410.25</v>
      </c>
      <c r="H389" s="976">
        <v>406.98259000000002</v>
      </c>
      <c r="I389" s="976"/>
      <c r="J389" s="1032">
        <v>-6.1303225000000907</v>
      </c>
      <c r="K389" s="976">
        <v>400.85226749999993</v>
      </c>
      <c r="L389" s="978">
        <v>-9.3977325000000747</v>
      </c>
      <c r="M389" s="976"/>
      <c r="N389" s="976">
        <v>534.4696899999999</v>
      </c>
      <c r="O389" s="735">
        <f t="shared" si="17"/>
        <v>-12.5303100000001</v>
      </c>
      <c r="P389" s="738">
        <f t="shared" si="15"/>
        <v>534469.68999999994</v>
      </c>
      <c r="Q389" s="751">
        <f t="shared" si="16"/>
        <v>534000</v>
      </c>
      <c r="V389" s="988"/>
      <c r="W389" s="1024"/>
      <c r="AY389" s="845"/>
      <c r="AZ389" s="845"/>
      <c r="BA389" s="845"/>
      <c r="BB389" s="845"/>
      <c r="BC389" s="845"/>
      <c r="BD389" s="845"/>
      <c r="BE389" s="845"/>
      <c r="BF389" s="845"/>
      <c r="BG389" s="845"/>
      <c r="BH389" s="845"/>
      <c r="BI389" s="845"/>
      <c r="BJ389" s="845"/>
      <c r="BK389" s="845"/>
      <c r="BL389" s="845"/>
      <c r="BM389" s="845"/>
      <c r="BN389" s="845"/>
      <c r="BO389" s="845"/>
      <c r="BP389" s="845"/>
      <c r="BQ389" s="845"/>
      <c r="BR389" s="845"/>
      <c r="BS389" s="845"/>
      <c r="BT389" s="845"/>
      <c r="BU389" s="845"/>
      <c r="BV389" s="845"/>
      <c r="BW389" s="845"/>
      <c r="BX389" s="845"/>
      <c r="BY389" s="845"/>
      <c r="BZ389" s="845"/>
      <c r="CA389" s="845"/>
      <c r="CB389" s="845"/>
      <c r="CC389" s="845"/>
    </row>
    <row r="390" spans="1:81" ht="14.25" customHeight="1">
      <c r="A390" s="976" t="s">
        <v>1322</v>
      </c>
      <c r="B390" s="976" t="s">
        <v>1255</v>
      </c>
      <c r="C390" s="977">
        <v>1828100110</v>
      </c>
      <c r="D390" s="976" t="s">
        <v>3310</v>
      </c>
      <c r="E390" s="976">
        <v>850</v>
      </c>
      <c r="F390" s="976">
        <v>850</v>
      </c>
      <c r="G390" s="976">
        <v>637.5</v>
      </c>
      <c r="H390" s="976">
        <v>499.52969000000002</v>
      </c>
      <c r="I390" s="976"/>
      <c r="J390" s="1032">
        <v>-44.460425000000043</v>
      </c>
      <c r="K390" s="976">
        <v>455.06926499999997</v>
      </c>
      <c r="L390" s="978">
        <v>-182.43073500000003</v>
      </c>
      <c r="M390" s="976"/>
      <c r="N390" s="976">
        <v>606.75901999999996</v>
      </c>
      <c r="O390" s="735">
        <f t="shared" si="17"/>
        <v>-243.24098000000004</v>
      </c>
      <c r="P390" s="738">
        <f t="shared" si="15"/>
        <v>606759.02</v>
      </c>
      <c r="Q390" s="751">
        <f t="shared" si="16"/>
        <v>607000</v>
      </c>
      <c r="V390" s="988"/>
      <c r="W390" s="1024"/>
      <c r="AY390" s="845"/>
      <c r="AZ390" s="845"/>
      <c r="BA390" s="845"/>
      <c r="BB390" s="845"/>
      <c r="BC390" s="845"/>
      <c r="BD390" s="845"/>
      <c r="BE390" s="845"/>
      <c r="BF390" s="845"/>
      <c r="BG390" s="845"/>
      <c r="BH390" s="845"/>
      <c r="BI390" s="845"/>
      <c r="BJ390" s="845"/>
      <c r="BK390" s="845"/>
      <c r="BL390" s="845"/>
      <c r="BM390" s="845"/>
      <c r="BN390" s="845"/>
      <c r="BO390" s="845"/>
      <c r="BP390" s="845"/>
      <c r="BQ390" s="845"/>
      <c r="BR390" s="845"/>
      <c r="BS390" s="845"/>
      <c r="BT390" s="845"/>
      <c r="BU390" s="845"/>
      <c r="BV390" s="845"/>
      <c r="BW390" s="845"/>
      <c r="BX390" s="845"/>
      <c r="BY390" s="845"/>
      <c r="BZ390" s="845"/>
      <c r="CA390" s="845"/>
      <c r="CB390" s="845"/>
      <c r="CC390" s="845"/>
    </row>
    <row r="391" spans="1:81" ht="14.25" customHeight="1">
      <c r="A391" s="976" t="s">
        <v>1322</v>
      </c>
      <c r="B391" s="976" t="s">
        <v>1255</v>
      </c>
      <c r="C391" s="977">
        <v>1828200110</v>
      </c>
      <c r="D391" s="976" t="s">
        <v>687</v>
      </c>
      <c r="E391" s="976">
        <v>2352</v>
      </c>
      <c r="F391" s="976">
        <v>2352</v>
      </c>
      <c r="G391" s="976">
        <v>1764</v>
      </c>
      <c r="H391" s="976">
        <v>1887.2444499999999</v>
      </c>
      <c r="I391" s="976"/>
      <c r="J391" s="1032">
        <v>-73.662835000000086</v>
      </c>
      <c r="K391" s="976">
        <v>1813.5816149999998</v>
      </c>
      <c r="L391" s="978">
        <v>49.581614999999829</v>
      </c>
      <c r="M391" s="976"/>
      <c r="N391" s="976">
        <v>2418.1088199999995</v>
      </c>
      <c r="O391" s="735">
        <f t="shared" si="17"/>
        <v>66.108819999999469</v>
      </c>
      <c r="P391" s="738">
        <f t="shared" si="15"/>
        <v>2418108.8199999994</v>
      </c>
      <c r="Q391" s="751">
        <f t="shared" si="16"/>
        <v>2418000</v>
      </c>
      <c r="V391" s="988"/>
      <c r="W391" s="1024"/>
      <c r="AY391" s="845"/>
      <c r="AZ391" s="845"/>
      <c r="BA391" s="845"/>
      <c r="BB391" s="845"/>
      <c r="BC391" s="845"/>
      <c r="BD391" s="845"/>
      <c r="BE391" s="845"/>
      <c r="BF391" s="845"/>
      <c r="BG391" s="845"/>
      <c r="BH391" s="845"/>
      <c r="BI391" s="845"/>
      <c r="BJ391" s="845"/>
      <c r="BK391" s="845"/>
      <c r="BL391" s="845"/>
      <c r="BM391" s="845"/>
      <c r="BN391" s="845"/>
      <c r="BO391" s="845"/>
      <c r="BP391" s="845"/>
      <c r="BQ391" s="845"/>
      <c r="BR391" s="845"/>
      <c r="BS391" s="845"/>
      <c r="BT391" s="845"/>
      <c r="BU391" s="845"/>
      <c r="BV391" s="845"/>
      <c r="BW391" s="845"/>
      <c r="BX391" s="845"/>
      <c r="BY391" s="845"/>
      <c r="BZ391" s="845"/>
      <c r="CA391" s="845"/>
      <c r="CB391" s="845"/>
      <c r="CC391" s="845"/>
    </row>
    <row r="392" spans="1:81" ht="14.25" customHeight="1">
      <c r="A392" s="976" t="s">
        <v>1322</v>
      </c>
      <c r="B392" s="976" t="s">
        <v>1255</v>
      </c>
      <c r="C392" s="977">
        <v>1829300110</v>
      </c>
      <c r="D392" s="976" t="s">
        <v>695</v>
      </c>
      <c r="E392" s="976">
        <v>1050</v>
      </c>
      <c r="F392" s="976">
        <v>1050</v>
      </c>
      <c r="G392" s="976">
        <v>787.5</v>
      </c>
      <c r="H392" s="976">
        <v>926.66640000000007</v>
      </c>
      <c r="I392" s="976"/>
      <c r="J392" s="1032">
        <v>-10.325685000000021</v>
      </c>
      <c r="K392" s="976">
        <v>916.34071500000005</v>
      </c>
      <c r="L392" s="978">
        <v>128.84071500000005</v>
      </c>
      <c r="M392" s="976"/>
      <c r="N392" s="976">
        <v>1221.7876200000001</v>
      </c>
      <c r="O392" s="735">
        <f t="shared" si="17"/>
        <v>171.78762000000006</v>
      </c>
      <c r="P392" s="738">
        <f t="shared" ref="P392:P455" si="18">N392*1000</f>
        <v>1221787.6200000001</v>
      </c>
      <c r="Q392" s="751">
        <f t="shared" ref="Q392:Q455" si="19">ROUND(P392,-3)</f>
        <v>1222000</v>
      </c>
      <c r="V392" s="988"/>
      <c r="W392" s="1024"/>
      <c r="AY392" s="845"/>
      <c r="AZ392" s="845"/>
      <c r="BA392" s="845"/>
      <c r="BB392" s="845"/>
      <c r="BC392" s="845"/>
      <c r="BD392" s="845"/>
      <c r="BE392" s="845"/>
      <c r="BF392" s="845"/>
      <c r="BG392" s="845"/>
      <c r="BH392" s="845"/>
      <c r="BI392" s="845"/>
      <c r="BJ392" s="845"/>
      <c r="BK392" s="845"/>
      <c r="BL392" s="845"/>
      <c r="BM392" s="845"/>
      <c r="BN392" s="845"/>
      <c r="BO392" s="845"/>
      <c r="BP392" s="845"/>
      <c r="BQ392" s="845"/>
      <c r="BR392" s="845"/>
      <c r="BS392" s="845"/>
      <c r="BT392" s="845"/>
      <c r="BU392" s="845"/>
      <c r="BV392" s="845"/>
      <c r="BW392" s="845"/>
      <c r="BX392" s="845"/>
      <c r="BY392" s="845"/>
      <c r="BZ392" s="845"/>
      <c r="CA392" s="845"/>
      <c r="CB392" s="845"/>
      <c r="CC392" s="845"/>
    </row>
    <row r="393" spans="1:81" ht="14.25" customHeight="1">
      <c r="A393" s="976" t="s">
        <v>1322</v>
      </c>
      <c r="B393" s="976" t="s">
        <v>1267</v>
      </c>
      <c r="C393" s="977">
        <v>1860000110</v>
      </c>
      <c r="D393" s="976" t="s">
        <v>3311</v>
      </c>
      <c r="E393" s="976">
        <v>730</v>
      </c>
      <c r="F393" s="976">
        <v>730</v>
      </c>
      <c r="G393" s="976">
        <v>547.5</v>
      </c>
      <c r="H393" s="976">
        <v>642.56753000000003</v>
      </c>
      <c r="I393" s="976"/>
      <c r="J393" s="1041">
        <v>70.940019999999777</v>
      </c>
      <c r="K393" s="976">
        <v>713.50754999999981</v>
      </c>
      <c r="L393" s="978">
        <v>166.00754999999981</v>
      </c>
      <c r="M393" s="976"/>
      <c r="N393" s="976">
        <v>951.34339999999975</v>
      </c>
      <c r="O393" s="735">
        <f t="shared" ref="O393:O456" si="20">N393-E393</f>
        <v>221.34339999999975</v>
      </c>
      <c r="P393" s="738">
        <f t="shared" si="18"/>
        <v>951343.39999999979</v>
      </c>
      <c r="Q393" s="751">
        <f t="shared" si="19"/>
        <v>951000</v>
      </c>
      <c r="V393" s="988"/>
      <c r="W393" s="1024"/>
    </row>
    <row r="394" spans="1:81" ht="14.25" customHeight="1">
      <c r="A394" s="976" t="s">
        <v>1322</v>
      </c>
      <c r="B394" s="976" t="s">
        <v>1270</v>
      </c>
      <c r="C394" s="977">
        <v>1870000110</v>
      </c>
      <c r="D394" s="976" t="s">
        <v>839</v>
      </c>
      <c r="E394" s="976">
        <v>590</v>
      </c>
      <c r="F394" s="976">
        <v>590</v>
      </c>
      <c r="G394" s="976">
        <v>442.5</v>
      </c>
      <c r="H394" s="976">
        <v>311.69691999999998</v>
      </c>
      <c r="I394" s="976"/>
      <c r="J394" s="1032">
        <v>-38.775714999999991</v>
      </c>
      <c r="K394" s="976">
        <v>272.92120499999999</v>
      </c>
      <c r="L394" s="978">
        <v>-169.57879500000001</v>
      </c>
      <c r="M394" s="976" t="s">
        <v>1651</v>
      </c>
      <c r="N394" s="976">
        <v>363.89493999999996</v>
      </c>
      <c r="O394" s="735">
        <f t="shared" si="20"/>
        <v>-226.10506000000004</v>
      </c>
      <c r="P394" s="738">
        <f t="shared" si="18"/>
        <v>363894.93999999994</v>
      </c>
      <c r="Q394" s="751">
        <f t="shared" si="19"/>
        <v>364000</v>
      </c>
      <c r="V394" s="988"/>
      <c r="W394" s="1024"/>
      <c r="AY394" s="845"/>
      <c r="AZ394" s="845"/>
      <c r="BA394" s="845"/>
      <c r="BB394" s="845"/>
      <c r="BC394" s="845"/>
      <c r="BD394" s="845"/>
      <c r="BE394" s="845"/>
      <c r="BF394" s="845"/>
      <c r="BG394" s="845"/>
      <c r="BH394" s="845"/>
      <c r="BI394" s="845"/>
      <c r="BJ394" s="845"/>
      <c r="BK394" s="845"/>
      <c r="BL394" s="845"/>
      <c r="BM394" s="845"/>
      <c r="BN394" s="845"/>
      <c r="BO394" s="845"/>
      <c r="BP394" s="845"/>
      <c r="BQ394" s="845"/>
      <c r="BR394" s="845"/>
      <c r="BS394" s="845"/>
      <c r="BT394" s="845"/>
      <c r="BU394" s="845"/>
      <c r="BV394" s="845"/>
      <c r="BW394" s="845"/>
      <c r="BX394" s="845"/>
      <c r="BY394" s="845"/>
      <c r="BZ394" s="845"/>
      <c r="CA394" s="845"/>
      <c r="CB394" s="845"/>
      <c r="CC394" s="845"/>
    </row>
    <row r="395" spans="1:81" ht="14.25" customHeight="1">
      <c r="A395" s="976" t="s">
        <v>1322</v>
      </c>
      <c r="B395" s="976" t="s">
        <v>1283</v>
      </c>
      <c r="C395" s="999">
        <v>1913000110</v>
      </c>
      <c r="D395" s="999" t="s">
        <v>3312</v>
      </c>
      <c r="E395" s="976">
        <v>0</v>
      </c>
      <c r="F395" s="976">
        <v>0</v>
      </c>
      <c r="G395" s="976">
        <v>0</v>
      </c>
      <c r="H395" s="976">
        <v>0</v>
      </c>
      <c r="I395" s="976"/>
      <c r="J395" s="976">
        <v>0</v>
      </c>
      <c r="K395" s="976">
        <v>0</v>
      </c>
      <c r="L395" s="978">
        <v>0</v>
      </c>
      <c r="M395" s="976"/>
      <c r="N395" s="976">
        <v>0</v>
      </c>
      <c r="O395" s="735">
        <f t="shared" si="20"/>
        <v>0</v>
      </c>
      <c r="P395" s="738">
        <f t="shared" si="18"/>
        <v>0</v>
      </c>
      <c r="Q395" s="751">
        <f t="shared" si="19"/>
        <v>0</v>
      </c>
      <c r="V395" s="988"/>
      <c r="W395" s="1024"/>
      <c r="AY395" s="845"/>
      <c r="AZ395" s="845"/>
      <c r="BA395" s="845"/>
      <c r="BB395" s="845"/>
      <c r="BC395" s="845"/>
      <c r="BD395" s="845"/>
      <c r="BE395" s="845"/>
      <c r="BF395" s="845"/>
      <c r="BG395" s="845"/>
      <c r="BH395" s="845"/>
      <c r="BI395" s="845"/>
      <c r="BJ395" s="845"/>
      <c r="BK395" s="845"/>
      <c r="BL395" s="845"/>
      <c r="BM395" s="845"/>
      <c r="BN395" s="845"/>
      <c r="BO395" s="845"/>
      <c r="BP395" s="845"/>
      <c r="BQ395" s="845"/>
      <c r="BR395" s="845"/>
      <c r="BS395" s="845"/>
      <c r="BT395" s="845"/>
      <c r="BU395" s="845"/>
      <c r="BV395" s="845"/>
      <c r="BW395" s="845"/>
      <c r="BX395" s="845"/>
      <c r="BY395" s="845"/>
      <c r="BZ395" s="845"/>
      <c r="CA395" s="845"/>
      <c r="CB395" s="845"/>
      <c r="CC395" s="845"/>
    </row>
    <row r="396" spans="1:81" s="857" customFormat="1" ht="13.5" customHeight="1">
      <c r="A396" s="976" t="s">
        <v>1322</v>
      </c>
      <c r="B396" s="976" t="s">
        <v>1290</v>
      </c>
      <c r="C396" s="977">
        <v>1941000110</v>
      </c>
      <c r="D396" s="976" t="s">
        <v>847</v>
      </c>
      <c r="E396" s="976">
        <v>618</v>
      </c>
      <c r="F396" s="976">
        <v>618</v>
      </c>
      <c r="G396" s="976">
        <v>463.5</v>
      </c>
      <c r="H396" s="976">
        <v>486.30705</v>
      </c>
      <c r="I396" s="976"/>
      <c r="J396" s="1041">
        <v>5.6992800000000443</v>
      </c>
      <c r="K396" s="976">
        <v>492.00633000000005</v>
      </c>
      <c r="L396" s="978">
        <v>28.506330000000048</v>
      </c>
      <c r="M396" s="976"/>
      <c r="N396" s="976">
        <v>656.00844000000006</v>
      </c>
      <c r="O396" s="735">
        <f t="shared" si="20"/>
        <v>38.008440000000064</v>
      </c>
      <c r="P396" s="738">
        <f t="shared" si="18"/>
        <v>656008.44000000006</v>
      </c>
      <c r="Q396" s="751">
        <f t="shared" si="19"/>
        <v>656000</v>
      </c>
      <c r="R396" s="747"/>
      <c r="S396" s="747"/>
      <c r="T396" s="747"/>
      <c r="U396" s="844"/>
      <c r="V396" s="988"/>
      <c r="W396" s="1024"/>
      <c r="X396" s="747"/>
      <c r="Y396" s="747"/>
      <c r="Z396" s="747"/>
      <c r="AA396" s="747"/>
      <c r="AB396" s="747"/>
      <c r="AC396" s="747"/>
      <c r="AD396" s="747"/>
      <c r="AE396" s="747"/>
      <c r="AF396" s="747"/>
      <c r="AG396" s="747"/>
      <c r="AH396" s="747"/>
      <c r="AI396" s="747"/>
      <c r="AJ396" s="747"/>
      <c r="AK396" s="747"/>
      <c r="AL396" s="747"/>
      <c r="AM396" s="747"/>
      <c r="AN396" s="747"/>
      <c r="AO396" s="747"/>
      <c r="AP396" s="747"/>
      <c r="AQ396" s="747"/>
      <c r="AR396" s="747"/>
      <c r="AS396" s="747"/>
      <c r="AT396" s="747"/>
      <c r="AU396" s="747"/>
      <c r="AV396" s="747"/>
      <c r="AW396" s="747"/>
      <c r="AX396" s="747"/>
      <c r="AY396" s="747"/>
      <c r="AZ396" s="747"/>
      <c r="BA396" s="747"/>
      <c r="BB396" s="747"/>
      <c r="BC396" s="747"/>
      <c r="BD396" s="747"/>
      <c r="BE396" s="747"/>
      <c r="BF396" s="747"/>
      <c r="BG396" s="747"/>
      <c r="BH396" s="747"/>
      <c r="BI396" s="747"/>
      <c r="BJ396" s="747"/>
      <c r="BK396" s="747"/>
      <c r="BL396" s="747"/>
      <c r="BM396" s="747"/>
      <c r="BN396" s="747"/>
      <c r="BO396" s="747"/>
      <c r="BP396" s="747"/>
      <c r="BQ396" s="747"/>
      <c r="BR396" s="747"/>
      <c r="BS396" s="747"/>
      <c r="BT396" s="747"/>
      <c r="BU396" s="747"/>
      <c r="BV396" s="747"/>
      <c r="BW396" s="747"/>
      <c r="BX396" s="747"/>
      <c r="BY396" s="747"/>
      <c r="BZ396" s="747"/>
      <c r="CA396" s="747"/>
      <c r="CB396" s="747"/>
      <c r="CC396" s="747"/>
    </row>
    <row r="397" spans="1:81" s="856" customFormat="1" ht="15" customHeight="1">
      <c r="A397" s="976" t="s">
        <v>1322</v>
      </c>
      <c r="B397" s="976" t="s">
        <v>1298</v>
      </c>
      <c r="C397" s="977">
        <v>1980000110</v>
      </c>
      <c r="D397" s="976" t="s">
        <v>850</v>
      </c>
      <c r="E397" s="976">
        <v>44500</v>
      </c>
      <c r="F397" s="976">
        <v>44500</v>
      </c>
      <c r="G397" s="976">
        <v>33375</v>
      </c>
      <c r="H397" s="976">
        <v>33736.035189999995</v>
      </c>
      <c r="I397" s="976"/>
      <c r="J397" s="1032">
        <v>-347.39506500001153</v>
      </c>
      <c r="K397" s="976">
        <v>33388.640124999984</v>
      </c>
      <c r="L397" s="978">
        <v>13.640124999983527</v>
      </c>
      <c r="M397" s="976"/>
      <c r="N397" s="976">
        <v>44518.186833333311</v>
      </c>
      <c r="O397" s="735">
        <f t="shared" si="20"/>
        <v>18.18683333331137</v>
      </c>
      <c r="P397" s="738">
        <f t="shared" si="18"/>
        <v>44518186.833333313</v>
      </c>
      <c r="Q397" s="751">
        <f t="shared" si="19"/>
        <v>44518000</v>
      </c>
      <c r="R397" s="854"/>
      <c r="S397" s="854"/>
      <c r="T397" s="854"/>
      <c r="U397" s="855"/>
      <c r="V397" s="988"/>
      <c r="W397" s="1024"/>
      <c r="X397" s="854"/>
      <c r="Y397" s="854"/>
      <c r="Z397" s="854"/>
      <c r="AA397" s="854"/>
      <c r="AB397" s="854"/>
      <c r="AC397" s="854"/>
      <c r="AD397" s="854"/>
      <c r="AE397" s="854"/>
      <c r="AF397" s="854"/>
      <c r="AG397" s="854"/>
      <c r="AH397" s="854"/>
      <c r="AI397" s="854"/>
      <c r="AJ397" s="854"/>
      <c r="AK397" s="854"/>
      <c r="AL397" s="854"/>
      <c r="AM397" s="854"/>
      <c r="AN397" s="854"/>
      <c r="AO397" s="854"/>
      <c r="AP397" s="854"/>
      <c r="AQ397" s="854"/>
      <c r="AR397" s="854"/>
      <c r="AS397" s="854"/>
      <c r="AT397" s="854"/>
      <c r="AU397" s="854"/>
      <c r="AV397" s="854"/>
      <c r="AW397" s="854"/>
      <c r="AX397" s="854"/>
    </row>
    <row r="398" spans="1:81" s="852" customFormat="1" ht="15" customHeight="1">
      <c r="A398" s="979" t="s">
        <v>3577</v>
      </c>
      <c r="B398" s="976" t="s">
        <v>3862</v>
      </c>
      <c r="C398" s="980" t="s">
        <v>888</v>
      </c>
      <c r="D398" s="979" t="s">
        <v>1482</v>
      </c>
      <c r="E398" s="979">
        <v>153339</v>
      </c>
      <c r="F398" s="979">
        <v>153339</v>
      </c>
      <c r="G398" s="979">
        <v>115004.25</v>
      </c>
      <c r="H398" s="979">
        <v>114835.94029</v>
      </c>
      <c r="I398" s="979">
        <v>0</v>
      </c>
      <c r="J398" s="979">
        <v>-1429.4025900000115</v>
      </c>
      <c r="K398" s="979">
        <v>113406.53770000002</v>
      </c>
      <c r="L398" s="979">
        <v>-1597.712300000017</v>
      </c>
      <c r="M398" s="979">
        <v>0</v>
      </c>
      <c r="N398" s="979">
        <v>151208.71693333331</v>
      </c>
      <c r="O398" s="735">
        <f t="shared" si="20"/>
        <v>-2130.283066666685</v>
      </c>
      <c r="P398" s="738">
        <f t="shared" si="18"/>
        <v>151208716.93333331</v>
      </c>
      <c r="Q398" s="751">
        <f t="shared" si="19"/>
        <v>151209000</v>
      </c>
      <c r="R398" s="853"/>
      <c r="S398" s="853"/>
      <c r="T398" s="853"/>
      <c r="U398" s="853"/>
      <c r="V398" s="988"/>
      <c r="W398" s="1024"/>
      <c r="X398" s="853"/>
      <c r="Y398" s="853"/>
      <c r="Z398" s="853"/>
      <c r="AA398" s="853"/>
      <c r="AB398" s="853"/>
      <c r="AC398" s="853"/>
      <c r="AD398" s="853"/>
      <c r="AE398" s="853"/>
      <c r="AF398" s="853"/>
      <c r="AG398" s="853"/>
      <c r="AH398" s="853"/>
      <c r="AI398" s="853"/>
      <c r="AJ398" s="853"/>
      <c r="AK398" s="853"/>
      <c r="AL398" s="853"/>
      <c r="AM398" s="853"/>
      <c r="AN398" s="853"/>
      <c r="AO398" s="853"/>
      <c r="AP398" s="853"/>
      <c r="AQ398" s="853"/>
      <c r="AR398" s="853"/>
      <c r="AS398" s="853"/>
      <c r="AT398" s="853"/>
      <c r="AU398" s="853"/>
      <c r="AV398" s="853"/>
      <c r="AW398" s="853"/>
      <c r="AX398" s="853"/>
    </row>
    <row r="399" spans="1:81" ht="14.25" customHeight="1">
      <c r="A399" s="981"/>
      <c r="B399" s="976" t="s">
        <v>1079</v>
      </c>
      <c r="C399" s="982"/>
      <c r="D399" s="981" t="s">
        <v>3313</v>
      </c>
      <c r="E399" s="981"/>
      <c r="F399" s="981"/>
      <c r="G399" s="981"/>
      <c r="H399" s="981"/>
      <c r="I399" s="981"/>
      <c r="J399" s="981"/>
      <c r="K399" s="981"/>
      <c r="L399" s="983"/>
      <c r="M399" s="981"/>
      <c r="N399" s="976"/>
      <c r="O399" s="735">
        <f t="shared" si="20"/>
        <v>0</v>
      </c>
      <c r="P399" s="738">
        <f t="shared" si="18"/>
        <v>0</v>
      </c>
      <c r="Q399" s="751">
        <f t="shared" si="19"/>
        <v>0</v>
      </c>
      <c r="U399" s="747"/>
      <c r="V399" s="988"/>
      <c r="W399" s="1024"/>
    </row>
    <row r="400" spans="1:81" ht="14.25" customHeight="1">
      <c r="A400" s="976" t="s">
        <v>3907</v>
      </c>
      <c r="B400" s="976" t="s">
        <v>1194</v>
      </c>
      <c r="C400" s="977">
        <v>1611000511</v>
      </c>
      <c r="D400" s="976" t="s">
        <v>275</v>
      </c>
      <c r="E400" s="976">
        <v>34</v>
      </c>
      <c r="F400" s="976">
        <v>34</v>
      </c>
      <c r="G400" s="976">
        <v>25.5</v>
      </c>
      <c r="H400" s="976">
        <v>3.8398499999999998</v>
      </c>
      <c r="I400" s="976"/>
      <c r="J400" s="1041">
        <v>10</v>
      </c>
      <c r="K400" s="976">
        <v>13.83985</v>
      </c>
      <c r="L400" s="978">
        <v>-11.66015</v>
      </c>
      <c r="M400" s="976" t="s">
        <v>3630</v>
      </c>
      <c r="N400" s="976">
        <v>18.453133333333334</v>
      </c>
      <c r="O400" s="735">
        <f t="shared" si="20"/>
        <v>-15.546866666666666</v>
      </c>
      <c r="P400" s="738">
        <f t="shared" si="18"/>
        <v>18453.133333333335</v>
      </c>
      <c r="Q400" s="751">
        <f t="shared" si="19"/>
        <v>18000</v>
      </c>
      <c r="U400" s="747"/>
      <c r="V400" s="988"/>
      <c r="W400" s="1024"/>
      <c r="AY400" s="845"/>
      <c r="AZ400" s="845"/>
      <c r="BA400" s="845"/>
      <c r="BB400" s="845"/>
      <c r="BC400" s="845"/>
      <c r="BD400" s="845"/>
      <c r="BE400" s="845"/>
      <c r="BF400" s="845"/>
      <c r="BG400" s="845"/>
      <c r="BH400" s="845"/>
      <c r="BI400" s="845"/>
      <c r="BJ400" s="845"/>
      <c r="BK400" s="845"/>
      <c r="BL400" s="845"/>
      <c r="BM400" s="845"/>
      <c r="BN400" s="845"/>
      <c r="BO400" s="845"/>
      <c r="BP400" s="845"/>
      <c r="BQ400" s="845"/>
      <c r="BR400" s="845"/>
      <c r="BS400" s="845"/>
      <c r="BT400" s="845"/>
      <c r="BU400" s="845"/>
      <c r="BV400" s="845"/>
      <c r="BW400" s="845"/>
      <c r="BX400" s="845"/>
      <c r="BY400" s="845"/>
      <c r="BZ400" s="845"/>
      <c r="CA400" s="845"/>
      <c r="CB400" s="845"/>
      <c r="CC400" s="845"/>
    </row>
    <row r="401" spans="1:247" ht="14.25" customHeight="1">
      <c r="A401" s="976" t="s">
        <v>3908</v>
      </c>
      <c r="B401" s="976" t="s">
        <v>1194</v>
      </c>
      <c r="C401" s="977">
        <v>1611000530</v>
      </c>
      <c r="D401" s="976" t="s">
        <v>277</v>
      </c>
      <c r="E401" s="976">
        <v>90</v>
      </c>
      <c r="F401" s="976">
        <v>90</v>
      </c>
      <c r="G401" s="976">
        <v>67.5</v>
      </c>
      <c r="H401" s="976">
        <v>79.036149999999992</v>
      </c>
      <c r="I401" s="976"/>
      <c r="J401" s="976"/>
      <c r="K401" s="976">
        <v>79.036149999999992</v>
      </c>
      <c r="L401" s="978">
        <v>11.536149999999992</v>
      </c>
      <c r="M401" s="976" t="s">
        <v>3630</v>
      </c>
      <c r="N401" s="976">
        <v>105.38153333333332</v>
      </c>
      <c r="O401" s="735">
        <f t="shared" si="20"/>
        <v>15.381533333333323</v>
      </c>
      <c r="P401" s="738">
        <f t="shared" si="18"/>
        <v>105381.53333333333</v>
      </c>
      <c r="Q401" s="751">
        <f t="shared" si="19"/>
        <v>105000</v>
      </c>
      <c r="U401" s="747"/>
      <c r="V401" s="988"/>
      <c r="W401" s="1024"/>
      <c r="AY401" s="845"/>
      <c r="AZ401" s="845"/>
      <c r="BA401" s="845"/>
      <c r="BB401" s="845"/>
      <c r="BC401" s="845"/>
      <c r="BD401" s="845"/>
      <c r="BE401" s="845"/>
      <c r="BF401" s="845"/>
      <c r="BG401" s="845"/>
      <c r="BH401" s="845"/>
      <c r="BI401" s="845"/>
      <c r="BJ401" s="845"/>
      <c r="BK401" s="845"/>
      <c r="BL401" s="845"/>
      <c r="BM401" s="845"/>
      <c r="BN401" s="845"/>
      <c r="BO401" s="845"/>
      <c r="BP401" s="845"/>
      <c r="BQ401" s="845"/>
      <c r="BR401" s="845"/>
      <c r="BS401" s="845"/>
      <c r="BT401" s="845"/>
      <c r="BU401" s="845"/>
      <c r="BV401" s="845"/>
      <c r="BW401" s="845"/>
      <c r="BX401" s="845"/>
      <c r="BY401" s="845"/>
      <c r="BZ401" s="845"/>
      <c r="CA401" s="845"/>
      <c r="CB401" s="845"/>
      <c r="CC401" s="845"/>
    </row>
    <row r="402" spans="1:247" ht="14.25" customHeight="1">
      <c r="A402" s="976" t="s">
        <v>3905</v>
      </c>
      <c r="B402" s="976" t="s">
        <v>1194</v>
      </c>
      <c r="C402" s="977">
        <v>1611000540</v>
      </c>
      <c r="D402" s="976" t="s">
        <v>279</v>
      </c>
      <c r="E402" s="976">
        <v>3</v>
      </c>
      <c r="F402" s="976">
        <v>3</v>
      </c>
      <c r="G402" s="976">
        <v>2.25</v>
      </c>
      <c r="H402" s="976">
        <v>2.09253</v>
      </c>
      <c r="I402" s="976"/>
      <c r="J402" s="976"/>
      <c r="K402" s="976">
        <v>2.09253</v>
      </c>
      <c r="L402" s="978">
        <v>-0.15747</v>
      </c>
      <c r="M402" s="976" t="s">
        <v>3630</v>
      </c>
      <c r="N402" s="976">
        <v>2.7900399999999999</v>
      </c>
      <c r="O402" s="735">
        <f t="shared" si="20"/>
        <v>-0.20996000000000015</v>
      </c>
      <c r="P402" s="738">
        <f t="shared" si="18"/>
        <v>2790.04</v>
      </c>
      <c r="Q402" s="751">
        <f t="shared" si="19"/>
        <v>3000</v>
      </c>
      <c r="U402" s="747"/>
      <c r="V402" s="988"/>
      <c r="W402" s="1024"/>
      <c r="AY402" s="845"/>
      <c r="AZ402" s="845"/>
      <c r="BA402" s="845"/>
      <c r="BB402" s="845"/>
      <c r="BC402" s="845"/>
      <c r="BD402" s="845"/>
      <c r="BE402" s="845"/>
      <c r="BF402" s="845"/>
      <c r="BG402" s="845"/>
      <c r="BH402" s="845"/>
      <c r="BI402" s="845"/>
      <c r="BJ402" s="845"/>
      <c r="BK402" s="845"/>
      <c r="BL402" s="845"/>
      <c r="BM402" s="845"/>
      <c r="BN402" s="845"/>
      <c r="BO402" s="845"/>
      <c r="BP402" s="845"/>
      <c r="BQ402" s="845"/>
      <c r="BR402" s="845"/>
      <c r="BS402" s="845"/>
      <c r="BT402" s="845"/>
      <c r="BU402" s="845"/>
      <c r="BV402" s="845"/>
      <c r="BW402" s="845"/>
      <c r="BX402" s="845"/>
      <c r="BY402" s="845"/>
      <c r="BZ402" s="845"/>
      <c r="CA402" s="845"/>
      <c r="CB402" s="845"/>
      <c r="CC402" s="845"/>
    </row>
    <row r="403" spans="1:247" ht="14.25" customHeight="1">
      <c r="A403" s="976" t="s">
        <v>3909</v>
      </c>
      <c r="B403" s="976" t="s">
        <v>1194</v>
      </c>
      <c r="C403" s="977">
        <v>1611000780</v>
      </c>
      <c r="D403" s="976" t="s">
        <v>280</v>
      </c>
      <c r="E403" s="976">
        <v>55</v>
      </c>
      <c r="F403" s="976">
        <v>55</v>
      </c>
      <c r="G403" s="976">
        <v>41.25</v>
      </c>
      <c r="H403" s="976">
        <v>26.11196</v>
      </c>
      <c r="I403" s="976"/>
      <c r="J403" s="1041">
        <v>15</v>
      </c>
      <c r="K403" s="976">
        <v>41.111959999999996</v>
      </c>
      <c r="L403" s="978">
        <v>-0.13804000000000372</v>
      </c>
      <c r="M403" s="976" t="s">
        <v>3630</v>
      </c>
      <c r="N403" s="976">
        <v>54.815946666666662</v>
      </c>
      <c r="O403" s="735">
        <f t="shared" si="20"/>
        <v>-0.18405333333333829</v>
      </c>
      <c r="P403" s="738">
        <f t="shared" si="18"/>
        <v>54815.946666666663</v>
      </c>
      <c r="Q403" s="751">
        <f t="shared" si="19"/>
        <v>55000</v>
      </c>
      <c r="U403" s="747"/>
      <c r="V403" s="988"/>
      <c r="W403" s="1024"/>
      <c r="AY403" s="845"/>
      <c r="AZ403" s="845"/>
      <c r="BA403" s="845"/>
      <c r="BB403" s="845"/>
      <c r="BC403" s="845"/>
      <c r="BD403" s="845"/>
      <c r="BE403" s="845"/>
      <c r="BF403" s="845"/>
      <c r="BG403" s="845"/>
      <c r="BH403" s="845"/>
      <c r="BI403" s="845"/>
      <c r="BJ403" s="845"/>
      <c r="BK403" s="845"/>
      <c r="BL403" s="845"/>
      <c r="BM403" s="845"/>
      <c r="BN403" s="845"/>
      <c r="BO403" s="845"/>
      <c r="BP403" s="845"/>
      <c r="BQ403" s="845"/>
      <c r="BR403" s="845"/>
      <c r="BS403" s="845"/>
      <c r="BT403" s="845"/>
      <c r="BU403" s="845"/>
      <c r="BV403" s="845"/>
      <c r="BW403" s="845"/>
      <c r="BX403" s="845"/>
      <c r="BY403" s="845"/>
      <c r="BZ403" s="845"/>
      <c r="CA403" s="845"/>
      <c r="CB403" s="845"/>
      <c r="CC403" s="845"/>
    </row>
    <row r="404" spans="1:247" s="883" customFormat="1" ht="14.25" customHeight="1">
      <c r="A404" s="976" t="s">
        <v>3876</v>
      </c>
      <c r="B404" s="976" t="s">
        <v>1194</v>
      </c>
      <c r="C404" s="992">
        <v>1611100440</v>
      </c>
      <c r="D404" s="988" t="s">
        <v>285</v>
      </c>
      <c r="E404" s="976">
        <v>170</v>
      </c>
      <c r="F404" s="976">
        <v>170</v>
      </c>
      <c r="G404" s="976">
        <v>127.5</v>
      </c>
      <c r="H404" s="976">
        <v>155.44985</v>
      </c>
      <c r="I404" s="976"/>
      <c r="J404" s="976"/>
      <c r="K404" s="976">
        <v>155.44985</v>
      </c>
      <c r="L404" s="978">
        <v>27.949849999999998</v>
      </c>
      <c r="M404" s="976"/>
      <c r="N404" s="976">
        <v>207.26646666666667</v>
      </c>
      <c r="O404" s="735">
        <f t="shared" si="20"/>
        <v>37.266466666666673</v>
      </c>
      <c r="P404" s="738">
        <f t="shared" si="18"/>
        <v>207266.46666666667</v>
      </c>
      <c r="Q404" s="751">
        <f t="shared" si="19"/>
        <v>207000</v>
      </c>
      <c r="R404" s="882"/>
      <c r="S404" s="882"/>
      <c r="T404" s="882"/>
      <c r="U404" s="882"/>
      <c r="V404" s="988"/>
      <c r="W404" s="1024"/>
      <c r="X404" s="882"/>
      <c r="Y404" s="882"/>
      <c r="Z404" s="882"/>
      <c r="AA404" s="882"/>
      <c r="AB404" s="882"/>
      <c r="AC404" s="882"/>
      <c r="AD404" s="882"/>
      <c r="AE404" s="882"/>
      <c r="AF404" s="882"/>
      <c r="AG404" s="882"/>
      <c r="AH404" s="882"/>
      <c r="AI404" s="882"/>
      <c r="AJ404" s="882"/>
      <c r="AK404" s="882"/>
      <c r="AL404" s="882"/>
      <c r="AM404" s="882"/>
      <c r="AN404" s="882"/>
      <c r="AO404" s="882"/>
      <c r="AP404" s="882"/>
      <c r="AQ404" s="882"/>
      <c r="AR404" s="882"/>
      <c r="AS404" s="882"/>
      <c r="AT404" s="882"/>
      <c r="AU404" s="882"/>
      <c r="AV404" s="882"/>
      <c r="AW404" s="882"/>
      <c r="AX404" s="882"/>
      <c r="AY404" s="882"/>
      <c r="AZ404" s="882"/>
      <c r="BA404" s="882"/>
      <c r="BB404" s="882"/>
      <c r="BC404" s="882"/>
      <c r="BD404" s="882"/>
      <c r="BE404" s="882"/>
      <c r="BF404" s="882"/>
      <c r="BG404" s="882"/>
      <c r="BH404" s="882"/>
      <c r="BI404" s="882"/>
      <c r="BJ404" s="882"/>
      <c r="BK404" s="882"/>
      <c r="BL404" s="882"/>
      <c r="BM404" s="882"/>
      <c r="BN404" s="882"/>
      <c r="BO404" s="882"/>
      <c r="BP404" s="882"/>
      <c r="BQ404" s="882"/>
      <c r="BR404" s="882"/>
      <c r="BS404" s="882"/>
      <c r="BT404" s="882"/>
      <c r="BU404" s="882"/>
      <c r="BV404" s="882"/>
      <c r="BW404" s="882"/>
      <c r="BX404" s="882"/>
      <c r="BY404" s="882"/>
      <c r="BZ404" s="882"/>
      <c r="CA404" s="882"/>
      <c r="CB404" s="882"/>
      <c r="CC404" s="882"/>
    </row>
    <row r="405" spans="1:247" ht="14.25" customHeight="1">
      <c r="A405" s="976" t="s">
        <v>3910</v>
      </c>
      <c r="B405" s="976" t="s">
        <v>1194</v>
      </c>
      <c r="C405" s="977">
        <v>1611100754</v>
      </c>
      <c r="D405" s="1028" t="s">
        <v>3314</v>
      </c>
      <c r="E405" s="976">
        <v>200</v>
      </c>
      <c r="F405" s="976">
        <v>200</v>
      </c>
      <c r="G405" s="976">
        <v>150</v>
      </c>
      <c r="H405" s="976">
        <v>228.67546999999999</v>
      </c>
      <c r="I405" s="976"/>
      <c r="J405" s="1041">
        <v>8</v>
      </c>
      <c r="K405" s="976">
        <v>236.67546999999999</v>
      </c>
      <c r="L405" s="978">
        <v>86.67546999999999</v>
      </c>
      <c r="M405" s="976" t="s">
        <v>3631</v>
      </c>
      <c r="N405" s="976">
        <v>315.56729333333328</v>
      </c>
      <c r="O405" s="735">
        <f t="shared" si="20"/>
        <v>115.56729333333328</v>
      </c>
      <c r="P405" s="738">
        <f t="shared" si="18"/>
        <v>315567.29333333328</v>
      </c>
      <c r="Q405" s="751">
        <f t="shared" si="19"/>
        <v>316000</v>
      </c>
      <c r="U405" s="747"/>
      <c r="V405" s="988"/>
      <c r="W405" s="1024"/>
    </row>
    <row r="406" spans="1:247" ht="14.25" customHeight="1">
      <c r="A406" s="976" t="s">
        <v>3911</v>
      </c>
      <c r="B406" s="976" t="s">
        <v>1194</v>
      </c>
      <c r="C406" s="977">
        <v>1611100755</v>
      </c>
      <c r="D406" s="1028" t="s">
        <v>294</v>
      </c>
      <c r="E406" s="976">
        <v>50</v>
      </c>
      <c r="F406" s="976">
        <v>50</v>
      </c>
      <c r="G406" s="976">
        <v>37.5</v>
      </c>
      <c r="H406" s="976">
        <v>0</v>
      </c>
      <c r="I406" s="976"/>
      <c r="J406" s="976">
        <v>0</v>
      </c>
      <c r="K406" s="976">
        <v>0</v>
      </c>
      <c r="L406" s="978">
        <v>-37.5</v>
      </c>
      <c r="M406" s="976" t="s">
        <v>3630</v>
      </c>
      <c r="N406" s="976">
        <v>0</v>
      </c>
      <c r="O406" s="735">
        <f t="shared" si="20"/>
        <v>-50</v>
      </c>
      <c r="P406" s="738">
        <f t="shared" si="18"/>
        <v>0</v>
      </c>
      <c r="Q406" s="751">
        <f t="shared" si="19"/>
        <v>0</v>
      </c>
      <c r="U406" s="747"/>
      <c r="V406" s="988"/>
      <c r="W406" s="1024"/>
    </row>
    <row r="407" spans="1:247" ht="14.25" customHeight="1">
      <c r="A407" s="976" t="s">
        <v>3912</v>
      </c>
      <c r="B407" s="976" t="s">
        <v>1194</v>
      </c>
      <c r="C407" s="977">
        <v>1611100781</v>
      </c>
      <c r="D407" s="1028" t="s">
        <v>3315</v>
      </c>
      <c r="E407" s="976">
        <v>70</v>
      </c>
      <c r="F407" s="976">
        <v>70</v>
      </c>
      <c r="G407" s="976">
        <v>52.5</v>
      </c>
      <c r="H407" s="976">
        <v>37.901440000000001</v>
      </c>
      <c r="I407" s="976"/>
      <c r="J407" s="1032">
        <v>-5</v>
      </c>
      <c r="K407" s="976">
        <v>32.901440000000001</v>
      </c>
      <c r="L407" s="978">
        <v>-19.598559999999999</v>
      </c>
      <c r="M407" s="976" t="s">
        <v>3630</v>
      </c>
      <c r="N407" s="976">
        <v>43.868586666666666</v>
      </c>
      <c r="O407" s="735">
        <f t="shared" si="20"/>
        <v>-26.131413333333334</v>
      </c>
      <c r="P407" s="738">
        <f t="shared" si="18"/>
        <v>43868.586666666662</v>
      </c>
      <c r="Q407" s="751">
        <f t="shared" si="19"/>
        <v>44000</v>
      </c>
      <c r="U407" s="747"/>
      <c r="V407" s="988"/>
      <c r="W407" s="1024"/>
    </row>
    <row r="408" spans="1:247" ht="15.75" customHeight="1">
      <c r="A408" s="976" t="s">
        <v>3907</v>
      </c>
      <c r="B408" s="976" t="s">
        <v>1194</v>
      </c>
      <c r="C408" s="977">
        <v>1611100511</v>
      </c>
      <c r="D408" s="1028" t="s">
        <v>275</v>
      </c>
      <c r="E408" s="976">
        <v>40</v>
      </c>
      <c r="F408" s="976">
        <v>40</v>
      </c>
      <c r="G408" s="976">
        <v>30</v>
      </c>
      <c r="H408" s="976">
        <v>33.353349999999999</v>
      </c>
      <c r="I408" s="976"/>
      <c r="J408" s="976"/>
      <c r="K408" s="976">
        <v>33.353349999999999</v>
      </c>
      <c r="L408" s="978">
        <v>3.3533499999999989</v>
      </c>
      <c r="M408" s="976" t="s">
        <v>3630</v>
      </c>
      <c r="N408" s="976">
        <v>44.471133333333327</v>
      </c>
      <c r="O408" s="735">
        <f t="shared" si="20"/>
        <v>4.4711333333333272</v>
      </c>
      <c r="P408" s="738">
        <f t="shared" si="18"/>
        <v>44471.133333333324</v>
      </c>
      <c r="Q408" s="751">
        <f t="shared" si="19"/>
        <v>44000</v>
      </c>
      <c r="U408" s="747"/>
      <c r="V408" s="988"/>
      <c r="W408" s="1024"/>
    </row>
    <row r="409" spans="1:247" s="747" customFormat="1" ht="14.25" customHeight="1">
      <c r="A409" s="976" t="s">
        <v>3908</v>
      </c>
      <c r="B409" s="976" t="s">
        <v>1194</v>
      </c>
      <c r="C409" s="977">
        <v>1611100530</v>
      </c>
      <c r="D409" s="1028" t="s">
        <v>277</v>
      </c>
      <c r="E409" s="976">
        <v>120</v>
      </c>
      <c r="F409" s="976">
        <v>120</v>
      </c>
      <c r="G409" s="976">
        <v>90</v>
      </c>
      <c r="H409" s="976">
        <v>61.164720000000003</v>
      </c>
      <c r="I409" s="976"/>
      <c r="J409" s="1041">
        <v>10</v>
      </c>
      <c r="K409" s="976">
        <v>71.164720000000003</v>
      </c>
      <c r="L409" s="978">
        <v>-18.835279999999997</v>
      </c>
      <c r="M409" s="976" t="s">
        <v>3630</v>
      </c>
      <c r="N409" s="976">
        <v>94.886293333333342</v>
      </c>
      <c r="O409" s="735">
        <f t="shared" si="20"/>
        <v>-25.113706666666658</v>
      </c>
      <c r="P409" s="738">
        <f t="shared" si="18"/>
        <v>94886.293333333335</v>
      </c>
      <c r="Q409" s="751">
        <f t="shared" si="19"/>
        <v>95000</v>
      </c>
      <c r="V409" s="988"/>
      <c r="W409" s="1024"/>
      <c r="AY409" s="845"/>
      <c r="AZ409" s="845"/>
      <c r="BA409" s="845"/>
      <c r="BB409" s="845"/>
      <c r="BC409" s="845"/>
      <c r="BD409" s="845"/>
      <c r="BE409" s="845"/>
      <c r="BF409" s="845"/>
      <c r="BG409" s="845"/>
      <c r="BH409" s="845"/>
      <c r="BI409" s="845"/>
      <c r="BJ409" s="845"/>
      <c r="BK409" s="845"/>
      <c r="BL409" s="845"/>
      <c r="BM409" s="845"/>
      <c r="BN409" s="845"/>
      <c r="BO409" s="845"/>
      <c r="BP409" s="845"/>
      <c r="BQ409" s="845"/>
      <c r="BR409" s="845"/>
      <c r="BS409" s="845"/>
      <c r="BT409" s="845"/>
      <c r="BU409" s="845"/>
      <c r="BV409" s="845"/>
      <c r="BW409" s="845"/>
      <c r="BX409" s="845"/>
      <c r="BY409" s="845"/>
      <c r="BZ409" s="845"/>
      <c r="CA409" s="845"/>
      <c r="CB409" s="845"/>
      <c r="CC409" s="845"/>
      <c r="CD409" s="845"/>
      <c r="CE409" s="845"/>
      <c r="CF409" s="845"/>
      <c r="CG409" s="845"/>
      <c r="CH409" s="845"/>
      <c r="CI409" s="845"/>
      <c r="CJ409" s="845"/>
      <c r="CK409" s="845"/>
      <c r="CL409" s="845"/>
      <c r="CM409" s="845"/>
      <c r="CN409" s="845"/>
      <c r="CO409" s="845"/>
      <c r="CP409" s="845"/>
      <c r="CQ409" s="845"/>
      <c r="CR409" s="845"/>
      <c r="CS409" s="845"/>
      <c r="CT409" s="845"/>
      <c r="CU409" s="845"/>
      <c r="CV409" s="845"/>
      <c r="CW409" s="845"/>
      <c r="CX409" s="845"/>
      <c r="CY409" s="845"/>
      <c r="CZ409" s="845"/>
      <c r="DA409" s="845"/>
      <c r="DB409" s="845"/>
      <c r="DC409" s="845"/>
      <c r="DD409" s="845"/>
      <c r="DE409" s="845"/>
      <c r="DF409" s="845"/>
      <c r="DG409" s="845"/>
      <c r="DH409" s="845"/>
      <c r="DI409" s="845"/>
      <c r="DJ409" s="845"/>
      <c r="DK409" s="845"/>
      <c r="DL409" s="845"/>
      <c r="DM409" s="845"/>
      <c r="DN409" s="845"/>
      <c r="DO409" s="845"/>
      <c r="DP409" s="845"/>
      <c r="DQ409" s="845"/>
      <c r="DR409" s="845"/>
      <c r="DS409" s="845"/>
      <c r="DT409" s="845"/>
      <c r="DU409" s="845"/>
      <c r="DV409" s="845"/>
      <c r="DW409" s="845"/>
      <c r="DX409" s="845"/>
      <c r="DY409" s="845"/>
      <c r="DZ409" s="845"/>
      <c r="EA409" s="845"/>
      <c r="EB409" s="845"/>
      <c r="EC409" s="845"/>
      <c r="ED409" s="845"/>
      <c r="EE409" s="845"/>
      <c r="EF409" s="845"/>
      <c r="EG409" s="845"/>
      <c r="EH409" s="845"/>
      <c r="EI409" s="845"/>
      <c r="EJ409" s="845"/>
      <c r="EK409" s="845"/>
      <c r="EL409" s="845"/>
      <c r="EM409" s="845"/>
      <c r="EN409" s="845"/>
      <c r="EO409" s="845"/>
      <c r="EP409" s="845"/>
      <c r="EQ409" s="845"/>
      <c r="ER409" s="845"/>
      <c r="ES409" s="845"/>
      <c r="ET409" s="845"/>
      <c r="EU409" s="845"/>
      <c r="EV409" s="845"/>
      <c r="EW409" s="845"/>
      <c r="EX409" s="845"/>
      <c r="EY409" s="845"/>
      <c r="EZ409" s="845"/>
      <c r="FA409" s="845"/>
      <c r="FB409" s="845"/>
      <c r="FC409" s="845"/>
      <c r="FD409" s="845"/>
      <c r="FE409" s="845"/>
      <c r="FF409" s="845"/>
      <c r="FG409" s="845"/>
      <c r="FH409" s="845"/>
      <c r="FI409" s="845"/>
      <c r="FJ409" s="845"/>
      <c r="FK409" s="845"/>
      <c r="FL409" s="845"/>
      <c r="FM409" s="845"/>
      <c r="FN409" s="845"/>
      <c r="FO409" s="845"/>
      <c r="FP409" s="845"/>
      <c r="FQ409" s="845"/>
      <c r="FR409" s="845"/>
      <c r="FS409" s="845"/>
      <c r="FT409" s="845"/>
      <c r="FU409" s="845"/>
      <c r="FV409" s="845"/>
      <c r="FW409" s="845"/>
      <c r="FX409" s="845"/>
      <c r="FY409" s="845"/>
      <c r="FZ409" s="845"/>
      <c r="GA409" s="845"/>
      <c r="GB409" s="845"/>
      <c r="GC409" s="845"/>
      <c r="GD409" s="845"/>
      <c r="GE409" s="845"/>
      <c r="GF409" s="845"/>
      <c r="GG409" s="845"/>
      <c r="GH409" s="845"/>
      <c r="GI409" s="845"/>
      <c r="GJ409" s="845"/>
      <c r="GK409" s="845"/>
      <c r="GL409" s="845"/>
      <c r="GM409" s="845"/>
      <c r="GN409" s="845"/>
      <c r="GO409" s="845"/>
      <c r="GP409" s="845"/>
      <c r="GQ409" s="845"/>
      <c r="GR409" s="845"/>
      <c r="GS409" s="845"/>
      <c r="GT409" s="845"/>
      <c r="GU409" s="845"/>
      <c r="GV409" s="845"/>
      <c r="GW409" s="845"/>
      <c r="GX409" s="845"/>
      <c r="GY409" s="845"/>
      <c r="GZ409" s="845"/>
      <c r="HA409" s="845"/>
      <c r="HB409" s="845"/>
      <c r="HC409" s="845"/>
      <c r="HD409" s="845"/>
      <c r="HE409" s="845"/>
      <c r="HF409" s="845"/>
      <c r="HG409" s="845"/>
      <c r="HH409" s="845"/>
      <c r="HI409" s="845"/>
      <c r="HJ409" s="845"/>
      <c r="HK409" s="845"/>
      <c r="HL409" s="845"/>
      <c r="HM409" s="845"/>
      <c r="HN409" s="845"/>
      <c r="HO409" s="845"/>
      <c r="HP409" s="845"/>
      <c r="HQ409" s="845"/>
      <c r="HR409" s="845"/>
      <c r="HS409" s="845"/>
      <c r="HT409" s="845"/>
      <c r="HU409" s="845"/>
      <c r="HV409" s="845"/>
      <c r="HW409" s="845"/>
      <c r="HX409" s="845"/>
      <c r="HY409" s="845"/>
      <c r="HZ409" s="845"/>
      <c r="IA409" s="845"/>
      <c r="IB409" s="845"/>
      <c r="IC409" s="845"/>
      <c r="ID409" s="845"/>
      <c r="IE409" s="845"/>
      <c r="IF409" s="845"/>
    </row>
    <row r="410" spans="1:247" s="882" customFormat="1" ht="14.25" customHeight="1">
      <c r="A410" s="976" t="s">
        <v>3905</v>
      </c>
      <c r="B410" s="976" t="s">
        <v>1194</v>
      </c>
      <c r="C410" s="977">
        <v>1611100540</v>
      </c>
      <c r="D410" s="1028" t="s">
        <v>279</v>
      </c>
      <c r="E410" s="976">
        <v>16</v>
      </c>
      <c r="F410" s="976">
        <v>16</v>
      </c>
      <c r="G410" s="976">
        <v>12</v>
      </c>
      <c r="H410" s="976">
        <v>27.11402</v>
      </c>
      <c r="I410" s="976"/>
      <c r="J410" s="976"/>
      <c r="K410" s="976">
        <v>27.11402</v>
      </c>
      <c r="L410" s="978">
        <v>15.11402</v>
      </c>
      <c r="M410" s="976"/>
      <c r="N410" s="976">
        <v>36.152026666666671</v>
      </c>
      <c r="O410" s="735">
        <f t="shared" si="20"/>
        <v>20.152026666666671</v>
      </c>
      <c r="P410" s="738">
        <f t="shared" si="18"/>
        <v>36152.026666666672</v>
      </c>
      <c r="Q410" s="751">
        <f t="shared" si="19"/>
        <v>36000</v>
      </c>
      <c r="V410" s="988"/>
      <c r="W410" s="1024"/>
      <c r="CD410" s="883"/>
      <c r="CE410" s="883"/>
      <c r="CF410" s="883"/>
      <c r="CG410" s="883"/>
      <c r="CH410" s="883"/>
      <c r="CI410" s="883"/>
      <c r="CJ410" s="883"/>
      <c r="CK410" s="883"/>
      <c r="CL410" s="883"/>
      <c r="CM410" s="883"/>
      <c r="CN410" s="883"/>
      <c r="CO410" s="883"/>
      <c r="CP410" s="883"/>
      <c r="CQ410" s="883"/>
      <c r="CR410" s="883"/>
      <c r="CS410" s="883"/>
      <c r="CT410" s="883"/>
      <c r="CU410" s="883"/>
      <c r="CV410" s="883"/>
      <c r="CW410" s="883"/>
      <c r="CX410" s="883"/>
      <c r="CY410" s="883"/>
      <c r="CZ410" s="883"/>
      <c r="DA410" s="883"/>
      <c r="DB410" s="883"/>
      <c r="DC410" s="883"/>
      <c r="DD410" s="883"/>
      <c r="DE410" s="883"/>
      <c r="DF410" s="883"/>
      <c r="DG410" s="883"/>
      <c r="DH410" s="883"/>
      <c r="DI410" s="883"/>
      <c r="DJ410" s="883"/>
      <c r="DK410" s="883"/>
      <c r="DL410" s="883"/>
      <c r="DM410" s="883"/>
      <c r="DN410" s="883"/>
      <c r="DO410" s="883"/>
      <c r="DP410" s="883"/>
      <c r="DQ410" s="883"/>
      <c r="DR410" s="883"/>
      <c r="DS410" s="883"/>
      <c r="DT410" s="883"/>
      <c r="DU410" s="883"/>
      <c r="DV410" s="883"/>
      <c r="DW410" s="883"/>
      <c r="DX410" s="883"/>
      <c r="DY410" s="883"/>
      <c r="DZ410" s="883"/>
      <c r="EA410" s="883"/>
      <c r="EB410" s="883"/>
      <c r="EC410" s="883"/>
      <c r="ED410" s="883"/>
      <c r="EE410" s="883"/>
      <c r="EF410" s="883"/>
      <c r="EG410" s="883"/>
      <c r="EH410" s="883"/>
      <c r="EI410" s="883"/>
      <c r="EJ410" s="883"/>
      <c r="EK410" s="883"/>
      <c r="EL410" s="883"/>
      <c r="EM410" s="883"/>
      <c r="EN410" s="883"/>
      <c r="EO410" s="883"/>
      <c r="EP410" s="883"/>
      <c r="EQ410" s="883"/>
      <c r="ER410" s="883"/>
      <c r="ES410" s="883"/>
      <c r="ET410" s="883"/>
      <c r="EU410" s="883"/>
      <c r="EV410" s="883"/>
      <c r="EW410" s="883"/>
      <c r="EX410" s="883"/>
      <c r="EY410" s="883"/>
      <c r="EZ410" s="883"/>
      <c r="FA410" s="883"/>
      <c r="FB410" s="883"/>
      <c r="FC410" s="883"/>
      <c r="FD410" s="883"/>
      <c r="FE410" s="883"/>
      <c r="FF410" s="883"/>
      <c r="FG410" s="883"/>
      <c r="FH410" s="883"/>
      <c r="FI410" s="883"/>
      <c r="FJ410" s="883"/>
      <c r="FK410" s="883"/>
      <c r="FL410" s="883"/>
      <c r="FM410" s="883"/>
      <c r="FN410" s="883"/>
      <c r="FO410" s="883"/>
      <c r="FP410" s="883"/>
      <c r="FQ410" s="883"/>
      <c r="FR410" s="883"/>
      <c r="FS410" s="883"/>
      <c r="FT410" s="883"/>
      <c r="FU410" s="883"/>
      <c r="FV410" s="883"/>
      <c r="FW410" s="883"/>
      <c r="FX410" s="883"/>
      <c r="FY410" s="883"/>
      <c r="FZ410" s="883"/>
      <c r="GA410" s="883"/>
      <c r="GB410" s="883"/>
      <c r="GC410" s="883"/>
      <c r="GD410" s="883"/>
      <c r="GE410" s="883"/>
      <c r="GF410" s="883"/>
      <c r="GG410" s="883"/>
      <c r="GH410" s="883"/>
      <c r="GI410" s="883"/>
      <c r="GJ410" s="883"/>
      <c r="GK410" s="883"/>
      <c r="GL410" s="883"/>
      <c r="GM410" s="883"/>
      <c r="GN410" s="883"/>
      <c r="GO410" s="883"/>
      <c r="GP410" s="883"/>
      <c r="GQ410" s="883"/>
      <c r="GR410" s="883"/>
      <c r="GS410" s="883"/>
      <c r="GT410" s="883"/>
      <c r="GU410" s="883"/>
      <c r="GV410" s="883"/>
      <c r="GW410" s="883"/>
      <c r="GX410" s="883"/>
      <c r="GY410" s="883"/>
      <c r="GZ410" s="883"/>
      <c r="HA410" s="883"/>
      <c r="HB410" s="883"/>
      <c r="HC410" s="883"/>
      <c r="HD410" s="883"/>
      <c r="HE410" s="883"/>
      <c r="HF410" s="883"/>
      <c r="HG410" s="883"/>
      <c r="HH410" s="883"/>
      <c r="HI410" s="883"/>
      <c r="HJ410" s="883"/>
      <c r="HK410" s="883"/>
      <c r="HL410" s="883"/>
      <c r="HM410" s="883"/>
      <c r="HN410" s="883"/>
      <c r="HO410" s="883"/>
      <c r="HP410" s="883"/>
      <c r="HQ410" s="883"/>
      <c r="HR410" s="883"/>
      <c r="HS410" s="883"/>
      <c r="HT410" s="883"/>
      <c r="HU410" s="883"/>
      <c r="HV410" s="883"/>
      <c r="HW410" s="883"/>
      <c r="HX410" s="883"/>
      <c r="HY410" s="883"/>
      <c r="HZ410" s="883"/>
      <c r="IA410" s="883"/>
      <c r="IB410" s="883"/>
      <c r="IC410" s="883"/>
      <c r="ID410" s="883"/>
      <c r="IE410" s="883"/>
      <c r="IF410" s="883"/>
    </row>
    <row r="411" spans="1:247" s="747" customFormat="1" ht="14.25" customHeight="1">
      <c r="A411" s="976" t="s">
        <v>3913</v>
      </c>
      <c r="B411" s="976" t="s">
        <v>1194</v>
      </c>
      <c r="C411" s="977">
        <v>1611100750</v>
      </c>
      <c r="D411" s="1028" t="s">
        <v>288</v>
      </c>
      <c r="E411" s="976">
        <v>300</v>
      </c>
      <c r="F411" s="976">
        <v>300</v>
      </c>
      <c r="G411" s="976">
        <v>225</v>
      </c>
      <c r="H411" s="976">
        <v>151.40066000000002</v>
      </c>
      <c r="I411" s="976"/>
      <c r="J411" s="1041">
        <v>70</v>
      </c>
      <c r="K411" s="976">
        <v>221.40066000000002</v>
      </c>
      <c r="L411" s="978">
        <v>-3.5993399999999838</v>
      </c>
      <c r="M411" s="976" t="s">
        <v>3630</v>
      </c>
      <c r="N411" s="976">
        <v>295.20088000000004</v>
      </c>
      <c r="O411" s="735">
        <f t="shared" si="20"/>
        <v>-4.7991199999999594</v>
      </c>
      <c r="P411" s="738">
        <f t="shared" si="18"/>
        <v>295200.88000000006</v>
      </c>
      <c r="Q411" s="751">
        <f t="shared" si="19"/>
        <v>295000</v>
      </c>
      <c r="V411" s="988"/>
      <c r="W411" s="1024"/>
      <c r="CD411" s="845"/>
      <c r="CE411" s="845"/>
      <c r="CF411" s="845"/>
      <c r="CG411" s="845"/>
      <c r="CH411" s="845"/>
      <c r="CI411" s="845"/>
      <c r="CJ411" s="845"/>
      <c r="CK411" s="845"/>
      <c r="CL411" s="845"/>
      <c r="CM411" s="845"/>
      <c r="CN411" s="845"/>
      <c r="CO411" s="845"/>
      <c r="CP411" s="845"/>
      <c r="CQ411" s="845"/>
      <c r="CR411" s="845"/>
      <c r="CS411" s="845"/>
      <c r="CT411" s="845"/>
      <c r="CU411" s="845"/>
      <c r="CV411" s="845"/>
      <c r="CW411" s="845"/>
      <c r="CX411" s="845"/>
      <c r="CY411" s="845"/>
      <c r="CZ411" s="845"/>
      <c r="DA411" s="845"/>
      <c r="DB411" s="845"/>
      <c r="DC411" s="845"/>
      <c r="DD411" s="845"/>
      <c r="DE411" s="845"/>
      <c r="DF411" s="845"/>
      <c r="DG411" s="845"/>
      <c r="DH411" s="845"/>
      <c r="DI411" s="845"/>
      <c r="DJ411" s="845"/>
      <c r="DK411" s="845"/>
      <c r="DL411" s="845"/>
      <c r="DM411" s="845"/>
      <c r="DN411" s="845"/>
      <c r="DO411" s="845"/>
      <c r="DP411" s="845"/>
      <c r="DQ411" s="845"/>
      <c r="DR411" s="845"/>
      <c r="DS411" s="845"/>
      <c r="DT411" s="845"/>
      <c r="DU411" s="845"/>
      <c r="DV411" s="845"/>
      <c r="DW411" s="845"/>
      <c r="DX411" s="845"/>
      <c r="DY411" s="845"/>
      <c r="DZ411" s="845"/>
      <c r="EA411" s="845"/>
      <c r="EB411" s="845"/>
      <c r="EC411" s="845"/>
      <c r="ED411" s="845"/>
      <c r="EE411" s="845"/>
      <c r="EF411" s="845"/>
      <c r="EG411" s="845"/>
      <c r="EH411" s="845"/>
      <c r="EI411" s="845"/>
      <c r="EJ411" s="845"/>
      <c r="EK411" s="845"/>
      <c r="EL411" s="845"/>
      <c r="EM411" s="845"/>
      <c r="EN411" s="845"/>
      <c r="EO411" s="845"/>
      <c r="EP411" s="845"/>
      <c r="EQ411" s="845"/>
      <c r="ER411" s="845"/>
      <c r="ES411" s="845"/>
      <c r="ET411" s="845"/>
      <c r="EU411" s="845"/>
      <c r="EV411" s="845"/>
      <c r="EW411" s="845"/>
      <c r="EX411" s="845"/>
      <c r="EY411" s="845"/>
      <c r="EZ411" s="845"/>
      <c r="FA411" s="845"/>
      <c r="FB411" s="845"/>
      <c r="FC411" s="845"/>
      <c r="FD411" s="845"/>
      <c r="FE411" s="845"/>
      <c r="FF411" s="845"/>
      <c r="FG411" s="845"/>
      <c r="FH411" s="845"/>
      <c r="FI411" s="845"/>
      <c r="FJ411" s="845"/>
      <c r="FK411" s="845"/>
      <c r="FL411" s="845"/>
      <c r="FM411" s="845"/>
      <c r="FN411" s="845"/>
      <c r="FO411" s="845"/>
      <c r="FP411" s="845"/>
      <c r="FQ411" s="845"/>
      <c r="FR411" s="845"/>
      <c r="FS411" s="845"/>
      <c r="FT411" s="845"/>
      <c r="FU411" s="845"/>
      <c r="FV411" s="845"/>
      <c r="FW411" s="845"/>
      <c r="FX411" s="845"/>
      <c r="FY411" s="845"/>
      <c r="FZ411" s="845"/>
      <c r="GA411" s="845"/>
      <c r="GB411" s="845"/>
      <c r="GC411" s="845"/>
      <c r="GD411" s="845"/>
      <c r="GE411" s="845"/>
      <c r="GF411" s="845"/>
      <c r="GG411" s="845"/>
      <c r="GH411" s="845"/>
      <c r="GI411" s="845"/>
      <c r="GJ411" s="845"/>
      <c r="GK411" s="845"/>
      <c r="GL411" s="845"/>
      <c r="GM411" s="845"/>
      <c r="GN411" s="845"/>
      <c r="GO411" s="845"/>
      <c r="GP411" s="845"/>
      <c r="GQ411" s="845"/>
      <c r="GR411" s="845"/>
      <c r="GS411" s="845"/>
      <c r="GT411" s="845"/>
      <c r="GU411" s="845"/>
      <c r="GV411" s="845"/>
      <c r="GW411" s="845"/>
      <c r="GX411" s="845"/>
      <c r="GY411" s="845"/>
      <c r="GZ411" s="845"/>
      <c r="HA411" s="845"/>
      <c r="HB411" s="845"/>
      <c r="HC411" s="845"/>
      <c r="HD411" s="845"/>
      <c r="HE411" s="845"/>
      <c r="HF411" s="845"/>
      <c r="HG411" s="845"/>
      <c r="HH411" s="845"/>
      <c r="HI411" s="845"/>
      <c r="HJ411" s="845"/>
      <c r="HK411" s="845"/>
      <c r="HL411" s="845"/>
      <c r="HM411" s="845"/>
      <c r="HN411" s="845"/>
      <c r="HO411" s="845"/>
      <c r="HP411" s="845"/>
      <c r="HQ411" s="845"/>
      <c r="HR411" s="845"/>
      <c r="HS411" s="845"/>
      <c r="HT411" s="845"/>
      <c r="HU411" s="845"/>
      <c r="HV411" s="845"/>
      <c r="HW411" s="845"/>
      <c r="HX411" s="845"/>
      <c r="HY411" s="845"/>
      <c r="HZ411" s="845"/>
      <c r="IA411" s="845"/>
      <c r="IB411" s="845"/>
      <c r="IC411" s="845"/>
      <c r="ID411" s="845"/>
      <c r="IE411" s="845"/>
      <c r="IF411" s="845"/>
    </row>
    <row r="412" spans="1:247" s="747" customFormat="1" ht="14.25" customHeight="1">
      <c r="A412" s="976" t="s">
        <v>3914</v>
      </c>
      <c r="B412" s="976" t="s">
        <v>1194</v>
      </c>
      <c r="C412" s="977">
        <v>1611100751</v>
      </c>
      <c r="D412" s="1028" t="s">
        <v>289</v>
      </c>
      <c r="E412" s="976">
        <v>80</v>
      </c>
      <c r="F412" s="976">
        <v>80</v>
      </c>
      <c r="G412" s="976">
        <v>60</v>
      </c>
      <c r="H412" s="976">
        <v>5.7160000000000002</v>
      </c>
      <c r="I412" s="976"/>
      <c r="J412" s="1041">
        <v>7</v>
      </c>
      <c r="K412" s="976">
        <v>12.716000000000001</v>
      </c>
      <c r="L412" s="978">
        <v>-47.283999999999999</v>
      </c>
      <c r="M412" s="976" t="s">
        <v>3630</v>
      </c>
      <c r="N412" s="976">
        <v>16.954666666666668</v>
      </c>
      <c r="O412" s="735">
        <f t="shared" si="20"/>
        <v>-63.045333333333332</v>
      </c>
      <c r="P412" s="738">
        <f t="shared" si="18"/>
        <v>16954.666666666668</v>
      </c>
      <c r="Q412" s="751">
        <f t="shared" si="19"/>
        <v>17000</v>
      </c>
      <c r="V412" s="988"/>
      <c r="W412" s="1024"/>
      <c r="CD412" s="845"/>
      <c r="CE412" s="845"/>
      <c r="CF412" s="845"/>
      <c r="CG412" s="845"/>
      <c r="CH412" s="845"/>
      <c r="CI412" s="845"/>
      <c r="CJ412" s="845"/>
      <c r="CK412" s="845"/>
      <c r="CL412" s="845"/>
      <c r="CM412" s="845"/>
      <c r="CN412" s="845"/>
      <c r="CO412" s="845"/>
      <c r="CP412" s="845"/>
      <c r="CQ412" s="845"/>
      <c r="CR412" s="845"/>
      <c r="CS412" s="845"/>
      <c r="CT412" s="845"/>
      <c r="CU412" s="845"/>
      <c r="CV412" s="845"/>
      <c r="CW412" s="845"/>
      <c r="CX412" s="845"/>
      <c r="CY412" s="845"/>
      <c r="CZ412" s="845"/>
      <c r="DA412" s="845"/>
      <c r="DB412" s="845"/>
      <c r="DC412" s="845"/>
      <c r="DD412" s="845"/>
      <c r="DE412" s="845"/>
      <c r="DF412" s="845"/>
      <c r="DG412" s="845"/>
      <c r="DH412" s="845"/>
      <c r="DI412" s="845"/>
      <c r="DJ412" s="845"/>
      <c r="DK412" s="845"/>
      <c r="DL412" s="845"/>
      <c r="DM412" s="845"/>
      <c r="DN412" s="845"/>
      <c r="DO412" s="845"/>
      <c r="DP412" s="845"/>
      <c r="DQ412" s="845"/>
      <c r="DR412" s="845"/>
      <c r="DS412" s="845"/>
      <c r="DT412" s="845"/>
      <c r="DU412" s="845"/>
      <c r="DV412" s="845"/>
      <c r="DW412" s="845"/>
      <c r="DX412" s="845"/>
      <c r="DY412" s="845"/>
      <c r="DZ412" s="845"/>
      <c r="EA412" s="845"/>
      <c r="EB412" s="845"/>
      <c r="EC412" s="845"/>
      <c r="ED412" s="845"/>
      <c r="EE412" s="845"/>
      <c r="EF412" s="845"/>
      <c r="EG412" s="845"/>
      <c r="EH412" s="845"/>
      <c r="EI412" s="845"/>
      <c r="EJ412" s="845"/>
      <c r="EK412" s="845"/>
      <c r="EL412" s="845"/>
      <c r="EM412" s="845"/>
      <c r="EN412" s="845"/>
      <c r="EO412" s="845"/>
      <c r="EP412" s="845"/>
      <c r="EQ412" s="845"/>
      <c r="ER412" s="845"/>
      <c r="ES412" s="845"/>
      <c r="ET412" s="845"/>
      <c r="EU412" s="845"/>
      <c r="EV412" s="845"/>
      <c r="EW412" s="845"/>
      <c r="EX412" s="845"/>
      <c r="EY412" s="845"/>
      <c r="EZ412" s="845"/>
      <c r="FA412" s="845"/>
      <c r="FB412" s="845"/>
      <c r="FC412" s="845"/>
      <c r="FD412" s="845"/>
      <c r="FE412" s="845"/>
      <c r="FF412" s="845"/>
      <c r="FG412" s="845"/>
      <c r="FH412" s="845"/>
      <c r="FI412" s="845"/>
      <c r="FJ412" s="845"/>
      <c r="FK412" s="845"/>
      <c r="FL412" s="845"/>
      <c r="FM412" s="845"/>
      <c r="FN412" s="845"/>
      <c r="FO412" s="845"/>
      <c r="FP412" s="845"/>
      <c r="FQ412" s="845"/>
      <c r="FR412" s="845"/>
      <c r="FS412" s="845"/>
      <c r="FT412" s="845"/>
      <c r="FU412" s="845"/>
      <c r="FV412" s="845"/>
      <c r="FW412" s="845"/>
      <c r="FX412" s="845"/>
      <c r="FY412" s="845"/>
      <c r="FZ412" s="845"/>
      <c r="GA412" s="845"/>
      <c r="GB412" s="845"/>
      <c r="GC412" s="845"/>
      <c r="GD412" s="845"/>
      <c r="GE412" s="845"/>
      <c r="GF412" s="845"/>
      <c r="GG412" s="845"/>
      <c r="GH412" s="845"/>
      <c r="GI412" s="845"/>
      <c r="GJ412" s="845"/>
      <c r="GK412" s="845"/>
      <c r="GL412" s="845"/>
      <c r="GM412" s="845"/>
      <c r="GN412" s="845"/>
      <c r="GO412" s="845"/>
      <c r="GP412" s="845"/>
      <c r="GQ412" s="845"/>
      <c r="GR412" s="845"/>
      <c r="GS412" s="845"/>
      <c r="GT412" s="845"/>
      <c r="GU412" s="845"/>
      <c r="GV412" s="845"/>
      <c r="GW412" s="845"/>
      <c r="GX412" s="845"/>
      <c r="GY412" s="845"/>
      <c r="GZ412" s="845"/>
      <c r="HA412" s="845"/>
      <c r="HB412" s="845"/>
      <c r="HC412" s="845"/>
      <c r="HD412" s="845"/>
      <c r="HE412" s="845"/>
      <c r="HF412" s="845"/>
      <c r="HG412" s="845"/>
      <c r="HH412" s="845"/>
      <c r="HI412" s="845"/>
      <c r="HJ412" s="845"/>
      <c r="HK412" s="845"/>
      <c r="HL412" s="845"/>
      <c r="HM412" s="845"/>
      <c r="HN412" s="845"/>
      <c r="HO412" s="845"/>
      <c r="HP412" s="845"/>
      <c r="HQ412" s="845"/>
      <c r="HR412" s="845"/>
      <c r="HS412" s="845"/>
      <c r="HT412" s="845"/>
      <c r="HU412" s="845"/>
      <c r="HV412" s="845"/>
      <c r="HW412" s="845"/>
      <c r="HX412" s="845"/>
      <c r="HY412" s="845"/>
      <c r="HZ412" s="845"/>
      <c r="IA412" s="845"/>
      <c r="IB412" s="845"/>
      <c r="IC412" s="845"/>
      <c r="ID412" s="845"/>
      <c r="IE412" s="845"/>
      <c r="IF412" s="845"/>
    </row>
    <row r="413" spans="1:247" s="882" customFormat="1" ht="14.25" customHeight="1">
      <c r="A413" s="976" t="s">
        <v>3915</v>
      </c>
      <c r="B413" s="976" t="s">
        <v>1194</v>
      </c>
      <c r="C413" s="992">
        <v>1611100752</v>
      </c>
      <c r="D413" s="988" t="s">
        <v>290</v>
      </c>
      <c r="E413" s="976">
        <v>25</v>
      </c>
      <c r="F413" s="976">
        <v>25</v>
      </c>
      <c r="G413" s="976">
        <v>18.75</v>
      </c>
      <c r="H413" s="976">
        <v>0</v>
      </c>
      <c r="I413" s="976"/>
      <c r="J413" s="976"/>
      <c r="K413" s="976">
        <v>0</v>
      </c>
      <c r="L413" s="978">
        <v>-18.75</v>
      </c>
      <c r="M413" s="976" t="s">
        <v>3630</v>
      </c>
      <c r="N413" s="976">
        <v>0</v>
      </c>
      <c r="O413" s="735">
        <f t="shared" si="20"/>
        <v>-25</v>
      </c>
      <c r="P413" s="738">
        <f t="shared" si="18"/>
        <v>0</v>
      </c>
      <c r="Q413" s="751">
        <f t="shared" si="19"/>
        <v>0</v>
      </c>
      <c r="V413" s="988"/>
      <c r="W413" s="1024"/>
      <c r="CD413" s="883"/>
      <c r="CE413" s="883"/>
      <c r="CF413" s="883"/>
      <c r="CG413" s="883"/>
      <c r="CH413" s="883"/>
      <c r="CI413" s="883"/>
      <c r="CJ413" s="883"/>
      <c r="CK413" s="883"/>
      <c r="CL413" s="883"/>
      <c r="CM413" s="883"/>
      <c r="CN413" s="883"/>
      <c r="CO413" s="883"/>
      <c r="CP413" s="883"/>
      <c r="CQ413" s="883"/>
      <c r="CR413" s="883"/>
      <c r="CS413" s="883"/>
      <c r="CT413" s="883"/>
      <c r="CU413" s="883"/>
      <c r="CV413" s="883"/>
      <c r="CW413" s="883"/>
      <c r="CX413" s="883"/>
      <c r="CY413" s="883"/>
      <c r="CZ413" s="883"/>
      <c r="DA413" s="883"/>
      <c r="DB413" s="883"/>
      <c r="DC413" s="883"/>
      <c r="DD413" s="883"/>
      <c r="DE413" s="883"/>
      <c r="DF413" s="883"/>
      <c r="DG413" s="883"/>
      <c r="DH413" s="883"/>
      <c r="DI413" s="883"/>
      <c r="DJ413" s="883"/>
      <c r="DK413" s="883"/>
      <c r="DL413" s="883"/>
      <c r="DM413" s="883"/>
      <c r="DN413" s="883"/>
      <c r="DO413" s="883"/>
      <c r="DP413" s="883"/>
      <c r="DQ413" s="883"/>
      <c r="DR413" s="883"/>
      <c r="DS413" s="883"/>
      <c r="DT413" s="883"/>
      <c r="DU413" s="883"/>
      <c r="DV413" s="883"/>
      <c r="DW413" s="883"/>
      <c r="DX413" s="883"/>
      <c r="DY413" s="883"/>
      <c r="DZ413" s="883"/>
      <c r="EA413" s="883"/>
      <c r="EB413" s="883"/>
      <c r="EC413" s="883"/>
      <c r="ED413" s="883"/>
      <c r="EE413" s="883"/>
      <c r="EF413" s="883"/>
      <c r="EG413" s="883"/>
      <c r="EH413" s="883"/>
      <c r="EI413" s="883"/>
      <c r="EJ413" s="883"/>
      <c r="EK413" s="883"/>
      <c r="EL413" s="883"/>
      <c r="EM413" s="883"/>
      <c r="EN413" s="883"/>
      <c r="EO413" s="883"/>
      <c r="EP413" s="883"/>
      <c r="EQ413" s="883"/>
      <c r="ER413" s="883"/>
      <c r="ES413" s="883"/>
      <c r="ET413" s="883"/>
      <c r="EU413" s="883"/>
      <c r="EV413" s="883"/>
      <c r="EW413" s="883"/>
      <c r="EX413" s="883"/>
      <c r="EY413" s="883"/>
      <c r="EZ413" s="883"/>
      <c r="FA413" s="883"/>
      <c r="FB413" s="883"/>
      <c r="FC413" s="883"/>
      <c r="FD413" s="883"/>
      <c r="FE413" s="883"/>
      <c r="FF413" s="883"/>
      <c r="FG413" s="883"/>
      <c r="FH413" s="883"/>
      <c r="FI413" s="883"/>
      <c r="FJ413" s="883"/>
      <c r="FK413" s="883"/>
      <c r="FL413" s="883"/>
      <c r="FM413" s="883"/>
      <c r="FN413" s="883"/>
      <c r="FO413" s="883"/>
      <c r="FP413" s="883"/>
      <c r="FQ413" s="883"/>
      <c r="FR413" s="883"/>
      <c r="FS413" s="883"/>
      <c r="FT413" s="883"/>
      <c r="FU413" s="883"/>
      <c r="FV413" s="883"/>
      <c r="FW413" s="883"/>
      <c r="FX413" s="883"/>
      <c r="FY413" s="883"/>
      <c r="FZ413" s="883"/>
      <c r="GA413" s="883"/>
      <c r="GB413" s="883"/>
      <c r="GC413" s="883"/>
      <c r="GD413" s="883"/>
      <c r="GE413" s="883"/>
      <c r="GF413" s="883"/>
      <c r="GG413" s="883"/>
      <c r="GH413" s="883"/>
      <c r="GI413" s="883"/>
      <c r="GJ413" s="883"/>
      <c r="GK413" s="883"/>
      <c r="GL413" s="883"/>
      <c r="GM413" s="883"/>
      <c r="GN413" s="883"/>
      <c r="GO413" s="883"/>
      <c r="GP413" s="883"/>
      <c r="GQ413" s="883"/>
      <c r="GR413" s="883"/>
      <c r="GS413" s="883"/>
      <c r="GT413" s="883"/>
      <c r="GU413" s="883"/>
      <c r="GV413" s="883"/>
      <c r="GW413" s="883"/>
      <c r="GX413" s="883"/>
      <c r="GY413" s="883"/>
      <c r="GZ413" s="883"/>
      <c r="HA413" s="883"/>
      <c r="HB413" s="883"/>
      <c r="HC413" s="883"/>
      <c r="HD413" s="883"/>
      <c r="HE413" s="883"/>
      <c r="HF413" s="883"/>
      <c r="HG413" s="883"/>
      <c r="HH413" s="883"/>
      <c r="HI413" s="883"/>
      <c r="HJ413" s="883"/>
      <c r="HK413" s="883"/>
      <c r="HL413" s="883"/>
      <c r="HM413" s="883"/>
      <c r="HN413" s="883"/>
      <c r="HO413" s="883"/>
      <c r="HP413" s="883"/>
      <c r="HQ413" s="883"/>
      <c r="HR413" s="883"/>
      <c r="HS413" s="883"/>
      <c r="HT413" s="883"/>
      <c r="HU413" s="883"/>
      <c r="HV413" s="883"/>
      <c r="HW413" s="883"/>
      <c r="HX413" s="883"/>
      <c r="HY413" s="883"/>
      <c r="HZ413" s="883"/>
      <c r="IA413" s="883"/>
      <c r="IB413" s="883"/>
      <c r="IC413" s="883"/>
      <c r="ID413" s="883"/>
      <c r="IE413" s="883"/>
      <c r="IF413" s="883"/>
    </row>
    <row r="414" spans="1:247" s="747" customFormat="1" ht="14.25" customHeight="1">
      <c r="A414" s="976" t="s">
        <v>3916</v>
      </c>
      <c r="B414" s="976" t="s">
        <v>1194</v>
      </c>
      <c r="C414" s="977">
        <v>1611100753</v>
      </c>
      <c r="D414" s="976" t="s">
        <v>292</v>
      </c>
      <c r="E414" s="976">
        <v>210</v>
      </c>
      <c r="F414" s="976">
        <v>210</v>
      </c>
      <c r="G414" s="976">
        <v>157.5</v>
      </c>
      <c r="H414" s="976">
        <v>111.93232</v>
      </c>
      <c r="I414" s="976"/>
      <c r="J414" s="1041">
        <v>47</v>
      </c>
      <c r="K414" s="976">
        <v>158.93232</v>
      </c>
      <c r="L414" s="978">
        <v>1.4323200000000043</v>
      </c>
      <c r="M414" s="976" t="s">
        <v>3630</v>
      </c>
      <c r="N414" s="976">
        <v>211.90976000000001</v>
      </c>
      <c r="O414" s="735">
        <f t="shared" si="20"/>
        <v>1.9097600000000057</v>
      </c>
      <c r="P414" s="738">
        <f t="shared" si="18"/>
        <v>211909.76000000001</v>
      </c>
      <c r="Q414" s="751">
        <f t="shared" si="19"/>
        <v>212000</v>
      </c>
      <c r="R414" s="882"/>
      <c r="S414" s="882"/>
      <c r="T414" s="882"/>
      <c r="U414" s="882"/>
      <c r="V414" s="988"/>
      <c r="W414" s="1024"/>
      <c r="X414" s="882"/>
      <c r="Y414" s="882"/>
      <c r="Z414" s="882"/>
      <c r="AA414" s="882"/>
      <c r="AB414" s="882"/>
      <c r="AC414" s="882"/>
      <c r="AD414" s="882"/>
      <c r="AE414" s="882"/>
      <c r="AF414" s="882"/>
      <c r="AG414" s="882"/>
      <c r="AH414" s="882"/>
      <c r="AI414" s="882"/>
      <c r="AJ414" s="882"/>
      <c r="AK414" s="882"/>
      <c r="AL414" s="882"/>
      <c r="AM414" s="882"/>
      <c r="AN414" s="882"/>
      <c r="AO414" s="882"/>
      <c r="AP414" s="882"/>
      <c r="AQ414" s="882"/>
      <c r="AR414" s="882"/>
      <c r="AS414" s="882"/>
      <c r="AT414" s="882"/>
      <c r="AU414" s="882"/>
      <c r="AV414" s="882"/>
      <c r="AW414" s="882"/>
      <c r="AX414" s="882"/>
      <c r="AY414" s="882"/>
      <c r="AZ414" s="882"/>
      <c r="BA414" s="882"/>
      <c r="BB414" s="882"/>
      <c r="BC414" s="882"/>
      <c r="BD414" s="882"/>
      <c r="BE414" s="882"/>
      <c r="BF414" s="882"/>
      <c r="BG414" s="882"/>
      <c r="BH414" s="882"/>
      <c r="BI414" s="882"/>
      <c r="BJ414" s="882"/>
      <c r="BK414" s="882"/>
      <c r="BL414" s="882"/>
      <c r="BM414" s="882"/>
      <c r="BN414" s="882"/>
      <c r="BO414" s="882"/>
      <c r="BP414" s="882"/>
      <c r="BQ414" s="882"/>
      <c r="BR414" s="882"/>
      <c r="BS414" s="882"/>
      <c r="BT414" s="882"/>
      <c r="BU414" s="882"/>
      <c r="BV414" s="882"/>
      <c r="BW414" s="882"/>
      <c r="BX414" s="882"/>
      <c r="BY414" s="882"/>
      <c r="BZ414" s="882"/>
      <c r="CA414" s="882"/>
      <c r="CB414" s="882"/>
      <c r="CC414" s="882"/>
      <c r="CD414" s="883"/>
      <c r="CE414" s="883"/>
      <c r="CF414" s="883"/>
      <c r="CG414" s="883"/>
      <c r="CH414" s="883"/>
      <c r="CI414" s="883"/>
      <c r="CJ414" s="883"/>
      <c r="CK414" s="883"/>
      <c r="CL414" s="883"/>
      <c r="CM414" s="883"/>
      <c r="CN414" s="883"/>
      <c r="CO414" s="883"/>
      <c r="CP414" s="883"/>
      <c r="CQ414" s="883"/>
      <c r="CR414" s="883"/>
      <c r="CS414" s="883"/>
      <c r="CT414" s="883"/>
      <c r="CU414" s="883"/>
      <c r="CV414" s="883"/>
      <c r="CW414" s="883"/>
      <c r="CX414" s="883"/>
      <c r="CY414" s="883"/>
      <c r="CZ414" s="883"/>
      <c r="DA414" s="883"/>
      <c r="DB414" s="883"/>
      <c r="DC414" s="883"/>
      <c r="DD414" s="883"/>
      <c r="DE414" s="883"/>
      <c r="DF414" s="883"/>
      <c r="DG414" s="883"/>
      <c r="DH414" s="883"/>
      <c r="DI414" s="883"/>
      <c r="DJ414" s="883"/>
      <c r="DK414" s="883"/>
      <c r="DL414" s="883"/>
      <c r="DM414" s="883"/>
      <c r="DN414" s="883"/>
      <c r="DO414" s="883"/>
      <c r="DP414" s="883"/>
      <c r="DQ414" s="883"/>
      <c r="DR414" s="883"/>
      <c r="DS414" s="883"/>
      <c r="DT414" s="883"/>
      <c r="DU414" s="883"/>
      <c r="DV414" s="883"/>
      <c r="DW414" s="883"/>
      <c r="DX414" s="883"/>
      <c r="DY414" s="883"/>
      <c r="DZ414" s="883"/>
      <c r="EA414" s="883"/>
      <c r="EB414" s="883"/>
      <c r="EC414" s="883"/>
      <c r="ED414" s="883"/>
      <c r="EE414" s="883"/>
      <c r="EF414" s="883"/>
      <c r="EG414" s="883"/>
      <c r="EH414" s="883"/>
      <c r="EI414" s="883"/>
      <c r="EJ414" s="883"/>
      <c r="EK414" s="883"/>
      <c r="EL414" s="883"/>
      <c r="EM414" s="883"/>
      <c r="EN414" s="883"/>
      <c r="EO414" s="883"/>
      <c r="EP414" s="883"/>
      <c r="EQ414" s="883"/>
      <c r="ER414" s="883"/>
      <c r="ES414" s="883"/>
      <c r="ET414" s="883"/>
      <c r="EU414" s="883"/>
      <c r="EV414" s="883"/>
      <c r="EW414" s="883"/>
      <c r="EX414" s="883"/>
      <c r="EY414" s="883"/>
      <c r="EZ414" s="883"/>
      <c r="FA414" s="883"/>
      <c r="FB414" s="883"/>
      <c r="FC414" s="883"/>
      <c r="FD414" s="883"/>
      <c r="FE414" s="883"/>
      <c r="FF414" s="883"/>
      <c r="FG414" s="883"/>
      <c r="FH414" s="883"/>
      <c r="FI414" s="883"/>
      <c r="FJ414" s="883"/>
      <c r="FK414" s="883"/>
      <c r="FL414" s="883"/>
      <c r="FM414" s="883"/>
      <c r="FN414" s="883"/>
      <c r="FO414" s="883"/>
      <c r="FP414" s="883"/>
      <c r="FQ414" s="883"/>
      <c r="FR414" s="883"/>
      <c r="FS414" s="883"/>
      <c r="FT414" s="883"/>
      <c r="FU414" s="883"/>
      <c r="FV414" s="883"/>
      <c r="FW414" s="883"/>
      <c r="FX414" s="883"/>
      <c r="FY414" s="883"/>
      <c r="FZ414" s="883"/>
      <c r="GA414" s="883"/>
      <c r="GB414" s="883"/>
      <c r="GC414" s="883"/>
      <c r="GD414" s="883"/>
      <c r="GE414" s="883"/>
      <c r="GF414" s="883"/>
      <c r="GG414" s="883"/>
      <c r="GH414" s="883"/>
      <c r="GI414" s="883"/>
      <c r="GJ414" s="883"/>
      <c r="GK414" s="883"/>
      <c r="GL414" s="883"/>
      <c r="GM414" s="883"/>
      <c r="GN414" s="883"/>
      <c r="GO414" s="883"/>
      <c r="GP414" s="883"/>
      <c r="GQ414" s="883"/>
      <c r="GR414" s="883"/>
      <c r="GS414" s="883"/>
      <c r="GT414" s="883"/>
      <c r="GU414" s="883"/>
      <c r="GV414" s="883"/>
      <c r="GW414" s="883"/>
      <c r="GX414" s="883"/>
      <c r="GY414" s="883"/>
      <c r="GZ414" s="883"/>
      <c r="HA414" s="883"/>
      <c r="HB414" s="883"/>
      <c r="HC414" s="883"/>
      <c r="HD414" s="883"/>
      <c r="HE414" s="883"/>
      <c r="HF414" s="883"/>
      <c r="HG414" s="883"/>
      <c r="HH414" s="883"/>
      <c r="HI414" s="883"/>
      <c r="HJ414" s="883"/>
      <c r="HK414" s="883"/>
      <c r="HL414" s="883"/>
      <c r="HM414" s="883"/>
      <c r="HN414" s="883"/>
      <c r="HO414" s="883"/>
      <c r="HP414" s="883"/>
      <c r="HQ414" s="883"/>
      <c r="HR414" s="883"/>
      <c r="HS414" s="883"/>
      <c r="HT414" s="883"/>
      <c r="HU414" s="883"/>
      <c r="HV414" s="883"/>
      <c r="HW414" s="883"/>
      <c r="HX414" s="883"/>
      <c r="HY414" s="883"/>
      <c r="HZ414" s="882"/>
      <c r="IA414" s="882"/>
      <c r="IB414" s="882"/>
      <c r="IC414" s="882"/>
      <c r="ID414" s="882"/>
      <c r="IE414" s="882"/>
      <c r="IF414" s="882"/>
      <c r="IG414" s="884"/>
      <c r="IH414" s="885"/>
      <c r="II414" s="884"/>
      <c r="IJ414" s="884"/>
      <c r="IK414" s="884"/>
      <c r="IL414" s="884"/>
      <c r="IM414" s="884"/>
    </row>
    <row r="415" spans="1:247" s="747" customFormat="1" ht="14.25" customHeight="1">
      <c r="A415" s="976" t="s">
        <v>3917</v>
      </c>
      <c r="B415" s="977" t="s">
        <v>1194</v>
      </c>
      <c r="C415" s="977">
        <v>1611100756</v>
      </c>
      <c r="D415" s="976" t="s">
        <v>3316</v>
      </c>
      <c r="E415" s="976">
        <v>200</v>
      </c>
      <c r="F415" s="976">
        <v>200</v>
      </c>
      <c r="G415" s="976">
        <v>150</v>
      </c>
      <c r="H415" s="976">
        <v>40.197699999999998</v>
      </c>
      <c r="I415" s="976"/>
      <c r="J415" s="1041">
        <v>120</v>
      </c>
      <c r="K415" s="976">
        <v>160.1977</v>
      </c>
      <c r="L415" s="978">
        <v>10.197699999999998</v>
      </c>
      <c r="M415" s="976" t="s">
        <v>3630</v>
      </c>
      <c r="N415" s="976">
        <v>213.59693333333334</v>
      </c>
      <c r="O415" s="735">
        <f t="shared" si="20"/>
        <v>13.59693333333334</v>
      </c>
      <c r="P415" s="738">
        <f t="shared" si="18"/>
        <v>213596.93333333335</v>
      </c>
      <c r="Q415" s="751">
        <f t="shared" si="19"/>
        <v>214000</v>
      </c>
      <c r="V415" s="988"/>
      <c r="W415" s="1024"/>
      <c r="CD415" s="845"/>
      <c r="CE415" s="845"/>
      <c r="CF415" s="845"/>
      <c r="CG415" s="845"/>
      <c r="CH415" s="845"/>
      <c r="CI415" s="845"/>
      <c r="CJ415" s="845"/>
      <c r="CK415" s="845"/>
      <c r="CL415" s="845"/>
      <c r="CM415" s="845"/>
      <c r="CN415" s="845"/>
      <c r="CO415" s="845"/>
      <c r="CP415" s="845"/>
      <c r="CQ415" s="845"/>
      <c r="CR415" s="845"/>
      <c r="CS415" s="845"/>
      <c r="CT415" s="845"/>
      <c r="CU415" s="845"/>
      <c r="CV415" s="845"/>
      <c r="CW415" s="845"/>
      <c r="CX415" s="845"/>
      <c r="CY415" s="845"/>
      <c r="CZ415" s="845"/>
      <c r="DA415" s="845"/>
      <c r="DB415" s="845"/>
      <c r="DC415" s="845"/>
      <c r="DD415" s="845"/>
      <c r="DE415" s="845"/>
      <c r="DF415" s="845"/>
      <c r="DG415" s="845"/>
      <c r="DH415" s="845"/>
      <c r="DI415" s="845"/>
      <c r="DJ415" s="845"/>
      <c r="DK415" s="845"/>
      <c r="DL415" s="845"/>
      <c r="DM415" s="845"/>
      <c r="DN415" s="845"/>
      <c r="DO415" s="845"/>
      <c r="DP415" s="845"/>
      <c r="DQ415" s="845"/>
      <c r="DR415" s="845"/>
      <c r="DS415" s="845"/>
      <c r="DT415" s="845"/>
      <c r="DU415" s="845"/>
      <c r="DV415" s="845"/>
      <c r="DW415" s="845"/>
      <c r="DX415" s="845"/>
      <c r="DY415" s="845"/>
      <c r="DZ415" s="845"/>
      <c r="EA415" s="845"/>
      <c r="EB415" s="845"/>
      <c r="EC415" s="845"/>
      <c r="ED415" s="845"/>
      <c r="EE415" s="845"/>
      <c r="EF415" s="845"/>
      <c r="EG415" s="845"/>
      <c r="EH415" s="845"/>
      <c r="EI415" s="845"/>
      <c r="EJ415" s="845"/>
      <c r="EK415" s="845"/>
      <c r="EL415" s="845"/>
      <c r="EM415" s="845"/>
      <c r="EN415" s="845"/>
      <c r="EO415" s="845"/>
      <c r="EP415" s="845"/>
      <c r="EQ415" s="845"/>
      <c r="ER415" s="845"/>
      <c r="ES415" s="845"/>
      <c r="ET415" s="845"/>
      <c r="EU415" s="845"/>
      <c r="EV415" s="845"/>
      <c r="EW415" s="845"/>
      <c r="EX415" s="845"/>
      <c r="EY415" s="845"/>
      <c r="EZ415" s="845"/>
      <c r="FA415" s="845"/>
      <c r="FB415" s="845"/>
      <c r="FC415" s="845"/>
      <c r="FD415" s="845"/>
      <c r="FE415" s="845"/>
      <c r="FF415" s="845"/>
      <c r="FG415" s="845"/>
      <c r="FH415" s="845"/>
      <c r="FI415" s="845"/>
      <c r="FJ415" s="845"/>
      <c r="FK415" s="845"/>
      <c r="FL415" s="845"/>
      <c r="FM415" s="845"/>
      <c r="FN415" s="845"/>
      <c r="FO415" s="845"/>
      <c r="FP415" s="845"/>
      <c r="FQ415" s="845"/>
      <c r="FR415" s="845"/>
      <c r="FS415" s="845"/>
      <c r="FT415" s="845"/>
      <c r="FU415" s="845"/>
      <c r="FV415" s="845"/>
      <c r="FW415" s="845"/>
      <c r="FX415" s="845"/>
      <c r="FY415" s="845"/>
      <c r="FZ415" s="845"/>
      <c r="GA415" s="845"/>
      <c r="GB415" s="845"/>
      <c r="GC415" s="845"/>
      <c r="GD415" s="845"/>
      <c r="GE415" s="845"/>
      <c r="GF415" s="845"/>
      <c r="GG415" s="845"/>
      <c r="GH415" s="845"/>
      <c r="GI415" s="845"/>
      <c r="GJ415" s="845"/>
      <c r="GK415" s="845"/>
      <c r="GL415" s="845"/>
      <c r="GM415" s="845"/>
      <c r="GN415" s="845"/>
      <c r="GO415" s="845"/>
      <c r="GP415" s="845"/>
      <c r="GQ415" s="845"/>
      <c r="GR415" s="845"/>
      <c r="GS415" s="845"/>
      <c r="GT415" s="845"/>
      <c r="GU415" s="845"/>
      <c r="GV415" s="845"/>
      <c r="GW415" s="845"/>
      <c r="GX415" s="845"/>
      <c r="GY415" s="845"/>
      <c r="GZ415" s="845"/>
      <c r="HA415" s="845"/>
      <c r="HB415" s="845"/>
      <c r="HC415" s="845"/>
      <c r="HD415" s="845"/>
      <c r="HE415" s="845"/>
      <c r="HF415" s="845"/>
      <c r="HG415" s="845"/>
      <c r="HH415" s="845"/>
      <c r="HI415" s="845"/>
      <c r="HJ415" s="845"/>
      <c r="HK415" s="845"/>
      <c r="HL415" s="845"/>
      <c r="HM415" s="845"/>
      <c r="HN415" s="845"/>
      <c r="HO415" s="845"/>
      <c r="HP415" s="845"/>
      <c r="HQ415" s="845"/>
      <c r="HR415" s="845"/>
      <c r="HS415" s="845"/>
      <c r="HT415" s="845"/>
      <c r="HU415" s="845"/>
      <c r="HV415" s="845"/>
      <c r="HW415" s="845"/>
      <c r="HX415" s="845"/>
      <c r="HY415" s="845"/>
      <c r="HZ415" s="845"/>
      <c r="IA415" s="845"/>
      <c r="IB415" s="845"/>
      <c r="IC415" s="845"/>
      <c r="ID415" s="845"/>
      <c r="IE415" s="845"/>
      <c r="IF415" s="845"/>
    </row>
    <row r="416" spans="1:247" s="747" customFormat="1" ht="14.25" customHeight="1">
      <c r="A416" s="976" t="s">
        <v>3918</v>
      </c>
      <c r="B416" s="976" t="s">
        <v>1194</v>
      </c>
      <c r="C416" s="977">
        <v>1611100757</v>
      </c>
      <c r="D416" s="976" t="s">
        <v>3317</v>
      </c>
      <c r="E416" s="976">
        <v>30</v>
      </c>
      <c r="F416" s="976">
        <v>30</v>
      </c>
      <c r="G416" s="976">
        <v>22.5</v>
      </c>
      <c r="H416" s="976">
        <v>0</v>
      </c>
      <c r="I416" s="976"/>
      <c r="J416" s="976">
        <v>0</v>
      </c>
      <c r="K416" s="976">
        <v>0</v>
      </c>
      <c r="L416" s="978">
        <v>-22.5</v>
      </c>
      <c r="M416" s="976" t="s">
        <v>3630</v>
      </c>
      <c r="N416" s="976">
        <v>0</v>
      </c>
      <c r="O416" s="735">
        <f t="shared" si="20"/>
        <v>-30</v>
      </c>
      <c r="P416" s="738">
        <f t="shared" si="18"/>
        <v>0</v>
      </c>
      <c r="Q416" s="751">
        <f t="shared" si="19"/>
        <v>0</v>
      </c>
      <c r="V416" s="988"/>
      <c r="W416" s="1024"/>
      <c r="AY416" s="845"/>
      <c r="AZ416" s="845"/>
      <c r="BA416" s="845"/>
      <c r="BB416" s="845"/>
      <c r="BC416" s="845"/>
      <c r="BD416" s="845"/>
      <c r="BE416" s="845"/>
      <c r="BF416" s="845"/>
      <c r="BG416" s="845"/>
      <c r="BH416" s="845"/>
      <c r="BI416" s="845"/>
      <c r="BJ416" s="845"/>
      <c r="BK416" s="845"/>
      <c r="BL416" s="845"/>
      <c r="BM416" s="845"/>
      <c r="BN416" s="845"/>
      <c r="BO416" s="845"/>
      <c r="BP416" s="845"/>
      <c r="BQ416" s="845"/>
      <c r="BR416" s="845"/>
      <c r="BS416" s="845"/>
      <c r="BT416" s="845"/>
      <c r="BU416" s="845"/>
      <c r="BV416" s="845"/>
      <c r="BW416" s="845"/>
      <c r="BX416" s="845"/>
      <c r="BY416" s="845"/>
      <c r="BZ416" s="845"/>
      <c r="CA416" s="845"/>
      <c r="CB416" s="845"/>
      <c r="CC416" s="845"/>
      <c r="CD416" s="845"/>
      <c r="CE416" s="845"/>
      <c r="CF416" s="845"/>
      <c r="CG416" s="845"/>
      <c r="CH416" s="845"/>
      <c r="CI416" s="845"/>
      <c r="CJ416" s="845"/>
      <c r="CK416" s="845"/>
      <c r="CL416" s="845"/>
      <c r="CM416" s="845"/>
      <c r="CN416" s="845"/>
      <c r="CO416" s="845"/>
      <c r="CP416" s="845"/>
      <c r="CQ416" s="845"/>
      <c r="CR416" s="845"/>
      <c r="CS416" s="845"/>
      <c r="CT416" s="845"/>
      <c r="CU416" s="845"/>
      <c r="CV416" s="845"/>
      <c r="CW416" s="845"/>
      <c r="CX416" s="845"/>
      <c r="CY416" s="845"/>
      <c r="CZ416" s="845"/>
      <c r="DA416" s="845"/>
      <c r="DB416" s="845"/>
      <c r="DC416" s="845"/>
      <c r="DD416" s="845"/>
      <c r="DE416" s="845"/>
      <c r="DF416" s="845"/>
      <c r="DG416" s="845"/>
      <c r="DH416" s="845"/>
      <c r="DI416" s="845"/>
      <c r="DJ416" s="845"/>
      <c r="DK416" s="845"/>
      <c r="DL416" s="845"/>
      <c r="DM416" s="845"/>
      <c r="DN416" s="845"/>
      <c r="DO416" s="845"/>
      <c r="DP416" s="845"/>
      <c r="DQ416" s="845"/>
      <c r="DR416" s="845"/>
      <c r="DS416" s="845"/>
      <c r="DT416" s="845"/>
      <c r="DU416" s="845"/>
      <c r="DV416" s="845"/>
      <c r="DW416" s="845"/>
      <c r="DX416" s="845"/>
      <c r="DY416" s="845"/>
      <c r="DZ416" s="845"/>
      <c r="EA416" s="845"/>
      <c r="EB416" s="845"/>
      <c r="EC416" s="845"/>
      <c r="ED416" s="845"/>
      <c r="EE416" s="845"/>
      <c r="EF416" s="845"/>
      <c r="EG416" s="845"/>
      <c r="EH416" s="845"/>
      <c r="EI416" s="845"/>
      <c r="EJ416" s="845"/>
      <c r="EK416" s="845"/>
      <c r="EL416" s="845"/>
      <c r="EM416" s="845"/>
      <c r="EN416" s="845"/>
      <c r="EO416" s="845"/>
      <c r="EP416" s="845"/>
      <c r="EQ416" s="845"/>
      <c r="ER416" s="845"/>
      <c r="ES416" s="845"/>
      <c r="ET416" s="845"/>
      <c r="EU416" s="845"/>
      <c r="EV416" s="845"/>
      <c r="EW416" s="845"/>
      <c r="EX416" s="845"/>
      <c r="EY416" s="845"/>
      <c r="EZ416" s="845"/>
      <c r="FA416" s="845"/>
      <c r="FB416" s="845"/>
      <c r="FC416" s="845"/>
      <c r="FD416" s="845"/>
      <c r="FE416" s="845"/>
      <c r="FF416" s="845"/>
      <c r="FG416" s="845"/>
      <c r="FH416" s="845"/>
      <c r="FI416" s="845"/>
      <c r="FJ416" s="845"/>
      <c r="FK416" s="845"/>
      <c r="FL416" s="845"/>
      <c r="FM416" s="845"/>
      <c r="FN416" s="845"/>
      <c r="FO416" s="845"/>
      <c r="FP416" s="845"/>
      <c r="FQ416" s="845"/>
      <c r="FR416" s="845"/>
      <c r="FS416" s="845"/>
      <c r="FT416" s="845"/>
      <c r="FU416" s="845"/>
      <c r="FV416" s="845"/>
      <c r="FW416" s="845"/>
      <c r="FX416" s="845"/>
      <c r="FY416" s="845"/>
      <c r="FZ416" s="845"/>
      <c r="GA416" s="845"/>
      <c r="GB416" s="845"/>
      <c r="GC416" s="845"/>
      <c r="GD416" s="845"/>
      <c r="GE416" s="845"/>
      <c r="GF416" s="845"/>
      <c r="GG416" s="845"/>
      <c r="GH416" s="845"/>
      <c r="GI416" s="845"/>
      <c r="GJ416" s="845"/>
      <c r="GK416" s="845"/>
      <c r="GL416" s="845"/>
      <c r="GM416" s="845"/>
      <c r="GN416" s="845"/>
      <c r="GO416" s="845"/>
      <c r="GP416" s="845"/>
      <c r="GQ416" s="845"/>
      <c r="GR416" s="845"/>
      <c r="GS416" s="845"/>
      <c r="GT416" s="845"/>
      <c r="GU416" s="845"/>
      <c r="GV416" s="845"/>
      <c r="GW416" s="845"/>
      <c r="GX416" s="845"/>
      <c r="GY416" s="845"/>
      <c r="GZ416" s="845"/>
      <c r="HA416" s="845"/>
      <c r="HB416" s="845"/>
      <c r="HC416" s="845"/>
      <c r="HD416" s="845"/>
      <c r="HE416" s="845"/>
      <c r="HF416" s="845"/>
      <c r="HG416" s="845"/>
      <c r="HH416" s="845"/>
      <c r="HI416" s="845"/>
      <c r="HJ416" s="845"/>
      <c r="HK416" s="845"/>
      <c r="HL416" s="845"/>
      <c r="HM416" s="845"/>
      <c r="HN416" s="845"/>
      <c r="HO416" s="845"/>
      <c r="HP416" s="845"/>
      <c r="HQ416" s="845"/>
      <c r="HR416" s="845"/>
      <c r="HS416" s="845"/>
      <c r="HT416" s="845"/>
      <c r="HU416" s="845"/>
      <c r="HV416" s="845"/>
      <c r="HW416" s="845"/>
      <c r="HX416" s="845"/>
      <c r="HY416" s="845"/>
      <c r="HZ416" s="845"/>
      <c r="IA416" s="845"/>
      <c r="IB416" s="845"/>
      <c r="IC416" s="845"/>
      <c r="ID416" s="845"/>
      <c r="IE416" s="845"/>
      <c r="IF416" s="845"/>
    </row>
    <row r="417" spans="1:240" s="747" customFormat="1" ht="14.25" customHeight="1">
      <c r="A417" s="976" t="s">
        <v>3919</v>
      </c>
      <c r="B417" s="976" t="s">
        <v>1194</v>
      </c>
      <c r="C417" s="977">
        <v>1611100784</v>
      </c>
      <c r="D417" s="976" t="s">
        <v>3318</v>
      </c>
      <c r="E417" s="976">
        <v>0</v>
      </c>
      <c r="F417" s="976">
        <v>0</v>
      </c>
      <c r="G417" s="976">
        <v>0</v>
      </c>
      <c r="H417" s="976">
        <v>0</v>
      </c>
      <c r="I417" s="976"/>
      <c r="J417" s="976"/>
      <c r="K417" s="976">
        <v>0</v>
      </c>
      <c r="L417" s="978">
        <v>0</v>
      </c>
      <c r="M417" s="976"/>
      <c r="N417" s="976">
        <v>0</v>
      </c>
      <c r="O417" s="735">
        <f t="shared" si="20"/>
        <v>0</v>
      </c>
      <c r="P417" s="738">
        <f t="shared" si="18"/>
        <v>0</v>
      </c>
      <c r="Q417" s="751">
        <f t="shared" si="19"/>
        <v>0</v>
      </c>
      <c r="V417" s="988"/>
      <c r="W417" s="1024"/>
      <c r="CD417" s="845"/>
      <c r="CE417" s="845"/>
      <c r="CF417" s="845"/>
      <c r="CG417" s="845"/>
      <c r="CH417" s="845"/>
      <c r="CI417" s="845"/>
      <c r="CJ417" s="845"/>
      <c r="CK417" s="845"/>
      <c r="CL417" s="845"/>
      <c r="CM417" s="845"/>
      <c r="CN417" s="845"/>
      <c r="CO417" s="845"/>
      <c r="CP417" s="845"/>
      <c r="CQ417" s="845"/>
      <c r="CR417" s="845"/>
      <c r="CS417" s="845"/>
      <c r="CT417" s="845"/>
      <c r="CU417" s="845"/>
      <c r="CV417" s="845"/>
      <c r="CW417" s="845"/>
      <c r="CX417" s="845"/>
      <c r="CY417" s="845"/>
      <c r="CZ417" s="845"/>
      <c r="DA417" s="845"/>
      <c r="DB417" s="845"/>
      <c r="DC417" s="845"/>
      <c r="DD417" s="845"/>
      <c r="DE417" s="845"/>
      <c r="DF417" s="845"/>
      <c r="DG417" s="845"/>
      <c r="DH417" s="845"/>
      <c r="DI417" s="845"/>
      <c r="DJ417" s="845"/>
      <c r="DK417" s="845"/>
      <c r="DL417" s="845"/>
      <c r="DM417" s="845"/>
      <c r="DN417" s="845"/>
      <c r="DO417" s="845"/>
      <c r="DP417" s="845"/>
      <c r="DQ417" s="845"/>
      <c r="DR417" s="845"/>
      <c r="DS417" s="845"/>
      <c r="DT417" s="845"/>
      <c r="DU417" s="845"/>
      <c r="DV417" s="845"/>
      <c r="DW417" s="845"/>
      <c r="DX417" s="845"/>
      <c r="DY417" s="845"/>
      <c r="DZ417" s="845"/>
      <c r="EA417" s="845"/>
      <c r="EB417" s="845"/>
      <c r="EC417" s="845"/>
      <c r="ED417" s="845"/>
      <c r="EE417" s="845"/>
      <c r="EF417" s="845"/>
      <c r="EG417" s="845"/>
      <c r="EH417" s="845"/>
      <c r="EI417" s="845"/>
      <c r="EJ417" s="845"/>
      <c r="EK417" s="845"/>
      <c r="EL417" s="845"/>
      <c r="EM417" s="845"/>
      <c r="EN417" s="845"/>
      <c r="EO417" s="845"/>
      <c r="EP417" s="845"/>
      <c r="EQ417" s="845"/>
      <c r="ER417" s="845"/>
      <c r="ES417" s="845"/>
      <c r="ET417" s="845"/>
      <c r="EU417" s="845"/>
      <c r="EV417" s="845"/>
      <c r="EW417" s="845"/>
      <c r="EX417" s="845"/>
      <c r="EY417" s="845"/>
      <c r="EZ417" s="845"/>
      <c r="FA417" s="845"/>
      <c r="FB417" s="845"/>
      <c r="FC417" s="845"/>
      <c r="FD417" s="845"/>
      <c r="FE417" s="845"/>
      <c r="FF417" s="845"/>
      <c r="FG417" s="845"/>
      <c r="FH417" s="845"/>
      <c r="FI417" s="845"/>
      <c r="FJ417" s="845"/>
      <c r="FK417" s="845"/>
      <c r="FL417" s="845"/>
      <c r="FM417" s="845"/>
      <c r="FN417" s="845"/>
      <c r="FO417" s="845"/>
      <c r="FP417" s="845"/>
      <c r="FQ417" s="845"/>
      <c r="FR417" s="845"/>
      <c r="FS417" s="845"/>
      <c r="FT417" s="845"/>
      <c r="FU417" s="845"/>
      <c r="FV417" s="845"/>
      <c r="FW417" s="845"/>
      <c r="FX417" s="845"/>
      <c r="FY417" s="845"/>
      <c r="FZ417" s="845"/>
      <c r="GA417" s="845"/>
      <c r="GB417" s="845"/>
      <c r="GC417" s="845"/>
      <c r="GD417" s="845"/>
      <c r="GE417" s="845"/>
      <c r="GF417" s="845"/>
      <c r="GG417" s="845"/>
      <c r="GH417" s="845"/>
      <c r="GI417" s="845"/>
      <c r="GJ417" s="845"/>
      <c r="GK417" s="845"/>
      <c r="GL417" s="845"/>
      <c r="GM417" s="845"/>
      <c r="GN417" s="845"/>
      <c r="GO417" s="845"/>
      <c r="GP417" s="845"/>
      <c r="GQ417" s="845"/>
      <c r="GR417" s="845"/>
      <c r="GS417" s="845"/>
      <c r="GT417" s="845"/>
      <c r="GU417" s="845"/>
      <c r="GV417" s="845"/>
      <c r="GW417" s="845"/>
      <c r="GX417" s="845"/>
      <c r="GY417" s="845"/>
      <c r="GZ417" s="845"/>
      <c r="HA417" s="845"/>
      <c r="HB417" s="845"/>
      <c r="HC417" s="845"/>
      <c r="HD417" s="845"/>
      <c r="HE417" s="845"/>
      <c r="HF417" s="845"/>
      <c r="HG417" s="845"/>
      <c r="HH417" s="845"/>
      <c r="HI417" s="845"/>
      <c r="HJ417" s="845"/>
      <c r="HK417" s="845"/>
      <c r="HL417" s="845"/>
      <c r="HM417" s="845"/>
      <c r="HN417" s="845"/>
      <c r="HO417" s="845"/>
      <c r="HP417" s="845"/>
      <c r="HQ417" s="845"/>
      <c r="HR417" s="845"/>
      <c r="HS417" s="845"/>
      <c r="HT417" s="845"/>
      <c r="HU417" s="845"/>
      <c r="HV417" s="845"/>
      <c r="HW417" s="845"/>
      <c r="HX417" s="845"/>
      <c r="HY417" s="845"/>
      <c r="HZ417" s="845"/>
      <c r="IA417" s="845"/>
      <c r="IB417" s="845"/>
      <c r="IC417" s="845"/>
      <c r="ID417" s="845"/>
      <c r="IE417" s="845"/>
      <c r="IF417" s="845"/>
    </row>
    <row r="418" spans="1:240" s="882" customFormat="1" ht="14.25" customHeight="1">
      <c r="A418" s="976" t="s">
        <v>3909</v>
      </c>
      <c r="B418" s="976" t="s">
        <v>1194</v>
      </c>
      <c r="C418" s="977">
        <v>1611100780</v>
      </c>
      <c r="D418" s="976" t="s">
        <v>280</v>
      </c>
      <c r="E418" s="976">
        <v>130</v>
      </c>
      <c r="F418" s="976">
        <v>130</v>
      </c>
      <c r="G418" s="976">
        <v>97.5</v>
      </c>
      <c r="H418" s="976">
        <v>70.51382000000001</v>
      </c>
      <c r="I418" s="976"/>
      <c r="J418" s="1041">
        <v>27</v>
      </c>
      <c r="K418" s="976">
        <v>97.51382000000001</v>
      </c>
      <c r="L418" s="978">
        <v>1.3820000000009713E-2</v>
      </c>
      <c r="M418" s="976" t="s">
        <v>3630</v>
      </c>
      <c r="N418" s="976">
        <v>130.01842666666667</v>
      </c>
      <c r="O418" s="735">
        <f t="shared" si="20"/>
        <v>1.8426666666670144E-2</v>
      </c>
      <c r="P418" s="738">
        <f t="shared" si="18"/>
        <v>130018.42666666667</v>
      </c>
      <c r="Q418" s="751">
        <f t="shared" si="19"/>
        <v>130000</v>
      </c>
      <c r="V418" s="988"/>
      <c r="W418" s="1024"/>
      <c r="CD418" s="883"/>
      <c r="CE418" s="883"/>
      <c r="CF418" s="883"/>
      <c r="CG418" s="883"/>
      <c r="CH418" s="883"/>
      <c r="CI418" s="883"/>
      <c r="CJ418" s="883"/>
      <c r="CK418" s="883"/>
      <c r="CL418" s="883"/>
      <c r="CM418" s="883"/>
      <c r="CN418" s="883"/>
      <c r="CO418" s="883"/>
      <c r="CP418" s="883"/>
      <c r="CQ418" s="883"/>
      <c r="CR418" s="883"/>
      <c r="CS418" s="883"/>
      <c r="CT418" s="883"/>
      <c r="CU418" s="883"/>
      <c r="CV418" s="883"/>
      <c r="CW418" s="883"/>
      <c r="CX418" s="883"/>
      <c r="CY418" s="883"/>
      <c r="CZ418" s="883"/>
      <c r="DA418" s="883"/>
      <c r="DB418" s="883"/>
      <c r="DC418" s="883"/>
      <c r="DD418" s="883"/>
      <c r="DE418" s="883"/>
      <c r="DF418" s="883"/>
      <c r="DG418" s="883"/>
      <c r="DH418" s="883"/>
      <c r="DI418" s="883"/>
      <c r="DJ418" s="883"/>
      <c r="DK418" s="883"/>
      <c r="DL418" s="883"/>
      <c r="DM418" s="883"/>
      <c r="DN418" s="883"/>
      <c r="DO418" s="883"/>
      <c r="DP418" s="883"/>
      <c r="DQ418" s="883"/>
      <c r="DR418" s="883"/>
      <c r="DS418" s="883"/>
      <c r="DT418" s="883"/>
      <c r="DU418" s="883"/>
      <c r="DV418" s="883"/>
      <c r="DW418" s="883"/>
      <c r="DX418" s="883"/>
      <c r="DY418" s="883"/>
      <c r="DZ418" s="883"/>
      <c r="EA418" s="883"/>
      <c r="EB418" s="883"/>
      <c r="EC418" s="883"/>
      <c r="ED418" s="883"/>
      <c r="EE418" s="883"/>
      <c r="EF418" s="883"/>
      <c r="EG418" s="883"/>
      <c r="EH418" s="883"/>
      <c r="EI418" s="883"/>
      <c r="EJ418" s="883"/>
      <c r="EK418" s="883"/>
      <c r="EL418" s="883"/>
      <c r="EM418" s="883"/>
      <c r="EN418" s="883"/>
      <c r="EO418" s="883"/>
      <c r="EP418" s="883"/>
      <c r="EQ418" s="883"/>
      <c r="ER418" s="883"/>
      <c r="ES418" s="883"/>
      <c r="ET418" s="883"/>
      <c r="EU418" s="883"/>
      <c r="EV418" s="883"/>
      <c r="EW418" s="883"/>
      <c r="EX418" s="883"/>
      <c r="EY418" s="883"/>
      <c r="EZ418" s="883"/>
      <c r="FA418" s="883"/>
      <c r="FB418" s="883"/>
      <c r="FC418" s="883"/>
      <c r="FD418" s="883"/>
      <c r="FE418" s="883"/>
      <c r="FF418" s="883"/>
      <c r="FG418" s="883"/>
      <c r="FH418" s="883"/>
      <c r="FI418" s="883"/>
      <c r="FJ418" s="883"/>
      <c r="FK418" s="883"/>
      <c r="FL418" s="883"/>
      <c r="FM418" s="883"/>
      <c r="FN418" s="883"/>
      <c r="FO418" s="883"/>
      <c r="FP418" s="883"/>
      <c r="FQ418" s="883"/>
      <c r="FR418" s="883"/>
      <c r="FS418" s="883"/>
      <c r="FT418" s="883"/>
      <c r="FU418" s="883"/>
      <c r="FV418" s="883"/>
      <c r="FW418" s="883"/>
      <c r="FX418" s="883"/>
      <c r="FY418" s="883"/>
      <c r="FZ418" s="883"/>
      <c r="GA418" s="883"/>
      <c r="GB418" s="883"/>
      <c r="GC418" s="883"/>
      <c r="GD418" s="883"/>
      <c r="GE418" s="883"/>
      <c r="GF418" s="883"/>
      <c r="GG418" s="883"/>
      <c r="GH418" s="883"/>
      <c r="GI418" s="883"/>
      <c r="GJ418" s="883"/>
      <c r="GK418" s="883"/>
      <c r="GL418" s="883"/>
      <c r="GM418" s="883"/>
      <c r="GN418" s="883"/>
      <c r="GO418" s="883"/>
      <c r="GP418" s="883"/>
      <c r="GQ418" s="883"/>
      <c r="GR418" s="883"/>
      <c r="GS418" s="883"/>
      <c r="GT418" s="883"/>
      <c r="GU418" s="883"/>
      <c r="GV418" s="883"/>
      <c r="GW418" s="883"/>
      <c r="GX418" s="883"/>
      <c r="GY418" s="883"/>
      <c r="GZ418" s="883"/>
      <c r="HA418" s="883"/>
      <c r="HB418" s="883"/>
      <c r="HC418" s="883"/>
      <c r="HD418" s="883"/>
      <c r="HE418" s="883"/>
      <c r="HF418" s="883"/>
      <c r="HG418" s="883"/>
      <c r="HH418" s="883"/>
      <c r="HI418" s="883"/>
      <c r="HJ418" s="883"/>
      <c r="HK418" s="883"/>
      <c r="HL418" s="883"/>
      <c r="HM418" s="883"/>
      <c r="HN418" s="883"/>
      <c r="HO418" s="883"/>
      <c r="HP418" s="883"/>
      <c r="HQ418" s="883"/>
      <c r="HR418" s="883"/>
      <c r="HS418" s="883"/>
      <c r="HT418" s="883"/>
      <c r="HU418" s="883"/>
      <c r="HV418" s="883"/>
      <c r="HW418" s="883"/>
      <c r="HX418" s="883"/>
      <c r="HY418" s="883"/>
      <c r="HZ418" s="883"/>
      <c r="IA418" s="883"/>
      <c r="IB418" s="883"/>
      <c r="IC418" s="883"/>
      <c r="ID418" s="883"/>
      <c r="IE418" s="883"/>
      <c r="IF418" s="883"/>
    </row>
    <row r="419" spans="1:240" s="747" customFormat="1" ht="14.25" customHeight="1">
      <c r="A419" s="976" t="s">
        <v>3920</v>
      </c>
      <c r="B419" s="976" t="s">
        <v>1194</v>
      </c>
      <c r="C419" s="977">
        <v>1611100782</v>
      </c>
      <c r="D419" s="976" t="s">
        <v>868</v>
      </c>
      <c r="E419" s="976">
        <v>900</v>
      </c>
      <c r="F419" s="976">
        <v>900</v>
      </c>
      <c r="G419" s="976">
        <v>675</v>
      </c>
      <c r="H419" s="976">
        <v>459.97411999999997</v>
      </c>
      <c r="I419" s="976"/>
      <c r="J419" s="1041">
        <v>225</v>
      </c>
      <c r="K419" s="976">
        <v>684.97411999999997</v>
      </c>
      <c r="L419" s="978">
        <v>9.9741199999999708</v>
      </c>
      <c r="M419" s="976" t="s">
        <v>3630</v>
      </c>
      <c r="N419" s="976">
        <v>913.29882666666663</v>
      </c>
      <c r="O419" s="735">
        <f t="shared" si="20"/>
        <v>13.298826666666628</v>
      </c>
      <c r="P419" s="738">
        <f t="shared" si="18"/>
        <v>913298.82666666666</v>
      </c>
      <c r="Q419" s="751">
        <f t="shared" si="19"/>
        <v>913000</v>
      </c>
      <c r="V419" s="988"/>
      <c r="W419" s="1024"/>
      <c r="AY419" s="845"/>
      <c r="AZ419" s="845"/>
      <c r="BA419" s="845"/>
      <c r="BB419" s="845"/>
      <c r="BC419" s="845"/>
      <c r="BD419" s="845"/>
      <c r="BE419" s="845"/>
      <c r="BF419" s="845"/>
      <c r="BG419" s="845"/>
      <c r="BH419" s="845"/>
      <c r="BI419" s="845"/>
      <c r="BJ419" s="845"/>
      <c r="BK419" s="845"/>
      <c r="BL419" s="845"/>
      <c r="BM419" s="845"/>
      <c r="BN419" s="845"/>
      <c r="BO419" s="845"/>
      <c r="BP419" s="845"/>
      <c r="BQ419" s="845"/>
      <c r="BR419" s="845"/>
      <c r="BS419" s="845"/>
      <c r="BT419" s="845"/>
      <c r="BU419" s="845"/>
      <c r="BV419" s="845"/>
      <c r="BW419" s="845"/>
      <c r="BX419" s="845"/>
      <c r="BY419" s="845"/>
      <c r="BZ419" s="845"/>
      <c r="CA419" s="845"/>
      <c r="CB419" s="845"/>
      <c r="CC419" s="845"/>
      <c r="CD419" s="845"/>
      <c r="CE419" s="845"/>
      <c r="CF419" s="845"/>
      <c r="CG419" s="845"/>
      <c r="CH419" s="845"/>
      <c r="CI419" s="845"/>
      <c r="CJ419" s="845"/>
      <c r="CK419" s="845"/>
      <c r="CL419" s="845"/>
      <c r="CM419" s="845"/>
      <c r="CN419" s="845"/>
      <c r="CO419" s="845"/>
      <c r="CP419" s="845"/>
      <c r="CQ419" s="845"/>
      <c r="CR419" s="845"/>
      <c r="CS419" s="845"/>
      <c r="CT419" s="845"/>
      <c r="CU419" s="845"/>
      <c r="CV419" s="845"/>
      <c r="CW419" s="845"/>
      <c r="CX419" s="845"/>
      <c r="CY419" s="845"/>
      <c r="CZ419" s="845"/>
      <c r="DA419" s="845"/>
      <c r="DB419" s="845"/>
      <c r="DC419" s="845"/>
      <c r="DD419" s="845"/>
      <c r="DE419" s="845"/>
      <c r="DF419" s="845"/>
      <c r="DG419" s="845"/>
      <c r="DH419" s="845"/>
      <c r="DI419" s="845"/>
      <c r="DJ419" s="845"/>
      <c r="DK419" s="845"/>
      <c r="DL419" s="845"/>
      <c r="DM419" s="845"/>
      <c r="DN419" s="845"/>
      <c r="DO419" s="845"/>
      <c r="DP419" s="845"/>
      <c r="DQ419" s="845"/>
      <c r="DR419" s="845"/>
      <c r="DS419" s="845"/>
      <c r="DT419" s="845"/>
      <c r="DU419" s="845"/>
      <c r="DV419" s="845"/>
      <c r="DW419" s="845"/>
      <c r="DX419" s="845"/>
      <c r="DY419" s="845"/>
      <c r="DZ419" s="845"/>
      <c r="EA419" s="845"/>
      <c r="EB419" s="845"/>
      <c r="EC419" s="845"/>
      <c r="ED419" s="845"/>
      <c r="EE419" s="845"/>
      <c r="EF419" s="845"/>
      <c r="EG419" s="845"/>
      <c r="EH419" s="845"/>
      <c r="EI419" s="845"/>
      <c r="EJ419" s="845"/>
      <c r="EK419" s="845"/>
      <c r="EL419" s="845"/>
      <c r="EM419" s="845"/>
      <c r="EN419" s="845"/>
      <c r="EO419" s="845"/>
      <c r="EP419" s="845"/>
      <c r="EQ419" s="845"/>
      <c r="ER419" s="845"/>
      <c r="ES419" s="845"/>
      <c r="ET419" s="845"/>
      <c r="EU419" s="845"/>
      <c r="EV419" s="845"/>
      <c r="EW419" s="845"/>
      <c r="EX419" s="845"/>
      <c r="EY419" s="845"/>
      <c r="EZ419" s="845"/>
      <c r="FA419" s="845"/>
      <c r="FB419" s="845"/>
      <c r="FC419" s="845"/>
      <c r="FD419" s="845"/>
      <c r="FE419" s="845"/>
      <c r="FF419" s="845"/>
      <c r="FG419" s="845"/>
      <c r="FH419" s="845"/>
      <c r="FI419" s="845"/>
      <c r="FJ419" s="845"/>
      <c r="FK419" s="845"/>
      <c r="FL419" s="845"/>
      <c r="FM419" s="845"/>
      <c r="FN419" s="845"/>
      <c r="FO419" s="845"/>
      <c r="FP419" s="845"/>
      <c r="FQ419" s="845"/>
      <c r="FR419" s="845"/>
      <c r="FS419" s="845"/>
      <c r="FT419" s="845"/>
      <c r="FU419" s="845"/>
      <c r="FV419" s="845"/>
      <c r="FW419" s="845"/>
      <c r="FX419" s="845"/>
      <c r="FY419" s="845"/>
      <c r="FZ419" s="845"/>
      <c r="GA419" s="845"/>
      <c r="GB419" s="845"/>
      <c r="GC419" s="845"/>
      <c r="GD419" s="845"/>
      <c r="GE419" s="845"/>
      <c r="GF419" s="845"/>
      <c r="GG419" s="845"/>
      <c r="GH419" s="845"/>
      <c r="GI419" s="845"/>
      <c r="GJ419" s="845"/>
      <c r="GK419" s="845"/>
      <c r="GL419" s="845"/>
      <c r="GM419" s="845"/>
      <c r="GN419" s="845"/>
      <c r="GO419" s="845"/>
      <c r="GP419" s="845"/>
      <c r="GQ419" s="845"/>
      <c r="GR419" s="845"/>
      <c r="GS419" s="845"/>
      <c r="GT419" s="845"/>
      <c r="GU419" s="845"/>
      <c r="GV419" s="845"/>
      <c r="GW419" s="845"/>
      <c r="GX419" s="845"/>
      <c r="GY419" s="845"/>
      <c r="GZ419" s="845"/>
      <c r="HA419" s="845"/>
      <c r="HB419" s="845"/>
      <c r="HC419" s="845"/>
      <c r="HD419" s="845"/>
      <c r="HE419" s="845"/>
      <c r="HF419" s="845"/>
      <c r="HG419" s="845"/>
      <c r="HH419" s="845"/>
      <c r="HI419" s="845"/>
      <c r="HJ419" s="845"/>
      <c r="HK419" s="845"/>
      <c r="HL419" s="845"/>
      <c r="HM419" s="845"/>
      <c r="HN419" s="845"/>
      <c r="HO419" s="845"/>
      <c r="HP419" s="845"/>
      <c r="HQ419" s="845"/>
      <c r="HR419" s="845"/>
      <c r="HS419" s="845"/>
      <c r="HT419" s="845"/>
      <c r="HU419" s="845"/>
      <c r="HV419" s="845"/>
      <c r="HW419" s="845"/>
      <c r="HX419" s="845"/>
      <c r="HY419" s="845"/>
      <c r="HZ419" s="845"/>
      <c r="IA419" s="845"/>
      <c r="IB419" s="845"/>
      <c r="IC419" s="845"/>
      <c r="ID419" s="845"/>
      <c r="IE419" s="845"/>
      <c r="IF419" s="845"/>
    </row>
    <row r="420" spans="1:240" s="747" customFormat="1" ht="14.25" customHeight="1">
      <c r="A420" s="976" t="s">
        <v>3921</v>
      </c>
      <c r="B420" s="976" t="s">
        <v>1194</v>
      </c>
      <c r="C420" s="999">
        <v>1611100783</v>
      </c>
      <c r="D420" s="999" t="s">
        <v>3319</v>
      </c>
      <c r="E420" s="976">
        <v>90</v>
      </c>
      <c r="F420" s="976">
        <v>90</v>
      </c>
      <c r="G420" s="976">
        <v>67.5</v>
      </c>
      <c r="H420" s="976">
        <v>64.045550000000006</v>
      </c>
      <c r="I420" s="976"/>
      <c r="J420" s="1041">
        <v>3</v>
      </c>
      <c r="K420" s="976">
        <v>67.045550000000006</v>
      </c>
      <c r="L420" s="978">
        <v>-0.45444999999999425</v>
      </c>
      <c r="M420" s="976" t="s">
        <v>3630</v>
      </c>
      <c r="N420" s="976">
        <v>89.394066666666674</v>
      </c>
      <c r="O420" s="735">
        <f t="shared" si="20"/>
        <v>-0.60593333333332566</v>
      </c>
      <c r="P420" s="738">
        <f t="shared" si="18"/>
        <v>89394.06666666668</v>
      </c>
      <c r="Q420" s="751">
        <f t="shared" si="19"/>
        <v>89000</v>
      </c>
      <c r="V420" s="988"/>
      <c r="W420" s="1024"/>
      <c r="CD420" s="845"/>
      <c r="CE420" s="845"/>
      <c r="CF420" s="845"/>
      <c r="CG420" s="845"/>
      <c r="CH420" s="845"/>
      <c r="CI420" s="845"/>
      <c r="CJ420" s="845"/>
      <c r="CK420" s="845"/>
      <c r="CL420" s="845"/>
      <c r="CM420" s="845"/>
      <c r="CN420" s="845"/>
      <c r="CO420" s="845"/>
      <c r="CP420" s="845"/>
      <c r="CQ420" s="845"/>
      <c r="CR420" s="845"/>
      <c r="CS420" s="845"/>
      <c r="CT420" s="845"/>
      <c r="CU420" s="845"/>
      <c r="CV420" s="845"/>
      <c r="CW420" s="845"/>
      <c r="CX420" s="845"/>
      <c r="CY420" s="845"/>
      <c r="CZ420" s="845"/>
      <c r="DA420" s="845"/>
      <c r="DB420" s="845"/>
      <c r="DC420" s="845"/>
      <c r="DD420" s="845"/>
      <c r="DE420" s="845"/>
      <c r="DF420" s="845"/>
      <c r="DG420" s="845"/>
      <c r="DH420" s="845"/>
      <c r="DI420" s="845"/>
      <c r="DJ420" s="845"/>
      <c r="DK420" s="845"/>
      <c r="DL420" s="845"/>
      <c r="DM420" s="845"/>
      <c r="DN420" s="845"/>
      <c r="DO420" s="845"/>
      <c r="DP420" s="845"/>
      <c r="DQ420" s="845"/>
      <c r="DR420" s="845"/>
      <c r="DS420" s="845"/>
      <c r="DT420" s="845"/>
      <c r="DU420" s="845"/>
      <c r="DV420" s="845"/>
      <c r="DW420" s="845"/>
      <c r="DX420" s="845"/>
      <c r="DY420" s="845"/>
      <c r="DZ420" s="845"/>
      <c r="EA420" s="845"/>
      <c r="EB420" s="845"/>
      <c r="EC420" s="845"/>
      <c r="ED420" s="845"/>
      <c r="EE420" s="845"/>
      <c r="EF420" s="845"/>
      <c r="EG420" s="845"/>
      <c r="EH420" s="845"/>
      <c r="EI420" s="845"/>
      <c r="EJ420" s="845"/>
      <c r="EK420" s="845"/>
      <c r="EL420" s="845"/>
      <c r="EM420" s="845"/>
      <c r="EN420" s="845"/>
      <c r="EO420" s="845"/>
      <c r="EP420" s="845"/>
      <c r="EQ420" s="845"/>
      <c r="ER420" s="845"/>
      <c r="ES420" s="845"/>
      <c r="ET420" s="845"/>
      <c r="EU420" s="845"/>
      <c r="EV420" s="845"/>
      <c r="EW420" s="845"/>
      <c r="EX420" s="845"/>
      <c r="EY420" s="845"/>
      <c r="EZ420" s="845"/>
      <c r="FA420" s="845"/>
      <c r="FB420" s="845"/>
      <c r="FC420" s="845"/>
      <c r="FD420" s="845"/>
      <c r="FE420" s="845"/>
      <c r="FF420" s="845"/>
      <c r="FG420" s="845"/>
      <c r="FH420" s="845"/>
      <c r="FI420" s="845"/>
      <c r="FJ420" s="845"/>
      <c r="FK420" s="845"/>
      <c r="FL420" s="845"/>
      <c r="FM420" s="845"/>
      <c r="FN420" s="845"/>
      <c r="FO420" s="845"/>
      <c r="FP420" s="845"/>
      <c r="FQ420" s="845"/>
      <c r="FR420" s="845"/>
      <c r="FS420" s="845"/>
      <c r="FT420" s="845"/>
      <c r="FU420" s="845"/>
      <c r="FV420" s="845"/>
      <c r="FW420" s="845"/>
      <c r="FX420" s="845"/>
      <c r="FY420" s="845"/>
      <c r="FZ420" s="845"/>
      <c r="GA420" s="845"/>
      <c r="GB420" s="845"/>
      <c r="GC420" s="845"/>
      <c r="GD420" s="845"/>
      <c r="GE420" s="845"/>
      <c r="GF420" s="845"/>
      <c r="GG420" s="845"/>
      <c r="GH420" s="845"/>
      <c r="GI420" s="845"/>
      <c r="GJ420" s="845"/>
      <c r="GK420" s="845"/>
      <c r="GL420" s="845"/>
      <c r="GM420" s="845"/>
      <c r="GN420" s="845"/>
      <c r="GO420" s="845"/>
      <c r="GP420" s="845"/>
      <c r="GQ420" s="845"/>
      <c r="GR420" s="845"/>
      <c r="GS420" s="845"/>
      <c r="GT420" s="845"/>
      <c r="GU420" s="845"/>
      <c r="GV420" s="845"/>
      <c r="GW420" s="845"/>
      <c r="GX420" s="845"/>
      <c r="GY420" s="845"/>
      <c r="GZ420" s="845"/>
      <c r="HA420" s="845"/>
      <c r="HB420" s="845"/>
      <c r="HC420" s="845"/>
      <c r="HD420" s="845"/>
      <c r="HE420" s="845"/>
      <c r="HF420" s="845"/>
      <c r="HG420" s="845"/>
      <c r="HH420" s="845"/>
      <c r="HI420" s="845"/>
      <c r="HJ420" s="845"/>
      <c r="HK420" s="845"/>
      <c r="HL420" s="845"/>
      <c r="HM420" s="845"/>
      <c r="HN420" s="845"/>
      <c r="HO420" s="845"/>
      <c r="HP420" s="845"/>
      <c r="HQ420" s="845"/>
      <c r="HR420" s="845"/>
      <c r="HS420" s="845"/>
      <c r="HT420" s="845"/>
      <c r="HU420" s="845"/>
      <c r="HV420" s="845"/>
      <c r="HW420" s="845"/>
      <c r="HX420" s="845"/>
      <c r="HY420" s="845"/>
      <c r="HZ420" s="845"/>
      <c r="IA420" s="845"/>
      <c r="IB420" s="845"/>
      <c r="IC420" s="845"/>
      <c r="ID420" s="845"/>
      <c r="IE420" s="845"/>
      <c r="IF420" s="845"/>
    </row>
    <row r="421" spans="1:240" s="747" customFormat="1" ht="14.25" customHeight="1">
      <c r="A421" s="976" t="s">
        <v>3867</v>
      </c>
      <c r="B421" s="976" t="s">
        <v>1194</v>
      </c>
      <c r="C421" s="977">
        <v>1612000410</v>
      </c>
      <c r="D421" s="976" t="s">
        <v>304</v>
      </c>
      <c r="E421" s="976">
        <v>59</v>
      </c>
      <c r="F421" s="976">
        <v>59</v>
      </c>
      <c r="G421" s="976">
        <v>44.25</v>
      </c>
      <c r="H421" s="976">
        <v>62.98</v>
      </c>
      <c r="I421" s="976"/>
      <c r="J421" s="1032">
        <v>-17</v>
      </c>
      <c r="K421" s="976">
        <v>45.98</v>
      </c>
      <c r="L421" s="978">
        <v>1.7299999999999969</v>
      </c>
      <c r="M421" s="976" t="s">
        <v>3632</v>
      </c>
      <c r="N421" s="976">
        <v>61.306666666666665</v>
      </c>
      <c r="O421" s="735">
        <f t="shared" si="20"/>
        <v>2.3066666666666649</v>
      </c>
      <c r="P421" s="738">
        <f t="shared" si="18"/>
        <v>61306.666666666664</v>
      </c>
      <c r="Q421" s="751">
        <f t="shared" si="19"/>
        <v>61000</v>
      </c>
      <c r="V421" s="988"/>
      <c r="W421" s="1024"/>
      <c r="AY421" s="845"/>
      <c r="AZ421" s="845"/>
      <c r="BA421" s="845"/>
      <c r="BB421" s="845"/>
      <c r="BC421" s="845"/>
      <c r="BD421" s="845"/>
      <c r="BE421" s="845"/>
      <c r="BF421" s="845"/>
      <c r="BG421" s="845"/>
      <c r="BH421" s="845"/>
      <c r="BI421" s="845"/>
      <c r="BJ421" s="845"/>
      <c r="BK421" s="845"/>
      <c r="BL421" s="845"/>
      <c r="BM421" s="845"/>
      <c r="BN421" s="845"/>
      <c r="BO421" s="845"/>
      <c r="BP421" s="845"/>
      <c r="BQ421" s="845"/>
      <c r="BR421" s="845"/>
      <c r="BS421" s="845"/>
      <c r="BT421" s="845"/>
      <c r="BU421" s="845"/>
      <c r="BV421" s="845"/>
      <c r="BW421" s="845"/>
      <c r="BX421" s="845"/>
      <c r="BY421" s="845"/>
      <c r="BZ421" s="845"/>
      <c r="CA421" s="845"/>
      <c r="CB421" s="845"/>
      <c r="CC421" s="845"/>
      <c r="CD421" s="845"/>
      <c r="CE421" s="845"/>
      <c r="CF421" s="845"/>
      <c r="CG421" s="845"/>
      <c r="CH421" s="845"/>
      <c r="CI421" s="845"/>
      <c r="CJ421" s="845"/>
      <c r="CK421" s="845"/>
      <c r="CL421" s="845"/>
      <c r="CM421" s="845"/>
      <c r="CN421" s="845"/>
      <c r="CO421" s="845"/>
      <c r="CP421" s="845"/>
      <c r="CQ421" s="845"/>
      <c r="CR421" s="845"/>
      <c r="CS421" s="845"/>
      <c r="CT421" s="845"/>
      <c r="CU421" s="845"/>
      <c r="CV421" s="845"/>
      <c r="CW421" s="845"/>
      <c r="CX421" s="845"/>
      <c r="CY421" s="845"/>
      <c r="CZ421" s="845"/>
      <c r="DA421" s="845"/>
      <c r="DB421" s="845"/>
      <c r="DC421" s="845"/>
      <c r="DD421" s="845"/>
      <c r="DE421" s="845"/>
      <c r="DF421" s="845"/>
      <c r="DG421" s="845"/>
      <c r="DH421" s="845"/>
      <c r="DI421" s="845"/>
      <c r="DJ421" s="845"/>
      <c r="DK421" s="845"/>
      <c r="DL421" s="845"/>
      <c r="DM421" s="845"/>
      <c r="DN421" s="845"/>
      <c r="DO421" s="845"/>
      <c r="DP421" s="845"/>
      <c r="DQ421" s="845"/>
      <c r="DR421" s="845"/>
      <c r="DS421" s="845"/>
      <c r="DT421" s="845"/>
      <c r="DU421" s="845"/>
      <c r="DV421" s="845"/>
      <c r="DW421" s="845"/>
      <c r="DX421" s="845"/>
      <c r="DY421" s="845"/>
      <c r="DZ421" s="845"/>
      <c r="EA421" s="845"/>
      <c r="EB421" s="845"/>
      <c r="EC421" s="845"/>
      <c r="ED421" s="845"/>
      <c r="EE421" s="845"/>
      <c r="EF421" s="845"/>
      <c r="EG421" s="845"/>
      <c r="EH421" s="845"/>
      <c r="EI421" s="845"/>
      <c r="EJ421" s="845"/>
      <c r="EK421" s="845"/>
      <c r="EL421" s="845"/>
      <c r="EM421" s="845"/>
      <c r="EN421" s="845"/>
      <c r="EO421" s="845"/>
      <c r="EP421" s="845"/>
      <c r="EQ421" s="845"/>
      <c r="ER421" s="845"/>
      <c r="ES421" s="845"/>
      <c r="ET421" s="845"/>
      <c r="EU421" s="845"/>
      <c r="EV421" s="845"/>
      <c r="EW421" s="845"/>
      <c r="EX421" s="845"/>
      <c r="EY421" s="845"/>
      <c r="EZ421" s="845"/>
      <c r="FA421" s="845"/>
      <c r="FB421" s="845"/>
      <c r="FC421" s="845"/>
      <c r="FD421" s="845"/>
      <c r="FE421" s="845"/>
      <c r="FF421" s="845"/>
      <c r="FG421" s="845"/>
      <c r="FH421" s="845"/>
      <c r="FI421" s="845"/>
      <c r="FJ421" s="845"/>
      <c r="FK421" s="845"/>
      <c r="FL421" s="845"/>
      <c r="FM421" s="845"/>
      <c r="FN421" s="845"/>
      <c r="FO421" s="845"/>
      <c r="FP421" s="845"/>
      <c r="FQ421" s="845"/>
      <c r="FR421" s="845"/>
      <c r="FS421" s="845"/>
      <c r="FT421" s="845"/>
      <c r="FU421" s="845"/>
      <c r="FV421" s="845"/>
      <c r="FW421" s="845"/>
      <c r="FX421" s="845"/>
      <c r="FY421" s="845"/>
      <c r="FZ421" s="845"/>
      <c r="GA421" s="845"/>
      <c r="GB421" s="845"/>
      <c r="GC421" s="845"/>
      <c r="GD421" s="845"/>
      <c r="GE421" s="845"/>
      <c r="GF421" s="845"/>
      <c r="GG421" s="845"/>
      <c r="GH421" s="845"/>
      <c r="GI421" s="845"/>
      <c r="GJ421" s="845"/>
      <c r="GK421" s="845"/>
      <c r="GL421" s="845"/>
      <c r="GM421" s="845"/>
      <c r="GN421" s="845"/>
      <c r="GO421" s="845"/>
      <c r="GP421" s="845"/>
      <c r="GQ421" s="845"/>
      <c r="GR421" s="845"/>
      <c r="GS421" s="845"/>
      <c r="GT421" s="845"/>
      <c r="GU421" s="845"/>
      <c r="GV421" s="845"/>
      <c r="GW421" s="845"/>
      <c r="GX421" s="845"/>
      <c r="GY421" s="845"/>
      <c r="GZ421" s="845"/>
      <c r="HA421" s="845"/>
      <c r="HB421" s="845"/>
      <c r="HC421" s="845"/>
      <c r="HD421" s="845"/>
      <c r="HE421" s="845"/>
      <c r="HF421" s="845"/>
      <c r="HG421" s="845"/>
      <c r="HH421" s="845"/>
      <c r="HI421" s="845"/>
      <c r="HJ421" s="845"/>
      <c r="HK421" s="845"/>
      <c r="HL421" s="845"/>
      <c r="HM421" s="845"/>
      <c r="HN421" s="845"/>
      <c r="HO421" s="845"/>
      <c r="HP421" s="845"/>
      <c r="HQ421" s="845"/>
      <c r="HR421" s="845"/>
      <c r="HS421" s="845"/>
      <c r="HT421" s="845"/>
      <c r="HU421" s="845"/>
      <c r="HV421" s="845"/>
      <c r="HW421" s="845"/>
      <c r="HX421" s="845"/>
      <c r="HY421" s="845"/>
      <c r="HZ421" s="845"/>
      <c r="IA421" s="845"/>
      <c r="IB421" s="845"/>
      <c r="IC421" s="845"/>
      <c r="ID421" s="845"/>
      <c r="IE421" s="845"/>
      <c r="IF421" s="845"/>
    </row>
    <row r="422" spans="1:240" s="747" customFormat="1" ht="14.25" customHeight="1">
      <c r="A422" s="976" t="s">
        <v>3905</v>
      </c>
      <c r="B422" s="976" t="s">
        <v>1194</v>
      </c>
      <c r="C422" s="977">
        <v>1612000540</v>
      </c>
      <c r="D422" s="976" t="s">
        <v>279</v>
      </c>
      <c r="E422" s="976">
        <v>1</v>
      </c>
      <c r="F422" s="976">
        <v>1</v>
      </c>
      <c r="G422" s="976">
        <v>0.75</v>
      </c>
      <c r="H422" s="976">
        <v>0.23233000000000001</v>
      </c>
      <c r="I422" s="976"/>
      <c r="J422" s="976"/>
      <c r="K422" s="976">
        <v>0.23233000000000001</v>
      </c>
      <c r="L422" s="978">
        <v>-0.51766999999999996</v>
      </c>
      <c r="M422" s="976"/>
      <c r="N422" s="976">
        <v>0.30977333333333334</v>
      </c>
      <c r="O422" s="735">
        <f t="shared" si="20"/>
        <v>-0.69022666666666666</v>
      </c>
      <c r="P422" s="738">
        <f t="shared" si="18"/>
        <v>309.77333333333337</v>
      </c>
      <c r="Q422" s="751">
        <f t="shared" si="19"/>
        <v>0</v>
      </c>
      <c r="V422" s="988"/>
      <c r="W422" s="1024"/>
      <c r="CD422" s="845"/>
      <c r="CE422" s="845"/>
      <c r="CF422" s="845"/>
      <c r="CG422" s="845"/>
      <c r="CH422" s="845"/>
      <c r="CI422" s="845"/>
      <c r="CJ422" s="845"/>
      <c r="CK422" s="845"/>
      <c r="CL422" s="845"/>
      <c r="CM422" s="845"/>
      <c r="CN422" s="845"/>
      <c r="CO422" s="845"/>
      <c r="CP422" s="845"/>
      <c r="CQ422" s="845"/>
      <c r="CR422" s="845"/>
      <c r="CS422" s="845"/>
      <c r="CT422" s="845"/>
      <c r="CU422" s="845"/>
      <c r="CV422" s="845"/>
      <c r="CW422" s="845"/>
      <c r="CX422" s="845"/>
      <c r="CY422" s="845"/>
      <c r="CZ422" s="845"/>
      <c r="DA422" s="845"/>
      <c r="DB422" s="845"/>
      <c r="DC422" s="845"/>
      <c r="DD422" s="845"/>
      <c r="DE422" s="845"/>
      <c r="DF422" s="845"/>
      <c r="DG422" s="845"/>
      <c r="DH422" s="845"/>
      <c r="DI422" s="845"/>
      <c r="DJ422" s="845"/>
      <c r="DK422" s="845"/>
      <c r="DL422" s="845"/>
      <c r="DM422" s="845"/>
      <c r="DN422" s="845"/>
      <c r="DO422" s="845"/>
      <c r="DP422" s="845"/>
      <c r="DQ422" s="845"/>
      <c r="DR422" s="845"/>
      <c r="DS422" s="845"/>
      <c r="DT422" s="845"/>
      <c r="DU422" s="845"/>
      <c r="DV422" s="845"/>
      <c r="DW422" s="845"/>
      <c r="DX422" s="845"/>
      <c r="DY422" s="845"/>
      <c r="DZ422" s="845"/>
      <c r="EA422" s="845"/>
      <c r="EB422" s="845"/>
      <c r="EC422" s="845"/>
      <c r="ED422" s="845"/>
      <c r="EE422" s="845"/>
      <c r="EF422" s="845"/>
      <c r="EG422" s="845"/>
      <c r="EH422" s="845"/>
      <c r="EI422" s="845"/>
      <c r="EJ422" s="845"/>
      <c r="EK422" s="845"/>
      <c r="EL422" s="845"/>
      <c r="EM422" s="845"/>
      <c r="EN422" s="845"/>
      <c r="EO422" s="845"/>
      <c r="EP422" s="845"/>
      <c r="EQ422" s="845"/>
      <c r="ER422" s="845"/>
      <c r="ES422" s="845"/>
      <c r="ET422" s="845"/>
      <c r="EU422" s="845"/>
      <c r="EV422" s="845"/>
      <c r="EW422" s="845"/>
      <c r="EX422" s="845"/>
      <c r="EY422" s="845"/>
      <c r="EZ422" s="845"/>
      <c r="FA422" s="845"/>
      <c r="FB422" s="845"/>
      <c r="FC422" s="845"/>
      <c r="FD422" s="845"/>
      <c r="FE422" s="845"/>
      <c r="FF422" s="845"/>
      <c r="FG422" s="845"/>
      <c r="FH422" s="845"/>
      <c r="FI422" s="845"/>
      <c r="FJ422" s="845"/>
      <c r="FK422" s="845"/>
      <c r="FL422" s="845"/>
      <c r="FM422" s="845"/>
      <c r="FN422" s="845"/>
      <c r="FO422" s="845"/>
      <c r="FP422" s="845"/>
      <c r="FQ422" s="845"/>
      <c r="FR422" s="845"/>
      <c r="FS422" s="845"/>
      <c r="FT422" s="845"/>
      <c r="FU422" s="845"/>
      <c r="FV422" s="845"/>
      <c r="FW422" s="845"/>
      <c r="FX422" s="845"/>
      <c r="FY422" s="845"/>
      <c r="FZ422" s="845"/>
      <c r="GA422" s="845"/>
      <c r="GB422" s="845"/>
      <c r="GC422" s="845"/>
      <c r="GD422" s="845"/>
      <c r="GE422" s="845"/>
      <c r="GF422" s="845"/>
      <c r="GG422" s="845"/>
      <c r="GH422" s="845"/>
      <c r="GI422" s="845"/>
      <c r="GJ422" s="845"/>
      <c r="GK422" s="845"/>
      <c r="GL422" s="845"/>
      <c r="GM422" s="845"/>
      <c r="GN422" s="845"/>
      <c r="GO422" s="845"/>
      <c r="GP422" s="845"/>
      <c r="GQ422" s="845"/>
      <c r="GR422" s="845"/>
      <c r="GS422" s="845"/>
      <c r="GT422" s="845"/>
      <c r="GU422" s="845"/>
      <c r="GV422" s="845"/>
      <c r="GW422" s="845"/>
      <c r="GX422" s="845"/>
      <c r="GY422" s="845"/>
      <c r="GZ422" s="845"/>
      <c r="HA422" s="845"/>
      <c r="HB422" s="845"/>
      <c r="HC422" s="845"/>
      <c r="HD422" s="845"/>
      <c r="HE422" s="845"/>
      <c r="HF422" s="845"/>
      <c r="HG422" s="845"/>
      <c r="HH422" s="845"/>
      <c r="HI422" s="845"/>
      <c r="HJ422" s="845"/>
      <c r="HK422" s="845"/>
      <c r="HL422" s="845"/>
      <c r="HM422" s="845"/>
      <c r="HN422" s="845"/>
      <c r="HO422" s="845"/>
      <c r="HP422" s="845"/>
      <c r="HQ422" s="845"/>
      <c r="HR422" s="845"/>
      <c r="HS422" s="845"/>
      <c r="HT422" s="845"/>
      <c r="HU422" s="845"/>
      <c r="HV422" s="845"/>
      <c r="HW422" s="845"/>
      <c r="HX422" s="845"/>
      <c r="HY422" s="845"/>
      <c r="HZ422" s="845"/>
      <c r="IA422" s="845"/>
      <c r="IB422" s="845"/>
      <c r="IC422" s="845"/>
      <c r="ID422" s="845"/>
      <c r="IE422" s="845"/>
      <c r="IF422" s="845"/>
    </row>
    <row r="423" spans="1:240" s="747" customFormat="1" ht="14.25" customHeight="1">
      <c r="A423" s="976" t="s">
        <v>3913</v>
      </c>
      <c r="B423" s="976" t="s">
        <v>1194</v>
      </c>
      <c r="C423" s="977">
        <v>1612000750</v>
      </c>
      <c r="D423" s="976" t="s">
        <v>306</v>
      </c>
      <c r="E423" s="976">
        <v>410</v>
      </c>
      <c r="F423" s="976">
        <v>410</v>
      </c>
      <c r="G423" s="976">
        <v>307.5</v>
      </c>
      <c r="H423" s="976">
        <v>308.88</v>
      </c>
      <c r="I423" s="976"/>
      <c r="J423" s="976"/>
      <c r="K423" s="976">
        <v>308.88</v>
      </c>
      <c r="L423" s="978">
        <v>1.3799999999999955</v>
      </c>
      <c r="M423" s="976" t="s">
        <v>3630</v>
      </c>
      <c r="N423" s="976">
        <v>411.84</v>
      </c>
      <c r="O423" s="735">
        <f t="shared" si="20"/>
        <v>1.839999999999975</v>
      </c>
      <c r="P423" s="738">
        <f t="shared" si="18"/>
        <v>411840</v>
      </c>
      <c r="Q423" s="751">
        <f t="shared" si="19"/>
        <v>412000</v>
      </c>
      <c r="V423" s="988"/>
      <c r="W423" s="1024"/>
      <c r="CD423" s="845"/>
      <c r="CE423" s="845"/>
      <c r="CF423" s="845"/>
      <c r="CG423" s="845"/>
      <c r="CH423" s="845"/>
      <c r="CI423" s="845"/>
      <c r="CJ423" s="845"/>
      <c r="CK423" s="845"/>
      <c r="CL423" s="845"/>
      <c r="CM423" s="845"/>
      <c r="CN423" s="845"/>
      <c r="CO423" s="845"/>
      <c r="CP423" s="845"/>
      <c r="CQ423" s="845"/>
      <c r="CR423" s="845"/>
      <c r="CS423" s="845"/>
      <c r="CT423" s="845"/>
      <c r="CU423" s="845"/>
      <c r="CV423" s="845"/>
      <c r="CW423" s="845"/>
      <c r="CX423" s="845"/>
      <c r="CY423" s="845"/>
      <c r="CZ423" s="845"/>
      <c r="DA423" s="845"/>
      <c r="DB423" s="845"/>
      <c r="DC423" s="845"/>
      <c r="DD423" s="845"/>
      <c r="DE423" s="845"/>
      <c r="DF423" s="845"/>
      <c r="DG423" s="845"/>
      <c r="DH423" s="845"/>
      <c r="DI423" s="845"/>
      <c r="DJ423" s="845"/>
      <c r="DK423" s="845"/>
      <c r="DL423" s="845"/>
      <c r="DM423" s="845"/>
      <c r="DN423" s="845"/>
      <c r="DO423" s="845"/>
      <c r="DP423" s="845"/>
      <c r="DQ423" s="845"/>
      <c r="DR423" s="845"/>
      <c r="DS423" s="845"/>
      <c r="DT423" s="845"/>
      <c r="DU423" s="845"/>
      <c r="DV423" s="845"/>
      <c r="DW423" s="845"/>
      <c r="DX423" s="845"/>
      <c r="DY423" s="845"/>
      <c r="DZ423" s="845"/>
      <c r="EA423" s="845"/>
      <c r="EB423" s="845"/>
      <c r="EC423" s="845"/>
      <c r="ED423" s="845"/>
      <c r="EE423" s="845"/>
      <c r="EF423" s="845"/>
      <c r="EG423" s="845"/>
      <c r="EH423" s="845"/>
      <c r="EI423" s="845"/>
      <c r="EJ423" s="845"/>
      <c r="EK423" s="845"/>
      <c r="EL423" s="845"/>
      <c r="EM423" s="845"/>
      <c r="EN423" s="845"/>
      <c r="EO423" s="845"/>
      <c r="EP423" s="845"/>
      <c r="EQ423" s="845"/>
      <c r="ER423" s="845"/>
      <c r="ES423" s="845"/>
      <c r="ET423" s="845"/>
      <c r="EU423" s="845"/>
      <c r="EV423" s="845"/>
      <c r="EW423" s="845"/>
      <c r="EX423" s="845"/>
      <c r="EY423" s="845"/>
      <c r="EZ423" s="845"/>
      <c r="FA423" s="845"/>
      <c r="FB423" s="845"/>
      <c r="FC423" s="845"/>
      <c r="FD423" s="845"/>
      <c r="FE423" s="845"/>
      <c r="FF423" s="845"/>
      <c r="FG423" s="845"/>
      <c r="FH423" s="845"/>
      <c r="FI423" s="845"/>
      <c r="FJ423" s="845"/>
      <c r="FK423" s="845"/>
      <c r="FL423" s="845"/>
      <c r="FM423" s="845"/>
      <c r="FN423" s="845"/>
      <c r="FO423" s="845"/>
      <c r="FP423" s="845"/>
      <c r="FQ423" s="845"/>
      <c r="FR423" s="845"/>
      <c r="FS423" s="845"/>
      <c r="FT423" s="845"/>
      <c r="FU423" s="845"/>
      <c r="FV423" s="845"/>
      <c r="FW423" s="845"/>
      <c r="FX423" s="845"/>
      <c r="FY423" s="845"/>
      <c r="FZ423" s="845"/>
      <c r="GA423" s="845"/>
      <c r="GB423" s="845"/>
      <c r="GC423" s="845"/>
      <c r="GD423" s="845"/>
      <c r="GE423" s="845"/>
      <c r="GF423" s="845"/>
      <c r="GG423" s="845"/>
      <c r="GH423" s="845"/>
      <c r="GI423" s="845"/>
      <c r="GJ423" s="845"/>
      <c r="GK423" s="845"/>
      <c r="GL423" s="845"/>
      <c r="GM423" s="845"/>
      <c r="GN423" s="845"/>
      <c r="GO423" s="845"/>
      <c r="GP423" s="845"/>
      <c r="GQ423" s="845"/>
      <c r="GR423" s="845"/>
      <c r="GS423" s="845"/>
      <c r="GT423" s="845"/>
      <c r="GU423" s="845"/>
      <c r="GV423" s="845"/>
      <c r="GW423" s="845"/>
      <c r="GX423" s="845"/>
      <c r="GY423" s="845"/>
      <c r="GZ423" s="845"/>
      <c r="HA423" s="845"/>
      <c r="HB423" s="845"/>
      <c r="HC423" s="845"/>
      <c r="HD423" s="845"/>
      <c r="HE423" s="845"/>
      <c r="HF423" s="845"/>
      <c r="HG423" s="845"/>
      <c r="HH423" s="845"/>
      <c r="HI423" s="845"/>
      <c r="HJ423" s="845"/>
      <c r="HK423" s="845"/>
      <c r="HL423" s="845"/>
      <c r="HM423" s="845"/>
      <c r="HN423" s="845"/>
      <c r="HO423" s="845"/>
      <c r="HP423" s="845"/>
      <c r="HQ423" s="845"/>
      <c r="HR423" s="845"/>
      <c r="HS423" s="845"/>
      <c r="HT423" s="845"/>
      <c r="HU423" s="845"/>
      <c r="HV423" s="845"/>
      <c r="HW423" s="845"/>
      <c r="HX423" s="845"/>
      <c r="HY423" s="845"/>
      <c r="HZ423" s="845"/>
      <c r="IA423" s="845"/>
      <c r="IB423" s="845"/>
      <c r="IC423" s="845"/>
      <c r="ID423" s="845"/>
      <c r="IE423" s="845"/>
      <c r="IF423" s="845"/>
    </row>
    <row r="424" spans="1:240" s="747" customFormat="1" ht="14.25" customHeight="1">
      <c r="A424" s="976" t="s">
        <v>3909</v>
      </c>
      <c r="B424" s="976" t="s">
        <v>1194</v>
      </c>
      <c r="C424" s="977">
        <v>1612000780</v>
      </c>
      <c r="D424" s="976" t="s">
        <v>280</v>
      </c>
      <c r="E424" s="976">
        <v>18</v>
      </c>
      <c r="F424" s="976">
        <v>18</v>
      </c>
      <c r="G424" s="976">
        <v>13.5</v>
      </c>
      <c r="H424" s="976">
        <v>11.7814</v>
      </c>
      <c r="I424" s="976"/>
      <c r="J424" s="1041">
        <v>2</v>
      </c>
      <c r="K424" s="976">
        <v>13.7814</v>
      </c>
      <c r="L424" s="978">
        <v>0.28139999999999965</v>
      </c>
      <c r="M424" s="976" t="s">
        <v>3630</v>
      </c>
      <c r="N424" s="976">
        <v>18.3752</v>
      </c>
      <c r="O424" s="735">
        <f t="shared" si="20"/>
        <v>0.37519999999999953</v>
      </c>
      <c r="P424" s="738">
        <f t="shared" si="18"/>
        <v>18375.2</v>
      </c>
      <c r="Q424" s="751">
        <f t="shared" si="19"/>
        <v>18000</v>
      </c>
      <c r="V424" s="988"/>
      <c r="W424" s="1024"/>
      <c r="AY424" s="845"/>
      <c r="AZ424" s="845"/>
      <c r="BA424" s="845"/>
      <c r="BB424" s="845"/>
      <c r="BC424" s="845"/>
      <c r="BD424" s="845"/>
      <c r="BE424" s="845"/>
      <c r="BF424" s="845"/>
      <c r="BG424" s="845"/>
      <c r="BH424" s="845"/>
      <c r="BI424" s="845"/>
      <c r="BJ424" s="845"/>
      <c r="BK424" s="845"/>
      <c r="BL424" s="845"/>
      <c r="BM424" s="845"/>
      <c r="BN424" s="845"/>
      <c r="BO424" s="845"/>
      <c r="BP424" s="845"/>
      <c r="BQ424" s="845"/>
      <c r="BR424" s="845"/>
      <c r="BS424" s="845"/>
      <c r="BT424" s="845"/>
      <c r="BU424" s="845"/>
      <c r="BV424" s="845"/>
      <c r="BW424" s="845"/>
      <c r="BX424" s="845"/>
      <c r="BY424" s="845"/>
      <c r="BZ424" s="845"/>
      <c r="CA424" s="845"/>
      <c r="CB424" s="845"/>
      <c r="CC424" s="845"/>
      <c r="CD424" s="845"/>
      <c r="CE424" s="845"/>
      <c r="CF424" s="845"/>
      <c r="CG424" s="845"/>
      <c r="CH424" s="845"/>
      <c r="CI424" s="845"/>
      <c r="CJ424" s="845"/>
      <c r="CK424" s="845"/>
      <c r="CL424" s="845"/>
      <c r="CM424" s="845"/>
      <c r="CN424" s="845"/>
      <c r="CO424" s="845"/>
      <c r="CP424" s="845"/>
      <c r="CQ424" s="845"/>
      <c r="CR424" s="845"/>
      <c r="CS424" s="845"/>
      <c r="CT424" s="845"/>
      <c r="CU424" s="845"/>
      <c r="CV424" s="845"/>
      <c r="CW424" s="845"/>
      <c r="CX424" s="845"/>
      <c r="CY424" s="845"/>
      <c r="CZ424" s="845"/>
      <c r="DA424" s="845"/>
      <c r="DB424" s="845"/>
      <c r="DC424" s="845"/>
      <c r="DD424" s="845"/>
      <c r="DE424" s="845"/>
      <c r="DF424" s="845"/>
      <c r="DG424" s="845"/>
      <c r="DH424" s="845"/>
      <c r="DI424" s="845"/>
      <c r="DJ424" s="845"/>
      <c r="DK424" s="845"/>
      <c r="DL424" s="845"/>
      <c r="DM424" s="845"/>
      <c r="DN424" s="845"/>
      <c r="DO424" s="845"/>
      <c r="DP424" s="845"/>
      <c r="DQ424" s="845"/>
      <c r="DR424" s="845"/>
      <c r="DS424" s="845"/>
      <c r="DT424" s="845"/>
      <c r="DU424" s="845"/>
      <c r="DV424" s="845"/>
      <c r="DW424" s="845"/>
      <c r="DX424" s="845"/>
      <c r="DY424" s="845"/>
      <c r="DZ424" s="845"/>
      <c r="EA424" s="845"/>
      <c r="EB424" s="845"/>
      <c r="EC424" s="845"/>
      <c r="ED424" s="845"/>
      <c r="EE424" s="845"/>
      <c r="EF424" s="845"/>
      <c r="EG424" s="845"/>
      <c r="EH424" s="845"/>
      <c r="EI424" s="845"/>
      <c r="EJ424" s="845"/>
      <c r="EK424" s="845"/>
      <c r="EL424" s="845"/>
      <c r="EM424" s="845"/>
      <c r="EN424" s="845"/>
      <c r="EO424" s="845"/>
      <c r="EP424" s="845"/>
      <c r="EQ424" s="845"/>
      <c r="ER424" s="845"/>
      <c r="ES424" s="845"/>
      <c r="ET424" s="845"/>
      <c r="EU424" s="845"/>
      <c r="EV424" s="845"/>
      <c r="EW424" s="845"/>
      <c r="EX424" s="845"/>
      <c r="EY424" s="845"/>
      <c r="EZ424" s="845"/>
      <c r="FA424" s="845"/>
      <c r="FB424" s="845"/>
      <c r="FC424" s="845"/>
      <c r="FD424" s="845"/>
      <c r="FE424" s="845"/>
      <c r="FF424" s="845"/>
      <c r="FG424" s="845"/>
      <c r="FH424" s="845"/>
      <c r="FI424" s="845"/>
      <c r="FJ424" s="845"/>
      <c r="FK424" s="845"/>
      <c r="FL424" s="845"/>
      <c r="FM424" s="845"/>
      <c r="FN424" s="845"/>
      <c r="FO424" s="845"/>
      <c r="FP424" s="845"/>
      <c r="FQ424" s="845"/>
      <c r="FR424" s="845"/>
      <c r="FS424" s="845"/>
      <c r="FT424" s="845"/>
      <c r="FU424" s="845"/>
      <c r="FV424" s="845"/>
      <c r="FW424" s="845"/>
      <c r="FX424" s="845"/>
      <c r="FY424" s="845"/>
      <c r="FZ424" s="845"/>
      <c r="GA424" s="845"/>
      <c r="GB424" s="845"/>
      <c r="GC424" s="845"/>
      <c r="GD424" s="845"/>
      <c r="GE424" s="845"/>
      <c r="GF424" s="845"/>
      <c r="GG424" s="845"/>
      <c r="GH424" s="845"/>
      <c r="GI424" s="845"/>
      <c r="GJ424" s="845"/>
      <c r="GK424" s="845"/>
      <c r="GL424" s="845"/>
      <c r="GM424" s="845"/>
      <c r="GN424" s="845"/>
      <c r="GO424" s="845"/>
      <c r="GP424" s="845"/>
      <c r="GQ424" s="845"/>
      <c r="GR424" s="845"/>
      <c r="GS424" s="845"/>
      <c r="GT424" s="845"/>
      <c r="GU424" s="845"/>
      <c r="GV424" s="845"/>
      <c r="GW424" s="845"/>
      <c r="GX424" s="845"/>
      <c r="GY424" s="845"/>
      <c r="GZ424" s="845"/>
      <c r="HA424" s="845"/>
      <c r="HB424" s="845"/>
      <c r="HC424" s="845"/>
      <c r="HD424" s="845"/>
      <c r="HE424" s="845"/>
      <c r="HF424" s="845"/>
      <c r="HG424" s="845"/>
      <c r="HH424" s="845"/>
      <c r="HI424" s="845"/>
      <c r="HJ424" s="845"/>
      <c r="HK424" s="845"/>
      <c r="HL424" s="845"/>
      <c r="HM424" s="845"/>
      <c r="HN424" s="845"/>
      <c r="HO424" s="845"/>
      <c r="HP424" s="845"/>
      <c r="HQ424" s="845"/>
      <c r="HR424" s="845"/>
      <c r="HS424" s="845"/>
      <c r="HT424" s="845"/>
      <c r="HU424" s="845"/>
      <c r="HV424" s="845"/>
      <c r="HW424" s="845"/>
      <c r="HX424" s="845"/>
      <c r="HY424" s="845"/>
      <c r="HZ424" s="845"/>
      <c r="IA424" s="845"/>
      <c r="IB424" s="845"/>
      <c r="IC424" s="845"/>
      <c r="ID424" s="845"/>
      <c r="IE424" s="845"/>
      <c r="IF424" s="845"/>
    </row>
    <row r="425" spans="1:240" s="747" customFormat="1" ht="14.25" customHeight="1">
      <c r="A425" s="976" t="s">
        <v>3868</v>
      </c>
      <c r="B425" s="976" t="s">
        <v>1194</v>
      </c>
      <c r="C425" s="977">
        <v>1613000430</v>
      </c>
      <c r="D425" s="976" t="s">
        <v>3320</v>
      </c>
      <c r="E425" s="976">
        <v>4</v>
      </c>
      <c r="F425" s="976">
        <v>4</v>
      </c>
      <c r="G425" s="976">
        <v>3</v>
      </c>
      <c r="H425" s="976">
        <v>4.4348799999999997</v>
      </c>
      <c r="I425" s="976"/>
      <c r="J425" s="976"/>
      <c r="K425" s="976">
        <v>4.4348799999999997</v>
      </c>
      <c r="L425" s="978">
        <v>1.4348799999999997</v>
      </c>
      <c r="M425" s="976"/>
      <c r="N425" s="976">
        <v>5.9131733333333329</v>
      </c>
      <c r="O425" s="735">
        <f t="shared" si="20"/>
        <v>1.9131733333333329</v>
      </c>
      <c r="P425" s="738">
        <f t="shared" si="18"/>
        <v>5913.1733333333332</v>
      </c>
      <c r="Q425" s="751">
        <f t="shared" si="19"/>
        <v>6000</v>
      </c>
      <c r="V425" s="988"/>
      <c r="W425" s="1024"/>
    </row>
    <row r="426" spans="1:240" s="747" customFormat="1" ht="14.25" customHeight="1">
      <c r="A426" s="976" t="s">
        <v>3908</v>
      </c>
      <c r="B426" s="976" t="s">
        <v>1194</v>
      </c>
      <c r="C426" s="977">
        <v>1613000530</v>
      </c>
      <c r="D426" s="976" t="s">
        <v>277</v>
      </c>
      <c r="E426" s="976">
        <v>90</v>
      </c>
      <c r="F426" s="976">
        <v>90</v>
      </c>
      <c r="G426" s="976">
        <v>67.5</v>
      </c>
      <c r="H426" s="976">
        <v>90.998609999999999</v>
      </c>
      <c r="I426" s="976"/>
      <c r="J426" s="976"/>
      <c r="K426" s="976">
        <v>90.998609999999999</v>
      </c>
      <c r="L426" s="978">
        <v>23.498609999999999</v>
      </c>
      <c r="M426" s="976" t="s">
        <v>3630</v>
      </c>
      <c r="N426" s="976">
        <v>121.33148</v>
      </c>
      <c r="O426" s="735">
        <f t="shared" si="20"/>
        <v>31.331479999999999</v>
      </c>
      <c r="P426" s="738">
        <f t="shared" si="18"/>
        <v>121331.48</v>
      </c>
      <c r="Q426" s="751">
        <f t="shared" si="19"/>
        <v>121000</v>
      </c>
      <c r="V426" s="988"/>
      <c r="W426" s="1024"/>
      <c r="AY426" s="845"/>
      <c r="AZ426" s="845"/>
      <c r="BA426" s="845"/>
      <c r="BB426" s="845"/>
      <c r="BC426" s="845"/>
      <c r="BD426" s="845"/>
      <c r="BE426" s="845"/>
      <c r="BF426" s="845"/>
      <c r="BG426" s="845"/>
      <c r="BH426" s="845"/>
      <c r="BI426" s="845"/>
      <c r="BJ426" s="845"/>
      <c r="BK426" s="845"/>
      <c r="BL426" s="845"/>
      <c r="BM426" s="845"/>
      <c r="BN426" s="845"/>
      <c r="BO426" s="845"/>
      <c r="BP426" s="845"/>
      <c r="BQ426" s="845"/>
      <c r="BR426" s="845"/>
      <c r="BS426" s="845"/>
      <c r="BT426" s="845"/>
      <c r="BU426" s="845"/>
      <c r="BV426" s="845"/>
      <c r="BW426" s="845"/>
      <c r="BX426" s="845"/>
      <c r="BY426" s="845"/>
      <c r="BZ426" s="845"/>
      <c r="CA426" s="845"/>
      <c r="CB426" s="845"/>
      <c r="CC426" s="845"/>
      <c r="CD426" s="845"/>
      <c r="CE426" s="845"/>
      <c r="CF426" s="845"/>
      <c r="CG426" s="845"/>
      <c r="CH426" s="845"/>
      <c r="CI426" s="845"/>
      <c r="CJ426" s="845"/>
      <c r="CK426" s="845"/>
      <c r="CL426" s="845"/>
      <c r="CM426" s="845"/>
      <c r="CN426" s="845"/>
      <c r="CO426" s="845"/>
      <c r="CP426" s="845"/>
      <c r="CQ426" s="845"/>
      <c r="CR426" s="845"/>
      <c r="CS426" s="845"/>
      <c r="CT426" s="845"/>
      <c r="CU426" s="845"/>
      <c r="CV426" s="845"/>
      <c r="CW426" s="845"/>
      <c r="CX426" s="845"/>
      <c r="CY426" s="845"/>
      <c r="CZ426" s="845"/>
      <c r="DA426" s="845"/>
      <c r="DB426" s="845"/>
      <c r="DC426" s="845"/>
      <c r="DD426" s="845"/>
      <c r="DE426" s="845"/>
      <c r="DF426" s="845"/>
      <c r="DG426" s="845"/>
      <c r="DH426" s="845"/>
      <c r="DI426" s="845"/>
      <c r="DJ426" s="845"/>
      <c r="DK426" s="845"/>
      <c r="DL426" s="845"/>
      <c r="DM426" s="845"/>
      <c r="DN426" s="845"/>
      <c r="DO426" s="845"/>
      <c r="DP426" s="845"/>
      <c r="DQ426" s="845"/>
      <c r="DR426" s="845"/>
      <c r="DS426" s="845"/>
      <c r="DT426" s="845"/>
      <c r="DU426" s="845"/>
      <c r="DV426" s="845"/>
      <c r="DW426" s="845"/>
      <c r="DX426" s="845"/>
      <c r="DY426" s="845"/>
      <c r="DZ426" s="845"/>
      <c r="EA426" s="845"/>
      <c r="EB426" s="845"/>
      <c r="EC426" s="845"/>
      <c r="ED426" s="845"/>
      <c r="EE426" s="845"/>
      <c r="EF426" s="845"/>
      <c r="EG426" s="845"/>
      <c r="EH426" s="845"/>
      <c r="EI426" s="845"/>
      <c r="EJ426" s="845"/>
      <c r="EK426" s="845"/>
      <c r="EL426" s="845"/>
      <c r="EM426" s="845"/>
      <c r="EN426" s="845"/>
      <c r="EO426" s="845"/>
      <c r="EP426" s="845"/>
      <c r="EQ426" s="845"/>
      <c r="ER426" s="845"/>
      <c r="ES426" s="845"/>
      <c r="ET426" s="845"/>
      <c r="EU426" s="845"/>
      <c r="EV426" s="845"/>
      <c r="EW426" s="845"/>
      <c r="EX426" s="845"/>
      <c r="EY426" s="845"/>
      <c r="EZ426" s="845"/>
      <c r="FA426" s="845"/>
      <c r="FB426" s="845"/>
      <c r="FC426" s="845"/>
      <c r="FD426" s="845"/>
      <c r="FE426" s="845"/>
      <c r="FF426" s="845"/>
      <c r="FG426" s="845"/>
      <c r="FH426" s="845"/>
      <c r="FI426" s="845"/>
      <c r="FJ426" s="845"/>
      <c r="FK426" s="845"/>
      <c r="FL426" s="845"/>
      <c r="FM426" s="845"/>
      <c r="FN426" s="845"/>
      <c r="FO426" s="845"/>
      <c r="FP426" s="845"/>
      <c r="FQ426" s="845"/>
      <c r="FR426" s="845"/>
      <c r="FS426" s="845"/>
      <c r="FT426" s="845"/>
      <c r="FU426" s="845"/>
      <c r="FV426" s="845"/>
      <c r="FW426" s="845"/>
      <c r="FX426" s="845"/>
      <c r="FY426" s="845"/>
      <c r="FZ426" s="845"/>
      <c r="GA426" s="845"/>
      <c r="GB426" s="845"/>
      <c r="GC426" s="845"/>
      <c r="GD426" s="845"/>
      <c r="GE426" s="845"/>
      <c r="GF426" s="845"/>
      <c r="GG426" s="845"/>
      <c r="GH426" s="845"/>
      <c r="GI426" s="845"/>
      <c r="GJ426" s="845"/>
      <c r="GK426" s="845"/>
      <c r="GL426" s="845"/>
      <c r="GM426" s="845"/>
      <c r="GN426" s="845"/>
      <c r="GO426" s="845"/>
      <c r="GP426" s="845"/>
      <c r="GQ426" s="845"/>
      <c r="GR426" s="845"/>
      <c r="GS426" s="845"/>
      <c r="GT426" s="845"/>
      <c r="GU426" s="845"/>
      <c r="GV426" s="845"/>
      <c r="GW426" s="845"/>
      <c r="GX426" s="845"/>
      <c r="GY426" s="845"/>
      <c r="GZ426" s="845"/>
      <c r="HA426" s="845"/>
      <c r="HB426" s="845"/>
      <c r="HC426" s="845"/>
      <c r="HD426" s="845"/>
      <c r="HE426" s="845"/>
      <c r="HF426" s="845"/>
      <c r="HG426" s="845"/>
      <c r="HH426" s="845"/>
      <c r="HI426" s="845"/>
      <c r="HJ426" s="845"/>
      <c r="HK426" s="845"/>
      <c r="HL426" s="845"/>
      <c r="HM426" s="845"/>
      <c r="HN426" s="845"/>
      <c r="HO426" s="845"/>
      <c r="HP426" s="845"/>
      <c r="HQ426" s="845"/>
      <c r="HR426" s="845"/>
      <c r="HS426" s="845"/>
      <c r="HT426" s="845"/>
      <c r="HU426" s="845"/>
      <c r="HV426" s="845"/>
      <c r="HW426" s="845"/>
      <c r="HX426" s="845"/>
      <c r="HY426" s="845"/>
      <c r="HZ426" s="845"/>
      <c r="IA426" s="845"/>
      <c r="IB426" s="845"/>
      <c r="IC426" s="845"/>
      <c r="ID426" s="845"/>
      <c r="IE426" s="845"/>
      <c r="IF426" s="845"/>
    </row>
    <row r="427" spans="1:240" s="747" customFormat="1" ht="14.25" customHeight="1">
      <c r="A427" s="976" t="s">
        <v>3905</v>
      </c>
      <c r="B427" s="976" t="s">
        <v>1194</v>
      </c>
      <c r="C427" s="977">
        <v>1613000540</v>
      </c>
      <c r="D427" s="976" t="s">
        <v>279</v>
      </c>
      <c r="E427" s="976">
        <v>4</v>
      </c>
      <c r="F427" s="976">
        <v>4</v>
      </c>
      <c r="G427" s="976">
        <v>3</v>
      </c>
      <c r="H427" s="976">
        <v>3.1593100000000001</v>
      </c>
      <c r="I427" s="976"/>
      <c r="J427" s="976"/>
      <c r="K427" s="976">
        <v>3.1593100000000001</v>
      </c>
      <c r="L427" s="978">
        <v>0.15931000000000006</v>
      </c>
      <c r="M427" s="976"/>
      <c r="N427" s="976">
        <v>4.212413333333334</v>
      </c>
      <c r="O427" s="735">
        <f t="shared" si="20"/>
        <v>0.21241333333333401</v>
      </c>
      <c r="P427" s="738">
        <f t="shared" si="18"/>
        <v>4212.4133333333339</v>
      </c>
      <c r="Q427" s="751">
        <f t="shared" si="19"/>
        <v>4000</v>
      </c>
      <c r="V427" s="988"/>
      <c r="W427" s="1024"/>
      <c r="CD427" s="845"/>
      <c r="CE427" s="845"/>
      <c r="CF427" s="845"/>
      <c r="CG427" s="845"/>
      <c r="CH427" s="845"/>
      <c r="CI427" s="845"/>
      <c r="CJ427" s="845"/>
      <c r="CK427" s="845"/>
      <c r="CL427" s="845"/>
      <c r="CM427" s="845"/>
      <c r="CN427" s="845"/>
      <c r="CO427" s="845"/>
      <c r="CP427" s="845"/>
      <c r="CQ427" s="845"/>
      <c r="CR427" s="845"/>
      <c r="CS427" s="845"/>
      <c r="CT427" s="845"/>
      <c r="CU427" s="845"/>
      <c r="CV427" s="845"/>
      <c r="CW427" s="845"/>
      <c r="CX427" s="845"/>
      <c r="CY427" s="845"/>
      <c r="CZ427" s="845"/>
      <c r="DA427" s="845"/>
      <c r="DB427" s="845"/>
      <c r="DC427" s="845"/>
      <c r="DD427" s="845"/>
      <c r="DE427" s="845"/>
      <c r="DF427" s="845"/>
      <c r="DG427" s="845"/>
      <c r="DH427" s="845"/>
      <c r="DI427" s="845"/>
      <c r="DJ427" s="845"/>
      <c r="DK427" s="845"/>
      <c r="DL427" s="845"/>
      <c r="DM427" s="845"/>
      <c r="DN427" s="845"/>
      <c r="DO427" s="845"/>
      <c r="DP427" s="845"/>
      <c r="DQ427" s="845"/>
      <c r="DR427" s="845"/>
      <c r="DS427" s="845"/>
      <c r="DT427" s="845"/>
      <c r="DU427" s="845"/>
      <c r="DV427" s="845"/>
      <c r="DW427" s="845"/>
      <c r="DX427" s="845"/>
      <c r="DY427" s="845"/>
      <c r="DZ427" s="845"/>
      <c r="EA427" s="845"/>
      <c r="EB427" s="845"/>
      <c r="EC427" s="845"/>
      <c r="ED427" s="845"/>
      <c r="EE427" s="845"/>
      <c r="EF427" s="845"/>
      <c r="EG427" s="845"/>
      <c r="EH427" s="845"/>
      <c r="EI427" s="845"/>
      <c r="EJ427" s="845"/>
      <c r="EK427" s="845"/>
      <c r="EL427" s="845"/>
      <c r="EM427" s="845"/>
      <c r="EN427" s="845"/>
      <c r="EO427" s="845"/>
      <c r="EP427" s="845"/>
      <c r="EQ427" s="845"/>
      <c r="ER427" s="845"/>
      <c r="ES427" s="845"/>
      <c r="ET427" s="845"/>
      <c r="EU427" s="845"/>
      <c r="EV427" s="845"/>
      <c r="EW427" s="845"/>
      <c r="EX427" s="845"/>
      <c r="EY427" s="845"/>
      <c r="EZ427" s="845"/>
      <c r="FA427" s="845"/>
      <c r="FB427" s="845"/>
      <c r="FC427" s="845"/>
      <c r="FD427" s="845"/>
      <c r="FE427" s="845"/>
      <c r="FF427" s="845"/>
      <c r="FG427" s="845"/>
      <c r="FH427" s="845"/>
      <c r="FI427" s="845"/>
      <c r="FJ427" s="845"/>
      <c r="FK427" s="845"/>
      <c r="FL427" s="845"/>
      <c r="FM427" s="845"/>
      <c r="FN427" s="845"/>
      <c r="FO427" s="845"/>
      <c r="FP427" s="845"/>
      <c r="FQ427" s="845"/>
      <c r="FR427" s="845"/>
      <c r="FS427" s="845"/>
      <c r="FT427" s="845"/>
      <c r="FU427" s="845"/>
      <c r="FV427" s="845"/>
      <c r="FW427" s="845"/>
      <c r="FX427" s="845"/>
      <c r="FY427" s="845"/>
      <c r="FZ427" s="845"/>
      <c r="GA427" s="845"/>
      <c r="GB427" s="845"/>
      <c r="GC427" s="845"/>
      <c r="GD427" s="845"/>
      <c r="GE427" s="845"/>
      <c r="GF427" s="845"/>
      <c r="GG427" s="845"/>
      <c r="GH427" s="845"/>
      <c r="GI427" s="845"/>
      <c r="GJ427" s="845"/>
      <c r="GK427" s="845"/>
      <c r="GL427" s="845"/>
      <c r="GM427" s="845"/>
      <c r="GN427" s="845"/>
      <c r="GO427" s="845"/>
      <c r="GP427" s="845"/>
      <c r="GQ427" s="845"/>
      <c r="GR427" s="845"/>
      <c r="GS427" s="845"/>
      <c r="GT427" s="845"/>
      <c r="GU427" s="845"/>
      <c r="GV427" s="845"/>
      <c r="GW427" s="845"/>
      <c r="GX427" s="845"/>
      <c r="GY427" s="845"/>
      <c r="GZ427" s="845"/>
      <c r="HA427" s="845"/>
      <c r="HB427" s="845"/>
      <c r="HC427" s="845"/>
      <c r="HD427" s="845"/>
      <c r="HE427" s="845"/>
      <c r="HF427" s="845"/>
      <c r="HG427" s="845"/>
      <c r="HH427" s="845"/>
      <c r="HI427" s="845"/>
      <c r="HJ427" s="845"/>
      <c r="HK427" s="845"/>
      <c r="HL427" s="845"/>
      <c r="HM427" s="845"/>
      <c r="HN427" s="845"/>
      <c r="HO427" s="845"/>
      <c r="HP427" s="845"/>
      <c r="HQ427" s="845"/>
      <c r="HR427" s="845"/>
      <c r="HS427" s="845"/>
      <c r="HT427" s="845"/>
      <c r="HU427" s="845"/>
      <c r="HV427" s="845"/>
      <c r="HW427" s="845"/>
      <c r="HX427" s="845"/>
      <c r="HY427" s="845"/>
      <c r="HZ427" s="845"/>
      <c r="IA427" s="845"/>
      <c r="IB427" s="845"/>
      <c r="IC427" s="845"/>
      <c r="ID427" s="845"/>
      <c r="IE427" s="845"/>
      <c r="IF427" s="845"/>
    </row>
    <row r="428" spans="1:240" s="887" customFormat="1" ht="14.25" customHeight="1">
      <c r="A428" s="976" t="s">
        <v>3913</v>
      </c>
      <c r="B428" s="976" t="s">
        <v>1194</v>
      </c>
      <c r="C428" s="977">
        <v>1613000750</v>
      </c>
      <c r="D428" s="976" t="s">
        <v>288</v>
      </c>
      <c r="E428" s="976">
        <v>200</v>
      </c>
      <c r="F428" s="976">
        <v>400</v>
      </c>
      <c r="G428" s="976">
        <v>150</v>
      </c>
      <c r="H428" s="976">
        <v>150.73849999999999</v>
      </c>
      <c r="I428" s="976"/>
      <c r="J428" s="976">
        <v>0</v>
      </c>
      <c r="K428" s="976">
        <v>150.73849999999999</v>
      </c>
      <c r="L428" s="978">
        <v>0.73849999999998772</v>
      </c>
      <c r="M428" s="976" t="s">
        <v>3630</v>
      </c>
      <c r="N428" s="976">
        <v>200.98466666666664</v>
      </c>
      <c r="O428" s="735">
        <f t="shared" si="20"/>
        <v>0.98466666666664082</v>
      </c>
      <c r="P428" s="738">
        <f t="shared" si="18"/>
        <v>200984.66666666663</v>
      </c>
      <c r="Q428" s="751">
        <f t="shared" si="19"/>
        <v>201000</v>
      </c>
      <c r="R428" s="886"/>
      <c r="S428" s="886"/>
      <c r="T428" s="886"/>
      <c r="U428" s="886"/>
      <c r="V428" s="988"/>
      <c r="W428" s="1024"/>
      <c r="X428" s="886"/>
      <c r="Y428" s="886"/>
      <c r="Z428" s="886"/>
      <c r="AA428" s="886"/>
      <c r="AB428" s="886"/>
      <c r="AC428" s="886"/>
      <c r="AD428" s="886"/>
      <c r="AE428" s="886"/>
      <c r="AF428" s="886"/>
      <c r="AG428" s="886"/>
      <c r="AH428" s="886"/>
      <c r="AI428" s="886"/>
      <c r="AJ428" s="886"/>
      <c r="AK428" s="886"/>
      <c r="AL428" s="886"/>
      <c r="AM428" s="886"/>
      <c r="AN428" s="886"/>
      <c r="AO428" s="886"/>
      <c r="AP428" s="886"/>
      <c r="AQ428" s="886"/>
      <c r="AR428" s="886"/>
      <c r="AS428" s="886"/>
      <c r="AT428" s="886"/>
      <c r="AU428" s="886"/>
      <c r="AV428" s="886"/>
      <c r="AW428" s="886"/>
      <c r="AX428" s="886"/>
      <c r="AY428" s="886"/>
      <c r="AZ428" s="886"/>
      <c r="BA428" s="886"/>
      <c r="BB428" s="886"/>
      <c r="BC428" s="886"/>
      <c r="BD428" s="886"/>
      <c r="BE428" s="886"/>
      <c r="BF428" s="886"/>
      <c r="BG428" s="886"/>
      <c r="BH428" s="886"/>
      <c r="BI428" s="886"/>
      <c r="BJ428" s="886"/>
      <c r="BK428" s="886"/>
      <c r="BL428" s="886"/>
      <c r="BM428" s="886"/>
      <c r="BN428" s="886"/>
      <c r="BO428" s="886"/>
      <c r="BP428" s="886"/>
      <c r="BQ428" s="886"/>
      <c r="BR428" s="886"/>
      <c r="BS428" s="886"/>
      <c r="BT428" s="886"/>
      <c r="BU428" s="886"/>
      <c r="BV428" s="886"/>
      <c r="BW428" s="886"/>
      <c r="BX428" s="886"/>
      <c r="BY428" s="886"/>
      <c r="BZ428" s="886"/>
      <c r="CA428" s="886"/>
      <c r="CB428" s="886"/>
      <c r="CC428" s="886"/>
    </row>
    <row r="429" spans="1:240" ht="14.25" customHeight="1">
      <c r="A429" s="976" t="s">
        <v>3914</v>
      </c>
      <c r="B429" s="976" t="s">
        <v>1194</v>
      </c>
      <c r="C429" s="977">
        <v>1613000751</v>
      </c>
      <c r="D429" s="976" t="s">
        <v>3321</v>
      </c>
      <c r="E429" s="976">
        <v>400</v>
      </c>
      <c r="F429" s="976">
        <v>400</v>
      </c>
      <c r="G429" s="976">
        <v>300</v>
      </c>
      <c r="H429" s="976">
        <v>195.24114</v>
      </c>
      <c r="I429" s="976"/>
      <c r="J429" s="1041">
        <v>116</v>
      </c>
      <c r="K429" s="976">
        <v>311.24113999999997</v>
      </c>
      <c r="L429" s="978">
        <v>11.241139999999973</v>
      </c>
      <c r="M429" s="976" t="s">
        <v>3630</v>
      </c>
      <c r="N429" s="976">
        <v>414.98818666666665</v>
      </c>
      <c r="O429" s="735">
        <f t="shared" si="20"/>
        <v>14.98818666666665</v>
      </c>
      <c r="P429" s="738">
        <f t="shared" si="18"/>
        <v>414988.18666666665</v>
      </c>
      <c r="Q429" s="751">
        <f t="shared" si="19"/>
        <v>415000</v>
      </c>
      <c r="U429" s="747"/>
      <c r="V429" s="988"/>
      <c r="W429" s="1024"/>
    </row>
    <row r="430" spans="1:240" s="887" customFormat="1" ht="14.25" customHeight="1">
      <c r="A430" s="976" t="s">
        <v>3915</v>
      </c>
      <c r="B430" s="976" t="s">
        <v>1194</v>
      </c>
      <c r="C430" s="977">
        <v>1613000752</v>
      </c>
      <c r="D430" s="976" t="s">
        <v>313</v>
      </c>
      <c r="E430" s="976">
        <v>100</v>
      </c>
      <c r="F430" s="976">
        <v>100</v>
      </c>
      <c r="G430" s="976">
        <v>75</v>
      </c>
      <c r="H430" s="976">
        <v>99.36</v>
      </c>
      <c r="I430" s="976"/>
      <c r="J430" s="1032">
        <v>-24</v>
      </c>
      <c r="K430" s="976">
        <v>75.36</v>
      </c>
      <c r="L430" s="978">
        <v>0.35999999999999943</v>
      </c>
      <c r="M430" s="976" t="s">
        <v>3630</v>
      </c>
      <c r="N430" s="976">
        <v>100.47999999999999</v>
      </c>
      <c r="O430" s="735">
        <f t="shared" si="20"/>
        <v>0.47999999999998977</v>
      </c>
      <c r="P430" s="738">
        <f t="shared" si="18"/>
        <v>100479.99999999999</v>
      </c>
      <c r="Q430" s="751">
        <f t="shared" si="19"/>
        <v>100000</v>
      </c>
      <c r="R430" s="886"/>
      <c r="S430" s="886"/>
      <c r="T430" s="886"/>
      <c r="U430" s="886"/>
      <c r="V430" s="988"/>
      <c r="W430" s="1024"/>
      <c r="X430" s="886"/>
      <c r="Y430" s="886"/>
      <c r="Z430" s="886"/>
      <c r="AA430" s="886"/>
      <c r="AB430" s="886"/>
      <c r="AC430" s="886"/>
      <c r="AD430" s="886"/>
      <c r="AE430" s="886"/>
      <c r="AF430" s="886"/>
      <c r="AG430" s="886"/>
      <c r="AH430" s="886"/>
      <c r="AI430" s="886"/>
      <c r="AJ430" s="886"/>
      <c r="AK430" s="886"/>
      <c r="AL430" s="886"/>
      <c r="AM430" s="886"/>
      <c r="AN430" s="886"/>
      <c r="AO430" s="886"/>
      <c r="AP430" s="886"/>
      <c r="AQ430" s="886"/>
      <c r="AR430" s="886"/>
      <c r="AS430" s="886"/>
      <c r="AT430" s="886"/>
      <c r="AU430" s="886"/>
      <c r="AV430" s="886"/>
      <c r="AW430" s="886"/>
      <c r="AX430" s="886"/>
      <c r="AY430" s="886"/>
      <c r="AZ430" s="886"/>
      <c r="BA430" s="886"/>
      <c r="BB430" s="886"/>
      <c r="BC430" s="886"/>
      <c r="BD430" s="886"/>
      <c r="BE430" s="886"/>
      <c r="BF430" s="886"/>
      <c r="BG430" s="886"/>
      <c r="BH430" s="886"/>
      <c r="BI430" s="886"/>
      <c r="BJ430" s="886"/>
      <c r="BK430" s="886"/>
      <c r="BL430" s="886"/>
      <c r="BM430" s="886"/>
      <c r="BN430" s="886"/>
      <c r="BO430" s="886"/>
      <c r="BP430" s="886"/>
      <c r="BQ430" s="886"/>
      <c r="BR430" s="886"/>
      <c r="BS430" s="886"/>
      <c r="BT430" s="886"/>
      <c r="BU430" s="886"/>
      <c r="BV430" s="886"/>
      <c r="BW430" s="886"/>
      <c r="BX430" s="886"/>
      <c r="BY430" s="886"/>
      <c r="BZ430" s="886"/>
      <c r="CA430" s="886"/>
      <c r="CB430" s="886"/>
      <c r="CC430" s="886"/>
    </row>
    <row r="431" spans="1:240" ht="14.25" customHeight="1">
      <c r="A431" s="976" t="s">
        <v>3909</v>
      </c>
      <c r="B431" s="976" t="s">
        <v>1194</v>
      </c>
      <c r="C431" s="977">
        <v>1613000780</v>
      </c>
      <c r="D431" s="976" t="s">
        <v>314</v>
      </c>
      <c r="E431" s="976">
        <v>200</v>
      </c>
      <c r="F431" s="976">
        <v>200</v>
      </c>
      <c r="G431" s="976">
        <v>150</v>
      </c>
      <c r="H431" s="976">
        <v>16.157579999999999</v>
      </c>
      <c r="I431" s="976"/>
      <c r="J431" s="1041">
        <v>135</v>
      </c>
      <c r="K431" s="976">
        <v>151.15758</v>
      </c>
      <c r="L431" s="978">
        <v>1.1575799999999958</v>
      </c>
      <c r="M431" s="976" t="s">
        <v>3630</v>
      </c>
      <c r="N431" s="976">
        <v>201.54344</v>
      </c>
      <c r="O431" s="735">
        <f t="shared" si="20"/>
        <v>1.5434400000000039</v>
      </c>
      <c r="P431" s="738">
        <f t="shared" si="18"/>
        <v>201543.44</v>
      </c>
      <c r="Q431" s="751">
        <f t="shared" si="19"/>
        <v>202000</v>
      </c>
      <c r="U431" s="747"/>
      <c r="V431" s="988"/>
      <c r="W431" s="1024"/>
      <c r="AY431" s="845"/>
      <c r="AZ431" s="845"/>
      <c r="BA431" s="845"/>
      <c r="BB431" s="845"/>
      <c r="BC431" s="845"/>
      <c r="BD431" s="845"/>
      <c r="BE431" s="845"/>
      <c r="BF431" s="845"/>
      <c r="BG431" s="845"/>
      <c r="BH431" s="845"/>
      <c r="BI431" s="845"/>
      <c r="BJ431" s="845"/>
      <c r="BK431" s="845"/>
      <c r="BL431" s="845"/>
      <c r="BM431" s="845"/>
      <c r="BN431" s="845"/>
      <c r="BO431" s="845"/>
      <c r="BP431" s="845"/>
      <c r="BQ431" s="845"/>
      <c r="BR431" s="845"/>
      <c r="BS431" s="845"/>
      <c r="BT431" s="845"/>
      <c r="BU431" s="845"/>
      <c r="BV431" s="845"/>
      <c r="BW431" s="845"/>
      <c r="BX431" s="845"/>
      <c r="BY431" s="845"/>
      <c r="BZ431" s="845"/>
      <c r="CA431" s="845"/>
      <c r="CB431" s="845"/>
      <c r="CC431" s="845"/>
    </row>
    <row r="432" spans="1:240" ht="14.25" customHeight="1">
      <c r="A432" s="976" t="s">
        <v>3912</v>
      </c>
      <c r="B432" s="976" t="s">
        <v>1194</v>
      </c>
      <c r="C432" s="977">
        <v>1613000781</v>
      </c>
      <c r="D432" s="976" t="s">
        <v>3322</v>
      </c>
      <c r="E432" s="976">
        <v>0</v>
      </c>
      <c r="F432" s="976">
        <v>0</v>
      </c>
      <c r="G432" s="976">
        <v>0</v>
      </c>
      <c r="H432" s="976">
        <v>0</v>
      </c>
      <c r="I432" s="976"/>
      <c r="J432" s="976"/>
      <c r="K432" s="976">
        <v>0</v>
      </c>
      <c r="L432" s="978">
        <v>0</v>
      </c>
      <c r="M432" s="976"/>
      <c r="N432" s="976">
        <v>0</v>
      </c>
      <c r="O432" s="735">
        <f t="shared" si="20"/>
        <v>0</v>
      </c>
      <c r="P432" s="738">
        <f t="shared" si="18"/>
        <v>0</v>
      </c>
      <c r="Q432" s="751">
        <f t="shared" si="19"/>
        <v>0</v>
      </c>
      <c r="U432" s="747"/>
      <c r="V432" s="988"/>
      <c r="W432" s="1024"/>
      <c r="AY432" s="845"/>
      <c r="AZ432" s="845"/>
      <c r="BA432" s="845"/>
      <c r="BB432" s="845"/>
      <c r="BC432" s="845"/>
      <c r="BD432" s="845"/>
      <c r="BE432" s="845"/>
      <c r="BF432" s="845"/>
      <c r="BG432" s="845"/>
      <c r="BH432" s="845"/>
      <c r="BI432" s="845"/>
      <c r="BJ432" s="845"/>
      <c r="BK432" s="845"/>
      <c r="BL432" s="845"/>
      <c r="BM432" s="845"/>
      <c r="BN432" s="845"/>
      <c r="BO432" s="845"/>
      <c r="BP432" s="845"/>
      <c r="BQ432" s="845"/>
      <c r="BR432" s="845"/>
      <c r="BS432" s="845"/>
      <c r="BT432" s="845"/>
      <c r="BU432" s="845"/>
      <c r="BV432" s="845"/>
      <c r="BW432" s="845"/>
      <c r="BX432" s="845"/>
      <c r="BY432" s="845"/>
      <c r="BZ432" s="845"/>
      <c r="CA432" s="845"/>
      <c r="CB432" s="845"/>
      <c r="CC432" s="845"/>
    </row>
    <row r="433" spans="1:81" ht="14.25" customHeight="1">
      <c r="A433" s="976" t="s">
        <v>3905</v>
      </c>
      <c r="B433" s="976" t="s">
        <v>1194</v>
      </c>
      <c r="C433" s="977">
        <v>1614000540</v>
      </c>
      <c r="D433" s="976" t="s">
        <v>279</v>
      </c>
      <c r="E433" s="976">
        <v>1</v>
      </c>
      <c r="F433" s="976">
        <v>1</v>
      </c>
      <c r="G433" s="976">
        <v>0.75</v>
      </c>
      <c r="H433" s="976">
        <v>0.30413000000000001</v>
      </c>
      <c r="I433" s="976"/>
      <c r="J433" s="976"/>
      <c r="K433" s="976">
        <v>0.30413000000000001</v>
      </c>
      <c r="L433" s="978">
        <v>-0.44586999999999999</v>
      </c>
      <c r="M433" s="976"/>
      <c r="N433" s="976">
        <v>0.40550666666666668</v>
      </c>
      <c r="O433" s="735">
        <f t="shared" si="20"/>
        <v>-0.59449333333333332</v>
      </c>
      <c r="P433" s="738">
        <f t="shared" si="18"/>
        <v>405.50666666666666</v>
      </c>
      <c r="Q433" s="751">
        <f t="shared" si="19"/>
        <v>0</v>
      </c>
      <c r="U433" s="747"/>
      <c r="V433" s="988"/>
      <c r="W433" s="1024"/>
    </row>
    <row r="434" spans="1:81" ht="14.25" customHeight="1">
      <c r="A434" s="976" t="s">
        <v>3922</v>
      </c>
      <c r="B434" s="976" t="s">
        <v>1194</v>
      </c>
      <c r="C434" s="977">
        <v>1614000550</v>
      </c>
      <c r="D434" s="976" t="s">
        <v>318</v>
      </c>
      <c r="E434" s="976">
        <v>800</v>
      </c>
      <c r="F434" s="976">
        <v>800</v>
      </c>
      <c r="G434" s="976">
        <v>600</v>
      </c>
      <c r="H434" s="976">
        <v>611.28286000000003</v>
      </c>
      <c r="I434" s="976"/>
      <c r="J434" s="976"/>
      <c r="K434" s="976">
        <v>611.28286000000003</v>
      </c>
      <c r="L434" s="978">
        <v>11.282860000000028</v>
      </c>
      <c r="M434" s="976" t="s">
        <v>3630</v>
      </c>
      <c r="N434" s="976">
        <v>815.04381333333333</v>
      </c>
      <c r="O434" s="735">
        <f t="shared" si="20"/>
        <v>15.043813333333333</v>
      </c>
      <c r="P434" s="738">
        <f t="shared" si="18"/>
        <v>815043.81333333335</v>
      </c>
      <c r="Q434" s="751">
        <f t="shared" si="19"/>
        <v>815000</v>
      </c>
      <c r="U434" s="747"/>
      <c r="V434" s="988"/>
      <c r="W434" s="1024"/>
    </row>
    <row r="435" spans="1:81" ht="14.25" customHeight="1">
      <c r="A435" s="976" t="s">
        <v>3913</v>
      </c>
      <c r="B435" s="976" t="s">
        <v>1194</v>
      </c>
      <c r="C435" s="977">
        <v>1614000750</v>
      </c>
      <c r="D435" s="976" t="s">
        <v>288</v>
      </c>
      <c r="E435" s="976">
        <v>288</v>
      </c>
      <c r="F435" s="976">
        <v>288</v>
      </c>
      <c r="G435" s="976">
        <v>216</v>
      </c>
      <c r="H435" s="976">
        <v>158.733</v>
      </c>
      <c r="I435" s="976"/>
      <c r="J435" s="1041">
        <v>57</v>
      </c>
      <c r="K435" s="976">
        <v>215.733</v>
      </c>
      <c r="L435" s="978">
        <v>-0.26699999999999591</v>
      </c>
      <c r="M435" s="976" t="s">
        <v>3630</v>
      </c>
      <c r="N435" s="976">
        <v>287.64400000000001</v>
      </c>
      <c r="O435" s="735">
        <f t="shared" si="20"/>
        <v>-0.35599999999999454</v>
      </c>
      <c r="P435" s="738">
        <f t="shared" si="18"/>
        <v>287644</v>
      </c>
      <c r="Q435" s="751">
        <f t="shared" si="19"/>
        <v>288000</v>
      </c>
      <c r="U435" s="747"/>
      <c r="V435" s="988"/>
      <c r="W435" s="1024"/>
    </row>
    <row r="436" spans="1:81" ht="14.25" customHeight="1">
      <c r="A436" s="976" t="s">
        <v>3914</v>
      </c>
      <c r="B436" s="976" t="s">
        <v>1194</v>
      </c>
      <c r="C436" s="977">
        <v>1614000751</v>
      </c>
      <c r="D436" s="976" t="s">
        <v>321</v>
      </c>
      <c r="E436" s="976">
        <v>200</v>
      </c>
      <c r="F436" s="976">
        <v>200</v>
      </c>
      <c r="G436" s="976">
        <v>150</v>
      </c>
      <c r="H436" s="976">
        <v>124.02163</v>
      </c>
      <c r="I436" s="976"/>
      <c r="J436" s="1041">
        <v>27</v>
      </c>
      <c r="K436" s="976">
        <v>151.02163000000002</v>
      </c>
      <c r="L436" s="978">
        <v>1.021630000000016</v>
      </c>
      <c r="M436" s="976" t="s">
        <v>3630</v>
      </c>
      <c r="N436" s="976">
        <v>201.36217333333335</v>
      </c>
      <c r="O436" s="735">
        <f t="shared" si="20"/>
        <v>1.3621733333333452</v>
      </c>
      <c r="P436" s="738">
        <f t="shared" si="18"/>
        <v>201362.17333333334</v>
      </c>
      <c r="Q436" s="751">
        <f t="shared" si="19"/>
        <v>201000</v>
      </c>
      <c r="U436" s="747"/>
      <c r="V436" s="988"/>
      <c r="W436" s="1024"/>
      <c r="AY436" s="845"/>
      <c r="AZ436" s="845"/>
      <c r="BA436" s="845"/>
      <c r="BB436" s="845"/>
      <c r="BC436" s="845"/>
      <c r="BD436" s="845"/>
      <c r="BE436" s="845"/>
      <c r="BF436" s="845"/>
      <c r="BG436" s="845"/>
      <c r="BH436" s="845"/>
      <c r="BI436" s="845"/>
      <c r="BJ436" s="845"/>
      <c r="BK436" s="845"/>
      <c r="BL436" s="845"/>
      <c r="BM436" s="845"/>
      <c r="BN436" s="845"/>
      <c r="BO436" s="845"/>
      <c r="BP436" s="845"/>
      <c r="BQ436" s="845"/>
      <c r="BR436" s="845"/>
      <c r="BS436" s="845"/>
      <c r="BT436" s="845"/>
      <c r="BU436" s="845"/>
      <c r="BV436" s="845"/>
      <c r="BW436" s="845"/>
      <c r="BX436" s="845"/>
      <c r="BY436" s="845"/>
      <c r="BZ436" s="845"/>
      <c r="CA436" s="845"/>
      <c r="CB436" s="845"/>
      <c r="CC436" s="845"/>
    </row>
    <row r="437" spans="1:81" s="883" customFormat="1" ht="14.25" customHeight="1">
      <c r="A437" s="976" t="s">
        <v>3909</v>
      </c>
      <c r="B437" s="976" t="s">
        <v>1194</v>
      </c>
      <c r="C437" s="977">
        <v>1614000780</v>
      </c>
      <c r="D437" s="976" t="s">
        <v>280</v>
      </c>
      <c r="E437" s="976">
        <v>1</v>
      </c>
      <c r="F437" s="976">
        <v>1</v>
      </c>
      <c r="G437" s="976">
        <v>0.75</v>
      </c>
      <c r="H437" s="976">
        <v>0.99</v>
      </c>
      <c r="I437" s="976"/>
      <c r="J437" s="976"/>
      <c r="K437" s="976">
        <v>0.99</v>
      </c>
      <c r="L437" s="978">
        <v>0.24</v>
      </c>
      <c r="M437" s="976"/>
      <c r="N437" s="976">
        <v>1.3199999999999998</v>
      </c>
      <c r="O437" s="735">
        <f t="shared" si="20"/>
        <v>0.31999999999999984</v>
      </c>
      <c r="P437" s="738">
        <f t="shared" si="18"/>
        <v>1319.9999999999998</v>
      </c>
      <c r="Q437" s="751">
        <f t="shared" si="19"/>
        <v>1000</v>
      </c>
      <c r="R437" s="882"/>
      <c r="S437" s="882"/>
      <c r="T437" s="882"/>
      <c r="U437" s="882"/>
      <c r="V437" s="988"/>
      <c r="W437" s="1024"/>
      <c r="X437" s="882"/>
      <c r="Y437" s="882"/>
      <c r="Z437" s="882"/>
      <c r="AA437" s="882"/>
      <c r="AB437" s="882"/>
      <c r="AC437" s="882"/>
      <c r="AD437" s="882"/>
      <c r="AE437" s="882"/>
      <c r="AF437" s="882"/>
      <c r="AG437" s="882"/>
      <c r="AH437" s="882"/>
      <c r="AI437" s="882"/>
      <c r="AJ437" s="882"/>
      <c r="AK437" s="882"/>
      <c r="AL437" s="882"/>
      <c r="AM437" s="882"/>
      <c r="AN437" s="882"/>
      <c r="AO437" s="882"/>
      <c r="AP437" s="882"/>
      <c r="AQ437" s="882"/>
      <c r="AR437" s="882"/>
      <c r="AS437" s="882"/>
      <c r="AT437" s="882"/>
      <c r="AU437" s="882"/>
      <c r="AV437" s="882"/>
      <c r="AW437" s="882"/>
      <c r="AX437" s="882"/>
      <c r="AY437" s="882"/>
      <c r="AZ437" s="882"/>
      <c r="BA437" s="882"/>
      <c r="BB437" s="882"/>
      <c r="BC437" s="882"/>
      <c r="BD437" s="882"/>
      <c r="BE437" s="882"/>
      <c r="BF437" s="882"/>
      <c r="BG437" s="882"/>
      <c r="BH437" s="882"/>
      <c r="BI437" s="882"/>
      <c r="BJ437" s="882"/>
      <c r="BK437" s="882"/>
      <c r="BL437" s="882"/>
      <c r="BM437" s="882"/>
      <c r="BN437" s="882"/>
      <c r="BO437" s="882"/>
      <c r="BP437" s="882"/>
      <c r="BQ437" s="882"/>
      <c r="BR437" s="882"/>
      <c r="BS437" s="882"/>
      <c r="BT437" s="882"/>
      <c r="BU437" s="882"/>
      <c r="BV437" s="882"/>
      <c r="BW437" s="882"/>
      <c r="BX437" s="882"/>
      <c r="BY437" s="882"/>
      <c r="BZ437" s="882"/>
      <c r="CA437" s="882"/>
      <c r="CB437" s="882"/>
      <c r="CC437" s="882"/>
    </row>
    <row r="438" spans="1:81" ht="14.25" customHeight="1">
      <c r="A438" s="976" t="s">
        <v>3923</v>
      </c>
      <c r="B438" s="976" t="s">
        <v>1194</v>
      </c>
      <c r="C438" s="977">
        <v>1615000521</v>
      </c>
      <c r="D438" s="976" t="s">
        <v>326</v>
      </c>
      <c r="E438" s="976">
        <v>250</v>
      </c>
      <c r="F438" s="976">
        <v>250</v>
      </c>
      <c r="G438" s="976">
        <v>187.5</v>
      </c>
      <c r="H438" s="976">
        <v>237.09029000000001</v>
      </c>
      <c r="I438" s="976"/>
      <c r="J438" s="1032">
        <v>-50</v>
      </c>
      <c r="K438" s="976">
        <v>187.09029000000001</v>
      </c>
      <c r="L438" s="978">
        <v>-0.4097099999999898</v>
      </c>
      <c r="M438" s="976" t="s">
        <v>3630</v>
      </c>
      <c r="N438" s="976">
        <v>249.45372000000003</v>
      </c>
      <c r="O438" s="735">
        <f t="shared" si="20"/>
        <v>-0.54627999999996746</v>
      </c>
      <c r="P438" s="738">
        <f t="shared" si="18"/>
        <v>249453.72000000003</v>
      </c>
      <c r="Q438" s="751">
        <f t="shared" si="19"/>
        <v>249000</v>
      </c>
      <c r="U438" s="747"/>
      <c r="V438" s="988"/>
      <c r="W438" s="1024"/>
    </row>
    <row r="439" spans="1:81" ht="14.25" customHeight="1">
      <c r="A439" s="976" t="s">
        <v>3924</v>
      </c>
      <c r="B439" s="976" t="s">
        <v>1194</v>
      </c>
      <c r="C439" s="977">
        <v>1615000522</v>
      </c>
      <c r="D439" s="976" t="s">
        <v>327</v>
      </c>
      <c r="E439" s="976">
        <v>30</v>
      </c>
      <c r="F439" s="976">
        <v>30</v>
      </c>
      <c r="G439" s="976">
        <v>22.5</v>
      </c>
      <c r="H439" s="976">
        <v>12.889329999999999</v>
      </c>
      <c r="I439" s="976"/>
      <c r="J439" s="976"/>
      <c r="K439" s="976">
        <v>12.889329999999999</v>
      </c>
      <c r="L439" s="978">
        <v>-9.6106700000000007</v>
      </c>
      <c r="M439" s="976" t="s">
        <v>3630</v>
      </c>
      <c r="N439" s="976">
        <v>17.18577333333333</v>
      </c>
      <c r="O439" s="735">
        <f t="shared" si="20"/>
        <v>-12.81422666666667</v>
      </c>
      <c r="P439" s="738">
        <f t="shared" si="18"/>
        <v>17185.773333333331</v>
      </c>
      <c r="Q439" s="751">
        <f t="shared" si="19"/>
        <v>17000</v>
      </c>
      <c r="U439" s="747"/>
      <c r="V439" s="988"/>
      <c r="W439" s="1024"/>
    </row>
    <row r="440" spans="1:81" ht="14.25" customHeight="1">
      <c r="A440" s="976" t="s">
        <v>3867</v>
      </c>
      <c r="B440" s="976" t="s">
        <v>1194</v>
      </c>
      <c r="C440" s="977">
        <v>1615000410</v>
      </c>
      <c r="D440" s="976" t="s">
        <v>304</v>
      </c>
      <c r="E440" s="976">
        <v>338</v>
      </c>
      <c r="F440" s="976">
        <v>338</v>
      </c>
      <c r="G440" s="976">
        <v>253.5</v>
      </c>
      <c r="H440" s="976">
        <v>38.286000000000001</v>
      </c>
      <c r="I440" s="976"/>
      <c r="J440" s="1041">
        <v>175</v>
      </c>
      <c r="K440" s="976">
        <v>213.286</v>
      </c>
      <c r="L440" s="978">
        <v>-40.213999999999999</v>
      </c>
      <c r="M440" s="976" t="s">
        <v>3630</v>
      </c>
      <c r="N440" s="976">
        <v>284.38133333333332</v>
      </c>
      <c r="O440" s="735">
        <f t="shared" si="20"/>
        <v>-53.618666666666684</v>
      </c>
      <c r="P440" s="738">
        <f t="shared" si="18"/>
        <v>284381.33333333331</v>
      </c>
      <c r="Q440" s="751">
        <f t="shared" si="19"/>
        <v>284000</v>
      </c>
      <c r="U440" s="747"/>
      <c r="V440" s="988"/>
      <c r="W440" s="1024"/>
      <c r="AY440" s="845"/>
      <c r="AZ440" s="845"/>
      <c r="BA440" s="845"/>
      <c r="BB440" s="845"/>
      <c r="BC440" s="845"/>
      <c r="BD440" s="845"/>
      <c r="BE440" s="845"/>
      <c r="BF440" s="845"/>
      <c r="BG440" s="845"/>
      <c r="BH440" s="845"/>
      <c r="BI440" s="845"/>
      <c r="BJ440" s="845"/>
      <c r="BK440" s="845"/>
      <c r="BL440" s="845"/>
      <c r="BM440" s="845"/>
      <c r="BN440" s="845"/>
      <c r="BO440" s="845"/>
      <c r="BP440" s="845"/>
      <c r="BQ440" s="845"/>
      <c r="BR440" s="845"/>
      <c r="BS440" s="845"/>
      <c r="BT440" s="845"/>
      <c r="BU440" s="845"/>
      <c r="BV440" s="845"/>
      <c r="BW440" s="845"/>
      <c r="BX440" s="845"/>
      <c r="BY440" s="845"/>
      <c r="BZ440" s="845"/>
      <c r="CA440" s="845"/>
      <c r="CB440" s="845"/>
      <c r="CC440" s="845"/>
    </row>
    <row r="441" spans="1:81" ht="14.25" customHeight="1">
      <c r="A441" s="976" t="s">
        <v>3868</v>
      </c>
      <c r="B441" s="976" t="s">
        <v>1194</v>
      </c>
      <c r="C441" s="977">
        <v>1615000430</v>
      </c>
      <c r="D441" s="976" t="s">
        <v>311</v>
      </c>
      <c r="E441" s="976">
        <v>0</v>
      </c>
      <c r="F441" s="976">
        <v>0</v>
      </c>
      <c r="G441" s="976">
        <v>0</v>
      </c>
      <c r="H441" s="976">
        <v>0</v>
      </c>
      <c r="I441" s="976"/>
      <c r="J441" s="976"/>
      <c r="K441" s="976">
        <v>0</v>
      </c>
      <c r="L441" s="978">
        <v>0</v>
      </c>
      <c r="M441" s="976"/>
      <c r="N441" s="976">
        <v>0</v>
      </c>
      <c r="O441" s="735">
        <f t="shared" si="20"/>
        <v>0</v>
      </c>
      <c r="P441" s="738">
        <f t="shared" si="18"/>
        <v>0</v>
      </c>
      <c r="Q441" s="751">
        <f t="shared" si="19"/>
        <v>0</v>
      </c>
      <c r="U441" s="747"/>
      <c r="V441" s="988"/>
      <c r="W441" s="1024"/>
      <c r="AY441" s="845"/>
      <c r="AZ441" s="845"/>
      <c r="BA441" s="845"/>
      <c r="BB441" s="845"/>
      <c r="BC441" s="845"/>
      <c r="BD441" s="845"/>
      <c r="BE441" s="845"/>
      <c r="BF441" s="845"/>
      <c r="BG441" s="845"/>
      <c r="BH441" s="845"/>
      <c r="BI441" s="845"/>
      <c r="BJ441" s="845"/>
      <c r="BK441" s="845"/>
      <c r="BL441" s="845"/>
      <c r="BM441" s="845"/>
      <c r="BN441" s="845"/>
      <c r="BO441" s="845"/>
      <c r="BP441" s="845"/>
      <c r="BQ441" s="845"/>
      <c r="BR441" s="845"/>
      <c r="BS441" s="845"/>
      <c r="BT441" s="845"/>
      <c r="BU441" s="845"/>
      <c r="BV441" s="845"/>
      <c r="BW441" s="845"/>
      <c r="BX441" s="845"/>
      <c r="BY441" s="845"/>
      <c r="BZ441" s="845"/>
      <c r="CA441" s="845"/>
      <c r="CB441" s="845"/>
      <c r="CC441" s="845"/>
    </row>
    <row r="442" spans="1:81" s="747" customFormat="1" ht="14.25" customHeight="1">
      <c r="A442" s="976" t="s">
        <v>3868</v>
      </c>
      <c r="B442" s="976" t="s">
        <v>1194</v>
      </c>
      <c r="C442" s="977">
        <v>1615000430</v>
      </c>
      <c r="D442" s="976" t="s">
        <v>311</v>
      </c>
      <c r="E442" s="976">
        <v>0</v>
      </c>
      <c r="F442" s="976">
        <v>0</v>
      </c>
      <c r="G442" s="976">
        <v>0</v>
      </c>
      <c r="H442" s="976">
        <v>0</v>
      </c>
      <c r="I442" s="976"/>
      <c r="J442" s="976"/>
      <c r="K442" s="976">
        <v>0</v>
      </c>
      <c r="L442" s="978">
        <v>0</v>
      </c>
      <c r="M442" s="976"/>
      <c r="N442" s="976">
        <v>0</v>
      </c>
      <c r="O442" s="735">
        <f t="shared" si="20"/>
        <v>0</v>
      </c>
      <c r="P442" s="738">
        <f t="shared" si="18"/>
        <v>0</v>
      </c>
      <c r="Q442" s="751">
        <f t="shared" si="19"/>
        <v>0</v>
      </c>
      <c r="V442" s="988"/>
      <c r="W442" s="1024"/>
    </row>
    <row r="443" spans="1:81" ht="14.25" customHeight="1">
      <c r="A443" s="976" t="s">
        <v>3908</v>
      </c>
      <c r="B443" s="976" t="s">
        <v>1194</v>
      </c>
      <c r="C443" s="977">
        <v>1615000530</v>
      </c>
      <c r="D443" s="976" t="s">
        <v>277</v>
      </c>
      <c r="E443" s="976">
        <v>55</v>
      </c>
      <c r="F443" s="976">
        <v>55</v>
      </c>
      <c r="G443" s="976">
        <v>41.25</v>
      </c>
      <c r="H443" s="976">
        <v>40.475089999999994</v>
      </c>
      <c r="I443" s="976"/>
      <c r="J443" s="976"/>
      <c r="K443" s="976">
        <v>40.475089999999994</v>
      </c>
      <c r="L443" s="978">
        <v>-0.77491000000000554</v>
      </c>
      <c r="M443" s="976"/>
      <c r="N443" s="976">
        <v>53.966786666666657</v>
      </c>
      <c r="O443" s="735">
        <f t="shared" si="20"/>
        <v>-1.0332133333333431</v>
      </c>
      <c r="P443" s="738">
        <f t="shared" si="18"/>
        <v>53966.78666666666</v>
      </c>
      <c r="Q443" s="751">
        <f t="shared" si="19"/>
        <v>54000</v>
      </c>
      <c r="U443" s="747"/>
      <c r="V443" s="988"/>
      <c r="W443" s="1024"/>
      <c r="AY443" s="845"/>
      <c r="AZ443" s="845"/>
      <c r="BA443" s="845"/>
      <c r="BB443" s="845"/>
      <c r="BC443" s="845"/>
      <c r="BD443" s="845"/>
      <c r="BE443" s="845"/>
      <c r="BF443" s="845"/>
      <c r="BG443" s="845"/>
      <c r="BH443" s="845"/>
      <c r="BI443" s="845"/>
      <c r="BJ443" s="845"/>
      <c r="BK443" s="845"/>
      <c r="BL443" s="845"/>
      <c r="BM443" s="845"/>
      <c r="BN443" s="845"/>
      <c r="BO443" s="845"/>
      <c r="BP443" s="845"/>
      <c r="BQ443" s="845"/>
      <c r="BR443" s="845"/>
      <c r="BS443" s="845"/>
      <c r="BT443" s="845"/>
      <c r="BU443" s="845"/>
      <c r="BV443" s="845"/>
      <c r="BW443" s="845"/>
      <c r="BX443" s="845"/>
      <c r="BY443" s="845"/>
      <c r="BZ443" s="845"/>
      <c r="CA443" s="845"/>
      <c r="CB443" s="845"/>
      <c r="CC443" s="845"/>
    </row>
    <row r="444" spans="1:81" ht="14.25" customHeight="1">
      <c r="A444" s="976" t="s">
        <v>3905</v>
      </c>
      <c r="B444" s="976" t="s">
        <v>1194</v>
      </c>
      <c r="C444" s="977">
        <v>1615000540</v>
      </c>
      <c r="D444" s="976" t="s">
        <v>279</v>
      </c>
      <c r="E444" s="976">
        <v>4</v>
      </c>
      <c r="F444" s="976">
        <v>4</v>
      </c>
      <c r="G444" s="976">
        <v>3</v>
      </c>
      <c r="H444" s="976">
        <v>6.7094300000000002</v>
      </c>
      <c r="I444" s="976"/>
      <c r="J444" s="976"/>
      <c r="K444" s="976">
        <v>6.7094300000000002</v>
      </c>
      <c r="L444" s="978">
        <v>3.7094300000000002</v>
      </c>
      <c r="M444" s="976"/>
      <c r="N444" s="976">
        <v>8.9459066666666658</v>
      </c>
      <c r="O444" s="735">
        <f t="shared" si="20"/>
        <v>4.9459066666666658</v>
      </c>
      <c r="P444" s="738">
        <f t="shared" si="18"/>
        <v>8945.9066666666658</v>
      </c>
      <c r="Q444" s="751">
        <f t="shared" si="19"/>
        <v>9000</v>
      </c>
      <c r="U444" s="747"/>
      <c r="V444" s="988"/>
      <c r="W444" s="1024"/>
      <c r="AY444" s="845"/>
      <c r="AZ444" s="845"/>
      <c r="BA444" s="845"/>
      <c r="BB444" s="845"/>
      <c r="BC444" s="845"/>
      <c r="BD444" s="845"/>
      <c r="BE444" s="845"/>
      <c r="BF444" s="845"/>
      <c r="BG444" s="845"/>
      <c r="BH444" s="845"/>
      <c r="BI444" s="845"/>
      <c r="BJ444" s="845"/>
      <c r="BK444" s="845"/>
      <c r="BL444" s="845"/>
      <c r="BM444" s="845"/>
      <c r="BN444" s="845"/>
      <c r="BO444" s="845"/>
      <c r="BP444" s="845"/>
      <c r="BQ444" s="845"/>
      <c r="BR444" s="845"/>
      <c r="BS444" s="845"/>
      <c r="BT444" s="845"/>
      <c r="BU444" s="845"/>
      <c r="BV444" s="845"/>
      <c r="BW444" s="845"/>
      <c r="BX444" s="845"/>
      <c r="BY444" s="845"/>
      <c r="BZ444" s="845"/>
      <c r="CA444" s="845"/>
      <c r="CB444" s="845"/>
      <c r="CC444" s="845"/>
    </row>
    <row r="445" spans="1:81" ht="14.25" customHeight="1">
      <c r="A445" s="976" t="s">
        <v>3922</v>
      </c>
      <c r="B445" s="976" t="s">
        <v>1194</v>
      </c>
      <c r="C445" s="977">
        <v>1615000550</v>
      </c>
      <c r="D445" s="976" t="s">
        <v>318</v>
      </c>
      <c r="E445" s="976">
        <v>0</v>
      </c>
      <c r="F445" s="976">
        <v>0</v>
      </c>
      <c r="G445" s="976">
        <v>0</v>
      </c>
      <c r="H445" s="976">
        <v>0</v>
      </c>
      <c r="I445" s="976"/>
      <c r="J445" s="976"/>
      <c r="K445" s="976">
        <v>0</v>
      </c>
      <c r="L445" s="978">
        <v>0</v>
      </c>
      <c r="M445" s="976"/>
      <c r="N445" s="976">
        <v>0</v>
      </c>
      <c r="O445" s="735">
        <f t="shared" si="20"/>
        <v>0</v>
      </c>
      <c r="P445" s="738">
        <f t="shared" si="18"/>
        <v>0</v>
      </c>
      <c r="Q445" s="751">
        <f t="shared" si="19"/>
        <v>0</v>
      </c>
      <c r="U445" s="747"/>
      <c r="V445" s="988"/>
      <c r="W445" s="1024"/>
    </row>
    <row r="446" spans="1:81" s="883" customFormat="1" ht="14.25" customHeight="1">
      <c r="A446" s="976" t="s">
        <v>3913</v>
      </c>
      <c r="B446" s="976" t="s">
        <v>1194</v>
      </c>
      <c r="C446" s="977">
        <v>1615000750</v>
      </c>
      <c r="D446" s="976" t="s">
        <v>288</v>
      </c>
      <c r="E446" s="976">
        <v>300</v>
      </c>
      <c r="F446" s="976">
        <v>300</v>
      </c>
      <c r="G446" s="976">
        <v>225</v>
      </c>
      <c r="H446" s="976">
        <v>117.47524</v>
      </c>
      <c r="I446" s="976"/>
      <c r="J446" s="1041">
        <v>72</v>
      </c>
      <c r="K446" s="976">
        <v>189.47523999999999</v>
      </c>
      <c r="L446" s="978">
        <v>-35.524760000000015</v>
      </c>
      <c r="M446" s="976" t="s">
        <v>3630</v>
      </c>
      <c r="N446" s="976">
        <v>252.63365333333331</v>
      </c>
      <c r="O446" s="735">
        <f t="shared" si="20"/>
        <v>-47.366346666666686</v>
      </c>
      <c r="P446" s="738">
        <f t="shared" si="18"/>
        <v>252633.65333333332</v>
      </c>
      <c r="Q446" s="751">
        <f t="shared" si="19"/>
        <v>253000</v>
      </c>
      <c r="R446" s="882"/>
      <c r="S446" s="882"/>
      <c r="T446" s="882"/>
      <c r="U446" s="882"/>
      <c r="V446" s="988"/>
      <c r="W446" s="1024"/>
      <c r="X446" s="882"/>
      <c r="Y446" s="882"/>
      <c r="Z446" s="882"/>
      <c r="AA446" s="882"/>
      <c r="AB446" s="882"/>
      <c r="AC446" s="882"/>
      <c r="AD446" s="882"/>
      <c r="AE446" s="882"/>
      <c r="AF446" s="882"/>
      <c r="AG446" s="882"/>
      <c r="AH446" s="882"/>
      <c r="AI446" s="882"/>
      <c r="AJ446" s="882"/>
      <c r="AK446" s="882"/>
      <c r="AL446" s="882"/>
      <c r="AM446" s="882"/>
      <c r="AN446" s="882"/>
      <c r="AO446" s="882"/>
      <c r="AP446" s="882"/>
      <c r="AQ446" s="882"/>
      <c r="AR446" s="882"/>
      <c r="AS446" s="882"/>
      <c r="AT446" s="882"/>
      <c r="AU446" s="882"/>
      <c r="AV446" s="882"/>
      <c r="AW446" s="882"/>
      <c r="AX446" s="882"/>
      <c r="AY446" s="882"/>
      <c r="AZ446" s="882"/>
      <c r="BA446" s="882"/>
      <c r="BB446" s="882"/>
      <c r="BC446" s="882"/>
      <c r="BD446" s="882"/>
      <c r="BE446" s="882"/>
      <c r="BF446" s="882"/>
      <c r="BG446" s="882"/>
      <c r="BH446" s="882"/>
      <c r="BI446" s="882"/>
      <c r="BJ446" s="882"/>
      <c r="BK446" s="882"/>
      <c r="BL446" s="882"/>
      <c r="BM446" s="882"/>
      <c r="BN446" s="882"/>
      <c r="BO446" s="882"/>
      <c r="BP446" s="882"/>
      <c r="BQ446" s="882"/>
      <c r="BR446" s="882"/>
      <c r="BS446" s="882"/>
      <c r="BT446" s="882"/>
      <c r="BU446" s="882"/>
      <c r="BV446" s="882"/>
      <c r="BW446" s="882"/>
      <c r="BX446" s="882"/>
      <c r="BY446" s="882"/>
      <c r="BZ446" s="882"/>
      <c r="CA446" s="882"/>
      <c r="CB446" s="882"/>
      <c r="CC446" s="882"/>
    </row>
    <row r="447" spans="1:81" ht="14.25" customHeight="1">
      <c r="A447" s="976" t="s">
        <v>3914</v>
      </c>
      <c r="B447" s="976" t="s">
        <v>1194</v>
      </c>
      <c r="C447" s="977">
        <v>1615000751</v>
      </c>
      <c r="D447" s="976" t="s">
        <v>329</v>
      </c>
      <c r="E447" s="976">
        <v>3000</v>
      </c>
      <c r="F447" s="976">
        <v>3000</v>
      </c>
      <c r="G447" s="976">
        <v>2250</v>
      </c>
      <c r="H447" s="976">
        <v>2759.0994999999998</v>
      </c>
      <c r="I447" s="976"/>
      <c r="J447" s="1032">
        <v>-488</v>
      </c>
      <c r="K447" s="976">
        <v>2271.0994999999998</v>
      </c>
      <c r="L447" s="978">
        <v>21.099499999999807</v>
      </c>
      <c r="M447" s="976" t="s">
        <v>3633</v>
      </c>
      <c r="N447" s="976">
        <v>3028.1326666666664</v>
      </c>
      <c r="O447" s="735">
        <f t="shared" si="20"/>
        <v>28.13266666666641</v>
      </c>
      <c r="P447" s="738">
        <f t="shared" si="18"/>
        <v>3028132.6666666665</v>
      </c>
      <c r="Q447" s="751">
        <f t="shared" si="19"/>
        <v>3028000</v>
      </c>
      <c r="U447" s="747"/>
      <c r="V447" s="988"/>
      <c r="W447" s="1024"/>
    </row>
    <row r="448" spans="1:81" ht="14.25" customHeight="1">
      <c r="A448" s="976" t="s">
        <v>3909</v>
      </c>
      <c r="B448" s="976" t="s">
        <v>1194</v>
      </c>
      <c r="C448" s="977">
        <v>1615000780</v>
      </c>
      <c r="D448" s="976" t="s">
        <v>280</v>
      </c>
      <c r="E448" s="976">
        <v>12</v>
      </c>
      <c r="F448" s="976">
        <v>12</v>
      </c>
      <c r="G448" s="976">
        <v>9</v>
      </c>
      <c r="H448" s="976">
        <v>5.3291400000000007</v>
      </c>
      <c r="I448" s="976"/>
      <c r="J448" s="1041">
        <v>4</v>
      </c>
      <c r="K448" s="976">
        <v>9.3291400000000007</v>
      </c>
      <c r="L448" s="978">
        <v>0.32914000000000065</v>
      </c>
      <c r="M448" s="976" t="s">
        <v>3630</v>
      </c>
      <c r="N448" s="976">
        <v>12.438853333333334</v>
      </c>
      <c r="O448" s="735">
        <f t="shared" si="20"/>
        <v>0.43885333333333421</v>
      </c>
      <c r="P448" s="738">
        <f t="shared" si="18"/>
        <v>12438.853333333334</v>
      </c>
      <c r="Q448" s="751">
        <f t="shared" si="19"/>
        <v>12000</v>
      </c>
      <c r="U448" s="747"/>
      <c r="V448" s="988"/>
      <c r="W448" s="1024"/>
      <c r="AY448" s="845"/>
      <c r="AZ448" s="845"/>
      <c r="BA448" s="845"/>
      <c r="BB448" s="845"/>
      <c r="BC448" s="845"/>
      <c r="BD448" s="845"/>
      <c r="BE448" s="845"/>
      <c r="BF448" s="845"/>
      <c r="BG448" s="845"/>
      <c r="BH448" s="845"/>
      <c r="BI448" s="845"/>
      <c r="BJ448" s="845"/>
      <c r="BK448" s="845"/>
      <c r="BL448" s="845"/>
      <c r="BM448" s="845"/>
      <c r="BN448" s="845"/>
      <c r="BO448" s="845"/>
      <c r="BP448" s="845"/>
      <c r="BQ448" s="845"/>
      <c r="BR448" s="845"/>
      <c r="BS448" s="845"/>
      <c r="BT448" s="845"/>
      <c r="BU448" s="845"/>
      <c r="BV448" s="845"/>
      <c r="BW448" s="845"/>
      <c r="BX448" s="845"/>
      <c r="BY448" s="845"/>
      <c r="BZ448" s="845"/>
      <c r="CA448" s="845"/>
      <c r="CB448" s="845"/>
      <c r="CC448" s="845"/>
    </row>
    <row r="449" spans="1:81" ht="14.25" customHeight="1">
      <c r="A449" s="976" t="s">
        <v>3913</v>
      </c>
      <c r="B449" s="976"/>
      <c r="C449" s="977">
        <v>1616000750</v>
      </c>
      <c r="D449" s="976" t="s">
        <v>288</v>
      </c>
      <c r="E449" s="976">
        <v>200</v>
      </c>
      <c r="F449" s="976">
        <v>200</v>
      </c>
      <c r="G449" s="976">
        <v>150</v>
      </c>
      <c r="H449" s="976">
        <v>0</v>
      </c>
      <c r="I449" s="976"/>
      <c r="J449" s="976"/>
      <c r="K449" s="976">
        <v>0</v>
      </c>
      <c r="L449" s="978">
        <v>-150</v>
      </c>
      <c r="M449" s="976" t="s">
        <v>3634</v>
      </c>
      <c r="N449" s="976">
        <v>0</v>
      </c>
      <c r="O449" s="735">
        <f t="shared" si="20"/>
        <v>-200</v>
      </c>
      <c r="P449" s="738">
        <f t="shared" si="18"/>
        <v>0</v>
      </c>
      <c r="Q449" s="751">
        <f t="shared" si="19"/>
        <v>0</v>
      </c>
      <c r="U449" s="747"/>
      <c r="V449" s="988"/>
      <c r="W449" s="1024"/>
    </row>
    <row r="450" spans="1:81" ht="14.25" customHeight="1">
      <c r="A450" s="976" t="s">
        <v>3867</v>
      </c>
      <c r="B450" s="976" t="s">
        <v>1194</v>
      </c>
      <c r="C450" s="977">
        <v>1617000410</v>
      </c>
      <c r="D450" s="976" t="s">
        <v>304</v>
      </c>
      <c r="E450" s="976">
        <v>385</v>
      </c>
      <c r="F450" s="976">
        <v>385</v>
      </c>
      <c r="G450" s="976">
        <v>288.75</v>
      </c>
      <c r="H450" s="976">
        <v>364.07441999999998</v>
      </c>
      <c r="I450" s="976"/>
      <c r="J450" s="1032">
        <v>-90</v>
      </c>
      <c r="K450" s="976">
        <v>274.07441999999998</v>
      </c>
      <c r="L450" s="978">
        <v>-14.675580000000025</v>
      </c>
      <c r="M450" s="976" t="s">
        <v>3630</v>
      </c>
      <c r="N450" s="976">
        <v>365.43255999999997</v>
      </c>
      <c r="O450" s="735">
        <f t="shared" si="20"/>
        <v>-19.567440000000033</v>
      </c>
      <c r="P450" s="738">
        <f t="shared" si="18"/>
        <v>365432.55999999994</v>
      </c>
      <c r="Q450" s="751">
        <f t="shared" si="19"/>
        <v>365000</v>
      </c>
      <c r="U450" s="747"/>
      <c r="V450" s="988"/>
      <c r="W450" s="1024"/>
    </row>
    <row r="451" spans="1:81" s="747" customFormat="1" ht="14.25" customHeight="1">
      <c r="A451" s="976" t="s">
        <v>3924</v>
      </c>
      <c r="B451" s="976" t="s">
        <v>1194</v>
      </c>
      <c r="C451" s="977">
        <v>1617000522</v>
      </c>
      <c r="D451" s="976" t="s">
        <v>327</v>
      </c>
      <c r="E451" s="976">
        <v>10</v>
      </c>
      <c r="F451" s="976">
        <v>10</v>
      </c>
      <c r="G451" s="976">
        <v>7.5</v>
      </c>
      <c r="H451" s="976">
        <v>5.5710699999999997</v>
      </c>
      <c r="I451" s="976"/>
      <c r="J451" s="1032">
        <v>-1</v>
      </c>
      <c r="K451" s="976">
        <v>4.5710699999999997</v>
      </c>
      <c r="L451" s="978">
        <v>-2.9289300000000003</v>
      </c>
      <c r="M451" s="976" t="s">
        <v>3630</v>
      </c>
      <c r="N451" s="976">
        <v>6.09476</v>
      </c>
      <c r="O451" s="735">
        <f t="shared" si="20"/>
        <v>-3.90524</v>
      </c>
      <c r="P451" s="738">
        <f t="shared" si="18"/>
        <v>6094.76</v>
      </c>
      <c r="Q451" s="751">
        <f t="shared" si="19"/>
        <v>6000</v>
      </c>
      <c r="V451" s="988"/>
      <c r="W451" s="1024"/>
    </row>
    <row r="452" spans="1:81" ht="14.25" customHeight="1">
      <c r="A452" s="976" t="s">
        <v>3908</v>
      </c>
      <c r="B452" s="976" t="s">
        <v>1194</v>
      </c>
      <c r="C452" s="977">
        <v>1617000530</v>
      </c>
      <c r="D452" s="976" t="s">
        <v>277</v>
      </c>
      <c r="E452" s="976">
        <v>65</v>
      </c>
      <c r="F452" s="976">
        <v>65</v>
      </c>
      <c r="G452" s="976">
        <v>48.75</v>
      </c>
      <c r="H452" s="976">
        <v>49.103830000000002</v>
      </c>
      <c r="I452" s="976"/>
      <c r="J452" s="976"/>
      <c r="K452" s="976">
        <v>49.103830000000002</v>
      </c>
      <c r="L452" s="978">
        <v>0.35383000000000209</v>
      </c>
      <c r="M452" s="976"/>
      <c r="N452" s="976">
        <v>65.471773333333331</v>
      </c>
      <c r="O452" s="735">
        <f t="shared" si="20"/>
        <v>0.47177333333333138</v>
      </c>
      <c r="P452" s="738">
        <f t="shared" si="18"/>
        <v>65471.773333333331</v>
      </c>
      <c r="Q452" s="751">
        <f t="shared" si="19"/>
        <v>65000</v>
      </c>
      <c r="U452" s="747"/>
      <c r="V452" s="988"/>
      <c r="W452" s="1024"/>
      <c r="AY452" s="845"/>
      <c r="AZ452" s="845"/>
      <c r="BA452" s="845"/>
      <c r="BB452" s="845"/>
      <c r="BC452" s="845"/>
      <c r="BD452" s="845"/>
      <c r="BE452" s="845"/>
      <c r="BF452" s="845"/>
      <c r="BG452" s="845"/>
      <c r="BH452" s="845"/>
      <c r="BI452" s="845"/>
      <c r="BJ452" s="845"/>
      <c r="BK452" s="845"/>
      <c r="BL452" s="845"/>
      <c r="BM452" s="845"/>
      <c r="BN452" s="845"/>
      <c r="BO452" s="845"/>
      <c r="BP452" s="845"/>
      <c r="BQ452" s="845"/>
      <c r="BR452" s="845"/>
      <c r="BS452" s="845"/>
      <c r="BT452" s="845"/>
      <c r="BU452" s="845"/>
      <c r="BV452" s="845"/>
      <c r="BW452" s="845"/>
      <c r="BX452" s="845"/>
      <c r="BY452" s="845"/>
      <c r="BZ452" s="845"/>
      <c r="CA452" s="845"/>
      <c r="CB452" s="845"/>
      <c r="CC452" s="845"/>
    </row>
    <row r="453" spans="1:81" ht="14.25" customHeight="1">
      <c r="A453" s="976" t="s">
        <v>3905</v>
      </c>
      <c r="B453" s="976" t="s">
        <v>1194</v>
      </c>
      <c r="C453" s="977">
        <v>1617000540</v>
      </c>
      <c r="D453" s="976" t="s">
        <v>279</v>
      </c>
      <c r="E453" s="976">
        <v>2</v>
      </c>
      <c r="F453" s="976">
        <v>2</v>
      </c>
      <c r="G453" s="976">
        <v>1.5</v>
      </c>
      <c r="H453" s="976">
        <v>1.1286099999999999</v>
      </c>
      <c r="I453" s="976"/>
      <c r="J453" s="976"/>
      <c r="K453" s="976">
        <v>1.1286099999999999</v>
      </c>
      <c r="L453" s="978">
        <v>-0.37139000000000011</v>
      </c>
      <c r="M453" s="976"/>
      <c r="N453" s="976">
        <v>1.5048133333333331</v>
      </c>
      <c r="O453" s="735">
        <f t="shared" si="20"/>
        <v>-0.49518666666666689</v>
      </c>
      <c r="P453" s="738">
        <f t="shared" si="18"/>
        <v>1504.813333333333</v>
      </c>
      <c r="Q453" s="751">
        <f t="shared" si="19"/>
        <v>2000</v>
      </c>
      <c r="U453" s="747"/>
      <c r="V453" s="988"/>
      <c r="W453" s="1024"/>
    </row>
    <row r="454" spans="1:81" ht="14.25" customHeight="1">
      <c r="A454" s="976" t="s">
        <v>3925</v>
      </c>
      <c r="B454" s="976" t="s">
        <v>1194</v>
      </c>
      <c r="C454" s="977">
        <v>1617000581</v>
      </c>
      <c r="D454" s="976" t="s">
        <v>335</v>
      </c>
      <c r="E454" s="976">
        <v>450</v>
      </c>
      <c r="F454" s="976">
        <v>450</v>
      </c>
      <c r="G454" s="976">
        <v>337.5</v>
      </c>
      <c r="H454" s="976">
        <v>23.05386</v>
      </c>
      <c r="I454" s="976"/>
      <c r="J454" s="1041">
        <v>54</v>
      </c>
      <c r="K454" s="976">
        <v>77.05386</v>
      </c>
      <c r="L454" s="978">
        <v>-260.44614000000001</v>
      </c>
      <c r="M454" s="976" t="s">
        <v>3630</v>
      </c>
      <c r="N454" s="976">
        <v>102.73848000000001</v>
      </c>
      <c r="O454" s="735">
        <f t="shared" si="20"/>
        <v>-347.26152000000002</v>
      </c>
      <c r="P454" s="738">
        <f t="shared" si="18"/>
        <v>102738.48000000001</v>
      </c>
      <c r="Q454" s="751">
        <f t="shared" si="19"/>
        <v>103000</v>
      </c>
      <c r="U454" s="747"/>
      <c r="V454" s="988"/>
      <c r="W454" s="1024"/>
    </row>
    <row r="455" spans="1:81" ht="14.25" customHeight="1">
      <c r="A455" s="976" t="s">
        <v>3913</v>
      </c>
      <c r="B455" s="976" t="s">
        <v>1194</v>
      </c>
      <c r="C455" s="977">
        <v>1617000750</v>
      </c>
      <c r="D455" s="976" t="s">
        <v>337</v>
      </c>
      <c r="E455" s="976">
        <v>1200</v>
      </c>
      <c r="F455" s="976">
        <v>1200</v>
      </c>
      <c r="G455" s="976">
        <v>900</v>
      </c>
      <c r="H455" s="976">
        <v>491.58767</v>
      </c>
      <c r="I455" s="976"/>
      <c r="J455" s="1041">
        <v>250</v>
      </c>
      <c r="K455" s="976">
        <v>741.58767</v>
      </c>
      <c r="L455" s="978">
        <v>-158.41233</v>
      </c>
      <c r="M455" s="976" t="s">
        <v>3630</v>
      </c>
      <c r="N455" s="976">
        <v>988.78356000000008</v>
      </c>
      <c r="O455" s="735">
        <f t="shared" si="20"/>
        <v>-211.21643999999992</v>
      </c>
      <c r="P455" s="738">
        <f t="shared" si="18"/>
        <v>988783.56</v>
      </c>
      <c r="Q455" s="751">
        <f t="shared" si="19"/>
        <v>989000</v>
      </c>
      <c r="U455" s="747"/>
      <c r="V455" s="988"/>
      <c r="W455" s="1024"/>
    </row>
    <row r="456" spans="1:81" s="747" customFormat="1" ht="14.25" customHeight="1">
      <c r="A456" s="976" t="s">
        <v>3909</v>
      </c>
      <c r="B456" s="976" t="s">
        <v>1194</v>
      </c>
      <c r="C456" s="977">
        <v>1617000780</v>
      </c>
      <c r="D456" s="976" t="s">
        <v>280</v>
      </c>
      <c r="E456" s="976">
        <v>65</v>
      </c>
      <c r="F456" s="976">
        <v>65</v>
      </c>
      <c r="G456" s="976">
        <v>48.75</v>
      </c>
      <c r="H456" s="976">
        <v>31.148330000000001</v>
      </c>
      <c r="I456" s="976"/>
      <c r="J456" s="1041">
        <v>8</v>
      </c>
      <c r="K456" s="976">
        <v>39.148330000000001</v>
      </c>
      <c r="L456" s="978">
        <v>-9.6016699999999986</v>
      </c>
      <c r="M456" s="976" t="s">
        <v>3630</v>
      </c>
      <c r="N456" s="976">
        <v>52.197773333333338</v>
      </c>
      <c r="O456" s="735">
        <f t="shared" si="20"/>
        <v>-12.802226666666662</v>
      </c>
      <c r="P456" s="738">
        <f t="shared" ref="P456:P519" si="21">N456*1000</f>
        <v>52197.773333333338</v>
      </c>
      <c r="Q456" s="751">
        <f t="shared" ref="Q456:Q519" si="22">ROUND(P456,-3)</f>
        <v>52000</v>
      </c>
      <c r="V456" s="988"/>
      <c r="W456" s="1024"/>
    </row>
    <row r="457" spans="1:81" ht="14.25" customHeight="1">
      <c r="A457" s="976" t="s">
        <v>3908</v>
      </c>
      <c r="B457" s="976" t="s">
        <v>1194</v>
      </c>
      <c r="C457" s="977">
        <v>1618000530</v>
      </c>
      <c r="D457" s="976" t="s">
        <v>277</v>
      </c>
      <c r="E457" s="976">
        <v>37</v>
      </c>
      <c r="F457" s="976">
        <v>37</v>
      </c>
      <c r="G457" s="976">
        <v>27.75</v>
      </c>
      <c r="H457" s="976">
        <v>25.271249999999998</v>
      </c>
      <c r="I457" s="976"/>
      <c r="J457" s="976"/>
      <c r="K457" s="976">
        <v>25.271249999999998</v>
      </c>
      <c r="L457" s="978">
        <v>-2.4787500000000016</v>
      </c>
      <c r="M457" s="976" t="s">
        <v>3630</v>
      </c>
      <c r="N457" s="976">
        <v>33.695</v>
      </c>
      <c r="O457" s="735">
        <f t="shared" ref="O457:O520" si="23">N457-E457</f>
        <v>-3.3049999999999997</v>
      </c>
      <c r="P457" s="738">
        <f t="shared" si="21"/>
        <v>33695</v>
      </c>
      <c r="Q457" s="751">
        <f t="shared" si="22"/>
        <v>34000</v>
      </c>
      <c r="U457" s="747"/>
      <c r="V457" s="988"/>
      <c r="W457" s="1024"/>
      <c r="AY457" s="845"/>
      <c r="AZ457" s="845"/>
      <c r="BA457" s="845"/>
      <c r="BB457" s="845"/>
      <c r="BC457" s="845"/>
      <c r="BD457" s="845"/>
      <c r="BE457" s="845"/>
      <c r="BF457" s="845"/>
      <c r="BG457" s="845"/>
      <c r="BH457" s="845"/>
      <c r="BI457" s="845"/>
      <c r="BJ457" s="845"/>
      <c r="BK457" s="845"/>
      <c r="BL457" s="845"/>
      <c r="BM457" s="845"/>
      <c r="BN457" s="845"/>
      <c r="BO457" s="845"/>
      <c r="BP457" s="845"/>
      <c r="BQ457" s="845"/>
      <c r="BR457" s="845"/>
      <c r="BS457" s="845"/>
      <c r="BT457" s="845"/>
      <c r="BU457" s="845"/>
      <c r="BV457" s="845"/>
      <c r="BW457" s="845"/>
      <c r="BX457" s="845"/>
      <c r="BY457" s="845"/>
      <c r="BZ457" s="845"/>
      <c r="CA457" s="845"/>
      <c r="CB457" s="845"/>
      <c r="CC457" s="845"/>
    </row>
    <row r="458" spans="1:81">
      <c r="A458" s="976" t="s">
        <v>3905</v>
      </c>
      <c r="B458" s="976" t="s">
        <v>1194</v>
      </c>
      <c r="C458" s="977">
        <v>1618000540</v>
      </c>
      <c r="D458" s="976" t="s">
        <v>279</v>
      </c>
      <c r="E458" s="976">
        <v>2</v>
      </c>
      <c r="F458" s="976">
        <v>2</v>
      </c>
      <c r="G458" s="976">
        <v>1.5</v>
      </c>
      <c r="H458" s="976">
        <v>2.3102900000000002</v>
      </c>
      <c r="I458" s="976"/>
      <c r="J458" s="976"/>
      <c r="K458" s="976">
        <v>2.3102900000000002</v>
      </c>
      <c r="L458" s="978">
        <v>0.81029000000000018</v>
      </c>
      <c r="M458" s="976"/>
      <c r="N458" s="976">
        <v>3.0803866666666671</v>
      </c>
      <c r="O458" s="888">
        <f t="shared" si="23"/>
        <v>1.0803866666666671</v>
      </c>
      <c r="P458" s="738">
        <f t="shared" si="21"/>
        <v>3080.3866666666672</v>
      </c>
      <c r="Q458" s="751">
        <f t="shared" si="22"/>
        <v>3000</v>
      </c>
      <c r="R458" s="889"/>
      <c r="S458" s="889"/>
      <c r="T458" s="889"/>
      <c r="U458" s="747"/>
      <c r="V458" s="988"/>
      <c r="W458" s="1024"/>
    </row>
    <row r="459" spans="1:81" s="887" customFormat="1">
      <c r="A459" s="976" t="s">
        <v>3926</v>
      </c>
      <c r="B459" s="1016" t="s">
        <v>1194</v>
      </c>
      <c r="C459" s="977">
        <v>1618000570</v>
      </c>
      <c r="D459" s="976" t="s">
        <v>341</v>
      </c>
      <c r="E459" s="976">
        <v>4000</v>
      </c>
      <c r="F459" s="976">
        <v>4000</v>
      </c>
      <c r="G459" s="976">
        <v>3000</v>
      </c>
      <c r="H459" s="976">
        <v>3109.6645199999998</v>
      </c>
      <c r="I459" s="976"/>
      <c r="J459" s="1041">
        <v>73</v>
      </c>
      <c r="K459" s="976">
        <v>3182.6645199999998</v>
      </c>
      <c r="L459" s="978">
        <v>182.66451999999981</v>
      </c>
      <c r="M459" s="976" t="s">
        <v>3630</v>
      </c>
      <c r="N459" s="976">
        <v>4243.5526933333331</v>
      </c>
      <c r="O459" s="735">
        <f t="shared" si="23"/>
        <v>243.55269333333308</v>
      </c>
      <c r="P459" s="738">
        <f t="shared" si="21"/>
        <v>4243552.6933333334</v>
      </c>
      <c r="Q459" s="751">
        <f t="shared" si="22"/>
        <v>4244000</v>
      </c>
      <c r="R459" s="886"/>
      <c r="S459" s="886"/>
      <c r="T459" s="886"/>
      <c r="U459" s="886"/>
      <c r="V459" s="988"/>
      <c r="W459" s="1024"/>
      <c r="X459" s="886"/>
      <c r="Y459" s="886"/>
      <c r="Z459" s="886"/>
      <c r="AA459" s="886"/>
      <c r="AB459" s="886"/>
      <c r="AC459" s="886"/>
      <c r="AD459" s="886"/>
      <c r="AE459" s="886"/>
      <c r="AF459" s="886"/>
      <c r="AG459" s="886"/>
      <c r="AH459" s="886"/>
      <c r="AI459" s="886"/>
      <c r="AJ459" s="886"/>
      <c r="AK459" s="886"/>
      <c r="AL459" s="886"/>
      <c r="AM459" s="886"/>
      <c r="AN459" s="886"/>
      <c r="AO459" s="886"/>
      <c r="AP459" s="886"/>
      <c r="AQ459" s="886"/>
      <c r="AR459" s="886"/>
      <c r="AS459" s="886"/>
      <c r="AT459" s="886"/>
      <c r="AU459" s="886"/>
      <c r="AV459" s="886"/>
      <c r="AW459" s="886"/>
      <c r="AX459" s="886"/>
      <c r="AY459" s="886"/>
      <c r="AZ459" s="886"/>
      <c r="BA459" s="886"/>
      <c r="BB459" s="886"/>
      <c r="BC459" s="886"/>
      <c r="BD459" s="886"/>
      <c r="BE459" s="886"/>
      <c r="BF459" s="886"/>
      <c r="BG459" s="886"/>
      <c r="BH459" s="886"/>
      <c r="BI459" s="886"/>
      <c r="BJ459" s="886"/>
      <c r="BK459" s="886"/>
      <c r="BL459" s="886"/>
      <c r="BM459" s="886"/>
      <c r="BN459" s="886"/>
      <c r="BO459" s="886"/>
      <c r="BP459" s="886"/>
      <c r="BQ459" s="886"/>
      <c r="BR459" s="886"/>
      <c r="BS459" s="886"/>
      <c r="BT459" s="886"/>
      <c r="BU459" s="886"/>
      <c r="BV459" s="886"/>
      <c r="BW459" s="886"/>
      <c r="BX459" s="886"/>
      <c r="BY459" s="886"/>
      <c r="BZ459" s="886"/>
      <c r="CA459" s="886"/>
      <c r="CB459" s="886"/>
      <c r="CC459" s="886"/>
    </row>
    <row r="460" spans="1:81" ht="14.25" customHeight="1">
      <c r="A460" s="976" t="s">
        <v>3913</v>
      </c>
      <c r="B460" s="976" t="s">
        <v>1194</v>
      </c>
      <c r="C460" s="977">
        <v>1618000750</v>
      </c>
      <c r="D460" s="976" t="s">
        <v>288</v>
      </c>
      <c r="E460" s="976">
        <v>500</v>
      </c>
      <c r="F460" s="976">
        <v>500</v>
      </c>
      <c r="G460" s="976">
        <v>375</v>
      </c>
      <c r="H460" s="976">
        <v>139.85221999999999</v>
      </c>
      <c r="I460" s="976"/>
      <c r="J460" s="1041">
        <v>125</v>
      </c>
      <c r="K460" s="976">
        <v>264.85221999999999</v>
      </c>
      <c r="L460" s="978">
        <v>-110.14778000000001</v>
      </c>
      <c r="M460" s="976" t="s">
        <v>3630</v>
      </c>
      <c r="N460" s="976">
        <v>353.1362933333333</v>
      </c>
      <c r="O460" s="735">
        <f t="shared" si="23"/>
        <v>-146.8637066666667</v>
      </c>
      <c r="P460" s="738">
        <f t="shared" si="21"/>
        <v>353136.29333333328</v>
      </c>
      <c r="Q460" s="751">
        <f t="shared" si="22"/>
        <v>353000</v>
      </c>
      <c r="U460" s="747"/>
      <c r="V460" s="988"/>
      <c r="W460" s="1024"/>
    </row>
    <row r="461" spans="1:81" ht="14.25" customHeight="1">
      <c r="A461" s="976" t="s">
        <v>3909</v>
      </c>
      <c r="B461" s="976" t="s">
        <v>1194</v>
      </c>
      <c r="C461" s="977">
        <v>1618000780</v>
      </c>
      <c r="D461" s="976" t="s">
        <v>280</v>
      </c>
      <c r="E461" s="976">
        <v>200</v>
      </c>
      <c r="F461" s="976">
        <v>200</v>
      </c>
      <c r="G461" s="976">
        <v>150</v>
      </c>
      <c r="H461" s="976">
        <v>180.28326999999999</v>
      </c>
      <c r="I461" s="976"/>
      <c r="J461" s="1032">
        <v>-30</v>
      </c>
      <c r="K461" s="976">
        <v>150.28326999999999</v>
      </c>
      <c r="L461" s="978">
        <v>0.28326999999998748</v>
      </c>
      <c r="M461" s="976" t="s">
        <v>3630</v>
      </c>
      <c r="N461" s="976">
        <v>200.3776933333333</v>
      </c>
      <c r="O461" s="735">
        <f t="shared" si="23"/>
        <v>0.37769333333329769</v>
      </c>
      <c r="P461" s="738">
        <f t="shared" si="21"/>
        <v>200377.6933333333</v>
      </c>
      <c r="Q461" s="751">
        <f t="shared" si="22"/>
        <v>200000</v>
      </c>
      <c r="U461" s="747"/>
      <c r="V461" s="988"/>
      <c r="W461" s="1024"/>
      <c r="AY461" s="845"/>
      <c r="AZ461" s="845"/>
      <c r="BA461" s="845"/>
      <c r="BB461" s="845"/>
      <c r="BC461" s="845"/>
      <c r="BD461" s="845"/>
      <c r="BE461" s="845"/>
      <c r="BF461" s="845"/>
      <c r="BG461" s="845"/>
      <c r="BH461" s="845"/>
      <c r="BI461" s="845"/>
      <c r="BJ461" s="845"/>
      <c r="BK461" s="845"/>
      <c r="BL461" s="845"/>
      <c r="BM461" s="845"/>
      <c r="BN461" s="845"/>
      <c r="BO461" s="845"/>
      <c r="BP461" s="845"/>
      <c r="BQ461" s="845"/>
      <c r="BR461" s="845"/>
      <c r="BS461" s="845"/>
      <c r="BT461" s="845"/>
      <c r="BU461" s="845"/>
      <c r="BV461" s="845"/>
      <c r="BW461" s="845"/>
      <c r="BX461" s="845"/>
      <c r="BY461" s="845"/>
      <c r="BZ461" s="845"/>
      <c r="CA461" s="845"/>
      <c r="CB461" s="845"/>
      <c r="CC461" s="845"/>
    </row>
    <row r="462" spans="1:81" s="747" customFormat="1" ht="14.25" customHeight="1">
      <c r="A462" s="976" t="s">
        <v>3909</v>
      </c>
      <c r="B462" s="976" t="s">
        <v>1194</v>
      </c>
      <c r="C462" s="977">
        <v>1619000780</v>
      </c>
      <c r="D462" s="976" t="s">
        <v>379</v>
      </c>
      <c r="E462" s="976">
        <v>0</v>
      </c>
      <c r="F462" s="976">
        <v>0</v>
      </c>
      <c r="G462" s="976">
        <v>0</v>
      </c>
      <c r="H462" s="976">
        <v>0</v>
      </c>
      <c r="I462" s="976"/>
      <c r="J462" s="976"/>
      <c r="K462" s="976">
        <v>0</v>
      </c>
      <c r="L462" s="978">
        <v>0</v>
      </c>
      <c r="M462" s="976"/>
      <c r="N462" s="976">
        <v>0</v>
      </c>
      <c r="O462" s="735">
        <f t="shared" si="23"/>
        <v>0</v>
      </c>
      <c r="P462" s="738">
        <f t="shared" si="21"/>
        <v>0</v>
      </c>
      <c r="Q462" s="751">
        <f t="shared" si="22"/>
        <v>0</v>
      </c>
      <c r="V462" s="988"/>
      <c r="W462" s="1024"/>
    </row>
    <row r="463" spans="1:81" ht="14.25" customHeight="1">
      <c r="A463" s="976" t="s">
        <v>3908</v>
      </c>
      <c r="B463" s="976" t="s">
        <v>1196</v>
      </c>
      <c r="C463" s="977">
        <v>1621000530</v>
      </c>
      <c r="D463" s="976" t="s">
        <v>277</v>
      </c>
      <c r="E463" s="976">
        <v>70</v>
      </c>
      <c r="F463" s="976">
        <v>70</v>
      </c>
      <c r="G463" s="976">
        <v>52.5</v>
      </c>
      <c r="H463" s="976">
        <v>48.113250000000001</v>
      </c>
      <c r="I463" s="976"/>
      <c r="J463" s="1041">
        <v>5</v>
      </c>
      <c r="K463" s="976">
        <v>53.113250000000001</v>
      </c>
      <c r="L463" s="978">
        <v>0.61325000000000074</v>
      </c>
      <c r="M463" s="976" t="s">
        <v>3630</v>
      </c>
      <c r="N463" s="976">
        <v>70.817666666666668</v>
      </c>
      <c r="O463" s="735">
        <f t="shared" si="23"/>
        <v>0.81766666666666765</v>
      </c>
      <c r="P463" s="738">
        <f t="shared" si="21"/>
        <v>70817.666666666672</v>
      </c>
      <c r="Q463" s="751">
        <f t="shared" si="22"/>
        <v>71000</v>
      </c>
      <c r="U463" s="747"/>
      <c r="V463" s="988"/>
      <c r="W463" s="1024"/>
    </row>
    <row r="464" spans="1:81" ht="14.25" customHeight="1">
      <c r="A464" s="976" t="s">
        <v>3905</v>
      </c>
      <c r="B464" s="976" t="s">
        <v>1196</v>
      </c>
      <c r="C464" s="977">
        <v>1621000540</v>
      </c>
      <c r="D464" s="976" t="s">
        <v>279</v>
      </c>
      <c r="E464" s="976">
        <v>15</v>
      </c>
      <c r="F464" s="976">
        <v>15</v>
      </c>
      <c r="G464" s="976">
        <v>11.25</v>
      </c>
      <c r="H464" s="976">
        <v>5.24376</v>
      </c>
      <c r="I464" s="976"/>
      <c r="J464" s="1041">
        <v>3</v>
      </c>
      <c r="K464" s="976">
        <v>8.24376</v>
      </c>
      <c r="L464" s="978">
        <v>-3.00624</v>
      </c>
      <c r="M464" s="976" t="s">
        <v>3630</v>
      </c>
      <c r="N464" s="976">
        <v>10.991679999999999</v>
      </c>
      <c r="O464" s="735">
        <f t="shared" si="23"/>
        <v>-4.0083200000000012</v>
      </c>
      <c r="P464" s="738">
        <f t="shared" si="21"/>
        <v>10991.679999999998</v>
      </c>
      <c r="Q464" s="751">
        <f t="shared" si="22"/>
        <v>11000</v>
      </c>
      <c r="U464" s="747"/>
      <c r="V464" s="988"/>
      <c r="W464" s="1024"/>
      <c r="AY464" s="845"/>
      <c r="AZ464" s="845"/>
      <c r="BA464" s="845"/>
      <c r="BB464" s="845"/>
      <c r="BC464" s="845"/>
      <c r="BD464" s="845"/>
      <c r="BE464" s="845"/>
      <c r="BF464" s="845"/>
      <c r="BG464" s="845"/>
      <c r="BH464" s="845"/>
      <c r="BI464" s="845"/>
      <c r="BJ464" s="845"/>
      <c r="BK464" s="845"/>
      <c r="BL464" s="845"/>
      <c r="BM464" s="845"/>
      <c r="BN464" s="845"/>
      <c r="BO464" s="845"/>
      <c r="BP464" s="845"/>
      <c r="BQ464" s="845"/>
      <c r="BR464" s="845"/>
      <c r="BS464" s="845"/>
      <c r="BT464" s="845"/>
      <c r="BU464" s="845"/>
      <c r="BV464" s="845"/>
      <c r="BW464" s="845"/>
      <c r="BX464" s="845"/>
      <c r="BY464" s="845"/>
      <c r="BZ464" s="845"/>
      <c r="CA464" s="845"/>
      <c r="CB464" s="845"/>
      <c r="CC464" s="845"/>
    </row>
    <row r="465" spans="1:81" ht="14.25" customHeight="1">
      <c r="A465" s="976" t="s">
        <v>3922</v>
      </c>
      <c r="B465" s="976" t="s">
        <v>1196</v>
      </c>
      <c r="C465" s="977">
        <v>1621000550</v>
      </c>
      <c r="D465" s="976" t="s">
        <v>318</v>
      </c>
      <c r="E465" s="976">
        <v>0</v>
      </c>
      <c r="F465" s="976">
        <v>0</v>
      </c>
      <c r="G465" s="976">
        <v>0</v>
      </c>
      <c r="H465" s="976">
        <v>0</v>
      </c>
      <c r="I465" s="976"/>
      <c r="J465" s="976"/>
      <c r="K465" s="976">
        <v>0</v>
      </c>
      <c r="L465" s="978">
        <v>0</v>
      </c>
      <c r="M465" s="976"/>
      <c r="N465" s="976">
        <v>0</v>
      </c>
      <c r="O465" s="735">
        <f t="shared" si="23"/>
        <v>0</v>
      </c>
      <c r="P465" s="738">
        <f t="shared" si="21"/>
        <v>0</v>
      </c>
      <c r="Q465" s="751">
        <f t="shared" si="22"/>
        <v>0</v>
      </c>
      <c r="U465" s="747"/>
      <c r="V465" s="988"/>
      <c r="W465" s="1024"/>
      <c r="AY465" s="845"/>
      <c r="AZ465" s="845"/>
      <c r="BA465" s="845"/>
      <c r="BB465" s="845"/>
      <c r="BC465" s="845"/>
      <c r="BD465" s="845"/>
      <c r="BE465" s="845"/>
      <c r="BF465" s="845"/>
      <c r="BG465" s="845"/>
      <c r="BH465" s="845"/>
      <c r="BI465" s="845"/>
      <c r="BJ465" s="845"/>
      <c r="BK465" s="845"/>
      <c r="BL465" s="845"/>
      <c r="BM465" s="845"/>
      <c r="BN465" s="845"/>
      <c r="BO465" s="845"/>
      <c r="BP465" s="845"/>
      <c r="BQ465" s="845"/>
      <c r="BR465" s="845"/>
      <c r="BS465" s="845"/>
      <c r="BT465" s="845"/>
      <c r="BU465" s="845"/>
      <c r="BV465" s="845"/>
      <c r="BW465" s="845"/>
      <c r="BX465" s="845"/>
      <c r="BY465" s="845"/>
      <c r="BZ465" s="845"/>
      <c r="CA465" s="845"/>
      <c r="CB465" s="845"/>
      <c r="CC465" s="845"/>
    </row>
    <row r="466" spans="1:81" ht="14.25" customHeight="1">
      <c r="A466" s="976" t="s">
        <v>3913</v>
      </c>
      <c r="B466" s="976" t="s">
        <v>1196</v>
      </c>
      <c r="C466" s="977">
        <v>1621000750</v>
      </c>
      <c r="D466" s="976" t="s">
        <v>288</v>
      </c>
      <c r="E466" s="976">
        <v>75</v>
      </c>
      <c r="F466" s="976">
        <v>75</v>
      </c>
      <c r="G466" s="976">
        <v>56.25</v>
      </c>
      <c r="H466" s="976">
        <v>44.514000000000003</v>
      </c>
      <c r="I466" s="976"/>
      <c r="J466" s="1041">
        <v>12</v>
      </c>
      <c r="K466" s="976">
        <v>56.514000000000003</v>
      </c>
      <c r="L466" s="978">
        <v>0.2640000000000029</v>
      </c>
      <c r="M466" s="976" t="s">
        <v>3630</v>
      </c>
      <c r="N466" s="976">
        <v>75.352000000000004</v>
      </c>
      <c r="O466" s="735">
        <f t="shared" si="23"/>
        <v>0.35200000000000387</v>
      </c>
      <c r="P466" s="738">
        <f t="shared" si="21"/>
        <v>75352</v>
      </c>
      <c r="Q466" s="751">
        <f t="shared" si="22"/>
        <v>75000</v>
      </c>
      <c r="U466" s="747"/>
      <c r="V466" s="988"/>
      <c r="W466" s="1024"/>
      <c r="AY466" s="845"/>
      <c r="AZ466" s="845"/>
      <c r="BA466" s="845"/>
      <c r="BB466" s="845"/>
      <c r="BC466" s="845"/>
      <c r="BD466" s="845"/>
      <c r="BE466" s="845"/>
      <c r="BF466" s="845"/>
      <c r="BG466" s="845"/>
      <c r="BH466" s="845"/>
      <c r="BI466" s="845"/>
      <c r="BJ466" s="845"/>
      <c r="BK466" s="845"/>
      <c r="BL466" s="845"/>
      <c r="BM466" s="845"/>
      <c r="BN466" s="845"/>
      <c r="BO466" s="845"/>
      <c r="BP466" s="845"/>
      <c r="BQ466" s="845"/>
      <c r="BR466" s="845"/>
      <c r="BS466" s="845"/>
      <c r="BT466" s="845"/>
      <c r="BU466" s="845"/>
      <c r="BV466" s="845"/>
      <c r="BW466" s="845"/>
      <c r="BX466" s="845"/>
      <c r="BY466" s="845"/>
      <c r="BZ466" s="845"/>
      <c r="CA466" s="845"/>
      <c r="CB466" s="845"/>
      <c r="CC466" s="845"/>
    </row>
    <row r="467" spans="1:81" ht="14.25" customHeight="1">
      <c r="A467" s="976" t="s">
        <v>3909</v>
      </c>
      <c r="B467" s="976" t="s">
        <v>1196</v>
      </c>
      <c r="C467" s="977">
        <v>1621000780</v>
      </c>
      <c r="D467" s="976" t="s">
        <v>280</v>
      </c>
      <c r="E467" s="976">
        <v>50</v>
      </c>
      <c r="F467" s="976">
        <v>50</v>
      </c>
      <c r="G467" s="976">
        <v>37.5</v>
      </c>
      <c r="H467" s="976">
        <v>39.863390000000003</v>
      </c>
      <c r="I467" s="976"/>
      <c r="J467" s="976"/>
      <c r="K467" s="976">
        <v>39.863390000000003</v>
      </c>
      <c r="L467" s="978">
        <v>2.3633900000000025</v>
      </c>
      <c r="M467" s="976" t="s">
        <v>3630</v>
      </c>
      <c r="N467" s="976">
        <v>53.151186666666668</v>
      </c>
      <c r="O467" s="735">
        <f t="shared" si="23"/>
        <v>3.1511866666666677</v>
      </c>
      <c r="P467" s="738">
        <f t="shared" si="21"/>
        <v>53151.186666666668</v>
      </c>
      <c r="Q467" s="751">
        <f t="shared" si="22"/>
        <v>53000</v>
      </c>
      <c r="U467" s="747"/>
      <c r="V467" s="988"/>
      <c r="W467" s="1024"/>
      <c r="AY467" s="845"/>
      <c r="AZ467" s="845"/>
      <c r="BA467" s="845"/>
      <c r="BB467" s="845"/>
      <c r="BC467" s="845"/>
      <c r="BD467" s="845"/>
      <c r="BE467" s="845"/>
      <c r="BF467" s="845"/>
      <c r="BG467" s="845"/>
      <c r="BH467" s="845"/>
      <c r="BI467" s="845"/>
      <c r="BJ467" s="845"/>
      <c r="BK467" s="845"/>
      <c r="BL467" s="845"/>
      <c r="BM467" s="845"/>
      <c r="BN467" s="845"/>
      <c r="BO467" s="845"/>
      <c r="BP467" s="845"/>
      <c r="BQ467" s="845"/>
      <c r="BR467" s="845"/>
      <c r="BS467" s="845"/>
      <c r="BT467" s="845"/>
      <c r="BU467" s="845"/>
      <c r="BV467" s="845"/>
      <c r="BW467" s="845"/>
      <c r="BX467" s="845"/>
      <c r="BY467" s="845"/>
      <c r="BZ467" s="845"/>
      <c r="CA467" s="845"/>
      <c r="CB467" s="845"/>
      <c r="CC467" s="845"/>
    </row>
    <row r="468" spans="1:81" ht="14.25" customHeight="1">
      <c r="A468" s="976" t="s">
        <v>3905</v>
      </c>
      <c r="B468" s="976" t="s">
        <v>1196</v>
      </c>
      <c r="C468" s="977">
        <v>1621300540</v>
      </c>
      <c r="D468" s="976" t="s">
        <v>279</v>
      </c>
      <c r="E468" s="976">
        <v>2</v>
      </c>
      <c r="F468" s="976">
        <v>2</v>
      </c>
      <c r="G468" s="976">
        <v>1.5</v>
      </c>
      <c r="H468" s="976">
        <v>0.94411999999999996</v>
      </c>
      <c r="I468" s="976"/>
      <c r="J468" s="976"/>
      <c r="K468" s="976">
        <v>0.94411999999999996</v>
      </c>
      <c r="L468" s="978">
        <v>-0.55588000000000004</v>
      </c>
      <c r="M468" s="976"/>
      <c r="N468" s="976">
        <v>1.2588266666666668</v>
      </c>
      <c r="O468" s="735">
        <f t="shared" si="23"/>
        <v>-0.74117333333333324</v>
      </c>
      <c r="P468" s="738">
        <f t="shared" si="21"/>
        <v>1258.8266666666668</v>
      </c>
      <c r="Q468" s="751">
        <f t="shared" si="22"/>
        <v>1000</v>
      </c>
      <c r="U468" s="747"/>
      <c r="V468" s="988"/>
      <c r="W468" s="1024"/>
    </row>
    <row r="469" spans="1:81" ht="13.5" customHeight="1">
      <c r="A469" s="976" t="s">
        <v>3913</v>
      </c>
      <c r="B469" s="976" t="s">
        <v>1196</v>
      </c>
      <c r="C469" s="977">
        <v>1621300750</v>
      </c>
      <c r="D469" s="987" t="s">
        <v>288</v>
      </c>
      <c r="E469" s="976">
        <v>230</v>
      </c>
      <c r="F469" s="976">
        <v>230</v>
      </c>
      <c r="G469" s="976">
        <v>172.5</v>
      </c>
      <c r="H469" s="976">
        <v>144.44168999999999</v>
      </c>
      <c r="I469" s="976"/>
      <c r="J469" s="1041">
        <v>10</v>
      </c>
      <c r="K469" s="976">
        <v>154.44168999999999</v>
      </c>
      <c r="L469" s="978">
        <v>-18.058310000000006</v>
      </c>
      <c r="M469" s="976" t="s">
        <v>3630</v>
      </c>
      <c r="N469" s="976">
        <v>205.92225333333332</v>
      </c>
      <c r="O469" s="735">
        <f t="shared" si="23"/>
        <v>-24.077746666666684</v>
      </c>
      <c r="P469" s="738">
        <f t="shared" si="21"/>
        <v>205922.25333333333</v>
      </c>
      <c r="Q469" s="751">
        <f t="shared" si="22"/>
        <v>206000</v>
      </c>
      <c r="U469" s="747"/>
      <c r="V469" s="988"/>
      <c r="W469" s="1024"/>
      <c r="AY469" s="845"/>
      <c r="AZ469" s="845"/>
      <c r="BA469" s="845"/>
      <c r="BB469" s="845"/>
      <c r="BC469" s="845"/>
      <c r="BD469" s="845"/>
      <c r="BE469" s="845"/>
      <c r="BF469" s="845"/>
      <c r="BG469" s="845"/>
      <c r="BH469" s="845"/>
      <c r="BI469" s="845"/>
      <c r="BJ469" s="845"/>
      <c r="BK469" s="845"/>
      <c r="BL469" s="845"/>
      <c r="BM469" s="845"/>
      <c r="BN469" s="845"/>
      <c r="BO469" s="845"/>
      <c r="BP469" s="845"/>
      <c r="BQ469" s="845"/>
      <c r="BR469" s="845"/>
      <c r="BS469" s="845"/>
      <c r="BT469" s="845"/>
      <c r="BU469" s="845"/>
      <c r="BV469" s="845"/>
      <c r="BW469" s="845"/>
      <c r="BX469" s="845"/>
      <c r="BY469" s="845"/>
      <c r="BZ469" s="845"/>
      <c r="CA469" s="845"/>
      <c r="CB469" s="845"/>
      <c r="CC469" s="845"/>
    </row>
    <row r="470" spans="1:81" s="887" customFormat="1" ht="13.5" customHeight="1">
      <c r="A470" s="976" t="s">
        <v>3909</v>
      </c>
      <c r="B470" s="976" t="s">
        <v>1196</v>
      </c>
      <c r="C470" s="977">
        <v>1621300780</v>
      </c>
      <c r="D470" s="976" t="s">
        <v>280</v>
      </c>
      <c r="E470" s="976">
        <v>90</v>
      </c>
      <c r="F470" s="976">
        <v>90</v>
      </c>
      <c r="G470" s="976">
        <v>67.5</v>
      </c>
      <c r="H470" s="976">
        <v>70.854350000000011</v>
      </c>
      <c r="I470" s="976"/>
      <c r="J470" s="1041">
        <v>3</v>
      </c>
      <c r="K470" s="976">
        <v>73.854350000000011</v>
      </c>
      <c r="L470" s="978">
        <v>6.3543500000000108</v>
      </c>
      <c r="M470" s="976" t="s">
        <v>3630</v>
      </c>
      <c r="N470" s="976">
        <v>98.472466666666676</v>
      </c>
      <c r="O470" s="735">
        <f t="shared" si="23"/>
        <v>8.4724666666666764</v>
      </c>
      <c r="P470" s="738">
        <f t="shared" si="21"/>
        <v>98472.466666666674</v>
      </c>
      <c r="Q470" s="751">
        <f t="shared" si="22"/>
        <v>98000</v>
      </c>
      <c r="R470" s="886"/>
      <c r="S470" s="886"/>
      <c r="T470" s="886"/>
      <c r="U470" s="886"/>
      <c r="V470" s="988"/>
      <c r="W470" s="1024"/>
      <c r="X470" s="886"/>
      <c r="Y470" s="886"/>
      <c r="Z470" s="886"/>
      <c r="AA470" s="886"/>
      <c r="AB470" s="886"/>
      <c r="AC470" s="886"/>
      <c r="AD470" s="886"/>
      <c r="AE470" s="886"/>
      <c r="AF470" s="886"/>
      <c r="AG470" s="886"/>
      <c r="AH470" s="886"/>
      <c r="AI470" s="886"/>
      <c r="AJ470" s="886"/>
      <c r="AK470" s="886"/>
      <c r="AL470" s="886"/>
      <c r="AM470" s="886"/>
      <c r="AN470" s="886"/>
      <c r="AO470" s="886"/>
      <c r="AP470" s="886"/>
      <c r="AQ470" s="886"/>
      <c r="AR470" s="886"/>
      <c r="AS470" s="886"/>
      <c r="AT470" s="886"/>
      <c r="AU470" s="886"/>
      <c r="AV470" s="886"/>
      <c r="AW470" s="886"/>
      <c r="AX470" s="886"/>
    </row>
    <row r="471" spans="1:81" ht="14.25" customHeight="1">
      <c r="A471" s="976" t="s">
        <v>3914</v>
      </c>
      <c r="B471" s="976" t="s">
        <v>1196</v>
      </c>
      <c r="C471" s="977">
        <v>1623000751</v>
      </c>
      <c r="D471" s="976" t="s">
        <v>359</v>
      </c>
      <c r="E471" s="976">
        <v>200</v>
      </c>
      <c r="F471" s="976">
        <v>200</v>
      </c>
      <c r="G471" s="976">
        <v>150</v>
      </c>
      <c r="H471" s="976">
        <v>128.31110000000001</v>
      </c>
      <c r="I471" s="976"/>
      <c r="J471" s="1041">
        <v>22</v>
      </c>
      <c r="K471" s="976">
        <v>150.31110000000001</v>
      </c>
      <c r="L471" s="978">
        <v>0.31110000000001037</v>
      </c>
      <c r="M471" s="976" t="s">
        <v>3630</v>
      </c>
      <c r="N471" s="976">
        <v>200.41480000000001</v>
      </c>
      <c r="O471" s="735">
        <f t="shared" si="23"/>
        <v>0.41480000000001382</v>
      </c>
      <c r="P471" s="738">
        <f t="shared" si="21"/>
        <v>200414.80000000002</v>
      </c>
      <c r="Q471" s="751">
        <f t="shared" si="22"/>
        <v>200000</v>
      </c>
      <c r="U471" s="747"/>
      <c r="V471" s="988"/>
      <c r="W471" s="1024"/>
    </row>
    <row r="472" spans="1:81" ht="14.25" customHeight="1">
      <c r="A472" s="976" t="s">
        <v>3908</v>
      </c>
      <c r="B472" s="976" t="s">
        <v>1196</v>
      </c>
      <c r="C472" s="977">
        <v>1623000530</v>
      </c>
      <c r="D472" s="976" t="s">
        <v>277</v>
      </c>
      <c r="E472" s="976">
        <v>95</v>
      </c>
      <c r="F472" s="976">
        <v>95</v>
      </c>
      <c r="G472" s="976">
        <v>71.25</v>
      </c>
      <c r="H472" s="976">
        <v>96.109350000000006</v>
      </c>
      <c r="I472" s="976"/>
      <c r="J472" s="1032">
        <v>-10</v>
      </c>
      <c r="K472" s="976">
        <v>86.109350000000006</v>
      </c>
      <c r="L472" s="978">
        <v>14.859350000000006</v>
      </c>
      <c r="M472" s="976" t="s">
        <v>3630</v>
      </c>
      <c r="N472" s="976">
        <v>114.81246666666668</v>
      </c>
      <c r="O472" s="735">
        <f t="shared" si="23"/>
        <v>19.81246666666668</v>
      </c>
      <c r="P472" s="738">
        <f t="shared" si="21"/>
        <v>114812.46666666667</v>
      </c>
      <c r="Q472" s="751">
        <f t="shared" si="22"/>
        <v>115000</v>
      </c>
      <c r="U472" s="747"/>
      <c r="V472" s="988"/>
      <c r="W472" s="1024"/>
    </row>
    <row r="473" spans="1:81" ht="14.25" customHeight="1">
      <c r="A473" s="976" t="s">
        <v>3905</v>
      </c>
      <c r="B473" s="976" t="s">
        <v>1196</v>
      </c>
      <c r="C473" s="977">
        <v>1623000540</v>
      </c>
      <c r="D473" s="976" t="s">
        <v>279</v>
      </c>
      <c r="E473" s="976">
        <v>330</v>
      </c>
      <c r="F473" s="976">
        <v>330</v>
      </c>
      <c r="G473" s="976">
        <v>247.5</v>
      </c>
      <c r="H473" s="976">
        <v>14.47293</v>
      </c>
      <c r="I473" s="976"/>
      <c r="J473" s="1041">
        <v>180</v>
      </c>
      <c r="K473" s="976">
        <v>194.47292999999999</v>
      </c>
      <c r="L473" s="978">
        <v>-53.027070000000009</v>
      </c>
      <c r="M473" s="976" t="s">
        <v>3630</v>
      </c>
      <c r="N473" s="976">
        <v>259.29723999999999</v>
      </c>
      <c r="O473" s="888">
        <f t="shared" si="23"/>
        <v>-70.702760000000012</v>
      </c>
      <c r="P473" s="738">
        <f t="shared" si="21"/>
        <v>259297.24</v>
      </c>
      <c r="Q473" s="751">
        <f t="shared" si="22"/>
        <v>259000</v>
      </c>
      <c r="R473" s="889"/>
      <c r="S473" s="889"/>
      <c r="T473" s="889"/>
      <c r="U473" s="747"/>
      <c r="V473" s="988"/>
      <c r="W473" s="1024"/>
    </row>
    <row r="474" spans="1:81" ht="14.25" customHeight="1">
      <c r="A474" s="976" t="s">
        <v>3913</v>
      </c>
      <c r="B474" s="1016" t="s">
        <v>1196</v>
      </c>
      <c r="C474" s="977">
        <v>1623000750</v>
      </c>
      <c r="D474" s="976" t="s">
        <v>288</v>
      </c>
      <c r="E474" s="976">
        <v>2500</v>
      </c>
      <c r="F474" s="976">
        <v>2500</v>
      </c>
      <c r="G474" s="976">
        <v>1875</v>
      </c>
      <c r="H474" s="976">
        <v>2622.0047999999997</v>
      </c>
      <c r="I474" s="976"/>
      <c r="J474" s="1041">
        <v>400</v>
      </c>
      <c r="K474" s="976">
        <v>3022.0047999999997</v>
      </c>
      <c r="L474" s="978">
        <v>1147.0047999999997</v>
      </c>
      <c r="M474" s="976" t="s">
        <v>3630</v>
      </c>
      <c r="N474" s="976">
        <v>4029.3397333333332</v>
      </c>
      <c r="O474" s="735">
        <f t="shared" si="23"/>
        <v>1529.3397333333332</v>
      </c>
      <c r="P474" s="738">
        <f t="shared" si="21"/>
        <v>4029339.7333333334</v>
      </c>
      <c r="Q474" s="751">
        <f t="shared" si="22"/>
        <v>4029000</v>
      </c>
      <c r="U474" s="747"/>
      <c r="V474" s="988"/>
      <c r="W474" s="1024"/>
    </row>
    <row r="475" spans="1:81" ht="14.25" customHeight="1">
      <c r="A475" s="976" t="s">
        <v>3909</v>
      </c>
      <c r="B475" s="976" t="s">
        <v>1196</v>
      </c>
      <c r="C475" s="977">
        <v>1623000780</v>
      </c>
      <c r="D475" s="976" t="s">
        <v>280</v>
      </c>
      <c r="E475" s="976">
        <v>60</v>
      </c>
      <c r="F475" s="976">
        <v>60</v>
      </c>
      <c r="G475" s="976">
        <v>45</v>
      </c>
      <c r="H475" s="976">
        <v>32.315799999999996</v>
      </c>
      <c r="I475" s="976"/>
      <c r="J475" s="1041">
        <v>15</v>
      </c>
      <c r="K475" s="976">
        <v>47.315799999999996</v>
      </c>
      <c r="L475" s="978">
        <v>2.3157999999999959</v>
      </c>
      <c r="M475" s="976" t="s">
        <v>3630</v>
      </c>
      <c r="N475" s="976">
        <v>63.087733333333325</v>
      </c>
      <c r="O475" s="735">
        <f t="shared" si="23"/>
        <v>3.0877333333333254</v>
      </c>
      <c r="P475" s="738">
        <f t="shared" si="21"/>
        <v>63087.733333333323</v>
      </c>
      <c r="Q475" s="751">
        <f t="shared" si="22"/>
        <v>63000</v>
      </c>
      <c r="U475" s="747"/>
      <c r="V475" s="988"/>
      <c r="W475" s="1024"/>
      <c r="AY475" s="845"/>
      <c r="AZ475" s="845"/>
      <c r="BA475" s="845"/>
      <c r="BB475" s="845"/>
      <c r="BC475" s="845"/>
      <c r="BD475" s="845"/>
      <c r="BE475" s="845"/>
      <c r="BF475" s="845"/>
      <c r="BG475" s="845"/>
      <c r="BH475" s="845"/>
      <c r="BI475" s="845"/>
      <c r="BJ475" s="845"/>
      <c r="BK475" s="845"/>
      <c r="BL475" s="845"/>
      <c r="BM475" s="845"/>
      <c r="BN475" s="845"/>
      <c r="BO475" s="845"/>
      <c r="BP475" s="845"/>
      <c r="BQ475" s="845"/>
      <c r="BR475" s="845"/>
      <c r="BS475" s="845"/>
      <c r="BT475" s="845"/>
      <c r="BU475" s="845"/>
      <c r="BV475" s="845"/>
      <c r="BW475" s="845"/>
      <c r="BX475" s="845"/>
      <c r="BY475" s="845"/>
      <c r="BZ475" s="845"/>
      <c r="CA475" s="845"/>
      <c r="CB475" s="845"/>
      <c r="CC475" s="845"/>
    </row>
    <row r="476" spans="1:81" ht="14.25" customHeight="1">
      <c r="A476" s="976" t="s">
        <v>3908</v>
      </c>
      <c r="B476" s="976" t="s">
        <v>1213</v>
      </c>
      <c r="C476" s="988">
        <v>1700000530</v>
      </c>
      <c r="D476" s="988" t="s">
        <v>277</v>
      </c>
      <c r="E476" s="976">
        <v>0</v>
      </c>
      <c r="F476" s="976">
        <v>0</v>
      </c>
      <c r="G476" s="976">
        <v>0</v>
      </c>
      <c r="H476" s="976">
        <v>0</v>
      </c>
      <c r="I476" s="976"/>
      <c r="J476" s="976"/>
      <c r="K476" s="976">
        <v>0</v>
      </c>
      <c r="L476" s="978">
        <v>0</v>
      </c>
      <c r="M476" s="976"/>
      <c r="N476" s="976">
        <v>0</v>
      </c>
      <c r="O476" s="735">
        <f t="shared" si="23"/>
        <v>0</v>
      </c>
      <c r="P476" s="738">
        <f t="shared" si="21"/>
        <v>0</v>
      </c>
      <c r="Q476" s="751">
        <f t="shared" si="22"/>
        <v>0</v>
      </c>
      <c r="U476" s="747"/>
      <c r="V476" s="988"/>
      <c r="W476" s="1024"/>
      <c r="AY476" s="845"/>
      <c r="AZ476" s="845"/>
      <c r="BA476" s="845"/>
      <c r="BB476" s="845"/>
      <c r="BC476" s="845"/>
      <c r="BD476" s="845"/>
      <c r="BE476" s="845"/>
      <c r="BF476" s="845"/>
      <c r="BG476" s="845"/>
      <c r="BH476" s="845"/>
      <c r="BI476" s="845"/>
      <c r="BJ476" s="845"/>
      <c r="BK476" s="845"/>
      <c r="BL476" s="845"/>
      <c r="BM476" s="845"/>
      <c r="BN476" s="845"/>
      <c r="BO476" s="845"/>
      <c r="BP476" s="845"/>
      <c r="BQ476" s="845"/>
      <c r="BR476" s="845"/>
      <c r="BS476" s="845"/>
      <c r="BT476" s="845"/>
      <c r="BU476" s="845"/>
      <c r="BV476" s="845"/>
      <c r="BW476" s="845"/>
      <c r="BX476" s="845"/>
      <c r="BY476" s="845"/>
      <c r="BZ476" s="845"/>
      <c r="CA476" s="845"/>
      <c r="CB476" s="845"/>
      <c r="CC476" s="845"/>
    </row>
    <row r="477" spans="1:81" ht="14.25" customHeight="1">
      <c r="A477" s="976" t="s">
        <v>3905</v>
      </c>
      <c r="B477" s="976" t="s">
        <v>1213</v>
      </c>
      <c r="C477" s="1020">
        <v>1700000540</v>
      </c>
      <c r="D477" s="1020" t="s">
        <v>279</v>
      </c>
      <c r="E477" s="976">
        <v>0</v>
      </c>
      <c r="F477" s="976">
        <v>0</v>
      </c>
      <c r="G477" s="976">
        <v>0</v>
      </c>
      <c r="H477" s="976">
        <v>0</v>
      </c>
      <c r="I477" s="976"/>
      <c r="J477" s="976"/>
      <c r="K477" s="976">
        <v>0</v>
      </c>
      <c r="L477" s="978">
        <v>0</v>
      </c>
      <c r="M477" s="976"/>
      <c r="N477" s="976">
        <v>0</v>
      </c>
      <c r="O477" s="735">
        <f t="shared" si="23"/>
        <v>0</v>
      </c>
      <c r="P477" s="738">
        <f t="shared" si="21"/>
        <v>0</v>
      </c>
      <c r="Q477" s="751">
        <f t="shared" si="22"/>
        <v>0</v>
      </c>
      <c r="U477" s="747"/>
      <c r="V477" s="988"/>
      <c r="W477" s="1024"/>
      <c r="AY477" s="845"/>
      <c r="AZ477" s="845"/>
      <c r="BA477" s="845"/>
      <c r="BB477" s="845"/>
      <c r="BC477" s="845"/>
      <c r="BD477" s="845"/>
      <c r="BE477" s="845"/>
      <c r="BF477" s="845"/>
      <c r="BG477" s="845"/>
      <c r="BH477" s="845"/>
      <c r="BI477" s="845"/>
      <c r="BJ477" s="845"/>
      <c r="BK477" s="845"/>
      <c r="BL477" s="845"/>
      <c r="BM477" s="845"/>
      <c r="BN477" s="845"/>
      <c r="BO477" s="845"/>
      <c r="BP477" s="845"/>
      <c r="BQ477" s="845"/>
      <c r="BR477" s="845"/>
      <c r="BS477" s="845"/>
      <c r="BT477" s="845"/>
      <c r="BU477" s="845"/>
      <c r="BV477" s="845"/>
      <c r="BW477" s="845"/>
      <c r="BX477" s="845"/>
      <c r="BY477" s="845"/>
      <c r="BZ477" s="845"/>
      <c r="CA477" s="845"/>
      <c r="CB477" s="845"/>
      <c r="CC477" s="845"/>
    </row>
    <row r="478" spans="1:81" ht="14.25" customHeight="1">
      <c r="A478" s="976" t="s">
        <v>3913</v>
      </c>
      <c r="B478" s="976" t="s">
        <v>1213</v>
      </c>
      <c r="C478" s="1020">
        <v>1700000750</v>
      </c>
      <c r="D478" s="1020" t="s">
        <v>288</v>
      </c>
      <c r="E478" s="976">
        <v>0</v>
      </c>
      <c r="F478" s="976">
        <v>0</v>
      </c>
      <c r="G478" s="976">
        <v>0</v>
      </c>
      <c r="H478" s="976">
        <v>0</v>
      </c>
      <c r="I478" s="976"/>
      <c r="J478" s="976"/>
      <c r="K478" s="976">
        <v>0</v>
      </c>
      <c r="L478" s="978">
        <v>0</v>
      </c>
      <c r="M478" s="976"/>
      <c r="N478" s="976">
        <v>0</v>
      </c>
      <c r="O478" s="735">
        <f t="shared" si="23"/>
        <v>0</v>
      </c>
      <c r="P478" s="738">
        <f t="shared" si="21"/>
        <v>0</v>
      </c>
      <c r="Q478" s="751">
        <f t="shared" si="22"/>
        <v>0</v>
      </c>
      <c r="U478" s="747"/>
      <c r="V478" s="988"/>
      <c r="W478" s="1024"/>
      <c r="AY478" s="845"/>
      <c r="AZ478" s="845"/>
      <c r="BA478" s="845"/>
      <c r="BB478" s="845"/>
      <c r="BC478" s="845"/>
      <c r="BD478" s="845"/>
      <c r="BE478" s="845"/>
      <c r="BF478" s="845"/>
      <c r="BG478" s="845"/>
      <c r="BH478" s="845"/>
      <c r="BI478" s="845"/>
      <c r="BJ478" s="845"/>
      <c r="BK478" s="845"/>
      <c r="BL478" s="845"/>
      <c r="BM478" s="845"/>
      <c r="BN478" s="845"/>
      <c r="BO478" s="845"/>
      <c r="BP478" s="845"/>
      <c r="BQ478" s="845"/>
      <c r="BR478" s="845"/>
      <c r="BS478" s="845"/>
      <c r="BT478" s="845"/>
      <c r="BU478" s="845"/>
      <c r="BV478" s="845"/>
      <c r="BW478" s="845"/>
      <c r="BX478" s="845"/>
      <c r="BY478" s="845"/>
      <c r="BZ478" s="845"/>
      <c r="CA478" s="845"/>
      <c r="CB478" s="845"/>
      <c r="CC478" s="845"/>
    </row>
    <row r="479" spans="1:81" ht="14.25" customHeight="1">
      <c r="A479" s="976" t="s">
        <v>3909</v>
      </c>
      <c r="B479" s="976" t="s">
        <v>1213</v>
      </c>
      <c r="C479" s="999">
        <v>1700000780</v>
      </c>
      <c r="D479" s="999" t="s">
        <v>379</v>
      </c>
      <c r="E479" s="976">
        <v>0</v>
      </c>
      <c r="F479" s="976">
        <v>0</v>
      </c>
      <c r="G479" s="976">
        <v>0</v>
      </c>
      <c r="H479" s="976">
        <v>0</v>
      </c>
      <c r="I479" s="976"/>
      <c r="J479" s="976"/>
      <c r="K479" s="976">
        <v>0</v>
      </c>
      <c r="L479" s="978">
        <v>0</v>
      </c>
      <c r="M479" s="976"/>
      <c r="N479" s="976">
        <v>0</v>
      </c>
      <c r="O479" s="735">
        <f t="shared" si="23"/>
        <v>0</v>
      </c>
      <c r="P479" s="738">
        <f t="shared" si="21"/>
        <v>0</v>
      </c>
      <c r="Q479" s="751">
        <f t="shared" si="22"/>
        <v>0</v>
      </c>
      <c r="U479" s="747"/>
      <c r="V479" s="988"/>
      <c r="W479" s="1024"/>
    </row>
    <row r="480" spans="1:81" ht="14.25" customHeight="1">
      <c r="A480" s="976" t="s">
        <v>3867</v>
      </c>
      <c r="B480" s="976" t="s">
        <v>1216</v>
      </c>
      <c r="C480" s="977">
        <v>1710000410</v>
      </c>
      <c r="D480" s="976" t="s">
        <v>304</v>
      </c>
      <c r="E480" s="976">
        <v>440</v>
      </c>
      <c r="F480" s="976">
        <v>440</v>
      </c>
      <c r="G480" s="976">
        <v>330</v>
      </c>
      <c r="H480" s="976">
        <v>330.48599999999999</v>
      </c>
      <c r="I480" s="976"/>
      <c r="J480" s="1041">
        <v>2.25</v>
      </c>
      <c r="K480" s="976">
        <v>332.73599999999999</v>
      </c>
      <c r="L480" s="978">
        <v>2.73599999999999</v>
      </c>
      <c r="M480" s="976" t="s">
        <v>3591</v>
      </c>
      <c r="N480" s="976">
        <v>443.64799999999997</v>
      </c>
      <c r="O480" s="735">
        <f t="shared" si="23"/>
        <v>3.6479999999999677</v>
      </c>
      <c r="P480" s="738">
        <f t="shared" si="21"/>
        <v>443647.99999999994</v>
      </c>
      <c r="Q480" s="751">
        <f t="shared" si="22"/>
        <v>444000</v>
      </c>
      <c r="U480" s="747"/>
      <c r="V480" s="988"/>
      <c r="W480" s="1024"/>
    </row>
    <row r="481" spans="1:23" s="747" customFormat="1" ht="14.25" customHeight="1">
      <c r="A481" s="976" t="s">
        <v>3868</v>
      </c>
      <c r="B481" s="976" t="s">
        <v>1216</v>
      </c>
      <c r="C481" s="987">
        <v>1710000430</v>
      </c>
      <c r="D481" s="987" t="s">
        <v>311</v>
      </c>
      <c r="E481" s="976">
        <v>40</v>
      </c>
      <c r="F481" s="976">
        <v>40</v>
      </c>
      <c r="G481" s="976">
        <v>30</v>
      </c>
      <c r="H481" s="976">
        <v>17.543740000000003</v>
      </c>
      <c r="I481" s="976"/>
      <c r="J481" s="1041">
        <v>12.75</v>
      </c>
      <c r="K481" s="976">
        <v>30.293740000000003</v>
      </c>
      <c r="L481" s="978">
        <v>0.29374000000000322</v>
      </c>
      <c r="M481" s="976" t="s">
        <v>3591</v>
      </c>
      <c r="N481" s="976">
        <v>40.391653333333338</v>
      </c>
      <c r="O481" s="735">
        <f t="shared" si="23"/>
        <v>0.39165333333333763</v>
      </c>
      <c r="P481" s="738">
        <f t="shared" si="21"/>
        <v>40391.653333333335</v>
      </c>
      <c r="Q481" s="751">
        <f t="shared" si="22"/>
        <v>40000</v>
      </c>
      <c r="V481" s="988"/>
      <c r="W481" s="1024"/>
    </row>
    <row r="482" spans="1:23" s="747" customFormat="1" ht="14.25" customHeight="1">
      <c r="A482" s="976" t="s">
        <v>3908</v>
      </c>
      <c r="B482" s="976" t="s">
        <v>1216</v>
      </c>
      <c r="C482" s="977">
        <v>1710000530</v>
      </c>
      <c r="D482" s="976" t="s">
        <v>277</v>
      </c>
      <c r="E482" s="976">
        <v>140</v>
      </c>
      <c r="F482" s="976">
        <v>140</v>
      </c>
      <c r="G482" s="976">
        <v>105</v>
      </c>
      <c r="H482" s="976">
        <v>112.57114</v>
      </c>
      <c r="I482" s="976"/>
      <c r="J482" s="976">
        <v>0</v>
      </c>
      <c r="K482" s="976">
        <v>112.57114</v>
      </c>
      <c r="L482" s="978">
        <v>7.5711399999999998</v>
      </c>
      <c r="M482" s="976" t="s">
        <v>3591</v>
      </c>
      <c r="N482" s="976">
        <v>150.09485333333333</v>
      </c>
      <c r="O482" s="735">
        <f t="shared" si="23"/>
        <v>10.094853333333333</v>
      </c>
      <c r="P482" s="738">
        <f t="shared" si="21"/>
        <v>150094.85333333333</v>
      </c>
      <c r="Q482" s="751">
        <f t="shared" si="22"/>
        <v>150000</v>
      </c>
      <c r="V482" s="988"/>
      <c r="W482" s="1024"/>
    </row>
    <row r="483" spans="1:23" s="747" customFormat="1" ht="14.25" customHeight="1">
      <c r="A483" s="976" t="s">
        <v>3905</v>
      </c>
      <c r="B483" s="976" t="s">
        <v>1216</v>
      </c>
      <c r="C483" s="977">
        <v>1710000540</v>
      </c>
      <c r="D483" s="976" t="s">
        <v>279</v>
      </c>
      <c r="E483" s="976">
        <v>4</v>
      </c>
      <c r="F483" s="976">
        <v>4</v>
      </c>
      <c r="G483" s="976">
        <v>3</v>
      </c>
      <c r="H483" s="976">
        <v>2.6365700000000003</v>
      </c>
      <c r="I483" s="976"/>
      <c r="J483" s="976">
        <v>0</v>
      </c>
      <c r="K483" s="976">
        <v>2.6365700000000003</v>
      </c>
      <c r="L483" s="978">
        <v>-0.3634299999999997</v>
      </c>
      <c r="M483" s="976" t="s">
        <v>3591</v>
      </c>
      <c r="N483" s="976">
        <v>3.5154266666666669</v>
      </c>
      <c r="O483" s="735">
        <f t="shared" si="23"/>
        <v>-0.48457333333333308</v>
      </c>
      <c r="P483" s="738">
        <f t="shared" si="21"/>
        <v>3515.4266666666667</v>
      </c>
      <c r="Q483" s="751">
        <f t="shared" si="22"/>
        <v>4000</v>
      </c>
      <c r="V483" s="988"/>
      <c r="W483" s="1024"/>
    </row>
    <row r="484" spans="1:23" s="747" customFormat="1" ht="14.25" customHeight="1">
      <c r="A484" s="976" t="s">
        <v>3922</v>
      </c>
      <c r="B484" s="976" t="s">
        <v>1216</v>
      </c>
      <c r="C484" s="977">
        <v>1710000550</v>
      </c>
      <c r="D484" s="976" t="s">
        <v>318</v>
      </c>
      <c r="E484" s="976">
        <v>0</v>
      </c>
      <c r="F484" s="976">
        <v>0</v>
      </c>
      <c r="G484" s="976">
        <v>0</v>
      </c>
      <c r="H484" s="976">
        <v>0</v>
      </c>
      <c r="I484" s="976"/>
      <c r="J484" s="976">
        <v>0</v>
      </c>
      <c r="K484" s="976">
        <v>0</v>
      </c>
      <c r="L484" s="978">
        <v>0</v>
      </c>
      <c r="M484" s="976"/>
      <c r="N484" s="976">
        <v>0</v>
      </c>
      <c r="O484" s="735">
        <f t="shared" si="23"/>
        <v>0</v>
      </c>
      <c r="P484" s="738">
        <f t="shared" si="21"/>
        <v>0</v>
      </c>
      <c r="Q484" s="751">
        <f t="shared" si="22"/>
        <v>0</v>
      </c>
      <c r="V484" s="988"/>
      <c r="W484" s="1024"/>
    </row>
    <row r="485" spans="1:23" s="747" customFormat="1" ht="14.25" customHeight="1">
      <c r="A485" s="976" t="s">
        <v>3913</v>
      </c>
      <c r="B485" s="976" t="s">
        <v>1216</v>
      </c>
      <c r="C485" s="977">
        <v>1710000750</v>
      </c>
      <c r="D485" s="976" t="s">
        <v>3323</v>
      </c>
      <c r="E485" s="976">
        <v>520</v>
      </c>
      <c r="F485" s="976">
        <v>520</v>
      </c>
      <c r="G485" s="976">
        <v>390</v>
      </c>
      <c r="H485" s="976">
        <v>224.17138</v>
      </c>
      <c r="I485" s="976"/>
      <c r="J485" s="1041">
        <v>165.75</v>
      </c>
      <c r="K485" s="976">
        <v>389.92138</v>
      </c>
      <c r="L485" s="978">
        <v>-7.86200000000008E-2</v>
      </c>
      <c r="M485" s="976" t="s">
        <v>3591</v>
      </c>
      <c r="N485" s="976">
        <v>519.89517333333333</v>
      </c>
      <c r="O485" s="735">
        <f t="shared" si="23"/>
        <v>-0.10482666666666773</v>
      </c>
      <c r="P485" s="738">
        <f t="shared" si="21"/>
        <v>519895.17333333334</v>
      </c>
      <c r="Q485" s="751">
        <f t="shared" si="22"/>
        <v>520000</v>
      </c>
      <c r="V485" s="988"/>
      <c r="W485" s="1024"/>
    </row>
    <row r="486" spans="1:23" s="747" customFormat="1" ht="14.25" customHeight="1">
      <c r="A486" s="976" t="s">
        <v>3909</v>
      </c>
      <c r="B486" s="976" t="s">
        <v>1216</v>
      </c>
      <c r="C486" s="977">
        <v>1710000780</v>
      </c>
      <c r="D486" s="976" t="s">
        <v>379</v>
      </c>
      <c r="E486" s="976">
        <v>50</v>
      </c>
      <c r="F486" s="976">
        <v>50</v>
      </c>
      <c r="G486" s="976">
        <v>37.5</v>
      </c>
      <c r="H486" s="976">
        <v>45.950120000000005</v>
      </c>
      <c r="I486" s="976"/>
      <c r="J486" s="1032">
        <v>-8.25</v>
      </c>
      <c r="K486" s="976">
        <v>37.700120000000005</v>
      </c>
      <c r="L486" s="978">
        <v>0.2001200000000054</v>
      </c>
      <c r="M486" s="976" t="s">
        <v>3591</v>
      </c>
      <c r="N486" s="976">
        <v>50.266826666666674</v>
      </c>
      <c r="O486" s="735">
        <f t="shared" si="23"/>
        <v>0.26682666666667387</v>
      </c>
      <c r="P486" s="738">
        <f t="shared" si="21"/>
        <v>50266.826666666675</v>
      </c>
      <c r="Q486" s="751">
        <f t="shared" si="22"/>
        <v>50000</v>
      </c>
      <c r="V486" s="988"/>
      <c r="W486" s="1024"/>
    </row>
    <row r="487" spans="1:23" s="747" customFormat="1">
      <c r="A487" s="976" t="s">
        <v>3908</v>
      </c>
      <c r="B487" s="976" t="s">
        <v>1216</v>
      </c>
      <c r="C487" s="977">
        <v>1711000530</v>
      </c>
      <c r="D487" s="976" t="s">
        <v>277</v>
      </c>
      <c r="E487" s="976">
        <v>130</v>
      </c>
      <c r="F487" s="976">
        <v>130</v>
      </c>
      <c r="G487" s="976">
        <v>97.5</v>
      </c>
      <c r="H487" s="976">
        <v>95.55189</v>
      </c>
      <c r="I487" s="976"/>
      <c r="J487" s="976">
        <v>0</v>
      </c>
      <c r="K487" s="976">
        <v>95.55189</v>
      </c>
      <c r="L487" s="978">
        <v>-1.9481099999999998</v>
      </c>
      <c r="M487" s="976" t="s">
        <v>3591</v>
      </c>
      <c r="N487" s="976">
        <v>127.40252</v>
      </c>
      <c r="O487" s="735">
        <f t="shared" si="23"/>
        <v>-2.5974800000000045</v>
      </c>
      <c r="P487" s="738">
        <f t="shared" si="21"/>
        <v>127402.51999999999</v>
      </c>
      <c r="Q487" s="751">
        <f t="shared" si="22"/>
        <v>127000</v>
      </c>
      <c r="V487" s="988"/>
      <c r="W487" s="1024"/>
    </row>
    <row r="488" spans="1:23" s="747" customFormat="1">
      <c r="A488" s="976" t="s">
        <v>3905</v>
      </c>
      <c r="B488" s="976" t="s">
        <v>1216</v>
      </c>
      <c r="C488" s="977">
        <v>1711000540</v>
      </c>
      <c r="D488" s="976" t="s">
        <v>279</v>
      </c>
      <c r="E488" s="976">
        <v>6</v>
      </c>
      <c r="F488" s="976">
        <v>6</v>
      </c>
      <c r="G488" s="976">
        <v>4.5</v>
      </c>
      <c r="H488" s="976">
        <v>6.9598500000000003</v>
      </c>
      <c r="I488" s="976"/>
      <c r="J488" s="976">
        <v>0</v>
      </c>
      <c r="K488" s="976">
        <v>6.9598500000000003</v>
      </c>
      <c r="L488" s="978">
        <v>2.4598500000000003</v>
      </c>
      <c r="M488" s="976"/>
      <c r="N488" s="976">
        <v>9.2798000000000016</v>
      </c>
      <c r="O488" s="888">
        <f t="shared" si="23"/>
        <v>3.2798000000000016</v>
      </c>
      <c r="P488" s="738">
        <f t="shared" si="21"/>
        <v>9279.8000000000011</v>
      </c>
      <c r="Q488" s="751">
        <f t="shared" si="22"/>
        <v>9000</v>
      </c>
      <c r="R488" s="889"/>
      <c r="S488" s="889"/>
      <c r="T488" s="889"/>
      <c r="U488" s="751"/>
      <c r="V488" s="988"/>
      <c r="W488" s="1024"/>
    </row>
    <row r="489" spans="1:23" s="747" customFormat="1" ht="14.25" customHeight="1">
      <c r="A489" s="976" t="s">
        <v>3913</v>
      </c>
      <c r="B489" s="1016" t="s">
        <v>1216</v>
      </c>
      <c r="C489" s="977">
        <v>1712200750</v>
      </c>
      <c r="D489" s="976" t="s">
        <v>3324</v>
      </c>
      <c r="E489" s="976">
        <v>17995.2</v>
      </c>
      <c r="F489" s="976">
        <v>18195.2</v>
      </c>
      <c r="G489" s="976">
        <v>13496.400000000001</v>
      </c>
      <c r="H489" s="976">
        <v>7025.6362199999994</v>
      </c>
      <c r="I489" s="976"/>
      <c r="J489" s="1041">
        <v>10224</v>
      </c>
      <c r="K489" s="976">
        <v>17249.63622</v>
      </c>
      <c r="L489" s="978">
        <v>3753.2362199999989</v>
      </c>
      <c r="M489" s="976" t="s">
        <v>3635</v>
      </c>
      <c r="N489" s="976">
        <v>22999.51496</v>
      </c>
      <c r="O489" s="735">
        <f t="shared" si="23"/>
        <v>5004.3149599999997</v>
      </c>
      <c r="P489" s="738">
        <f t="shared" si="21"/>
        <v>22999514.960000001</v>
      </c>
      <c r="Q489" s="751">
        <f t="shared" si="22"/>
        <v>23000000</v>
      </c>
      <c r="U489" s="751"/>
      <c r="V489" s="988"/>
      <c r="W489" s="1024"/>
    </row>
    <row r="490" spans="1:23" s="747" customFormat="1" ht="14.25" customHeight="1">
      <c r="A490" s="976" t="s">
        <v>3913</v>
      </c>
      <c r="B490" s="976" t="s">
        <v>1216</v>
      </c>
      <c r="C490" s="977">
        <v>1712300750</v>
      </c>
      <c r="D490" s="976" t="s">
        <v>3325</v>
      </c>
      <c r="E490" s="976">
        <v>47041.8</v>
      </c>
      <c r="F490" s="976">
        <v>47341.8</v>
      </c>
      <c r="G490" s="976">
        <v>35281.35</v>
      </c>
      <c r="H490" s="976">
        <v>32579.66159</v>
      </c>
      <c r="I490" s="976"/>
      <c r="J490" s="1041">
        <v>3870</v>
      </c>
      <c r="K490" s="976">
        <v>36449.661590000003</v>
      </c>
      <c r="L490" s="978">
        <v>1168.3115900000048</v>
      </c>
      <c r="M490" s="976" t="s">
        <v>3635</v>
      </c>
      <c r="N490" s="976">
        <v>48599.548786666674</v>
      </c>
      <c r="O490" s="735">
        <f t="shared" si="23"/>
        <v>1557.7487866666706</v>
      </c>
      <c r="P490" s="738">
        <f t="shared" si="21"/>
        <v>48599548.786666676</v>
      </c>
      <c r="Q490" s="751">
        <f t="shared" si="22"/>
        <v>48600000</v>
      </c>
      <c r="V490" s="988"/>
      <c r="W490" s="1024"/>
    </row>
    <row r="491" spans="1:23" s="747" customFormat="1" ht="14.25" customHeight="1">
      <c r="A491" s="976" t="s">
        <v>3914</v>
      </c>
      <c r="B491" s="976" t="s">
        <v>1216</v>
      </c>
      <c r="C491" s="977">
        <v>1712300751</v>
      </c>
      <c r="D491" s="976" t="s">
        <v>3326</v>
      </c>
      <c r="E491" s="976">
        <v>630</v>
      </c>
      <c r="F491" s="976">
        <v>630</v>
      </c>
      <c r="G491" s="976">
        <v>472.5</v>
      </c>
      <c r="H491" s="976">
        <v>373.85599999999999</v>
      </c>
      <c r="I491" s="976"/>
      <c r="J491" s="1041">
        <v>46</v>
      </c>
      <c r="K491" s="976">
        <v>419.85599999999999</v>
      </c>
      <c r="L491" s="978">
        <v>-52.644000000000005</v>
      </c>
      <c r="M491" s="976" t="s">
        <v>3591</v>
      </c>
      <c r="N491" s="976">
        <v>559.80799999999999</v>
      </c>
      <c r="O491" s="735">
        <f t="shared" si="23"/>
        <v>-70.192000000000007</v>
      </c>
      <c r="P491" s="738">
        <f t="shared" si="21"/>
        <v>559808</v>
      </c>
      <c r="Q491" s="751">
        <f t="shared" si="22"/>
        <v>560000</v>
      </c>
      <c r="V491" s="988"/>
      <c r="W491" s="1024"/>
    </row>
    <row r="492" spans="1:23" s="747" customFormat="1" ht="14.25" customHeight="1">
      <c r="A492" s="976" t="s">
        <v>3909</v>
      </c>
      <c r="B492" s="976" t="s">
        <v>1216</v>
      </c>
      <c r="C492" s="977">
        <v>1712300780</v>
      </c>
      <c r="D492" s="976" t="s">
        <v>3327</v>
      </c>
      <c r="E492" s="976">
        <v>0</v>
      </c>
      <c r="F492" s="976">
        <v>0</v>
      </c>
      <c r="G492" s="976">
        <v>0</v>
      </c>
      <c r="H492" s="976">
        <v>0</v>
      </c>
      <c r="I492" s="976"/>
      <c r="J492" s="976">
        <v>0</v>
      </c>
      <c r="K492" s="976">
        <v>0</v>
      </c>
      <c r="L492" s="978">
        <v>0</v>
      </c>
      <c r="M492" s="976"/>
      <c r="N492" s="976">
        <v>0</v>
      </c>
      <c r="O492" s="735">
        <f t="shared" si="23"/>
        <v>0</v>
      </c>
      <c r="P492" s="738">
        <f t="shared" si="21"/>
        <v>0</v>
      </c>
      <c r="Q492" s="751">
        <f t="shared" si="22"/>
        <v>0</v>
      </c>
      <c r="V492" s="988"/>
      <c r="W492" s="1024"/>
    </row>
    <row r="493" spans="1:23" s="747" customFormat="1" ht="14.25" customHeight="1">
      <c r="A493" s="976" t="s">
        <v>3915</v>
      </c>
      <c r="B493" s="976" t="s">
        <v>1216</v>
      </c>
      <c r="C493" s="977">
        <v>1712300752</v>
      </c>
      <c r="D493" s="976" t="s">
        <v>3328</v>
      </c>
      <c r="E493" s="976">
        <v>0</v>
      </c>
      <c r="F493" s="976">
        <v>0</v>
      </c>
      <c r="G493" s="976">
        <v>0</v>
      </c>
      <c r="H493" s="976">
        <v>0</v>
      </c>
      <c r="I493" s="976"/>
      <c r="J493" s="976">
        <v>0</v>
      </c>
      <c r="K493" s="976">
        <v>0</v>
      </c>
      <c r="L493" s="978">
        <v>0</v>
      </c>
      <c r="M493" s="976"/>
      <c r="N493" s="976">
        <v>0</v>
      </c>
      <c r="O493" s="735">
        <f t="shared" si="23"/>
        <v>0</v>
      </c>
      <c r="P493" s="738">
        <f t="shared" si="21"/>
        <v>0</v>
      </c>
      <c r="Q493" s="751">
        <f t="shared" si="22"/>
        <v>0</v>
      </c>
      <c r="V493" s="988"/>
      <c r="W493" s="1024"/>
    </row>
    <row r="494" spans="1:23" s="747" customFormat="1" ht="14.25" customHeight="1">
      <c r="A494" s="976" t="s">
        <v>3908</v>
      </c>
      <c r="B494" s="976" t="s">
        <v>1216</v>
      </c>
      <c r="C494" s="977">
        <v>1713000530</v>
      </c>
      <c r="D494" s="976" t="s">
        <v>277</v>
      </c>
      <c r="E494" s="976">
        <v>480</v>
      </c>
      <c r="F494" s="976">
        <v>480</v>
      </c>
      <c r="G494" s="976">
        <v>360</v>
      </c>
      <c r="H494" s="976">
        <v>365.89810999999997</v>
      </c>
      <c r="I494" s="976"/>
      <c r="J494" s="976">
        <v>0</v>
      </c>
      <c r="K494" s="976">
        <v>365.89810999999997</v>
      </c>
      <c r="L494" s="978">
        <v>5.8981099999999742</v>
      </c>
      <c r="M494" s="976" t="s">
        <v>3591</v>
      </c>
      <c r="N494" s="976">
        <v>487.86414666666656</v>
      </c>
      <c r="O494" s="735">
        <f t="shared" si="23"/>
        <v>7.8641466666665565</v>
      </c>
      <c r="P494" s="738">
        <f t="shared" si="21"/>
        <v>487864.14666666655</v>
      </c>
      <c r="Q494" s="751">
        <f t="shared" si="22"/>
        <v>488000</v>
      </c>
      <c r="V494" s="988"/>
      <c r="W494" s="1024"/>
    </row>
    <row r="495" spans="1:23" s="747" customFormat="1" ht="14.25" customHeight="1">
      <c r="A495" s="976" t="s">
        <v>3905</v>
      </c>
      <c r="B495" s="976" t="s">
        <v>1216</v>
      </c>
      <c r="C495" s="977">
        <v>1713000540</v>
      </c>
      <c r="D495" s="976" t="s">
        <v>279</v>
      </c>
      <c r="E495" s="976">
        <v>12</v>
      </c>
      <c r="F495" s="976">
        <v>12</v>
      </c>
      <c r="G495" s="976">
        <v>9</v>
      </c>
      <c r="H495" s="976">
        <v>12.531450000000001</v>
      </c>
      <c r="I495" s="976"/>
      <c r="J495" s="1041">
        <v>1.5</v>
      </c>
      <c r="K495" s="976">
        <v>14.031450000000001</v>
      </c>
      <c r="L495" s="978">
        <v>5.0314500000000013</v>
      </c>
      <c r="M495" s="976"/>
      <c r="N495" s="976">
        <v>18.708600000000004</v>
      </c>
      <c r="O495" s="735">
        <f t="shared" si="23"/>
        <v>6.7086000000000041</v>
      </c>
      <c r="P495" s="738">
        <f t="shared" si="21"/>
        <v>18708.600000000006</v>
      </c>
      <c r="Q495" s="751">
        <f t="shared" si="22"/>
        <v>19000</v>
      </c>
      <c r="V495" s="988"/>
      <c r="W495" s="1024"/>
    </row>
    <row r="496" spans="1:23" s="747" customFormat="1">
      <c r="A496" s="976" t="s">
        <v>3913</v>
      </c>
      <c r="B496" s="976" t="s">
        <v>1216</v>
      </c>
      <c r="C496" s="977">
        <v>1713000750</v>
      </c>
      <c r="D496" s="976" t="s">
        <v>3329</v>
      </c>
      <c r="E496" s="976">
        <v>200</v>
      </c>
      <c r="F496" s="976">
        <v>200</v>
      </c>
      <c r="G496" s="976">
        <v>150</v>
      </c>
      <c r="H496" s="976">
        <v>149.53419</v>
      </c>
      <c r="I496" s="976"/>
      <c r="J496" s="1041">
        <v>1</v>
      </c>
      <c r="K496" s="976">
        <v>150.53419</v>
      </c>
      <c r="L496" s="978">
        <v>0.53418999999999528</v>
      </c>
      <c r="M496" s="976" t="s">
        <v>3591</v>
      </c>
      <c r="N496" s="976">
        <v>200.71225333333334</v>
      </c>
      <c r="O496" s="735">
        <f t="shared" si="23"/>
        <v>0.71225333333333651</v>
      </c>
      <c r="P496" s="738">
        <f t="shared" si="21"/>
        <v>200712.25333333333</v>
      </c>
      <c r="Q496" s="751">
        <f t="shared" si="22"/>
        <v>201000</v>
      </c>
      <c r="V496" s="988"/>
      <c r="W496" s="1024"/>
    </row>
    <row r="497" spans="1:81" s="747" customFormat="1" ht="14.25" customHeight="1">
      <c r="A497" s="976" t="s">
        <v>3868</v>
      </c>
      <c r="B497" s="976" t="s">
        <v>1216</v>
      </c>
      <c r="C497" s="977">
        <v>1714200430</v>
      </c>
      <c r="D497" s="976" t="s">
        <v>311</v>
      </c>
      <c r="E497" s="976">
        <v>5</v>
      </c>
      <c r="F497" s="976">
        <v>5</v>
      </c>
      <c r="G497" s="976">
        <v>3.75</v>
      </c>
      <c r="H497" s="976">
        <v>2.43241</v>
      </c>
      <c r="I497" s="976"/>
      <c r="J497" s="1041">
        <v>2</v>
      </c>
      <c r="K497" s="976">
        <v>4.43241</v>
      </c>
      <c r="L497" s="978">
        <v>0.68240999999999996</v>
      </c>
      <c r="M497" s="976" t="s">
        <v>3591</v>
      </c>
      <c r="N497" s="976">
        <v>5.9098799999999994</v>
      </c>
      <c r="O497" s="735">
        <f t="shared" si="23"/>
        <v>0.90987999999999936</v>
      </c>
      <c r="P497" s="738">
        <f t="shared" si="21"/>
        <v>5909.8799999999992</v>
      </c>
      <c r="Q497" s="751">
        <f t="shared" si="22"/>
        <v>6000</v>
      </c>
      <c r="V497" s="988"/>
      <c r="W497" s="1024"/>
    </row>
    <row r="498" spans="1:81" s="747" customFormat="1" ht="14.25" customHeight="1">
      <c r="A498" s="976" t="s">
        <v>3908</v>
      </c>
      <c r="B498" s="976" t="s">
        <v>1216</v>
      </c>
      <c r="C498" s="977">
        <v>1714200530</v>
      </c>
      <c r="D498" s="976" t="s">
        <v>277</v>
      </c>
      <c r="E498" s="976">
        <v>200</v>
      </c>
      <c r="F498" s="976">
        <v>200</v>
      </c>
      <c r="G498" s="976">
        <v>150</v>
      </c>
      <c r="H498" s="976">
        <v>162.38514000000001</v>
      </c>
      <c r="I498" s="976"/>
      <c r="J498" s="976"/>
      <c r="K498" s="976">
        <v>162.38514000000001</v>
      </c>
      <c r="L498" s="978">
        <v>12.385140000000007</v>
      </c>
      <c r="M498" s="976"/>
      <c r="N498" s="976">
        <v>216.51352000000003</v>
      </c>
      <c r="O498" s="735">
        <f t="shared" si="23"/>
        <v>16.513520000000028</v>
      </c>
      <c r="P498" s="738">
        <f t="shared" si="21"/>
        <v>216513.52000000002</v>
      </c>
      <c r="Q498" s="751">
        <f t="shared" si="22"/>
        <v>217000</v>
      </c>
      <c r="V498" s="988"/>
      <c r="W498" s="1024"/>
    </row>
    <row r="499" spans="1:81" s="747" customFormat="1" ht="14.25" customHeight="1">
      <c r="A499" s="976" t="s">
        <v>3905</v>
      </c>
      <c r="B499" s="976" t="s">
        <v>1216</v>
      </c>
      <c r="C499" s="977">
        <v>1714200540</v>
      </c>
      <c r="D499" s="976" t="s">
        <v>279</v>
      </c>
      <c r="E499" s="976">
        <v>3</v>
      </c>
      <c r="F499" s="976">
        <v>3</v>
      </c>
      <c r="G499" s="976">
        <v>2.25</v>
      </c>
      <c r="H499" s="976">
        <v>2.24444</v>
      </c>
      <c r="I499" s="976"/>
      <c r="J499" s="976">
        <v>0</v>
      </c>
      <c r="K499" s="976">
        <v>2.24444</v>
      </c>
      <c r="L499" s="978">
        <v>-5.5600000000000094E-3</v>
      </c>
      <c r="M499" s="976" t="s">
        <v>3591</v>
      </c>
      <c r="N499" s="976">
        <v>2.9925866666666665</v>
      </c>
      <c r="O499" s="735">
        <f t="shared" si="23"/>
        <v>-7.4133333333334939E-3</v>
      </c>
      <c r="P499" s="738">
        <f t="shared" si="21"/>
        <v>2992.5866666666666</v>
      </c>
      <c r="Q499" s="751">
        <f t="shared" si="22"/>
        <v>3000</v>
      </c>
      <c r="V499" s="988"/>
      <c r="W499" s="1024"/>
    </row>
    <row r="500" spans="1:81" s="747" customFormat="1" ht="16.5" customHeight="1">
      <c r="A500" s="976" t="s">
        <v>3927</v>
      </c>
      <c r="B500" s="976" t="s">
        <v>1216</v>
      </c>
      <c r="C500" s="977">
        <v>1714200720</v>
      </c>
      <c r="D500" s="976" t="s">
        <v>400</v>
      </c>
      <c r="E500" s="976">
        <v>30</v>
      </c>
      <c r="F500" s="976">
        <v>30</v>
      </c>
      <c r="G500" s="976">
        <v>22.5</v>
      </c>
      <c r="H500" s="976">
        <v>5.84415</v>
      </c>
      <c r="I500" s="976"/>
      <c r="J500" s="1041">
        <v>17</v>
      </c>
      <c r="K500" s="976">
        <v>22.844149999999999</v>
      </c>
      <c r="L500" s="978">
        <v>0.34414999999999907</v>
      </c>
      <c r="M500" s="976" t="s">
        <v>3591</v>
      </c>
      <c r="N500" s="976">
        <v>30.458866666666665</v>
      </c>
      <c r="O500" s="735">
        <f t="shared" si="23"/>
        <v>0.45886666666666542</v>
      </c>
      <c r="P500" s="738">
        <f t="shared" si="21"/>
        <v>30458.866666666665</v>
      </c>
      <c r="Q500" s="751">
        <f t="shared" si="22"/>
        <v>30000</v>
      </c>
      <c r="V500" s="988"/>
      <c r="W500" s="1024"/>
    </row>
    <row r="501" spans="1:81" s="747" customFormat="1" ht="16.5" customHeight="1">
      <c r="A501" s="976" t="s">
        <v>3913</v>
      </c>
      <c r="B501" s="976" t="s">
        <v>1216</v>
      </c>
      <c r="C501" s="977">
        <v>1714200750</v>
      </c>
      <c r="D501" s="976" t="s">
        <v>288</v>
      </c>
      <c r="E501" s="976">
        <v>150</v>
      </c>
      <c r="F501" s="976">
        <v>150</v>
      </c>
      <c r="G501" s="976">
        <v>112.5</v>
      </c>
      <c r="H501" s="976">
        <v>50.894500000000001</v>
      </c>
      <c r="I501" s="976"/>
      <c r="J501" s="1041">
        <v>62</v>
      </c>
      <c r="K501" s="976">
        <v>112.89449999999999</v>
      </c>
      <c r="L501" s="978">
        <v>0.39449999999999363</v>
      </c>
      <c r="M501" s="976" t="s">
        <v>3591</v>
      </c>
      <c r="N501" s="976">
        <v>150.52599999999998</v>
      </c>
      <c r="O501" s="735">
        <f t="shared" si="23"/>
        <v>0.52599999999998204</v>
      </c>
      <c r="P501" s="738">
        <f t="shared" si="21"/>
        <v>150525.99999999997</v>
      </c>
      <c r="Q501" s="751">
        <f t="shared" si="22"/>
        <v>151000</v>
      </c>
      <c r="V501" s="988"/>
      <c r="W501" s="1024"/>
    </row>
    <row r="502" spans="1:81" s="747" customFormat="1" ht="14.25" customHeight="1">
      <c r="A502" s="976" t="s">
        <v>3909</v>
      </c>
      <c r="B502" s="976" t="s">
        <v>1216</v>
      </c>
      <c r="C502" s="999">
        <v>1714200780</v>
      </c>
      <c r="D502" s="999" t="s">
        <v>280</v>
      </c>
      <c r="E502" s="976">
        <v>360</v>
      </c>
      <c r="F502" s="976">
        <v>360</v>
      </c>
      <c r="G502" s="976">
        <v>270</v>
      </c>
      <c r="H502" s="976">
        <v>-62.688650000000003</v>
      </c>
      <c r="I502" s="976"/>
      <c r="J502" s="1041">
        <v>183</v>
      </c>
      <c r="K502" s="976">
        <v>120.31135</v>
      </c>
      <c r="L502" s="978">
        <v>-149.68865</v>
      </c>
      <c r="M502" s="976" t="s">
        <v>3591</v>
      </c>
      <c r="N502" s="976">
        <v>160.41513333333333</v>
      </c>
      <c r="O502" s="735">
        <f t="shared" si="23"/>
        <v>-199.58486666666667</v>
      </c>
      <c r="P502" s="738">
        <f t="shared" si="21"/>
        <v>160415.13333333333</v>
      </c>
      <c r="Q502" s="751">
        <f t="shared" si="22"/>
        <v>160000</v>
      </c>
      <c r="V502" s="988"/>
      <c r="W502" s="1024"/>
    </row>
    <row r="503" spans="1:81" s="747" customFormat="1" ht="14.25" customHeight="1">
      <c r="A503" s="976" t="s">
        <v>3913</v>
      </c>
      <c r="B503" s="976" t="s">
        <v>1216</v>
      </c>
      <c r="C503" s="977">
        <v>1715200750</v>
      </c>
      <c r="D503" s="976" t="s">
        <v>288</v>
      </c>
      <c r="E503" s="976">
        <v>0</v>
      </c>
      <c r="F503" s="976">
        <v>0</v>
      </c>
      <c r="G503" s="976">
        <v>0</v>
      </c>
      <c r="H503" s="976">
        <v>0</v>
      </c>
      <c r="I503" s="976"/>
      <c r="J503" s="976"/>
      <c r="K503" s="976">
        <v>0</v>
      </c>
      <c r="L503" s="978">
        <v>0</v>
      </c>
      <c r="M503" s="976"/>
      <c r="N503" s="976">
        <v>0</v>
      </c>
      <c r="O503" s="735">
        <f t="shared" si="23"/>
        <v>0</v>
      </c>
      <c r="P503" s="738">
        <f t="shared" si="21"/>
        <v>0</v>
      </c>
      <c r="Q503" s="751">
        <f t="shared" si="22"/>
        <v>0</v>
      </c>
      <c r="V503" s="988"/>
      <c r="W503" s="1024"/>
    </row>
    <row r="504" spans="1:81" s="747" customFormat="1" ht="20.25" customHeight="1">
      <c r="A504" s="976" t="s">
        <v>3914</v>
      </c>
      <c r="B504" s="976" t="s">
        <v>1216</v>
      </c>
      <c r="C504" s="977">
        <v>1715200751</v>
      </c>
      <c r="D504" s="976" t="s">
        <v>403</v>
      </c>
      <c r="E504" s="976">
        <v>390</v>
      </c>
      <c r="F504" s="976">
        <v>390</v>
      </c>
      <c r="G504" s="976">
        <v>292.5</v>
      </c>
      <c r="H504" s="976">
        <v>269.04599999999999</v>
      </c>
      <c r="I504" s="976"/>
      <c r="J504" s="1041">
        <v>23</v>
      </c>
      <c r="K504" s="976">
        <v>292.04599999999999</v>
      </c>
      <c r="L504" s="978">
        <v>-0.45400000000000773</v>
      </c>
      <c r="M504" s="976" t="s">
        <v>3591</v>
      </c>
      <c r="N504" s="976">
        <v>389.39466666666664</v>
      </c>
      <c r="O504" s="735">
        <f t="shared" si="23"/>
        <v>-0.60533333333336259</v>
      </c>
      <c r="P504" s="738">
        <f t="shared" si="21"/>
        <v>389394.66666666663</v>
      </c>
      <c r="Q504" s="751">
        <f t="shared" si="22"/>
        <v>389000</v>
      </c>
      <c r="V504" s="988"/>
      <c r="W504" s="1024"/>
    </row>
    <row r="505" spans="1:81" ht="14.25" customHeight="1">
      <c r="A505" s="976" t="s">
        <v>3908</v>
      </c>
      <c r="B505" s="976" t="s">
        <v>1218</v>
      </c>
      <c r="C505" s="977">
        <v>1722000530</v>
      </c>
      <c r="D505" s="976" t="s">
        <v>277</v>
      </c>
      <c r="E505" s="976">
        <v>165</v>
      </c>
      <c r="F505" s="976">
        <v>165</v>
      </c>
      <c r="G505" s="976">
        <v>123.75</v>
      </c>
      <c r="H505" s="976">
        <v>100.34361</v>
      </c>
      <c r="I505" s="976"/>
      <c r="J505" s="1041">
        <v>1</v>
      </c>
      <c r="K505" s="976">
        <v>101.34361</v>
      </c>
      <c r="L505" s="978">
        <v>-22.406390000000002</v>
      </c>
      <c r="M505" s="976" t="s">
        <v>1651</v>
      </c>
      <c r="N505" s="976">
        <v>135.12481333333332</v>
      </c>
      <c r="O505" s="735">
        <f t="shared" si="23"/>
        <v>-29.875186666666679</v>
      </c>
      <c r="P505" s="738">
        <f t="shared" si="21"/>
        <v>135124.81333333332</v>
      </c>
      <c r="Q505" s="751">
        <f t="shared" si="22"/>
        <v>135000</v>
      </c>
      <c r="U505" s="747"/>
      <c r="V505" s="988"/>
      <c r="W505" s="1024"/>
    </row>
    <row r="506" spans="1:81" ht="14.25" customHeight="1">
      <c r="A506" s="976" t="s">
        <v>3905</v>
      </c>
      <c r="B506" s="976" t="s">
        <v>1218</v>
      </c>
      <c r="C506" s="977">
        <v>1722000540</v>
      </c>
      <c r="D506" s="976" t="s">
        <v>279</v>
      </c>
      <c r="E506" s="976">
        <v>0</v>
      </c>
      <c r="F506" s="976">
        <v>0</v>
      </c>
      <c r="G506" s="976">
        <v>0</v>
      </c>
      <c r="H506" s="976">
        <v>2.3876200000000001</v>
      </c>
      <c r="I506" s="976"/>
      <c r="J506" s="1041">
        <v>1</v>
      </c>
      <c r="K506" s="976">
        <v>3.3876200000000001</v>
      </c>
      <c r="L506" s="978">
        <v>3.3876200000000001</v>
      </c>
      <c r="M506" s="976" t="s">
        <v>1651</v>
      </c>
      <c r="N506" s="976">
        <v>4.5168266666666668</v>
      </c>
      <c r="O506" s="735">
        <f t="shared" si="23"/>
        <v>4.5168266666666668</v>
      </c>
      <c r="P506" s="738">
        <f t="shared" si="21"/>
        <v>4516.8266666666668</v>
      </c>
      <c r="Q506" s="751">
        <f t="shared" si="22"/>
        <v>5000</v>
      </c>
      <c r="U506" s="747"/>
      <c r="V506" s="988"/>
      <c r="W506" s="1024"/>
    </row>
    <row r="507" spans="1:81" ht="14.25" customHeight="1">
      <c r="A507" s="976" t="s">
        <v>3909</v>
      </c>
      <c r="B507" s="976" t="s">
        <v>1218</v>
      </c>
      <c r="C507" s="977">
        <v>1722000780</v>
      </c>
      <c r="D507" s="976" t="s">
        <v>280</v>
      </c>
      <c r="E507" s="976">
        <v>140</v>
      </c>
      <c r="F507" s="976">
        <v>140</v>
      </c>
      <c r="G507" s="976">
        <v>105</v>
      </c>
      <c r="H507" s="976">
        <v>51.274029999999996</v>
      </c>
      <c r="I507" s="976"/>
      <c r="J507" s="1041">
        <v>31</v>
      </c>
      <c r="K507" s="976">
        <v>82.274029999999996</v>
      </c>
      <c r="L507" s="978">
        <v>-22.725970000000004</v>
      </c>
      <c r="M507" s="976" t="s">
        <v>1651</v>
      </c>
      <c r="N507" s="976">
        <v>109.69870666666667</v>
      </c>
      <c r="O507" s="735">
        <f t="shared" si="23"/>
        <v>-30.301293333333334</v>
      </c>
      <c r="P507" s="738">
        <f t="shared" si="21"/>
        <v>109698.70666666667</v>
      </c>
      <c r="Q507" s="751">
        <f t="shared" si="22"/>
        <v>110000</v>
      </c>
      <c r="U507" s="747"/>
      <c r="V507" s="988"/>
      <c r="W507" s="1024"/>
    </row>
    <row r="508" spans="1:81" ht="14.25" customHeight="1">
      <c r="A508" s="976" t="s">
        <v>3868</v>
      </c>
      <c r="B508" s="976" t="s">
        <v>1218</v>
      </c>
      <c r="C508" s="977">
        <v>1722100430</v>
      </c>
      <c r="D508" s="976" t="s">
        <v>311</v>
      </c>
      <c r="E508" s="976">
        <v>2</v>
      </c>
      <c r="F508" s="976">
        <v>2</v>
      </c>
      <c r="G508" s="976">
        <v>1.5</v>
      </c>
      <c r="H508" s="976">
        <v>2.5944099999999999</v>
      </c>
      <c r="I508" s="976"/>
      <c r="J508" s="976"/>
      <c r="K508" s="976">
        <v>2.5944099999999999</v>
      </c>
      <c r="L508" s="978">
        <v>1.0944099999999999</v>
      </c>
      <c r="M508" s="976" t="s">
        <v>1651</v>
      </c>
      <c r="N508" s="976">
        <v>3.459213333333333</v>
      </c>
      <c r="O508" s="735">
        <f t="shared" si="23"/>
        <v>1.459213333333333</v>
      </c>
      <c r="P508" s="738">
        <f t="shared" si="21"/>
        <v>3459.2133333333331</v>
      </c>
      <c r="Q508" s="751">
        <f t="shared" si="22"/>
        <v>3000</v>
      </c>
      <c r="U508" s="747"/>
      <c r="V508" s="988"/>
      <c r="W508" s="1024"/>
    </row>
    <row r="509" spans="1:81" ht="14.25" customHeight="1">
      <c r="A509" s="976" t="s">
        <v>3913</v>
      </c>
      <c r="B509" s="976" t="s">
        <v>1218</v>
      </c>
      <c r="C509" s="977">
        <v>1722100750</v>
      </c>
      <c r="D509" s="976" t="s">
        <v>288</v>
      </c>
      <c r="E509" s="976">
        <v>3</v>
      </c>
      <c r="F509" s="976">
        <v>3</v>
      </c>
      <c r="G509" s="976">
        <v>2.25</v>
      </c>
      <c r="H509" s="976">
        <v>0</v>
      </c>
      <c r="I509" s="976"/>
      <c r="J509" s="976"/>
      <c r="K509" s="976">
        <v>0</v>
      </c>
      <c r="L509" s="978">
        <v>-2.25</v>
      </c>
      <c r="M509" s="976" t="s">
        <v>1651</v>
      </c>
      <c r="N509" s="976">
        <v>0</v>
      </c>
      <c r="O509" s="735">
        <f t="shared" si="23"/>
        <v>-3</v>
      </c>
      <c r="P509" s="738">
        <f t="shared" si="21"/>
        <v>0</v>
      </c>
      <c r="Q509" s="751">
        <f t="shared" si="22"/>
        <v>0</v>
      </c>
      <c r="U509" s="747"/>
      <c r="V509" s="988"/>
      <c r="W509" s="1024"/>
    </row>
    <row r="510" spans="1:81" ht="14.25" customHeight="1">
      <c r="A510" s="976" t="s">
        <v>3909</v>
      </c>
      <c r="B510" s="976" t="s">
        <v>1218</v>
      </c>
      <c r="C510" s="977">
        <v>1722100780</v>
      </c>
      <c r="D510" s="976" t="s">
        <v>280</v>
      </c>
      <c r="E510" s="976">
        <v>23</v>
      </c>
      <c r="F510" s="976">
        <v>23</v>
      </c>
      <c r="G510" s="976">
        <v>17.25</v>
      </c>
      <c r="H510" s="976">
        <v>5.0333300000000003</v>
      </c>
      <c r="I510" s="976"/>
      <c r="J510" s="1041">
        <v>10</v>
      </c>
      <c r="K510" s="976">
        <v>15.033329999999999</v>
      </c>
      <c r="L510" s="978">
        <v>-2.2166700000000006</v>
      </c>
      <c r="M510" s="976" t="s">
        <v>1651</v>
      </c>
      <c r="N510" s="976">
        <v>20.044439999999998</v>
      </c>
      <c r="O510" s="735">
        <f t="shared" si="23"/>
        <v>-2.955560000000002</v>
      </c>
      <c r="P510" s="738">
        <f t="shared" si="21"/>
        <v>20044.439999999999</v>
      </c>
      <c r="Q510" s="751">
        <f t="shared" si="22"/>
        <v>20000</v>
      </c>
      <c r="U510" s="747"/>
      <c r="V510" s="988"/>
      <c r="W510" s="1024"/>
      <c r="AY510" s="845"/>
      <c r="AZ510" s="845"/>
      <c r="BA510" s="845"/>
      <c r="BB510" s="845"/>
      <c r="BC510" s="845"/>
      <c r="BD510" s="845"/>
      <c r="BE510" s="845"/>
      <c r="BF510" s="845"/>
      <c r="BG510" s="845"/>
      <c r="BH510" s="845"/>
      <c r="BI510" s="845"/>
      <c r="BJ510" s="845"/>
      <c r="BK510" s="845"/>
      <c r="BL510" s="845"/>
      <c r="BM510" s="845"/>
      <c r="BN510" s="845"/>
      <c r="BO510" s="845"/>
      <c r="BP510" s="845"/>
      <c r="BQ510" s="845"/>
      <c r="BR510" s="845"/>
      <c r="BS510" s="845"/>
      <c r="BT510" s="845"/>
      <c r="BU510" s="845"/>
      <c r="BV510" s="845"/>
      <c r="BW510" s="845"/>
      <c r="BX510" s="845"/>
      <c r="BY510" s="845"/>
      <c r="BZ510" s="845"/>
      <c r="CA510" s="845"/>
      <c r="CB510" s="845"/>
      <c r="CC510" s="845"/>
    </row>
    <row r="511" spans="1:81" s="747" customFormat="1" ht="16.5" customHeight="1">
      <c r="A511" s="976" t="s">
        <v>3868</v>
      </c>
      <c r="B511" s="976" t="s">
        <v>1218</v>
      </c>
      <c r="C511" s="977">
        <v>1722300430</v>
      </c>
      <c r="D511" s="976" t="s">
        <v>311</v>
      </c>
      <c r="E511" s="976">
        <v>0</v>
      </c>
      <c r="F511" s="976">
        <v>0</v>
      </c>
      <c r="G511" s="976">
        <v>0</v>
      </c>
      <c r="H511" s="976">
        <v>0</v>
      </c>
      <c r="I511" s="976"/>
      <c r="J511" s="976"/>
      <c r="K511" s="976">
        <v>0</v>
      </c>
      <c r="L511" s="978">
        <v>0</v>
      </c>
      <c r="M511" s="976"/>
      <c r="N511" s="976">
        <v>0</v>
      </c>
      <c r="O511" s="735">
        <f t="shared" si="23"/>
        <v>0</v>
      </c>
      <c r="P511" s="738">
        <f t="shared" si="21"/>
        <v>0</v>
      </c>
      <c r="Q511" s="751">
        <f t="shared" si="22"/>
        <v>0</v>
      </c>
      <c r="V511" s="988"/>
      <c r="W511" s="1024"/>
    </row>
    <row r="512" spans="1:81" ht="14.25" customHeight="1">
      <c r="A512" s="976" t="s">
        <v>3908</v>
      </c>
      <c r="B512" s="976" t="s">
        <v>1218</v>
      </c>
      <c r="C512" s="977">
        <v>1722300530</v>
      </c>
      <c r="D512" s="976" t="s">
        <v>277</v>
      </c>
      <c r="E512" s="976">
        <v>175</v>
      </c>
      <c r="F512" s="976">
        <v>175</v>
      </c>
      <c r="G512" s="976">
        <v>131.25</v>
      </c>
      <c r="H512" s="976">
        <v>94.664880000000011</v>
      </c>
      <c r="I512" s="976"/>
      <c r="J512" s="1041">
        <v>4</v>
      </c>
      <c r="K512" s="976">
        <v>98.664880000000011</v>
      </c>
      <c r="L512" s="978">
        <v>-32.585119999999989</v>
      </c>
      <c r="M512" s="976" t="s">
        <v>1651</v>
      </c>
      <c r="N512" s="976">
        <v>131.55317333333335</v>
      </c>
      <c r="O512" s="735">
        <f t="shared" si="23"/>
        <v>-43.446826666666652</v>
      </c>
      <c r="P512" s="738">
        <f t="shared" si="21"/>
        <v>131553.17333333334</v>
      </c>
      <c r="Q512" s="751">
        <f t="shared" si="22"/>
        <v>132000</v>
      </c>
      <c r="U512" s="747"/>
      <c r="V512" s="988"/>
      <c r="W512" s="1024"/>
    </row>
    <row r="513" spans="1:81" ht="14.25" customHeight="1">
      <c r="A513" s="976" t="s">
        <v>3905</v>
      </c>
      <c r="B513" s="976" t="s">
        <v>1218</v>
      </c>
      <c r="C513" s="977">
        <v>1722300540</v>
      </c>
      <c r="D513" s="976" t="s">
        <v>279</v>
      </c>
      <c r="E513" s="976">
        <v>5</v>
      </c>
      <c r="F513" s="976">
        <v>5</v>
      </c>
      <c r="G513" s="976">
        <v>3.75</v>
      </c>
      <c r="H513" s="976">
        <v>0.32044</v>
      </c>
      <c r="I513" s="976"/>
      <c r="J513" s="1041">
        <v>1</v>
      </c>
      <c r="K513" s="976">
        <v>1.3204400000000001</v>
      </c>
      <c r="L513" s="978">
        <v>-2.4295599999999999</v>
      </c>
      <c r="M513" s="976" t="s">
        <v>1651</v>
      </c>
      <c r="N513" s="976">
        <v>1.7605866666666667</v>
      </c>
      <c r="O513" s="735">
        <f t="shared" si="23"/>
        <v>-3.2394133333333333</v>
      </c>
      <c r="P513" s="738">
        <f t="shared" si="21"/>
        <v>1760.5866666666668</v>
      </c>
      <c r="Q513" s="751">
        <f t="shared" si="22"/>
        <v>2000</v>
      </c>
      <c r="U513" s="747"/>
      <c r="V513" s="988"/>
      <c r="W513" s="1024"/>
    </row>
    <row r="514" spans="1:81" ht="14.25" customHeight="1">
      <c r="A514" s="976" t="s">
        <v>3909</v>
      </c>
      <c r="B514" s="976" t="s">
        <v>1218</v>
      </c>
      <c r="C514" s="977">
        <v>1722300780</v>
      </c>
      <c r="D514" s="976" t="s">
        <v>280</v>
      </c>
      <c r="E514" s="976">
        <v>100</v>
      </c>
      <c r="F514" s="976">
        <v>100</v>
      </c>
      <c r="G514" s="976">
        <v>75</v>
      </c>
      <c r="H514" s="976">
        <v>33.1128</v>
      </c>
      <c r="I514" s="976"/>
      <c r="J514" s="1041">
        <v>42</v>
      </c>
      <c r="K514" s="976">
        <v>75.112799999999993</v>
      </c>
      <c r="L514" s="978">
        <v>0.11279999999999291</v>
      </c>
      <c r="M514" s="976" t="s">
        <v>1651</v>
      </c>
      <c r="N514" s="976">
        <v>100.15039999999999</v>
      </c>
      <c r="O514" s="735">
        <f t="shared" si="23"/>
        <v>0.15039999999999054</v>
      </c>
      <c r="P514" s="738">
        <f t="shared" si="21"/>
        <v>100150.39999999999</v>
      </c>
      <c r="Q514" s="751">
        <f t="shared" si="22"/>
        <v>100000</v>
      </c>
      <c r="U514" s="747"/>
      <c r="V514" s="988"/>
      <c r="W514" s="1024"/>
    </row>
    <row r="515" spans="1:81" ht="14.25" customHeight="1">
      <c r="A515" s="976" t="s">
        <v>3869</v>
      </c>
      <c r="B515" s="976" t="s">
        <v>1218</v>
      </c>
      <c r="C515" s="977">
        <v>1723000420</v>
      </c>
      <c r="D515" s="976" t="s">
        <v>3330</v>
      </c>
      <c r="E515" s="976">
        <v>70</v>
      </c>
      <c r="F515" s="976">
        <v>70</v>
      </c>
      <c r="G515" s="976">
        <v>52.5</v>
      </c>
      <c r="H515" s="976">
        <v>31.452200000000001</v>
      </c>
      <c r="I515" s="976"/>
      <c r="J515" s="1041">
        <v>2</v>
      </c>
      <c r="K515" s="976">
        <v>33.452200000000005</v>
      </c>
      <c r="L515" s="978">
        <v>-19.047799999999995</v>
      </c>
      <c r="M515" s="976" t="s">
        <v>1651</v>
      </c>
      <c r="N515" s="976">
        <v>44.60293333333334</v>
      </c>
      <c r="O515" s="735">
        <f t="shared" si="23"/>
        <v>-25.39706666666666</v>
      </c>
      <c r="P515" s="738">
        <f t="shared" si="21"/>
        <v>44602.933333333342</v>
      </c>
      <c r="Q515" s="751">
        <f t="shared" si="22"/>
        <v>45000</v>
      </c>
      <c r="U515" s="747"/>
      <c r="V515" s="988"/>
      <c r="W515" s="1024"/>
    </row>
    <row r="516" spans="1:81" ht="14.25" customHeight="1">
      <c r="A516" s="976" t="s">
        <v>3868</v>
      </c>
      <c r="B516" s="976" t="s">
        <v>1218</v>
      </c>
      <c r="C516" s="977">
        <v>1723000430</v>
      </c>
      <c r="D516" s="976" t="s">
        <v>311</v>
      </c>
      <c r="E516" s="976">
        <v>45</v>
      </c>
      <c r="F516" s="976">
        <v>45</v>
      </c>
      <c r="G516" s="976">
        <v>33.75</v>
      </c>
      <c r="H516" s="976">
        <v>168.73614000000001</v>
      </c>
      <c r="I516" s="976"/>
      <c r="J516" s="1032">
        <v>-135</v>
      </c>
      <c r="K516" s="976">
        <v>33.736140000000006</v>
      </c>
      <c r="L516" s="978">
        <v>-1.3859999999993988E-2</v>
      </c>
      <c r="M516" s="976" t="s">
        <v>1651</v>
      </c>
      <c r="N516" s="976">
        <v>44.98152000000001</v>
      </c>
      <c r="O516" s="735">
        <f t="shared" si="23"/>
        <v>-1.8479999999989616E-2</v>
      </c>
      <c r="P516" s="738">
        <f t="shared" si="21"/>
        <v>44981.520000000011</v>
      </c>
      <c r="Q516" s="751">
        <f t="shared" si="22"/>
        <v>45000</v>
      </c>
      <c r="U516" s="747"/>
      <c r="V516" s="988"/>
      <c r="W516" s="1024"/>
    </row>
    <row r="517" spans="1:81" ht="14.25" customHeight="1">
      <c r="A517" s="976" t="s">
        <v>3928</v>
      </c>
      <c r="B517" s="976" t="s">
        <v>1218</v>
      </c>
      <c r="C517" s="977">
        <v>1723000830</v>
      </c>
      <c r="D517" s="976" t="s">
        <v>424</v>
      </c>
      <c r="E517" s="976">
        <v>654</v>
      </c>
      <c r="F517" s="976">
        <v>654</v>
      </c>
      <c r="G517" s="976">
        <v>490.5</v>
      </c>
      <c r="H517" s="976">
        <v>595.33000000000004</v>
      </c>
      <c r="I517" s="976"/>
      <c r="J517" s="1032">
        <v>-105</v>
      </c>
      <c r="K517" s="976">
        <v>490.33000000000004</v>
      </c>
      <c r="L517" s="978">
        <v>-0.16999999999995907</v>
      </c>
      <c r="M517" s="976" t="s">
        <v>1651</v>
      </c>
      <c r="N517" s="976">
        <v>653.77333333333343</v>
      </c>
      <c r="O517" s="735">
        <f t="shared" si="23"/>
        <v>-0.2266666666665742</v>
      </c>
      <c r="P517" s="738">
        <f t="shared" si="21"/>
        <v>653773.33333333337</v>
      </c>
      <c r="Q517" s="751">
        <f t="shared" si="22"/>
        <v>654000</v>
      </c>
      <c r="U517" s="747"/>
      <c r="V517" s="988"/>
      <c r="W517" s="1024"/>
      <c r="AY517" s="845"/>
      <c r="AZ517" s="845"/>
      <c r="BA517" s="845"/>
      <c r="BB517" s="845"/>
      <c r="BC517" s="845"/>
      <c r="BD517" s="845"/>
      <c r="BE517" s="845"/>
      <c r="BF517" s="845"/>
      <c r="BG517" s="845"/>
      <c r="BH517" s="845"/>
      <c r="BI517" s="845"/>
      <c r="BJ517" s="845"/>
      <c r="BK517" s="845"/>
      <c r="BL517" s="845"/>
      <c r="BM517" s="845"/>
      <c r="BN517" s="845"/>
      <c r="BO517" s="845"/>
      <c r="BP517" s="845"/>
      <c r="BQ517" s="845"/>
      <c r="BR517" s="845"/>
      <c r="BS517" s="845"/>
      <c r="BT517" s="845"/>
      <c r="BU517" s="845"/>
      <c r="BV517" s="845"/>
      <c r="BW517" s="845"/>
      <c r="BX517" s="845"/>
      <c r="BY517" s="845"/>
      <c r="BZ517" s="845"/>
      <c r="CA517" s="845"/>
      <c r="CB517" s="845"/>
      <c r="CC517" s="845"/>
    </row>
    <row r="518" spans="1:81" ht="14.25" customHeight="1">
      <c r="A518" s="976" t="s">
        <v>3928</v>
      </c>
      <c r="B518" s="976" t="s">
        <v>1218</v>
      </c>
      <c r="C518" s="977">
        <v>1724000830</v>
      </c>
      <c r="D518" s="976" t="s">
        <v>3331</v>
      </c>
      <c r="E518" s="976">
        <v>0</v>
      </c>
      <c r="F518" s="976">
        <v>0</v>
      </c>
      <c r="G518" s="976">
        <v>0</v>
      </c>
      <c r="H518" s="976">
        <v>0</v>
      </c>
      <c r="I518" s="976"/>
      <c r="J518" s="976"/>
      <c r="K518" s="976">
        <v>0</v>
      </c>
      <c r="L518" s="978">
        <v>0</v>
      </c>
      <c r="M518" s="976"/>
      <c r="N518" s="976">
        <v>0</v>
      </c>
      <c r="O518" s="735">
        <f t="shared" si="23"/>
        <v>0</v>
      </c>
      <c r="P518" s="738">
        <f t="shared" si="21"/>
        <v>0</v>
      </c>
      <c r="Q518" s="751">
        <f t="shared" si="22"/>
        <v>0</v>
      </c>
      <c r="U518" s="747"/>
      <c r="V518" s="988"/>
      <c r="W518" s="1024"/>
      <c r="AY518" s="845"/>
      <c r="AZ518" s="845"/>
      <c r="BA518" s="845"/>
      <c r="BB518" s="845"/>
      <c r="BC518" s="845"/>
      <c r="BD518" s="845"/>
      <c r="BE518" s="845"/>
      <c r="BF518" s="845"/>
      <c r="BG518" s="845"/>
      <c r="BH518" s="845"/>
      <c r="BI518" s="845"/>
      <c r="BJ518" s="845"/>
      <c r="BK518" s="845"/>
      <c r="BL518" s="845"/>
      <c r="BM518" s="845"/>
      <c r="BN518" s="845"/>
      <c r="BO518" s="845"/>
      <c r="BP518" s="845"/>
      <c r="BQ518" s="845"/>
      <c r="BR518" s="845"/>
      <c r="BS518" s="845"/>
      <c r="BT518" s="845"/>
      <c r="BU518" s="845"/>
      <c r="BV518" s="845"/>
      <c r="BW518" s="845"/>
      <c r="BX518" s="845"/>
      <c r="BY518" s="845"/>
      <c r="BZ518" s="845"/>
      <c r="CA518" s="845"/>
      <c r="CB518" s="845"/>
      <c r="CC518" s="845"/>
    </row>
    <row r="519" spans="1:81" ht="14.25" customHeight="1">
      <c r="A519" s="976" t="s">
        <v>3922</v>
      </c>
      <c r="B519" s="976" t="s">
        <v>1218</v>
      </c>
      <c r="C519" s="977">
        <v>1729997550</v>
      </c>
      <c r="D519" s="976" t="s">
        <v>3332</v>
      </c>
      <c r="E519" s="976">
        <v>0</v>
      </c>
      <c r="F519" s="976">
        <v>0</v>
      </c>
      <c r="G519" s="976">
        <v>0</v>
      </c>
      <c r="H519" s="976">
        <v>0</v>
      </c>
      <c r="I519" s="976"/>
      <c r="J519" s="976"/>
      <c r="K519" s="976">
        <v>0</v>
      </c>
      <c r="L519" s="978">
        <v>0</v>
      </c>
      <c r="M519" s="976"/>
      <c r="N519" s="976">
        <v>0</v>
      </c>
      <c r="O519" s="735">
        <f t="shared" si="23"/>
        <v>0</v>
      </c>
      <c r="P519" s="738">
        <f t="shared" si="21"/>
        <v>0</v>
      </c>
      <c r="Q519" s="751">
        <f t="shared" si="22"/>
        <v>0</v>
      </c>
      <c r="U519" s="747"/>
      <c r="V519" s="988"/>
      <c r="W519" s="1024"/>
      <c r="AY519" s="845"/>
      <c r="AZ519" s="845"/>
      <c r="BA519" s="845"/>
      <c r="BB519" s="845"/>
      <c r="BC519" s="845"/>
      <c r="BD519" s="845"/>
      <c r="BE519" s="845"/>
      <c r="BF519" s="845"/>
      <c r="BG519" s="845"/>
      <c r="BH519" s="845"/>
      <c r="BI519" s="845"/>
      <c r="BJ519" s="845"/>
      <c r="BK519" s="845"/>
      <c r="BL519" s="845"/>
      <c r="BM519" s="845"/>
      <c r="BN519" s="845"/>
      <c r="BO519" s="845"/>
      <c r="BP519" s="845"/>
      <c r="BQ519" s="845"/>
      <c r="BR519" s="845"/>
      <c r="BS519" s="845"/>
      <c r="BT519" s="845"/>
      <c r="BU519" s="845"/>
      <c r="BV519" s="845"/>
      <c r="BW519" s="845"/>
      <c r="BX519" s="845"/>
      <c r="BY519" s="845"/>
      <c r="BZ519" s="845"/>
      <c r="CA519" s="845"/>
      <c r="CB519" s="845"/>
      <c r="CC519" s="845"/>
    </row>
    <row r="520" spans="1:81" ht="14.25" customHeight="1">
      <c r="A520" s="976" t="s">
        <v>3909</v>
      </c>
      <c r="B520" s="976" t="s">
        <v>1218</v>
      </c>
      <c r="C520" s="977">
        <v>1729997780</v>
      </c>
      <c r="D520" s="976" t="s">
        <v>3333</v>
      </c>
      <c r="E520" s="976">
        <v>0</v>
      </c>
      <c r="F520" s="976">
        <v>0</v>
      </c>
      <c r="G520" s="976">
        <v>0</v>
      </c>
      <c r="H520" s="976">
        <v>0</v>
      </c>
      <c r="I520" s="976"/>
      <c r="J520" s="976"/>
      <c r="K520" s="976">
        <v>0</v>
      </c>
      <c r="L520" s="978">
        <v>0</v>
      </c>
      <c r="M520" s="976"/>
      <c r="N520" s="976">
        <v>0</v>
      </c>
      <c r="O520" s="735">
        <f t="shared" si="23"/>
        <v>0</v>
      </c>
      <c r="P520" s="738">
        <f t="shared" ref="P520:P583" si="24">N520*1000</f>
        <v>0</v>
      </c>
      <c r="Q520" s="751">
        <f t="shared" ref="Q520:Q583" si="25">ROUND(P520,-3)</f>
        <v>0</v>
      </c>
      <c r="U520" s="747"/>
      <c r="V520" s="988"/>
      <c r="W520" s="1024"/>
      <c r="AY520" s="845"/>
      <c r="AZ520" s="845"/>
      <c r="BA520" s="845"/>
      <c r="BB520" s="845"/>
      <c r="BC520" s="845"/>
      <c r="BD520" s="845"/>
      <c r="BE520" s="845"/>
      <c r="BF520" s="845"/>
      <c r="BG520" s="845"/>
      <c r="BH520" s="845"/>
      <c r="BI520" s="845"/>
      <c r="BJ520" s="845"/>
      <c r="BK520" s="845"/>
      <c r="BL520" s="845"/>
      <c r="BM520" s="845"/>
      <c r="BN520" s="845"/>
      <c r="BO520" s="845"/>
      <c r="BP520" s="845"/>
      <c r="BQ520" s="845"/>
      <c r="BR520" s="845"/>
      <c r="BS520" s="845"/>
      <c r="BT520" s="845"/>
      <c r="BU520" s="845"/>
      <c r="BV520" s="845"/>
      <c r="BW520" s="845"/>
      <c r="BX520" s="845"/>
      <c r="BY520" s="845"/>
      <c r="BZ520" s="845"/>
      <c r="CA520" s="845"/>
      <c r="CB520" s="845"/>
      <c r="CC520" s="845"/>
    </row>
    <row r="521" spans="1:81" ht="14.25" customHeight="1">
      <c r="A521" s="976" t="s">
        <v>3913</v>
      </c>
      <c r="B521" s="976" t="s">
        <v>1218</v>
      </c>
      <c r="C521" s="977">
        <v>1729998750</v>
      </c>
      <c r="D521" s="976" t="s">
        <v>3334</v>
      </c>
      <c r="E521" s="976">
        <v>0</v>
      </c>
      <c r="F521" s="976">
        <v>0</v>
      </c>
      <c r="G521" s="976">
        <v>0</v>
      </c>
      <c r="H521" s="976">
        <v>0</v>
      </c>
      <c r="I521" s="976"/>
      <c r="J521" s="976"/>
      <c r="K521" s="976">
        <v>0</v>
      </c>
      <c r="L521" s="978">
        <v>0</v>
      </c>
      <c r="M521" s="976"/>
      <c r="N521" s="976">
        <v>0</v>
      </c>
      <c r="O521" s="735">
        <f t="shared" ref="O521:O584" si="26">N521-E521</f>
        <v>0</v>
      </c>
      <c r="P521" s="738">
        <f t="shared" si="24"/>
        <v>0</v>
      </c>
      <c r="Q521" s="751">
        <f t="shared" si="25"/>
        <v>0</v>
      </c>
      <c r="U521" s="747"/>
      <c r="V521" s="988"/>
      <c r="W521" s="1024"/>
      <c r="AY521" s="845"/>
      <c r="AZ521" s="845"/>
      <c r="BA521" s="845"/>
      <c r="BB521" s="845"/>
      <c r="BC521" s="845"/>
      <c r="BD521" s="845"/>
      <c r="BE521" s="845"/>
      <c r="BF521" s="845"/>
      <c r="BG521" s="845"/>
      <c r="BH521" s="845"/>
      <c r="BI521" s="845"/>
      <c r="BJ521" s="845"/>
      <c r="BK521" s="845"/>
      <c r="BL521" s="845"/>
      <c r="BM521" s="845"/>
      <c r="BN521" s="845"/>
      <c r="BO521" s="845"/>
      <c r="BP521" s="845"/>
      <c r="BQ521" s="845"/>
      <c r="BR521" s="845"/>
      <c r="BS521" s="845"/>
      <c r="BT521" s="845"/>
      <c r="BU521" s="845"/>
      <c r="BV521" s="845"/>
      <c r="BW521" s="845"/>
      <c r="BX521" s="845"/>
      <c r="BY521" s="845"/>
      <c r="BZ521" s="845"/>
      <c r="CA521" s="845"/>
      <c r="CB521" s="845"/>
      <c r="CC521" s="845"/>
    </row>
    <row r="522" spans="1:81" ht="14.25" customHeight="1">
      <c r="A522" s="976" t="s">
        <v>3908</v>
      </c>
      <c r="B522" s="976" t="s">
        <v>1218</v>
      </c>
      <c r="C522" s="977">
        <v>1729999530</v>
      </c>
      <c r="D522" s="976" t="s">
        <v>3335</v>
      </c>
      <c r="E522" s="976">
        <v>0</v>
      </c>
      <c r="F522" s="976">
        <v>0</v>
      </c>
      <c r="G522" s="976">
        <v>0</v>
      </c>
      <c r="H522" s="976">
        <v>0</v>
      </c>
      <c r="I522" s="976"/>
      <c r="J522" s="976"/>
      <c r="K522" s="976">
        <v>0</v>
      </c>
      <c r="L522" s="978">
        <v>0</v>
      </c>
      <c r="M522" s="976"/>
      <c r="N522" s="976">
        <v>0</v>
      </c>
      <c r="O522" s="735">
        <f t="shared" si="26"/>
        <v>0</v>
      </c>
      <c r="P522" s="738">
        <f t="shared" si="24"/>
        <v>0</v>
      </c>
      <c r="Q522" s="751">
        <f t="shared" si="25"/>
        <v>0</v>
      </c>
      <c r="U522" s="747"/>
      <c r="V522" s="988"/>
      <c r="W522" s="1024"/>
      <c r="AY522" s="845"/>
      <c r="AZ522" s="845"/>
      <c r="BA522" s="845"/>
      <c r="BB522" s="845"/>
      <c r="BC522" s="845"/>
      <c r="BD522" s="845"/>
      <c r="BE522" s="845"/>
      <c r="BF522" s="845"/>
      <c r="BG522" s="845"/>
      <c r="BH522" s="845"/>
      <c r="BI522" s="845"/>
      <c r="BJ522" s="845"/>
      <c r="BK522" s="845"/>
      <c r="BL522" s="845"/>
      <c r="BM522" s="845"/>
      <c r="BN522" s="845"/>
      <c r="BO522" s="845"/>
      <c r="BP522" s="845"/>
      <c r="BQ522" s="845"/>
      <c r="BR522" s="845"/>
      <c r="BS522" s="845"/>
      <c r="BT522" s="845"/>
      <c r="BU522" s="845"/>
      <c r="BV522" s="845"/>
      <c r="BW522" s="845"/>
      <c r="BX522" s="845"/>
      <c r="BY522" s="845"/>
      <c r="BZ522" s="845"/>
      <c r="CA522" s="845"/>
      <c r="CB522" s="845"/>
      <c r="CC522" s="845"/>
    </row>
    <row r="523" spans="1:81" ht="14.25" customHeight="1">
      <c r="A523" s="976" t="s">
        <v>3922</v>
      </c>
      <c r="B523" s="976" t="s">
        <v>1218</v>
      </c>
      <c r="C523" s="977">
        <v>1729999550</v>
      </c>
      <c r="D523" s="976" t="s">
        <v>3336</v>
      </c>
      <c r="E523" s="976">
        <v>0</v>
      </c>
      <c r="F523" s="976">
        <v>0</v>
      </c>
      <c r="G523" s="976">
        <v>0</v>
      </c>
      <c r="H523" s="976">
        <v>0</v>
      </c>
      <c r="I523" s="976"/>
      <c r="J523" s="976"/>
      <c r="K523" s="976">
        <v>0</v>
      </c>
      <c r="L523" s="978">
        <v>0</v>
      </c>
      <c r="M523" s="976"/>
      <c r="N523" s="976">
        <v>0</v>
      </c>
      <c r="O523" s="735">
        <f t="shared" si="26"/>
        <v>0</v>
      </c>
      <c r="P523" s="738">
        <f t="shared" si="24"/>
        <v>0</v>
      </c>
      <c r="Q523" s="751">
        <f t="shared" si="25"/>
        <v>0</v>
      </c>
      <c r="U523" s="747"/>
      <c r="V523" s="988"/>
      <c r="W523" s="1024"/>
      <c r="AY523" s="845"/>
      <c r="AZ523" s="845"/>
      <c r="BA523" s="845"/>
      <c r="BB523" s="845"/>
      <c r="BC523" s="845"/>
      <c r="BD523" s="845"/>
      <c r="BE523" s="845"/>
      <c r="BF523" s="845"/>
      <c r="BG523" s="845"/>
      <c r="BH523" s="845"/>
      <c r="BI523" s="845"/>
      <c r="BJ523" s="845"/>
      <c r="BK523" s="845"/>
      <c r="BL523" s="845"/>
      <c r="BM523" s="845"/>
      <c r="BN523" s="845"/>
      <c r="BO523" s="845"/>
      <c r="BP523" s="845"/>
      <c r="BQ523" s="845"/>
      <c r="BR523" s="845"/>
      <c r="BS523" s="845"/>
      <c r="BT523" s="845"/>
      <c r="BU523" s="845"/>
      <c r="BV523" s="845"/>
      <c r="BW523" s="845"/>
      <c r="BX523" s="845"/>
      <c r="BY523" s="845"/>
      <c r="BZ523" s="845"/>
      <c r="CA523" s="845"/>
      <c r="CB523" s="845"/>
      <c r="CC523" s="845"/>
    </row>
    <row r="524" spans="1:81" ht="14.25" customHeight="1">
      <c r="A524" s="976" t="s">
        <v>3892</v>
      </c>
      <c r="B524" s="976" t="s">
        <v>1218</v>
      </c>
      <c r="C524" s="977">
        <v>1729999931</v>
      </c>
      <c r="D524" s="976" t="s">
        <v>3337</v>
      </c>
      <c r="E524" s="976">
        <v>0</v>
      </c>
      <c r="F524" s="976">
        <v>0</v>
      </c>
      <c r="G524" s="976">
        <v>0</v>
      </c>
      <c r="H524" s="976">
        <v>0</v>
      </c>
      <c r="I524" s="976"/>
      <c r="J524" s="976"/>
      <c r="K524" s="976">
        <v>0</v>
      </c>
      <c r="L524" s="978">
        <v>0</v>
      </c>
      <c r="M524" s="976"/>
      <c r="N524" s="976">
        <v>0</v>
      </c>
      <c r="O524" s="735">
        <f t="shared" si="26"/>
        <v>0</v>
      </c>
      <c r="P524" s="738">
        <f t="shared" si="24"/>
        <v>0</v>
      </c>
      <c r="Q524" s="751">
        <f t="shared" si="25"/>
        <v>0</v>
      </c>
      <c r="U524" s="747"/>
      <c r="V524" s="988"/>
      <c r="W524" s="1024"/>
      <c r="AY524" s="845"/>
      <c r="AZ524" s="845"/>
      <c r="BA524" s="845"/>
      <c r="BB524" s="845"/>
      <c r="BC524" s="845"/>
      <c r="BD524" s="845"/>
      <c r="BE524" s="845"/>
      <c r="BF524" s="845"/>
      <c r="BG524" s="845"/>
      <c r="BH524" s="845"/>
      <c r="BI524" s="845"/>
      <c r="BJ524" s="845"/>
      <c r="BK524" s="845"/>
      <c r="BL524" s="845"/>
      <c r="BM524" s="845"/>
      <c r="BN524" s="845"/>
      <c r="BO524" s="845"/>
      <c r="BP524" s="845"/>
      <c r="BQ524" s="845"/>
      <c r="BR524" s="845"/>
      <c r="BS524" s="845"/>
      <c r="BT524" s="845"/>
      <c r="BU524" s="845"/>
      <c r="BV524" s="845"/>
      <c r="BW524" s="845"/>
      <c r="BX524" s="845"/>
      <c r="BY524" s="845"/>
      <c r="BZ524" s="845"/>
      <c r="CA524" s="845"/>
      <c r="CB524" s="845"/>
      <c r="CC524" s="845"/>
    </row>
    <row r="525" spans="1:81" ht="14.25" customHeight="1">
      <c r="A525" s="976" t="s">
        <v>3893</v>
      </c>
      <c r="B525" s="976" t="s">
        <v>1218</v>
      </c>
      <c r="C525" s="977">
        <v>1729999932</v>
      </c>
      <c r="D525" s="976" t="s">
        <v>3338</v>
      </c>
      <c r="E525" s="976">
        <v>0</v>
      </c>
      <c r="F525" s="976">
        <v>0</v>
      </c>
      <c r="G525" s="976">
        <v>0</v>
      </c>
      <c r="H525" s="976">
        <v>0</v>
      </c>
      <c r="I525" s="976"/>
      <c r="J525" s="976"/>
      <c r="K525" s="976">
        <v>0</v>
      </c>
      <c r="L525" s="978">
        <v>0</v>
      </c>
      <c r="M525" s="976"/>
      <c r="N525" s="976">
        <v>0</v>
      </c>
      <c r="O525" s="735">
        <f t="shared" si="26"/>
        <v>0</v>
      </c>
      <c r="P525" s="738">
        <f t="shared" si="24"/>
        <v>0</v>
      </c>
      <c r="Q525" s="751">
        <f t="shared" si="25"/>
        <v>0</v>
      </c>
      <c r="U525" s="747"/>
      <c r="V525" s="988"/>
      <c r="W525" s="1024"/>
    </row>
    <row r="526" spans="1:81" ht="14.25" customHeight="1">
      <c r="A526" s="976" t="s">
        <v>3867</v>
      </c>
      <c r="B526" s="976" t="s">
        <v>1222</v>
      </c>
      <c r="C526" s="977">
        <v>1731000410</v>
      </c>
      <c r="D526" s="976" t="s">
        <v>304</v>
      </c>
      <c r="E526" s="976">
        <v>83</v>
      </c>
      <c r="F526" s="976">
        <v>83</v>
      </c>
      <c r="G526" s="976">
        <v>62.25</v>
      </c>
      <c r="H526" s="976">
        <v>81.081000000000003</v>
      </c>
      <c r="I526" s="976"/>
      <c r="J526" s="1032">
        <v>-19</v>
      </c>
      <c r="K526" s="976">
        <v>62.081000000000003</v>
      </c>
      <c r="L526" s="978">
        <v>-0.16899999999999693</v>
      </c>
      <c r="M526" s="976" t="s">
        <v>2388</v>
      </c>
      <c r="N526" s="976">
        <v>82.774666666666661</v>
      </c>
      <c r="O526" s="735">
        <f t="shared" si="26"/>
        <v>-0.22533333333333871</v>
      </c>
      <c r="P526" s="738">
        <f t="shared" si="24"/>
        <v>82774.666666666657</v>
      </c>
      <c r="Q526" s="751">
        <f t="shared" si="25"/>
        <v>83000</v>
      </c>
      <c r="U526" s="747"/>
      <c r="V526" s="988"/>
      <c r="W526" s="1024"/>
      <c r="AY526" s="845"/>
      <c r="AZ526" s="845"/>
      <c r="BA526" s="845"/>
      <c r="BB526" s="845"/>
      <c r="BC526" s="845"/>
      <c r="BD526" s="845"/>
      <c r="BE526" s="845"/>
      <c r="BF526" s="845"/>
      <c r="BG526" s="845"/>
      <c r="BH526" s="845"/>
      <c r="BI526" s="845"/>
      <c r="BJ526" s="845"/>
      <c r="BK526" s="845"/>
      <c r="BL526" s="845"/>
      <c r="BM526" s="845"/>
      <c r="BN526" s="845"/>
      <c r="BO526" s="845"/>
      <c r="BP526" s="845"/>
      <c r="BQ526" s="845"/>
      <c r="BR526" s="845"/>
      <c r="BS526" s="845"/>
      <c r="BT526" s="845"/>
      <c r="BU526" s="845"/>
      <c r="BV526" s="845"/>
      <c r="BW526" s="845"/>
      <c r="BX526" s="845"/>
      <c r="BY526" s="845"/>
      <c r="BZ526" s="845"/>
      <c r="CA526" s="845"/>
      <c r="CB526" s="845"/>
      <c r="CC526" s="845"/>
    </row>
    <row r="527" spans="1:81" ht="14.25" customHeight="1">
      <c r="A527" s="976" t="s">
        <v>3868</v>
      </c>
      <c r="B527" s="976" t="s">
        <v>1222</v>
      </c>
      <c r="C527" s="977">
        <v>1731000430</v>
      </c>
      <c r="D527" s="976" t="s">
        <v>311</v>
      </c>
      <c r="E527" s="976">
        <v>6</v>
      </c>
      <c r="F527" s="976">
        <v>6</v>
      </c>
      <c r="G527" s="976">
        <v>4.5</v>
      </c>
      <c r="H527" s="976">
        <v>4.7865099999999998</v>
      </c>
      <c r="I527" s="976"/>
      <c r="J527" s="1041">
        <v>1</v>
      </c>
      <c r="K527" s="976">
        <v>5.7865099999999998</v>
      </c>
      <c r="L527" s="978">
        <v>1.2865099999999998</v>
      </c>
      <c r="M527" s="976" t="s">
        <v>2388</v>
      </c>
      <c r="N527" s="976">
        <v>7.7153466666666661</v>
      </c>
      <c r="O527" s="735">
        <f t="shared" si="26"/>
        <v>1.7153466666666661</v>
      </c>
      <c r="P527" s="738">
        <f t="shared" si="24"/>
        <v>7715.3466666666664</v>
      </c>
      <c r="Q527" s="751">
        <f t="shared" si="25"/>
        <v>8000</v>
      </c>
      <c r="U527" s="747"/>
      <c r="V527" s="988"/>
      <c r="W527" s="1024"/>
    </row>
    <row r="528" spans="1:81" s="747" customFormat="1" ht="14.25" customHeight="1">
      <c r="A528" s="976" t="s">
        <v>3924</v>
      </c>
      <c r="B528" s="976" t="s">
        <v>1222</v>
      </c>
      <c r="C528" s="977">
        <v>1731000522</v>
      </c>
      <c r="D528" s="976" t="s">
        <v>327</v>
      </c>
      <c r="E528" s="976">
        <v>6</v>
      </c>
      <c r="F528" s="976">
        <v>6</v>
      </c>
      <c r="G528" s="976">
        <v>4.5</v>
      </c>
      <c r="H528" s="976">
        <v>6</v>
      </c>
      <c r="I528" s="976"/>
      <c r="J528" s="1032">
        <v>-2</v>
      </c>
      <c r="K528" s="976">
        <v>4</v>
      </c>
      <c r="L528" s="978">
        <v>-0.5</v>
      </c>
      <c r="M528" s="976" t="s">
        <v>2388</v>
      </c>
      <c r="N528" s="976">
        <v>5.333333333333333</v>
      </c>
      <c r="O528" s="735">
        <f t="shared" si="26"/>
        <v>-0.66666666666666696</v>
      </c>
      <c r="P528" s="738">
        <f t="shared" si="24"/>
        <v>5333.333333333333</v>
      </c>
      <c r="Q528" s="751">
        <f t="shared" si="25"/>
        <v>5000</v>
      </c>
      <c r="V528" s="988"/>
      <c r="W528" s="1024"/>
    </row>
    <row r="529" spans="1:81" ht="14.25" customHeight="1">
      <c r="A529" s="976" t="s">
        <v>3908</v>
      </c>
      <c r="B529" s="976" t="s">
        <v>1222</v>
      </c>
      <c r="C529" s="977">
        <v>1731000530</v>
      </c>
      <c r="D529" s="976" t="s">
        <v>277</v>
      </c>
      <c r="E529" s="976">
        <v>160</v>
      </c>
      <c r="F529" s="976">
        <v>160</v>
      </c>
      <c r="G529" s="976">
        <v>120</v>
      </c>
      <c r="H529" s="976">
        <v>90.054580000000001</v>
      </c>
      <c r="I529" s="976"/>
      <c r="J529" s="1041">
        <v>15</v>
      </c>
      <c r="K529" s="976">
        <v>105.05458</v>
      </c>
      <c r="L529" s="978">
        <v>-14.945419999999999</v>
      </c>
      <c r="M529" s="976" t="s">
        <v>2388</v>
      </c>
      <c r="N529" s="976">
        <v>140.07277333333334</v>
      </c>
      <c r="O529" s="735">
        <f t="shared" si="26"/>
        <v>-19.927226666666655</v>
      </c>
      <c r="P529" s="738">
        <f t="shared" si="24"/>
        <v>140072.77333333335</v>
      </c>
      <c r="Q529" s="751">
        <f t="shared" si="25"/>
        <v>140000</v>
      </c>
      <c r="U529" s="747"/>
      <c r="V529" s="988"/>
      <c r="W529" s="1024"/>
      <c r="AY529" s="845"/>
      <c r="AZ529" s="845"/>
      <c r="BA529" s="845"/>
      <c r="BB529" s="845"/>
      <c r="BC529" s="845"/>
      <c r="BD529" s="845"/>
      <c r="BE529" s="845"/>
      <c r="BF529" s="845"/>
      <c r="BG529" s="845"/>
      <c r="BH529" s="845"/>
      <c r="BI529" s="845"/>
      <c r="BJ529" s="845"/>
      <c r="BK529" s="845"/>
      <c r="BL529" s="845"/>
      <c r="BM529" s="845"/>
      <c r="BN529" s="845"/>
      <c r="BO529" s="845"/>
      <c r="BP529" s="845"/>
      <c r="BQ529" s="845"/>
      <c r="BR529" s="845"/>
      <c r="BS529" s="845"/>
      <c r="BT529" s="845"/>
      <c r="BU529" s="845"/>
      <c r="BV529" s="845"/>
      <c r="BW529" s="845"/>
      <c r="BX529" s="845"/>
      <c r="BY529" s="845"/>
      <c r="BZ529" s="845"/>
      <c r="CA529" s="845"/>
      <c r="CB529" s="845"/>
      <c r="CC529" s="845"/>
    </row>
    <row r="530" spans="1:81" ht="14.25" customHeight="1">
      <c r="A530" s="976" t="s">
        <v>3905</v>
      </c>
      <c r="B530" s="976" t="s">
        <v>1222</v>
      </c>
      <c r="C530" s="977">
        <v>1731000540</v>
      </c>
      <c r="D530" s="976" t="s">
        <v>279</v>
      </c>
      <c r="E530" s="976">
        <v>6</v>
      </c>
      <c r="F530" s="976">
        <v>6</v>
      </c>
      <c r="G530" s="976">
        <v>4.5</v>
      </c>
      <c r="H530" s="976">
        <v>4.1289199999999999</v>
      </c>
      <c r="I530" s="976"/>
      <c r="J530" s="1041">
        <v>1</v>
      </c>
      <c r="K530" s="976">
        <v>5.1289199999999999</v>
      </c>
      <c r="L530" s="978">
        <v>0.62891999999999992</v>
      </c>
      <c r="M530" s="976" t="s">
        <v>2388</v>
      </c>
      <c r="N530" s="976">
        <v>6.8385599999999993</v>
      </c>
      <c r="O530" s="735">
        <f t="shared" si="26"/>
        <v>0.83855999999999931</v>
      </c>
      <c r="P530" s="738">
        <f t="shared" si="24"/>
        <v>6838.5599999999995</v>
      </c>
      <c r="Q530" s="751">
        <f t="shared" si="25"/>
        <v>7000</v>
      </c>
      <c r="U530" s="747"/>
      <c r="V530" s="988"/>
      <c r="W530" s="1024"/>
      <c r="AY530" s="845"/>
      <c r="AZ530" s="845"/>
      <c r="BA530" s="845"/>
      <c r="BB530" s="845"/>
      <c r="BC530" s="845"/>
      <c r="BD530" s="845"/>
      <c r="BE530" s="845"/>
      <c r="BF530" s="845"/>
      <c r="BG530" s="845"/>
      <c r="BH530" s="845"/>
      <c r="BI530" s="845"/>
      <c r="BJ530" s="845"/>
      <c r="BK530" s="845"/>
      <c r="BL530" s="845"/>
      <c r="BM530" s="845"/>
      <c r="BN530" s="845"/>
      <c r="BO530" s="845"/>
      <c r="BP530" s="845"/>
      <c r="BQ530" s="845"/>
      <c r="BR530" s="845"/>
      <c r="BS530" s="845"/>
      <c r="BT530" s="845"/>
      <c r="BU530" s="845"/>
      <c r="BV530" s="845"/>
      <c r="BW530" s="845"/>
      <c r="BX530" s="845"/>
      <c r="BY530" s="845"/>
      <c r="BZ530" s="845"/>
      <c r="CA530" s="845"/>
      <c r="CB530" s="845"/>
      <c r="CC530" s="845"/>
    </row>
    <row r="531" spans="1:81" ht="14.25" customHeight="1">
      <c r="A531" s="976" t="s">
        <v>3922</v>
      </c>
      <c r="B531" s="976" t="s">
        <v>1222</v>
      </c>
      <c r="C531" s="977">
        <v>1731000550</v>
      </c>
      <c r="D531" s="976" t="s">
        <v>318</v>
      </c>
      <c r="E531" s="976">
        <v>0</v>
      </c>
      <c r="F531" s="976">
        <v>0</v>
      </c>
      <c r="G531" s="976">
        <v>0</v>
      </c>
      <c r="H531" s="976">
        <v>0</v>
      </c>
      <c r="I531" s="976"/>
      <c r="J531" s="976"/>
      <c r="K531" s="976">
        <v>0</v>
      </c>
      <c r="L531" s="978">
        <v>0</v>
      </c>
      <c r="M531" s="976"/>
      <c r="N531" s="976">
        <v>0</v>
      </c>
      <c r="O531" s="735">
        <f t="shared" si="26"/>
        <v>0</v>
      </c>
      <c r="P531" s="738">
        <f t="shared" si="24"/>
        <v>0</v>
      </c>
      <c r="Q531" s="751">
        <f t="shared" si="25"/>
        <v>0</v>
      </c>
      <c r="U531" s="747"/>
      <c r="V531" s="988"/>
      <c r="W531" s="1024"/>
      <c r="AY531" s="845"/>
      <c r="AZ531" s="845"/>
      <c r="BA531" s="845"/>
      <c r="BB531" s="845"/>
      <c r="BC531" s="845"/>
      <c r="BD531" s="845"/>
      <c r="BE531" s="845"/>
      <c r="BF531" s="845"/>
      <c r="BG531" s="845"/>
      <c r="BH531" s="845"/>
      <c r="BI531" s="845"/>
      <c r="BJ531" s="845"/>
      <c r="BK531" s="845"/>
      <c r="BL531" s="845"/>
      <c r="BM531" s="845"/>
      <c r="BN531" s="845"/>
      <c r="BO531" s="845"/>
      <c r="BP531" s="845"/>
      <c r="BQ531" s="845"/>
      <c r="BR531" s="845"/>
      <c r="BS531" s="845"/>
      <c r="BT531" s="845"/>
      <c r="BU531" s="845"/>
      <c r="BV531" s="845"/>
      <c r="BW531" s="845"/>
      <c r="BX531" s="845"/>
      <c r="BY531" s="845"/>
      <c r="BZ531" s="845"/>
      <c r="CA531" s="845"/>
      <c r="CB531" s="845"/>
      <c r="CC531" s="845"/>
    </row>
    <row r="532" spans="1:81" ht="14.25" customHeight="1">
      <c r="A532" s="976" t="s">
        <v>3913</v>
      </c>
      <c r="B532" s="976"/>
      <c r="C532" s="977">
        <v>1731000750</v>
      </c>
      <c r="D532" s="976" t="s">
        <v>288</v>
      </c>
      <c r="E532" s="976">
        <v>500</v>
      </c>
      <c r="F532" s="976">
        <v>500</v>
      </c>
      <c r="G532" s="976">
        <v>375</v>
      </c>
      <c r="H532" s="976">
        <v>0.27000999999999997</v>
      </c>
      <c r="I532" s="976"/>
      <c r="J532" s="976"/>
      <c r="K532" s="976">
        <v>0.27000999999999997</v>
      </c>
      <c r="L532" s="978">
        <v>-374.72998999999999</v>
      </c>
      <c r="M532" s="976" t="s">
        <v>3636</v>
      </c>
      <c r="N532" s="976">
        <v>0.3600133333333333</v>
      </c>
      <c r="O532" s="735">
        <f t="shared" si="26"/>
        <v>-499.63998666666669</v>
      </c>
      <c r="P532" s="738">
        <f t="shared" si="24"/>
        <v>360.01333333333332</v>
      </c>
      <c r="Q532" s="751">
        <f t="shared" si="25"/>
        <v>0</v>
      </c>
      <c r="U532" s="747"/>
      <c r="V532" s="988"/>
      <c r="W532" s="1024"/>
    </row>
    <row r="533" spans="1:81" ht="14.25" customHeight="1">
      <c r="A533" s="976" t="s">
        <v>3909</v>
      </c>
      <c r="B533" s="976" t="s">
        <v>1222</v>
      </c>
      <c r="C533" s="977">
        <v>1731000780</v>
      </c>
      <c r="D533" s="976" t="s">
        <v>280</v>
      </c>
      <c r="E533" s="976">
        <v>642</v>
      </c>
      <c r="F533" s="976">
        <v>642</v>
      </c>
      <c r="G533" s="976">
        <v>481.5</v>
      </c>
      <c r="H533" s="976">
        <v>201.59155999999999</v>
      </c>
      <c r="I533" s="976"/>
      <c r="J533" s="1041">
        <v>174</v>
      </c>
      <c r="K533" s="976">
        <v>375.59155999999996</v>
      </c>
      <c r="L533" s="978">
        <v>-105.90844000000004</v>
      </c>
      <c r="M533" s="976" t="s">
        <v>3637</v>
      </c>
      <c r="N533" s="976">
        <v>500.78874666666667</v>
      </c>
      <c r="O533" s="735">
        <f t="shared" si="26"/>
        <v>-141.21125333333333</v>
      </c>
      <c r="P533" s="738">
        <f t="shared" si="24"/>
        <v>500788.74666666664</v>
      </c>
      <c r="Q533" s="751">
        <f t="shared" si="25"/>
        <v>501000</v>
      </c>
      <c r="U533" s="747"/>
      <c r="V533" s="988"/>
      <c r="W533" s="1024"/>
      <c r="AY533" s="845"/>
      <c r="AZ533" s="845"/>
      <c r="BA533" s="845"/>
      <c r="BB533" s="845"/>
      <c r="BC533" s="845"/>
      <c r="BD533" s="845"/>
      <c r="BE533" s="845"/>
      <c r="BF533" s="845"/>
      <c r="BG533" s="845"/>
      <c r="BH533" s="845"/>
      <c r="BI533" s="845"/>
      <c r="BJ533" s="845"/>
      <c r="BK533" s="845"/>
      <c r="BL533" s="845"/>
      <c r="BM533" s="845"/>
      <c r="BN533" s="845"/>
      <c r="BO533" s="845"/>
      <c r="BP533" s="845"/>
      <c r="BQ533" s="845"/>
      <c r="BR533" s="845"/>
      <c r="BS533" s="845"/>
      <c r="BT533" s="845"/>
      <c r="BU533" s="845"/>
      <c r="BV533" s="845"/>
      <c r="BW533" s="845"/>
      <c r="BX533" s="845"/>
      <c r="BY533" s="845"/>
      <c r="BZ533" s="845"/>
      <c r="CA533" s="845"/>
      <c r="CB533" s="845"/>
      <c r="CC533" s="845"/>
    </row>
    <row r="534" spans="1:81" ht="14.25" customHeight="1">
      <c r="A534" s="976" t="s">
        <v>3912</v>
      </c>
      <c r="B534" s="976" t="s">
        <v>1222</v>
      </c>
      <c r="C534" s="999">
        <v>1731000781</v>
      </c>
      <c r="D534" s="999" t="s">
        <v>3339</v>
      </c>
      <c r="E534" s="976">
        <v>0</v>
      </c>
      <c r="F534" s="976">
        <v>0</v>
      </c>
      <c r="G534" s="976">
        <v>0</v>
      </c>
      <c r="H534" s="976">
        <v>0</v>
      </c>
      <c r="I534" s="976"/>
      <c r="J534" s="976"/>
      <c r="K534" s="976">
        <v>0</v>
      </c>
      <c r="L534" s="978">
        <v>0</v>
      </c>
      <c r="M534" s="976"/>
      <c r="N534" s="976">
        <v>0</v>
      </c>
      <c r="O534" s="735">
        <f t="shared" si="26"/>
        <v>0</v>
      </c>
      <c r="P534" s="738">
        <f t="shared" si="24"/>
        <v>0</v>
      </c>
      <c r="Q534" s="751">
        <f t="shared" si="25"/>
        <v>0</v>
      </c>
      <c r="U534" s="747"/>
      <c r="V534" s="988"/>
      <c r="W534" s="1024"/>
    </row>
    <row r="535" spans="1:81" ht="14.25" customHeight="1">
      <c r="A535" s="976" t="s">
        <v>3913</v>
      </c>
      <c r="B535" s="976" t="s">
        <v>1222</v>
      </c>
      <c r="C535" s="977">
        <v>1732000750</v>
      </c>
      <c r="D535" s="976" t="s">
        <v>288</v>
      </c>
      <c r="E535" s="976">
        <v>225</v>
      </c>
      <c r="F535" s="976">
        <v>225</v>
      </c>
      <c r="G535" s="976">
        <v>168.75</v>
      </c>
      <c r="H535" s="976">
        <v>22.131</v>
      </c>
      <c r="I535" s="976"/>
      <c r="J535" s="1041">
        <v>147</v>
      </c>
      <c r="K535" s="976">
        <v>169.131</v>
      </c>
      <c r="L535" s="978">
        <v>0.38100000000000023</v>
      </c>
      <c r="M535" s="976" t="s">
        <v>3638</v>
      </c>
      <c r="N535" s="976">
        <v>225.50800000000001</v>
      </c>
      <c r="O535" s="735">
        <f t="shared" si="26"/>
        <v>0.50800000000000978</v>
      </c>
      <c r="P535" s="738">
        <f t="shared" si="24"/>
        <v>225508</v>
      </c>
      <c r="Q535" s="751">
        <f t="shared" si="25"/>
        <v>226000</v>
      </c>
      <c r="U535" s="747"/>
      <c r="V535" s="988"/>
      <c r="W535" s="1024"/>
    </row>
    <row r="536" spans="1:81" s="747" customFormat="1" ht="14.25" customHeight="1">
      <c r="A536" s="976" t="s">
        <v>3867</v>
      </c>
      <c r="B536" s="976" t="s">
        <v>1222</v>
      </c>
      <c r="C536" s="977">
        <v>1734000410</v>
      </c>
      <c r="D536" s="976" t="s">
        <v>304</v>
      </c>
      <c r="E536" s="976">
        <v>490</v>
      </c>
      <c r="F536" s="976">
        <v>490</v>
      </c>
      <c r="G536" s="976">
        <v>367.5</v>
      </c>
      <c r="H536" s="976">
        <v>369.089</v>
      </c>
      <c r="I536" s="976"/>
      <c r="J536" s="1032">
        <v>-91</v>
      </c>
      <c r="K536" s="976">
        <v>278.089</v>
      </c>
      <c r="L536" s="978">
        <v>-89.411000000000001</v>
      </c>
      <c r="M536" s="976" t="s">
        <v>3639</v>
      </c>
      <c r="N536" s="976">
        <v>370.78533333333337</v>
      </c>
      <c r="O536" s="735">
        <f t="shared" si="26"/>
        <v>-119.21466666666663</v>
      </c>
      <c r="P536" s="738">
        <f t="shared" si="24"/>
        <v>370785.33333333337</v>
      </c>
      <c r="Q536" s="751">
        <f t="shared" si="25"/>
        <v>371000</v>
      </c>
      <c r="V536" s="988"/>
      <c r="W536" s="1024"/>
    </row>
    <row r="537" spans="1:81" ht="14.25" customHeight="1">
      <c r="A537" s="976" t="s">
        <v>3908</v>
      </c>
      <c r="B537" s="976" t="s">
        <v>1222</v>
      </c>
      <c r="C537" s="977">
        <v>1734000530</v>
      </c>
      <c r="D537" s="976" t="s">
        <v>277</v>
      </c>
      <c r="E537" s="976">
        <v>65</v>
      </c>
      <c r="F537" s="976">
        <v>65</v>
      </c>
      <c r="G537" s="976">
        <v>48.75</v>
      </c>
      <c r="H537" s="976">
        <v>43.419669999999996</v>
      </c>
      <c r="I537" s="976"/>
      <c r="J537" s="1041">
        <v>5</v>
      </c>
      <c r="K537" s="976">
        <v>48.419669999999996</v>
      </c>
      <c r="L537" s="978">
        <v>-0.33033000000000357</v>
      </c>
      <c r="M537" s="976" t="s">
        <v>2388</v>
      </c>
      <c r="N537" s="976">
        <v>64.559559999999991</v>
      </c>
      <c r="O537" s="735">
        <f t="shared" si="26"/>
        <v>-0.44044000000000949</v>
      </c>
      <c r="P537" s="738">
        <f t="shared" si="24"/>
        <v>64559.55999999999</v>
      </c>
      <c r="Q537" s="751">
        <f t="shared" si="25"/>
        <v>65000</v>
      </c>
      <c r="U537" s="747"/>
      <c r="V537" s="988"/>
      <c r="W537" s="1024"/>
    </row>
    <row r="538" spans="1:81" ht="14.25" customHeight="1">
      <c r="A538" s="976" t="s">
        <v>3913</v>
      </c>
      <c r="B538" s="976" t="s">
        <v>1222</v>
      </c>
      <c r="C538" s="977">
        <v>1734000750</v>
      </c>
      <c r="D538" s="976" t="s">
        <v>288</v>
      </c>
      <c r="E538" s="976">
        <v>2278</v>
      </c>
      <c r="F538" s="976">
        <v>2278</v>
      </c>
      <c r="G538" s="976">
        <v>1708.5</v>
      </c>
      <c r="H538" s="976">
        <v>1020.97385</v>
      </c>
      <c r="I538" s="976"/>
      <c r="J538" s="1041">
        <v>271</v>
      </c>
      <c r="K538" s="976">
        <v>1291.9738499999999</v>
      </c>
      <c r="L538" s="978">
        <v>-416.52615000000014</v>
      </c>
      <c r="M538" s="976" t="s">
        <v>3640</v>
      </c>
      <c r="N538" s="976">
        <v>1722.6317999999999</v>
      </c>
      <c r="O538" s="735">
        <f t="shared" si="26"/>
        <v>-555.36820000000012</v>
      </c>
      <c r="P538" s="738">
        <f t="shared" si="24"/>
        <v>1722631.7999999998</v>
      </c>
      <c r="Q538" s="751">
        <f t="shared" si="25"/>
        <v>1723000</v>
      </c>
      <c r="U538" s="747"/>
      <c r="V538" s="988"/>
      <c r="W538" s="1024"/>
    </row>
    <row r="539" spans="1:81" s="747" customFormat="1" ht="14.25" customHeight="1">
      <c r="A539" s="976" t="s">
        <v>3909</v>
      </c>
      <c r="B539" s="976" t="s">
        <v>1222</v>
      </c>
      <c r="C539" s="977">
        <v>1735000780</v>
      </c>
      <c r="D539" s="976" t="s">
        <v>3340</v>
      </c>
      <c r="E539" s="976">
        <v>10</v>
      </c>
      <c r="F539" s="976">
        <v>10</v>
      </c>
      <c r="G539" s="976">
        <v>7.5</v>
      </c>
      <c r="H539" s="976">
        <v>6.4743500000000003</v>
      </c>
      <c r="I539" s="976"/>
      <c r="J539" s="976"/>
      <c r="K539" s="976">
        <v>6.4743500000000003</v>
      </c>
      <c r="L539" s="978">
        <v>-1.0256499999999997</v>
      </c>
      <c r="M539" s="976" t="s">
        <v>3630</v>
      </c>
      <c r="N539" s="976">
        <v>8.6324666666666658</v>
      </c>
      <c r="O539" s="735">
        <f t="shared" si="26"/>
        <v>-1.3675333333333342</v>
      </c>
      <c r="P539" s="738">
        <f t="shared" si="24"/>
        <v>8632.4666666666653</v>
      </c>
      <c r="Q539" s="751">
        <f t="shared" si="25"/>
        <v>9000</v>
      </c>
      <c r="V539" s="988"/>
      <c r="W539" s="1024"/>
    </row>
    <row r="540" spans="1:81" ht="14.25" customHeight="1">
      <c r="A540" s="976" t="s">
        <v>3908</v>
      </c>
      <c r="B540" s="976" t="s">
        <v>1227</v>
      </c>
      <c r="C540" s="977">
        <v>1742000530</v>
      </c>
      <c r="D540" s="976" t="s">
        <v>277</v>
      </c>
      <c r="E540" s="976">
        <v>170</v>
      </c>
      <c r="F540" s="976">
        <v>170</v>
      </c>
      <c r="G540" s="976">
        <v>127.5</v>
      </c>
      <c r="H540" s="976">
        <v>104.02196000000001</v>
      </c>
      <c r="I540" s="976"/>
      <c r="J540" s="1041">
        <v>8</v>
      </c>
      <c r="K540" s="976">
        <v>112.02196000000001</v>
      </c>
      <c r="L540" s="978">
        <v>-15.478039999999993</v>
      </c>
      <c r="M540" s="976" t="s">
        <v>3591</v>
      </c>
      <c r="N540" s="976">
        <v>149.36261333333334</v>
      </c>
      <c r="O540" s="735">
        <f t="shared" si="26"/>
        <v>-20.637386666666657</v>
      </c>
      <c r="P540" s="738">
        <f t="shared" si="24"/>
        <v>149362.61333333334</v>
      </c>
      <c r="Q540" s="751">
        <f t="shared" si="25"/>
        <v>149000</v>
      </c>
      <c r="U540" s="747"/>
      <c r="V540" s="988"/>
      <c r="W540" s="1024"/>
      <c r="AY540" s="845"/>
      <c r="AZ540" s="845"/>
      <c r="BA540" s="845"/>
      <c r="BB540" s="845"/>
      <c r="BC540" s="845"/>
      <c r="BD540" s="845"/>
      <c r="BE540" s="845"/>
      <c r="BF540" s="845"/>
      <c r="BG540" s="845"/>
      <c r="BH540" s="845"/>
      <c r="BI540" s="845"/>
      <c r="BJ540" s="845"/>
      <c r="BK540" s="845"/>
      <c r="BL540" s="845"/>
      <c r="BM540" s="845"/>
      <c r="BN540" s="845"/>
      <c r="BO540" s="845"/>
      <c r="BP540" s="845"/>
      <c r="BQ540" s="845"/>
      <c r="BR540" s="845"/>
      <c r="BS540" s="845"/>
      <c r="BT540" s="845"/>
      <c r="BU540" s="845"/>
      <c r="BV540" s="845"/>
      <c r="BW540" s="845"/>
      <c r="BX540" s="845"/>
      <c r="BY540" s="845"/>
      <c r="BZ540" s="845"/>
      <c r="CA540" s="845"/>
      <c r="CB540" s="845"/>
      <c r="CC540" s="845"/>
    </row>
    <row r="541" spans="1:81" ht="14.25" customHeight="1">
      <c r="A541" s="976" t="s">
        <v>3867</v>
      </c>
      <c r="B541" s="976" t="s">
        <v>1227</v>
      </c>
      <c r="C541" s="977">
        <v>1742000410</v>
      </c>
      <c r="D541" s="976" t="s">
        <v>304</v>
      </c>
      <c r="E541" s="976">
        <v>0</v>
      </c>
      <c r="F541" s="976">
        <v>0</v>
      </c>
      <c r="G541" s="976">
        <v>0</v>
      </c>
      <c r="H541" s="976">
        <v>0</v>
      </c>
      <c r="I541" s="976"/>
      <c r="J541" s="976"/>
      <c r="K541" s="976">
        <v>0</v>
      </c>
      <c r="L541" s="978">
        <v>0</v>
      </c>
      <c r="M541" s="976" t="s">
        <v>3630</v>
      </c>
      <c r="N541" s="976">
        <v>0</v>
      </c>
      <c r="O541" s="735">
        <f t="shared" si="26"/>
        <v>0</v>
      </c>
      <c r="P541" s="738">
        <f t="shared" si="24"/>
        <v>0</v>
      </c>
      <c r="Q541" s="751">
        <f t="shared" si="25"/>
        <v>0</v>
      </c>
      <c r="U541" s="747"/>
      <c r="V541" s="988"/>
      <c r="W541" s="1024"/>
      <c r="AY541" s="845"/>
      <c r="AZ541" s="845"/>
      <c r="BA541" s="845"/>
      <c r="BB541" s="845"/>
      <c r="BC541" s="845"/>
      <c r="BD541" s="845"/>
      <c r="BE541" s="845"/>
      <c r="BF541" s="845"/>
      <c r="BG541" s="845"/>
      <c r="BH541" s="845"/>
      <c r="BI541" s="845"/>
      <c r="BJ541" s="845"/>
      <c r="BK541" s="845"/>
      <c r="BL541" s="845"/>
      <c r="BM541" s="845"/>
      <c r="BN541" s="845"/>
      <c r="BO541" s="845"/>
      <c r="BP541" s="845"/>
      <c r="BQ541" s="845"/>
      <c r="BR541" s="845"/>
      <c r="BS541" s="845"/>
      <c r="BT541" s="845"/>
      <c r="BU541" s="845"/>
      <c r="BV541" s="845"/>
      <c r="BW541" s="845"/>
      <c r="BX541" s="845"/>
      <c r="BY541" s="845"/>
      <c r="BZ541" s="845"/>
      <c r="CA541" s="845"/>
      <c r="CB541" s="845"/>
      <c r="CC541" s="845"/>
    </row>
    <row r="542" spans="1:81" s="887" customFormat="1" ht="18" customHeight="1">
      <c r="A542" s="976" t="s">
        <v>3905</v>
      </c>
      <c r="B542" s="976" t="s">
        <v>1227</v>
      </c>
      <c r="C542" s="977">
        <v>1742000540</v>
      </c>
      <c r="D542" s="976" t="s">
        <v>279</v>
      </c>
      <c r="E542" s="976">
        <v>2</v>
      </c>
      <c r="F542" s="976">
        <v>2</v>
      </c>
      <c r="G542" s="976">
        <v>1.5</v>
      </c>
      <c r="H542" s="976">
        <v>1.5463499999999999</v>
      </c>
      <c r="I542" s="976"/>
      <c r="J542" s="976"/>
      <c r="K542" s="976">
        <v>1.5463499999999999</v>
      </c>
      <c r="L542" s="978">
        <v>4.6349999999999891E-2</v>
      </c>
      <c r="M542" s="976"/>
      <c r="N542" s="976">
        <v>2.0617999999999999</v>
      </c>
      <c r="O542" s="735">
        <f t="shared" si="26"/>
        <v>6.1799999999999855E-2</v>
      </c>
      <c r="P542" s="738">
        <f t="shared" si="24"/>
        <v>2061.7999999999997</v>
      </c>
      <c r="Q542" s="751">
        <f t="shared" si="25"/>
        <v>2000</v>
      </c>
      <c r="R542" s="886"/>
      <c r="S542" s="886"/>
      <c r="T542" s="886"/>
      <c r="U542" s="886"/>
      <c r="V542" s="988"/>
      <c r="W542" s="1024"/>
      <c r="X542" s="886"/>
      <c r="Y542" s="886"/>
      <c r="Z542" s="886"/>
      <c r="AA542" s="886"/>
      <c r="AB542" s="886"/>
      <c r="AC542" s="886"/>
      <c r="AD542" s="886"/>
      <c r="AE542" s="886"/>
      <c r="AF542" s="886"/>
      <c r="AG542" s="886"/>
      <c r="AH542" s="886"/>
      <c r="AI542" s="886"/>
      <c r="AJ542" s="886"/>
      <c r="AK542" s="886"/>
      <c r="AL542" s="886"/>
      <c r="AM542" s="886"/>
      <c r="AN542" s="886"/>
      <c r="AO542" s="886"/>
      <c r="AP542" s="886"/>
      <c r="AQ542" s="886"/>
      <c r="AR542" s="886"/>
      <c r="AS542" s="886"/>
      <c r="AT542" s="886"/>
      <c r="AU542" s="886"/>
      <c r="AV542" s="886"/>
      <c r="AW542" s="886"/>
      <c r="AX542" s="886"/>
      <c r="AY542" s="886"/>
      <c r="AZ542" s="886"/>
      <c r="BA542" s="886"/>
      <c r="BB542" s="886"/>
      <c r="BC542" s="886"/>
      <c r="BD542" s="886"/>
      <c r="BE542" s="886"/>
      <c r="BF542" s="886"/>
      <c r="BG542" s="886"/>
      <c r="BH542" s="886"/>
      <c r="BI542" s="886"/>
      <c r="BJ542" s="886"/>
      <c r="BK542" s="886"/>
      <c r="BL542" s="886"/>
      <c r="BM542" s="886"/>
      <c r="BN542" s="886"/>
      <c r="BO542" s="886"/>
      <c r="BP542" s="886"/>
      <c r="BQ542" s="886"/>
      <c r="BR542" s="886"/>
      <c r="BS542" s="886"/>
      <c r="BT542" s="886"/>
      <c r="BU542" s="886"/>
      <c r="BV542" s="886"/>
      <c r="BW542" s="886"/>
      <c r="BX542" s="886"/>
      <c r="BY542" s="886"/>
      <c r="BZ542" s="886"/>
      <c r="CA542" s="886"/>
      <c r="CB542" s="886"/>
      <c r="CC542" s="886"/>
    </row>
    <row r="543" spans="1:81" s="747" customFormat="1" ht="14.25" customHeight="1">
      <c r="A543" s="976" t="s">
        <v>3913</v>
      </c>
      <c r="B543" s="976" t="s">
        <v>1227</v>
      </c>
      <c r="C543" s="977">
        <v>1742000750</v>
      </c>
      <c r="D543" s="976" t="s">
        <v>288</v>
      </c>
      <c r="E543" s="976">
        <v>400</v>
      </c>
      <c r="F543" s="976">
        <v>500</v>
      </c>
      <c r="G543" s="976">
        <v>300</v>
      </c>
      <c r="H543" s="976">
        <v>227.96652</v>
      </c>
      <c r="I543" s="976"/>
      <c r="J543" s="1041">
        <v>8</v>
      </c>
      <c r="K543" s="976">
        <v>235.96652</v>
      </c>
      <c r="L543" s="978">
        <v>-64.033479999999997</v>
      </c>
      <c r="M543" s="976" t="s">
        <v>3591</v>
      </c>
      <c r="N543" s="976">
        <v>314.62202666666667</v>
      </c>
      <c r="O543" s="735">
        <f t="shared" si="26"/>
        <v>-85.37797333333333</v>
      </c>
      <c r="P543" s="738">
        <f t="shared" si="24"/>
        <v>314622.02666666667</v>
      </c>
      <c r="Q543" s="751">
        <f t="shared" si="25"/>
        <v>315000</v>
      </c>
      <c r="V543" s="988"/>
      <c r="W543" s="1024"/>
    </row>
    <row r="544" spans="1:81" s="747" customFormat="1" ht="14.25" customHeight="1">
      <c r="A544" s="976" t="s">
        <v>3868</v>
      </c>
      <c r="B544" s="976" t="s">
        <v>1227</v>
      </c>
      <c r="C544" s="977">
        <v>1743000430</v>
      </c>
      <c r="D544" s="976" t="s">
        <v>311</v>
      </c>
      <c r="E544" s="976">
        <v>0</v>
      </c>
      <c r="F544" s="976">
        <v>0</v>
      </c>
      <c r="G544" s="976">
        <v>0</v>
      </c>
      <c r="H544" s="976">
        <v>7.6940900000000001</v>
      </c>
      <c r="I544" s="976"/>
      <c r="J544" s="976"/>
      <c r="K544" s="976">
        <v>7.6940900000000001</v>
      </c>
      <c r="L544" s="978">
        <v>7.6940900000000001</v>
      </c>
      <c r="M544" s="976"/>
      <c r="N544" s="976">
        <v>10.258786666666667</v>
      </c>
      <c r="O544" s="735">
        <f t="shared" si="26"/>
        <v>10.258786666666667</v>
      </c>
      <c r="P544" s="738">
        <f t="shared" si="24"/>
        <v>10258.786666666667</v>
      </c>
      <c r="Q544" s="751">
        <f t="shared" si="25"/>
        <v>10000</v>
      </c>
      <c r="V544" s="988"/>
      <c r="W544" s="1024"/>
    </row>
    <row r="545" spans="1:240" s="747" customFormat="1" ht="14.25" customHeight="1">
      <c r="A545" s="976" t="s">
        <v>3908</v>
      </c>
      <c r="B545" s="976" t="s">
        <v>1227</v>
      </c>
      <c r="C545" s="977">
        <v>1743000530</v>
      </c>
      <c r="D545" s="976" t="s">
        <v>277</v>
      </c>
      <c r="E545" s="976">
        <v>360</v>
      </c>
      <c r="F545" s="976">
        <v>360</v>
      </c>
      <c r="G545" s="976">
        <v>270</v>
      </c>
      <c r="H545" s="976">
        <v>215.99348000000001</v>
      </c>
      <c r="I545" s="976"/>
      <c r="J545" s="1041">
        <v>24</v>
      </c>
      <c r="K545" s="976">
        <v>239.99348000000001</v>
      </c>
      <c r="L545" s="978">
        <v>-30.006519999999995</v>
      </c>
      <c r="M545" s="976" t="s">
        <v>3591</v>
      </c>
      <c r="N545" s="976">
        <v>319.99130666666667</v>
      </c>
      <c r="O545" s="735">
        <f t="shared" si="26"/>
        <v>-40.008693333333326</v>
      </c>
      <c r="P545" s="738">
        <f t="shared" si="24"/>
        <v>319991.3066666667</v>
      </c>
      <c r="Q545" s="751">
        <f t="shared" si="25"/>
        <v>320000</v>
      </c>
      <c r="V545" s="988"/>
      <c r="W545" s="1024"/>
    </row>
    <row r="546" spans="1:240" s="747" customFormat="1" ht="14.25" customHeight="1">
      <c r="A546" s="976" t="s">
        <v>3905</v>
      </c>
      <c r="B546" s="976" t="s">
        <v>1227</v>
      </c>
      <c r="C546" s="977">
        <v>1743000540</v>
      </c>
      <c r="D546" s="976" t="s">
        <v>279</v>
      </c>
      <c r="E546" s="976">
        <v>5</v>
      </c>
      <c r="F546" s="976">
        <v>5</v>
      </c>
      <c r="G546" s="976">
        <v>3.75</v>
      </c>
      <c r="H546" s="976">
        <v>1.8479300000000001</v>
      </c>
      <c r="I546" s="976"/>
      <c r="J546" s="976"/>
      <c r="K546" s="976">
        <v>1.8479300000000001</v>
      </c>
      <c r="L546" s="978">
        <v>-1.9020699999999999</v>
      </c>
      <c r="M546" s="976" t="s">
        <v>3591</v>
      </c>
      <c r="N546" s="976">
        <v>2.4639066666666669</v>
      </c>
      <c r="O546" s="735">
        <f t="shared" si="26"/>
        <v>-2.5360933333333331</v>
      </c>
      <c r="P546" s="738">
        <f t="shared" si="24"/>
        <v>2463.9066666666668</v>
      </c>
      <c r="Q546" s="751">
        <f t="shared" si="25"/>
        <v>2000</v>
      </c>
      <c r="V546" s="988"/>
      <c r="W546" s="1024"/>
    </row>
    <row r="547" spans="1:240" s="747" customFormat="1" ht="14.25" customHeight="1">
      <c r="A547" s="976" t="s">
        <v>3927</v>
      </c>
      <c r="B547" s="976" t="s">
        <v>1227</v>
      </c>
      <c r="C547" s="977">
        <v>1743000720</v>
      </c>
      <c r="D547" s="976" t="s">
        <v>400</v>
      </c>
      <c r="E547" s="976">
        <v>15</v>
      </c>
      <c r="F547" s="976">
        <v>15</v>
      </c>
      <c r="G547" s="976">
        <v>11.25</v>
      </c>
      <c r="H547" s="976">
        <v>5.5021400000000007</v>
      </c>
      <c r="I547" s="976"/>
      <c r="J547" s="1041">
        <v>6</v>
      </c>
      <c r="K547" s="976">
        <v>11.502140000000001</v>
      </c>
      <c r="L547" s="978">
        <v>0.2521400000000007</v>
      </c>
      <c r="M547" s="976" t="s">
        <v>3591</v>
      </c>
      <c r="N547" s="976">
        <v>15.33618666666667</v>
      </c>
      <c r="O547" s="735">
        <f t="shared" si="26"/>
        <v>0.33618666666666996</v>
      </c>
      <c r="P547" s="738">
        <f t="shared" si="24"/>
        <v>15336.18666666667</v>
      </c>
      <c r="Q547" s="751">
        <f t="shared" si="25"/>
        <v>15000</v>
      </c>
      <c r="V547" s="988"/>
      <c r="W547" s="1024"/>
    </row>
    <row r="548" spans="1:240" s="747" customFormat="1" ht="13.5" customHeight="1">
      <c r="A548" s="976" t="s">
        <v>3890</v>
      </c>
      <c r="B548" s="976" t="s">
        <v>1227</v>
      </c>
      <c r="C548" s="977">
        <v>1743000740</v>
      </c>
      <c r="D548" s="976" t="s">
        <v>3341</v>
      </c>
      <c r="E548" s="976">
        <v>55</v>
      </c>
      <c r="F548" s="976">
        <v>55</v>
      </c>
      <c r="G548" s="976">
        <v>41.25</v>
      </c>
      <c r="H548" s="976">
        <v>4.8912800000000001</v>
      </c>
      <c r="I548" s="976"/>
      <c r="J548" s="1041">
        <v>36</v>
      </c>
      <c r="K548" s="976">
        <v>40.891280000000002</v>
      </c>
      <c r="L548" s="978">
        <v>-0.35871999999999815</v>
      </c>
      <c r="M548" s="976" t="s">
        <v>3591</v>
      </c>
      <c r="N548" s="976">
        <v>54.521706666666674</v>
      </c>
      <c r="O548" s="735">
        <f t="shared" si="26"/>
        <v>-0.47829333333332613</v>
      </c>
      <c r="P548" s="738">
        <f t="shared" si="24"/>
        <v>54521.706666666672</v>
      </c>
      <c r="Q548" s="751">
        <f t="shared" si="25"/>
        <v>55000</v>
      </c>
      <c r="V548" s="988"/>
      <c r="W548" s="1024"/>
    </row>
    <row r="549" spans="1:240" s="747" customFormat="1" ht="14.25" customHeight="1">
      <c r="A549" s="976" t="s">
        <v>3913</v>
      </c>
      <c r="B549" s="976" t="s">
        <v>1227</v>
      </c>
      <c r="C549" s="977">
        <v>1743000750</v>
      </c>
      <c r="D549" s="976" t="s">
        <v>288</v>
      </c>
      <c r="E549" s="976">
        <v>0</v>
      </c>
      <c r="F549" s="976">
        <v>0</v>
      </c>
      <c r="G549" s="976">
        <v>0</v>
      </c>
      <c r="H549" s="976">
        <v>0</v>
      </c>
      <c r="I549" s="976"/>
      <c r="J549" s="976"/>
      <c r="K549" s="976">
        <v>0</v>
      </c>
      <c r="L549" s="978">
        <v>0</v>
      </c>
      <c r="M549" s="976"/>
      <c r="N549" s="976">
        <v>0</v>
      </c>
      <c r="O549" s="888">
        <f t="shared" si="26"/>
        <v>0</v>
      </c>
      <c r="P549" s="738">
        <f t="shared" si="24"/>
        <v>0</v>
      </c>
      <c r="Q549" s="751">
        <f t="shared" si="25"/>
        <v>0</v>
      </c>
      <c r="R549" s="889"/>
      <c r="S549" s="889"/>
      <c r="T549" s="889"/>
      <c r="V549" s="988"/>
      <c r="W549" s="1024"/>
    </row>
    <row r="550" spans="1:240" s="747" customFormat="1" ht="14.25" customHeight="1">
      <c r="A550" s="976" t="s">
        <v>3929</v>
      </c>
      <c r="B550" s="1016" t="s">
        <v>1227</v>
      </c>
      <c r="C550" s="977">
        <v>1743000760</v>
      </c>
      <c r="D550" s="976" t="s">
        <v>453</v>
      </c>
      <c r="E550" s="976">
        <v>4100</v>
      </c>
      <c r="F550" s="976">
        <v>4100</v>
      </c>
      <c r="G550" s="976">
        <v>3075</v>
      </c>
      <c r="H550" s="976">
        <v>3957.7850800000001</v>
      </c>
      <c r="I550" s="976"/>
      <c r="J550" s="1032">
        <v>-883</v>
      </c>
      <c r="K550" s="976">
        <v>3074.7850800000001</v>
      </c>
      <c r="L550" s="978">
        <v>-0.21491999999989275</v>
      </c>
      <c r="M550" s="976" t="s">
        <v>3641</v>
      </c>
      <c r="N550" s="976">
        <v>4099.7134400000004</v>
      </c>
      <c r="O550" s="735">
        <f t="shared" si="26"/>
        <v>-0.28655999999955384</v>
      </c>
      <c r="P550" s="738">
        <f t="shared" si="24"/>
        <v>4099713.4400000004</v>
      </c>
      <c r="Q550" s="751">
        <f t="shared" si="25"/>
        <v>4100000</v>
      </c>
      <c r="V550" s="988"/>
      <c r="W550" s="1024"/>
    </row>
    <row r="551" spans="1:240" ht="14.25" customHeight="1">
      <c r="A551" s="976" t="s">
        <v>3909</v>
      </c>
      <c r="B551" s="976" t="s">
        <v>1227</v>
      </c>
      <c r="C551" s="977">
        <v>1743000780</v>
      </c>
      <c r="D551" s="976" t="s">
        <v>280</v>
      </c>
      <c r="E551" s="976">
        <v>75</v>
      </c>
      <c r="F551" s="976">
        <v>75</v>
      </c>
      <c r="G551" s="976">
        <v>56.25</v>
      </c>
      <c r="H551" s="976">
        <v>28.251549999999998</v>
      </c>
      <c r="I551" s="976"/>
      <c r="J551" s="1041">
        <v>28</v>
      </c>
      <c r="K551" s="976">
        <v>56.251549999999995</v>
      </c>
      <c r="L551" s="978">
        <v>1.5499999999946112E-3</v>
      </c>
      <c r="M551" s="976" t="s">
        <v>3591</v>
      </c>
      <c r="N551" s="976">
        <v>75.00206666666665</v>
      </c>
      <c r="O551" s="735">
        <f t="shared" si="26"/>
        <v>2.0666666666500078E-3</v>
      </c>
      <c r="P551" s="738">
        <f t="shared" si="24"/>
        <v>75002.066666666651</v>
      </c>
      <c r="Q551" s="751">
        <f t="shared" si="25"/>
        <v>75000</v>
      </c>
      <c r="U551" s="747"/>
      <c r="V551" s="988"/>
      <c r="W551" s="1024"/>
      <c r="AY551" s="845"/>
      <c r="AZ551" s="845"/>
      <c r="BA551" s="845"/>
      <c r="BB551" s="845"/>
      <c r="BC551" s="845"/>
      <c r="BD551" s="845"/>
      <c r="BE551" s="845"/>
      <c r="BF551" s="845"/>
      <c r="BG551" s="845"/>
      <c r="BH551" s="845"/>
      <c r="BI551" s="845"/>
      <c r="BJ551" s="845"/>
      <c r="BK551" s="845"/>
      <c r="BL551" s="845"/>
      <c r="BM551" s="845"/>
      <c r="BN551" s="845"/>
      <c r="BO551" s="845"/>
      <c r="BP551" s="845"/>
      <c r="BQ551" s="845"/>
      <c r="BR551" s="845"/>
      <c r="BS551" s="845"/>
      <c r="BT551" s="845"/>
      <c r="BU551" s="845"/>
      <c r="BV551" s="845"/>
      <c r="BW551" s="845"/>
      <c r="BX551" s="845"/>
      <c r="BY551" s="845"/>
      <c r="BZ551" s="845"/>
      <c r="CA551" s="845"/>
      <c r="CB551" s="845"/>
      <c r="CC551" s="845"/>
    </row>
    <row r="552" spans="1:240" ht="14.25" customHeight="1">
      <c r="A552" s="976" t="s">
        <v>3867</v>
      </c>
      <c r="B552" s="976" t="s">
        <v>1227</v>
      </c>
      <c r="C552" s="977">
        <v>1744000410</v>
      </c>
      <c r="D552" s="976" t="s">
        <v>304</v>
      </c>
      <c r="E552" s="976">
        <v>0</v>
      </c>
      <c r="F552" s="976">
        <v>0</v>
      </c>
      <c r="G552" s="976">
        <v>0</v>
      </c>
      <c r="H552" s="976">
        <v>0</v>
      </c>
      <c r="I552" s="976"/>
      <c r="J552" s="976"/>
      <c r="K552" s="976">
        <v>0</v>
      </c>
      <c r="L552" s="978">
        <v>0</v>
      </c>
      <c r="M552" s="976"/>
      <c r="N552" s="976">
        <v>0</v>
      </c>
      <c r="O552" s="735">
        <f t="shared" si="26"/>
        <v>0</v>
      </c>
      <c r="P552" s="738">
        <f t="shared" si="24"/>
        <v>0</v>
      </c>
      <c r="Q552" s="751">
        <f t="shared" si="25"/>
        <v>0</v>
      </c>
      <c r="U552" s="747"/>
      <c r="V552" s="988"/>
      <c r="W552" s="1024"/>
      <c r="AY552" s="845"/>
      <c r="AZ552" s="845"/>
      <c r="BA552" s="845"/>
      <c r="BB552" s="845"/>
      <c r="BC552" s="845"/>
      <c r="BD552" s="845"/>
      <c r="BE552" s="845"/>
      <c r="BF552" s="845"/>
      <c r="BG552" s="845"/>
      <c r="BH552" s="845"/>
      <c r="BI552" s="845"/>
      <c r="BJ552" s="845"/>
      <c r="BK552" s="845"/>
      <c r="BL552" s="845"/>
      <c r="BM552" s="845"/>
      <c r="BN552" s="845"/>
      <c r="BO552" s="845"/>
      <c r="BP552" s="845"/>
      <c r="BQ552" s="845"/>
      <c r="BR552" s="845"/>
      <c r="BS552" s="845"/>
      <c r="BT552" s="845"/>
      <c r="BU552" s="845"/>
      <c r="BV552" s="845"/>
      <c r="BW552" s="845"/>
      <c r="BX552" s="845"/>
      <c r="BY552" s="845"/>
      <c r="BZ552" s="845"/>
      <c r="CA552" s="845"/>
      <c r="CB552" s="845"/>
      <c r="CC552" s="845"/>
    </row>
    <row r="553" spans="1:240" ht="14.25" customHeight="1">
      <c r="A553" s="976" t="s">
        <v>3913</v>
      </c>
      <c r="B553" s="976" t="s">
        <v>1227</v>
      </c>
      <c r="C553" s="977">
        <v>1744000750</v>
      </c>
      <c r="D553" s="976" t="s">
        <v>288</v>
      </c>
      <c r="E553" s="976">
        <v>0</v>
      </c>
      <c r="F553" s="976">
        <v>0</v>
      </c>
      <c r="G553" s="976">
        <v>0</v>
      </c>
      <c r="H553" s="976">
        <v>0</v>
      </c>
      <c r="I553" s="976"/>
      <c r="J553" s="976"/>
      <c r="K553" s="976">
        <v>0</v>
      </c>
      <c r="L553" s="978">
        <v>0</v>
      </c>
      <c r="M553" s="976"/>
      <c r="N553" s="976">
        <v>0</v>
      </c>
      <c r="O553" s="735">
        <f t="shared" si="26"/>
        <v>0</v>
      </c>
      <c r="P553" s="738">
        <f t="shared" si="24"/>
        <v>0</v>
      </c>
      <c r="Q553" s="751">
        <f t="shared" si="25"/>
        <v>0</v>
      </c>
      <c r="U553" s="747"/>
      <c r="V553" s="988"/>
      <c r="W553" s="1024"/>
      <c r="AY553" s="845"/>
      <c r="AZ553" s="845"/>
      <c r="BA553" s="845"/>
      <c r="BB553" s="845"/>
      <c r="BC553" s="845"/>
      <c r="BD553" s="845"/>
      <c r="BE553" s="845"/>
      <c r="BF553" s="845"/>
      <c r="BG553" s="845"/>
      <c r="BH553" s="845"/>
      <c r="BI553" s="845"/>
      <c r="BJ553" s="845"/>
      <c r="BK553" s="845"/>
      <c r="BL553" s="845"/>
      <c r="BM553" s="845"/>
      <c r="BN553" s="845"/>
      <c r="BO553" s="845"/>
      <c r="BP553" s="845"/>
      <c r="BQ553" s="845"/>
      <c r="BR553" s="845"/>
      <c r="BS553" s="845"/>
      <c r="BT553" s="845"/>
      <c r="BU553" s="845"/>
      <c r="BV553" s="845"/>
      <c r="BW553" s="845"/>
      <c r="BX553" s="845"/>
      <c r="BY553" s="845"/>
      <c r="BZ553" s="845"/>
      <c r="CA553" s="845"/>
      <c r="CB553" s="845"/>
      <c r="CC553" s="845"/>
    </row>
    <row r="554" spans="1:240" ht="14.25" customHeight="1">
      <c r="A554" s="976" t="s">
        <v>3909</v>
      </c>
      <c r="B554" s="976" t="s">
        <v>1227</v>
      </c>
      <c r="C554" s="977">
        <v>1744000780</v>
      </c>
      <c r="D554" s="976" t="s">
        <v>280</v>
      </c>
      <c r="E554" s="976">
        <v>0</v>
      </c>
      <c r="F554" s="976">
        <v>0</v>
      </c>
      <c r="G554" s="976">
        <v>0</v>
      </c>
      <c r="H554" s="976">
        <v>0</v>
      </c>
      <c r="I554" s="976"/>
      <c r="J554" s="976"/>
      <c r="K554" s="976">
        <v>0</v>
      </c>
      <c r="L554" s="978">
        <v>0</v>
      </c>
      <c r="M554" s="976"/>
      <c r="N554" s="976">
        <v>0</v>
      </c>
      <c r="O554" s="735">
        <f t="shared" si="26"/>
        <v>0</v>
      </c>
      <c r="P554" s="738">
        <f t="shared" si="24"/>
        <v>0</v>
      </c>
      <c r="Q554" s="751">
        <f t="shared" si="25"/>
        <v>0</v>
      </c>
      <c r="U554" s="747"/>
      <c r="V554" s="988"/>
      <c r="W554" s="1024"/>
    </row>
    <row r="555" spans="1:240" ht="14.25" customHeight="1">
      <c r="A555" s="976" t="s">
        <v>3912</v>
      </c>
      <c r="B555" s="976" t="s">
        <v>1227</v>
      </c>
      <c r="C555" s="977">
        <v>1744000781</v>
      </c>
      <c r="D555" s="976" t="s">
        <v>458</v>
      </c>
      <c r="E555" s="976">
        <v>203</v>
      </c>
      <c r="F555" s="976">
        <v>203</v>
      </c>
      <c r="G555" s="976">
        <v>152.25</v>
      </c>
      <c r="H555" s="976">
        <v>162.09575000000001</v>
      </c>
      <c r="I555" s="976"/>
      <c r="J555" s="976"/>
      <c r="K555" s="976">
        <v>162.09575000000001</v>
      </c>
      <c r="L555" s="978">
        <v>9.8457500000000095</v>
      </c>
      <c r="M555" s="976"/>
      <c r="N555" s="976">
        <v>216.12766666666667</v>
      </c>
      <c r="O555" s="735">
        <f t="shared" si="26"/>
        <v>13.12766666666667</v>
      </c>
      <c r="P555" s="738">
        <f t="shared" si="24"/>
        <v>216127.66666666666</v>
      </c>
      <c r="Q555" s="751">
        <f t="shared" si="25"/>
        <v>216000</v>
      </c>
      <c r="U555" s="747"/>
      <c r="V555" s="988"/>
      <c r="W555" s="1024"/>
      <c r="AY555" s="845"/>
      <c r="AZ555" s="845"/>
      <c r="BA555" s="845"/>
      <c r="BB555" s="845"/>
      <c r="BC555" s="845"/>
      <c r="BD555" s="845"/>
      <c r="BE555" s="845"/>
      <c r="BF555" s="845"/>
      <c r="BG555" s="845"/>
      <c r="BH555" s="845"/>
      <c r="BI555" s="845"/>
      <c r="BJ555" s="845"/>
      <c r="BK555" s="845"/>
      <c r="BL555" s="845"/>
      <c r="BM555" s="845"/>
      <c r="BN555" s="845"/>
      <c r="BO555" s="845"/>
      <c r="BP555" s="845"/>
      <c r="BQ555" s="845"/>
      <c r="BR555" s="845"/>
      <c r="BS555" s="845"/>
      <c r="BT555" s="845"/>
      <c r="BU555" s="845"/>
      <c r="BV555" s="845"/>
      <c r="BW555" s="845"/>
      <c r="BX555" s="845"/>
      <c r="BY555" s="845"/>
      <c r="BZ555" s="845"/>
      <c r="CA555" s="845"/>
      <c r="CB555" s="845"/>
      <c r="CC555" s="845"/>
    </row>
    <row r="556" spans="1:240" ht="14.25" customHeight="1">
      <c r="A556" s="976" t="s">
        <v>3868</v>
      </c>
      <c r="B556" s="976" t="s">
        <v>1227</v>
      </c>
      <c r="C556" s="977">
        <v>1746000430</v>
      </c>
      <c r="D556" s="976" t="s">
        <v>3342</v>
      </c>
      <c r="E556" s="976">
        <v>0</v>
      </c>
      <c r="F556" s="976">
        <v>0</v>
      </c>
      <c r="G556" s="976">
        <v>0</v>
      </c>
      <c r="H556" s="976">
        <v>0</v>
      </c>
      <c r="I556" s="976"/>
      <c r="J556" s="976"/>
      <c r="K556" s="976">
        <v>0</v>
      </c>
      <c r="L556" s="978">
        <v>0</v>
      </c>
      <c r="M556" s="976"/>
      <c r="N556" s="976">
        <v>0</v>
      </c>
      <c r="O556" s="888">
        <f t="shared" si="26"/>
        <v>0</v>
      </c>
      <c r="P556" s="738">
        <f t="shared" si="24"/>
        <v>0</v>
      </c>
      <c r="Q556" s="751">
        <f t="shared" si="25"/>
        <v>0</v>
      </c>
      <c r="R556" s="889"/>
      <c r="S556" s="889"/>
      <c r="T556" s="889"/>
      <c r="U556" s="747"/>
      <c r="V556" s="988"/>
      <c r="W556" s="1024"/>
      <c r="CD556" s="747"/>
      <c r="CE556" s="747"/>
      <c r="CF556" s="747"/>
      <c r="CG556" s="747"/>
      <c r="CH556" s="747"/>
      <c r="CI556" s="747"/>
      <c r="CJ556" s="747"/>
      <c r="CK556" s="747"/>
      <c r="CL556" s="747"/>
      <c r="CM556" s="747"/>
      <c r="CN556" s="747"/>
      <c r="CO556" s="747"/>
      <c r="CP556" s="747"/>
      <c r="CQ556" s="747"/>
      <c r="CR556" s="747"/>
      <c r="CS556" s="747"/>
      <c r="CT556" s="747"/>
      <c r="CU556" s="747"/>
      <c r="CV556" s="747"/>
      <c r="CW556" s="747"/>
      <c r="CX556" s="747"/>
      <c r="CY556" s="747"/>
      <c r="CZ556" s="747"/>
      <c r="DA556" s="747"/>
      <c r="DB556" s="747"/>
      <c r="DC556" s="747"/>
      <c r="DD556" s="747"/>
      <c r="DE556" s="747"/>
      <c r="DF556" s="747"/>
      <c r="DG556" s="747"/>
      <c r="DH556" s="747"/>
      <c r="DI556" s="747"/>
      <c r="DJ556" s="747"/>
      <c r="DK556" s="747"/>
      <c r="DL556" s="747"/>
      <c r="DM556" s="747"/>
      <c r="DN556" s="747"/>
      <c r="DO556" s="747"/>
      <c r="DP556" s="747"/>
      <c r="DQ556" s="747"/>
      <c r="DR556" s="747"/>
      <c r="DS556" s="747"/>
      <c r="DT556" s="747"/>
      <c r="DU556" s="747"/>
      <c r="DV556" s="747"/>
      <c r="DW556" s="747"/>
      <c r="DX556" s="747"/>
      <c r="DY556" s="747"/>
      <c r="DZ556" s="747"/>
      <c r="EA556" s="747"/>
      <c r="EB556" s="747"/>
      <c r="EC556" s="747"/>
      <c r="ED556" s="747"/>
      <c r="EE556" s="747"/>
      <c r="EF556" s="747"/>
      <c r="EG556" s="747"/>
      <c r="EH556" s="747"/>
      <c r="EI556" s="747"/>
      <c r="EJ556" s="747"/>
      <c r="EK556" s="747"/>
      <c r="EL556" s="747"/>
      <c r="EM556" s="747"/>
      <c r="EN556" s="747"/>
      <c r="EO556" s="747"/>
      <c r="EP556" s="747"/>
      <c r="EQ556" s="747"/>
      <c r="ER556" s="747"/>
      <c r="ES556" s="747"/>
      <c r="ET556" s="747"/>
      <c r="EU556" s="747"/>
      <c r="EV556" s="747"/>
      <c r="EW556" s="747"/>
      <c r="EX556" s="747"/>
      <c r="EY556" s="747"/>
      <c r="EZ556" s="747"/>
      <c r="FA556" s="747"/>
      <c r="FB556" s="747"/>
      <c r="FC556" s="747"/>
      <c r="FD556" s="747"/>
      <c r="FE556" s="747"/>
      <c r="FF556" s="747"/>
      <c r="FG556" s="747"/>
      <c r="FH556" s="747"/>
      <c r="FI556" s="747"/>
      <c r="FJ556" s="747"/>
      <c r="FK556" s="747"/>
      <c r="FL556" s="747"/>
      <c r="FM556" s="747"/>
      <c r="FN556" s="747"/>
      <c r="FO556" s="747"/>
      <c r="FP556" s="747"/>
      <c r="FQ556" s="747"/>
      <c r="FR556" s="747"/>
      <c r="FS556" s="747"/>
      <c r="FT556" s="747"/>
      <c r="FU556" s="747"/>
      <c r="FV556" s="747"/>
      <c r="FW556" s="747"/>
      <c r="FX556" s="747"/>
      <c r="FY556" s="747"/>
      <c r="FZ556" s="747"/>
      <c r="GA556" s="747"/>
      <c r="GB556" s="747"/>
      <c r="GC556" s="747"/>
      <c r="GD556" s="747"/>
      <c r="GE556" s="747"/>
      <c r="GF556" s="747"/>
      <c r="GG556" s="747"/>
      <c r="GH556" s="747"/>
      <c r="GI556" s="747"/>
      <c r="GJ556" s="747"/>
      <c r="GK556" s="747"/>
      <c r="GL556" s="747"/>
      <c r="GM556" s="747"/>
      <c r="GN556" s="747"/>
      <c r="GO556" s="747"/>
      <c r="GP556" s="747"/>
      <c r="GQ556" s="747"/>
      <c r="GR556" s="747"/>
      <c r="GS556" s="747"/>
      <c r="GT556" s="747"/>
      <c r="GU556" s="747"/>
      <c r="GV556" s="747"/>
      <c r="GW556" s="747"/>
      <c r="GX556" s="747"/>
      <c r="GY556" s="747"/>
      <c r="GZ556" s="747"/>
      <c r="HA556" s="747"/>
      <c r="HB556" s="747"/>
      <c r="HC556" s="747"/>
      <c r="HD556" s="747"/>
      <c r="HE556" s="747"/>
      <c r="HF556" s="747"/>
      <c r="HG556" s="747"/>
      <c r="HH556" s="747"/>
      <c r="HI556" s="747"/>
      <c r="HJ556" s="747"/>
      <c r="HK556" s="747"/>
      <c r="HL556" s="747"/>
      <c r="HM556" s="747"/>
      <c r="HN556" s="747"/>
      <c r="HO556" s="747"/>
      <c r="HP556" s="747"/>
      <c r="HQ556" s="747"/>
      <c r="HR556" s="747"/>
      <c r="HS556" s="747"/>
      <c r="HT556" s="747"/>
      <c r="HU556" s="747"/>
      <c r="HV556" s="747"/>
      <c r="HW556" s="747"/>
      <c r="HX556" s="747"/>
      <c r="HY556" s="747"/>
      <c r="HZ556" s="747"/>
      <c r="IA556" s="747"/>
      <c r="IB556" s="747"/>
      <c r="IC556" s="747"/>
      <c r="ID556" s="747"/>
      <c r="IE556" s="747"/>
      <c r="IF556" s="747"/>
    </row>
    <row r="557" spans="1:240" s="747" customFormat="1" ht="14.25" customHeight="1">
      <c r="A557" s="976" t="s">
        <v>3930</v>
      </c>
      <c r="B557" s="1016" t="s">
        <v>1227</v>
      </c>
      <c r="C557" s="977">
        <v>1746000432</v>
      </c>
      <c r="D557" s="976" t="s">
        <v>462</v>
      </c>
      <c r="E557" s="976">
        <v>3500</v>
      </c>
      <c r="F557" s="976">
        <v>3500</v>
      </c>
      <c r="G557" s="976">
        <v>2625</v>
      </c>
      <c r="H557" s="976">
        <v>1607.778</v>
      </c>
      <c r="I557" s="976"/>
      <c r="J557" s="1041">
        <v>1017</v>
      </c>
      <c r="K557" s="976">
        <v>2624.7780000000002</v>
      </c>
      <c r="L557" s="976">
        <v>-0.22199999999975262</v>
      </c>
      <c r="M557" s="976" t="s">
        <v>3642</v>
      </c>
      <c r="N557" s="976">
        <v>3499.7040000000002</v>
      </c>
      <c r="O557" s="735">
        <f t="shared" si="26"/>
        <v>-0.29599999999982174</v>
      </c>
      <c r="P557" s="738">
        <f t="shared" si="24"/>
        <v>3499704</v>
      </c>
      <c r="Q557" s="751">
        <f t="shared" si="25"/>
        <v>3500000</v>
      </c>
      <c r="V557" s="988"/>
      <c r="W557" s="1024"/>
    </row>
    <row r="558" spans="1:240" ht="14.25" customHeight="1">
      <c r="A558" s="976" t="s">
        <v>3908</v>
      </c>
      <c r="B558" s="976" t="s">
        <v>1227</v>
      </c>
      <c r="C558" s="977">
        <v>1746000530</v>
      </c>
      <c r="D558" s="976" t="s">
        <v>277</v>
      </c>
      <c r="E558" s="976">
        <v>100</v>
      </c>
      <c r="F558" s="976">
        <v>100</v>
      </c>
      <c r="G558" s="976">
        <v>75</v>
      </c>
      <c r="H558" s="976">
        <v>75.155419999999992</v>
      </c>
      <c r="I558" s="976"/>
      <c r="J558" s="976"/>
      <c r="K558" s="976">
        <v>75.155419999999992</v>
      </c>
      <c r="L558" s="978">
        <v>0.15541999999999234</v>
      </c>
      <c r="M558" s="976"/>
      <c r="N558" s="976">
        <v>100.20722666666666</v>
      </c>
      <c r="O558" s="735">
        <f t="shared" si="26"/>
        <v>0.20722666666665646</v>
      </c>
      <c r="P558" s="738">
        <f t="shared" si="24"/>
        <v>100207.22666666665</v>
      </c>
      <c r="Q558" s="751">
        <f t="shared" si="25"/>
        <v>100000</v>
      </c>
      <c r="U558" s="747"/>
      <c r="V558" s="988"/>
      <c r="W558" s="1024"/>
      <c r="AY558" s="845"/>
      <c r="AZ558" s="845"/>
      <c r="BA558" s="845"/>
      <c r="BB558" s="845"/>
      <c r="BC558" s="845"/>
      <c r="BD558" s="845"/>
      <c r="BE558" s="845"/>
      <c r="BF558" s="845"/>
      <c r="BG558" s="845"/>
      <c r="BH558" s="845"/>
      <c r="BI558" s="845"/>
      <c r="BJ558" s="845"/>
      <c r="BK558" s="845"/>
      <c r="BL558" s="845"/>
      <c r="BM558" s="845"/>
      <c r="BN558" s="845"/>
      <c r="BO558" s="845"/>
      <c r="BP558" s="845"/>
      <c r="BQ558" s="845"/>
      <c r="BR558" s="845"/>
      <c r="BS558" s="845"/>
      <c r="BT558" s="845"/>
      <c r="BU558" s="845"/>
      <c r="BV558" s="845"/>
      <c r="BW558" s="845"/>
      <c r="BX558" s="845"/>
      <c r="BY558" s="845"/>
      <c r="BZ558" s="845"/>
      <c r="CA558" s="845"/>
      <c r="CB558" s="845"/>
      <c r="CC558" s="845"/>
    </row>
    <row r="559" spans="1:240" ht="14.25" customHeight="1">
      <c r="A559" s="976" t="s">
        <v>3905</v>
      </c>
      <c r="B559" s="976" t="s">
        <v>1227</v>
      </c>
      <c r="C559" s="977">
        <v>1746000540</v>
      </c>
      <c r="D559" s="976" t="s">
        <v>279</v>
      </c>
      <c r="E559" s="976">
        <v>7</v>
      </c>
      <c r="F559" s="976">
        <v>7</v>
      </c>
      <c r="G559" s="976">
        <v>5.25</v>
      </c>
      <c r="H559" s="976">
        <v>6.5560799999999997</v>
      </c>
      <c r="I559" s="976"/>
      <c r="J559" s="976"/>
      <c r="K559" s="976">
        <v>6.5560799999999997</v>
      </c>
      <c r="L559" s="978">
        <v>1.3060799999999997</v>
      </c>
      <c r="M559" s="976"/>
      <c r="N559" s="976">
        <v>8.741439999999999</v>
      </c>
      <c r="O559" s="735">
        <f t="shared" si="26"/>
        <v>1.741439999999999</v>
      </c>
      <c r="P559" s="738">
        <f t="shared" si="24"/>
        <v>8741.4399999999987</v>
      </c>
      <c r="Q559" s="751">
        <f t="shared" si="25"/>
        <v>9000</v>
      </c>
      <c r="U559" s="747"/>
      <c r="V559" s="988"/>
      <c r="W559" s="1024"/>
      <c r="AY559" s="845"/>
      <c r="AZ559" s="845"/>
      <c r="BA559" s="845"/>
      <c r="BB559" s="845"/>
      <c r="BC559" s="845"/>
      <c r="BD559" s="845"/>
      <c r="BE559" s="845"/>
      <c r="BF559" s="845"/>
      <c r="BG559" s="845"/>
      <c r="BH559" s="845"/>
      <c r="BI559" s="845"/>
      <c r="BJ559" s="845"/>
      <c r="BK559" s="845"/>
      <c r="BL559" s="845"/>
      <c r="BM559" s="845"/>
      <c r="BN559" s="845"/>
      <c r="BO559" s="845"/>
      <c r="BP559" s="845"/>
      <c r="BQ559" s="845"/>
      <c r="BR559" s="845"/>
      <c r="BS559" s="845"/>
      <c r="BT559" s="845"/>
      <c r="BU559" s="845"/>
      <c r="BV559" s="845"/>
      <c r="BW559" s="845"/>
      <c r="BX559" s="845"/>
      <c r="BY559" s="845"/>
      <c r="BZ559" s="845"/>
      <c r="CA559" s="845"/>
      <c r="CB559" s="845"/>
      <c r="CC559" s="845"/>
    </row>
    <row r="560" spans="1:240" ht="14.25" customHeight="1">
      <c r="A560" s="976" t="s">
        <v>3927</v>
      </c>
      <c r="B560" s="976" t="s">
        <v>1227</v>
      </c>
      <c r="C560" s="999">
        <v>1746000720</v>
      </c>
      <c r="D560" s="999" t="s">
        <v>1445</v>
      </c>
      <c r="E560" s="976">
        <v>0</v>
      </c>
      <c r="F560" s="976">
        <v>0</v>
      </c>
      <c r="G560" s="976">
        <v>0</v>
      </c>
      <c r="H560" s="976">
        <v>0</v>
      </c>
      <c r="I560" s="976"/>
      <c r="J560" s="976"/>
      <c r="K560" s="976">
        <v>0</v>
      </c>
      <c r="L560" s="978">
        <v>0</v>
      </c>
      <c r="M560" s="976"/>
      <c r="N560" s="976">
        <v>0</v>
      </c>
      <c r="O560" s="735">
        <f t="shared" si="26"/>
        <v>0</v>
      </c>
      <c r="P560" s="738">
        <f t="shared" si="24"/>
        <v>0</v>
      </c>
      <c r="Q560" s="751">
        <f t="shared" si="25"/>
        <v>0</v>
      </c>
      <c r="U560" s="747"/>
      <c r="V560" s="988"/>
      <c r="W560" s="1024"/>
    </row>
    <row r="561" spans="1:81" ht="18" customHeight="1">
      <c r="A561" s="976" t="s">
        <v>3890</v>
      </c>
      <c r="B561" s="976" t="s">
        <v>1227</v>
      </c>
      <c r="C561" s="977">
        <v>1746000740</v>
      </c>
      <c r="D561" s="976" t="s">
        <v>451</v>
      </c>
      <c r="E561" s="976">
        <v>0</v>
      </c>
      <c r="F561" s="976">
        <v>0</v>
      </c>
      <c r="G561" s="976">
        <v>0</v>
      </c>
      <c r="H561" s="976">
        <v>0.6613</v>
      </c>
      <c r="I561" s="976"/>
      <c r="J561" s="976"/>
      <c r="K561" s="976">
        <v>0.6613</v>
      </c>
      <c r="L561" s="978">
        <v>0.6613</v>
      </c>
      <c r="M561" s="976"/>
      <c r="N561" s="976">
        <v>0.88173333333333337</v>
      </c>
      <c r="O561" s="888">
        <f t="shared" si="26"/>
        <v>0.88173333333333337</v>
      </c>
      <c r="P561" s="738">
        <f t="shared" si="24"/>
        <v>881.73333333333335</v>
      </c>
      <c r="Q561" s="751">
        <f t="shared" si="25"/>
        <v>1000</v>
      </c>
      <c r="R561" s="889"/>
      <c r="S561" s="889"/>
      <c r="T561" s="889"/>
      <c r="U561" s="747"/>
      <c r="V561" s="988"/>
      <c r="W561" s="1024"/>
    </row>
    <row r="562" spans="1:81" ht="14.25" customHeight="1">
      <c r="A562" s="976" t="s">
        <v>3913</v>
      </c>
      <c r="B562" s="1016" t="s">
        <v>1227</v>
      </c>
      <c r="C562" s="977">
        <v>1746000750</v>
      </c>
      <c r="D562" s="976" t="s">
        <v>288</v>
      </c>
      <c r="E562" s="976">
        <v>6343.84</v>
      </c>
      <c r="F562" s="976">
        <v>6543.84</v>
      </c>
      <c r="G562" s="976">
        <v>4757.88</v>
      </c>
      <c r="H562" s="976">
        <v>3181.0011</v>
      </c>
      <c r="I562" s="976"/>
      <c r="J562" s="1041">
        <v>2444</v>
      </c>
      <c r="K562" s="976">
        <v>5625.0010999999995</v>
      </c>
      <c r="L562" s="978">
        <v>867.12109999999939</v>
      </c>
      <c r="M562" s="976" t="s">
        <v>3591</v>
      </c>
      <c r="N562" s="976">
        <v>7500.0014666666648</v>
      </c>
      <c r="O562" s="735">
        <f t="shared" si="26"/>
        <v>1156.1614666666646</v>
      </c>
      <c r="P562" s="738">
        <f t="shared" si="24"/>
        <v>7500001.4666666649</v>
      </c>
      <c r="Q562" s="751">
        <f t="shared" si="25"/>
        <v>7500000</v>
      </c>
      <c r="U562" s="747"/>
      <c r="V562" s="988"/>
      <c r="W562" s="1024"/>
    </row>
    <row r="563" spans="1:81" ht="14.25" customHeight="1">
      <c r="A563" s="976" t="s">
        <v>3914</v>
      </c>
      <c r="B563" s="976" t="s">
        <v>1227</v>
      </c>
      <c r="C563" s="977">
        <v>1746000751</v>
      </c>
      <c r="D563" s="976" t="s">
        <v>464</v>
      </c>
      <c r="E563" s="976">
        <v>500</v>
      </c>
      <c r="F563" s="976">
        <v>500</v>
      </c>
      <c r="G563" s="976">
        <v>375</v>
      </c>
      <c r="H563" s="976">
        <v>109.91163</v>
      </c>
      <c r="I563" s="976"/>
      <c r="J563" s="1041">
        <v>115</v>
      </c>
      <c r="K563" s="976">
        <v>224.91163</v>
      </c>
      <c r="L563" s="978">
        <v>-150.08837</v>
      </c>
      <c r="M563" s="976" t="s">
        <v>3591</v>
      </c>
      <c r="N563" s="976">
        <v>299.8821733333333</v>
      </c>
      <c r="O563" s="735">
        <f t="shared" si="26"/>
        <v>-200.1178266666667</v>
      </c>
      <c r="P563" s="738">
        <f t="shared" si="24"/>
        <v>299882.17333333328</v>
      </c>
      <c r="Q563" s="751">
        <f t="shared" si="25"/>
        <v>300000</v>
      </c>
      <c r="U563" s="747"/>
      <c r="V563" s="988"/>
      <c r="W563" s="1024"/>
    </row>
    <row r="564" spans="1:81" ht="14.25" customHeight="1">
      <c r="A564" s="976" t="s">
        <v>3915</v>
      </c>
      <c r="B564" s="976" t="s">
        <v>1227</v>
      </c>
      <c r="C564" s="977">
        <v>1746000752</v>
      </c>
      <c r="D564" s="976" t="s">
        <v>465</v>
      </c>
      <c r="E564" s="976">
        <v>700</v>
      </c>
      <c r="F564" s="976">
        <v>700</v>
      </c>
      <c r="G564" s="976">
        <v>525</v>
      </c>
      <c r="H564" s="976">
        <v>16.563099999999999</v>
      </c>
      <c r="I564" s="976"/>
      <c r="J564" s="1041">
        <v>284</v>
      </c>
      <c r="K564" s="976">
        <v>300.56310000000002</v>
      </c>
      <c r="L564" s="978">
        <v>-224.43689999999998</v>
      </c>
      <c r="M564" s="976" t="s">
        <v>3591</v>
      </c>
      <c r="N564" s="976">
        <v>400.75080000000003</v>
      </c>
      <c r="O564" s="735">
        <f t="shared" si="26"/>
        <v>-299.24919999999997</v>
      </c>
      <c r="P564" s="738">
        <f t="shared" si="24"/>
        <v>400750.80000000005</v>
      </c>
      <c r="Q564" s="751">
        <f t="shared" si="25"/>
        <v>401000</v>
      </c>
      <c r="U564" s="747"/>
      <c r="V564" s="988"/>
      <c r="W564" s="1024"/>
    </row>
    <row r="565" spans="1:81" ht="14.25" customHeight="1">
      <c r="A565" s="976" t="s">
        <v>3916</v>
      </c>
      <c r="B565" s="976" t="s">
        <v>1227</v>
      </c>
      <c r="C565" s="977">
        <v>1746000753</v>
      </c>
      <c r="D565" s="976" t="s">
        <v>467</v>
      </c>
      <c r="E565" s="976">
        <v>390</v>
      </c>
      <c r="F565" s="976">
        <v>390</v>
      </c>
      <c r="G565" s="976">
        <v>292.5</v>
      </c>
      <c r="H565" s="976">
        <v>312.37359999999995</v>
      </c>
      <c r="I565" s="976"/>
      <c r="J565" s="1032">
        <v>-20</v>
      </c>
      <c r="K565" s="976">
        <v>292.37359999999995</v>
      </c>
      <c r="L565" s="978">
        <v>-0.12640000000004648</v>
      </c>
      <c r="M565" s="976" t="s">
        <v>3591</v>
      </c>
      <c r="N565" s="976">
        <v>389.83146666666664</v>
      </c>
      <c r="O565" s="735">
        <f t="shared" si="26"/>
        <v>-0.1685333333333574</v>
      </c>
      <c r="P565" s="738">
        <f t="shared" si="24"/>
        <v>389831.46666666662</v>
      </c>
      <c r="Q565" s="751">
        <f t="shared" si="25"/>
        <v>390000</v>
      </c>
      <c r="U565" s="747"/>
      <c r="V565" s="988"/>
      <c r="W565" s="1024"/>
    </row>
    <row r="566" spans="1:81" ht="14.25" customHeight="1">
      <c r="A566" s="976" t="s">
        <v>3910</v>
      </c>
      <c r="B566" s="976" t="s">
        <v>1227</v>
      </c>
      <c r="C566" s="977">
        <v>1746000754</v>
      </c>
      <c r="D566" s="976" t="s">
        <v>468</v>
      </c>
      <c r="E566" s="976">
        <v>391</v>
      </c>
      <c r="F566" s="976">
        <v>391</v>
      </c>
      <c r="G566" s="976">
        <v>293.25</v>
      </c>
      <c r="H566" s="976">
        <v>231.25420000000003</v>
      </c>
      <c r="I566" s="976"/>
      <c r="J566" s="1041">
        <v>62</v>
      </c>
      <c r="K566" s="976">
        <v>293.25420000000003</v>
      </c>
      <c r="L566" s="978">
        <v>4.2000000000257387E-3</v>
      </c>
      <c r="M566" s="976" t="s">
        <v>3591</v>
      </c>
      <c r="N566" s="976">
        <v>391.00560000000002</v>
      </c>
      <c r="O566" s="888">
        <f t="shared" si="26"/>
        <v>5.6000000000153705E-3</v>
      </c>
      <c r="P566" s="738">
        <f t="shared" si="24"/>
        <v>391005.60000000003</v>
      </c>
      <c r="Q566" s="751">
        <f t="shared" si="25"/>
        <v>391000</v>
      </c>
      <c r="R566" s="889"/>
      <c r="S566" s="889"/>
      <c r="T566" s="889"/>
      <c r="U566" s="747"/>
      <c r="V566" s="988"/>
      <c r="W566" s="1024"/>
    </row>
    <row r="567" spans="1:81" ht="14.25" customHeight="1">
      <c r="A567" s="976" t="s">
        <v>3911</v>
      </c>
      <c r="B567" s="1016" t="s">
        <v>1227</v>
      </c>
      <c r="C567" s="977">
        <v>1746000755</v>
      </c>
      <c r="D567" s="976" t="s">
        <v>469</v>
      </c>
      <c r="E567" s="976">
        <v>600</v>
      </c>
      <c r="F567" s="976">
        <v>600</v>
      </c>
      <c r="G567" s="976">
        <v>450</v>
      </c>
      <c r="H567" s="976">
        <v>395.822</v>
      </c>
      <c r="I567" s="976"/>
      <c r="J567" s="1041">
        <v>148.43199999999999</v>
      </c>
      <c r="K567" s="976">
        <v>544.25400000000002</v>
      </c>
      <c r="L567" s="978">
        <v>94.254000000000019</v>
      </c>
      <c r="M567" s="976" t="s">
        <v>3591</v>
      </c>
      <c r="N567" s="976">
        <v>725.67200000000003</v>
      </c>
      <c r="O567" s="735">
        <f t="shared" si="26"/>
        <v>125.67200000000003</v>
      </c>
      <c r="P567" s="738">
        <f t="shared" si="24"/>
        <v>725672</v>
      </c>
      <c r="Q567" s="751">
        <f t="shared" si="25"/>
        <v>726000</v>
      </c>
      <c r="U567" s="747"/>
      <c r="V567" s="988"/>
      <c r="W567" s="1024"/>
      <c r="AY567" s="845"/>
      <c r="AZ567" s="845"/>
      <c r="BA567" s="845"/>
      <c r="BB567" s="845"/>
      <c r="BC567" s="845"/>
      <c r="BD567" s="845"/>
      <c r="BE567" s="845"/>
      <c r="BF567" s="845"/>
      <c r="BG567" s="845"/>
      <c r="BH567" s="845"/>
      <c r="BI567" s="845"/>
      <c r="BJ567" s="845"/>
      <c r="BK567" s="845"/>
      <c r="BL567" s="845"/>
      <c r="BM567" s="845"/>
      <c r="BN567" s="845"/>
      <c r="BO567" s="845"/>
      <c r="BP567" s="845"/>
      <c r="BQ567" s="845"/>
      <c r="BR567" s="845"/>
      <c r="BS567" s="845"/>
      <c r="BT567" s="845"/>
      <c r="BU567" s="845"/>
      <c r="BV567" s="845"/>
      <c r="BW567" s="845"/>
      <c r="BX567" s="845"/>
      <c r="BY567" s="845"/>
      <c r="BZ567" s="845"/>
      <c r="CA567" s="845"/>
      <c r="CB567" s="845"/>
      <c r="CC567" s="845"/>
    </row>
    <row r="568" spans="1:81" ht="14.25" customHeight="1">
      <c r="A568" s="976" t="s">
        <v>3917</v>
      </c>
      <c r="B568" s="976" t="s">
        <v>1227</v>
      </c>
      <c r="C568" s="977">
        <v>1746000756</v>
      </c>
      <c r="D568" s="1001" t="s">
        <v>3343</v>
      </c>
      <c r="E568" s="976">
        <v>0</v>
      </c>
      <c r="F568" s="976">
        <v>0</v>
      </c>
      <c r="G568" s="976">
        <v>0</v>
      </c>
      <c r="H568" s="976">
        <v>0</v>
      </c>
      <c r="I568" s="976"/>
      <c r="J568" s="976"/>
      <c r="K568" s="976">
        <v>0</v>
      </c>
      <c r="L568" s="978">
        <v>0</v>
      </c>
      <c r="M568" s="976"/>
      <c r="N568" s="976">
        <v>0</v>
      </c>
      <c r="O568" s="735">
        <f t="shared" si="26"/>
        <v>0</v>
      </c>
      <c r="P568" s="738">
        <f t="shared" si="24"/>
        <v>0</v>
      </c>
      <c r="Q568" s="751">
        <f t="shared" si="25"/>
        <v>0</v>
      </c>
      <c r="U568" s="747"/>
      <c r="V568" s="988"/>
      <c r="W568" s="1024"/>
      <c r="AY568" s="845"/>
      <c r="AZ568" s="845"/>
      <c r="BA568" s="845"/>
      <c r="BB568" s="845"/>
      <c r="BC568" s="845"/>
      <c r="BD568" s="845"/>
      <c r="BE568" s="845"/>
      <c r="BF568" s="845"/>
      <c r="BG568" s="845"/>
      <c r="BH568" s="845"/>
      <c r="BI568" s="845"/>
      <c r="BJ568" s="845"/>
      <c r="BK568" s="845"/>
      <c r="BL568" s="845"/>
      <c r="BM568" s="845"/>
      <c r="BN568" s="845"/>
      <c r="BO568" s="845"/>
      <c r="BP568" s="845"/>
      <c r="BQ568" s="845"/>
      <c r="BR568" s="845"/>
      <c r="BS568" s="845"/>
      <c r="BT568" s="845"/>
      <c r="BU568" s="845"/>
      <c r="BV568" s="845"/>
      <c r="BW568" s="845"/>
      <c r="BX568" s="845"/>
      <c r="BY568" s="845"/>
      <c r="BZ568" s="845"/>
      <c r="CA568" s="845"/>
      <c r="CB568" s="845"/>
      <c r="CC568" s="845"/>
    </row>
    <row r="569" spans="1:81" ht="14.25" customHeight="1">
      <c r="A569" s="976" t="s">
        <v>3909</v>
      </c>
      <c r="B569" s="976" t="s">
        <v>1227</v>
      </c>
      <c r="C569" s="977">
        <v>1746000780</v>
      </c>
      <c r="D569" s="976" t="s">
        <v>280</v>
      </c>
      <c r="E569" s="976">
        <v>0</v>
      </c>
      <c r="F569" s="976">
        <v>0</v>
      </c>
      <c r="G569" s="976">
        <v>0</v>
      </c>
      <c r="H569" s="976">
        <v>0</v>
      </c>
      <c r="I569" s="976"/>
      <c r="J569" s="976"/>
      <c r="K569" s="976">
        <v>0</v>
      </c>
      <c r="L569" s="978">
        <v>0</v>
      </c>
      <c r="M569" s="976"/>
      <c r="N569" s="976">
        <v>0</v>
      </c>
      <c r="O569" s="735">
        <f t="shared" si="26"/>
        <v>0</v>
      </c>
      <c r="P569" s="738">
        <f t="shared" si="24"/>
        <v>0</v>
      </c>
      <c r="Q569" s="751">
        <f t="shared" si="25"/>
        <v>0</v>
      </c>
      <c r="U569" s="747"/>
      <c r="V569" s="988"/>
      <c r="W569" s="1024"/>
    </row>
    <row r="570" spans="1:81" s="747" customFormat="1" ht="19.5" customHeight="1">
      <c r="A570" s="976" t="s">
        <v>3868</v>
      </c>
      <c r="B570" s="976" t="s">
        <v>1227</v>
      </c>
      <c r="C570" s="977">
        <v>1747000430</v>
      </c>
      <c r="D570" s="976" t="s">
        <v>311</v>
      </c>
      <c r="E570" s="976">
        <v>30</v>
      </c>
      <c r="F570" s="976">
        <v>30</v>
      </c>
      <c r="G570" s="976">
        <v>22.5</v>
      </c>
      <c r="H570" s="976">
        <v>28.746569999999998</v>
      </c>
      <c r="I570" s="976"/>
      <c r="J570" s="1032">
        <v>-13</v>
      </c>
      <c r="K570" s="976">
        <v>15.746569999999998</v>
      </c>
      <c r="L570" s="978">
        <v>-6.7534300000000016</v>
      </c>
      <c r="M570" s="976" t="s">
        <v>3643</v>
      </c>
      <c r="N570" s="976">
        <v>20.995426666666663</v>
      </c>
      <c r="O570" s="735">
        <f t="shared" si="26"/>
        <v>-9.0045733333333366</v>
      </c>
      <c r="P570" s="738">
        <f t="shared" si="24"/>
        <v>20995.426666666663</v>
      </c>
      <c r="Q570" s="751">
        <f t="shared" si="25"/>
        <v>21000</v>
      </c>
      <c r="V570" s="988"/>
      <c r="W570" s="1024"/>
    </row>
    <row r="571" spans="1:81" ht="14.25" customHeight="1">
      <c r="A571" s="976" t="s">
        <v>3908</v>
      </c>
      <c r="B571" s="976" t="s">
        <v>1227</v>
      </c>
      <c r="C571" s="977">
        <v>1747000530</v>
      </c>
      <c r="D571" s="976" t="s">
        <v>277</v>
      </c>
      <c r="E571" s="976">
        <v>260</v>
      </c>
      <c r="F571" s="976">
        <v>260</v>
      </c>
      <c r="G571" s="976">
        <v>195</v>
      </c>
      <c r="H571" s="976">
        <v>203.72051999999999</v>
      </c>
      <c r="I571" s="976"/>
      <c r="J571" s="1032">
        <v>-1</v>
      </c>
      <c r="K571" s="976">
        <v>202.72051999999999</v>
      </c>
      <c r="L571" s="978">
        <v>7.7205199999999934</v>
      </c>
      <c r="M571" s="976" t="s">
        <v>3643</v>
      </c>
      <c r="N571" s="976">
        <v>270.2940266666667</v>
      </c>
      <c r="O571" s="735">
        <f t="shared" si="26"/>
        <v>10.294026666666696</v>
      </c>
      <c r="P571" s="738">
        <f t="shared" si="24"/>
        <v>270294.02666666667</v>
      </c>
      <c r="Q571" s="751">
        <f t="shared" si="25"/>
        <v>270000</v>
      </c>
      <c r="U571" s="747"/>
      <c r="V571" s="988"/>
      <c r="W571" s="1024"/>
      <c r="AY571" s="845"/>
      <c r="AZ571" s="845"/>
      <c r="BA571" s="845"/>
      <c r="BB571" s="845"/>
      <c r="BC571" s="845"/>
      <c r="BD571" s="845"/>
      <c r="BE571" s="845"/>
      <c r="BF571" s="845"/>
      <c r="BG571" s="845"/>
      <c r="BH571" s="845"/>
      <c r="BI571" s="845"/>
      <c r="BJ571" s="845"/>
      <c r="BK571" s="845"/>
      <c r="BL571" s="845"/>
      <c r="BM571" s="845"/>
      <c r="BN571" s="845"/>
      <c r="BO571" s="845"/>
      <c r="BP571" s="845"/>
      <c r="BQ571" s="845"/>
      <c r="BR571" s="845"/>
      <c r="BS571" s="845"/>
      <c r="BT571" s="845"/>
      <c r="BU571" s="845"/>
      <c r="BV571" s="845"/>
      <c r="BW571" s="845"/>
      <c r="BX571" s="845"/>
      <c r="BY571" s="845"/>
      <c r="BZ571" s="845"/>
      <c r="CA571" s="845"/>
      <c r="CB571" s="845"/>
      <c r="CC571" s="845"/>
    </row>
    <row r="572" spans="1:81" ht="14.25" customHeight="1">
      <c r="A572" s="976" t="s">
        <v>3905</v>
      </c>
      <c r="B572" s="976" t="s">
        <v>1227</v>
      </c>
      <c r="C572" s="977">
        <v>1747000540</v>
      </c>
      <c r="D572" s="976" t="s">
        <v>279</v>
      </c>
      <c r="E572" s="976">
        <v>5</v>
      </c>
      <c r="F572" s="976">
        <v>5</v>
      </c>
      <c r="G572" s="976">
        <v>3.75</v>
      </c>
      <c r="H572" s="976">
        <v>3.6176699999999999</v>
      </c>
      <c r="I572" s="976"/>
      <c r="J572" s="1041">
        <v>1</v>
      </c>
      <c r="K572" s="976">
        <v>4.6176700000000004</v>
      </c>
      <c r="L572" s="978">
        <v>0.86767000000000039</v>
      </c>
      <c r="M572" s="976" t="s">
        <v>3643</v>
      </c>
      <c r="N572" s="976">
        <v>6.1568933333333336</v>
      </c>
      <c r="O572" s="735">
        <f t="shared" si="26"/>
        <v>1.1568933333333336</v>
      </c>
      <c r="P572" s="738">
        <f t="shared" si="24"/>
        <v>6156.8933333333334</v>
      </c>
      <c r="Q572" s="751">
        <f t="shared" si="25"/>
        <v>6000</v>
      </c>
      <c r="U572" s="747"/>
      <c r="V572" s="988"/>
      <c r="W572" s="1024"/>
      <c r="AY572" s="845"/>
      <c r="AZ572" s="845"/>
      <c r="BA572" s="845"/>
      <c r="BB572" s="845"/>
      <c r="BC572" s="845"/>
      <c r="BD572" s="845"/>
      <c r="BE572" s="845"/>
      <c r="BF572" s="845"/>
      <c r="BG572" s="845"/>
      <c r="BH572" s="845"/>
      <c r="BI572" s="845"/>
      <c r="BJ572" s="845"/>
      <c r="BK572" s="845"/>
      <c r="BL572" s="845"/>
      <c r="BM572" s="845"/>
      <c r="BN572" s="845"/>
      <c r="BO572" s="845"/>
      <c r="BP572" s="845"/>
      <c r="BQ572" s="845"/>
      <c r="BR572" s="845"/>
      <c r="BS572" s="845"/>
      <c r="BT572" s="845"/>
      <c r="BU572" s="845"/>
      <c r="BV572" s="845"/>
      <c r="BW572" s="845"/>
      <c r="BX572" s="845"/>
      <c r="BY572" s="845"/>
      <c r="BZ572" s="845"/>
      <c r="CA572" s="845"/>
      <c r="CB572" s="845"/>
      <c r="CC572" s="845"/>
    </row>
    <row r="573" spans="1:81" ht="14.25" customHeight="1">
      <c r="A573" s="976" t="s">
        <v>3927</v>
      </c>
      <c r="B573" s="976" t="s">
        <v>1227</v>
      </c>
      <c r="C573" s="977">
        <v>1747000720</v>
      </c>
      <c r="D573" s="976" t="s">
        <v>400</v>
      </c>
      <c r="E573" s="976">
        <v>0</v>
      </c>
      <c r="F573" s="976">
        <v>0</v>
      </c>
      <c r="G573" s="976">
        <v>0</v>
      </c>
      <c r="H573" s="976">
        <v>0</v>
      </c>
      <c r="I573" s="976"/>
      <c r="J573" s="976"/>
      <c r="K573" s="976">
        <v>0</v>
      </c>
      <c r="L573" s="978">
        <v>0</v>
      </c>
      <c r="M573" s="976"/>
      <c r="N573" s="976">
        <v>0</v>
      </c>
      <c r="O573" s="735">
        <f t="shared" si="26"/>
        <v>0</v>
      </c>
      <c r="P573" s="738">
        <f t="shared" si="24"/>
        <v>0</v>
      </c>
      <c r="Q573" s="751">
        <f t="shared" si="25"/>
        <v>0</v>
      </c>
      <c r="U573" s="747"/>
      <c r="V573" s="988"/>
      <c r="W573" s="1024"/>
    </row>
    <row r="574" spans="1:81" ht="14.25" customHeight="1">
      <c r="A574" s="976" t="s">
        <v>3913</v>
      </c>
      <c r="B574" s="976" t="s">
        <v>1227</v>
      </c>
      <c r="C574" s="977">
        <v>1747000750</v>
      </c>
      <c r="D574" s="976" t="s">
        <v>288</v>
      </c>
      <c r="E574" s="976">
        <v>650</v>
      </c>
      <c r="F574" s="976">
        <v>650</v>
      </c>
      <c r="G574" s="976">
        <v>487.5</v>
      </c>
      <c r="H574" s="976">
        <v>186.11668</v>
      </c>
      <c r="I574" s="976"/>
      <c r="J574" s="1041">
        <v>302</v>
      </c>
      <c r="K574" s="976">
        <v>488.11667999999997</v>
      </c>
      <c r="L574" s="978">
        <v>0.61667999999997392</v>
      </c>
      <c r="M574" s="976" t="s">
        <v>3644</v>
      </c>
      <c r="N574" s="976">
        <v>650.82223999999997</v>
      </c>
      <c r="O574" s="735">
        <f t="shared" si="26"/>
        <v>0.82223999999996522</v>
      </c>
      <c r="P574" s="738">
        <f t="shared" si="24"/>
        <v>650822.24</v>
      </c>
      <c r="Q574" s="751">
        <f t="shared" si="25"/>
        <v>651000</v>
      </c>
      <c r="U574" s="747"/>
      <c r="V574" s="988"/>
      <c r="W574" s="1024"/>
    </row>
    <row r="575" spans="1:81" ht="14.25" customHeight="1">
      <c r="A575" s="976" t="s">
        <v>3914</v>
      </c>
      <c r="B575" s="976" t="s">
        <v>1227</v>
      </c>
      <c r="C575" s="977">
        <v>1747000751</v>
      </c>
      <c r="D575" s="976" t="s">
        <v>2369</v>
      </c>
      <c r="E575" s="976">
        <v>600</v>
      </c>
      <c r="F575" s="976">
        <v>700</v>
      </c>
      <c r="G575" s="976">
        <v>450</v>
      </c>
      <c r="H575" s="976">
        <v>280.20902000000001</v>
      </c>
      <c r="I575" s="976"/>
      <c r="J575" s="1041">
        <v>170</v>
      </c>
      <c r="K575" s="976">
        <v>450.20902000000001</v>
      </c>
      <c r="L575" s="978">
        <v>0.20902000000000953</v>
      </c>
      <c r="M575" s="976" t="s">
        <v>3645</v>
      </c>
      <c r="N575" s="976">
        <v>600.27869333333331</v>
      </c>
      <c r="O575" s="735">
        <f t="shared" si="26"/>
        <v>0.27869333333330815</v>
      </c>
      <c r="P575" s="738">
        <f t="shared" si="24"/>
        <v>600278.69333333336</v>
      </c>
      <c r="Q575" s="751">
        <f t="shared" si="25"/>
        <v>600000</v>
      </c>
      <c r="U575" s="747"/>
      <c r="V575" s="988"/>
      <c r="W575" s="1024"/>
    </row>
    <row r="576" spans="1:81" ht="17.25" customHeight="1">
      <c r="A576" s="976" t="s">
        <v>3915</v>
      </c>
      <c r="B576" s="976" t="s">
        <v>1227</v>
      </c>
      <c r="C576" s="977">
        <v>1747000752</v>
      </c>
      <c r="D576" s="976" t="s">
        <v>2368</v>
      </c>
      <c r="E576" s="976">
        <v>192</v>
      </c>
      <c r="F576" s="976">
        <v>192</v>
      </c>
      <c r="G576" s="976">
        <v>144</v>
      </c>
      <c r="H576" s="976">
        <v>85.195399999999992</v>
      </c>
      <c r="I576" s="976"/>
      <c r="J576" s="1041">
        <v>61</v>
      </c>
      <c r="K576" s="976">
        <v>146.19540000000001</v>
      </c>
      <c r="L576" s="978">
        <v>2.1954000000000065</v>
      </c>
      <c r="M576" s="976" t="s">
        <v>3643</v>
      </c>
      <c r="N576" s="976">
        <v>194.9272</v>
      </c>
      <c r="O576" s="735">
        <f t="shared" si="26"/>
        <v>2.9271999999999991</v>
      </c>
      <c r="P576" s="738">
        <f t="shared" si="24"/>
        <v>194927.2</v>
      </c>
      <c r="Q576" s="751">
        <f t="shared" si="25"/>
        <v>195000</v>
      </c>
      <c r="U576" s="747"/>
      <c r="V576" s="988"/>
      <c r="W576" s="1024"/>
    </row>
    <row r="577" spans="1:81" ht="17.25" customHeight="1">
      <c r="A577" s="976" t="s">
        <v>3931</v>
      </c>
      <c r="B577" s="976" t="s">
        <v>1227</v>
      </c>
      <c r="C577" s="977">
        <v>1747000810</v>
      </c>
      <c r="D577" s="976" t="s">
        <v>474</v>
      </c>
      <c r="E577" s="976">
        <v>800</v>
      </c>
      <c r="F577" s="976">
        <v>800</v>
      </c>
      <c r="G577" s="976">
        <v>600</v>
      </c>
      <c r="H577" s="976">
        <v>530.56585999999993</v>
      </c>
      <c r="I577" s="976"/>
      <c r="J577" s="1032">
        <v>-68</v>
      </c>
      <c r="K577" s="976">
        <v>462.56585999999993</v>
      </c>
      <c r="L577" s="978">
        <v>-137.43414000000007</v>
      </c>
      <c r="M577" s="976" t="s">
        <v>3646</v>
      </c>
      <c r="N577" s="976">
        <v>616.75447999999994</v>
      </c>
      <c r="O577" s="735">
        <f t="shared" si="26"/>
        <v>-183.24552000000006</v>
      </c>
      <c r="P577" s="738">
        <f t="shared" si="24"/>
        <v>616754.48</v>
      </c>
      <c r="Q577" s="751">
        <f t="shared" si="25"/>
        <v>617000</v>
      </c>
      <c r="U577" s="747"/>
      <c r="V577" s="988"/>
      <c r="W577" s="1024"/>
    </row>
    <row r="578" spans="1:81" ht="19.5" customHeight="1">
      <c r="A578" s="976" t="s">
        <v>3867</v>
      </c>
      <c r="B578" s="976" t="s">
        <v>1227</v>
      </c>
      <c r="C578" s="977">
        <v>1749000410</v>
      </c>
      <c r="D578" s="976" t="s">
        <v>3344</v>
      </c>
      <c r="E578" s="976">
        <v>241</v>
      </c>
      <c r="F578" s="976">
        <v>241</v>
      </c>
      <c r="G578" s="976">
        <v>180.75</v>
      </c>
      <c r="H578" s="976">
        <v>240.04208</v>
      </c>
      <c r="I578" s="976"/>
      <c r="J578" s="1032">
        <v>-59</v>
      </c>
      <c r="K578" s="976">
        <v>181.04208</v>
      </c>
      <c r="L578" s="978">
        <v>0.29207999999999856</v>
      </c>
      <c r="M578" s="976" t="s">
        <v>3630</v>
      </c>
      <c r="N578" s="976">
        <v>241.38944000000004</v>
      </c>
      <c r="O578" s="735">
        <f t="shared" si="26"/>
        <v>0.38944000000003598</v>
      </c>
      <c r="P578" s="738">
        <f t="shared" si="24"/>
        <v>241389.44000000003</v>
      </c>
      <c r="Q578" s="751">
        <f t="shared" si="25"/>
        <v>241000</v>
      </c>
      <c r="U578" s="747"/>
      <c r="V578" s="988"/>
      <c r="W578" s="1024"/>
    </row>
    <row r="579" spans="1:81" ht="18.75" customHeight="1">
      <c r="A579" s="976" t="s">
        <v>3868</v>
      </c>
      <c r="B579" s="976" t="s">
        <v>1227</v>
      </c>
      <c r="C579" s="977">
        <v>1749000430</v>
      </c>
      <c r="D579" s="976" t="s">
        <v>311</v>
      </c>
      <c r="E579" s="976">
        <v>350</v>
      </c>
      <c r="F579" s="976">
        <v>350</v>
      </c>
      <c r="G579" s="976">
        <v>262.5</v>
      </c>
      <c r="H579" s="976">
        <v>269.71744999999999</v>
      </c>
      <c r="I579" s="976"/>
      <c r="J579" s="976"/>
      <c r="K579" s="976">
        <v>269.71744999999999</v>
      </c>
      <c r="L579" s="978">
        <v>7.2174499999999853</v>
      </c>
      <c r="M579" s="976"/>
      <c r="N579" s="976">
        <v>359.62326666666667</v>
      </c>
      <c r="O579" s="735">
        <f t="shared" si="26"/>
        <v>9.623266666666666</v>
      </c>
      <c r="P579" s="738">
        <f t="shared" si="24"/>
        <v>359623.26666666666</v>
      </c>
      <c r="Q579" s="751">
        <f t="shared" si="25"/>
        <v>360000</v>
      </c>
      <c r="U579" s="747"/>
      <c r="V579" s="988"/>
      <c r="W579" s="1024"/>
    </row>
    <row r="580" spans="1:81" ht="14.25" customHeight="1">
      <c r="A580" s="976" t="s">
        <v>3930</v>
      </c>
      <c r="B580" s="976" t="s">
        <v>1227</v>
      </c>
      <c r="C580" s="977">
        <v>1749000432</v>
      </c>
      <c r="D580" s="976" t="s">
        <v>462</v>
      </c>
      <c r="E580" s="976">
        <v>1000</v>
      </c>
      <c r="F580" s="976">
        <v>1000</v>
      </c>
      <c r="G580" s="976">
        <v>750</v>
      </c>
      <c r="H580" s="976">
        <v>737.50400000000002</v>
      </c>
      <c r="I580" s="976"/>
      <c r="J580" s="1041">
        <v>13</v>
      </c>
      <c r="K580" s="976">
        <v>750.50400000000002</v>
      </c>
      <c r="L580" s="978">
        <v>0.5040000000000191</v>
      </c>
      <c r="M580" s="976" t="s">
        <v>3642</v>
      </c>
      <c r="N580" s="976">
        <v>1000.672</v>
      </c>
      <c r="O580" s="860">
        <f t="shared" si="26"/>
        <v>0.67200000000002547</v>
      </c>
      <c r="P580" s="738">
        <f t="shared" si="24"/>
        <v>1000672</v>
      </c>
      <c r="Q580" s="751">
        <f t="shared" si="25"/>
        <v>1001000</v>
      </c>
      <c r="R580" s="861"/>
      <c r="S580" s="861"/>
      <c r="T580" s="861"/>
      <c r="U580" s="747"/>
      <c r="V580" s="988"/>
      <c r="W580" s="1024"/>
    </row>
    <row r="581" spans="1:81" ht="14.25" customHeight="1">
      <c r="A581" s="1036" t="s">
        <v>3876</v>
      </c>
      <c r="B581" s="1036" t="s">
        <v>1227</v>
      </c>
      <c r="C581" s="1037">
        <v>1749000440</v>
      </c>
      <c r="D581" s="1036" t="s">
        <v>481</v>
      </c>
      <c r="E581" s="1036">
        <v>5600</v>
      </c>
      <c r="F581" s="1036">
        <v>5600</v>
      </c>
      <c r="G581" s="1036">
        <v>4200</v>
      </c>
      <c r="H581" s="1036">
        <v>4352.5183099999995</v>
      </c>
      <c r="I581" s="1036"/>
      <c r="J581" s="1032">
        <v>-2100</v>
      </c>
      <c r="K581" s="1036">
        <v>2252.5183099999995</v>
      </c>
      <c r="L581" s="1038">
        <v>-1947.4816900000005</v>
      </c>
      <c r="M581" s="1036"/>
      <c r="N581" s="1036">
        <v>3003.3577466666661</v>
      </c>
      <c r="O581" s="735">
        <f t="shared" si="26"/>
        <v>-2596.6422533333339</v>
      </c>
      <c r="P581" s="738">
        <f t="shared" si="24"/>
        <v>3003357.7466666661</v>
      </c>
      <c r="Q581" s="751">
        <f t="shared" si="25"/>
        <v>3003000</v>
      </c>
      <c r="U581" s="747"/>
      <c r="V581" s="988"/>
      <c r="W581" s="1024"/>
    </row>
    <row r="582" spans="1:81" ht="14.25" customHeight="1">
      <c r="A582" s="976" t="s">
        <v>3932</v>
      </c>
      <c r="B582" s="976" t="s">
        <v>1227</v>
      </c>
      <c r="C582" s="977">
        <v>1749000450</v>
      </c>
      <c r="D582" s="976" t="s">
        <v>483</v>
      </c>
      <c r="E582" s="976">
        <v>10</v>
      </c>
      <c r="F582" s="976">
        <v>10</v>
      </c>
      <c r="G582" s="976">
        <v>7.5</v>
      </c>
      <c r="H582" s="976">
        <v>0</v>
      </c>
      <c r="I582" s="976"/>
      <c r="J582" s="1041">
        <v>5</v>
      </c>
      <c r="K582" s="976">
        <v>5</v>
      </c>
      <c r="L582" s="978">
        <v>-2.5</v>
      </c>
      <c r="M582" s="976" t="s">
        <v>3630</v>
      </c>
      <c r="N582" s="976">
        <v>6.666666666666667</v>
      </c>
      <c r="O582" s="735">
        <f t="shared" si="26"/>
        <v>-3.333333333333333</v>
      </c>
      <c r="P582" s="738">
        <f t="shared" si="24"/>
        <v>6666.666666666667</v>
      </c>
      <c r="Q582" s="751">
        <f t="shared" si="25"/>
        <v>7000</v>
      </c>
      <c r="U582" s="747"/>
      <c r="V582" s="988"/>
      <c r="W582" s="1024"/>
      <c r="AY582" s="845"/>
      <c r="AZ582" s="845"/>
      <c r="BA582" s="845"/>
      <c r="BB582" s="845"/>
      <c r="BC582" s="845"/>
      <c r="BD582" s="845"/>
      <c r="BE582" s="845"/>
      <c r="BF582" s="845"/>
      <c r="BG582" s="845"/>
      <c r="BH582" s="845"/>
      <c r="BI582" s="845"/>
      <c r="BJ582" s="845"/>
      <c r="BK582" s="845"/>
      <c r="BL582" s="845"/>
      <c r="BM582" s="845"/>
      <c r="BN582" s="845"/>
      <c r="BO582" s="845"/>
      <c r="BP582" s="845"/>
      <c r="BQ582" s="845"/>
      <c r="BR582" s="845"/>
      <c r="BS582" s="845"/>
      <c r="BT582" s="845"/>
      <c r="BU582" s="845"/>
      <c r="BV582" s="845"/>
      <c r="BW582" s="845"/>
      <c r="BX582" s="845"/>
      <c r="BY582" s="845"/>
      <c r="BZ582" s="845"/>
      <c r="CA582" s="845"/>
      <c r="CB582" s="845"/>
      <c r="CC582" s="845"/>
    </row>
    <row r="583" spans="1:81" ht="14.25" customHeight="1">
      <c r="A583" s="976" t="s">
        <v>3908</v>
      </c>
      <c r="B583" s="976" t="s">
        <v>1227</v>
      </c>
      <c r="C583" s="988">
        <v>1749000530</v>
      </c>
      <c r="D583" s="988" t="s">
        <v>3345</v>
      </c>
      <c r="E583" s="976">
        <v>0</v>
      </c>
      <c r="F583" s="976">
        <v>0</v>
      </c>
      <c r="G583" s="976">
        <v>0</v>
      </c>
      <c r="H583" s="976">
        <v>0</v>
      </c>
      <c r="I583" s="976"/>
      <c r="J583" s="976"/>
      <c r="K583" s="976">
        <v>0</v>
      </c>
      <c r="L583" s="978">
        <v>0</v>
      </c>
      <c r="M583" s="976"/>
      <c r="N583" s="976">
        <v>0</v>
      </c>
      <c r="O583" s="735">
        <f t="shared" si="26"/>
        <v>0</v>
      </c>
      <c r="P583" s="738">
        <f t="shared" si="24"/>
        <v>0</v>
      </c>
      <c r="Q583" s="751">
        <f t="shared" si="25"/>
        <v>0</v>
      </c>
      <c r="U583" s="747"/>
      <c r="V583" s="988"/>
      <c r="W583" s="1024"/>
    </row>
    <row r="584" spans="1:81" ht="14.25" customHeight="1">
      <c r="A584" s="976" t="s">
        <v>3905</v>
      </c>
      <c r="B584" s="976" t="s">
        <v>1227</v>
      </c>
      <c r="C584" s="977">
        <v>1749000540</v>
      </c>
      <c r="D584" s="976" t="s">
        <v>279</v>
      </c>
      <c r="E584" s="976">
        <v>450</v>
      </c>
      <c r="F584" s="976">
        <v>450</v>
      </c>
      <c r="G584" s="976">
        <v>337.5</v>
      </c>
      <c r="H584" s="976">
        <v>382.90542999999997</v>
      </c>
      <c r="I584" s="976"/>
      <c r="J584" s="1032">
        <v>-33</v>
      </c>
      <c r="K584" s="976">
        <v>349.90542999999997</v>
      </c>
      <c r="L584" s="978">
        <v>12.405429999999967</v>
      </c>
      <c r="M584" s="976" t="s">
        <v>3630</v>
      </c>
      <c r="N584" s="976">
        <v>466.54057333333327</v>
      </c>
      <c r="O584" s="735">
        <f t="shared" si="26"/>
        <v>16.540573333333271</v>
      </c>
      <c r="P584" s="738">
        <f t="shared" ref="P584:P647" si="27">N584*1000</f>
        <v>466540.57333333325</v>
      </c>
      <c r="Q584" s="751">
        <f t="shared" ref="Q584:Q647" si="28">ROUND(P584,-3)</f>
        <v>467000</v>
      </c>
      <c r="U584" s="747"/>
      <c r="V584" s="988"/>
      <c r="W584" s="1024"/>
      <c r="AY584" s="845"/>
      <c r="AZ584" s="845"/>
      <c r="BA584" s="845"/>
      <c r="BB584" s="845"/>
      <c r="BC584" s="845"/>
      <c r="BD584" s="845"/>
      <c r="BE584" s="845"/>
      <c r="BF584" s="845"/>
      <c r="BG584" s="845"/>
      <c r="BH584" s="845"/>
      <c r="BI584" s="845"/>
      <c r="BJ584" s="845"/>
      <c r="BK584" s="845"/>
      <c r="BL584" s="845"/>
      <c r="BM584" s="845"/>
      <c r="BN584" s="845"/>
      <c r="BO584" s="845"/>
      <c r="BP584" s="845"/>
      <c r="BQ584" s="845"/>
      <c r="BR584" s="845"/>
      <c r="BS584" s="845"/>
      <c r="BT584" s="845"/>
      <c r="BU584" s="845"/>
      <c r="BV584" s="845"/>
      <c r="BW584" s="845"/>
      <c r="BX584" s="845"/>
      <c r="BY584" s="845"/>
      <c r="BZ584" s="845"/>
      <c r="CA584" s="845"/>
      <c r="CB584" s="845"/>
      <c r="CC584" s="845"/>
    </row>
    <row r="585" spans="1:81" ht="24.75" customHeight="1">
      <c r="A585" s="976" t="s">
        <v>3922</v>
      </c>
      <c r="B585" s="976" t="s">
        <v>1227</v>
      </c>
      <c r="C585" s="977">
        <v>1749000550</v>
      </c>
      <c r="D585" s="976" t="s">
        <v>318</v>
      </c>
      <c r="E585" s="976">
        <v>0</v>
      </c>
      <c r="F585" s="976">
        <v>0</v>
      </c>
      <c r="G585" s="976">
        <v>0</v>
      </c>
      <c r="H585" s="976">
        <v>0</v>
      </c>
      <c r="I585" s="976"/>
      <c r="J585" s="976"/>
      <c r="K585" s="976">
        <v>0</v>
      </c>
      <c r="L585" s="978">
        <v>0</v>
      </c>
      <c r="M585" s="976"/>
      <c r="N585" s="976">
        <v>0</v>
      </c>
      <c r="O585" s="735">
        <f t="shared" ref="O585:O648" si="29">N585-E585</f>
        <v>0</v>
      </c>
      <c r="P585" s="738">
        <f t="shared" si="27"/>
        <v>0</v>
      </c>
      <c r="Q585" s="751">
        <f t="shared" si="28"/>
        <v>0</v>
      </c>
      <c r="U585" s="747"/>
      <c r="V585" s="988"/>
      <c r="W585" s="1024"/>
    </row>
    <row r="586" spans="1:81" ht="14.25" customHeight="1">
      <c r="A586" s="976" t="s">
        <v>3933</v>
      </c>
      <c r="B586" s="976" t="s">
        <v>1227</v>
      </c>
      <c r="C586" s="977">
        <v>1749000560</v>
      </c>
      <c r="D586" s="976" t="s">
        <v>486</v>
      </c>
      <c r="E586" s="976">
        <v>90</v>
      </c>
      <c r="F586" s="976">
        <v>90</v>
      </c>
      <c r="G586" s="976">
        <v>67.5</v>
      </c>
      <c r="H586" s="976">
        <v>66.619169999999997</v>
      </c>
      <c r="I586" s="976"/>
      <c r="J586" s="976"/>
      <c r="K586" s="976">
        <v>66.619169999999997</v>
      </c>
      <c r="L586" s="978">
        <v>-0.88083000000000311</v>
      </c>
      <c r="M586" s="976" t="s">
        <v>3630</v>
      </c>
      <c r="N586" s="976">
        <v>88.825559999999996</v>
      </c>
      <c r="O586" s="735">
        <f t="shared" si="29"/>
        <v>-1.1744400000000041</v>
      </c>
      <c r="P586" s="738">
        <f t="shared" si="27"/>
        <v>88825.56</v>
      </c>
      <c r="Q586" s="751">
        <f t="shared" si="28"/>
        <v>89000</v>
      </c>
      <c r="U586" s="747"/>
      <c r="V586" s="988"/>
      <c r="W586" s="1024"/>
    </row>
    <row r="587" spans="1:81" ht="14.25" customHeight="1">
      <c r="A587" s="976" t="s">
        <v>3927</v>
      </c>
      <c r="B587" s="976" t="s">
        <v>1227</v>
      </c>
      <c r="C587" s="977">
        <v>1749000720</v>
      </c>
      <c r="D587" s="976" t="s">
        <v>400</v>
      </c>
      <c r="E587" s="976">
        <v>65</v>
      </c>
      <c r="F587" s="976">
        <v>65</v>
      </c>
      <c r="G587" s="976">
        <v>48.75</v>
      </c>
      <c r="H587" s="976">
        <v>30.871500000000001</v>
      </c>
      <c r="I587" s="976"/>
      <c r="J587" s="1041">
        <v>18</v>
      </c>
      <c r="K587" s="976">
        <v>48.871499999999997</v>
      </c>
      <c r="L587" s="978">
        <v>0.1214999999999975</v>
      </c>
      <c r="M587" s="976" t="s">
        <v>3630</v>
      </c>
      <c r="N587" s="976">
        <v>65.161999999999992</v>
      </c>
      <c r="O587" s="735">
        <f t="shared" si="29"/>
        <v>0.16199999999999193</v>
      </c>
      <c r="P587" s="738">
        <f t="shared" si="27"/>
        <v>65161.999999999993</v>
      </c>
      <c r="Q587" s="751">
        <f t="shared" si="28"/>
        <v>65000</v>
      </c>
      <c r="U587" s="747"/>
      <c r="V587" s="988"/>
      <c r="W587" s="1024"/>
      <c r="AY587" s="845"/>
      <c r="AZ587" s="845"/>
      <c r="BA587" s="845"/>
      <c r="BB587" s="845"/>
      <c r="BC587" s="845"/>
      <c r="BD587" s="845"/>
      <c r="BE587" s="845"/>
      <c r="BF587" s="845"/>
      <c r="BG587" s="845"/>
      <c r="BH587" s="845"/>
      <c r="BI587" s="845"/>
      <c r="BJ587" s="845"/>
      <c r="BK587" s="845"/>
      <c r="BL587" s="845"/>
      <c r="BM587" s="845"/>
      <c r="BN587" s="845"/>
      <c r="BO587" s="845"/>
      <c r="BP587" s="845"/>
      <c r="BQ587" s="845"/>
      <c r="BR587" s="845"/>
      <c r="BS587" s="845"/>
      <c r="BT587" s="845"/>
      <c r="BU587" s="845"/>
      <c r="BV587" s="845"/>
      <c r="BW587" s="845"/>
      <c r="BX587" s="845"/>
      <c r="BY587" s="845"/>
      <c r="BZ587" s="845"/>
      <c r="CA587" s="845"/>
      <c r="CB587" s="845"/>
      <c r="CC587" s="845"/>
    </row>
    <row r="588" spans="1:81" ht="16.5" customHeight="1">
      <c r="A588" s="976" t="s">
        <v>3890</v>
      </c>
      <c r="B588" s="976" t="s">
        <v>1227</v>
      </c>
      <c r="C588" s="977">
        <v>1749000740</v>
      </c>
      <c r="D588" s="976" t="s">
        <v>451</v>
      </c>
      <c r="E588" s="976">
        <v>0</v>
      </c>
      <c r="F588" s="976">
        <v>0</v>
      </c>
      <c r="G588" s="976">
        <v>0</v>
      </c>
      <c r="H588" s="976">
        <v>0</v>
      </c>
      <c r="I588" s="976"/>
      <c r="J588" s="976"/>
      <c r="K588" s="976">
        <v>0</v>
      </c>
      <c r="L588" s="978">
        <v>0</v>
      </c>
      <c r="M588" s="976"/>
      <c r="N588" s="976">
        <v>0</v>
      </c>
      <c r="O588" s="735">
        <f t="shared" si="29"/>
        <v>0</v>
      </c>
      <c r="P588" s="738">
        <f t="shared" si="27"/>
        <v>0</v>
      </c>
      <c r="Q588" s="751">
        <f t="shared" si="28"/>
        <v>0</v>
      </c>
      <c r="U588" s="747"/>
      <c r="V588" s="988"/>
      <c r="W588" s="1024"/>
    </row>
    <row r="589" spans="1:81" ht="14.25" customHeight="1">
      <c r="A589" s="976" t="s">
        <v>3913</v>
      </c>
      <c r="B589" s="976" t="s">
        <v>1227</v>
      </c>
      <c r="C589" s="977">
        <v>1749000750</v>
      </c>
      <c r="D589" s="976" t="s">
        <v>288</v>
      </c>
      <c r="E589" s="976">
        <v>100</v>
      </c>
      <c r="F589" s="976">
        <v>100</v>
      </c>
      <c r="G589" s="976">
        <v>75</v>
      </c>
      <c r="H589" s="976">
        <v>33.631399999999999</v>
      </c>
      <c r="I589" s="976"/>
      <c r="J589" s="1041">
        <v>35</v>
      </c>
      <c r="K589" s="976">
        <v>68.631399999999999</v>
      </c>
      <c r="L589" s="978">
        <v>-6.3686000000000007</v>
      </c>
      <c r="M589" s="976" t="s">
        <v>3630</v>
      </c>
      <c r="N589" s="976">
        <v>91.508533333333332</v>
      </c>
      <c r="O589" s="735">
        <f t="shared" si="29"/>
        <v>-8.4914666666666676</v>
      </c>
      <c r="P589" s="738">
        <f t="shared" si="27"/>
        <v>91508.533333333326</v>
      </c>
      <c r="Q589" s="751">
        <f t="shared" si="28"/>
        <v>92000</v>
      </c>
      <c r="U589" s="747"/>
      <c r="V589" s="988"/>
      <c r="W589" s="1024"/>
    </row>
    <row r="590" spans="1:81" ht="14.25" customHeight="1">
      <c r="A590" s="976" t="s">
        <v>3909</v>
      </c>
      <c r="B590" s="976" t="s">
        <v>1227</v>
      </c>
      <c r="C590" s="977">
        <v>1749000780</v>
      </c>
      <c r="D590" s="976" t="s">
        <v>280</v>
      </c>
      <c r="E590" s="976">
        <v>20</v>
      </c>
      <c r="F590" s="976">
        <v>20</v>
      </c>
      <c r="G590" s="976">
        <v>15</v>
      </c>
      <c r="H590" s="976">
        <v>6.9014799999999994</v>
      </c>
      <c r="I590" s="976"/>
      <c r="J590" s="1041">
        <v>2</v>
      </c>
      <c r="K590" s="976">
        <v>8.9014799999999994</v>
      </c>
      <c r="L590" s="978">
        <v>-6.0985200000000006</v>
      </c>
      <c r="M590" s="976" t="s">
        <v>3630</v>
      </c>
      <c r="N590" s="976">
        <v>11.868639999999999</v>
      </c>
      <c r="O590" s="735">
        <f t="shared" si="29"/>
        <v>-8.1313600000000008</v>
      </c>
      <c r="P590" s="738">
        <f t="shared" si="27"/>
        <v>11868.64</v>
      </c>
      <c r="Q590" s="751">
        <f t="shared" si="28"/>
        <v>12000</v>
      </c>
      <c r="U590" s="747"/>
      <c r="V590" s="988"/>
      <c r="W590" s="1024"/>
      <c r="AY590" s="845"/>
      <c r="AZ590" s="845"/>
      <c r="BA590" s="845"/>
      <c r="BB590" s="845"/>
      <c r="BC590" s="845"/>
      <c r="BD590" s="845"/>
      <c r="BE590" s="845"/>
      <c r="BF590" s="845"/>
      <c r="BG590" s="845"/>
      <c r="BH590" s="845"/>
      <c r="BI590" s="845"/>
      <c r="BJ590" s="845"/>
      <c r="BK590" s="845"/>
      <c r="BL590" s="845"/>
      <c r="BM590" s="845"/>
      <c r="BN590" s="845"/>
      <c r="BO590" s="845"/>
      <c r="BP590" s="845"/>
      <c r="BQ590" s="845"/>
      <c r="BR590" s="845"/>
      <c r="BS590" s="845"/>
      <c r="BT590" s="845"/>
      <c r="BU590" s="845"/>
      <c r="BV590" s="845"/>
      <c r="BW590" s="845"/>
      <c r="BX590" s="845"/>
      <c r="BY590" s="845"/>
      <c r="BZ590" s="845"/>
      <c r="CA590" s="845"/>
      <c r="CB590" s="845"/>
      <c r="CC590" s="845"/>
    </row>
    <row r="591" spans="1:81" ht="14.25" customHeight="1">
      <c r="A591" s="976" t="s">
        <v>3909</v>
      </c>
      <c r="B591" s="976" t="s">
        <v>1230</v>
      </c>
      <c r="C591" s="977">
        <v>1751000780</v>
      </c>
      <c r="D591" s="976" t="s">
        <v>3346</v>
      </c>
      <c r="E591" s="976">
        <v>0</v>
      </c>
      <c r="F591" s="976">
        <v>0</v>
      </c>
      <c r="G591" s="976">
        <v>0</v>
      </c>
      <c r="H591" s="976">
        <v>0</v>
      </c>
      <c r="I591" s="976"/>
      <c r="J591" s="976"/>
      <c r="K591" s="976">
        <v>0</v>
      </c>
      <c r="L591" s="978">
        <v>0</v>
      </c>
      <c r="M591" s="976"/>
      <c r="N591" s="976">
        <v>0</v>
      </c>
      <c r="O591" s="735">
        <f t="shared" si="29"/>
        <v>0</v>
      </c>
      <c r="P591" s="738">
        <f t="shared" si="27"/>
        <v>0</v>
      </c>
      <c r="Q591" s="751">
        <f t="shared" si="28"/>
        <v>0</v>
      </c>
      <c r="U591" s="747"/>
      <c r="V591" s="988"/>
      <c r="W591" s="1024"/>
      <c r="AY591" s="845"/>
      <c r="AZ591" s="845"/>
      <c r="BA591" s="845"/>
      <c r="BB591" s="845"/>
      <c r="BC591" s="845"/>
      <c r="BD591" s="845"/>
      <c r="BE591" s="845"/>
      <c r="BF591" s="845"/>
      <c r="BG591" s="845"/>
      <c r="BH591" s="845"/>
      <c r="BI591" s="845"/>
      <c r="BJ591" s="845"/>
      <c r="BK591" s="845"/>
      <c r="BL591" s="845"/>
      <c r="BM591" s="845"/>
      <c r="BN591" s="845"/>
      <c r="BO591" s="845"/>
      <c r="BP591" s="845"/>
      <c r="BQ591" s="845"/>
      <c r="BR591" s="845"/>
      <c r="BS591" s="845"/>
      <c r="BT591" s="845"/>
      <c r="BU591" s="845"/>
      <c r="BV591" s="845"/>
      <c r="BW591" s="845"/>
      <c r="BX591" s="845"/>
      <c r="BY591" s="845"/>
      <c r="BZ591" s="845"/>
      <c r="CA591" s="845"/>
      <c r="CB591" s="845"/>
      <c r="CC591" s="845"/>
    </row>
    <row r="592" spans="1:81" s="747" customFormat="1" ht="14.25" customHeight="1">
      <c r="A592" s="976" t="s">
        <v>3868</v>
      </c>
      <c r="B592" s="976" t="s">
        <v>1230</v>
      </c>
      <c r="C592" s="977">
        <v>1752000430</v>
      </c>
      <c r="D592" s="976" t="s">
        <v>311</v>
      </c>
      <c r="E592" s="976">
        <v>0</v>
      </c>
      <c r="F592" s="976">
        <v>0</v>
      </c>
      <c r="G592" s="976">
        <v>0</v>
      </c>
      <c r="H592" s="976">
        <v>0</v>
      </c>
      <c r="I592" s="976"/>
      <c r="J592" s="976"/>
      <c r="K592" s="976">
        <v>0</v>
      </c>
      <c r="L592" s="978">
        <v>0</v>
      </c>
      <c r="M592" s="976"/>
      <c r="N592" s="976">
        <v>0</v>
      </c>
      <c r="O592" s="735">
        <f t="shared" si="29"/>
        <v>0</v>
      </c>
      <c r="P592" s="738">
        <f t="shared" si="27"/>
        <v>0</v>
      </c>
      <c r="Q592" s="751">
        <f t="shared" si="28"/>
        <v>0</v>
      </c>
      <c r="V592" s="988"/>
      <c r="W592" s="1024"/>
    </row>
    <row r="593" spans="1:81" ht="14.25" customHeight="1">
      <c r="A593" s="976" t="s">
        <v>3908</v>
      </c>
      <c r="B593" s="976" t="s">
        <v>1230</v>
      </c>
      <c r="C593" s="977">
        <v>1752000530</v>
      </c>
      <c r="D593" s="976" t="s">
        <v>277</v>
      </c>
      <c r="E593" s="976">
        <v>450</v>
      </c>
      <c r="F593" s="976">
        <v>450</v>
      </c>
      <c r="G593" s="976">
        <v>337.5</v>
      </c>
      <c r="H593" s="976">
        <v>317.98284000000001</v>
      </c>
      <c r="I593" s="976"/>
      <c r="J593" s="976"/>
      <c r="K593" s="976">
        <v>317.98284000000001</v>
      </c>
      <c r="L593" s="978">
        <v>-19.51715999999999</v>
      </c>
      <c r="M593" s="976"/>
      <c r="N593" s="976">
        <v>423.97712000000001</v>
      </c>
      <c r="O593" s="735">
        <f t="shared" si="29"/>
        <v>-26.022879999999986</v>
      </c>
      <c r="P593" s="738">
        <f t="shared" si="27"/>
        <v>423977.12</v>
      </c>
      <c r="Q593" s="751">
        <f t="shared" si="28"/>
        <v>424000</v>
      </c>
      <c r="U593" s="747"/>
      <c r="V593" s="988"/>
      <c r="W593" s="1024"/>
      <c r="AY593" s="845"/>
      <c r="AZ593" s="845"/>
      <c r="BA593" s="845"/>
      <c r="BB593" s="845"/>
      <c r="BC593" s="845"/>
      <c r="BD593" s="845"/>
      <c r="BE593" s="845"/>
      <c r="BF593" s="845"/>
      <c r="BG593" s="845"/>
      <c r="BH593" s="845"/>
      <c r="BI593" s="845"/>
      <c r="BJ593" s="845"/>
      <c r="BK593" s="845"/>
      <c r="BL593" s="845"/>
      <c r="BM593" s="845"/>
      <c r="BN593" s="845"/>
      <c r="BO593" s="845"/>
      <c r="BP593" s="845"/>
      <c r="BQ593" s="845"/>
      <c r="BR593" s="845"/>
      <c r="BS593" s="845"/>
      <c r="BT593" s="845"/>
      <c r="BU593" s="845"/>
      <c r="BV593" s="845"/>
      <c r="BW593" s="845"/>
      <c r="BX593" s="845"/>
      <c r="BY593" s="845"/>
      <c r="BZ593" s="845"/>
      <c r="CA593" s="845"/>
      <c r="CB593" s="845"/>
      <c r="CC593" s="845"/>
    </row>
    <row r="594" spans="1:81" ht="14.25" customHeight="1">
      <c r="A594" s="976" t="s">
        <v>3905</v>
      </c>
      <c r="B594" s="976" t="s">
        <v>1230</v>
      </c>
      <c r="C594" s="977">
        <v>1752000540</v>
      </c>
      <c r="D594" s="976" t="s">
        <v>279</v>
      </c>
      <c r="E594" s="976">
        <v>2</v>
      </c>
      <c r="F594" s="976">
        <v>2</v>
      </c>
      <c r="G594" s="976">
        <v>1.5</v>
      </c>
      <c r="H594" s="976">
        <v>2.75596</v>
      </c>
      <c r="I594" s="976"/>
      <c r="J594" s="976"/>
      <c r="K594" s="976">
        <v>2.75596</v>
      </c>
      <c r="L594" s="978">
        <v>1.25596</v>
      </c>
      <c r="M594" s="976"/>
      <c r="N594" s="976">
        <v>3.6746133333333333</v>
      </c>
      <c r="O594" s="735">
        <f t="shared" si="29"/>
        <v>1.6746133333333333</v>
      </c>
      <c r="P594" s="738">
        <f t="shared" si="27"/>
        <v>3674.6133333333332</v>
      </c>
      <c r="Q594" s="751">
        <f t="shared" si="28"/>
        <v>4000</v>
      </c>
      <c r="U594" s="747"/>
      <c r="V594" s="988"/>
      <c r="W594" s="1024"/>
      <c r="AY594" s="845"/>
      <c r="AZ594" s="845"/>
      <c r="BA594" s="845"/>
      <c r="BB594" s="845"/>
      <c r="BC594" s="845"/>
      <c r="BD594" s="845"/>
      <c r="BE594" s="845"/>
      <c r="BF594" s="845"/>
      <c r="BG594" s="845"/>
      <c r="BH594" s="845"/>
      <c r="BI594" s="845"/>
      <c r="BJ594" s="845"/>
      <c r="BK594" s="845"/>
      <c r="BL594" s="845"/>
      <c r="BM594" s="845"/>
      <c r="BN594" s="845"/>
      <c r="BO594" s="845"/>
      <c r="BP594" s="845"/>
      <c r="BQ594" s="845"/>
      <c r="BR594" s="845"/>
      <c r="BS594" s="845"/>
      <c r="BT594" s="845"/>
      <c r="BU594" s="845"/>
      <c r="BV594" s="845"/>
      <c r="BW594" s="845"/>
      <c r="BX594" s="845"/>
      <c r="BY594" s="845"/>
      <c r="BZ594" s="845"/>
      <c r="CA594" s="845"/>
      <c r="CB594" s="845"/>
      <c r="CC594" s="845"/>
    </row>
    <row r="595" spans="1:81" ht="14.25" customHeight="1">
      <c r="A595" s="976" t="s">
        <v>3927</v>
      </c>
      <c r="B595" s="976" t="s">
        <v>1230</v>
      </c>
      <c r="C595" s="977">
        <v>1752000720</v>
      </c>
      <c r="D595" s="976" t="s">
        <v>400</v>
      </c>
      <c r="E595" s="976">
        <v>0</v>
      </c>
      <c r="F595" s="976">
        <v>0</v>
      </c>
      <c r="G595" s="976">
        <v>0</v>
      </c>
      <c r="H595" s="976">
        <v>0</v>
      </c>
      <c r="I595" s="976"/>
      <c r="J595" s="976"/>
      <c r="K595" s="976">
        <v>0</v>
      </c>
      <c r="L595" s="978">
        <v>0</v>
      </c>
      <c r="M595" s="976"/>
      <c r="N595" s="976">
        <v>0</v>
      </c>
      <c r="O595" s="888">
        <f t="shared" si="29"/>
        <v>0</v>
      </c>
      <c r="P595" s="738">
        <f t="shared" si="27"/>
        <v>0</v>
      </c>
      <c r="Q595" s="751">
        <f t="shared" si="28"/>
        <v>0</v>
      </c>
      <c r="R595" s="889"/>
      <c r="S595" s="889"/>
      <c r="T595" s="889"/>
      <c r="U595" s="747"/>
      <c r="V595" s="988"/>
      <c r="W595" s="1024"/>
    </row>
    <row r="596" spans="1:81" s="866" customFormat="1" ht="14.25" customHeight="1">
      <c r="A596" s="976" t="s">
        <v>3913</v>
      </c>
      <c r="B596" s="1016" t="s">
        <v>1230</v>
      </c>
      <c r="C596" s="977">
        <v>1752000750</v>
      </c>
      <c r="D596" s="976" t="s">
        <v>288</v>
      </c>
      <c r="E596" s="976">
        <v>700</v>
      </c>
      <c r="F596" s="976">
        <v>700</v>
      </c>
      <c r="G596" s="976">
        <v>525</v>
      </c>
      <c r="H596" s="976">
        <v>566.83231999999998</v>
      </c>
      <c r="I596" s="976"/>
      <c r="J596" s="1041">
        <v>375</v>
      </c>
      <c r="K596" s="976">
        <v>941.83231999999998</v>
      </c>
      <c r="L596" s="978">
        <v>416.83231999999998</v>
      </c>
      <c r="M596" s="992" t="s">
        <v>3647</v>
      </c>
      <c r="N596" s="976">
        <v>1255.7764266666666</v>
      </c>
      <c r="O596" s="735">
        <f t="shared" si="29"/>
        <v>555.77642666666657</v>
      </c>
      <c r="P596" s="738">
        <f t="shared" si="27"/>
        <v>1255776.4266666665</v>
      </c>
      <c r="Q596" s="751">
        <f t="shared" si="28"/>
        <v>1256000</v>
      </c>
      <c r="R596" s="865"/>
      <c r="S596" s="865"/>
      <c r="T596" s="865"/>
      <c r="U596" s="865"/>
      <c r="V596" s="988"/>
      <c r="W596" s="1024"/>
      <c r="X596" s="865"/>
      <c r="Y596" s="865"/>
      <c r="Z596" s="865"/>
      <c r="AA596" s="865"/>
      <c r="AB596" s="865"/>
      <c r="AC596" s="865"/>
      <c r="AD596" s="865"/>
      <c r="AE596" s="865"/>
      <c r="AF596" s="865"/>
      <c r="AG596" s="865"/>
      <c r="AH596" s="865"/>
      <c r="AI596" s="865"/>
      <c r="AJ596" s="865"/>
      <c r="AK596" s="865"/>
      <c r="AL596" s="865"/>
      <c r="AM596" s="865"/>
      <c r="AN596" s="865"/>
      <c r="AO596" s="865"/>
      <c r="AP596" s="865"/>
      <c r="AQ596" s="865"/>
      <c r="AR596" s="865"/>
      <c r="AS596" s="865"/>
      <c r="AT596" s="865"/>
      <c r="AU596" s="865"/>
      <c r="AV596" s="865"/>
      <c r="AW596" s="865"/>
      <c r="AX596" s="865"/>
      <c r="AY596" s="865"/>
      <c r="AZ596" s="865"/>
      <c r="BA596" s="865"/>
      <c r="BB596" s="865"/>
      <c r="BC596" s="865"/>
      <c r="BD596" s="865"/>
      <c r="BE596" s="865"/>
      <c r="BF596" s="865"/>
      <c r="BG596" s="865"/>
      <c r="BH596" s="865"/>
      <c r="BI596" s="865"/>
      <c r="BJ596" s="865"/>
      <c r="BK596" s="865"/>
      <c r="BL596" s="865"/>
      <c r="BM596" s="865"/>
      <c r="BN596" s="865"/>
      <c r="BO596" s="865"/>
      <c r="BP596" s="865"/>
      <c r="BQ596" s="865"/>
      <c r="BR596" s="865"/>
      <c r="BS596" s="865"/>
      <c r="BT596" s="865"/>
      <c r="BU596" s="865"/>
      <c r="BV596" s="865"/>
      <c r="BW596" s="865"/>
      <c r="BX596" s="865"/>
      <c r="BY596" s="865"/>
      <c r="BZ596" s="865"/>
      <c r="CA596" s="865"/>
      <c r="CB596" s="865"/>
      <c r="CC596" s="865"/>
    </row>
    <row r="597" spans="1:81" s="866" customFormat="1" ht="14.25" customHeight="1">
      <c r="A597" s="976" t="s">
        <v>3914</v>
      </c>
      <c r="B597" s="976"/>
      <c r="C597" s="977">
        <v>1752000751</v>
      </c>
      <c r="D597" s="976" t="s">
        <v>3347</v>
      </c>
      <c r="E597" s="976">
        <v>700</v>
      </c>
      <c r="F597" s="976">
        <v>700</v>
      </c>
      <c r="G597" s="976">
        <v>525</v>
      </c>
      <c r="H597" s="976">
        <v>683.08753999999999</v>
      </c>
      <c r="I597" s="976"/>
      <c r="J597" s="1032">
        <v>-150</v>
      </c>
      <c r="K597" s="976">
        <v>533.08753999999999</v>
      </c>
      <c r="L597" s="978">
        <v>8.08753999999999</v>
      </c>
      <c r="M597" s="976" t="s">
        <v>3630</v>
      </c>
      <c r="N597" s="976">
        <v>710.78338666666662</v>
      </c>
      <c r="O597" s="735">
        <f t="shared" si="29"/>
        <v>10.783386666666615</v>
      </c>
      <c r="P597" s="738">
        <f t="shared" si="27"/>
        <v>710783.3866666666</v>
      </c>
      <c r="Q597" s="751">
        <f t="shared" si="28"/>
        <v>711000</v>
      </c>
      <c r="R597" s="865"/>
      <c r="S597" s="865"/>
      <c r="T597" s="865"/>
      <c r="U597" s="865"/>
      <c r="V597" s="988"/>
      <c r="W597" s="1024"/>
      <c r="X597" s="865"/>
      <c r="Y597" s="865"/>
      <c r="Z597" s="865"/>
      <c r="AA597" s="865"/>
      <c r="AB597" s="865"/>
      <c r="AC597" s="865"/>
      <c r="AD597" s="865"/>
      <c r="AE597" s="865"/>
      <c r="AF597" s="865"/>
      <c r="AG597" s="865"/>
      <c r="AH597" s="865"/>
      <c r="AI597" s="865"/>
      <c r="AJ597" s="865"/>
      <c r="AK597" s="865"/>
      <c r="AL597" s="865"/>
      <c r="AM597" s="865"/>
      <c r="AN597" s="865"/>
      <c r="AO597" s="865"/>
      <c r="AP597" s="865"/>
      <c r="AQ597" s="865"/>
      <c r="AR597" s="865"/>
      <c r="AS597" s="865"/>
      <c r="AT597" s="865"/>
      <c r="AU597" s="865"/>
      <c r="AV597" s="865"/>
      <c r="AW597" s="865"/>
      <c r="AX597" s="865"/>
      <c r="AY597" s="865"/>
      <c r="AZ597" s="865"/>
      <c r="BA597" s="865"/>
      <c r="BB597" s="865"/>
      <c r="BC597" s="865"/>
      <c r="BD597" s="865"/>
      <c r="BE597" s="865"/>
      <c r="BF597" s="865"/>
      <c r="BG597" s="865"/>
      <c r="BH597" s="865"/>
      <c r="BI597" s="865"/>
      <c r="BJ597" s="865"/>
      <c r="BK597" s="865"/>
      <c r="BL597" s="865"/>
      <c r="BM597" s="865"/>
      <c r="BN597" s="865"/>
      <c r="BO597" s="865"/>
      <c r="BP597" s="865"/>
      <c r="BQ597" s="865"/>
      <c r="BR597" s="865"/>
      <c r="BS597" s="865"/>
      <c r="BT597" s="865"/>
      <c r="BU597" s="865"/>
      <c r="BV597" s="865"/>
      <c r="BW597" s="865"/>
      <c r="BX597" s="865"/>
      <c r="BY597" s="865"/>
      <c r="BZ597" s="865"/>
      <c r="CA597" s="865"/>
      <c r="CB597" s="865"/>
      <c r="CC597" s="865"/>
    </row>
    <row r="598" spans="1:81" s="747" customFormat="1" ht="14.25" customHeight="1">
      <c r="A598" s="976" t="s">
        <v>3909</v>
      </c>
      <c r="B598" s="976" t="s">
        <v>1230</v>
      </c>
      <c r="C598" s="977">
        <v>1752000780</v>
      </c>
      <c r="D598" s="976" t="s">
        <v>280</v>
      </c>
      <c r="E598" s="976">
        <v>150</v>
      </c>
      <c r="F598" s="976">
        <v>200</v>
      </c>
      <c r="G598" s="976">
        <v>112.5</v>
      </c>
      <c r="H598" s="976">
        <v>95.049759999999992</v>
      </c>
      <c r="I598" s="976"/>
      <c r="J598" s="1041">
        <v>17</v>
      </c>
      <c r="K598" s="976">
        <v>112.04975999999999</v>
      </c>
      <c r="L598" s="978">
        <v>-0.45024000000000797</v>
      </c>
      <c r="M598" s="976" t="s">
        <v>3630</v>
      </c>
      <c r="N598" s="976">
        <v>149.39967999999999</v>
      </c>
      <c r="O598" s="735">
        <f t="shared" si="29"/>
        <v>-0.60032000000001062</v>
      </c>
      <c r="P598" s="738">
        <f t="shared" si="27"/>
        <v>149399.67999999999</v>
      </c>
      <c r="Q598" s="751">
        <f t="shared" si="28"/>
        <v>149000</v>
      </c>
      <c r="V598" s="988"/>
      <c r="W598" s="1024"/>
    </row>
    <row r="599" spans="1:81" ht="14.25" customHeight="1">
      <c r="A599" s="976" t="s">
        <v>3908</v>
      </c>
      <c r="B599" s="976" t="s">
        <v>1234</v>
      </c>
      <c r="C599" s="977">
        <v>1761000530</v>
      </c>
      <c r="D599" s="976" t="s">
        <v>277</v>
      </c>
      <c r="E599" s="976">
        <v>0</v>
      </c>
      <c r="F599" s="976">
        <v>0</v>
      </c>
      <c r="G599" s="976">
        <v>0</v>
      </c>
      <c r="H599" s="976">
        <v>0</v>
      </c>
      <c r="I599" s="976"/>
      <c r="J599" s="976"/>
      <c r="K599" s="976">
        <v>0</v>
      </c>
      <c r="L599" s="978">
        <v>0</v>
      </c>
      <c r="M599" s="976"/>
      <c r="N599" s="976">
        <v>0</v>
      </c>
      <c r="O599" s="735">
        <f t="shared" si="29"/>
        <v>0</v>
      </c>
      <c r="P599" s="738">
        <f t="shared" si="27"/>
        <v>0</v>
      </c>
      <c r="Q599" s="751">
        <f t="shared" si="28"/>
        <v>0</v>
      </c>
      <c r="U599" s="747"/>
      <c r="V599" s="988"/>
      <c r="W599" s="1024"/>
    </row>
    <row r="600" spans="1:81" ht="14.25" customHeight="1">
      <c r="A600" s="976" t="s">
        <v>3905</v>
      </c>
      <c r="B600" s="976" t="s">
        <v>1234</v>
      </c>
      <c r="C600" s="977">
        <v>1761000540</v>
      </c>
      <c r="D600" s="976" t="s">
        <v>279</v>
      </c>
      <c r="E600" s="976">
        <v>200</v>
      </c>
      <c r="F600" s="976">
        <v>200</v>
      </c>
      <c r="G600" s="976">
        <v>150</v>
      </c>
      <c r="H600" s="976">
        <v>180.75997000000001</v>
      </c>
      <c r="I600" s="976"/>
      <c r="J600" s="1041">
        <v>2</v>
      </c>
      <c r="K600" s="976">
        <v>182.75997000000001</v>
      </c>
      <c r="L600" s="978">
        <v>32.75997000000001</v>
      </c>
      <c r="M600" s="976" t="s">
        <v>1651</v>
      </c>
      <c r="N600" s="976">
        <v>243.67995999999999</v>
      </c>
      <c r="O600" s="735">
        <f t="shared" si="29"/>
        <v>43.679959999999994</v>
      </c>
      <c r="P600" s="738">
        <f t="shared" si="27"/>
        <v>243679.96</v>
      </c>
      <c r="Q600" s="751">
        <f t="shared" si="28"/>
        <v>244000</v>
      </c>
      <c r="U600" s="747"/>
      <c r="V600" s="988"/>
      <c r="W600" s="1024"/>
    </row>
    <row r="601" spans="1:81" ht="14.25" customHeight="1">
      <c r="A601" s="976" t="s">
        <v>3913</v>
      </c>
      <c r="B601" s="976" t="s">
        <v>1234</v>
      </c>
      <c r="C601" s="977">
        <v>1761000750</v>
      </c>
      <c r="D601" s="976" t="s">
        <v>288</v>
      </c>
      <c r="E601" s="976">
        <v>40</v>
      </c>
      <c r="F601" s="976">
        <v>40</v>
      </c>
      <c r="G601" s="976">
        <v>30</v>
      </c>
      <c r="H601" s="976">
        <v>12.16375</v>
      </c>
      <c r="I601" s="976"/>
      <c r="J601" s="1041">
        <v>6</v>
      </c>
      <c r="K601" s="976">
        <v>18.16375</v>
      </c>
      <c r="L601" s="978">
        <v>-11.83625</v>
      </c>
      <c r="M601" s="976" t="s">
        <v>1651</v>
      </c>
      <c r="N601" s="976">
        <v>24.218333333333334</v>
      </c>
      <c r="O601" s="735">
        <f t="shared" si="29"/>
        <v>-15.781666666666666</v>
      </c>
      <c r="P601" s="738">
        <f t="shared" si="27"/>
        <v>24218.333333333332</v>
      </c>
      <c r="Q601" s="751">
        <f t="shared" si="28"/>
        <v>24000</v>
      </c>
      <c r="U601" s="747"/>
      <c r="V601" s="988"/>
      <c r="W601" s="1024"/>
    </row>
    <row r="602" spans="1:81" ht="14.25" customHeight="1">
      <c r="A602" s="976" t="s">
        <v>3909</v>
      </c>
      <c r="B602" s="976" t="s">
        <v>1234</v>
      </c>
      <c r="C602" s="977">
        <v>1761000780</v>
      </c>
      <c r="D602" s="976" t="s">
        <v>280</v>
      </c>
      <c r="E602" s="976">
        <v>7</v>
      </c>
      <c r="F602" s="976">
        <v>7</v>
      </c>
      <c r="G602" s="976">
        <v>5.25</v>
      </c>
      <c r="H602" s="976">
        <v>4.3521700000000001</v>
      </c>
      <c r="I602" s="976"/>
      <c r="J602" s="1041">
        <v>1</v>
      </c>
      <c r="K602" s="976">
        <v>5.3521700000000001</v>
      </c>
      <c r="L602" s="978">
        <v>0.10217000000000009</v>
      </c>
      <c r="M602" s="976" t="s">
        <v>1651</v>
      </c>
      <c r="N602" s="976">
        <v>7.1362266666666665</v>
      </c>
      <c r="O602" s="735">
        <f t="shared" si="29"/>
        <v>0.1362266666666665</v>
      </c>
      <c r="P602" s="738">
        <f t="shared" si="27"/>
        <v>7136.2266666666665</v>
      </c>
      <c r="Q602" s="751">
        <f t="shared" si="28"/>
        <v>7000</v>
      </c>
      <c r="U602" s="747"/>
      <c r="V602" s="988"/>
      <c r="W602" s="1024"/>
      <c r="AY602" s="845"/>
      <c r="AZ602" s="845"/>
      <c r="BA602" s="845"/>
      <c r="BB602" s="845"/>
      <c r="BC602" s="845"/>
      <c r="BD602" s="845"/>
      <c r="BE602" s="845"/>
      <c r="BF602" s="845"/>
      <c r="BG602" s="845"/>
      <c r="BH602" s="845"/>
      <c r="BI602" s="845"/>
      <c r="BJ602" s="845"/>
      <c r="BK602" s="845"/>
      <c r="BL602" s="845"/>
      <c r="BM602" s="845"/>
      <c r="BN602" s="845"/>
      <c r="BO602" s="845"/>
      <c r="BP602" s="845"/>
      <c r="BQ602" s="845"/>
      <c r="BR602" s="845"/>
      <c r="BS602" s="845"/>
      <c r="BT602" s="845"/>
      <c r="BU602" s="845"/>
      <c r="BV602" s="845"/>
      <c r="BW602" s="845"/>
      <c r="BX602" s="845"/>
      <c r="BY602" s="845"/>
      <c r="BZ602" s="845"/>
      <c r="CA602" s="845"/>
      <c r="CB602" s="845"/>
      <c r="CC602" s="845"/>
    </row>
    <row r="603" spans="1:81" ht="14.25" customHeight="1">
      <c r="A603" s="976" t="s">
        <v>3905</v>
      </c>
      <c r="B603" s="976" t="s">
        <v>1234</v>
      </c>
      <c r="C603" s="977">
        <v>1764000540</v>
      </c>
      <c r="D603" s="976" t="s">
        <v>279</v>
      </c>
      <c r="E603" s="976">
        <v>3</v>
      </c>
      <c r="F603" s="976">
        <v>3</v>
      </c>
      <c r="G603" s="976">
        <v>2.25</v>
      </c>
      <c r="H603" s="976">
        <v>2.1044</v>
      </c>
      <c r="I603" s="976"/>
      <c r="J603" s="976"/>
      <c r="K603" s="976">
        <v>2.1044</v>
      </c>
      <c r="L603" s="978">
        <v>-0.14559999999999995</v>
      </c>
      <c r="M603" s="976"/>
      <c r="N603" s="976">
        <v>2.8058666666666667</v>
      </c>
      <c r="O603" s="735">
        <f t="shared" si="29"/>
        <v>-0.19413333333333327</v>
      </c>
      <c r="P603" s="738">
        <f t="shared" si="27"/>
        <v>2805.8666666666668</v>
      </c>
      <c r="Q603" s="751">
        <f t="shared" si="28"/>
        <v>3000</v>
      </c>
      <c r="U603" s="747"/>
      <c r="V603" s="988"/>
      <c r="W603" s="1024"/>
    </row>
    <row r="604" spans="1:81" ht="14.25" customHeight="1">
      <c r="A604" s="976" t="s">
        <v>3909</v>
      </c>
      <c r="B604" s="976" t="s">
        <v>1234</v>
      </c>
      <c r="C604" s="977">
        <v>1764000780</v>
      </c>
      <c r="D604" s="976" t="s">
        <v>280</v>
      </c>
      <c r="E604" s="976">
        <v>5</v>
      </c>
      <c r="F604" s="976">
        <v>5</v>
      </c>
      <c r="G604" s="976">
        <v>3.75</v>
      </c>
      <c r="H604" s="976">
        <v>0.20074</v>
      </c>
      <c r="I604" s="976"/>
      <c r="J604" s="1041">
        <v>3.5</v>
      </c>
      <c r="K604" s="976">
        <v>3.7007400000000001</v>
      </c>
      <c r="L604" s="978">
        <v>-4.9259999999999859E-2</v>
      </c>
      <c r="M604" s="976" t="s">
        <v>2388</v>
      </c>
      <c r="N604" s="976">
        <v>4.9343200000000005</v>
      </c>
      <c r="O604" s="888">
        <f t="shared" si="29"/>
        <v>-6.5679999999999517E-2</v>
      </c>
      <c r="P604" s="738">
        <f t="shared" si="27"/>
        <v>4934.3200000000006</v>
      </c>
      <c r="Q604" s="751">
        <f t="shared" si="28"/>
        <v>5000</v>
      </c>
      <c r="R604" s="889"/>
      <c r="S604" s="889"/>
      <c r="T604" s="889"/>
      <c r="U604" s="747"/>
      <c r="V604" s="988"/>
      <c r="W604" s="1024"/>
    </row>
    <row r="605" spans="1:81" ht="14.25" customHeight="1">
      <c r="A605" s="976" t="s">
        <v>3934</v>
      </c>
      <c r="B605" s="1016" t="s">
        <v>1234</v>
      </c>
      <c r="C605" s="977">
        <v>1765000811</v>
      </c>
      <c r="D605" s="976" t="s">
        <v>502</v>
      </c>
      <c r="E605" s="976">
        <v>280</v>
      </c>
      <c r="F605" s="976">
        <v>280</v>
      </c>
      <c r="G605" s="976">
        <v>210</v>
      </c>
      <c r="H605" s="976">
        <v>274.21979999999996</v>
      </c>
      <c r="I605" s="976"/>
      <c r="J605" s="1032">
        <v>-64</v>
      </c>
      <c r="K605" s="976">
        <v>210.21979999999996</v>
      </c>
      <c r="L605" s="978">
        <v>0.2197999999999638</v>
      </c>
      <c r="M605" s="976" t="s">
        <v>3648</v>
      </c>
      <c r="N605" s="976">
        <v>280.29306666666662</v>
      </c>
      <c r="O605" s="888">
        <f t="shared" si="29"/>
        <v>0.2930666666666184</v>
      </c>
      <c r="P605" s="738">
        <f t="shared" si="27"/>
        <v>280293.06666666659</v>
      </c>
      <c r="Q605" s="751">
        <f t="shared" si="28"/>
        <v>280000</v>
      </c>
      <c r="R605" s="889"/>
      <c r="S605" s="889"/>
      <c r="T605" s="889"/>
      <c r="U605" s="747"/>
      <c r="V605" s="988"/>
      <c r="W605" s="1024"/>
    </row>
    <row r="606" spans="1:81" ht="14.25" customHeight="1">
      <c r="A606" s="976" t="s">
        <v>3935</v>
      </c>
      <c r="B606" s="1016" t="s">
        <v>1234</v>
      </c>
      <c r="C606" s="977">
        <v>1765000812</v>
      </c>
      <c r="D606" s="976" t="s">
        <v>504</v>
      </c>
      <c r="E606" s="976">
        <v>776</v>
      </c>
      <c r="F606" s="976">
        <v>776</v>
      </c>
      <c r="G606" s="976">
        <v>582</v>
      </c>
      <c r="H606" s="976">
        <v>776.09500000000003</v>
      </c>
      <c r="I606" s="976"/>
      <c r="J606" s="1032">
        <v>-194</v>
      </c>
      <c r="K606" s="976">
        <v>582.09500000000003</v>
      </c>
      <c r="L606" s="978">
        <v>9.5000000000027285E-2</v>
      </c>
      <c r="M606" s="976" t="s">
        <v>3648</v>
      </c>
      <c r="N606" s="976">
        <v>776.12666666666667</v>
      </c>
      <c r="O606" s="888">
        <f t="shared" si="29"/>
        <v>0.12666666666666515</v>
      </c>
      <c r="P606" s="738">
        <f t="shared" si="27"/>
        <v>776126.66666666663</v>
      </c>
      <c r="Q606" s="751">
        <f t="shared" si="28"/>
        <v>776000</v>
      </c>
      <c r="R606" s="889"/>
      <c r="S606" s="889"/>
      <c r="T606" s="889"/>
      <c r="U606" s="747"/>
      <c r="V606" s="988"/>
      <c r="W606" s="1024"/>
    </row>
    <row r="607" spans="1:81" ht="14.25" customHeight="1">
      <c r="A607" s="976" t="s">
        <v>3936</v>
      </c>
      <c r="B607" s="1016" t="s">
        <v>1234</v>
      </c>
      <c r="C607" s="977">
        <v>1765000813</v>
      </c>
      <c r="D607" s="976" t="s">
        <v>505</v>
      </c>
      <c r="E607" s="976">
        <v>300</v>
      </c>
      <c r="F607" s="976">
        <v>300</v>
      </c>
      <c r="G607" s="976">
        <v>225</v>
      </c>
      <c r="H607" s="976">
        <v>131.458</v>
      </c>
      <c r="I607" s="976"/>
      <c r="J607" s="1041">
        <v>94</v>
      </c>
      <c r="K607" s="976">
        <v>225.458</v>
      </c>
      <c r="L607" s="978">
        <v>0.45799999999999841</v>
      </c>
      <c r="M607" s="976" t="s">
        <v>3648</v>
      </c>
      <c r="N607" s="976">
        <v>300.6106666666667</v>
      </c>
      <c r="O607" s="888">
        <f t="shared" si="29"/>
        <v>0.61066666666670244</v>
      </c>
      <c r="P607" s="738">
        <f t="shared" si="27"/>
        <v>300610.66666666669</v>
      </c>
      <c r="Q607" s="751">
        <f t="shared" si="28"/>
        <v>301000</v>
      </c>
      <c r="R607" s="889"/>
      <c r="S607" s="889"/>
      <c r="T607" s="889"/>
      <c r="U607" s="747"/>
      <c r="V607" s="988"/>
      <c r="W607" s="1024"/>
    </row>
    <row r="608" spans="1:81" ht="14.25" customHeight="1">
      <c r="A608" s="976" t="s">
        <v>3937</v>
      </c>
      <c r="B608" s="1016" t="s">
        <v>1234</v>
      </c>
      <c r="C608" s="977">
        <v>1765000820</v>
      </c>
      <c r="D608" s="976" t="s">
        <v>507</v>
      </c>
      <c r="E608" s="976">
        <v>5755</v>
      </c>
      <c r="F608" s="976">
        <v>5755</v>
      </c>
      <c r="G608" s="976">
        <v>4316.25</v>
      </c>
      <c r="H608" s="976">
        <v>4774.1059999999998</v>
      </c>
      <c r="I608" s="976"/>
      <c r="J608" s="1032">
        <v>-458</v>
      </c>
      <c r="K608" s="976">
        <v>4316.1059999999998</v>
      </c>
      <c r="L608" s="978">
        <v>-0.14400000000023283</v>
      </c>
      <c r="M608" s="976" t="s">
        <v>3648</v>
      </c>
      <c r="N608" s="976">
        <v>5754.808</v>
      </c>
      <c r="O608" s="888">
        <f t="shared" si="29"/>
        <v>-0.19200000000000728</v>
      </c>
      <c r="P608" s="738">
        <f t="shared" si="27"/>
        <v>5754808</v>
      </c>
      <c r="Q608" s="751">
        <f t="shared" si="28"/>
        <v>5755000</v>
      </c>
      <c r="R608" s="889"/>
      <c r="S608" s="889"/>
      <c r="T608" s="889"/>
      <c r="U608" s="747"/>
      <c r="V608" s="988"/>
      <c r="W608" s="1024"/>
    </row>
    <row r="609" spans="1:81" ht="14.25" customHeight="1">
      <c r="A609" s="976" t="s">
        <v>3928</v>
      </c>
      <c r="B609" s="1016" t="s">
        <v>1234</v>
      </c>
      <c r="C609" s="977">
        <v>1765000830</v>
      </c>
      <c r="D609" s="976" t="s">
        <v>508</v>
      </c>
      <c r="E609" s="976">
        <v>290</v>
      </c>
      <c r="F609" s="976">
        <v>290</v>
      </c>
      <c r="G609" s="976">
        <v>217.5</v>
      </c>
      <c r="H609" s="976">
        <v>262.76400000000001</v>
      </c>
      <c r="I609" s="976"/>
      <c r="J609" s="1032">
        <v>-60</v>
      </c>
      <c r="K609" s="976">
        <v>202.76400000000001</v>
      </c>
      <c r="L609" s="978">
        <v>-14.73599999999999</v>
      </c>
      <c r="M609" s="976" t="s">
        <v>3648</v>
      </c>
      <c r="N609" s="976">
        <v>270.35200000000003</v>
      </c>
      <c r="O609" s="735">
        <f t="shared" si="29"/>
        <v>-19.647999999999968</v>
      </c>
      <c r="P609" s="738">
        <f t="shared" si="27"/>
        <v>270352.00000000006</v>
      </c>
      <c r="Q609" s="751">
        <f t="shared" si="28"/>
        <v>270000</v>
      </c>
      <c r="U609" s="747"/>
      <c r="V609" s="988"/>
      <c r="W609" s="1024"/>
      <c r="AY609" s="845"/>
      <c r="AZ609" s="845"/>
      <c r="BA609" s="845"/>
      <c r="BB609" s="845"/>
      <c r="BC609" s="845"/>
      <c r="BD609" s="845"/>
      <c r="BE609" s="845"/>
      <c r="BF609" s="845"/>
      <c r="BG609" s="845"/>
      <c r="BH609" s="845"/>
      <c r="BI609" s="845"/>
      <c r="BJ609" s="845"/>
      <c r="BK609" s="845"/>
      <c r="BL609" s="845"/>
      <c r="BM609" s="845"/>
      <c r="BN609" s="845"/>
      <c r="BO609" s="845"/>
      <c r="BP609" s="845"/>
      <c r="BQ609" s="845"/>
      <c r="BR609" s="845"/>
      <c r="BS609" s="845"/>
      <c r="BT609" s="845"/>
      <c r="BU609" s="845"/>
      <c r="BV609" s="845"/>
      <c r="BW609" s="845"/>
      <c r="BX609" s="845"/>
      <c r="BY609" s="845"/>
      <c r="BZ609" s="845"/>
      <c r="CA609" s="845"/>
      <c r="CB609" s="845"/>
      <c r="CC609" s="845"/>
    </row>
    <row r="610" spans="1:81" s="887" customFormat="1" ht="14.25" customHeight="1">
      <c r="A610" s="976" t="s">
        <v>3909</v>
      </c>
      <c r="B610" s="976" t="s">
        <v>1234</v>
      </c>
      <c r="C610" s="977">
        <v>1766000780</v>
      </c>
      <c r="D610" s="976" t="s">
        <v>280</v>
      </c>
      <c r="E610" s="976">
        <v>0</v>
      </c>
      <c r="F610" s="976">
        <v>0</v>
      </c>
      <c r="G610" s="976">
        <v>0</v>
      </c>
      <c r="H610" s="976">
        <v>0</v>
      </c>
      <c r="I610" s="976"/>
      <c r="J610" s="976"/>
      <c r="K610" s="976">
        <v>0</v>
      </c>
      <c r="L610" s="978">
        <v>0</v>
      </c>
      <c r="M610" s="976"/>
      <c r="N610" s="976">
        <v>0</v>
      </c>
      <c r="O610" s="735">
        <f t="shared" si="29"/>
        <v>0</v>
      </c>
      <c r="P610" s="738">
        <f t="shared" si="27"/>
        <v>0</v>
      </c>
      <c r="Q610" s="751">
        <f t="shared" si="28"/>
        <v>0</v>
      </c>
      <c r="R610" s="886"/>
      <c r="S610" s="886"/>
      <c r="T610" s="886"/>
      <c r="U610" s="886"/>
      <c r="V610" s="988"/>
      <c r="W610" s="1024"/>
      <c r="X610" s="886"/>
      <c r="Y610" s="886"/>
      <c r="Z610" s="886"/>
      <c r="AA610" s="886"/>
      <c r="AB610" s="886"/>
      <c r="AC610" s="886"/>
      <c r="AD610" s="886"/>
      <c r="AE610" s="886"/>
      <c r="AF610" s="886"/>
      <c r="AG610" s="886"/>
      <c r="AH610" s="886"/>
      <c r="AI610" s="886"/>
      <c r="AJ610" s="886"/>
      <c r="AK610" s="886"/>
      <c r="AL610" s="886"/>
      <c r="AM610" s="886"/>
      <c r="AN610" s="886"/>
      <c r="AO610" s="886"/>
      <c r="AP610" s="886"/>
      <c r="AQ610" s="886"/>
      <c r="AR610" s="886"/>
      <c r="AS610" s="886"/>
      <c r="AT610" s="886"/>
      <c r="AU610" s="886"/>
      <c r="AV610" s="886"/>
      <c r="AW610" s="886"/>
      <c r="AX610" s="886"/>
    </row>
    <row r="611" spans="1:81" ht="14.25" customHeight="1">
      <c r="A611" s="976" t="s">
        <v>3931</v>
      </c>
      <c r="B611" s="976" t="s">
        <v>1234</v>
      </c>
      <c r="C611" s="977">
        <v>1766000810</v>
      </c>
      <c r="D611" s="976" t="s">
        <v>3348</v>
      </c>
      <c r="E611" s="976">
        <v>0</v>
      </c>
      <c r="F611" s="976">
        <v>0</v>
      </c>
      <c r="G611" s="976">
        <v>0</v>
      </c>
      <c r="H611" s="976">
        <v>0</v>
      </c>
      <c r="I611" s="976"/>
      <c r="J611" s="976"/>
      <c r="K611" s="976">
        <v>0</v>
      </c>
      <c r="L611" s="978">
        <v>0</v>
      </c>
      <c r="M611" s="976"/>
      <c r="N611" s="976">
        <v>0</v>
      </c>
      <c r="O611" s="735">
        <f t="shared" si="29"/>
        <v>0</v>
      </c>
      <c r="P611" s="738">
        <f t="shared" si="27"/>
        <v>0</v>
      </c>
      <c r="Q611" s="751">
        <f t="shared" si="28"/>
        <v>0</v>
      </c>
      <c r="U611" s="747"/>
      <c r="V611" s="988"/>
      <c r="W611" s="1024"/>
    </row>
    <row r="612" spans="1:81" ht="14.25" customHeight="1">
      <c r="A612" s="976" t="s">
        <v>3922</v>
      </c>
      <c r="B612" s="976"/>
      <c r="C612" s="977">
        <v>1771000550</v>
      </c>
      <c r="D612" s="976" t="s">
        <v>2406</v>
      </c>
      <c r="E612" s="976">
        <v>100</v>
      </c>
      <c r="F612" s="976">
        <v>300</v>
      </c>
      <c r="G612" s="976">
        <v>75</v>
      </c>
      <c r="H612" s="976">
        <v>300</v>
      </c>
      <c r="I612" s="976"/>
      <c r="J612" s="1032">
        <v>-75</v>
      </c>
      <c r="K612" s="976">
        <v>225</v>
      </c>
      <c r="L612" s="978">
        <v>150</v>
      </c>
      <c r="M612" s="976" t="s">
        <v>3627</v>
      </c>
      <c r="N612" s="976">
        <v>300</v>
      </c>
      <c r="O612" s="888">
        <f t="shared" si="29"/>
        <v>200</v>
      </c>
      <c r="P612" s="738">
        <f t="shared" si="27"/>
        <v>300000</v>
      </c>
      <c r="Q612" s="751">
        <f t="shared" si="28"/>
        <v>300000</v>
      </c>
      <c r="R612" s="889"/>
      <c r="S612" s="889"/>
      <c r="T612" s="889"/>
      <c r="U612" s="747"/>
      <c r="V612" s="988"/>
      <c r="W612" s="1024"/>
      <c r="AY612" s="845"/>
      <c r="AZ612" s="845"/>
      <c r="BA612" s="845"/>
      <c r="BB612" s="845"/>
      <c r="BC612" s="845"/>
      <c r="BD612" s="845"/>
      <c r="BE612" s="845"/>
      <c r="BF612" s="845"/>
      <c r="BG612" s="845"/>
      <c r="BH612" s="845"/>
      <c r="BI612" s="845"/>
      <c r="BJ612" s="845"/>
      <c r="BK612" s="845"/>
      <c r="BL612" s="845"/>
      <c r="BM612" s="845"/>
      <c r="BN612" s="845"/>
      <c r="BO612" s="845"/>
      <c r="BP612" s="845"/>
      <c r="BQ612" s="845"/>
      <c r="BR612" s="845"/>
      <c r="BS612" s="845"/>
      <c r="BT612" s="845"/>
      <c r="BU612" s="845"/>
      <c r="BV612" s="845"/>
      <c r="BW612" s="845"/>
      <c r="BX612" s="845"/>
      <c r="BY612" s="845"/>
      <c r="BZ612" s="845"/>
      <c r="CA612" s="845"/>
      <c r="CB612" s="845"/>
      <c r="CC612" s="845"/>
    </row>
    <row r="613" spans="1:81" ht="14.25" customHeight="1">
      <c r="A613" s="976" t="s">
        <v>3913</v>
      </c>
      <c r="B613" s="1016" t="s">
        <v>1237</v>
      </c>
      <c r="C613" s="977">
        <v>1771000750</v>
      </c>
      <c r="D613" s="976" t="s">
        <v>288</v>
      </c>
      <c r="E613" s="976">
        <v>130</v>
      </c>
      <c r="F613" s="976">
        <v>130</v>
      </c>
      <c r="G613" s="976">
        <v>97.5</v>
      </c>
      <c r="H613" s="976">
        <v>126.39700000000001</v>
      </c>
      <c r="I613" s="976"/>
      <c r="J613" s="1032">
        <v>-29</v>
      </c>
      <c r="K613" s="976">
        <v>97.397000000000006</v>
      </c>
      <c r="L613" s="978">
        <v>-0.10299999999999443</v>
      </c>
      <c r="M613" s="976" t="s">
        <v>3648</v>
      </c>
      <c r="N613" s="976">
        <v>129.86266666666668</v>
      </c>
      <c r="O613" s="735">
        <f t="shared" si="29"/>
        <v>-0.13733333333331643</v>
      </c>
      <c r="P613" s="738">
        <f t="shared" si="27"/>
        <v>129862.66666666669</v>
      </c>
      <c r="Q613" s="751">
        <f t="shared" si="28"/>
        <v>130000</v>
      </c>
      <c r="U613" s="747"/>
      <c r="V613" s="988"/>
      <c r="W613" s="1024"/>
    </row>
    <row r="614" spans="1:81" s="866" customFormat="1" ht="14.25" customHeight="1">
      <c r="A614" s="976" t="s">
        <v>3909</v>
      </c>
      <c r="B614" s="976" t="s">
        <v>1237</v>
      </c>
      <c r="C614" s="977">
        <v>1771000780</v>
      </c>
      <c r="D614" s="976" t="s">
        <v>379</v>
      </c>
      <c r="E614" s="976">
        <v>1917.5</v>
      </c>
      <c r="F614" s="976">
        <v>2277.5</v>
      </c>
      <c r="G614" s="976">
        <v>1438.125</v>
      </c>
      <c r="H614" s="976">
        <v>1297.65915</v>
      </c>
      <c r="I614" s="976"/>
      <c r="J614" s="976"/>
      <c r="K614" s="976">
        <v>1297.65915</v>
      </c>
      <c r="L614" s="978">
        <v>-140.46585000000005</v>
      </c>
      <c r="M614" s="976" t="s">
        <v>3627</v>
      </c>
      <c r="N614" s="976">
        <v>1730.2121999999999</v>
      </c>
      <c r="O614" s="863">
        <f t="shared" si="29"/>
        <v>-187.28780000000006</v>
      </c>
      <c r="P614" s="738">
        <f t="shared" si="27"/>
        <v>1730212.2</v>
      </c>
      <c r="Q614" s="751">
        <f t="shared" si="28"/>
        <v>1730000</v>
      </c>
      <c r="R614" s="865"/>
      <c r="S614" s="865"/>
      <c r="T614" s="865"/>
      <c r="U614" s="865"/>
      <c r="V614" s="988"/>
      <c r="W614" s="1024"/>
      <c r="X614" s="865"/>
      <c r="Y614" s="865"/>
      <c r="Z614" s="865"/>
      <c r="AA614" s="865"/>
      <c r="AB614" s="865"/>
      <c r="AC614" s="865"/>
      <c r="AD614" s="865"/>
      <c r="AE614" s="865"/>
      <c r="AF614" s="865"/>
      <c r="AG614" s="865"/>
      <c r="AH614" s="865"/>
      <c r="AI614" s="865"/>
      <c r="AJ614" s="865"/>
      <c r="AK614" s="865"/>
      <c r="AL614" s="865"/>
      <c r="AM614" s="865"/>
      <c r="AN614" s="865"/>
      <c r="AO614" s="865"/>
      <c r="AP614" s="865"/>
      <c r="AQ614" s="865"/>
      <c r="AR614" s="865"/>
      <c r="AS614" s="865"/>
      <c r="AT614" s="865"/>
      <c r="AU614" s="865"/>
      <c r="AV614" s="865"/>
      <c r="AW614" s="865"/>
      <c r="AX614" s="865"/>
      <c r="AY614" s="865"/>
      <c r="AZ614" s="865"/>
      <c r="BA614" s="865"/>
      <c r="BB614" s="865"/>
      <c r="BC614" s="865"/>
      <c r="BD614" s="865"/>
      <c r="BE614" s="865"/>
      <c r="BF614" s="865"/>
      <c r="BG614" s="865"/>
      <c r="BH614" s="865"/>
      <c r="BI614" s="865"/>
      <c r="BJ614" s="865"/>
      <c r="BK614" s="865"/>
      <c r="BL614" s="865"/>
      <c r="BM614" s="865"/>
      <c r="BN614" s="865"/>
      <c r="BO614" s="865"/>
      <c r="BP614" s="865"/>
      <c r="BQ614" s="865"/>
      <c r="BR614" s="865"/>
      <c r="BS614" s="865"/>
      <c r="BT614" s="865"/>
      <c r="BU614" s="865"/>
      <c r="BV614" s="865"/>
      <c r="BW614" s="865"/>
      <c r="BX614" s="865"/>
      <c r="BY614" s="865"/>
      <c r="BZ614" s="865"/>
      <c r="CA614" s="865"/>
      <c r="CB614" s="865"/>
      <c r="CC614" s="865"/>
    </row>
    <row r="615" spans="1:81" s="747" customFormat="1" ht="14.25" customHeight="1">
      <c r="A615" s="976" t="s">
        <v>3931</v>
      </c>
      <c r="B615" s="976"/>
      <c r="C615" s="977">
        <v>1771000810</v>
      </c>
      <c r="D615" s="976" t="s">
        <v>2336</v>
      </c>
      <c r="E615" s="976">
        <v>2300</v>
      </c>
      <c r="F615" s="976">
        <v>2300</v>
      </c>
      <c r="G615" s="976">
        <v>1725</v>
      </c>
      <c r="H615" s="976">
        <v>1136.27</v>
      </c>
      <c r="I615" s="976"/>
      <c r="J615" s="1032">
        <v>-85</v>
      </c>
      <c r="K615" s="976">
        <v>1051.27</v>
      </c>
      <c r="L615" s="978">
        <v>-673.73</v>
      </c>
      <c r="M615" s="976" t="s">
        <v>3627</v>
      </c>
      <c r="N615" s="976">
        <v>1401.6933333333334</v>
      </c>
      <c r="O615" s="735">
        <f t="shared" si="29"/>
        <v>-898.30666666666662</v>
      </c>
      <c r="P615" s="738">
        <f t="shared" si="27"/>
        <v>1401693.3333333335</v>
      </c>
      <c r="Q615" s="751">
        <f t="shared" si="28"/>
        <v>1402000</v>
      </c>
      <c r="V615" s="988"/>
      <c r="W615" s="1024"/>
    </row>
    <row r="616" spans="1:81" ht="12.6" customHeight="1">
      <c r="A616" s="976" t="s">
        <v>3908</v>
      </c>
      <c r="B616" s="976" t="s">
        <v>1237</v>
      </c>
      <c r="C616" s="977">
        <v>1772000530</v>
      </c>
      <c r="D616" s="976" t="s">
        <v>277</v>
      </c>
      <c r="E616" s="976">
        <v>160</v>
      </c>
      <c r="F616" s="976">
        <v>160</v>
      </c>
      <c r="G616" s="976">
        <v>120</v>
      </c>
      <c r="H616" s="976">
        <v>101.64183</v>
      </c>
      <c r="I616" s="976"/>
      <c r="J616" s="976"/>
      <c r="K616" s="976">
        <v>101.64183</v>
      </c>
      <c r="L616" s="978">
        <v>-18.358170000000001</v>
      </c>
      <c r="M616" s="976"/>
      <c r="N616" s="976">
        <v>135.52243999999999</v>
      </c>
      <c r="O616" s="735">
        <f t="shared" si="29"/>
        <v>-24.477560000000011</v>
      </c>
      <c r="P616" s="738">
        <f t="shared" si="27"/>
        <v>135522.44</v>
      </c>
      <c r="Q616" s="751">
        <f t="shared" si="28"/>
        <v>136000</v>
      </c>
      <c r="U616" s="747"/>
      <c r="V616" s="988"/>
      <c r="W616" s="1024"/>
      <c r="AY616" s="845"/>
      <c r="AZ616" s="845"/>
      <c r="BA616" s="845"/>
      <c r="BB616" s="845"/>
      <c r="BC616" s="845"/>
      <c r="BD616" s="845"/>
      <c r="BE616" s="845"/>
      <c r="BF616" s="845"/>
      <c r="BG616" s="845"/>
      <c r="BH616" s="845"/>
      <c r="BI616" s="845"/>
      <c r="BJ616" s="845"/>
      <c r="BK616" s="845"/>
      <c r="BL616" s="845"/>
      <c r="BM616" s="845"/>
      <c r="BN616" s="845"/>
      <c r="BO616" s="845"/>
      <c r="BP616" s="845"/>
      <c r="BQ616" s="845"/>
      <c r="BR616" s="845"/>
      <c r="BS616" s="845"/>
      <c r="BT616" s="845"/>
      <c r="BU616" s="845"/>
      <c r="BV616" s="845"/>
      <c r="BW616" s="845"/>
      <c r="BX616" s="845"/>
      <c r="BY616" s="845"/>
      <c r="BZ616" s="845"/>
      <c r="CA616" s="845"/>
      <c r="CB616" s="845"/>
      <c r="CC616" s="845"/>
    </row>
    <row r="617" spans="1:81" ht="14.25" customHeight="1">
      <c r="A617" s="976" t="s">
        <v>3914</v>
      </c>
      <c r="B617" s="976" t="s">
        <v>1237</v>
      </c>
      <c r="C617" s="977">
        <v>1772000751</v>
      </c>
      <c r="D617" s="976" t="s">
        <v>3349</v>
      </c>
      <c r="E617" s="976">
        <v>0</v>
      </c>
      <c r="F617" s="976">
        <v>0</v>
      </c>
      <c r="G617" s="976">
        <v>0</v>
      </c>
      <c r="H617" s="976">
        <v>0</v>
      </c>
      <c r="I617" s="976"/>
      <c r="J617" s="976"/>
      <c r="K617" s="976">
        <v>0</v>
      </c>
      <c r="L617" s="978">
        <v>0</v>
      </c>
      <c r="M617" s="976"/>
      <c r="N617" s="976">
        <v>0</v>
      </c>
      <c r="O617" s="735">
        <f t="shared" si="29"/>
        <v>0</v>
      </c>
      <c r="P617" s="738">
        <f t="shared" si="27"/>
        <v>0</v>
      </c>
      <c r="Q617" s="751">
        <f t="shared" si="28"/>
        <v>0</v>
      </c>
      <c r="U617" s="747"/>
      <c r="V617" s="988"/>
      <c r="W617" s="1024"/>
      <c r="AY617" s="845"/>
      <c r="AZ617" s="845"/>
      <c r="BA617" s="845"/>
      <c r="BB617" s="845"/>
      <c r="BC617" s="845"/>
      <c r="BD617" s="845"/>
      <c r="BE617" s="845"/>
      <c r="BF617" s="845"/>
      <c r="BG617" s="845"/>
      <c r="BH617" s="845"/>
      <c r="BI617" s="845"/>
      <c r="BJ617" s="845"/>
      <c r="BK617" s="845"/>
      <c r="BL617" s="845"/>
      <c r="BM617" s="845"/>
      <c r="BN617" s="845"/>
      <c r="BO617" s="845"/>
      <c r="BP617" s="845"/>
      <c r="BQ617" s="845"/>
      <c r="BR617" s="845"/>
      <c r="BS617" s="845"/>
      <c r="BT617" s="845"/>
      <c r="BU617" s="845"/>
      <c r="BV617" s="845"/>
      <c r="BW617" s="845"/>
      <c r="BX617" s="845"/>
      <c r="BY617" s="845"/>
      <c r="BZ617" s="845"/>
      <c r="CA617" s="845"/>
      <c r="CB617" s="845"/>
      <c r="CC617" s="845"/>
    </row>
    <row r="618" spans="1:81" s="862" customFormat="1" ht="14.25" customHeight="1">
      <c r="A618" s="976" t="s">
        <v>3909</v>
      </c>
      <c r="B618" s="976" t="s">
        <v>1237</v>
      </c>
      <c r="C618" s="977">
        <v>1772000780</v>
      </c>
      <c r="D618" s="977" t="s">
        <v>280</v>
      </c>
      <c r="E618" s="976">
        <v>300</v>
      </c>
      <c r="F618" s="976">
        <v>300</v>
      </c>
      <c r="G618" s="976">
        <v>225</v>
      </c>
      <c r="H618" s="976">
        <v>300</v>
      </c>
      <c r="I618" s="976"/>
      <c r="J618" s="1032">
        <v>-75</v>
      </c>
      <c r="K618" s="976">
        <v>225</v>
      </c>
      <c r="L618" s="978">
        <v>0</v>
      </c>
      <c r="M618" s="976"/>
      <c r="N618" s="976">
        <v>300</v>
      </c>
      <c r="O618" s="735">
        <f t="shared" si="29"/>
        <v>0</v>
      </c>
      <c r="P618" s="738">
        <f t="shared" si="27"/>
        <v>300000</v>
      </c>
      <c r="Q618" s="751">
        <f t="shared" si="28"/>
        <v>300000</v>
      </c>
      <c r="R618" s="861"/>
      <c r="S618" s="861"/>
      <c r="T618" s="861"/>
      <c r="U618" s="861"/>
      <c r="V618" s="988"/>
      <c r="W618" s="1024"/>
      <c r="X618" s="861"/>
      <c r="Y618" s="861"/>
      <c r="Z618" s="861"/>
      <c r="AA618" s="861"/>
      <c r="AB618" s="861"/>
      <c r="AC618" s="861"/>
      <c r="AD618" s="861"/>
      <c r="AE618" s="861"/>
      <c r="AF618" s="861"/>
      <c r="AG618" s="861"/>
      <c r="AH618" s="861"/>
      <c r="AI618" s="861"/>
      <c r="AJ618" s="861"/>
      <c r="AK618" s="861"/>
      <c r="AL618" s="861"/>
      <c r="AM618" s="861"/>
      <c r="AN618" s="861"/>
      <c r="AO618" s="861"/>
      <c r="AP618" s="861"/>
      <c r="AQ618" s="861"/>
      <c r="AR618" s="861"/>
      <c r="AS618" s="861"/>
      <c r="AT618" s="861"/>
      <c r="AU618" s="861"/>
      <c r="AV618" s="861"/>
      <c r="AW618" s="861"/>
      <c r="AX618" s="861"/>
    </row>
    <row r="619" spans="1:81" ht="18.75" customHeight="1">
      <c r="A619" s="976" t="s">
        <v>3912</v>
      </c>
      <c r="B619" s="976" t="s">
        <v>1237</v>
      </c>
      <c r="C619" s="977">
        <v>1772000781</v>
      </c>
      <c r="D619" s="977" t="s">
        <v>3350</v>
      </c>
      <c r="E619" s="976">
        <v>0</v>
      </c>
      <c r="F619" s="976">
        <v>0</v>
      </c>
      <c r="G619" s="976">
        <v>0</v>
      </c>
      <c r="H619" s="976">
        <v>0</v>
      </c>
      <c r="I619" s="976"/>
      <c r="J619" s="976"/>
      <c r="K619" s="976">
        <v>0</v>
      </c>
      <c r="L619" s="978">
        <v>0</v>
      </c>
      <c r="M619" s="976"/>
      <c r="N619" s="976">
        <v>0</v>
      </c>
      <c r="O619" s="735">
        <f t="shared" si="29"/>
        <v>0</v>
      </c>
      <c r="P619" s="738">
        <f t="shared" si="27"/>
        <v>0</v>
      </c>
      <c r="Q619" s="751">
        <f t="shared" si="28"/>
        <v>0</v>
      </c>
      <c r="U619" s="747"/>
      <c r="V619" s="988"/>
      <c r="W619" s="1024"/>
      <c r="AY619" s="845"/>
      <c r="AZ619" s="845"/>
      <c r="BA619" s="845"/>
      <c r="BB619" s="845"/>
      <c r="BC619" s="845"/>
      <c r="BD619" s="845"/>
      <c r="BE619" s="845"/>
      <c r="BF619" s="845"/>
      <c r="BG619" s="845"/>
      <c r="BH619" s="845"/>
      <c r="BI619" s="845"/>
      <c r="BJ619" s="845"/>
      <c r="BK619" s="845"/>
      <c r="BL619" s="845"/>
      <c r="BM619" s="845"/>
      <c r="BN619" s="845"/>
      <c r="BO619" s="845"/>
      <c r="BP619" s="845"/>
      <c r="BQ619" s="845"/>
      <c r="BR619" s="845"/>
      <c r="BS619" s="845"/>
      <c r="BT619" s="845"/>
      <c r="BU619" s="845"/>
      <c r="BV619" s="845"/>
      <c r="BW619" s="845"/>
      <c r="BX619" s="845"/>
      <c r="BY619" s="845"/>
      <c r="BZ619" s="845"/>
      <c r="CA619" s="845"/>
      <c r="CB619" s="845"/>
      <c r="CC619" s="845"/>
    </row>
    <row r="620" spans="1:81" ht="14.25" customHeight="1">
      <c r="A620" s="976" t="s">
        <v>3867</v>
      </c>
      <c r="B620" s="976" t="s">
        <v>1240</v>
      </c>
      <c r="C620" s="977">
        <v>1780000410</v>
      </c>
      <c r="D620" s="976" t="s">
        <v>304</v>
      </c>
      <c r="E620" s="976">
        <v>95</v>
      </c>
      <c r="F620" s="976">
        <v>95</v>
      </c>
      <c r="G620" s="976">
        <v>71.25</v>
      </c>
      <c r="H620" s="976">
        <v>72.644000000000005</v>
      </c>
      <c r="I620" s="976"/>
      <c r="J620" s="976">
        <v>0</v>
      </c>
      <c r="K620" s="976">
        <v>72.644000000000005</v>
      </c>
      <c r="L620" s="978">
        <v>1.3940000000000055</v>
      </c>
      <c r="M620" s="976" t="s">
        <v>1651</v>
      </c>
      <c r="N620" s="976">
        <v>96.858666666666679</v>
      </c>
      <c r="O620" s="735">
        <f t="shared" si="29"/>
        <v>1.8586666666666787</v>
      </c>
      <c r="P620" s="738">
        <f t="shared" si="27"/>
        <v>96858.666666666672</v>
      </c>
      <c r="Q620" s="751">
        <f t="shared" si="28"/>
        <v>97000</v>
      </c>
      <c r="U620" s="747"/>
      <c r="V620" s="988"/>
      <c r="W620" s="1024"/>
      <c r="AY620" s="845"/>
      <c r="AZ620" s="845"/>
      <c r="BA620" s="845"/>
      <c r="BB620" s="845"/>
      <c r="BC620" s="845"/>
      <c r="BD620" s="845"/>
      <c r="BE620" s="845"/>
      <c r="BF620" s="845"/>
      <c r="BG620" s="845"/>
      <c r="BH620" s="845"/>
      <c r="BI620" s="845"/>
      <c r="BJ620" s="845"/>
      <c r="BK620" s="845"/>
      <c r="BL620" s="845"/>
      <c r="BM620" s="845"/>
      <c r="BN620" s="845"/>
      <c r="BO620" s="845"/>
      <c r="BP620" s="845"/>
      <c r="BQ620" s="845"/>
      <c r="BR620" s="845"/>
      <c r="BS620" s="845"/>
      <c r="BT620" s="845"/>
      <c r="BU620" s="845"/>
      <c r="BV620" s="845"/>
      <c r="BW620" s="845"/>
      <c r="BX620" s="845"/>
      <c r="BY620" s="845"/>
      <c r="BZ620" s="845"/>
      <c r="CA620" s="845"/>
      <c r="CB620" s="845"/>
      <c r="CC620" s="845"/>
    </row>
    <row r="621" spans="1:81" ht="14.25" customHeight="1">
      <c r="A621" s="976" t="s">
        <v>3868</v>
      </c>
      <c r="B621" s="976" t="s">
        <v>1240</v>
      </c>
      <c r="C621" s="977">
        <v>1780000430</v>
      </c>
      <c r="D621" s="976" t="s">
        <v>311</v>
      </c>
      <c r="E621" s="976">
        <v>70</v>
      </c>
      <c r="F621" s="976">
        <v>70</v>
      </c>
      <c r="G621" s="976">
        <v>52.5</v>
      </c>
      <c r="H621" s="976">
        <v>63.595419999999997</v>
      </c>
      <c r="I621" s="976"/>
      <c r="J621" s="1032">
        <v>-5</v>
      </c>
      <c r="K621" s="976">
        <v>58.595419999999997</v>
      </c>
      <c r="L621" s="978">
        <v>6.0954199999999972</v>
      </c>
      <c r="M621" s="976" t="s">
        <v>1651</v>
      </c>
      <c r="N621" s="976">
        <v>78.127226666666672</v>
      </c>
      <c r="O621" s="735">
        <f t="shared" si="29"/>
        <v>8.1272266666666724</v>
      </c>
      <c r="P621" s="738">
        <f t="shared" si="27"/>
        <v>78127.226666666669</v>
      </c>
      <c r="Q621" s="751">
        <f t="shared" si="28"/>
        <v>78000</v>
      </c>
      <c r="U621" s="747"/>
      <c r="V621" s="988"/>
      <c r="W621" s="1024"/>
    </row>
    <row r="622" spans="1:81" ht="14.25" customHeight="1">
      <c r="A622" s="976" t="s">
        <v>3905</v>
      </c>
      <c r="B622" s="976" t="s">
        <v>1240</v>
      </c>
      <c r="C622" s="977">
        <v>1780000540</v>
      </c>
      <c r="D622" s="976" t="s">
        <v>279</v>
      </c>
      <c r="E622" s="976">
        <v>10</v>
      </c>
      <c r="F622" s="976">
        <v>10</v>
      </c>
      <c r="G622" s="976">
        <v>7.5</v>
      </c>
      <c r="H622" s="976">
        <v>13.58736</v>
      </c>
      <c r="I622" s="976"/>
      <c r="J622" s="1032">
        <v>-4</v>
      </c>
      <c r="K622" s="976">
        <v>9.5873600000000003</v>
      </c>
      <c r="L622" s="978">
        <v>2.0873600000000003</v>
      </c>
      <c r="M622" s="976" t="s">
        <v>1651</v>
      </c>
      <c r="N622" s="976">
        <v>12.783146666666667</v>
      </c>
      <c r="O622" s="735">
        <f t="shared" si="29"/>
        <v>2.7831466666666671</v>
      </c>
      <c r="P622" s="738">
        <f t="shared" si="27"/>
        <v>12783.146666666667</v>
      </c>
      <c r="Q622" s="751">
        <f t="shared" si="28"/>
        <v>13000</v>
      </c>
      <c r="U622" s="747"/>
      <c r="V622" s="988"/>
      <c r="W622" s="1024"/>
    </row>
    <row r="623" spans="1:81" ht="14.25" customHeight="1">
      <c r="A623" s="976" t="s">
        <v>3908</v>
      </c>
      <c r="B623" s="976" t="s">
        <v>1240</v>
      </c>
      <c r="C623" s="977">
        <v>1780000530</v>
      </c>
      <c r="D623" s="976" t="s">
        <v>277</v>
      </c>
      <c r="E623" s="976">
        <v>152</v>
      </c>
      <c r="F623" s="976">
        <v>152</v>
      </c>
      <c r="G623" s="976">
        <v>114</v>
      </c>
      <c r="H623" s="976">
        <v>121.45603</v>
      </c>
      <c r="I623" s="976"/>
      <c r="J623" s="1041">
        <v>4</v>
      </c>
      <c r="K623" s="976">
        <v>125.45603</v>
      </c>
      <c r="L623" s="978">
        <v>11.456029999999998</v>
      </c>
      <c r="M623" s="976" t="s">
        <v>3649</v>
      </c>
      <c r="N623" s="976">
        <v>167.27470666666667</v>
      </c>
      <c r="O623" s="735">
        <f t="shared" si="29"/>
        <v>15.274706666666674</v>
      </c>
      <c r="P623" s="738">
        <f t="shared" si="27"/>
        <v>167274.70666666667</v>
      </c>
      <c r="Q623" s="751">
        <f t="shared" si="28"/>
        <v>167000</v>
      </c>
      <c r="U623" s="747"/>
      <c r="V623" s="988"/>
      <c r="W623" s="1024"/>
      <c r="AY623" s="845"/>
      <c r="AZ623" s="845"/>
      <c r="BA623" s="845"/>
      <c r="BB623" s="845"/>
      <c r="BC623" s="845"/>
      <c r="BD623" s="845"/>
      <c r="BE623" s="845"/>
      <c r="BF623" s="845"/>
      <c r="BG623" s="845"/>
      <c r="BH623" s="845"/>
      <c r="BI623" s="845"/>
      <c r="BJ623" s="845"/>
      <c r="BK623" s="845"/>
      <c r="BL623" s="845"/>
      <c r="BM623" s="845"/>
      <c r="BN623" s="845"/>
      <c r="BO623" s="845"/>
      <c r="BP623" s="845"/>
      <c r="BQ623" s="845"/>
      <c r="BR623" s="845"/>
      <c r="BS623" s="845"/>
      <c r="BT623" s="845"/>
      <c r="BU623" s="845"/>
      <c r="BV623" s="845"/>
      <c r="BW623" s="845"/>
      <c r="BX623" s="845"/>
      <c r="BY623" s="845"/>
      <c r="BZ623" s="845"/>
      <c r="CA623" s="845"/>
      <c r="CB623" s="845"/>
      <c r="CC623" s="845"/>
    </row>
    <row r="624" spans="1:81" ht="14.25" customHeight="1">
      <c r="A624" s="976" t="s">
        <v>3922</v>
      </c>
      <c r="B624" s="976" t="s">
        <v>1240</v>
      </c>
      <c r="C624" s="977">
        <v>1780000550</v>
      </c>
      <c r="D624" s="976" t="s">
        <v>318</v>
      </c>
      <c r="E624" s="976">
        <v>0</v>
      </c>
      <c r="F624" s="976">
        <v>0</v>
      </c>
      <c r="G624" s="976">
        <v>0</v>
      </c>
      <c r="H624" s="976">
        <v>0</v>
      </c>
      <c r="I624" s="976"/>
      <c r="J624" s="976"/>
      <c r="K624" s="976">
        <v>0</v>
      </c>
      <c r="L624" s="978">
        <v>0</v>
      </c>
      <c r="M624" s="976"/>
      <c r="N624" s="976">
        <v>0</v>
      </c>
      <c r="O624" s="735">
        <f t="shared" si="29"/>
        <v>0</v>
      </c>
      <c r="P624" s="738">
        <f t="shared" si="27"/>
        <v>0</v>
      </c>
      <c r="Q624" s="751">
        <f t="shared" si="28"/>
        <v>0</v>
      </c>
      <c r="U624" s="747"/>
      <c r="V624" s="988"/>
      <c r="W624" s="1024"/>
    </row>
    <row r="625" spans="1:81" ht="14.25" customHeight="1">
      <c r="A625" s="976" t="s">
        <v>3909</v>
      </c>
      <c r="B625" s="976" t="s">
        <v>1240</v>
      </c>
      <c r="C625" s="977">
        <v>1780000780</v>
      </c>
      <c r="D625" s="976" t="s">
        <v>280</v>
      </c>
      <c r="E625" s="976">
        <v>380</v>
      </c>
      <c r="F625" s="976">
        <v>430</v>
      </c>
      <c r="G625" s="976">
        <v>285</v>
      </c>
      <c r="H625" s="976">
        <v>190.79426000000001</v>
      </c>
      <c r="I625" s="976"/>
      <c r="J625" s="1041">
        <v>30</v>
      </c>
      <c r="K625" s="976">
        <v>220.79426000000001</v>
      </c>
      <c r="L625" s="978">
        <v>-64.205739999999992</v>
      </c>
      <c r="M625" s="976" t="s">
        <v>1651</v>
      </c>
      <c r="N625" s="976">
        <v>294.3923466666667</v>
      </c>
      <c r="O625" s="735">
        <f t="shared" si="29"/>
        <v>-85.607653333333303</v>
      </c>
      <c r="P625" s="738">
        <f t="shared" si="27"/>
        <v>294392.34666666668</v>
      </c>
      <c r="Q625" s="751">
        <f t="shared" si="28"/>
        <v>294000</v>
      </c>
      <c r="U625" s="747"/>
      <c r="V625" s="988"/>
      <c r="W625" s="1024"/>
    </row>
    <row r="626" spans="1:81" ht="14.25" customHeight="1">
      <c r="A626" s="976" t="s">
        <v>3908</v>
      </c>
      <c r="B626" s="976" t="s">
        <v>1240</v>
      </c>
      <c r="C626" s="977">
        <v>1781000530</v>
      </c>
      <c r="D626" s="976" t="s">
        <v>277</v>
      </c>
      <c r="E626" s="976">
        <v>520</v>
      </c>
      <c r="F626" s="976">
        <v>520</v>
      </c>
      <c r="G626" s="976">
        <v>390</v>
      </c>
      <c r="H626" s="976">
        <v>350.75059999999996</v>
      </c>
      <c r="I626" s="976"/>
      <c r="J626" s="1032">
        <v>-28</v>
      </c>
      <c r="K626" s="976">
        <v>322.75059999999996</v>
      </c>
      <c r="L626" s="978">
        <v>-67.249400000000037</v>
      </c>
      <c r="M626" s="976" t="s">
        <v>1651</v>
      </c>
      <c r="N626" s="976">
        <v>430.33413333333328</v>
      </c>
      <c r="O626" s="735">
        <f t="shared" si="29"/>
        <v>-89.665866666666716</v>
      </c>
      <c r="P626" s="738">
        <f t="shared" si="27"/>
        <v>430334.1333333333</v>
      </c>
      <c r="Q626" s="751">
        <f t="shared" si="28"/>
        <v>430000</v>
      </c>
      <c r="U626" s="747"/>
      <c r="V626" s="988"/>
      <c r="W626" s="1024"/>
    </row>
    <row r="627" spans="1:81" ht="14.25" customHeight="1">
      <c r="A627" s="976" t="s">
        <v>3905</v>
      </c>
      <c r="B627" s="976" t="s">
        <v>1240</v>
      </c>
      <c r="C627" s="977">
        <v>1781000540</v>
      </c>
      <c r="D627" s="976" t="s">
        <v>279</v>
      </c>
      <c r="E627" s="976">
        <v>30</v>
      </c>
      <c r="F627" s="976">
        <v>30</v>
      </c>
      <c r="G627" s="976">
        <v>22.5</v>
      </c>
      <c r="H627" s="976">
        <v>16.867319999999999</v>
      </c>
      <c r="I627" s="976"/>
      <c r="J627" s="1032">
        <v>-1</v>
      </c>
      <c r="K627" s="976">
        <v>15.867319999999999</v>
      </c>
      <c r="L627" s="978">
        <v>-6.6326800000000006</v>
      </c>
      <c r="M627" s="976" t="s">
        <v>1651</v>
      </c>
      <c r="N627" s="976">
        <v>21.156426666666665</v>
      </c>
      <c r="O627" s="735">
        <f t="shared" si="29"/>
        <v>-8.8435733333333353</v>
      </c>
      <c r="P627" s="738">
        <f t="shared" si="27"/>
        <v>21156.426666666666</v>
      </c>
      <c r="Q627" s="751">
        <f t="shared" si="28"/>
        <v>21000</v>
      </c>
      <c r="U627" s="747"/>
      <c r="V627" s="988"/>
      <c r="W627" s="1024"/>
    </row>
    <row r="628" spans="1:81" ht="15.75" customHeight="1">
      <c r="A628" s="976" t="s">
        <v>3913</v>
      </c>
      <c r="B628" s="976" t="s">
        <v>1240</v>
      </c>
      <c r="C628" s="977">
        <v>1781000750</v>
      </c>
      <c r="D628" s="987" t="s">
        <v>3351</v>
      </c>
      <c r="E628" s="976">
        <v>535</v>
      </c>
      <c r="F628" s="976">
        <v>535</v>
      </c>
      <c r="G628" s="976">
        <v>401.25</v>
      </c>
      <c r="H628" s="976">
        <v>261.74898000000002</v>
      </c>
      <c r="I628" s="976"/>
      <c r="J628" s="1032">
        <v>-43</v>
      </c>
      <c r="K628" s="976">
        <v>218.74898000000002</v>
      </c>
      <c r="L628" s="978">
        <v>-182.50101999999998</v>
      </c>
      <c r="M628" s="976" t="s">
        <v>1651</v>
      </c>
      <c r="N628" s="976">
        <v>291.66530666666665</v>
      </c>
      <c r="O628" s="735">
        <f t="shared" si="29"/>
        <v>-243.33469333333335</v>
      </c>
      <c r="P628" s="738">
        <f t="shared" si="27"/>
        <v>291665.30666666664</v>
      </c>
      <c r="Q628" s="751">
        <f t="shared" si="28"/>
        <v>292000</v>
      </c>
      <c r="U628" s="747"/>
      <c r="V628" s="988"/>
      <c r="W628" s="1024"/>
    </row>
    <row r="629" spans="1:81" ht="15.75" customHeight="1">
      <c r="A629" s="976" t="s">
        <v>3914</v>
      </c>
      <c r="B629" s="976" t="s">
        <v>1240</v>
      </c>
      <c r="C629" s="977">
        <v>1781000751</v>
      </c>
      <c r="D629" s="976" t="s">
        <v>526</v>
      </c>
      <c r="E629" s="976">
        <v>2850</v>
      </c>
      <c r="F629" s="976">
        <v>2850</v>
      </c>
      <c r="G629" s="976">
        <v>2137.5</v>
      </c>
      <c r="H629" s="976">
        <v>1726.63752</v>
      </c>
      <c r="I629" s="976"/>
      <c r="J629" s="1041">
        <v>222</v>
      </c>
      <c r="K629" s="976">
        <v>1948.63752</v>
      </c>
      <c r="L629" s="978">
        <v>-188.86248000000001</v>
      </c>
      <c r="M629" s="976" t="s">
        <v>1651</v>
      </c>
      <c r="N629" s="976">
        <v>2598.18336</v>
      </c>
      <c r="O629" s="735">
        <f t="shared" si="29"/>
        <v>-251.81664000000001</v>
      </c>
      <c r="P629" s="738">
        <f t="shared" si="27"/>
        <v>2598183.36</v>
      </c>
      <c r="Q629" s="751">
        <f t="shared" si="28"/>
        <v>2598000</v>
      </c>
      <c r="U629" s="747"/>
      <c r="V629" s="988"/>
      <c r="W629" s="1024"/>
      <c r="AY629" s="845"/>
      <c r="AZ629" s="845"/>
      <c r="BA629" s="845"/>
      <c r="BB629" s="845"/>
      <c r="BC629" s="845"/>
      <c r="BD629" s="845"/>
      <c r="BE629" s="845"/>
      <c r="BF629" s="845"/>
      <c r="BG629" s="845"/>
      <c r="BH629" s="845"/>
      <c r="BI629" s="845"/>
      <c r="BJ629" s="845"/>
      <c r="BK629" s="845"/>
      <c r="BL629" s="845"/>
      <c r="BM629" s="845"/>
      <c r="BN629" s="845"/>
      <c r="BO629" s="845"/>
      <c r="BP629" s="845"/>
      <c r="BQ629" s="845"/>
      <c r="BR629" s="845"/>
      <c r="BS629" s="845"/>
      <c r="BT629" s="845"/>
      <c r="BU629" s="845"/>
      <c r="BV629" s="845"/>
      <c r="BW629" s="845"/>
      <c r="BX629" s="845"/>
      <c r="BY629" s="845"/>
      <c r="BZ629" s="845"/>
      <c r="CA629" s="845"/>
      <c r="CB629" s="845"/>
      <c r="CC629" s="845"/>
    </row>
    <row r="630" spans="1:81" ht="14.25" customHeight="1">
      <c r="A630" s="976" t="s">
        <v>3915</v>
      </c>
      <c r="B630" s="976"/>
      <c r="C630" s="977">
        <v>1781000752</v>
      </c>
      <c r="D630" s="976" t="s">
        <v>2186</v>
      </c>
      <c r="E630" s="976">
        <v>120</v>
      </c>
      <c r="F630" s="976">
        <v>120</v>
      </c>
      <c r="G630" s="976">
        <v>90</v>
      </c>
      <c r="H630" s="976">
        <v>0</v>
      </c>
      <c r="I630" s="976"/>
      <c r="J630" s="976"/>
      <c r="K630" s="976">
        <v>0</v>
      </c>
      <c r="L630" s="978">
        <v>-90</v>
      </c>
      <c r="M630" s="976" t="s">
        <v>3650</v>
      </c>
      <c r="N630" s="976">
        <v>0</v>
      </c>
      <c r="O630" s="735">
        <f t="shared" si="29"/>
        <v>-120</v>
      </c>
      <c r="P630" s="738">
        <f t="shared" si="27"/>
        <v>0</v>
      </c>
      <c r="Q630" s="751">
        <f t="shared" si="28"/>
        <v>0</v>
      </c>
      <c r="U630" s="747"/>
      <c r="V630" s="988"/>
      <c r="W630" s="1024"/>
      <c r="AY630" s="845"/>
      <c r="AZ630" s="845"/>
      <c r="BA630" s="845"/>
      <c r="BB630" s="845"/>
      <c r="BC630" s="845"/>
      <c r="BD630" s="845"/>
      <c r="BE630" s="845"/>
      <c r="BF630" s="845"/>
      <c r="BG630" s="845"/>
      <c r="BH630" s="845"/>
      <c r="BI630" s="845"/>
      <c r="BJ630" s="845"/>
      <c r="BK630" s="845"/>
      <c r="BL630" s="845"/>
      <c r="BM630" s="845"/>
      <c r="BN630" s="845"/>
      <c r="BO630" s="845"/>
      <c r="BP630" s="845"/>
      <c r="BQ630" s="845"/>
      <c r="BR630" s="845"/>
      <c r="BS630" s="845"/>
      <c r="BT630" s="845"/>
      <c r="BU630" s="845"/>
      <c r="BV630" s="845"/>
      <c r="BW630" s="845"/>
      <c r="BX630" s="845"/>
      <c r="BY630" s="845"/>
      <c r="BZ630" s="845"/>
      <c r="CA630" s="845"/>
      <c r="CB630" s="845"/>
      <c r="CC630" s="845"/>
    </row>
    <row r="631" spans="1:81" ht="14.25" customHeight="1">
      <c r="A631" s="976" t="s">
        <v>3909</v>
      </c>
      <c r="B631" s="976" t="s">
        <v>1240</v>
      </c>
      <c r="C631" s="977">
        <v>1781000780</v>
      </c>
      <c r="D631" s="976" t="s">
        <v>280</v>
      </c>
      <c r="E631" s="976">
        <v>0</v>
      </c>
      <c r="F631" s="976">
        <v>0</v>
      </c>
      <c r="G631" s="976">
        <v>0</v>
      </c>
      <c r="H631" s="976">
        <v>0</v>
      </c>
      <c r="I631" s="976"/>
      <c r="J631" s="976"/>
      <c r="K631" s="976">
        <v>0</v>
      </c>
      <c r="L631" s="978">
        <v>0</v>
      </c>
      <c r="M631" s="976"/>
      <c r="N631" s="976">
        <v>0</v>
      </c>
      <c r="O631" s="735">
        <f t="shared" si="29"/>
        <v>0</v>
      </c>
      <c r="P631" s="738">
        <f t="shared" si="27"/>
        <v>0</v>
      </c>
      <c r="Q631" s="751">
        <f t="shared" si="28"/>
        <v>0</v>
      </c>
      <c r="U631" s="747"/>
      <c r="V631" s="988"/>
      <c r="W631" s="1024"/>
      <c r="AY631" s="845"/>
      <c r="AZ631" s="845"/>
      <c r="BA631" s="845"/>
      <c r="BB631" s="845"/>
      <c r="BC631" s="845"/>
      <c r="BD631" s="845"/>
      <c r="BE631" s="845"/>
      <c r="BF631" s="845"/>
      <c r="BG631" s="845"/>
      <c r="BH631" s="845"/>
      <c r="BI631" s="845"/>
      <c r="BJ631" s="845"/>
      <c r="BK631" s="845"/>
      <c r="BL631" s="845"/>
      <c r="BM631" s="845"/>
      <c r="BN631" s="845"/>
      <c r="BO631" s="845"/>
      <c r="BP631" s="845"/>
      <c r="BQ631" s="845"/>
      <c r="BR631" s="845"/>
      <c r="BS631" s="845"/>
      <c r="BT631" s="845"/>
      <c r="BU631" s="845"/>
      <c r="BV631" s="845"/>
      <c r="BW631" s="845"/>
      <c r="BX631" s="845"/>
      <c r="BY631" s="845"/>
      <c r="BZ631" s="845"/>
      <c r="CA631" s="845"/>
      <c r="CB631" s="845"/>
      <c r="CC631" s="845"/>
    </row>
    <row r="632" spans="1:81" ht="14.25" customHeight="1">
      <c r="A632" s="976" t="s">
        <v>3867</v>
      </c>
      <c r="B632" s="976" t="s">
        <v>1240</v>
      </c>
      <c r="C632" s="977">
        <v>1782000410</v>
      </c>
      <c r="D632" s="976" t="s">
        <v>304</v>
      </c>
      <c r="E632" s="976">
        <v>113</v>
      </c>
      <c r="F632" s="976">
        <v>113</v>
      </c>
      <c r="G632" s="976">
        <v>84.75</v>
      </c>
      <c r="H632" s="976">
        <v>0</v>
      </c>
      <c r="I632" s="976"/>
      <c r="J632" s="976"/>
      <c r="K632" s="976">
        <v>0</v>
      </c>
      <c r="L632" s="978">
        <v>-84.75</v>
      </c>
      <c r="M632" s="976" t="s">
        <v>3627</v>
      </c>
      <c r="N632" s="976">
        <v>0</v>
      </c>
      <c r="O632" s="735">
        <f t="shared" si="29"/>
        <v>-113</v>
      </c>
      <c r="P632" s="738">
        <f t="shared" si="27"/>
        <v>0</v>
      </c>
      <c r="Q632" s="751">
        <f t="shared" si="28"/>
        <v>0</v>
      </c>
      <c r="U632" s="747"/>
      <c r="V632" s="988"/>
      <c r="W632" s="1024"/>
      <c r="AY632" s="845"/>
      <c r="AZ632" s="845"/>
      <c r="BA632" s="845"/>
      <c r="BB632" s="845"/>
      <c r="BC632" s="845"/>
      <c r="BD632" s="845"/>
      <c r="BE632" s="845"/>
      <c r="BF632" s="845"/>
      <c r="BG632" s="845"/>
      <c r="BH632" s="845"/>
      <c r="BI632" s="845"/>
      <c r="BJ632" s="845"/>
      <c r="BK632" s="845"/>
      <c r="BL632" s="845"/>
      <c r="BM632" s="845"/>
      <c r="BN632" s="845"/>
      <c r="BO632" s="845"/>
      <c r="BP632" s="845"/>
      <c r="BQ632" s="845"/>
      <c r="BR632" s="845"/>
      <c r="BS632" s="845"/>
      <c r="BT632" s="845"/>
      <c r="BU632" s="845"/>
      <c r="BV632" s="845"/>
      <c r="BW632" s="845"/>
      <c r="BX632" s="845"/>
      <c r="BY632" s="845"/>
      <c r="BZ632" s="845"/>
      <c r="CA632" s="845"/>
      <c r="CB632" s="845"/>
      <c r="CC632" s="845"/>
    </row>
    <row r="633" spans="1:81" ht="14.25" customHeight="1">
      <c r="A633" s="976" t="s">
        <v>3868</v>
      </c>
      <c r="B633" s="976" t="s">
        <v>1240</v>
      </c>
      <c r="C633" s="977">
        <v>1782000430</v>
      </c>
      <c r="D633" s="976" t="s">
        <v>311</v>
      </c>
      <c r="E633" s="976">
        <v>0</v>
      </c>
      <c r="F633" s="976">
        <v>0</v>
      </c>
      <c r="G633" s="976">
        <v>0</v>
      </c>
      <c r="H633" s="976">
        <v>5.3540299999999998</v>
      </c>
      <c r="I633" s="976"/>
      <c r="J633" s="976"/>
      <c r="K633" s="976">
        <v>5.3540299999999998</v>
      </c>
      <c r="L633" s="978">
        <v>5.3540299999999998</v>
      </c>
      <c r="M633" s="976"/>
      <c r="N633" s="976">
        <v>7.1387066666666659</v>
      </c>
      <c r="O633" s="735">
        <f t="shared" si="29"/>
        <v>7.1387066666666659</v>
      </c>
      <c r="P633" s="738">
        <f t="shared" si="27"/>
        <v>7138.706666666666</v>
      </c>
      <c r="Q633" s="751">
        <f t="shared" si="28"/>
        <v>7000</v>
      </c>
      <c r="U633" s="747"/>
      <c r="V633" s="988"/>
      <c r="W633" s="1024"/>
      <c r="AY633" s="845"/>
      <c r="AZ633" s="845"/>
      <c r="BA633" s="845"/>
      <c r="BB633" s="845"/>
      <c r="BC633" s="845"/>
      <c r="BD633" s="845"/>
      <c r="BE633" s="845"/>
      <c r="BF633" s="845"/>
      <c r="BG633" s="845"/>
      <c r="BH633" s="845"/>
      <c r="BI633" s="845"/>
      <c r="BJ633" s="845"/>
      <c r="BK633" s="845"/>
      <c r="BL633" s="845"/>
      <c r="BM633" s="845"/>
      <c r="BN633" s="845"/>
      <c r="BO633" s="845"/>
      <c r="BP633" s="845"/>
      <c r="BQ633" s="845"/>
      <c r="BR633" s="845"/>
      <c r="BS633" s="845"/>
      <c r="BT633" s="845"/>
      <c r="BU633" s="845"/>
      <c r="BV633" s="845"/>
      <c r="BW633" s="845"/>
      <c r="BX633" s="845"/>
      <c r="BY633" s="845"/>
      <c r="BZ633" s="845"/>
      <c r="CA633" s="845"/>
      <c r="CB633" s="845"/>
      <c r="CC633" s="845"/>
    </row>
    <row r="634" spans="1:81" ht="14.25" customHeight="1">
      <c r="A634" s="976" t="s">
        <v>3905</v>
      </c>
      <c r="B634" s="976" t="s">
        <v>1240</v>
      </c>
      <c r="C634" s="977">
        <v>1782000540</v>
      </c>
      <c r="D634" s="976" t="s">
        <v>279</v>
      </c>
      <c r="E634" s="976">
        <v>3</v>
      </c>
      <c r="F634" s="976">
        <v>3</v>
      </c>
      <c r="G634" s="976">
        <v>2.25</v>
      </c>
      <c r="H634" s="976">
        <v>2.1209600000000002</v>
      </c>
      <c r="I634" s="976"/>
      <c r="J634" s="976"/>
      <c r="K634" s="976">
        <v>2.1209600000000002</v>
      </c>
      <c r="L634" s="978">
        <v>-0.12903999999999982</v>
      </c>
      <c r="M634" s="976"/>
      <c r="N634" s="976">
        <v>2.8279466666666671</v>
      </c>
      <c r="O634" s="735">
        <f t="shared" si="29"/>
        <v>-0.17205333333333295</v>
      </c>
      <c r="P634" s="738">
        <f t="shared" si="27"/>
        <v>2827.9466666666672</v>
      </c>
      <c r="Q634" s="751">
        <f t="shared" si="28"/>
        <v>3000</v>
      </c>
      <c r="U634" s="747"/>
      <c r="V634" s="988"/>
      <c r="W634" s="1024"/>
    </row>
    <row r="635" spans="1:81" ht="14.25" customHeight="1">
      <c r="A635" s="976" t="s">
        <v>3913</v>
      </c>
      <c r="B635" s="976" t="s">
        <v>1240</v>
      </c>
      <c r="C635" s="977">
        <v>1782000750</v>
      </c>
      <c r="D635" s="976" t="s">
        <v>530</v>
      </c>
      <c r="E635" s="976">
        <v>300</v>
      </c>
      <c r="F635" s="976">
        <v>300</v>
      </c>
      <c r="G635" s="976">
        <v>225</v>
      </c>
      <c r="H635" s="976">
        <v>195.458</v>
      </c>
      <c r="I635" s="976"/>
      <c r="J635" s="976"/>
      <c r="K635" s="976">
        <v>195.458</v>
      </c>
      <c r="L635" s="978">
        <v>-29.542000000000002</v>
      </c>
      <c r="M635" s="976" t="s">
        <v>3627</v>
      </c>
      <c r="N635" s="976">
        <v>260.6106666666667</v>
      </c>
      <c r="O635" s="735">
        <f t="shared" si="29"/>
        <v>-39.389333333333298</v>
      </c>
      <c r="P635" s="738">
        <f t="shared" si="27"/>
        <v>260610.66666666672</v>
      </c>
      <c r="Q635" s="751">
        <f t="shared" si="28"/>
        <v>261000</v>
      </c>
      <c r="U635" s="747"/>
      <c r="V635" s="988"/>
      <c r="W635" s="1024"/>
    </row>
    <row r="636" spans="1:81" ht="14.25" customHeight="1">
      <c r="A636" s="976" t="s">
        <v>3909</v>
      </c>
      <c r="B636" s="976" t="s">
        <v>1240</v>
      </c>
      <c r="C636" s="977">
        <v>1782000780</v>
      </c>
      <c r="D636" s="976" t="s">
        <v>280</v>
      </c>
      <c r="E636" s="976">
        <v>5</v>
      </c>
      <c r="F636" s="976">
        <v>5</v>
      </c>
      <c r="G636" s="976">
        <v>3.75</v>
      </c>
      <c r="H636" s="976">
        <v>1.3434900000000001</v>
      </c>
      <c r="I636" s="976"/>
      <c r="J636" s="976"/>
      <c r="K636" s="976">
        <v>1.3434900000000001</v>
      </c>
      <c r="L636" s="978">
        <v>-2.4065099999999999</v>
      </c>
      <c r="M636" s="976"/>
      <c r="N636" s="976">
        <v>1.79132</v>
      </c>
      <c r="O636" s="735">
        <f t="shared" si="29"/>
        <v>-3.2086800000000002</v>
      </c>
      <c r="P636" s="738">
        <f t="shared" si="27"/>
        <v>1791.32</v>
      </c>
      <c r="Q636" s="751">
        <f t="shared" si="28"/>
        <v>2000</v>
      </c>
      <c r="U636" s="747"/>
      <c r="V636" s="988"/>
      <c r="W636" s="1024"/>
      <c r="AY636" s="845"/>
      <c r="AZ636" s="845"/>
      <c r="BA636" s="845"/>
      <c r="BB636" s="845"/>
      <c r="BC636" s="845"/>
      <c r="BD636" s="845"/>
      <c r="BE636" s="845"/>
      <c r="BF636" s="845"/>
      <c r="BG636" s="845"/>
      <c r="BH636" s="845"/>
      <c r="BI636" s="845"/>
      <c r="BJ636" s="845"/>
      <c r="BK636" s="845"/>
      <c r="BL636" s="845"/>
      <c r="BM636" s="845"/>
      <c r="BN636" s="845"/>
      <c r="BO636" s="845"/>
      <c r="BP636" s="845"/>
      <c r="BQ636" s="845"/>
      <c r="BR636" s="845"/>
      <c r="BS636" s="845"/>
      <c r="BT636" s="845"/>
      <c r="BU636" s="845"/>
      <c r="BV636" s="845"/>
      <c r="BW636" s="845"/>
      <c r="BX636" s="845"/>
      <c r="BY636" s="845"/>
      <c r="BZ636" s="845"/>
      <c r="CA636" s="845"/>
      <c r="CB636" s="845"/>
      <c r="CC636" s="845"/>
    </row>
    <row r="637" spans="1:81" ht="14.25" customHeight="1">
      <c r="A637" s="976" t="s">
        <v>3908</v>
      </c>
      <c r="B637" s="976" t="s">
        <v>1246</v>
      </c>
      <c r="C637" s="977">
        <v>1791000530</v>
      </c>
      <c r="D637" s="976" t="s">
        <v>277</v>
      </c>
      <c r="E637" s="976">
        <v>90</v>
      </c>
      <c r="F637" s="976">
        <v>90</v>
      </c>
      <c r="G637" s="976">
        <v>67.5</v>
      </c>
      <c r="H637" s="976">
        <v>77.147379999999998</v>
      </c>
      <c r="I637" s="976"/>
      <c r="J637" s="976"/>
      <c r="K637" s="976">
        <v>77.147379999999998</v>
      </c>
      <c r="L637" s="978">
        <v>9.6473799999999983</v>
      </c>
      <c r="M637" s="976"/>
      <c r="N637" s="976">
        <v>102.86317333333334</v>
      </c>
      <c r="O637" s="735">
        <f t="shared" si="29"/>
        <v>12.863173333333336</v>
      </c>
      <c r="P637" s="738">
        <f t="shared" si="27"/>
        <v>102863.17333333334</v>
      </c>
      <c r="Q637" s="751">
        <f t="shared" si="28"/>
        <v>103000</v>
      </c>
      <c r="U637" s="747"/>
      <c r="V637" s="988"/>
      <c r="W637" s="1024"/>
      <c r="AY637" s="845"/>
      <c r="AZ637" s="845"/>
      <c r="BA637" s="845"/>
      <c r="BB637" s="845"/>
      <c r="BC637" s="845"/>
      <c r="BD637" s="845"/>
      <c r="BE637" s="845"/>
      <c r="BF637" s="845"/>
      <c r="BG637" s="845"/>
      <c r="BH637" s="845"/>
      <c r="BI637" s="845"/>
      <c r="BJ637" s="845"/>
      <c r="BK637" s="845"/>
      <c r="BL637" s="845"/>
      <c r="BM637" s="845"/>
      <c r="BN637" s="845"/>
      <c r="BO637" s="845"/>
      <c r="BP637" s="845"/>
      <c r="BQ637" s="845"/>
      <c r="BR637" s="845"/>
      <c r="BS637" s="845"/>
      <c r="BT637" s="845"/>
      <c r="BU637" s="845"/>
      <c r="BV637" s="845"/>
      <c r="BW637" s="845"/>
      <c r="BX637" s="845"/>
      <c r="BY637" s="845"/>
      <c r="BZ637" s="845"/>
      <c r="CA637" s="845"/>
      <c r="CB637" s="845"/>
      <c r="CC637" s="845"/>
    </row>
    <row r="638" spans="1:81" ht="14.25" customHeight="1">
      <c r="A638" s="976" t="s">
        <v>3905</v>
      </c>
      <c r="B638" s="976" t="s">
        <v>1246</v>
      </c>
      <c r="C638" s="977">
        <v>1791000540</v>
      </c>
      <c r="D638" s="976" t="s">
        <v>279</v>
      </c>
      <c r="E638" s="976">
        <v>4</v>
      </c>
      <c r="F638" s="976">
        <v>4</v>
      </c>
      <c r="G638" s="976">
        <v>3</v>
      </c>
      <c r="H638" s="976">
        <v>1.85799</v>
      </c>
      <c r="I638" s="976"/>
      <c r="J638" s="976"/>
      <c r="K638" s="976">
        <v>1.85799</v>
      </c>
      <c r="L638" s="978">
        <v>-1.14201</v>
      </c>
      <c r="M638" s="976"/>
      <c r="N638" s="976">
        <v>2.4773200000000002</v>
      </c>
      <c r="O638" s="735">
        <f t="shared" si="29"/>
        <v>-1.5226799999999998</v>
      </c>
      <c r="P638" s="738">
        <f t="shared" si="27"/>
        <v>2477.3200000000002</v>
      </c>
      <c r="Q638" s="751">
        <f t="shared" si="28"/>
        <v>2000</v>
      </c>
      <c r="U638" s="747"/>
      <c r="V638" s="988"/>
      <c r="W638" s="1024"/>
      <c r="AY638" s="845"/>
      <c r="AZ638" s="845"/>
      <c r="BA638" s="845"/>
      <c r="BB638" s="845"/>
      <c r="BC638" s="845"/>
      <c r="BD638" s="845"/>
      <c r="BE638" s="845"/>
      <c r="BF638" s="845"/>
      <c r="BG638" s="845"/>
      <c r="BH638" s="845"/>
      <c r="BI638" s="845"/>
      <c r="BJ638" s="845"/>
      <c r="BK638" s="845"/>
      <c r="BL638" s="845"/>
      <c r="BM638" s="845"/>
      <c r="BN638" s="845"/>
      <c r="BO638" s="845"/>
      <c r="BP638" s="845"/>
      <c r="BQ638" s="845"/>
      <c r="BR638" s="845"/>
      <c r="BS638" s="845"/>
      <c r="BT638" s="845"/>
      <c r="BU638" s="845"/>
      <c r="BV638" s="845"/>
      <c r="BW638" s="845"/>
      <c r="BX638" s="845"/>
      <c r="BY638" s="845"/>
      <c r="BZ638" s="845"/>
      <c r="CA638" s="845"/>
      <c r="CB638" s="845"/>
      <c r="CC638" s="845"/>
    </row>
    <row r="639" spans="1:81" ht="14.25" customHeight="1">
      <c r="A639" s="976" t="s">
        <v>3909</v>
      </c>
      <c r="B639" s="976" t="s">
        <v>1246</v>
      </c>
      <c r="C639" s="977">
        <v>1791000780</v>
      </c>
      <c r="D639" s="976" t="s">
        <v>280</v>
      </c>
      <c r="E639" s="976">
        <v>2</v>
      </c>
      <c r="F639" s="976">
        <v>2</v>
      </c>
      <c r="G639" s="976">
        <v>1.5</v>
      </c>
      <c r="H639" s="976">
        <v>0.80729999999999991</v>
      </c>
      <c r="I639" s="976"/>
      <c r="J639" s="976"/>
      <c r="K639" s="976">
        <v>0.80729999999999991</v>
      </c>
      <c r="L639" s="978">
        <v>-0.69270000000000009</v>
      </c>
      <c r="M639" s="976"/>
      <c r="N639" s="976">
        <v>1.0764</v>
      </c>
      <c r="O639" s="735">
        <f t="shared" si="29"/>
        <v>-0.92359999999999998</v>
      </c>
      <c r="P639" s="738">
        <f t="shared" si="27"/>
        <v>1076.4000000000001</v>
      </c>
      <c r="Q639" s="751">
        <f t="shared" si="28"/>
        <v>1000</v>
      </c>
      <c r="U639" s="747"/>
      <c r="V639" s="988"/>
      <c r="W639" s="1024"/>
      <c r="AY639" s="845"/>
      <c r="AZ639" s="845"/>
      <c r="BA639" s="845"/>
      <c r="BB639" s="845"/>
      <c r="BC639" s="845"/>
      <c r="BD639" s="845"/>
      <c r="BE639" s="845"/>
      <c r="BF639" s="845"/>
      <c r="BG639" s="845"/>
      <c r="BH639" s="845"/>
      <c r="BI639" s="845"/>
      <c r="BJ639" s="845"/>
      <c r="BK639" s="845"/>
      <c r="BL639" s="845"/>
      <c r="BM639" s="845"/>
      <c r="BN639" s="845"/>
      <c r="BO639" s="845"/>
      <c r="BP639" s="845"/>
      <c r="BQ639" s="845"/>
      <c r="BR639" s="845"/>
      <c r="BS639" s="845"/>
      <c r="BT639" s="845"/>
      <c r="BU639" s="845"/>
      <c r="BV639" s="845"/>
      <c r="BW639" s="845"/>
      <c r="BX639" s="845"/>
      <c r="BY639" s="845"/>
      <c r="BZ639" s="845"/>
      <c r="CA639" s="845"/>
      <c r="CB639" s="845"/>
      <c r="CC639" s="845"/>
    </row>
    <row r="640" spans="1:81" ht="14.25" customHeight="1">
      <c r="A640" s="976" t="s">
        <v>3909</v>
      </c>
      <c r="B640" s="976" t="s">
        <v>1255</v>
      </c>
      <c r="C640" s="977">
        <v>1821100780</v>
      </c>
      <c r="D640" s="976" t="s">
        <v>3352</v>
      </c>
      <c r="E640" s="976">
        <v>0</v>
      </c>
      <c r="F640" s="976">
        <v>0</v>
      </c>
      <c r="G640" s="976">
        <v>0</v>
      </c>
      <c r="H640" s="976">
        <v>0</v>
      </c>
      <c r="I640" s="976"/>
      <c r="J640" s="976"/>
      <c r="K640" s="976">
        <v>0</v>
      </c>
      <c r="L640" s="978">
        <v>0</v>
      </c>
      <c r="M640" s="976"/>
      <c r="N640" s="976">
        <v>0</v>
      </c>
      <c r="O640" s="735">
        <f t="shared" si="29"/>
        <v>0</v>
      </c>
      <c r="P640" s="738">
        <f t="shared" si="27"/>
        <v>0</v>
      </c>
      <c r="Q640" s="751">
        <f t="shared" si="28"/>
        <v>0</v>
      </c>
      <c r="U640" s="747"/>
      <c r="V640" s="988"/>
      <c r="W640" s="1024"/>
      <c r="AY640" s="845"/>
      <c r="AZ640" s="845"/>
      <c r="BA640" s="845"/>
      <c r="BB640" s="845"/>
      <c r="BC640" s="845"/>
      <c r="BD640" s="845"/>
      <c r="BE640" s="845"/>
      <c r="BF640" s="845"/>
      <c r="BG640" s="845"/>
      <c r="BH640" s="845"/>
      <c r="BI640" s="845"/>
      <c r="BJ640" s="845"/>
      <c r="BK640" s="845"/>
      <c r="BL640" s="845"/>
      <c r="BM640" s="845"/>
      <c r="BN640" s="845"/>
      <c r="BO640" s="845"/>
      <c r="BP640" s="845"/>
      <c r="BQ640" s="845"/>
      <c r="BR640" s="845"/>
      <c r="BS640" s="845"/>
      <c r="BT640" s="845"/>
      <c r="BU640" s="845"/>
      <c r="BV640" s="845"/>
      <c r="BW640" s="845"/>
      <c r="BX640" s="845"/>
      <c r="BY640" s="845"/>
      <c r="BZ640" s="845"/>
      <c r="CA640" s="845"/>
      <c r="CB640" s="845"/>
      <c r="CC640" s="845"/>
    </row>
    <row r="641" spans="1:82" ht="14.25" customHeight="1">
      <c r="A641" s="976" t="s">
        <v>3909</v>
      </c>
      <c r="B641" s="976" t="s">
        <v>1255</v>
      </c>
      <c r="C641" s="977">
        <v>1821200780</v>
      </c>
      <c r="D641" s="976" t="s">
        <v>3353</v>
      </c>
      <c r="E641" s="976">
        <v>0</v>
      </c>
      <c r="F641" s="976">
        <v>0</v>
      </c>
      <c r="G641" s="976">
        <v>0</v>
      </c>
      <c r="H641" s="976">
        <v>0</v>
      </c>
      <c r="I641" s="976"/>
      <c r="J641" s="976"/>
      <c r="K641" s="976">
        <v>0</v>
      </c>
      <c r="L641" s="978">
        <v>0</v>
      </c>
      <c r="M641" s="976"/>
      <c r="N641" s="976">
        <v>0</v>
      </c>
      <c r="O641" s="735">
        <f t="shared" si="29"/>
        <v>0</v>
      </c>
      <c r="P641" s="738">
        <f t="shared" si="27"/>
        <v>0</v>
      </c>
      <c r="Q641" s="751">
        <f t="shared" si="28"/>
        <v>0</v>
      </c>
      <c r="U641" s="747"/>
      <c r="V641" s="988"/>
      <c r="W641" s="1024"/>
      <c r="AY641" s="845"/>
      <c r="AZ641" s="845"/>
      <c r="BA641" s="845"/>
      <c r="BB641" s="845"/>
      <c r="BC641" s="845"/>
      <c r="BD641" s="845"/>
      <c r="BE641" s="845"/>
      <c r="BF641" s="845"/>
      <c r="BG641" s="845"/>
      <c r="BH641" s="845"/>
      <c r="BI641" s="845"/>
      <c r="BJ641" s="845"/>
      <c r="BK641" s="845"/>
      <c r="BL641" s="845"/>
      <c r="BM641" s="845"/>
      <c r="BN641" s="845"/>
      <c r="BO641" s="845"/>
      <c r="BP641" s="845"/>
      <c r="BQ641" s="845"/>
      <c r="BR641" s="845"/>
      <c r="BS641" s="845"/>
      <c r="BT641" s="845"/>
      <c r="BU641" s="845"/>
      <c r="BV641" s="845"/>
      <c r="BW641" s="845"/>
      <c r="BX641" s="845"/>
      <c r="BY641" s="845"/>
      <c r="BZ641" s="845"/>
      <c r="CA641" s="845"/>
      <c r="CB641" s="845"/>
      <c r="CC641" s="845"/>
    </row>
    <row r="642" spans="1:82" ht="14.25" customHeight="1">
      <c r="A642" s="976" t="s">
        <v>3909</v>
      </c>
      <c r="B642" s="976" t="s">
        <v>1255</v>
      </c>
      <c r="C642" s="977">
        <v>1821300780</v>
      </c>
      <c r="D642" s="976" t="s">
        <v>3354</v>
      </c>
      <c r="E642" s="976">
        <v>0</v>
      </c>
      <c r="F642" s="976">
        <v>0</v>
      </c>
      <c r="G642" s="976">
        <v>0</v>
      </c>
      <c r="H642" s="976">
        <v>0</v>
      </c>
      <c r="I642" s="976"/>
      <c r="J642" s="976"/>
      <c r="K642" s="976">
        <v>0</v>
      </c>
      <c r="L642" s="978">
        <v>0</v>
      </c>
      <c r="M642" s="976"/>
      <c r="N642" s="976">
        <v>0</v>
      </c>
      <c r="O642" s="735">
        <f t="shared" si="29"/>
        <v>0</v>
      </c>
      <c r="P642" s="738">
        <f t="shared" si="27"/>
        <v>0</v>
      </c>
      <c r="Q642" s="751">
        <f t="shared" si="28"/>
        <v>0</v>
      </c>
      <c r="U642" s="747"/>
      <c r="V642" s="988"/>
      <c r="W642" s="1024"/>
      <c r="AY642" s="845"/>
      <c r="AZ642" s="845"/>
      <c r="BA642" s="845"/>
      <c r="BB642" s="845"/>
      <c r="BC642" s="845"/>
      <c r="BD642" s="845"/>
      <c r="BE642" s="845"/>
      <c r="BF642" s="845"/>
      <c r="BG642" s="845"/>
      <c r="BH642" s="845"/>
      <c r="BI642" s="845"/>
      <c r="BJ642" s="845"/>
      <c r="BK642" s="845"/>
      <c r="BL642" s="845"/>
      <c r="BM642" s="845"/>
      <c r="BN642" s="845"/>
      <c r="BO642" s="845"/>
      <c r="BP642" s="845"/>
      <c r="BQ642" s="845"/>
      <c r="BR642" s="845"/>
      <c r="BS642" s="845"/>
      <c r="BT642" s="845"/>
      <c r="BU642" s="845"/>
      <c r="BV642" s="845"/>
      <c r="BW642" s="845"/>
      <c r="BX642" s="845"/>
      <c r="BY642" s="845"/>
      <c r="BZ642" s="845"/>
      <c r="CA642" s="845"/>
      <c r="CB642" s="845"/>
      <c r="CC642" s="845"/>
    </row>
    <row r="643" spans="1:82" s="866" customFormat="1" ht="14.25" customHeight="1">
      <c r="A643" s="976" t="s">
        <v>3912</v>
      </c>
      <c r="B643" s="976" t="s">
        <v>1255</v>
      </c>
      <c r="C643" s="977">
        <v>1821300781</v>
      </c>
      <c r="D643" s="976" t="s">
        <v>3355</v>
      </c>
      <c r="E643" s="976">
        <v>0</v>
      </c>
      <c r="F643" s="976">
        <v>0</v>
      </c>
      <c r="G643" s="976">
        <v>0</v>
      </c>
      <c r="H643" s="976">
        <v>0</v>
      </c>
      <c r="I643" s="976"/>
      <c r="J643" s="976"/>
      <c r="K643" s="976">
        <v>0</v>
      </c>
      <c r="L643" s="978">
        <v>0</v>
      </c>
      <c r="M643" s="976"/>
      <c r="N643" s="976">
        <v>0</v>
      </c>
      <c r="O643" s="735">
        <f t="shared" si="29"/>
        <v>0</v>
      </c>
      <c r="P643" s="738">
        <f t="shared" si="27"/>
        <v>0</v>
      </c>
      <c r="Q643" s="751">
        <f t="shared" si="28"/>
        <v>0</v>
      </c>
      <c r="R643" s="865"/>
      <c r="S643" s="865"/>
      <c r="T643" s="865"/>
      <c r="U643" s="865"/>
      <c r="V643" s="988"/>
      <c r="W643" s="1024"/>
      <c r="X643" s="865"/>
      <c r="Y643" s="865"/>
      <c r="Z643" s="865"/>
      <c r="AA643" s="865"/>
      <c r="AB643" s="865"/>
      <c r="AC643" s="865"/>
      <c r="AD643" s="865"/>
      <c r="AE643" s="865"/>
      <c r="AF643" s="865"/>
      <c r="AG643" s="865"/>
      <c r="AH643" s="865"/>
      <c r="AI643" s="865"/>
      <c r="AJ643" s="865"/>
      <c r="AK643" s="865"/>
      <c r="AL643" s="865"/>
      <c r="AM643" s="865"/>
      <c r="AN643" s="865"/>
      <c r="AO643" s="865"/>
      <c r="AP643" s="865"/>
      <c r="AQ643" s="865"/>
      <c r="AR643" s="865"/>
      <c r="AS643" s="865"/>
      <c r="AT643" s="865"/>
      <c r="AU643" s="865"/>
      <c r="AV643" s="865"/>
      <c r="AW643" s="865"/>
      <c r="AX643" s="865"/>
    </row>
    <row r="644" spans="1:82" ht="14.25" customHeight="1">
      <c r="A644" s="976" t="s">
        <v>3909</v>
      </c>
      <c r="B644" s="976" t="s">
        <v>1255</v>
      </c>
      <c r="C644" s="977">
        <v>1821400780</v>
      </c>
      <c r="D644" s="976" t="s">
        <v>636</v>
      </c>
      <c r="E644" s="976">
        <v>0</v>
      </c>
      <c r="F644" s="976">
        <v>0</v>
      </c>
      <c r="G644" s="976">
        <v>0</v>
      </c>
      <c r="H644" s="976">
        <v>93.872399999999999</v>
      </c>
      <c r="I644" s="976"/>
      <c r="J644" s="1041">
        <v>322</v>
      </c>
      <c r="K644" s="976">
        <v>415.87239999999997</v>
      </c>
      <c r="L644" s="978">
        <v>415.87239999999997</v>
      </c>
      <c r="M644" s="976" t="s">
        <v>3651</v>
      </c>
      <c r="N644" s="976">
        <v>554.49653333333333</v>
      </c>
      <c r="O644" s="735">
        <f t="shared" si="29"/>
        <v>554.49653333333333</v>
      </c>
      <c r="P644" s="738">
        <f t="shared" si="27"/>
        <v>554496.53333333333</v>
      </c>
      <c r="Q644" s="751">
        <f t="shared" si="28"/>
        <v>554000</v>
      </c>
      <c r="U644" s="747"/>
      <c r="V644" s="988"/>
      <c r="W644" s="1024"/>
      <c r="AY644" s="845"/>
      <c r="AZ644" s="845"/>
      <c r="BA644" s="845"/>
      <c r="BB644" s="845"/>
      <c r="BC644" s="845"/>
      <c r="BD644" s="845"/>
      <c r="BE644" s="845"/>
      <c r="BF644" s="845"/>
      <c r="BG644" s="845"/>
      <c r="BH644" s="845"/>
      <c r="BI644" s="845"/>
      <c r="BJ644" s="845"/>
      <c r="BK644" s="845"/>
      <c r="BL644" s="845"/>
      <c r="BM644" s="845"/>
      <c r="BN644" s="845"/>
      <c r="BO644" s="845"/>
      <c r="BP644" s="845"/>
      <c r="BQ644" s="845"/>
      <c r="BR644" s="845"/>
      <c r="BS644" s="845"/>
      <c r="BT644" s="845"/>
      <c r="BU644" s="845"/>
      <c r="BV644" s="845"/>
      <c r="BW644" s="845"/>
      <c r="BX644" s="845"/>
      <c r="BY644" s="845"/>
      <c r="BZ644" s="845"/>
      <c r="CA644" s="845"/>
      <c r="CB644" s="845"/>
      <c r="CC644" s="845"/>
    </row>
    <row r="645" spans="1:82" ht="14.25" customHeight="1">
      <c r="A645" s="976" t="s">
        <v>3867</v>
      </c>
      <c r="B645" s="976" t="s">
        <v>1255</v>
      </c>
      <c r="C645" s="977">
        <v>1822000410</v>
      </c>
      <c r="D645" s="976" t="s">
        <v>304</v>
      </c>
      <c r="E645" s="976">
        <v>0</v>
      </c>
      <c r="F645" s="976">
        <v>0</v>
      </c>
      <c r="G645" s="976">
        <v>0</v>
      </c>
      <c r="H645" s="976">
        <v>0</v>
      </c>
      <c r="I645" s="976"/>
      <c r="J645" s="976"/>
      <c r="K645" s="976">
        <v>0</v>
      </c>
      <c r="L645" s="978">
        <v>0</v>
      </c>
      <c r="M645" s="976"/>
      <c r="N645" s="976">
        <v>0</v>
      </c>
      <c r="O645" s="735">
        <f t="shared" si="29"/>
        <v>0</v>
      </c>
      <c r="P645" s="738">
        <f t="shared" si="27"/>
        <v>0</v>
      </c>
      <c r="Q645" s="751">
        <f t="shared" si="28"/>
        <v>0</v>
      </c>
      <c r="U645" s="747"/>
      <c r="V645" s="988"/>
      <c r="W645" s="1024"/>
    </row>
    <row r="646" spans="1:82" ht="14.25" customHeight="1">
      <c r="A646" s="976" t="s">
        <v>3868</v>
      </c>
      <c r="B646" s="976" t="s">
        <v>1255</v>
      </c>
      <c r="C646" s="977">
        <v>1822000430</v>
      </c>
      <c r="D646" s="976" t="s">
        <v>311</v>
      </c>
      <c r="E646" s="976">
        <v>240</v>
      </c>
      <c r="F646" s="976">
        <v>240</v>
      </c>
      <c r="G646" s="976">
        <v>180</v>
      </c>
      <c r="H646" s="976">
        <v>221.58099999999999</v>
      </c>
      <c r="I646" s="976"/>
      <c r="J646" s="1041">
        <v>26</v>
      </c>
      <c r="K646" s="976">
        <v>247.58099999999999</v>
      </c>
      <c r="L646" s="978">
        <v>67.580999999999989</v>
      </c>
      <c r="M646" s="976" t="s">
        <v>3583</v>
      </c>
      <c r="N646" s="976">
        <v>330.10799999999995</v>
      </c>
      <c r="O646" s="735">
        <f t="shared" si="29"/>
        <v>90.107999999999947</v>
      </c>
      <c r="P646" s="738">
        <f t="shared" si="27"/>
        <v>330107.99999999994</v>
      </c>
      <c r="Q646" s="751">
        <f t="shared" si="28"/>
        <v>330000</v>
      </c>
      <c r="U646" s="747"/>
      <c r="V646" s="988"/>
      <c r="W646" s="1024"/>
      <c r="AY646" s="845"/>
      <c r="AZ646" s="845"/>
      <c r="BA646" s="845"/>
      <c r="BB646" s="845"/>
      <c r="BC646" s="845"/>
      <c r="BD646" s="845"/>
      <c r="BE646" s="845"/>
      <c r="BF646" s="845"/>
      <c r="BG646" s="845"/>
      <c r="BH646" s="845"/>
      <c r="BI646" s="845"/>
      <c r="BJ646" s="845"/>
      <c r="BK646" s="845"/>
      <c r="BL646" s="845"/>
      <c r="BM646" s="845"/>
      <c r="BN646" s="845"/>
      <c r="BO646" s="845"/>
      <c r="BP646" s="845"/>
      <c r="BQ646" s="845"/>
      <c r="BR646" s="845"/>
      <c r="BS646" s="845"/>
      <c r="BT646" s="845"/>
      <c r="BU646" s="845"/>
      <c r="BV646" s="845"/>
      <c r="BW646" s="845"/>
      <c r="BX646" s="845"/>
      <c r="BY646" s="845"/>
      <c r="BZ646" s="845"/>
      <c r="CA646" s="845"/>
      <c r="CB646" s="845"/>
      <c r="CC646" s="845"/>
    </row>
    <row r="647" spans="1:82" ht="14.25" customHeight="1">
      <c r="A647" s="976" t="s">
        <v>3930</v>
      </c>
      <c r="B647" s="976" t="s">
        <v>1255</v>
      </c>
      <c r="C647" s="977">
        <v>1822000432</v>
      </c>
      <c r="D647" s="976" t="s">
        <v>462</v>
      </c>
      <c r="E647" s="976">
        <v>0</v>
      </c>
      <c r="F647" s="976">
        <v>0</v>
      </c>
      <c r="G647" s="976">
        <v>0</v>
      </c>
      <c r="H647" s="976">
        <v>0</v>
      </c>
      <c r="I647" s="976"/>
      <c r="J647" s="976"/>
      <c r="K647" s="976">
        <v>0</v>
      </c>
      <c r="L647" s="978">
        <v>0</v>
      </c>
      <c r="M647" s="976"/>
      <c r="N647" s="976">
        <v>0</v>
      </c>
      <c r="O647" s="735">
        <f t="shared" si="29"/>
        <v>0</v>
      </c>
      <c r="P647" s="738">
        <f t="shared" si="27"/>
        <v>0</v>
      </c>
      <c r="Q647" s="751">
        <f t="shared" si="28"/>
        <v>0</v>
      </c>
      <c r="U647" s="747"/>
      <c r="V647" s="988"/>
      <c r="W647" s="1024"/>
      <c r="AY647" s="845"/>
      <c r="AZ647" s="845"/>
      <c r="BA647" s="845"/>
      <c r="BB647" s="845"/>
      <c r="BC647" s="845"/>
      <c r="BD647" s="845"/>
      <c r="BE647" s="845"/>
      <c r="BF647" s="845"/>
      <c r="BG647" s="845"/>
      <c r="BH647" s="845"/>
      <c r="BI647" s="845"/>
      <c r="BJ647" s="845"/>
      <c r="BK647" s="845"/>
      <c r="BL647" s="845"/>
      <c r="BM647" s="845"/>
      <c r="BN647" s="845"/>
      <c r="BO647" s="845"/>
      <c r="BP647" s="845"/>
      <c r="BQ647" s="845"/>
      <c r="BR647" s="845"/>
      <c r="BS647" s="845"/>
      <c r="BT647" s="845"/>
      <c r="BU647" s="845"/>
      <c r="BV647" s="845"/>
      <c r="BW647" s="845"/>
      <c r="BX647" s="845"/>
      <c r="BY647" s="845"/>
      <c r="BZ647" s="845"/>
      <c r="CA647" s="845"/>
      <c r="CB647" s="845"/>
      <c r="CC647" s="845"/>
    </row>
    <row r="648" spans="1:82" ht="14.25" customHeight="1">
      <c r="A648" s="976" t="s">
        <v>3908</v>
      </c>
      <c r="B648" s="976" t="s">
        <v>1255</v>
      </c>
      <c r="C648" s="977">
        <v>1822000530</v>
      </c>
      <c r="D648" s="976" t="s">
        <v>277</v>
      </c>
      <c r="E648" s="976">
        <v>0</v>
      </c>
      <c r="F648" s="976">
        <v>0</v>
      </c>
      <c r="G648" s="976">
        <v>0</v>
      </c>
      <c r="H648" s="976">
        <v>0</v>
      </c>
      <c r="I648" s="976"/>
      <c r="J648" s="976"/>
      <c r="K648" s="976">
        <v>0</v>
      </c>
      <c r="L648" s="978">
        <v>0</v>
      </c>
      <c r="M648" s="976"/>
      <c r="N648" s="976">
        <v>0</v>
      </c>
      <c r="O648" s="735">
        <f t="shared" si="29"/>
        <v>0</v>
      </c>
      <c r="P648" s="738">
        <f t="shared" ref="P648:P711" si="30">N648*1000</f>
        <v>0</v>
      </c>
      <c r="Q648" s="751">
        <f t="shared" ref="Q648:Q711" si="31">ROUND(P648,-3)</f>
        <v>0</v>
      </c>
      <c r="U648" s="747"/>
      <c r="V648" s="988"/>
      <c r="W648" s="1024"/>
    </row>
    <row r="649" spans="1:82" ht="14.25" customHeight="1">
      <c r="A649" s="976" t="s">
        <v>3905</v>
      </c>
      <c r="B649" s="976" t="s">
        <v>1255</v>
      </c>
      <c r="C649" s="977">
        <v>1822000540</v>
      </c>
      <c r="D649" s="976" t="s">
        <v>279</v>
      </c>
      <c r="E649" s="976">
        <v>6</v>
      </c>
      <c r="F649" s="976">
        <v>6</v>
      </c>
      <c r="G649" s="976">
        <v>4.5</v>
      </c>
      <c r="H649" s="976">
        <v>4.9336700000000002</v>
      </c>
      <c r="I649" s="976"/>
      <c r="J649" s="976">
        <v>0</v>
      </c>
      <c r="K649" s="976">
        <v>4.9336700000000002</v>
      </c>
      <c r="L649" s="978">
        <v>0.43367000000000022</v>
      </c>
      <c r="M649" s="976" t="s">
        <v>3583</v>
      </c>
      <c r="N649" s="976">
        <v>6.5782266666666676</v>
      </c>
      <c r="O649" s="735">
        <f t="shared" ref="O649:O712" si="32">N649-E649</f>
        <v>0.57822666666666755</v>
      </c>
      <c r="P649" s="738">
        <f t="shared" si="30"/>
        <v>6578.2266666666674</v>
      </c>
      <c r="Q649" s="751">
        <f t="shared" si="31"/>
        <v>7000</v>
      </c>
      <c r="U649" s="747"/>
      <c r="V649" s="988"/>
      <c r="W649" s="1024"/>
      <c r="AY649" s="845"/>
      <c r="AZ649" s="845"/>
      <c r="BA649" s="845"/>
      <c r="BB649" s="845"/>
      <c r="BC649" s="845"/>
      <c r="BD649" s="845"/>
      <c r="BE649" s="845"/>
      <c r="BF649" s="845"/>
      <c r="BG649" s="845"/>
      <c r="BH649" s="845"/>
      <c r="BI649" s="845"/>
      <c r="BJ649" s="845"/>
      <c r="BK649" s="845"/>
      <c r="BL649" s="845"/>
      <c r="BM649" s="845"/>
      <c r="BN649" s="845"/>
      <c r="BO649" s="845"/>
      <c r="BP649" s="845"/>
      <c r="BQ649" s="845"/>
      <c r="BR649" s="845"/>
      <c r="BS649" s="845"/>
      <c r="BT649" s="845"/>
      <c r="BU649" s="845"/>
      <c r="BV649" s="845"/>
      <c r="BW649" s="845"/>
      <c r="BX649" s="845"/>
      <c r="BY649" s="845"/>
      <c r="BZ649" s="845"/>
      <c r="CA649" s="845"/>
      <c r="CB649" s="845"/>
      <c r="CC649" s="845"/>
    </row>
    <row r="650" spans="1:82" ht="14.25" customHeight="1">
      <c r="A650" s="976" t="s">
        <v>3922</v>
      </c>
      <c r="B650" s="976" t="s">
        <v>1255</v>
      </c>
      <c r="C650" s="977">
        <v>1822000550</v>
      </c>
      <c r="D650" s="976" t="s">
        <v>318</v>
      </c>
      <c r="E650" s="976">
        <v>0</v>
      </c>
      <c r="F650" s="976">
        <v>0</v>
      </c>
      <c r="G650" s="976">
        <v>0</v>
      </c>
      <c r="H650" s="976">
        <v>0</v>
      </c>
      <c r="I650" s="976"/>
      <c r="J650" s="976"/>
      <c r="K650" s="976">
        <v>0</v>
      </c>
      <c r="L650" s="978">
        <v>0</v>
      </c>
      <c r="M650" s="976"/>
      <c r="N650" s="976">
        <v>0</v>
      </c>
      <c r="O650" s="735">
        <f t="shared" si="32"/>
        <v>0</v>
      </c>
      <c r="P650" s="738">
        <f t="shared" si="30"/>
        <v>0</v>
      </c>
      <c r="Q650" s="751">
        <f t="shared" si="31"/>
        <v>0</v>
      </c>
      <c r="U650" s="747"/>
      <c r="V650" s="988"/>
      <c r="W650" s="1024"/>
    </row>
    <row r="651" spans="1:82" ht="14.25" customHeight="1">
      <c r="A651" s="976" t="s">
        <v>3931</v>
      </c>
      <c r="B651" s="976" t="s">
        <v>1255</v>
      </c>
      <c r="C651" s="977">
        <v>1822000810</v>
      </c>
      <c r="D651" s="976" t="s">
        <v>3356</v>
      </c>
      <c r="E651" s="976">
        <v>3250</v>
      </c>
      <c r="F651" s="976">
        <v>3250</v>
      </c>
      <c r="G651" s="976">
        <v>2437.5</v>
      </c>
      <c r="H651" s="976">
        <v>2500</v>
      </c>
      <c r="I651" s="976"/>
      <c r="J651" s="1032">
        <v>-63</v>
      </c>
      <c r="K651" s="976">
        <v>2437</v>
      </c>
      <c r="L651" s="978">
        <v>-0.5</v>
      </c>
      <c r="M651" s="976" t="s">
        <v>3583</v>
      </c>
      <c r="N651" s="976">
        <v>3249.3333333333335</v>
      </c>
      <c r="O651" s="735">
        <f t="shared" si="32"/>
        <v>-0.66666666666651508</v>
      </c>
      <c r="P651" s="738">
        <f t="shared" si="30"/>
        <v>3249333.3333333335</v>
      </c>
      <c r="Q651" s="751">
        <f t="shared" si="31"/>
        <v>3249000</v>
      </c>
      <c r="U651" s="747"/>
      <c r="V651" s="988"/>
      <c r="W651" s="1024"/>
      <c r="AY651" s="845"/>
      <c r="AZ651" s="845"/>
      <c r="BA651" s="845"/>
      <c r="BB651" s="845"/>
      <c r="BC651" s="845"/>
      <c r="BD651" s="845"/>
      <c r="BE651" s="845"/>
      <c r="BF651" s="845"/>
      <c r="BG651" s="845"/>
      <c r="BH651" s="845"/>
      <c r="BI651" s="845"/>
      <c r="BJ651" s="845"/>
      <c r="BK651" s="845"/>
      <c r="BL651" s="845"/>
      <c r="BM651" s="845"/>
      <c r="BN651" s="845"/>
      <c r="BO651" s="845"/>
      <c r="BP651" s="845"/>
      <c r="BQ651" s="845"/>
      <c r="BR651" s="845"/>
      <c r="BS651" s="845"/>
      <c r="BT651" s="845"/>
      <c r="BU651" s="845"/>
      <c r="BV651" s="845"/>
      <c r="BW651" s="845"/>
      <c r="BX651" s="845"/>
      <c r="BY651" s="845"/>
      <c r="BZ651" s="845"/>
      <c r="CA651" s="845"/>
      <c r="CB651" s="845"/>
      <c r="CC651" s="845"/>
    </row>
    <row r="652" spans="1:82" ht="14.25" customHeight="1">
      <c r="A652" s="976" t="s">
        <v>3934</v>
      </c>
      <c r="B652" s="976" t="s">
        <v>1255</v>
      </c>
      <c r="C652" s="977">
        <v>1822000811</v>
      </c>
      <c r="D652" s="976" t="s">
        <v>3357</v>
      </c>
      <c r="E652" s="976">
        <v>0</v>
      </c>
      <c r="F652" s="976">
        <v>0</v>
      </c>
      <c r="G652" s="976">
        <v>0</v>
      </c>
      <c r="H652" s="976">
        <v>0</v>
      </c>
      <c r="I652" s="976"/>
      <c r="J652" s="976"/>
      <c r="K652" s="976">
        <v>0</v>
      </c>
      <c r="L652" s="978">
        <v>0</v>
      </c>
      <c r="M652" s="976"/>
      <c r="N652" s="976">
        <v>0</v>
      </c>
      <c r="O652" s="735">
        <f t="shared" si="32"/>
        <v>0</v>
      </c>
      <c r="P652" s="738">
        <f t="shared" si="30"/>
        <v>0</v>
      </c>
      <c r="Q652" s="751">
        <f t="shared" si="31"/>
        <v>0</v>
      </c>
      <c r="U652" s="747"/>
      <c r="V652" s="988"/>
      <c r="W652" s="1024"/>
      <c r="AY652" s="845"/>
      <c r="AZ652" s="845"/>
      <c r="BA652" s="845"/>
      <c r="BB652" s="845"/>
      <c r="BC652" s="845"/>
      <c r="BD652" s="845"/>
      <c r="BE652" s="845"/>
      <c r="BF652" s="845"/>
      <c r="BG652" s="845"/>
      <c r="BH652" s="845"/>
      <c r="BI652" s="845"/>
      <c r="BJ652" s="845"/>
      <c r="BK652" s="845"/>
      <c r="BL652" s="845"/>
      <c r="BM652" s="845"/>
      <c r="BN652" s="845"/>
      <c r="BO652" s="845"/>
      <c r="BP652" s="845"/>
      <c r="BQ652" s="845"/>
      <c r="BR652" s="845"/>
      <c r="BS652" s="845"/>
      <c r="BT652" s="845"/>
      <c r="BU652" s="845"/>
      <c r="BV652" s="845"/>
      <c r="BW652" s="845"/>
      <c r="BX652" s="845"/>
      <c r="BY652" s="845"/>
      <c r="BZ652" s="845"/>
      <c r="CA652" s="845"/>
      <c r="CB652" s="845"/>
      <c r="CC652" s="845"/>
    </row>
    <row r="653" spans="1:82" ht="17.25" customHeight="1">
      <c r="A653" s="976" t="s">
        <v>3935</v>
      </c>
      <c r="B653" s="976" t="s">
        <v>1255</v>
      </c>
      <c r="C653" s="977">
        <v>1822000812</v>
      </c>
      <c r="D653" s="976" t="s">
        <v>3346</v>
      </c>
      <c r="E653" s="976">
        <v>0</v>
      </c>
      <c r="F653" s="976">
        <v>0</v>
      </c>
      <c r="G653" s="976">
        <v>0</v>
      </c>
      <c r="H653" s="976">
        <v>0</v>
      </c>
      <c r="I653" s="976"/>
      <c r="J653" s="976"/>
      <c r="K653" s="976">
        <v>0</v>
      </c>
      <c r="L653" s="978">
        <v>0</v>
      </c>
      <c r="M653" s="976"/>
      <c r="N653" s="976">
        <v>0</v>
      </c>
      <c r="O653" s="735">
        <f t="shared" si="32"/>
        <v>0</v>
      </c>
      <c r="P653" s="738">
        <f t="shared" si="30"/>
        <v>0</v>
      </c>
      <c r="Q653" s="751">
        <f t="shared" si="31"/>
        <v>0</v>
      </c>
      <c r="U653" s="747"/>
      <c r="V653" s="988"/>
      <c r="W653" s="1024"/>
      <c r="AY653" s="845"/>
      <c r="AZ653" s="845"/>
      <c r="BA653" s="845"/>
      <c r="BB653" s="845"/>
      <c r="BC653" s="845"/>
      <c r="BD653" s="845"/>
      <c r="BE653" s="845"/>
      <c r="BF653" s="845"/>
      <c r="BG653" s="845"/>
      <c r="BH653" s="845"/>
      <c r="BI653" s="845"/>
      <c r="BJ653" s="845"/>
      <c r="BK653" s="845"/>
      <c r="BL653" s="845"/>
      <c r="BM653" s="845"/>
      <c r="BN653" s="845"/>
      <c r="BO653" s="845"/>
      <c r="BP653" s="845"/>
      <c r="BQ653" s="845"/>
      <c r="BR653" s="845"/>
      <c r="BS653" s="845"/>
      <c r="BT653" s="845"/>
      <c r="BU653" s="845"/>
      <c r="BV653" s="845"/>
      <c r="BW653" s="845"/>
      <c r="BX653" s="845"/>
      <c r="BY653" s="845"/>
      <c r="BZ653" s="845"/>
      <c r="CA653" s="845"/>
      <c r="CB653" s="845"/>
      <c r="CC653" s="845"/>
    </row>
    <row r="654" spans="1:82" ht="17.25" customHeight="1">
      <c r="A654" s="976" t="s">
        <v>3936</v>
      </c>
      <c r="B654" s="976" t="s">
        <v>1255</v>
      </c>
      <c r="C654" s="977">
        <v>1822000813</v>
      </c>
      <c r="D654" s="976" t="s">
        <v>3358</v>
      </c>
      <c r="E654" s="976">
        <v>0</v>
      </c>
      <c r="F654" s="976">
        <v>0</v>
      </c>
      <c r="G654" s="976">
        <v>0</v>
      </c>
      <c r="H654" s="976">
        <v>0</v>
      </c>
      <c r="I654" s="976"/>
      <c r="J654" s="976"/>
      <c r="K654" s="976">
        <v>0</v>
      </c>
      <c r="L654" s="978">
        <v>0</v>
      </c>
      <c r="M654" s="976"/>
      <c r="N654" s="976">
        <v>0</v>
      </c>
      <c r="O654" s="735">
        <f t="shared" si="32"/>
        <v>0</v>
      </c>
      <c r="P654" s="738">
        <f t="shared" si="30"/>
        <v>0</v>
      </c>
      <c r="Q654" s="751">
        <f t="shared" si="31"/>
        <v>0</v>
      </c>
      <c r="U654" s="747"/>
      <c r="V654" s="988"/>
      <c r="W654" s="1024"/>
    </row>
    <row r="655" spans="1:82" ht="14.25" customHeight="1">
      <c r="A655" s="976" t="s">
        <v>3938</v>
      </c>
      <c r="B655" s="976" t="s">
        <v>1255</v>
      </c>
      <c r="C655" s="977">
        <v>1822000814</v>
      </c>
      <c r="D655" s="976" t="s">
        <v>639</v>
      </c>
      <c r="E655" s="976">
        <v>800</v>
      </c>
      <c r="F655" s="976">
        <v>800</v>
      </c>
      <c r="G655" s="976">
        <v>600</v>
      </c>
      <c r="H655" s="976">
        <v>464.01227</v>
      </c>
      <c r="I655" s="976"/>
      <c r="J655" s="1041">
        <v>138</v>
      </c>
      <c r="K655" s="976">
        <v>602.01226999999994</v>
      </c>
      <c r="L655" s="978">
        <v>2.012269999999944</v>
      </c>
      <c r="M655" s="976" t="s">
        <v>3583</v>
      </c>
      <c r="N655" s="976">
        <v>802.68302666666659</v>
      </c>
      <c r="O655" s="735">
        <f t="shared" si="32"/>
        <v>2.6830266666665921</v>
      </c>
      <c r="P655" s="738">
        <f t="shared" si="30"/>
        <v>802683.02666666661</v>
      </c>
      <c r="Q655" s="751">
        <f t="shared" si="31"/>
        <v>803000</v>
      </c>
      <c r="U655" s="747"/>
      <c r="V655" s="988"/>
      <c r="W655" s="1024"/>
      <c r="AY655" s="845"/>
      <c r="AZ655" s="845"/>
      <c r="BA655" s="845"/>
      <c r="BB655" s="845"/>
      <c r="BC655" s="845"/>
      <c r="BD655" s="845"/>
      <c r="BE655" s="845"/>
      <c r="BF655" s="845"/>
      <c r="BG655" s="845"/>
      <c r="BH655" s="845"/>
      <c r="BI655" s="845"/>
      <c r="BJ655" s="845"/>
      <c r="BK655" s="845"/>
      <c r="BL655" s="845"/>
      <c r="BM655" s="845"/>
      <c r="BN655" s="845"/>
      <c r="BO655" s="845"/>
      <c r="BP655" s="845"/>
      <c r="BQ655" s="845"/>
      <c r="BR655" s="845"/>
      <c r="BS655" s="845"/>
      <c r="BT655" s="845"/>
      <c r="BU655" s="845"/>
      <c r="BV655" s="845"/>
      <c r="BW655" s="845"/>
      <c r="BX655" s="845"/>
      <c r="BY655" s="845"/>
      <c r="BZ655" s="845"/>
      <c r="CA655" s="845"/>
      <c r="CB655" s="845"/>
      <c r="CC655" s="845"/>
    </row>
    <row r="656" spans="1:82" s="891" customFormat="1" ht="14.25" customHeight="1">
      <c r="A656" s="989" t="s">
        <v>3934</v>
      </c>
      <c r="B656" s="976" t="s">
        <v>1255</v>
      </c>
      <c r="C656" s="977">
        <v>1824000811</v>
      </c>
      <c r="D656" s="976" t="s">
        <v>3359</v>
      </c>
      <c r="E656" s="976">
        <v>0</v>
      </c>
      <c r="F656" s="976">
        <v>0</v>
      </c>
      <c r="G656" s="976">
        <v>0</v>
      </c>
      <c r="H656" s="976">
        <v>0</v>
      </c>
      <c r="I656" s="976"/>
      <c r="J656" s="976"/>
      <c r="K656" s="976">
        <v>0</v>
      </c>
      <c r="L656" s="978">
        <v>0</v>
      </c>
      <c r="M656" s="976"/>
      <c r="N656" s="976">
        <v>0</v>
      </c>
      <c r="O656" s="735">
        <f t="shared" si="32"/>
        <v>0</v>
      </c>
      <c r="P656" s="738">
        <f t="shared" si="30"/>
        <v>0</v>
      </c>
      <c r="Q656" s="751">
        <f t="shared" si="31"/>
        <v>0</v>
      </c>
      <c r="R656" s="882"/>
      <c r="S656" s="882"/>
      <c r="T656" s="882"/>
      <c r="U656" s="882"/>
      <c r="V656" s="988"/>
      <c r="W656" s="1024"/>
      <c r="X656" s="882"/>
      <c r="Y656" s="882"/>
      <c r="Z656" s="882"/>
      <c r="AA656" s="882"/>
      <c r="AB656" s="882"/>
      <c r="AC656" s="882"/>
      <c r="AD656" s="882"/>
      <c r="AE656" s="882"/>
      <c r="AF656" s="882"/>
      <c r="AG656" s="882"/>
      <c r="AH656" s="882"/>
      <c r="AI656" s="882"/>
      <c r="AJ656" s="882"/>
      <c r="AK656" s="882"/>
      <c r="AL656" s="882"/>
      <c r="AM656" s="882"/>
      <c r="AN656" s="882"/>
      <c r="AO656" s="882"/>
      <c r="AP656" s="882"/>
      <c r="AQ656" s="882"/>
      <c r="AR656" s="882"/>
      <c r="AS656" s="882"/>
      <c r="AT656" s="882"/>
      <c r="AU656" s="882"/>
      <c r="AV656" s="882"/>
      <c r="AW656" s="882"/>
      <c r="AX656" s="882"/>
      <c r="AY656" s="882"/>
      <c r="AZ656" s="882"/>
      <c r="BA656" s="882"/>
      <c r="BB656" s="882"/>
      <c r="BC656" s="882"/>
      <c r="BD656" s="882"/>
      <c r="BE656" s="882"/>
      <c r="BF656" s="882"/>
      <c r="BG656" s="882"/>
      <c r="BH656" s="882"/>
      <c r="BI656" s="882"/>
      <c r="BJ656" s="882"/>
      <c r="BK656" s="882"/>
      <c r="BL656" s="882"/>
      <c r="BM656" s="882"/>
      <c r="BN656" s="882"/>
      <c r="BO656" s="882"/>
      <c r="BP656" s="882"/>
      <c r="BQ656" s="882"/>
      <c r="BR656" s="882"/>
      <c r="BS656" s="882"/>
      <c r="BT656" s="882"/>
      <c r="BU656" s="882"/>
      <c r="BV656" s="882"/>
      <c r="BW656" s="882"/>
      <c r="BX656" s="882"/>
      <c r="BY656" s="882"/>
      <c r="BZ656" s="882"/>
      <c r="CA656" s="882"/>
      <c r="CB656" s="882"/>
      <c r="CC656" s="882"/>
      <c r="CD656" s="890"/>
    </row>
    <row r="657" spans="1:247" ht="14.25" customHeight="1">
      <c r="A657" s="976" t="s">
        <v>3939</v>
      </c>
      <c r="B657" s="976" t="s">
        <v>1255</v>
      </c>
      <c r="C657" s="977">
        <v>1822000815</v>
      </c>
      <c r="D657" s="976" t="s">
        <v>641</v>
      </c>
      <c r="E657" s="976">
        <v>4144</v>
      </c>
      <c r="F657" s="976">
        <v>4144</v>
      </c>
      <c r="G657" s="976">
        <v>3108</v>
      </c>
      <c r="H657" s="976">
        <v>3430.652</v>
      </c>
      <c r="I657" s="976"/>
      <c r="J657" s="1032">
        <v>-323</v>
      </c>
      <c r="K657" s="976">
        <v>3107.652</v>
      </c>
      <c r="L657" s="978">
        <v>-0.34799999999995634</v>
      </c>
      <c r="M657" s="976" t="s">
        <v>3583</v>
      </c>
      <c r="N657" s="976">
        <v>4143.5360000000001</v>
      </c>
      <c r="O657" s="735">
        <f t="shared" si="32"/>
        <v>-0.46399999999994179</v>
      </c>
      <c r="P657" s="738">
        <f t="shared" si="30"/>
        <v>4143536</v>
      </c>
      <c r="Q657" s="751">
        <f t="shared" si="31"/>
        <v>4144000</v>
      </c>
      <c r="U657" s="747"/>
      <c r="V657" s="988"/>
      <c r="W657" s="1024"/>
    </row>
    <row r="658" spans="1:247" s="883" customFormat="1" ht="14.25" customHeight="1">
      <c r="A658" s="989" t="s">
        <v>3940</v>
      </c>
      <c r="B658" s="976"/>
      <c r="C658" s="977">
        <v>1822000816</v>
      </c>
      <c r="D658" s="976" t="s">
        <v>1537</v>
      </c>
      <c r="E658" s="976">
        <v>1056</v>
      </c>
      <c r="F658" s="976">
        <v>1056</v>
      </c>
      <c r="G658" s="976">
        <v>792</v>
      </c>
      <c r="H658" s="976">
        <v>779.85799999999995</v>
      </c>
      <c r="I658" s="976"/>
      <c r="J658" s="1041">
        <v>12</v>
      </c>
      <c r="K658" s="976">
        <v>791.85799999999995</v>
      </c>
      <c r="L658" s="978">
        <v>-0.14200000000005275</v>
      </c>
      <c r="M658" s="976" t="s">
        <v>3583</v>
      </c>
      <c r="N658" s="976">
        <v>1055.8106666666665</v>
      </c>
      <c r="O658" s="735">
        <f t="shared" si="32"/>
        <v>-0.18933333333347946</v>
      </c>
      <c r="P658" s="738">
        <f t="shared" si="30"/>
        <v>1055810.6666666665</v>
      </c>
      <c r="Q658" s="751">
        <f t="shared" si="31"/>
        <v>1056000</v>
      </c>
      <c r="R658" s="882"/>
      <c r="S658" s="882"/>
      <c r="T658" s="882"/>
      <c r="U658" s="882"/>
      <c r="V658" s="988"/>
      <c r="W658" s="1024"/>
      <c r="X658" s="882"/>
      <c r="Y658" s="882"/>
      <c r="Z658" s="882"/>
      <c r="AA658" s="882"/>
      <c r="AB658" s="882"/>
      <c r="AC658" s="882"/>
      <c r="AD658" s="882"/>
      <c r="AE658" s="882"/>
      <c r="AF658" s="882"/>
      <c r="AG658" s="882"/>
      <c r="AH658" s="882"/>
      <c r="AI658" s="882"/>
      <c r="AJ658" s="882"/>
      <c r="AK658" s="882"/>
      <c r="AL658" s="882"/>
      <c r="AM658" s="882"/>
      <c r="AN658" s="882"/>
      <c r="AO658" s="882"/>
      <c r="AP658" s="882"/>
      <c r="AQ658" s="882"/>
      <c r="AR658" s="882"/>
      <c r="AS658" s="882"/>
      <c r="AT658" s="882"/>
      <c r="AU658" s="882"/>
      <c r="AV658" s="882"/>
      <c r="AW658" s="882"/>
      <c r="AX658" s="882"/>
      <c r="AY658" s="882"/>
      <c r="AZ658" s="882"/>
      <c r="BA658" s="882"/>
      <c r="BB658" s="882"/>
      <c r="BC658" s="882"/>
      <c r="BD658" s="882"/>
      <c r="BE658" s="882"/>
      <c r="BF658" s="882"/>
      <c r="BG658" s="882"/>
      <c r="BH658" s="882"/>
      <c r="BI658" s="882"/>
      <c r="BJ658" s="882"/>
      <c r="BK658" s="882"/>
      <c r="BL658" s="882"/>
      <c r="BM658" s="882"/>
      <c r="BN658" s="882"/>
      <c r="BO658" s="882"/>
      <c r="BP658" s="882"/>
      <c r="BQ658" s="882"/>
      <c r="BR658" s="882"/>
      <c r="BS658" s="882"/>
      <c r="BT658" s="882"/>
      <c r="BU658" s="882"/>
      <c r="BV658" s="882"/>
      <c r="BW658" s="882"/>
      <c r="BX658" s="882"/>
      <c r="BY658" s="882"/>
      <c r="BZ658" s="882"/>
      <c r="CA658" s="882"/>
      <c r="CB658" s="882"/>
      <c r="CC658" s="882"/>
    </row>
    <row r="659" spans="1:247" s="746" customFormat="1" ht="14.25" customHeight="1">
      <c r="A659" s="1021" t="s">
        <v>3909</v>
      </c>
      <c r="B659" s="976" t="s">
        <v>1255</v>
      </c>
      <c r="C659" s="977">
        <v>1823000780</v>
      </c>
      <c r="D659" s="976" t="s">
        <v>3360</v>
      </c>
      <c r="E659" s="976">
        <v>90</v>
      </c>
      <c r="F659" s="976">
        <v>140</v>
      </c>
      <c r="G659" s="976">
        <v>67.5</v>
      </c>
      <c r="H659" s="976">
        <v>58.639980000000001</v>
      </c>
      <c r="I659" s="976"/>
      <c r="J659" s="1041">
        <v>16</v>
      </c>
      <c r="K659" s="976">
        <v>74.639980000000008</v>
      </c>
      <c r="L659" s="978">
        <v>7.1399800000000084</v>
      </c>
      <c r="M659" s="976" t="s">
        <v>3583</v>
      </c>
      <c r="N659" s="976">
        <v>99.51997333333334</v>
      </c>
      <c r="O659" s="735">
        <f t="shared" si="32"/>
        <v>9.5199733333333398</v>
      </c>
      <c r="P659" s="738">
        <f t="shared" si="30"/>
        <v>99519.973333333342</v>
      </c>
      <c r="Q659" s="751">
        <f t="shared" si="31"/>
        <v>100000</v>
      </c>
      <c r="R659" s="747"/>
      <c r="S659" s="747"/>
      <c r="T659" s="747"/>
      <c r="U659" s="747"/>
      <c r="V659" s="988"/>
      <c r="W659" s="1024"/>
      <c r="X659" s="747"/>
      <c r="Y659" s="747"/>
      <c r="Z659" s="747"/>
      <c r="AA659" s="747"/>
      <c r="AB659" s="747"/>
      <c r="AC659" s="747"/>
      <c r="AD659" s="747"/>
      <c r="AE659" s="747"/>
      <c r="AF659" s="747"/>
      <c r="AG659" s="747"/>
      <c r="AH659" s="747"/>
      <c r="AI659" s="747"/>
      <c r="AJ659" s="747"/>
      <c r="AK659" s="747"/>
      <c r="AL659" s="747"/>
      <c r="AM659" s="747"/>
      <c r="AN659" s="747"/>
      <c r="AO659" s="747"/>
      <c r="AP659" s="747"/>
      <c r="AQ659" s="747"/>
      <c r="AR659" s="747"/>
      <c r="AS659" s="747"/>
      <c r="AT659" s="747"/>
      <c r="AU659" s="747"/>
      <c r="AV659" s="747"/>
      <c r="AW659" s="747"/>
      <c r="AX659" s="747"/>
      <c r="AY659" s="747"/>
      <c r="AZ659" s="747"/>
      <c r="BA659" s="747"/>
      <c r="BB659" s="747"/>
      <c r="BC659" s="747"/>
      <c r="BD659" s="747"/>
      <c r="BE659" s="747"/>
      <c r="BF659" s="747"/>
      <c r="BG659" s="747"/>
      <c r="BH659" s="747"/>
      <c r="BI659" s="747"/>
      <c r="BJ659" s="747"/>
      <c r="BK659" s="747"/>
      <c r="BL659" s="747"/>
      <c r="BM659" s="747"/>
      <c r="BN659" s="747"/>
      <c r="BO659" s="747"/>
      <c r="BP659" s="747"/>
      <c r="BQ659" s="747"/>
      <c r="BR659" s="747"/>
      <c r="BS659" s="747"/>
      <c r="BT659" s="747"/>
      <c r="BU659" s="747"/>
      <c r="BV659" s="747"/>
      <c r="BW659" s="747"/>
      <c r="BX659" s="747"/>
      <c r="BY659" s="747"/>
      <c r="BZ659" s="747"/>
      <c r="CA659" s="747"/>
      <c r="CB659" s="747"/>
      <c r="CC659" s="747"/>
      <c r="CD659" s="867"/>
    </row>
    <row r="660" spans="1:247" s="746" customFormat="1" ht="14.25" customHeight="1">
      <c r="A660" s="1021" t="s">
        <v>3868</v>
      </c>
      <c r="B660" s="976" t="s">
        <v>1255</v>
      </c>
      <c r="C660" s="977">
        <v>1823000430</v>
      </c>
      <c r="D660" s="976" t="s">
        <v>3361</v>
      </c>
      <c r="E660" s="976">
        <v>120</v>
      </c>
      <c r="F660" s="976">
        <v>120</v>
      </c>
      <c r="G660" s="976">
        <v>90</v>
      </c>
      <c r="H660" s="976">
        <v>166.51454999999999</v>
      </c>
      <c r="I660" s="976"/>
      <c r="J660" s="1032">
        <v>-9</v>
      </c>
      <c r="K660" s="976">
        <v>157.51454999999999</v>
      </c>
      <c r="L660" s="978">
        <v>67.514549999999986</v>
      </c>
      <c r="M660" s="976" t="s">
        <v>3583</v>
      </c>
      <c r="N660" s="976">
        <v>210.01939999999999</v>
      </c>
      <c r="O660" s="735">
        <f t="shared" si="32"/>
        <v>90.01939999999999</v>
      </c>
      <c r="P660" s="738">
        <f t="shared" si="30"/>
        <v>210019.4</v>
      </c>
      <c r="Q660" s="751">
        <f t="shared" si="31"/>
        <v>210000</v>
      </c>
      <c r="R660" s="747"/>
      <c r="S660" s="747"/>
      <c r="T660" s="747"/>
      <c r="U660" s="747"/>
      <c r="V660" s="988"/>
      <c r="W660" s="1024"/>
      <c r="X660" s="747"/>
      <c r="Y660" s="747"/>
      <c r="Z660" s="747"/>
      <c r="AA660" s="747"/>
      <c r="AB660" s="747"/>
      <c r="AC660" s="747"/>
      <c r="AD660" s="747"/>
      <c r="AE660" s="747"/>
      <c r="AF660" s="747"/>
      <c r="AG660" s="747"/>
      <c r="AH660" s="747"/>
      <c r="AI660" s="747"/>
      <c r="AJ660" s="747"/>
      <c r="AK660" s="747"/>
      <c r="AL660" s="747"/>
      <c r="AM660" s="747"/>
      <c r="AN660" s="747"/>
      <c r="AO660" s="747"/>
      <c r="AP660" s="747"/>
      <c r="AQ660" s="747"/>
      <c r="AR660" s="747"/>
      <c r="AS660" s="747"/>
      <c r="AT660" s="747"/>
      <c r="AU660" s="747"/>
      <c r="AV660" s="747"/>
      <c r="AW660" s="747"/>
      <c r="AX660" s="747"/>
      <c r="AY660" s="747"/>
      <c r="AZ660" s="747"/>
      <c r="BA660" s="747"/>
      <c r="BB660" s="747"/>
      <c r="BC660" s="747"/>
      <c r="BD660" s="747"/>
      <c r="BE660" s="747"/>
      <c r="BF660" s="747"/>
      <c r="BG660" s="747"/>
      <c r="BH660" s="747"/>
      <c r="BI660" s="747"/>
      <c r="BJ660" s="747"/>
      <c r="BK660" s="747"/>
      <c r="BL660" s="747"/>
      <c r="BM660" s="747"/>
      <c r="BN660" s="747"/>
      <c r="BO660" s="747"/>
      <c r="BP660" s="747"/>
      <c r="BQ660" s="747"/>
      <c r="BR660" s="747"/>
      <c r="BS660" s="747"/>
      <c r="BT660" s="747"/>
      <c r="BU660" s="747"/>
      <c r="BV660" s="747"/>
      <c r="BW660" s="747"/>
      <c r="BX660" s="747"/>
      <c r="BY660" s="747"/>
      <c r="BZ660" s="747"/>
      <c r="CA660" s="747"/>
      <c r="CB660" s="747"/>
      <c r="CC660" s="747"/>
      <c r="CD660" s="867"/>
    </row>
    <row r="661" spans="1:247" s="746" customFormat="1" ht="14.25" customHeight="1">
      <c r="A661" s="1021" t="s">
        <v>3905</v>
      </c>
      <c r="B661" s="976" t="s">
        <v>1255</v>
      </c>
      <c r="C661" s="977">
        <v>1823000540</v>
      </c>
      <c r="D661" s="976" t="s">
        <v>3362</v>
      </c>
      <c r="E661" s="976">
        <v>42</v>
      </c>
      <c r="F661" s="976">
        <v>42</v>
      </c>
      <c r="G661" s="976">
        <v>31.5</v>
      </c>
      <c r="H661" s="976">
        <v>24.918150000000001</v>
      </c>
      <c r="I661" s="976"/>
      <c r="J661" s="1041">
        <v>7</v>
      </c>
      <c r="K661" s="976">
        <v>31.918150000000001</v>
      </c>
      <c r="L661" s="978">
        <v>0.41815000000000069</v>
      </c>
      <c r="M661" s="976" t="s">
        <v>3583</v>
      </c>
      <c r="N661" s="976">
        <v>42.557533333333339</v>
      </c>
      <c r="O661" s="735">
        <f t="shared" si="32"/>
        <v>0.55753333333333899</v>
      </c>
      <c r="P661" s="738">
        <f t="shared" si="30"/>
        <v>42557.53333333334</v>
      </c>
      <c r="Q661" s="751">
        <f t="shared" si="31"/>
        <v>43000</v>
      </c>
      <c r="R661" s="747"/>
      <c r="S661" s="747"/>
      <c r="T661" s="747"/>
      <c r="U661" s="747"/>
      <c r="V661" s="988"/>
      <c r="W661" s="1024"/>
      <c r="X661" s="747"/>
      <c r="Y661" s="747"/>
      <c r="Z661" s="747"/>
      <c r="AA661" s="747"/>
      <c r="AB661" s="747"/>
      <c r="AC661" s="747"/>
      <c r="AD661" s="747"/>
      <c r="AE661" s="747"/>
      <c r="AF661" s="747"/>
      <c r="AG661" s="747"/>
      <c r="AH661" s="747"/>
      <c r="AI661" s="747"/>
      <c r="AJ661" s="747"/>
      <c r="AK661" s="747"/>
      <c r="AL661" s="747"/>
      <c r="AM661" s="747"/>
      <c r="AN661" s="747"/>
      <c r="AO661" s="747"/>
      <c r="AP661" s="747"/>
      <c r="AQ661" s="747"/>
      <c r="AR661" s="747"/>
      <c r="AS661" s="747"/>
      <c r="AT661" s="747"/>
      <c r="AU661" s="747"/>
      <c r="AV661" s="747"/>
      <c r="AW661" s="747"/>
      <c r="AX661" s="747"/>
      <c r="AY661" s="747"/>
      <c r="AZ661" s="747"/>
      <c r="BA661" s="747"/>
      <c r="BB661" s="747"/>
      <c r="BC661" s="747"/>
      <c r="BD661" s="747"/>
      <c r="BE661" s="747"/>
      <c r="BF661" s="747"/>
      <c r="BG661" s="747"/>
      <c r="BH661" s="747"/>
      <c r="BI661" s="747"/>
      <c r="BJ661" s="747"/>
      <c r="BK661" s="747"/>
      <c r="BL661" s="747"/>
      <c r="BM661" s="747"/>
      <c r="BN661" s="747"/>
      <c r="BO661" s="747"/>
      <c r="BP661" s="747"/>
      <c r="BQ661" s="747"/>
      <c r="BR661" s="747"/>
      <c r="BS661" s="747"/>
      <c r="BT661" s="747"/>
      <c r="BU661" s="747"/>
      <c r="BV661" s="747"/>
      <c r="BW661" s="747"/>
      <c r="BX661" s="747"/>
      <c r="BY661" s="747"/>
      <c r="BZ661" s="747"/>
      <c r="CA661" s="747"/>
      <c r="CB661" s="747"/>
      <c r="CC661" s="747"/>
      <c r="CD661" s="867"/>
    </row>
    <row r="662" spans="1:247" ht="14.25" customHeight="1">
      <c r="A662" s="1021" t="s">
        <v>3913</v>
      </c>
      <c r="B662" s="976" t="s">
        <v>1255</v>
      </c>
      <c r="C662" s="977">
        <v>1823000750</v>
      </c>
      <c r="D662" s="976" t="s">
        <v>288</v>
      </c>
      <c r="E662" s="976">
        <v>65</v>
      </c>
      <c r="F662" s="976">
        <v>65</v>
      </c>
      <c r="G662" s="976">
        <v>48.75</v>
      </c>
      <c r="H662" s="976">
        <v>19.038</v>
      </c>
      <c r="I662" s="976"/>
      <c r="J662" s="1041">
        <v>25</v>
      </c>
      <c r="K662" s="976">
        <v>44.037999999999997</v>
      </c>
      <c r="L662" s="978">
        <v>-4.7120000000000033</v>
      </c>
      <c r="M662" s="976" t="s">
        <v>3583</v>
      </c>
      <c r="N662" s="976">
        <v>58.717333333333322</v>
      </c>
      <c r="O662" s="735">
        <f t="shared" si="32"/>
        <v>-6.2826666666666782</v>
      </c>
      <c r="P662" s="738">
        <f t="shared" si="30"/>
        <v>58717.333333333321</v>
      </c>
      <c r="Q662" s="751">
        <f t="shared" si="31"/>
        <v>59000</v>
      </c>
      <c r="U662" s="747"/>
      <c r="V662" s="988"/>
      <c r="W662" s="1024"/>
      <c r="AY662" s="845"/>
      <c r="AZ662" s="845"/>
      <c r="BA662" s="845"/>
      <c r="BB662" s="845"/>
      <c r="BC662" s="845"/>
      <c r="BD662" s="845"/>
      <c r="BE662" s="845"/>
      <c r="BF662" s="845"/>
      <c r="BG662" s="845"/>
      <c r="BH662" s="845"/>
      <c r="BI662" s="845"/>
      <c r="BJ662" s="845"/>
      <c r="BK662" s="845"/>
      <c r="BL662" s="845"/>
      <c r="BM662" s="845"/>
      <c r="BN662" s="845"/>
      <c r="BO662" s="845"/>
      <c r="BP662" s="845"/>
      <c r="BQ662" s="845"/>
      <c r="BR662" s="845"/>
      <c r="BS662" s="845"/>
      <c r="BT662" s="845"/>
      <c r="BU662" s="845"/>
      <c r="BV662" s="845"/>
      <c r="BW662" s="845"/>
      <c r="BX662" s="845"/>
      <c r="BY662" s="845"/>
      <c r="BZ662" s="845"/>
      <c r="CA662" s="845"/>
      <c r="CB662" s="845"/>
      <c r="CC662" s="845"/>
    </row>
    <row r="663" spans="1:247" ht="14.25" customHeight="1">
      <c r="A663" s="976" t="s">
        <v>3931</v>
      </c>
      <c r="B663" s="976" t="s">
        <v>1255</v>
      </c>
      <c r="C663" s="977">
        <v>1824000810</v>
      </c>
      <c r="D663" s="976" t="s">
        <v>647</v>
      </c>
      <c r="E663" s="976">
        <v>2385</v>
      </c>
      <c r="F663" s="976">
        <v>2385</v>
      </c>
      <c r="G663" s="976">
        <v>1788.75</v>
      </c>
      <c r="H663" s="976">
        <v>1788.75</v>
      </c>
      <c r="I663" s="976"/>
      <c r="J663" s="976">
        <v>0</v>
      </c>
      <c r="K663" s="976">
        <v>1788.75</v>
      </c>
      <c r="L663" s="978">
        <v>0</v>
      </c>
      <c r="M663" s="976" t="s">
        <v>3583</v>
      </c>
      <c r="N663" s="976">
        <v>2385</v>
      </c>
      <c r="O663" s="735">
        <f t="shared" si="32"/>
        <v>0</v>
      </c>
      <c r="P663" s="738">
        <f t="shared" si="30"/>
        <v>2385000</v>
      </c>
      <c r="Q663" s="751">
        <f t="shared" si="31"/>
        <v>2385000</v>
      </c>
      <c r="U663" s="747"/>
      <c r="V663" s="988"/>
      <c r="W663" s="1024"/>
    </row>
    <row r="664" spans="1:247" s="746" customFormat="1" ht="14.25" customHeight="1">
      <c r="A664" s="976" t="s">
        <v>3935</v>
      </c>
      <c r="B664" s="976" t="s">
        <v>1255</v>
      </c>
      <c r="C664" s="977">
        <v>1824000812</v>
      </c>
      <c r="D664" s="976" t="s">
        <v>3363</v>
      </c>
      <c r="E664" s="976">
        <v>350</v>
      </c>
      <c r="F664" s="976">
        <v>350</v>
      </c>
      <c r="G664" s="976">
        <v>262.5</v>
      </c>
      <c r="H664" s="976">
        <v>350</v>
      </c>
      <c r="I664" s="976"/>
      <c r="J664" s="1032">
        <v>-88</v>
      </c>
      <c r="K664" s="976">
        <v>262</v>
      </c>
      <c r="L664" s="978">
        <v>-0.5</v>
      </c>
      <c r="M664" s="976" t="s">
        <v>3583</v>
      </c>
      <c r="N664" s="976">
        <v>349.33333333333331</v>
      </c>
      <c r="O664" s="735">
        <f t="shared" si="32"/>
        <v>-0.66666666666668561</v>
      </c>
      <c r="P664" s="738">
        <f t="shared" si="30"/>
        <v>349333.33333333331</v>
      </c>
      <c r="Q664" s="751">
        <f t="shared" si="31"/>
        <v>349000</v>
      </c>
      <c r="R664" s="747"/>
      <c r="S664" s="747"/>
      <c r="T664" s="747"/>
      <c r="U664" s="747"/>
      <c r="V664" s="988"/>
      <c r="W664" s="1024"/>
      <c r="X664" s="747"/>
      <c r="Y664" s="747"/>
      <c r="Z664" s="747"/>
      <c r="AA664" s="747"/>
      <c r="AB664" s="747"/>
      <c r="AC664" s="747"/>
      <c r="AD664" s="747"/>
      <c r="AE664" s="747"/>
      <c r="AF664" s="747"/>
      <c r="AG664" s="747"/>
      <c r="AH664" s="747"/>
      <c r="AI664" s="747"/>
      <c r="AJ664" s="747"/>
      <c r="AK664" s="747"/>
      <c r="AL664" s="747"/>
      <c r="AM664" s="747"/>
      <c r="AN664" s="747"/>
      <c r="AO664" s="747"/>
      <c r="AP664" s="747"/>
      <c r="AQ664" s="747"/>
      <c r="AR664" s="747"/>
      <c r="AS664" s="747"/>
      <c r="AT664" s="747"/>
      <c r="AU664" s="747"/>
      <c r="AV664" s="747"/>
      <c r="AW664" s="747"/>
      <c r="AX664" s="747"/>
      <c r="AY664" s="867"/>
    </row>
    <row r="665" spans="1:247" s="746" customFormat="1" ht="14.25" customHeight="1">
      <c r="A665" s="976" t="s">
        <v>3908</v>
      </c>
      <c r="B665" s="976" t="s">
        <v>1255</v>
      </c>
      <c r="C665" s="977">
        <v>1825000530</v>
      </c>
      <c r="D665" s="976" t="s">
        <v>277</v>
      </c>
      <c r="E665" s="976">
        <v>55</v>
      </c>
      <c r="F665" s="976">
        <v>55</v>
      </c>
      <c r="G665" s="976">
        <v>41.25</v>
      </c>
      <c r="H665" s="976">
        <v>42.080300000000001</v>
      </c>
      <c r="I665" s="976"/>
      <c r="J665" s="976">
        <v>0</v>
      </c>
      <c r="K665" s="976">
        <v>42.080300000000001</v>
      </c>
      <c r="L665" s="978">
        <v>0.83030000000000115</v>
      </c>
      <c r="M665" s="976" t="s">
        <v>3583</v>
      </c>
      <c r="N665" s="976">
        <v>56.107066666666668</v>
      </c>
      <c r="O665" s="735">
        <f t="shared" si="32"/>
        <v>1.1070666666666682</v>
      </c>
      <c r="P665" s="738">
        <f t="shared" si="30"/>
        <v>56107.066666666666</v>
      </c>
      <c r="Q665" s="751">
        <f t="shared" si="31"/>
        <v>56000</v>
      </c>
      <c r="R665" s="747"/>
      <c r="S665" s="747"/>
      <c r="T665" s="747"/>
      <c r="U665" s="747"/>
      <c r="V665" s="988"/>
      <c r="W665" s="1024"/>
      <c r="X665" s="747"/>
      <c r="Y665" s="747"/>
      <c r="Z665" s="747"/>
      <c r="AA665" s="747"/>
      <c r="AB665" s="747"/>
      <c r="AC665" s="747"/>
      <c r="AD665" s="747"/>
      <c r="AE665" s="747"/>
      <c r="AF665" s="747"/>
      <c r="AG665" s="747"/>
      <c r="AH665" s="747"/>
      <c r="AI665" s="747"/>
      <c r="AJ665" s="747"/>
      <c r="AK665" s="747"/>
      <c r="AL665" s="747"/>
      <c r="AM665" s="747"/>
      <c r="AN665" s="747"/>
      <c r="AO665" s="747"/>
      <c r="AP665" s="747"/>
      <c r="AQ665" s="747"/>
      <c r="AR665" s="747"/>
      <c r="AS665" s="747"/>
      <c r="AT665" s="747"/>
      <c r="AU665" s="747"/>
      <c r="AV665" s="747"/>
      <c r="AW665" s="747"/>
      <c r="AX665" s="747"/>
      <c r="AY665" s="867"/>
    </row>
    <row r="666" spans="1:247" s="746" customFormat="1" ht="14.25" customHeight="1">
      <c r="A666" s="976" t="s">
        <v>3905</v>
      </c>
      <c r="B666" s="976" t="s">
        <v>1255</v>
      </c>
      <c r="C666" s="977">
        <v>1825000540</v>
      </c>
      <c r="D666" s="976" t="s">
        <v>279</v>
      </c>
      <c r="E666" s="976">
        <v>8</v>
      </c>
      <c r="F666" s="976">
        <v>8</v>
      </c>
      <c r="G666" s="976">
        <v>6</v>
      </c>
      <c r="H666" s="976">
        <v>12.86012</v>
      </c>
      <c r="I666" s="976"/>
      <c r="J666" s="976">
        <v>0</v>
      </c>
      <c r="K666" s="976">
        <v>12.86012</v>
      </c>
      <c r="L666" s="978">
        <v>6.8601200000000002</v>
      </c>
      <c r="M666" s="976" t="s">
        <v>3583</v>
      </c>
      <c r="N666" s="976">
        <v>17.146826666666666</v>
      </c>
      <c r="O666" s="735">
        <f t="shared" si="32"/>
        <v>9.1468266666666658</v>
      </c>
      <c r="P666" s="738">
        <f t="shared" si="30"/>
        <v>17146.826666666664</v>
      </c>
      <c r="Q666" s="751">
        <f t="shared" si="31"/>
        <v>17000</v>
      </c>
      <c r="R666" s="747"/>
      <c r="S666" s="747"/>
      <c r="T666" s="747"/>
      <c r="U666" s="747"/>
      <c r="V666" s="988"/>
      <c r="W666" s="1024"/>
      <c r="X666" s="747"/>
      <c r="Y666" s="747"/>
      <c r="Z666" s="747"/>
      <c r="AA666" s="747"/>
      <c r="AB666" s="747"/>
      <c r="AC666" s="747"/>
      <c r="AD666" s="747"/>
      <c r="AE666" s="747"/>
      <c r="AF666" s="747"/>
      <c r="AG666" s="747"/>
      <c r="AH666" s="747"/>
      <c r="AI666" s="747"/>
      <c r="AJ666" s="747"/>
      <c r="AK666" s="747"/>
      <c r="AL666" s="747"/>
      <c r="AM666" s="747"/>
      <c r="AN666" s="747"/>
      <c r="AO666" s="747"/>
      <c r="AP666" s="747"/>
      <c r="AQ666" s="747"/>
      <c r="AR666" s="747"/>
      <c r="AS666" s="747"/>
      <c r="AT666" s="747"/>
      <c r="AU666" s="747"/>
      <c r="AV666" s="747"/>
      <c r="AW666" s="747"/>
      <c r="AX666" s="747"/>
      <c r="AY666" s="747"/>
      <c r="AZ666" s="747"/>
      <c r="BA666" s="747"/>
      <c r="BB666" s="747"/>
      <c r="BC666" s="747"/>
      <c r="BD666" s="747"/>
      <c r="BE666" s="747"/>
      <c r="BF666" s="747"/>
      <c r="BG666" s="747"/>
      <c r="BH666" s="747"/>
      <c r="BI666" s="747"/>
      <c r="BJ666" s="747"/>
      <c r="BK666" s="747"/>
      <c r="BL666" s="747"/>
      <c r="BM666" s="747"/>
      <c r="BN666" s="747"/>
      <c r="BO666" s="747"/>
      <c r="BP666" s="747"/>
      <c r="BQ666" s="747"/>
      <c r="BR666" s="747"/>
      <c r="BS666" s="747"/>
      <c r="BT666" s="747"/>
      <c r="BU666" s="747"/>
      <c r="BV666" s="747"/>
      <c r="BW666" s="747"/>
      <c r="BX666" s="747"/>
      <c r="BY666" s="747"/>
      <c r="BZ666" s="747"/>
      <c r="CA666" s="747"/>
      <c r="CB666" s="747"/>
      <c r="CC666" s="747"/>
      <c r="CD666" s="867"/>
    </row>
    <row r="667" spans="1:247" s="746" customFormat="1" ht="14.25" customHeight="1">
      <c r="A667" s="976" t="s">
        <v>3909</v>
      </c>
      <c r="B667" s="976" t="s">
        <v>1255</v>
      </c>
      <c r="C667" s="977">
        <v>1825000780</v>
      </c>
      <c r="D667" s="976" t="s">
        <v>280</v>
      </c>
      <c r="E667" s="976">
        <v>150</v>
      </c>
      <c r="F667" s="976">
        <v>150</v>
      </c>
      <c r="G667" s="976">
        <v>112.5</v>
      </c>
      <c r="H667" s="976">
        <v>136.94332999999997</v>
      </c>
      <c r="I667" s="976"/>
      <c r="J667" s="1032">
        <v>-25</v>
      </c>
      <c r="K667" s="976">
        <v>111.94332999999997</v>
      </c>
      <c r="L667" s="978">
        <v>-0.55667000000002531</v>
      </c>
      <c r="M667" s="976" t="s">
        <v>3583</v>
      </c>
      <c r="N667" s="976">
        <v>149.25777333333332</v>
      </c>
      <c r="O667" s="735">
        <f t="shared" si="32"/>
        <v>-0.74222666666668147</v>
      </c>
      <c r="P667" s="738">
        <f t="shared" si="30"/>
        <v>149257.77333333332</v>
      </c>
      <c r="Q667" s="751">
        <f t="shared" si="31"/>
        <v>149000</v>
      </c>
      <c r="R667" s="747"/>
      <c r="S667" s="747"/>
      <c r="T667" s="747"/>
      <c r="U667" s="747"/>
      <c r="V667" s="988"/>
      <c r="W667" s="1024"/>
      <c r="X667" s="747"/>
      <c r="Y667" s="747"/>
      <c r="Z667" s="747"/>
      <c r="AA667" s="747"/>
      <c r="AB667" s="747"/>
      <c r="AC667" s="747"/>
      <c r="AD667" s="747"/>
      <c r="AE667" s="747"/>
      <c r="AF667" s="747"/>
      <c r="AG667" s="747"/>
      <c r="AH667" s="747"/>
      <c r="AI667" s="747"/>
      <c r="AJ667" s="747"/>
      <c r="AK667" s="747"/>
      <c r="AL667" s="747"/>
      <c r="AM667" s="747"/>
      <c r="AN667" s="747"/>
      <c r="AO667" s="747"/>
      <c r="AP667" s="747"/>
      <c r="AQ667" s="747"/>
      <c r="AR667" s="747"/>
      <c r="AS667" s="747"/>
      <c r="AT667" s="747"/>
      <c r="AU667" s="747"/>
      <c r="AV667" s="747"/>
      <c r="AW667" s="747"/>
      <c r="AX667" s="747"/>
      <c r="AY667" s="867"/>
    </row>
    <row r="668" spans="1:247" s="746" customFormat="1" ht="14.25" customHeight="1">
      <c r="A668" s="976" t="s">
        <v>3931</v>
      </c>
      <c r="B668" s="976" t="s">
        <v>1255</v>
      </c>
      <c r="C668" s="977">
        <v>1825000810</v>
      </c>
      <c r="D668" s="976" t="s">
        <v>3364</v>
      </c>
      <c r="E668" s="976">
        <v>0</v>
      </c>
      <c r="F668" s="976">
        <v>0</v>
      </c>
      <c r="G668" s="976">
        <v>0</v>
      </c>
      <c r="H668" s="976">
        <v>0</v>
      </c>
      <c r="I668" s="976"/>
      <c r="J668" s="976"/>
      <c r="K668" s="976">
        <v>0</v>
      </c>
      <c r="L668" s="978">
        <v>0</v>
      </c>
      <c r="M668" s="976"/>
      <c r="N668" s="976">
        <v>0</v>
      </c>
      <c r="O668" s="735">
        <f t="shared" si="32"/>
        <v>0</v>
      </c>
      <c r="P668" s="738">
        <f t="shared" si="30"/>
        <v>0</v>
      </c>
      <c r="Q668" s="751">
        <f t="shared" si="31"/>
        <v>0</v>
      </c>
      <c r="R668" s="747"/>
      <c r="S668" s="747"/>
      <c r="T668" s="747"/>
      <c r="U668" s="747"/>
      <c r="V668" s="988"/>
      <c r="W668" s="1024"/>
      <c r="X668" s="747"/>
      <c r="Y668" s="747"/>
      <c r="Z668" s="747"/>
      <c r="AA668" s="747"/>
      <c r="AB668" s="747"/>
      <c r="AC668" s="747"/>
      <c r="AD668" s="747"/>
      <c r="AE668" s="747"/>
      <c r="AF668" s="747"/>
      <c r="AG668" s="747"/>
      <c r="AH668" s="747"/>
      <c r="AI668" s="747"/>
      <c r="AJ668" s="747"/>
      <c r="AK668" s="747"/>
      <c r="AL668" s="747"/>
      <c r="AM668" s="747"/>
      <c r="AN668" s="747"/>
      <c r="AO668" s="747"/>
      <c r="AP668" s="747"/>
      <c r="AQ668" s="747"/>
      <c r="AR668" s="747"/>
      <c r="AS668" s="747"/>
      <c r="AT668" s="747"/>
      <c r="AU668" s="747"/>
      <c r="AV668" s="747"/>
      <c r="AW668" s="747"/>
      <c r="AX668" s="747"/>
      <c r="AY668" s="867"/>
    </row>
    <row r="669" spans="1:247" s="746" customFormat="1" ht="14.25" customHeight="1">
      <c r="A669" s="976" t="s">
        <v>3867</v>
      </c>
      <c r="B669" s="976"/>
      <c r="C669" s="977">
        <v>1825200410</v>
      </c>
      <c r="D669" s="976" t="s">
        <v>304</v>
      </c>
      <c r="E669" s="976">
        <v>0</v>
      </c>
      <c r="F669" s="976">
        <v>0</v>
      </c>
      <c r="G669" s="976">
        <v>0</v>
      </c>
      <c r="H669" s="976">
        <v>40.622</v>
      </c>
      <c r="I669" s="976"/>
      <c r="J669" s="1041">
        <v>21</v>
      </c>
      <c r="K669" s="976">
        <v>61.622</v>
      </c>
      <c r="L669" s="978">
        <v>61.622</v>
      </c>
      <c r="M669" s="976" t="s">
        <v>3652</v>
      </c>
      <c r="N669" s="976">
        <v>82.162666666666667</v>
      </c>
      <c r="O669" s="735">
        <f t="shared" si="32"/>
        <v>82.162666666666667</v>
      </c>
      <c r="P669" s="738">
        <f t="shared" si="30"/>
        <v>82162.666666666672</v>
      </c>
      <c r="Q669" s="751">
        <f t="shared" si="31"/>
        <v>82000</v>
      </c>
      <c r="R669" s="747"/>
      <c r="S669" s="747"/>
      <c r="T669" s="747"/>
      <c r="U669" s="747"/>
      <c r="V669" s="988"/>
      <c r="W669" s="1024"/>
      <c r="X669" s="747"/>
      <c r="Y669" s="747"/>
      <c r="Z669" s="747"/>
      <c r="AA669" s="747"/>
      <c r="AB669" s="747"/>
      <c r="AC669" s="747"/>
      <c r="AD669" s="747"/>
      <c r="AE669" s="747"/>
      <c r="AF669" s="747"/>
      <c r="AG669" s="747"/>
      <c r="AH669" s="747"/>
      <c r="AI669" s="747"/>
      <c r="AJ669" s="747"/>
      <c r="AK669" s="747"/>
      <c r="AL669" s="747"/>
      <c r="AM669" s="747"/>
      <c r="AN669" s="747"/>
      <c r="AO669" s="747"/>
      <c r="AP669" s="747"/>
      <c r="AQ669" s="747"/>
      <c r="AR669" s="747"/>
      <c r="AS669" s="747"/>
      <c r="AT669" s="747"/>
      <c r="AU669" s="747"/>
      <c r="AV669" s="747"/>
      <c r="AW669" s="747"/>
      <c r="AX669" s="747"/>
      <c r="AY669" s="747"/>
      <c r="AZ669" s="747"/>
      <c r="BA669" s="747"/>
      <c r="BB669" s="747"/>
      <c r="BC669" s="747"/>
      <c r="BD669" s="747"/>
      <c r="BE669" s="747"/>
      <c r="BF669" s="747"/>
      <c r="BG669" s="747"/>
      <c r="BH669" s="747"/>
      <c r="BI669" s="747"/>
      <c r="BJ669" s="747"/>
      <c r="BK669" s="747"/>
      <c r="BL669" s="747"/>
      <c r="BM669" s="747"/>
      <c r="BN669" s="747"/>
      <c r="BO669" s="747"/>
      <c r="BP669" s="747"/>
      <c r="BQ669" s="747"/>
      <c r="BR669" s="747"/>
      <c r="BS669" s="747"/>
      <c r="BT669" s="747"/>
      <c r="BU669" s="747"/>
      <c r="BV669" s="747"/>
      <c r="BW669" s="747"/>
      <c r="BX669" s="747"/>
      <c r="BY669" s="747"/>
      <c r="BZ669" s="747"/>
      <c r="CA669" s="747"/>
      <c r="CB669" s="747"/>
      <c r="CC669" s="747"/>
      <c r="CD669" s="867"/>
    </row>
    <row r="670" spans="1:247" s="746" customFormat="1" ht="14.25" customHeight="1">
      <c r="A670" s="976" t="s">
        <v>3913</v>
      </c>
      <c r="B670" s="976" t="s">
        <v>1255</v>
      </c>
      <c r="C670" s="977">
        <v>1825200750</v>
      </c>
      <c r="D670" s="976" t="s">
        <v>288</v>
      </c>
      <c r="E670" s="976">
        <v>2610</v>
      </c>
      <c r="F670" s="976">
        <v>2610</v>
      </c>
      <c r="G670" s="976">
        <v>1957.5</v>
      </c>
      <c r="H670" s="976">
        <v>1727.4280000000001</v>
      </c>
      <c r="I670" s="976"/>
      <c r="J670" s="1041">
        <v>501</v>
      </c>
      <c r="K670" s="976">
        <v>2228.4279999999999</v>
      </c>
      <c r="L670" s="978">
        <v>270.92799999999988</v>
      </c>
      <c r="M670" s="976" t="s">
        <v>3583</v>
      </c>
      <c r="N670" s="976">
        <v>2971.237333333333</v>
      </c>
      <c r="O670" s="735">
        <f t="shared" si="32"/>
        <v>361.23733333333303</v>
      </c>
      <c r="P670" s="738">
        <f t="shared" si="30"/>
        <v>2971237.333333333</v>
      </c>
      <c r="Q670" s="751">
        <f t="shared" si="31"/>
        <v>2971000</v>
      </c>
      <c r="R670" s="747"/>
      <c r="S670" s="747"/>
      <c r="T670" s="747"/>
      <c r="U670" s="747"/>
      <c r="V670" s="988"/>
      <c r="W670" s="1024"/>
      <c r="X670" s="747"/>
      <c r="Y670" s="747"/>
      <c r="Z670" s="747"/>
      <c r="AA670" s="747"/>
      <c r="AB670" s="747"/>
      <c r="AC670" s="747"/>
      <c r="AD670" s="747"/>
      <c r="AE670" s="747"/>
      <c r="AF670" s="747"/>
      <c r="AG670" s="747"/>
      <c r="AH670" s="747"/>
      <c r="AI670" s="747"/>
      <c r="AJ670" s="747"/>
      <c r="AK670" s="747"/>
      <c r="AL670" s="747"/>
      <c r="AM670" s="747"/>
      <c r="AN670" s="747"/>
      <c r="AO670" s="747"/>
      <c r="AP670" s="747"/>
      <c r="AQ670" s="747"/>
      <c r="AR670" s="747"/>
      <c r="AS670" s="747"/>
      <c r="AT670" s="747"/>
      <c r="AU670" s="747"/>
      <c r="AV670" s="747"/>
      <c r="AW670" s="747"/>
      <c r="AX670" s="747"/>
      <c r="AY670" s="747"/>
      <c r="AZ670" s="747"/>
      <c r="BA670" s="747"/>
      <c r="BB670" s="747"/>
      <c r="BC670" s="747"/>
      <c r="BD670" s="747"/>
      <c r="BE670" s="747"/>
      <c r="BF670" s="747"/>
      <c r="BG670" s="747"/>
      <c r="BH670" s="747"/>
      <c r="BI670" s="747"/>
      <c r="BJ670" s="747"/>
      <c r="BK670" s="747"/>
      <c r="BL670" s="747"/>
      <c r="BM670" s="747"/>
      <c r="BN670" s="747"/>
      <c r="BO670" s="747"/>
      <c r="BP670" s="747"/>
      <c r="BQ670" s="747"/>
      <c r="BR670" s="747"/>
      <c r="BS670" s="747"/>
      <c r="BT670" s="747"/>
      <c r="BU670" s="747"/>
      <c r="BV670" s="747"/>
      <c r="BW670" s="747"/>
      <c r="BX670" s="747"/>
      <c r="BY670" s="747"/>
      <c r="BZ670" s="747"/>
      <c r="CA670" s="747"/>
      <c r="CB670" s="747"/>
      <c r="CC670" s="747"/>
      <c r="CD670" s="867"/>
    </row>
    <row r="671" spans="1:247" s="746" customFormat="1" ht="14.25" customHeight="1">
      <c r="A671" s="976" t="s">
        <v>3909</v>
      </c>
      <c r="B671" s="976" t="s">
        <v>1255</v>
      </c>
      <c r="C671" s="977">
        <v>1825200780</v>
      </c>
      <c r="D671" s="976" t="s">
        <v>280</v>
      </c>
      <c r="E671" s="976">
        <v>310</v>
      </c>
      <c r="F671" s="976">
        <v>310</v>
      </c>
      <c r="G671" s="976">
        <v>232.5</v>
      </c>
      <c r="H671" s="976">
        <v>254.13825</v>
      </c>
      <c r="I671" s="976"/>
      <c r="J671" s="1032">
        <v>-22</v>
      </c>
      <c r="K671" s="976">
        <v>232.13825</v>
      </c>
      <c r="L671" s="978">
        <v>-0.36175000000000068</v>
      </c>
      <c r="M671" s="976" t="s">
        <v>3583</v>
      </c>
      <c r="N671" s="976">
        <v>309.51766666666668</v>
      </c>
      <c r="O671" s="735">
        <f t="shared" si="32"/>
        <v>-0.4823333333333153</v>
      </c>
      <c r="P671" s="738">
        <f t="shared" si="30"/>
        <v>309517.66666666669</v>
      </c>
      <c r="Q671" s="751">
        <f t="shared" si="31"/>
        <v>310000</v>
      </c>
      <c r="R671" s="747"/>
      <c r="S671" s="747"/>
      <c r="T671" s="747"/>
      <c r="U671" s="747"/>
      <c r="V671" s="988"/>
      <c r="W671" s="1024"/>
      <c r="X671" s="747"/>
      <c r="Y671" s="747"/>
      <c r="Z671" s="747"/>
      <c r="AA671" s="747"/>
      <c r="AB671" s="747"/>
      <c r="AC671" s="747"/>
      <c r="AD671" s="747"/>
      <c r="AE671" s="747"/>
      <c r="AF671" s="747"/>
      <c r="AG671" s="747"/>
      <c r="AH671" s="747"/>
      <c r="AI671" s="747"/>
      <c r="AJ671" s="747"/>
      <c r="AK671" s="747"/>
      <c r="AL671" s="747"/>
      <c r="AM671" s="747"/>
      <c r="AN671" s="747"/>
      <c r="AO671" s="747"/>
      <c r="AP671" s="747"/>
      <c r="AQ671" s="747"/>
      <c r="AR671" s="747"/>
      <c r="AS671" s="747"/>
      <c r="AT671" s="747"/>
      <c r="AU671" s="747"/>
      <c r="AV671" s="747"/>
      <c r="AW671" s="747"/>
      <c r="AX671" s="747"/>
      <c r="AY671" s="747"/>
      <c r="AZ671" s="747"/>
      <c r="BA671" s="747"/>
      <c r="BB671" s="747"/>
      <c r="BC671" s="747"/>
      <c r="BD671" s="747"/>
      <c r="BE671" s="747"/>
      <c r="BF671" s="747"/>
      <c r="BG671" s="747"/>
      <c r="BH671" s="747"/>
      <c r="BI671" s="747"/>
      <c r="BJ671" s="747"/>
      <c r="BK671" s="747"/>
      <c r="BL671" s="747"/>
      <c r="BM671" s="747"/>
      <c r="BN671" s="747"/>
      <c r="BO671" s="747"/>
      <c r="BP671" s="747"/>
      <c r="BQ671" s="747"/>
      <c r="BR671" s="747"/>
      <c r="BS671" s="747"/>
      <c r="BT671" s="747"/>
      <c r="BU671" s="747"/>
      <c r="BV671" s="747"/>
      <c r="BW671" s="747"/>
      <c r="BX671" s="747"/>
      <c r="BY671" s="747"/>
      <c r="BZ671" s="747"/>
      <c r="CA671" s="747"/>
      <c r="CB671" s="747"/>
      <c r="CC671" s="747"/>
      <c r="CD671" s="845"/>
      <c r="CE671" s="845"/>
      <c r="CF671" s="845"/>
      <c r="CG671" s="845"/>
      <c r="CH671" s="845"/>
      <c r="CI671" s="845"/>
      <c r="CJ671" s="845"/>
      <c r="CK671" s="845"/>
      <c r="CL671" s="845"/>
      <c r="CM671" s="845"/>
      <c r="CN671" s="845"/>
      <c r="CO671" s="845"/>
      <c r="CP671" s="845"/>
      <c r="CQ671" s="845"/>
      <c r="CR671" s="845"/>
      <c r="CS671" s="845"/>
      <c r="CT671" s="845"/>
      <c r="CU671" s="845"/>
      <c r="CV671" s="845"/>
      <c r="CW671" s="845"/>
      <c r="CX671" s="845"/>
      <c r="CY671" s="845"/>
      <c r="CZ671" s="845"/>
      <c r="DA671" s="845"/>
      <c r="DB671" s="845"/>
      <c r="DC671" s="845"/>
      <c r="DD671" s="845"/>
      <c r="DE671" s="845"/>
      <c r="DF671" s="845"/>
      <c r="DG671" s="845"/>
      <c r="DH671" s="845"/>
      <c r="DI671" s="845"/>
      <c r="DJ671" s="845"/>
      <c r="DK671" s="845"/>
      <c r="DL671" s="845"/>
      <c r="DM671" s="845"/>
      <c r="DN671" s="845"/>
      <c r="DO671" s="845"/>
      <c r="DP671" s="845"/>
      <c r="DQ671" s="845"/>
      <c r="DR671" s="845"/>
      <c r="DS671" s="845"/>
      <c r="DT671" s="845"/>
      <c r="DU671" s="845"/>
      <c r="DV671" s="845"/>
      <c r="DW671" s="845"/>
      <c r="DX671" s="845"/>
      <c r="DY671" s="845"/>
      <c r="DZ671" s="845"/>
      <c r="EA671" s="845"/>
      <c r="EB671" s="845"/>
      <c r="EC671" s="845"/>
      <c r="ED671" s="845"/>
      <c r="EE671" s="845"/>
      <c r="EF671" s="845"/>
      <c r="EG671" s="845"/>
      <c r="EH671" s="845"/>
      <c r="EI671" s="845"/>
      <c r="EJ671" s="845"/>
      <c r="EK671" s="845"/>
      <c r="EL671" s="845"/>
      <c r="EM671" s="845"/>
      <c r="EN671" s="845"/>
      <c r="EO671" s="845"/>
      <c r="EP671" s="845"/>
      <c r="EQ671" s="845"/>
      <c r="ER671" s="845"/>
      <c r="ES671" s="845"/>
      <c r="ET671" s="845"/>
      <c r="EU671" s="845"/>
      <c r="EV671" s="845"/>
      <c r="EW671" s="845"/>
      <c r="EX671" s="845"/>
      <c r="EY671" s="845"/>
      <c r="EZ671" s="845"/>
      <c r="FA671" s="845"/>
      <c r="FB671" s="845"/>
      <c r="FC671" s="845"/>
      <c r="FD671" s="845"/>
      <c r="FE671" s="845"/>
      <c r="FF671" s="845"/>
      <c r="FG671" s="845"/>
      <c r="FH671" s="845"/>
      <c r="FI671" s="845"/>
      <c r="FJ671" s="845"/>
      <c r="FK671" s="845"/>
      <c r="FL671" s="845"/>
      <c r="FM671" s="845"/>
      <c r="FN671" s="845"/>
      <c r="FO671" s="845"/>
      <c r="FP671" s="845"/>
      <c r="FQ671" s="845"/>
      <c r="FR671" s="845"/>
      <c r="FS671" s="845"/>
      <c r="FT671" s="845"/>
      <c r="FU671" s="845"/>
      <c r="FV671" s="845"/>
      <c r="FW671" s="845"/>
      <c r="FX671" s="845"/>
      <c r="FY671" s="845"/>
      <c r="FZ671" s="845"/>
      <c r="GA671" s="845"/>
      <c r="GB671" s="845"/>
      <c r="GC671" s="845"/>
      <c r="GD671" s="845"/>
      <c r="GE671" s="845"/>
      <c r="GF671" s="845"/>
      <c r="GG671" s="845"/>
      <c r="GH671" s="845"/>
      <c r="GI671" s="845"/>
      <c r="GJ671" s="845"/>
      <c r="GK671" s="845"/>
      <c r="GL671" s="845"/>
      <c r="GM671" s="845"/>
      <c r="GN671" s="845"/>
      <c r="GO671" s="845"/>
      <c r="GP671" s="845"/>
      <c r="GQ671" s="845"/>
      <c r="GR671" s="845"/>
      <c r="GS671" s="845"/>
      <c r="GT671" s="845"/>
      <c r="GU671" s="845"/>
      <c r="GV671" s="845"/>
      <c r="GW671" s="845"/>
      <c r="GX671" s="845"/>
      <c r="GY671" s="845"/>
      <c r="GZ671" s="845"/>
      <c r="HA671" s="845"/>
      <c r="HB671" s="845"/>
      <c r="HC671" s="845"/>
      <c r="HD671" s="845"/>
      <c r="HE671" s="845"/>
      <c r="HF671" s="845"/>
      <c r="HG671" s="845"/>
      <c r="HH671" s="845"/>
      <c r="HI671" s="845"/>
      <c r="HJ671" s="845"/>
      <c r="HK671" s="845"/>
      <c r="HL671" s="845"/>
      <c r="HM671" s="845"/>
      <c r="HN671" s="845"/>
      <c r="HO671" s="845"/>
      <c r="HP671" s="845"/>
      <c r="HQ671" s="845"/>
      <c r="HR671" s="845"/>
      <c r="HS671" s="845"/>
      <c r="HT671" s="845"/>
      <c r="HU671" s="845"/>
      <c r="HV671" s="845"/>
      <c r="HW671" s="845"/>
      <c r="HX671" s="845"/>
      <c r="HY671" s="845"/>
      <c r="HZ671" s="845"/>
      <c r="IA671" s="845"/>
      <c r="IB671" s="845"/>
      <c r="IC671" s="845"/>
      <c r="ID671" s="845"/>
      <c r="IE671" s="845"/>
      <c r="IF671" s="845"/>
      <c r="IG671" s="738"/>
      <c r="IH671" s="743"/>
      <c r="II671" s="738"/>
      <c r="IJ671" s="738"/>
      <c r="IK671" s="738"/>
      <c r="IL671" s="738"/>
      <c r="IM671" s="738"/>
    </row>
    <row r="672" spans="1:247" s="746" customFormat="1" ht="14.25" customHeight="1">
      <c r="A672" s="976" t="s">
        <v>3912</v>
      </c>
      <c r="B672" s="977"/>
      <c r="C672" s="977">
        <v>1825200781</v>
      </c>
      <c r="D672" s="976" t="s">
        <v>1519</v>
      </c>
      <c r="E672" s="976">
        <v>900</v>
      </c>
      <c r="F672" s="976">
        <v>900</v>
      </c>
      <c r="G672" s="976">
        <v>675</v>
      </c>
      <c r="H672" s="976">
        <v>418.08017999999998</v>
      </c>
      <c r="I672" s="976"/>
      <c r="J672" s="1041">
        <v>257</v>
      </c>
      <c r="K672" s="976">
        <v>675.08017999999993</v>
      </c>
      <c r="L672" s="978">
        <v>8.0179999999927531E-2</v>
      </c>
      <c r="M672" s="976" t="s">
        <v>3583</v>
      </c>
      <c r="N672" s="976">
        <v>900.10690666666653</v>
      </c>
      <c r="O672" s="735">
        <f t="shared" si="32"/>
        <v>0.10690666666653215</v>
      </c>
      <c r="P672" s="738">
        <f t="shared" si="30"/>
        <v>900106.9066666665</v>
      </c>
      <c r="Q672" s="751">
        <f t="shared" si="31"/>
        <v>900000</v>
      </c>
      <c r="R672" s="747"/>
      <c r="S672" s="747"/>
      <c r="T672" s="747"/>
      <c r="U672" s="747"/>
      <c r="V672" s="988"/>
      <c r="W672" s="1024"/>
      <c r="X672" s="747"/>
      <c r="Y672" s="747"/>
      <c r="Z672" s="747"/>
      <c r="AA672" s="747"/>
      <c r="AB672" s="747"/>
      <c r="AC672" s="747"/>
      <c r="AD672" s="747"/>
      <c r="AE672" s="747"/>
      <c r="AF672" s="747"/>
      <c r="AG672" s="747"/>
      <c r="AH672" s="747"/>
      <c r="AI672" s="747"/>
      <c r="AJ672" s="747"/>
      <c r="AK672" s="747"/>
      <c r="AL672" s="747"/>
      <c r="AM672" s="747"/>
      <c r="AN672" s="747"/>
      <c r="AO672" s="747"/>
      <c r="AP672" s="747"/>
      <c r="AQ672" s="747"/>
      <c r="AR672" s="747"/>
      <c r="AS672" s="747"/>
      <c r="AT672" s="747"/>
      <c r="AU672" s="747"/>
      <c r="AV672" s="747"/>
      <c r="AW672" s="747"/>
      <c r="AX672" s="747"/>
      <c r="AY672" s="867"/>
    </row>
    <row r="673" spans="1:82" s="746" customFormat="1" ht="14.25" customHeight="1">
      <c r="A673" s="976" t="s">
        <v>3912</v>
      </c>
      <c r="B673" s="976" t="s">
        <v>1255</v>
      </c>
      <c r="C673" s="977">
        <v>1825000781</v>
      </c>
      <c r="D673" s="976" t="s">
        <v>3365</v>
      </c>
      <c r="E673" s="976">
        <v>0</v>
      </c>
      <c r="F673" s="976">
        <v>0</v>
      </c>
      <c r="G673" s="976">
        <v>0</v>
      </c>
      <c r="H673" s="976">
        <v>0</v>
      </c>
      <c r="I673" s="976"/>
      <c r="J673" s="976"/>
      <c r="K673" s="976">
        <v>0</v>
      </c>
      <c r="L673" s="978">
        <v>0</v>
      </c>
      <c r="M673" s="976"/>
      <c r="N673" s="976">
        <v>0</v>
      </c>
      <c r="O673" s="735">
        <f t="shared" si="32"/>
        <v>0</v>
      </c>
      <c r="P673" s="738">
        <f t="shared" si="30"/>
        <v>0</v>
      </c>
      <c r="Q673" s="751">
        <f t="shared" si="31"/>
        <v>0</v>
      </c>
      <c r="R673" s="747"/>
      <c r="S673" s="747"/>
      <c r="T673" s="747"/>
      <c r="U673" s="747"/>
      <c r="V673" s="988"/>
      <c r="W673" s="1024"/>
      <c r="X673" s="747"/>
      <c r="Y673" s="747"/>
      <c r="Z673" s="747"/>
      <c r="AA673" s="747"/>
      <c r="AB673" s="747"/>
      <c r="AC673" s="747"/>
      <c r="AD673" s="747"/>
      <c r="AE673" s="747"/>
      <c r="AF673" s="747"/>
      <c r="AG673" s="747"/>
      <c r="AH673" s="747"/>
      <c r="AI673" s="747"/>
      <c r="AJ673" s="747"/>
      <c r="AK673" s="747"/>
      <c r="AL673" s="747"/>
      <c r="AM673" s="747"/>
      <c r="AN673" s="747"/>
      <c r="AO673" s="747"/>
      <c r="AP673" s="747"/>
      <c r="AQ673" s="747"/>
      <c r="AR673" s="747"/>
      <c r="AS673" s="747"/>
      <c r="AT673" s="747"/>
      <c r="AU673" s="747"/>
      <c r="AV673" s="747"/>
      <c r="AW673" s="747"/>
      <c r="AX673" s="747"/>
      <c r="AY673" s="747"/>
      <c r="AZ673" s="747"/>
      <c r="BA673" s="747"/>
      <c r="BB673" s="747"/>
      <c r="BC673" s="747"/>
      <c r="BD673" s="747"/>
      <c r="BE673" s="747"/>
      <c r="BF673" s="747"/>
      <c r="BG673" s="747"/>
      <c r="BH673" s="747"/>
      <c r="BI673" s="747"/>
      <c r="BJ673" s="747"/>
      <c r="BK673" s="747"/>
      <c r="BL673" s="747"/>
      <c r="BM673" s="747"/>
      <c r="BN673" s="747"/>
      <c r="BO673" s="747"/>
      <c r="BP673" s="747"/>
      <c r="BQ673" s="747"/>
      <c r="BR673" s="747"/>
      <c r="BS673" s="747"/>
      <c r="BT673" s="747"/>
      <c r="BU673" s="747"/>
      <c r="BV673" s="747"/>
      <c r="BW673" s="747"/>
      <c r="BX673" s="747"/>
      <c r="BY673" s="747"/>
      <c r="BZ673" s="747"/>
      <c r="CA673" s="747"/>
      <c r="CB673" s="747"/>
      <c r="CC673" s="747"/>
      <c r="CD673" s="867"/>
    </row>
    <row r="674" spans="1:82" ht="14.25" customHeight="1">
      <c r="A674" s="976" t="s">
        <v>3940</v>
      </c>
      <c r="B674" s="976" t="s">
        <v>1255</v>
      </c>
      <c r="C674" s="977">
        <v>1825200816</v>
      </c>
      <c r="D674" s="976" t="s">
        <v>3366</v>
      </c>
      <c r="E674" s="976">
        <v>200</v>
      </c>
      <c r="F674" s="976">
        <v>200</v>
      </c>
      <c r="G674" s="976">
        <v>150</v>
      </c>
      <c r="H674" s="976">
        <v>150</v>
      </c>
      <c r="I674" s="976"/>
      <c r="J674" s="976">
        <v>0</v>
      </c>
      <c r="K674" s="976">
        <v>150</v>
      </c>
      <c r="L674" s="978">
        <v>0</v>
      </c>
      <c r="M674" s="976" t="s">
        <v>3583</v>
      </c>
      <c r="N674" s="976">
        <v>200</v>
      </c>
      <c r="O674" s="735">
        <f t="shared" si="32"/>
        <v>0</v>
      </c>
      <c r="P674" s="738">
        <f t="shared" si="30"/>
        <v>200000</v>
      </c>
      <c r="Q674" s="751">
        <f t="shared" si="31"/>
        <v>200000</v>
      </c>
      <c r="U674" s="747"/>
      <c r="V674" s="988"/>
      <c r="W674" s="1024"/>
      <c r="AY674" s="845"/>
      <c r="AZ674" s="845"/>
      <c r="BA674" s="845"/>
      <c r="BB674" s="845"/>
      <c r="BC674" s="845"/>
      <c r="BD674" s="845"/>
      <c r="BE674" s="845"/>
      <c r="BF674" s="845"/>
      <c r="BG674" s="845"/>
      <c r="BH674" s="845"/>
      <c r="BI674" s="845"/>
      <c r="BJ674" s="845"/>
      <c r="BK674" s="845"/>
      <c r="BL674" s="845"/>
      <c r="BM674" s="845"/>
      <c r="BN674" s="845"/>
      <c r="BO674" s="845"/>
      <c r="BP674" s="845"/>
      <c r="BQ674" s="845"/>
      <c r="BR674" s="845"/>
      <c r="BS674" s="845"/>
      <c r="BT674" s="845"/>
      <c r="BU674" s="845"/>
      <c r="BV674" s="845"/>
      <c r="BW674" s="845"/>
      <c r="BX674" s="845"/>
      <c r="BY674" s="845"/>
      <c r="BZ674" s="845"/>
      <c r="CA674" s="845"/>
      <c r="CB674" s="845"/>
      <c r="CC674" s="845"/>
    </row>
    <row r="675" spans="1:82" ht="14.25" customHeight="1">
      <c r="A675" s="976" t="s">
        <v>3934</v>
      </c>
      <c r="B675" s="976" t="s">
        <v>1255</v>
      </c>
      <c r="C675" s="977">
        <v>1825200811</v>
      </c>
      <c r="D675" s="976" t="s">
        <v>3367</v>
      </c>
      <c r="E675" s="976">
        <v>0</v>
      </c>
      <c r="F675" s="976">
        <v>0</v>
      </c>
      <c r="G675" s="976">
        <v>0</v>
      </c>
      <c r="H675" s="976">
        <v>0</v>
      </c>
      <c r="I675" s="976"/>
      <c r="J675" s="976"/>
      <c r="K675" s="976">
        <v>0</v>
      </c>
      <c r="L675" s="978">
        <v>0</v>
      </c>
      <c r="M675" s="976"/>
      <c r="N675" s="976">
        <v>0</v>
      </c>
      <c r="O675" s="735">
        <f t="shared" si="32"/>
        <v>0</v>
      </c>
      <c r="P675" s="738">
        <f t="shared" si="30"/>
        <v>0</v>
      </c>
      <c r="Q675" s="751">
        <f t="shared" si="31"/>
        <v>0</v>
      </c>
      <c r="U675" s="747"/>
      <c r="V675" s="988"/>
      <c r="W675" s="1024"/>
    </row>
    <row r="676" spans="1:82" ht="14.25" customHeight="1">
      <c r="A676" s="976" t="s">
        <v>3935</v>
      </c>
      <c r="B676" s="976" t="s">
        <v>1255</v>
      </c>
      <c r="C676" s="977">
        <v>1825200812</v>
      </c>
      <c r="D676" s="976" t="s">
        <v>655</v>
      </c>
      <c r="E676" s="976">
        <v>450</v>
      </c>
      <c r="F676" s="976">
        <v>450</v>
      </c>
      <c r="G676" s="976">
        <v>337.5</v>
      </c>
      <c r="H676" s="976">
        <v>374.93</v>
      </c>
      <c r="I676" s="976"/>
      <c r="J676" s="1032">
        <v>-38</v>
      </c>
      <c r="K676" s="976">
        <v>336.93</v>
      </c>
      <c r="L676" s="978">
        <v>-0.56999999999999318</v>
      </c>
      <c r="M676" s="976" t="s">
        <v>3583</v>
      </c>
      <c r="N676" s="976">
        <v>449.24</v>
      </c>
      <c r="O676" s="735">
        <f t="shared" si="32"/>
        <v>-0.75999999999999091</v>
      </c>
      <c r="P676" s="738">
        <f t="shared" si="30"/>
        <v>449240</v>
      </c>
      <c r="Q676" s="751">
        <f t="shared" si="31"/>
        <v>449000</v>
      </c>
      <c r="U676" s="747"/>
      <c r="V676" s="988"/>
      <c r="W676" s="1024"/>
      <c r="AY676" s="845"/>
      <c r="AZ676" s="845"/>
      <c r="BA676" s="845"/>
      <c r="BB676" s="845"/>
      <c r="BC676" s="845"/>
      <c r="BD676" s="845"/>
      <c r="BE676" s="845"/>
      <c r="BF676" s="845"/>
      <c r="BG676" s="845"/>
      <c r="BH676" s="845"/>
      <c r="BI676" s="845"/>
      <c r="BJ676" s="845"/>
      <c r="BK676" s="845"/>
      <c r="BL676" s="845"/>
      <c r="BM676" s="845"/>
      <c r="BN676" s="845"/>
      <c r="BO676" s="845"/>
      <c r="BP676" s="845"/>
      <c r="BQ676" s="845"/>
      <c r="BR676" s="845"/>
      <c r="BS676" s="845"/>
      <c r="BT676" s="845"/>
      <c r="BU676" s="845"/>
      <c r="BV676" s="845"/>
      <c r="BW676" s="845"/>
      <c r="BX676" s="845"/>
      <c r="BY676" s="845"/>
      <c r="BZ676" s="845"/>
      <c r="CA676" s="845"/>
      <c r="CB676" s="845"/>
      <c r="CC676" s="845"/>
    </row>
    <row r="677" spans="1:82" ht="14.25" customHeight="1">
      <c r="A677" s="976" t="s">
        <v>3936</v>
      </c>
      <c r="B677" s="976" t="s">
        <v>1255</v>
      </c>
      <c r="C677" s="977">
        <v>1825200813</v>
      </c>
      <c r="D677" s="976" t="s">
        <v>3368</v>
      </c>
      <c r="E677" s="976">
        <v>0</v>
      </c>
      <c r="F677" s="976">
        <v>0</v>
      </c>
      <c r="G677" s="976">
        <v>0</v>
      </c>
      <c r="H677" s="976">
        <v>0</v>
      </c>
      <c r="I677" s="976"/>
      <c r="J677" s="976"/>
      <c r="K677" s="976">
        <v>0</v>
      </c>
      <c r="L677" s="978">
        <v>0</v>
      </c>
      <c r="M677" s="976"/>
      <c r="N677" s="976">
        <v>0</v>
      </c>
      <c r="O677" s="735">
        <f t="shared" si="32"/>
        <v>0</v>
      </c>
      <c r="P677" s="738">
        <f t="shared" si="30"/>
        <v>0</v>
      </c>
      <c r="Q677" s="751">
        <f t="shared" si="31"/>
        <v>0</v>
      </c>
      <c r="U677" s="747"/>
      <c r="V677" s="988"/>
      <c r="W677" s="1024"/>
      <c r="AY677" s="845"/>
      <c r="AZ677" s="845"/>
      <c r="BA677" s="845"/>
      <c r="BB677" s="845"/>
      <c r="BC677" s="845"/>
      <c r="BD677" s="845"/>
      <c r="BE677" s="845"/>
      <c r="BF677" s="845"/>
      <c r="BG677" s="845"/>
      <c r="BH677" s="845"/>
      <c r="BI677" s="845"/>
      <c r="BJ677" s="845"/>
      <c r="BK677" s="845"/>
      <c r="BL677" s="845"/>
      <c r="BM677" s="845"/>
      <c r="BN677" s="845"/>
      <c r="BO677" s="845"/>
      <c r="BP677" s="845"/>
      <c r="BQ677" s="845"/>
      <c r="BR677" s="845"/>
      <c r="BS677" s="845"/>
      <c r="BT677" s="845"/>
      <c r="BU677" s="845"/>
      <c r="BV677" s="845"/>
      <c r="BW677" s="845"/>
      <c r="BX677" s="845"/>
      <c r="BY677" s="845"/>
      <c r="BZ677" s="845"/>
      <c r="CA677" s="845"/>
      <c r="CB677" s="845"/>
      <c r="CC677" s="845"/>
    </row>
    <row r="678" spans="1:82" ht="14.25" customHeight="1">
      <c r="A678" s="976" t="s">
        <v>3938</v>
      </c>
      <c r="B678" s="976" t="s">
        <v>1255</v>
      </c>
      <c r="C678" s="977">
        <v>1825200814</v>
      </c>
      <c r="D678" s="976" t="s">
        <v>656</v>
      </c>
      <c r="E678" s="976">
        <v>0</v>
      </c>
      <c r="F678" s="976">
        <v>0</v>
      </c>
      <c r="G678" s="976">
        <v>0</v>
      </c>
      <c r="H678" s="976">
        <v>0</v>
      </c>
      <c r="I678" s="976"/>
      <c r="J678" s="976"/>
      <c r="K678" s="976">
        <v>0</v>
      </c>
      <c r="L678" s="978">
        <v>0</v>
      </c>
      <c r="M678" s="976"/>
      <c r="N678" s="976">
        <v>0</v>
      </c>
      <c r="O678" s="735">
        <f t="shared" si="32"/>
        <v>0</v>
      </c>
      <c r="P678" s="738">
        <f t="shared" si="30"/>
        <v>0</v>
      </c>
      <c r="Q678" s="751">
        <f t="shared" si="31"/>
        <v>0</v>
      </c>
      <c r="U678" s="747"/>
      <c r="V678" s="988"/>
      <c r="W678" s="1024"/>
      <c r="AY678" s="845"/>
      <c r="AZ678" s="845"/>
      <c r="BA678" s="845"/>
      <c r="BB678" s="845"/>
      <c r="BC678" s="845"/>
      <c r="BD678" s="845"/>
      <c r="BE678" s="845"/>
      <c r="BF678" s="845"/>
      <c r="BG678" s="845"/>
      <c r="BH678" s="845"/>
      <c r="BI678" s="845"/>
      <c r="BJ678" s="845"/>
      <c r="BK678" s="845"/>
      <c r="BL678" s="845"/>
      <c r="BM678" s="845"/>
      <c r="BN678" s="845"/>
      <c r="BO678" s="845"/>
      <c r="BP678" s="845"/>
      <c r="BQ678" s="845"/>
      <c r="BR678" s="845"/>
      <c r="BS678" s="845"/>
      <c r="BT678" s="845"/>
      <c r="BU678" s="845"/>
      <c r="BV678" s="845"/>
      <c r="BW678" s="845"/>
      <c r="BX678" s="845"/>
      <c r="BY678" s="845"/>
      <c r="BZ678" s="845"/>
      <c r="CA678" s="845"/>
      <c r="CB678" s="845"/>
      <c r="CC678" s="845"/>
    </row>
    <row r="679" spans="1:82" ht="14.25" customHeight="1">
      <c r="A679" s="976" t="s">
        <v>3939</v>
      </c>
      <c r="B679" s="976" t="s">
        <v>1255</v>
      </c>
      <c r="C679" s="977">
        <v>1825200815</v>
      </c>
      <c r="D679" s="976" t="s">
        <v>3369</v>
      </c>
      <c r="E679" s="976">
        <v>0</v>
      </c>
      <c r="F679" s="976">
        <v>0</v>
      </c>
      <c r="G679" s="976">
        <v>0</v>
      </c>
      <c r="H679" s="976">
        <v>0</v>
      </c>
      <c r="I679" s="976"/>
      <c r="J679" s="976"/>
      <c r="K679" s="976">
        <v>0</v>
      </c>
      <c r="L679" s="978">
        <v>0</v>
      </c>
      <c r="M679" s="976"/>
      <c r="N679" s="976">
        <v>0</v>
      </c>
      <c r="O679" s="735">
        <f t="shared" si="32"/>
        <v>0</v>
      </c>
      <c r="P679" s="738">
        <f t="shared" si="30"/>
        <v>0</v>
      </c>
      <c r="Q679" s="751">
        <f t="shared" si="31"/>
        <v>0</v>
      </c>
      <c r="U679" s="747"/>
      <c r="V679" s="988"/>
      <c r="W679" s="1024"/>
    </row>
    <row r="680" spans="1:82" ht="14.25" customHeight="1">
      <c r="A680" s="976" t="s">
        <v>3913</v>
      </c>
      <c r="B680" s="976" t="s">
        <v>1255</v>
      </c>
      <c r="C680" s="977">
        <v>1826000750</v>
      </c>
      <c r="D680" s="976" t="s">
        <v>288</v>
      </c>
      <c r="E680" s="976">
        <v>300</v>
      </c>
      <c r="F680" s="976">
        <v>300</v>
      </c>
      <c r="G680" s="976">
        <v>225</v>
      </c>
      <c r="H680" s="976">
        <v>124.759</v>
      </c>
      <c r="I680" s="976"/>
      <c r="J680" s="1041">
        <v>25</v>
      </c>
      <c r="K680" s="976">
        <v>149.75900000000001</v>
      </c>
      <c r="L680" s="978">
        <v>-75.240999999999985</v>
      </c>
      <c r="M680" s="976" t="s">
        <v>3583</v>
      </c>
      <c r="N680" s="976">
        <v>199.67866666666669</v>
      </c>
      <c r="O680" s="735">
        <f t="shared" si="32"/>
        <v>-100.32133333333331</v>
      </c>
      <c r="P680" s="738">
        <f t="shared" si="30"/>
        <v>199678.66666666669</v>
      </c>
      <c r="Q680" s="751">
        <f t="shared" si="31"/>
        <v>200000</v>
      </c>
      <c r="U680" s="747"/>
      <c r="V680" s="988"/>
      <c r="W680" s="1024"/>
    </row>
    <row r="681" spans="1:82" ht="14.25" customHeight="1">
      <c r="A681" s="976" t="s">
        <v>3920</v>
      </c>
      <c r="B681" s="976" t="s">
        <v>1255</v>
      </c>
      <c r="C681" s="977">
        <v>1826000782</v>
      </c>
      <c r="D681" s="976" t="s">
        <v>661</v>
      </c>
      <c r="E681" s="976">
        <v>212.66800000000001</v>
      </c>
      <c r="F681" s="976">
        <v>212.66800000000001</v>
      </c>
      <c r="G681" s="976">
        <v>159.501</v>
      </c>
      <c r="H681" s="976">
        <v>164.13809000000001</v>
      </c>
      <c r="I681" s="976"/>
      <c r="J681" s="1032">
        <v>-4</v>
      </c>
      <c r="K681" s="976">
        <v>160.13809000000001</v>
      </c>
      <c r="L681" s="978">
        <v>0.6370900000000006</v>
      </c>
      <c r="M681" s="976" t="s">
        <v>3583</v>
      </c>
      <c r="N681" s="976">
        <v>213.51745333333332</v>
      </c>
      <c r="O681" s="735">
        <f t="shared" si="32"/>
        <v>0.84945333333331519</v>
      </c>
      <c r="P681" s="738">
        <f t="shared" si="30"/>
        <v>213517.45333333331</v>
      </c>
      <c r="Q681" s="751">
        <f t="shared" si="31"/>
        <v>214000</v>
      </c>
      <c r="U681" s="747"/>
      <c r="V681" s="988"/>
      <c r="W681" s="1024"/>
    </row>
    <row r="682" spans="1:82" ht="14.25" customHeight="1">
      <c r="A682" s="976" t="s">
        <v>3921</v>
      </c>
      <c r="B682" s="976"/>
      <c r="C682" s="977">
        <v>1826000783</v>
      </c>
      <c r="D682" s="976" t="s">
        <v>3370</v>
      </c>
      <c r="E682" s="976">
        <v>272.33199999999999</v>
      </c>
      <c r="F682" s="976">
        <v>272.33199999999999</v>
      </c>
      <c r="G682" s="976">
        <v>204.249</v>
      </c>
      <c r="H682" s="976">
        <v>111.15</v>
      </c>
      <c r="I682" s="976"/>
      <c r="J682" s="1041">
        <v>93</v>
      </c>
      <c r="K682" s="976">
        <v>204.15</v>
      </c>
      <c r="L682" s="978">
        <v>-9.8999999999989541E-2</v>
      </c>
      <c r="M682" s="976" t="s">
        <v>3583</v>
      </c>
      <c r="N682" s="976">
        <v>272.20000000000005</v>
      </c>
      <c r="O682" s="735">
        <f t="shared" si="32"/>
        <v>-0.13199999999994816</v>
      </c>
      <c r="P682" s="738">
        <f t="shared" si="30"/>
        <v>272200.00000000006</v>
      </c>
      <c r="Q682" s="751">
        <f t="shared" si="31"/>
        <v>272000</v>
      </c>
      <c r="U682" s="747"/>
      <c r="V682" s="988"/>
      <c r="W682" s="1024"/>
    </row>
    <row r="683" spans="1:82" ht="14.25" customHeight="1">
      <c r="A683" s="976" t="s">
        <v>3909</v>
      </c>
      <c r="B683" s="976" t="s">
        <v>1255</v>
      </c>
      <c r="C683" s="977">
        <v>1826000780</v>
      </c>
      <c r="D683" s="976" t="s">
        <v>280</v>
      </c>
      <c r="E683" s="976">
        <v>300</v>
      </c>
      <c r="F683" s="976">
        <v>300</v>
      </c>
      <c r="G683" s="976">
        <v>225</v>
      </c>
      <c r="H683" s="976">
        <v>191.00551000000002</v>
      </c>
      <c r="I683" s="976"/>
      <c r="J683" s="1041">
        <v>34</v>
      </c>
      <c r="K683" s="976">
        <v>225.00551000000002</v>
      </c>
      <c r="L683" s="978">
        <v>5.5100000000152249E-3</v>
      </c>
      <c r="M683" s="976" t="s">
        <v>3583</v>
      </c>
      <c r="N683" s="976">
        <v>300.00734666666671</v>
      </c>
      <c r="O683" s="735">
        <f t="shared" si="32"/>
        <v>7.3466666667059144E-3</v>
      </c>
      <c r="P683" s="738">
        <f t="shared" si="30"/>
        <v>300007.34666666668</v>
      </c>
      <c r="Q683" s="751">
        <f t="shared" si="31"/>
        <v>300000</v>
      </c>
      <c r="U683" s="747"/>
      <c r="V683" s="988"/>
      <c r="W683" s="1024"/>
    </row>
    <row r="684" spans="1:82" ht="14.25" customHeight="1">
      <c r="A684" s="976" t="s">
        <v>3931</v>
      </c>
      <c r="B684" s="976" t="s">
        <v>1255</v>
      </c>
      <c r="C684" s="977">
        <v>1826000810</v>
      </c>
      <c r="D684" s="976" t="s">
        <v>514</v>
      </c>
      <c r="E684" s="976">
        <v>3268</v>
      </c>
      <c r="F684" s="976">
        <v>3468</v>
      </c>
      <c r="G684" s="976">
        <v>2451</v>
      </c>
      <c r="H684" s="976">
        <v>2980.4985899999997</v>
      </c>
      <c r="I684" s="976"/>
      <c r="J684" s="1032">
        <v>-379</v>
      </c>
      <c r="K684" s="976">
        <v>2601.4985899999997</v>
      </c>
      <c r="L684" s="978">
        <v>150.49858999999969</v>
      </c>
      <c r="M684" s="976" t="s">
        <v>3583</v>
      </c>
      <c r="N684" s="976">
        <v>3468.6647866666663</v>
      </c>
      <c r="O684" s="735">
        <f t="shared" si="32"/>
        <v>200.66478666666626</v>
      </c>
      <c r="P684" s="738">
        <f t="shared" si="30"/>
        <v>3468664.7866666662</v>
      </c>
      <c r="Q684" s="751">
        <f t="shared" si="31"/>
        <v>3469000</v>
      </c>
      <c r="U684" s="747"/>
      <c r="V684" s="988"/>
      <c r="W684" s="1024"/>
    </row>
    <row r="685" spans="1:82" s="883" customFormat="1" ht="14.25" customHeight="1">
      <c r="A685" s="976" t="s">
        <v>3934</v>
      </c>
      <c r="B685" s="976" t="s">
        <v>1255</v>
      </c>
      <c r="C685" s="977">
        <v>1826200811</v>
      </c>
      <c r="D685" s="976" t="s">
        <v>665</v>
      </c>
      <c r="E685" s="976">
        <v>550</v>
      </c>
      <c r="F685" s="976">
        <v>550</v>
      </c>
      <c r="G685" s="976">
        <v>412.5</v>
      </c>
      <c r="H685" s="976">
        <v>366.66399999999999</v>
      </c>
      <c r="I685" s="976"/>
      <c r="J685" s="1041">
        <v>46</v>
      </c>
      <c r="K685" s="976">
        <v>412.66399999999999</v>
      </c>
      <c r="L685" s="978">
        <v>0.16399999999998727</v>
      </c>
      <c r="M685" s="976" t="s">
        <v>3630</v>
      </c>
      <c r="N685" s="976">
        <v>550.21866666666665</v>
      </c>
      <c r="O685" s="735">
        <f t="shared" si="32"/>
        <v>0.21866666666664969</v>
      </c>
      <c r="P685" s="738">
        <f t="shared" si="30"/>
        <v>550218.66666666663</v>
      </c>
      <c r="Q685" s="751">
        <f t="shared" si="31"/>
        <v>550000</v>
      </c>
      <c r="R685" s="882"/>
      <c r="S685" s="882"/>
      <c r="T685" s="882"/>
      <c r="U685" s="882"/>
      <c r="V685" s="988"/>
      <c r="W685" s="1024"/>
      <c r="X685" s="882"/>
      <c r="Y685" s="882"/>
      <c r="Z685" s="882"/>
      <c r="AA685" s="882"/>
      <c r="AB685" s="882"/>
      <c r="AC685" s="882"/>
      <c r="AD685" s="882"/>
      <c r="AE685" s="882"/>
      <c r="AF685" s="882"/>
      <c r="AG685" s="882"/>
      <c r="AH685" s="882"/>
      <c r="AI685" s="882"/>
      <c r="AJ685" s="882"/>
      <c r="AK685" s="882"/>
      <c r="AL685" s="882"/>
      <c r="AM685" s="882"/>
      <c r="AN685" s="882"/>
      <c r="AO685" s="882"/>
      <c r="AP685" s="882"/>
      <c r="AQ685" s="882"/>
      <c r="AR685" s="882"/>
      <c r="AS685" s="882"/>
      <c r="AT685" s="882"/>
      <c r="AU685" s="882"/>
      <c r="AV685" s="882"/>
      <c r="AW685" s="882"/>
      <c r="AX685" s="882"/>
      <c r="AY685" s="882"/>
      <c r="AZ685" s="882"/>
      <c r="BA685" s="882"/>
      <c r="BB685" s="882"/>
      <c r="BC685" s="882"/>
      <c r="BD685" s="882"/>
      <c r="BE685" s="882"/>
      <c r="BF685" s="882"/>
      <c r="BG685" s="882"/>
      <c r="BH685" s="882"/>
      <c r="BI685" s="882"/>
      <c r="BJ685" s="882"/>
      <c r="BK685" s="882"/>
      <c r="BL685" s="882"/>
      <c r="BM685" s="882"/>
      <c r="BN685" s="882"/>
      <c r="BO685" s="882"/>
      <c r="BP685" s="882"/>
      <c r="BQ685" s="882"/>
      <c r="BR685" s="882"/>
      <c r="BS685" s="882"/>
      <c r="BT685" s="882"/>
      <c r="BU685" s="882"/>
      <c r="BV685" s="882"/>
      <c r="BW685" s="882"/>
      <c r="BX685" s="882"/>
      <c r="BY685" s="882"/>
      <c r="BZ685" s="882"/>
      <c r="CA685" s="882"/>
      <c r="CB685" s="882"/>
      <c r="CC685" s="882"/>
    </row>
    <row r="686" spans="1:82" ht="14.25" customHeight="1">
      <c r="A686" s="976" t="s">
        <v>3935</v>
      </c>
      <c r="B686" s="976" t="s">
        <v>1255</v>
      </c>
      <c r="C686" s="977">
        <v>1826400812</v>
      </c>
      <c r="D686" s="976" t="s">
        <v>668</v>
      </c>
      <c r="E686" s="976">
        <v>600</v>
      </c>
      <c r="F686" s="976">
        <v>600</v>
      </c>
      <c r="G686" s="976">
        <v>450</v>
      </c>
      <c r="H686" s="976">
        <v>400</v>
      </c>
      <c r="I686" s="976"/>
      <c r="J686" s="1041">
        <v>50</v>
      </c>
      <c r="K686" s="976">
        <v>450</v>
      </c>
      <c r="L686" s="978">
        <v>0</v>
      </c>
      <c r="M686" s="976" t="s">
        <v>3630</v>
      </c>
      <c r="N686" s="976">
        <v>600</v>
      </c>
      <c r="O686" s="735">
        <f t="shared" si="32"/>
        <v>0</v>
      </c>
      <c r="P686" s="738">
        <f t="shared" si="30"/>
        <v>600000</v>
      </c>
      <c r="Q686" s="751">
        <f t="shared" si="31"/>
        <v>600000</v>
      </c>
      <c r="U686" s="747"/>
      <c r="V686" s="988"/>
      <c r="W686" s="1024"/>
      <c r="AY686" s="845"/>
      <c r="AZ686" s="845"/>
      <c r="BA686" s="845"/>
      <c r="BB686" s="845"/>
      <c r="BC686" s="845"/>
      <c r="BD686" s="845"/>
      <c r="BE686" s="845"/>
      <c r="BF686" s="845"/>
      <c r="BG686" s="845"/>
      <c r="BH686" s="845"/>
      <c r="BI686" s="845"/>
      <c r="BJ686" s="845"/>
      <c r="BK686" s="845"/>
      <c r="BL686" s="845"/>
      <c r="BM686" s="845"/>
      <c r="BN686" s="845"/>
      <c r="BO686" s="845"/>
      <c r="BP686" s="845"/>
      <c r="BQ686" s="845"/>
      <c r="BR686" s="845"/>
      <c r="BS686" s="845"/>
      <c r="BT686" s="845"/>
      <c r="BU686" s="845"/>
      <c r="BV686" s="845"/>
      <c r="BW686" s="845"/>
      <c r="BX686" s="845"/>
      <c r="BY686" s="845"/>
      <c r="BZ686" s="845"/>
      <c r="CA686" s="845"/>
      <c r="CB686" s="845"/>
      <c r="CC686" s="845"/>
    </row>
    <row r="687" spans="1:82" ht="14.25" customHeight="1">
      <c r="A687" s="976" t="s">
        <v>3867</v>
      </c>
      <c r="B687" s="976" t="s">
        <v>1255</v>
      </c>
      <c r="C687" s="977">
        <v>1827000410</v>
      </c>
      <c r="D687" s="976" t="s">
        <v>304</v>
      </c>
      <c r="E687" s="976">
        <v>0</v>
      </c>
      <c r="F687" s="976">
        <v>0</v>
      </c>
      <c r="G687" s="976">
        <v>0</v>
      </c>
      <c r="H687" s="976">
        <v>0</v>
      </c>
      <c r="I687" s="976"/>
      <c r="J687" s="976"/>
      <c r="K687" s="976">
        <v>0</v>
      </c>
      <c r="L687" s="978">
        <v>0</v>
      </c>
      <c r="M687" s="976"/>
      <c r="N687" s="976">
        <v>0</v>
      </c>
      <c r="O687" s="735">
        <f t="shared" si="32"/>
        <v>0</v>
      </c>
      <c r="P687" s="738">
        <f t="shared" si="30"/>
        <v>0</v>
      </c>
      <c r="Q687" s="751">
        <f t="shared" si="31"/>
        <v>0</v>
      </c>
      <c r="U687" s="747"/>
      <c r="V687" s="988"/>
      <c r="W687" s="1024"/>
      <c r="AY687" s="845"/>
      <c r="AZ687" s="845"/>
      <c r="BA687" s="845"/>
      <c r="BB687" s="845"/>
      <c r="BC687" s="845"/>
      <c r="BD687" s="845"/>
      <c r="BE687" s="845"/>
      <c r="BF687" s="845"/>
      <c r="BG687" s="845"/>
      <c r="BH687" s="845"/>
      <c r="BI687" s="845"/>
      <c r="BJ687" s="845"/>
      <c r="BK687" s="845"/>
      <c r="BL687" s="845"/>
      <c r="BM687" s="845"/>
      <c r="BN687" s="845"/>
      <c r="BO687" s="845"/>
      <c r="BP687" s="845"/>
      <c r="BQ687" s="845"/>
      <c r="BR687" s="845"/>
      <c r="BS687" s="845"/>
      <c r="BT687" s="845"/>
      <c r="BU687" s="845"/>
      <c r="BV687" s="845"/>
      <c r="BW687" s="845"/>
      <c r="BX687" s="845"/>
      <c r="BY687" s="845"/>
      <c r="BZ687" s="845"/>
      <c r="CA687" s="845"/>
      <c r="CB687" s="845"/>
      <c r="CC687" s="845"/>
    </row>
    <row r="688" spans="1:82" ht="14.25" customHeight="1">
      <c r="A688" s="976" t="s">
        <v>3908</v>
      </c>
      <c r="B688" s="976" t="s">
        <v>1255</v>
      </c>
      <c r="C688" s="977">
        <v>1827000530</v>
      </c>
      <c r="D688" s="976" t="s">
        <v>277</v>
      </c>
      <c r="E688" s="976">
        <v>90</v>
      </c>
      <c r="F688" s="976">
        <v>90</v>
      </c>
      <c r="G688" s="976">
        <v>67.5</v>
      </c>
      <c r="H688" s="976">
        <v>52.317089999999993</v>
      </c>
      <c r="I688" s="976"/>
      <c r="J688" s="1041">
        <v>16</v>
      </c>
      <c r="K688" s="976">
        <v>68.317089999999993</v>
      </c>
      <c r="L688" s="978">
        <v>0.81708999999999321</v>
      </c>
      <c r="M688" s="976" t="s">
        <v>3583</v>
      </c>
      <c r="N688" s="976">
        <v>91.089453333333324</v>
      </c>
      <c r="O688" s="735">
        <f t="shared" si="32"/>
        <v>1.0894533333333243</v>
      </c>
      <c r="P688" s="738">
        <f t="shared" si="30"/>
        <v>91089.453333333324</v>
      </c>
      <c r="Q688" s="751">
        <f t="shared" si="31"/>
        <v>91000</v>
      </c>
      <c r="U688" s="747"/>
      <c r="V688" s="988"/>
      <c r="W688" s="1024"/>
    </row>
    <row r="689" spans="1:81" s="883" customFormat="1" ht="14.25" customHeight="1">
      <c r="A689" s="976" t="s">
        <v>3905</v>
      </c>
      <c r="B689" s="976" t="s">
        <v>1255</v>
      </c>
      <c r="C689" s="977">
        <v>1827000540</v>
      </c>
      <c r="D689" s="976" t="s">
        <v>279</v>
      </c>
      <c r="E689" s="976">
        <v>6</v>
      </c>
      <c r="F689" s="976">
        <v>6</v>
      </c>
      <c r="G689" s="976">
        <v>4.5</v>
      </c>
      <c r="H689" s="976">
        <v>3.15862</v>
      </c>
      <c r="I689" s="976"/>
      <c r="J689" s="1041">
        <v>2</v>
      </c>
      <c r="K689" s="976">
        <v>5.15862</v>
      </c>
      <c r="L689" s="978">
        <v>0.65861999999999998</v>
      </c>
      <c r="M689" s="976" t="s">
        <v>3583</v>
      </c>
      <c r="N689" s="976">
        <v>6.8781600000000003</v>
      </c>
      <c r="O689" s="735">
        <f t="shared" si="32"/>
        <v>0.87816000000000027</v>
      </c>
      <c r="P689" s="738">
        <f t="shared" si="30"/>
        <v>6878.16</v>
      </c>
      <c r="Q689" s="751">
        <f t="shared" si="31"/>
        <v>7000</v>
      </c>
      <c r="R689" s="882"/>
      <c r="S689" s="882"/>
      <c r="T689" s="882"/>
      <c r="U689" s="882"/>
      <c r="V689" s="988"/>
      <c r="W689" s="1024"/>
      <c r="X689" s="882"/>
      <c r="Y689" s="882"/>
      <c r="Z689" s="882"/>
      <c r="AA689" s="882"/>
      <c r="AB689" s="882"/>
      <c r="AC689" s="882"/>
      <c r="AD689" s="882"/>
      <c r="AE689" s="882"/>
      <c r="AF689" s="882"/>
      <c r="AG689" s="882"/>
      <c r="AH689" s="882"/>
      <c r="AI689" s="882"/>
      <c r="AJ689" s="882"/>
      <c r="AK689" s="882"/>
      <c r="AL689" s="882"/>
      <c r="AM689" s="882"/>
      <c r="AN689" s="882"/>
      <c r="AO689" s="882"/>
      <c r="AP689" s="882"/>
      <c r="AQ689" s="882"/>
      <c r="AR689" s="882"/>
      <c r="AS689" s="882"/>
      <c r="AT689" s="882"/>
      <c r="AU689" s="882"/>
      <c r="AV689" s="882"/>
      <c r="AW689" s="882"/>
      <c r="AX689" s="882"/>
      <c r="AY689" s="882"/>
      <c r="AZ689" s="882"/>
      <c r="BA689" s="882"/>
      <c r="BB689" s="882"/>
      <c r="BC689" s="882"/>
      <c r="BD689" s="882"/>
      <c r="BE689" s="882"/>
      <c r="BF689" s="882"/>
      <c r="BG689" s="882"/>
      <c r="BH689" s="882"/>
      <c r="BI689" s="882"/>
      <c r="BJ689" s="882"/>
      <c r="BK689" s="882"/>
      <c r="BL689" s="882"/>
      <c r="BM689" s="882"/>
      <c r="BN689" s="882"/>
      <c r="BO689" s="882"/>
      <c r="BP689" s="882"/>
      <c r="BQ689" s="882"/>
      <c r="BR689" s="882"/>
      <c r="BS689" s="882"/>
      <c r="BT689" s="882"/>
      <c r="BU689" s="882"/>
      <c r="BV689" s="882"/>
      <c r="BW689" s="882"/>
      <c r="BX689" s="882"/>
      <c r="BY689" s="882"/>
      <c r="BZ689" s="882"/>
      <c r="CA689" s="882"/>
      <c r="CB689" s="882"/>
      <c r="CC689" s="882"/>
    </row>
    <row r="690" spans="1:81" s="883" customFormat="1" ht="14.25" customHeight="1">
      <c r="A690" s="976" t="s">
        <v>3909</v>
      </c>
      <c r="B690" s="976" t="s">
        <v>1255</v>
      </c>
      <c r="C690" s="977">
        <v>1827000780</v>
      </c>
      <c r="D690" s="976" t="s">
        <v>672</v>
      </c>
      <c r="E690" s="976">
        <v>670</v>
      </c>
      <c r="F690" s="976">
        <v>670</v>
      </c>
      <c r="G690" s="976">
        <v>502.5</v>
      </c>
      <c r="H690" s="976">
        <v>301.47253999999998</v>
      </c>
      <c r="I690" s="976"/>
      <c r="J690" s="1041">
        <v>202</v>
      </c>
      <c r="K690" s="976">
        <v>503.47253999999998</v>
      </c>
      <c r="L690" s="978">
        <v>0.97253999999998086</v>
      </c>
      <c r="M690" s="976" t="s">
        <v>3583</v>
      </c>
      <c r="N690" s="976">
        <v>671.29671999999994</v>
      </c>
      <c r="O690" s="735">
        <f t="shared" si="32"/>
        <v>1.2967199999999366</v>
      </c>
      <c r="P690" s="738">
        <f t="shared" si="30"/>
        <v>671296.72</v>
      </c>
      <c r="Q690" s="751">
        <f t="shared" si="31"/>
        <v>671000</v>
      </c>
      <c r="R690" s="882"/>
      <c r="S690" s="882"/>
      <c r="T690" s="882"/>
      <c r="U690" s="882"/>
      <c r="V690" s="988"/>
      <c r="W690" s="1024"/>
      <c r="X690" s="882"/>
      <c r="Y690" s="882"/>
      <c r="Z690" s="882"/>
      <c r="AA690" s="882"/>
      <c r="AB690" s="882"/>
      <c r="AC690" s="882"/>
      <c r="AD690" s="882"/>
      <c r="AE690" s="882"/>
      <c r="AF690" s="882"/>
      <c r="AG690" s="882"/>
      <c r="AH690" s="882"/>
      <c r="AI690" s="882"/>
      <c r="AJ690" s="882"/>
      <c r="AK690" s="882"/>
      <c r="AL690" s="882"/>
      <c r="AM690" s="882"/>
      <c r="AN690" s="882"/>
      <c r="AO690" s="882"/>
      <c r="AP690" s="882"/>
      <c r="AQ690" s="882"/>
      <c r="AR690" s="882"/>
      <c r="AS690" s="882"/>
      <c r="AT690" s="882"/>
      <c r="AU690" s="882"/>
      <c r="AV690" s="882"/>
      <c r="AW690" s="882"/>
      <c r="AX690" s="882"/>
      <c r="AY690" s="882"/>
      <c r="AZ690" s="882"/>
      <c r="BA690" s="882"/>
      <c r="BB690" s="882"/>
      <c r="BC690" s="882"/>
      <c r="BD690" s="882"/>
      <c r="BE690" s="882"/>
      <c r="BF690" s="882"/>
      <c r="BG690" s="882"/>
      <c r="BH690" s="882"/>
      <c r="BI690" s="882"/>
      <c r="BJ690" s="882"/>
      <c r="BK690" s="882"/>
      <c r="BL690" s="882"/>
      <c r="BM690" s="882"/>
      <c r="BN690" s="882"/>
      <c r="BO690" s="882"/>
      <c r="BP690" s="882"/>
      <c r="BQ690" s="882"/>
      <c r="BR690" s="882"/>
      <c r="BS690" s="882"/>
      <c r="BT690" s="882"/>
      <c r="BU690" s="882"/>
      <c r="BV690" s="882"/>
      <c r="BW690" s="882"/>
      <c r="BX690" s="882"/>
      <c r="BY690" s="882"/>
      <c r="BZ690" s="882"/>
      <c r="CA690" s="882"/>
      <c r="CB690" s="882"/>
      <c r="CC690" s="882"/>
    </row>
    <row r="691" spans="1:81" ht="14.25" customHeight="1">
      <c r="A691" s="976" t="s">
        <v>3912</v>
      </c>
      <c r="B691" s="976" t="s">
        <v>1255</v>
      </c>
      <c r="C691" s="977">
        <v>1827000781</v>
      </c>
      <c r="D691" s="976" t="s">
        <v>673</v>
      </c>
      <c r="E691" s="976">
        <v>520</v>
      </c>
      <c r="F691" s="976">
        <v>520</v>
      </c>
      <c r="G691" s="976">
        <v>390</v>
      </c>
      <c r="H691" s="976">
        <v>467.02408000000003</v>
      </c>
      <c r="I691" s="976"/>
      <c r="J691" s="1032">
        <v>-62</v>
      </c>
      <c r="K691" s="976">
        <v>405.02408000000003</v>
      </c>
      <c r="L691" s="978">
        <v>15.024080000000026</v>
      </c>
      <c r="M691" s="976" t="s">
        <v>3583</v>
      </c>
      <c r="N691" s="976">
        <v>540.03210666666666</v>
      </c>
      <c r="O691" s="735">
        <f t="shared" si="32"/>
        <v>20.032106666666664</v>
      </c>
      <c r="P691" s="738">
        <f t="shared" si="30"/>
        <v>540032.10666666669</v>
      </c>
      <c r="Q691" s="751">
        <f t="shared" si="31"/>
        <v>540000</v>
      </c>
      <c r="U691" s="747"/>
      <c r="V691" s="988"/>
      <c r="W691" s="1024"/>
    </row>
    <row r="692" spans="1:81" ht="14.25" customHeight="1">
      <c r="A692" s="976" t="s">
        <v>3920</v>
      </c>
      <c r="B692" s="976" t="s">
        <v>1255</v>
      </c>
      <c r="C692" s="977">
        <v>1827000782</v>
      </c>
      <c r="D692" s="976" t="s">
        <v>3371</v>
      </c>
      <c r="E692" s="976">
        <v>300</v>
      </c>
      <c r="F692" s="976">
        <v>300</v>
      </c>
      <c r="G692" s="976">
        <v>225</v>
      </c>
      <c r="H692" s="976">
        <v>252.82508999999999</v>
      </c>
      <c r="I692" s="976"/>
      <c r="J692" s="1041">
        <v>161</v>
      </c>
      <c r="K692" s="976">
        <v>413.82508999999999</v>
      </c>
      <c r="L692" s="978">
        <v>188.82508999999999</v>
      </c>
      <c r="M692" s="976" t="s">
        <v>3583</v>
      </c>
      <c r="N692" s="976">
        <v>551.76678666666658</v>
      </c>
      <c r="O692" s="735">
        <f t="shared" si="32"/>
        <v>251.76678666666658</v>
      </c>
      <c r="P692" s="738">
        <f t="shared" si="30"/>
        <v>551766.78666666662</v>
      </c>
      <c r="Q692" s="751">
        <f t="shared" si="31"/>
        <v>552000</v>
      </c>
      <c r="U692" s="747"/>
      <c r="V692" s="988"/>
      <c r="W692" s="1024"/>
    </row>
    <row r="693" spans="1:81" ht="14.25" customHeight="1">
      <c r="A693" s="976" t="s">
        <v>3921</v>
      </c>
      <c r="B693" s="976" t="s">
        <v>1255</v>
      </c>
      <c r="C693" s="977">
        <v>1827000783</v>
      </c>
      <c r="D693" s="976" t="s">
        <v>676</v>
      </c>
      <c r="E693" s="976">
        <v>120</v>
      </c>
      <c r="F693" s="976">
        <v>120</v>
      </c>
      <c r="G693" s="976">
        <v>90</v>
      </c>
      <c r="H693" s="976">
        <v>0</v>
      </c>
      <c r="I693" s="976"/>
      <c r="J693" s="1041">
        <v>85</v>
      </c>
      <c r="K693" s="976">
        <v>85</v>
      </c>
      <c r="L693" s="978">
        <v>-5</v>
      </c>
      <c r="M693" s="976" t="s">
        <v>3583</v>
      </c>
      <c r="N693" s="976">
        <v>113.33333333333333</v>
      </c>
      <c r="O693" s="735">
        <f t="shared" si="32"/>
        <v>-6.6666666666666714</v>
      </c>
      <c r="P693" s="738">
        <f t="shared" si="30"/>
        <v>113333.33333333333</v>
      </c>
      <c r="Q693" s="751">
        <f t="shared" si="31"/>
        <v>113000</v>
      </c>
      <c r="U693" s="747"/>
      <c r="V693" s="988"/>
      <c r="W693" s="1024"/>
      <c r="AY693" s="845"/>
      <c r="AZ693" s="845"/>
      <c r="BA693" s="845"/>
      <c r="BB693" s="845"/>
      <c r="BC693" s="845"/>
      <c r="BD693" s="845"/>
      <c r="BE693" s="845"/>
      <c r="BF693" s="845"/>
      <c r="BG693" s="845"/>
      <c r="BH693" s="845"/>
      <c r="BI693" s="845"/>
      <c r="BJ693" s="845"/>
      <c r="BK693" s="845"/>
      <c r="BL693" s="845"/>
      <c r="BM693" s="845"/>
      <c r="BN693" s="845"/>
      <c r="BO693" s="845"/>
      <c r="BP693" s="845"/>
      <c r="BQ693" s="845"/>
      <c r="BR693" s="845"/>
      <c r="BS693" s="845"/>
      <c r="BT693" s="845"/>
      <c r="BU693" s="845"/>
      <c r="BV693" s="845"/>
      <c r="BW693" s="845"/>
      <c r="BX693" s="845"/>
      <c r="BY693" s="845"/>
      <c r="BZ693" s="845"/>
      <c r="CA693" s="845"/>
      <c r="CB693" s="845"/>
      <c r="CC693" s="845"/>
    </row>
    <row r="694" spans="1:81" ht="14.25" customHeight="1">
      <c r="A694" s="976" t="s">
        <v>3908</v>
      </c>
      <c r="B694" s="976" t="s">
        <v>1255</v>
      </c>
      <c r="C694" s="977">
        <v>1828000530</v>
      </c>
      <c r="D694" s="976" t="s">
        <v>277</v>
      </c>
      <c r="E694" s="976">
        <v>0</v>
      </c>
      <c r="F694" s="976">
        <v>0</v>
      </c>
      <c r="G694" s="976">
        <v>0</v>
      </c>
      <c r="H694" s="976">
        <v>0</v>
      </c>
      <c r="I694" s="976"/>
      <c r="J694" s="976"/>
      <c r="K694" s="976">
        <v>0</v>
      </c>
      <c r="L694" s="978">
        <v>0</v>
      </c>
      <c r="M694" s="976"/>
      <c r="N694" s="976">
        <v>0</v>
      </c>
      <c r="O694" s="735">
        <f t="shared" si="32"/>
        <v>0</v>
      </c>
      <c r="P694" s="738">
        <f t="shared" si="30"/>
        <v>0</v>
      </c>
      <c r="Q694" s="751">
        <f t="shared" si="31"/>
        <v>0</v>
      </c>
      <c r="U694" s="747"/>
      <c r="V694" s="988"/>
      <c r="W694" s="1024"/>
      <c r="AY694" s="845"/>
      <c r="AZ694" s="845"/>
      <c r="BA694" s="845"/>
      <c r="BB694" s="845"/>
      <c r="BC694" s="845"/>
      <c r="BD694" s="845"/>
      <c r="BE694" s="845"/>
      <c r="BF694" s="845"/>
      <c r="BG694" s="845"/>
      <c r="BH694" s="845"/>
      <c r="BI694" s="845"/>
      <c r="BJ694" s="845"/>
      <c r="BK694" s="845"/>
      <c r="BL694" s="845"/>
      <c r="BM694" s="845"/>
      <c r="BN694" s="845"/>
      <c r="BO694" s="845"/>
      <c r="BP694" s="845"/>
      <c r="BQ694" s="845"/>
      <c r="BR694" s="845"/>
      <c r="BS694" s="845"/>
      <c r="BT694" s="845"/>
      <c r="BU694" s="845"/>
      <c r="BV694" s="845"/>
      <c r="BW694" s="845"/>
      <c r="BX694" s="845"/>
      <c r="BY694" s="845"/>
      <c r="BZ694" s="845"/>
      <c r="CA694" s="845"/>
      <c r="CB694" s="845"/>
      <c r="CC694" s="845"/>
    </row>
    <row r="695" spans="1:81" ht="14.25" customHeight="1">
      <c r="A695" s="976" t="s">
        <v>3905</v>
      </c>
      <c r="B695" s="976" t="s">
        <v>1255</v>
      </c>
      <c r="C695" s="977">
        <v>1828000540</v>
      </c>
      <c r="D695" s="976" t="s">
        <v>279</v>
      </c>
      <c r="E695" s="976">
        <v>8</v>
      </c>
      <c r="F695" s="976">
        <v>8</v>
      </c>
      <c r="G695" s="976">
        <v>6</v>
      </c>
      <c r="H695" s="976">
        <v>15.82039</v>
      </c>
      <c r="I695" s="976"/>
      <c r="J695" s="976">
        <v>0</v>
      </c>
      <c r="K695" s="976">
        <v>15.82039</v>
      </c>
      <c r="L695" s="978">
        <v>9.8203899999999997</v>
      </c>
      <c r="M695" s="976" t="s">
        <v>3583</v>
      </c>
      <c r="N695" s="976">
        <v>21.093853333333332</v>
      </c>
      <c r="O695" s="735">
        <f t="shared" si="32"/>
        <v>13.093853333333332</v>
      </c>
      <c r="P695" s="738">
        <f t="shared" si="30"/>
        <v>21093.853333333333</v>
      </c>
      <c r="Q695" s="751">
        <f t="shared" si="31"/>
        <v>21000</v>
      </c>
      <c r="U695" s="747"/>
      <c r="V695" s="988"/>
      <c r="W695" s="1024"/>
    </row>
    <row r="696" spans="1:81" ht="14.25" customHeight="1">
      <c r="A696" s="976" t="s">
        <v>3909</v>
      </c>
      <c r="B696" s="976" t="s">
        <v>1255</v>
      </c>
      <c r="C696" s="977">
        <v>1828000780</v>
      </c>
      <c r="D696" s="976" t="s">
        <v>280</v>
      </c>
      <c r="E696" s="976">
        <v>400</v>
      </c>
      <c r="F696" s="976">
        <v>400</v>
      </c>
      <c r="G696" s="976">
        <v>300</v>
      </c>
      <c r="H696" s="976">
        <v>149.67248000000001</v>
      </c>
      <c r="I696" s="976"/>
      <c r="J696" s="1041">
        <v>154</v>
      </c>
      <c r="K696" s="976">
        <v>303.67248000000001</v>
      </c>
      <c r="L696" s="978">
        <v>3.6724800000000073</v>
      </c>
      <c r="M696" s="976" t="s">
        <v>3583</v>
      </c>
      <c r="N696" s="976">
        <v>404.89664000000005</v>
      </c>
      <c r="O696" s="735">
        <f t="shared" si="32"/>
        <v>4.8966400000000476</v>
      </c>
      <c r="P696" s="738">
        <f t="shared" si="30"/>
        <v>404896.64000000007</v>
      </c>
      <c r="Q696" s="751">
        <f t="shared" si="31"/>
        <v>405000</v>
      </c>
      <c r="U696" s="747"/>
      <c r="V696" s="988"/>
      <c r="W696" s="1024"/>
    </row>
    <row r="697" spans="1:81" ht="14.25" customHeight="1">
      <c r="A697" s="976" t="s">
        <v>3912</v>
      </c>
      <c r="B697" s="976" t="s">
        <v>1255</v>
      </c>
      <c r="C697" s="977">
        <v>1828000781</v>
      </c>
      <c r="D697" s="976" t="s">
        <v>862</v>
      </c>
      <c r="E697" s="976">
        <v>50</v>
      </c>
      <c r="F697" s="976">
        <v>50</v>
      </c>
      <c r="G697" s="976">
        <v>37.5</v>
      </c>
      <c r="H697" s="976">
        <v>19.911999999999999</v>
      </c>
      <c r="I697" s="976"/>
      <c r="J697" s="1041">
        <v>38</v>
      </c>
      <c r="K697" s="976">
        <v>57.911999999999999</v>
      </c>
      <c r="L697" s="978">
        <v>20.411999999999999</v>
      </c>
      <c r="M697" s="976" t="s">
        <v>3583</v>
      </c>
      <c r="N697" s="976">
        <v>77.215999999999994</v>
      </c>
      <c r="O697" s="735">
        <f t="shared" si="32"/>
        <v>27.215999999999994</v>
      </c>
      <c r="P697" s="738">
        <f t="shared" si="30"/>
        <v>77216</v>
      </c>
      <c r="Q697" s="751">
        <f t="shared" si="31"/>
        <v>77000</v>
      </c>
      <c r="U697" s="747"/>
      <c r="V697" s="988"/>
      <c r="W697" s="1024"/>
    </row>
    <row r="698" spans="1:81" ht="14.25" customHeight="1">
      <c r="A698" s="976" t="s">
        <v>3867</v>
      </c>
      <c r="B698" s="976" t="s">
        <v>1255</v>
      </c>
      <c r="C698" s="977">
        <v>1828100410</v>
      </c>
      <c r="D698" s="976" t="s">
        <v>304</v>
      </c>
      <c r="E698" s="976">
        <v>160</v>
      </c>
      <c r="F698" s="976">
        <v>160</v>
      </c>
      <c r="G698" s="976">
        <v>120</v>
      </c>
      <c r="H698" s="976">
        <v>144.9</v>
      </c>
      <c r="I698" s="976"/>
      <c r="J698" s="1032">
        <v>-36</v>
      </c>
      <c r="K698" s="976">
        <v>108.9</v>
      </c>
      <c r="L698" s="978">
        <v>-11.099999999999994</v>
      </c>
      <c r="M698" s="976" t="s">
        <v>3583</v>
      </c>
      <c r="N698" s="976">
        <v>145.20000000000002</v>
      </c>
      <c r="O698" s="735">
        <f t="shared" si="32"/>
        <v>-14.799999999999983</v>
      </c>
      <c r="P698" s="738">
        <f t="shared" si="30"/>
        <v>145200.00000000003</v>
      </c>
      <c r="Q698" s="751">
        <f t="shared" si="31"/>
        <v>145000</v>
      </c>
      <c r="U698" s="747"/>
      <c r="V698" s="988"/>
      <c r="W698" s="1024"/>
    </row>
    <row r="699" spans="1:81" s="883" customFormat="1" ht="14.25" customHeight="1">
      <c r="A699" s="976" t="s">
        <v>3913</v>
      </c>
      <c r="B699" s="976" t="s">
        <v>1255</v>
      </c>
      <c r="C699" s="977">
        <v>1828100750</v>
      </c>
      <c r="D699" s="976" t="s">
        <v>288</v>
      </c>
      <c r="E699" s="976">
        <v>480</v>
      </c>
      <c r="F699" s="976">
        <v>480</v>
      </c>
      <c r="G699" s="976">
        <v>360</v>
      </c>
      <c r="H699" s="976">
        <v>297.37299999999999</v>
      </c>
      <c r="I699" s="976"/>
      <c r="J699" s="1041">
        <v>179</v>
      </c>
      <c r="K699" s="976">
        <v>476.37299999999999</v>
      </c>
      <c r="L699" s="978">
        <v>116.37299999999999</v>
      </c>
      <c r="M699" s="976" t="s">
        <v>3583</v>
      </c>
      <c r="N699" s="976">
        <v>635.16399999999999</v>
      </c>
      <c r="O699" s="735">
        <f t="shared" si="32"/>
        <v>155.16399999999999</v>
      </c>
      <c r="P699" s="738">
        <f t="shared" si="30"/>
        <v>635164</v>
      </c>
      <c r="Q699" s="751">
        <f t="shared" si="31"/>
        <v>635000</v>
      </c>
      <c r="R699" s="882"/>
      <c r="S699" s="882"/>
      <c r="T699" s="882"/>
      <c r="U699" s="882"/>
      <c r="V699" s="988"/>
      <c r="W699" s="1024"/>
      <c r="X699" s="882"/>
      <c r="Y699" s="882"/>
      <c r="Z699" s="882"/>
      <c r="AA699" s="882"/>
      <c r="AB699" s="882"/>
      <c r="AC699" s="882"/>
      <c r="AD699" s="882"/>
      <c r="AE699" s="882"/>
      <c r="AF699" s="882"/>
      <c r="AG699" s="882"/>
      <c r="AH699" s="882"/>
      <c r="AI699" s="882"/>
      <c r="AJ699" s="882"/>
      <c r="AK699" s="882"/>
      <c r="AL699" s="882"/>
      <c r="AM699" s="882"/>
      <c r="AN699" s="882"/>
      <c r="AO699" s="882"/>
      <c r="AP699" s="882"/>
      <c r="AQ699" s="882"/>
      <c r="AR699" s="882"/>
      <c r="AS699" s="882"/>
      <c r="AT699" s="882"/>
      <c r="AU699" s="882"/>
      <c r="AV699" s="882"/>
      <c r="AW699" s="882"/>
      <c r="AX699" s="882"/>
      <c r="AY699" s="882"/>
      <c r="AZ699" s="882"/>
      <c r="BA699" s="882"/>
      <c r="BB699" s="882"/>
      <c r="BC699" s="882"/>
      <c r="BD699" s="882"/>
      <c r="BE699" s="882"/>
      <c r="BF699" s="882"/>
      <c r="BG699" s="882"/>
      <c r="BH699" s="882"/>
      <c r="BI699" s="882"/>
      <c r="BJ699" s="882"/>
      <c r="BK699" s="882"/>
      <c r="BL699" s="882"/>
      <c r="BM699" s="882"/>
      <c r="BN699" s="882"/>
      <c r="BO699" s="882"/>
      <c r="BP699" s="882"/>
      <c r="BQ699" s="882"/>
      <c r="BR699" s="882"/>
      <c r="BS699" s="882"/>
      <c r="BT699" s="882"/>
      <c r="BU699" s="882"/>
      <c r="BV699" s="882"/>
      <c r="BW699" s="882"/>
      <c r="BX699" s="882"/>
      <c r="BY699" s="882"/>
      <c r="BZ699" s="882"/>
      <c r="CA699" s="882"/>
      <c r="CB699" s="882"/>
      <c r="CC699" s="882"/>
    </row>
    <row r="700" spans="1:81" ht="14.25" customHeight="1">
      <c r="A700" s="976" t="s">
        <v>3909</v>
      </c>
      <c r="B700" s="976" t="s">
        <v>1255</v>
      </c>
      <c r="C700" s="977">
        <v>1828100780</v>
      </c>
      <c r="D700" s="976" t="s">
        <v>280</v>
      </c>
      <c r="E700" s="976">
        <v>500</v>
      </c>
      <c r="F700" s="976">
        <v>550</v>
      </c>
      <c r="G700" s="976">
        <v>375</v>
      </c>
      <c r="H700" s="976">
        <v>206.12454</v>
      </c>
      <c r="I700" s="976"/>
      <c r="J700" s="1041">
        <v>177</v>
      </c>
      <c r="K700" s="976">
        <v>383.12454000000002</v>
      </c>
      <c r="L700" s="978">
        <v>8.1245400000000245</v>
      </c>
      <c r="M700" s="976" t="s">
        <v>3583</v>
      </c>
      <c r="N700" s="976">
        <v>510.83272000000005</v>
      </c>
      <c r="O700" s="735">
        <f t="shared" si="32"/>
        <v>10.832720000000052</v>
      </c>
      <c r="P700" s="738">
        <f t="shared" si="30"/>
        <v>510832.72000000003</v>
      </c>
      <c r="Q700" s="751">
        <f t="shared" si="31"/>
        <v>511000</v>
      </c>
      <c r="U700" s="747"/>
      <c r="V700" s="988"/>
      <c r="W700" s="1024"/>
    </row>
    <row r="701" spans="1:81" ht="14.25" customHeight="1">
      <c r="A701" s="976" t="s">
        <v>3936</v>
      </c>
      <c r="B701" s="976" t="s">
        <v>1255</v>
      </c>
      <c r="C701" s="977">
        <v>1828100813</v>
      </c>
      <c r="D701" s="976" t="s">
        <v>3358</v>
      </c>
      <c r="E701" s="976">
        <v>100</v>
      </c>
      <c r="F701" s="976">
        <v>100</v>
      </c>
      <c r="G701" s="976">
        <v>75</v>
      </c>
      <c r="H701" s="976">
        <v>70.588399999999993</v>
      </c>
      <c r="I701" s="976"/>
      <c r="J701" s="1041">
        <v>5</v>
      </c>
      <c r="K701" s="976">
        <v>75.588399999999993</v>
      </c>
      <c r="L701" s="978">
        <v>0.58839999999999293</v>
      </c>
      <c r="M701" s="976" t="s">
        <v>3583</v>
      </c>
      <c r="N701" s="976">
        <v>100.78453333333333</v>
      </c>
      <c r="O701" s="735">
        <f t="shared" si="32"/>
        <v>0.78453333333332864</v>
      </c>
      <c r="P701" s="738">
        <f t="shared" si="30"/>
        <v>100784.53333333333</v>
      </c>
      <c r="Q701" s="751">
        <f t="shared" si="31"/>
        <v>101000</v>
      </c>
      <c r="U701" s="747"/>
      <c r="V701" s="988"/>
      <c r="W701" s="1024"/>
    </row>
    <row r="702" spans="1:81" s="883" customFormat="1" ht="14.25" customHeight="1">
      <c r="A702" s="976" t="s">
        <v>3913</v>
      </c>
      <c r="B702" s="976" t="s">
        <v>1255</v>
      </c>
      <c r="C702" s="977">
        <v>1828300750</v>
      </c>
      <c r="D702" s="976" t="s">
        <v>288</v>
      </c>
      <c r="E702" s="976">
        <v>435</v>
      </c>
      <c r="F702" s="976">
        <v>435</v>
      </c>
      <c r="G702" s="976">
        <v>326.25</v>
      </c>
      <c r="H702" s="976">
        <v>204.7</v>
      </c>
      <c r="I702" s="976"/>
      <c r="J702" s="1041">
        <v>136</v>
      </c>
      <c r="K702" s="976">
        <v>340.7</v>
      </c>
      <c r="L702" s="978">
        <v>14.449999999999989</v>
      </c>
      <c r="M702" s="976" t="s">
        <v>3583</v>
      </c>
      <c r="N702" s="976">
        <v>454.26666666666665</v>
      </c>
      <c r="O702" s="735">
        <f t="shared" si="32"/>
        <v>19.266666666666652</v>
      </c>
      <c r="P702" s="738">
        <f t="shared" si="30"/>
        <v>454266.66666666663</v>
      </c>
      <c r="Q702" s="751">
        <f t="shared" si="31"/>
        <v>454000</v>
      </c>
      <c r="R702" s="882"/>
      <c r="S702" s="882"/>
      <c r="T702" s="882"/>
      <c r="U702" s="882"/>
      <c r="V702" s="988"/>
      <c r="W702" s="1024"/>
      <c r="X702" s="882"/>
      <c r="Y702" s="882"/>
      <c r="Z702" s="882"/>
      <c r="AA702" s="882"/>
      <c r="AB702" s="882"/>
      <c r="AC702" s="882"/>
      <c r="AD702" s="882"/>
      <c r="AE702" s="882"/>
      <c r="AF702" s="882"/>
      <c r="AG702" s="882"/>
      <c r="AH702" s="882"/>
      <c r="AI702" s="882"/>
      <c r="AJ702" s="882"/>
      <c r="AK702" s="882"/>
      <c r="AL702" s="882"/>
      <c r="AM702" s="882"/>
      <c r="AN702" s="882"/>
      <c r="AO702" s="882"/>
      <c r="AP702" s="882"/>
      <c r="AQ702" s="882"/>
      <c r="AR702" s="882"/>
      <c r="AS702" s="882"/>
      <c r="AT702" s="882"/>
      <c r="AU702" s="882"/>
      <c r="AV702" s="882"/>
      <c r="AW702" s="882"/>
      <c r="AX702" s="882"/>
      <c r="AY702" s="882"/>
      <c r="AZ702" s="882"/>
      <c r="BA702" s="882"/>
      <c r="BB702" s="882"/>
      <c r="BC702" s="882"/>
      <c r="BD702" s="882"/>
      <c r="BE702" s="882"/>
      <c r="BF702" s="882"/>
      <c r="BG702" s="882"/>
      <c r="BH702" s="882"/>
      <c r="BI702" s="882"/>
      <c r="BJ702" s="882"/>
      <c r="BK702" s="882"/>
      <c r="BL702" s="882"/>
      <c r="BM702" s="882"/>
      <c r="BN702" s="882"/>
      <c r="BO702" s="882"/>
      <c r="BP702" s="882"/>
      <c r="BQ702" s="882"/>
      <c r="BR702" s="882"/>
      <c r="BS702" s="882"/>
      <c r="BT702" s="882"/>
      <c r="BU702" s="882"/>
      <c r="BV702" s="882"/>
      <c r="BW702" s="882"/>
      <c r="BX702" s="882"/>
      <c r="BY702" s="882"/>
      <c r="BZ702" s="882"/>
      <c r="CA702" s="882"/>
      <c r="CB702" s="882"/>
      <c r="CC702" s="882"/>
    </row>
    <row r="703" spans="1:81" ht="14.25" customHeight="1">
      <c r="A703" s="976" t="s">
        <v>3909</v>
      </c>
      <c r="B703" s="976" t="s">
        <v>1255</v>
      </c>
      <c r="C703" s="977">
        <v>1828300780</v>
      </c>
      <c r="D703" s="976" t="s">
        <v>280</v>
      </c>
      <c r="E703" s="976">
        <v>240</v>
      </c>
      <c r="F703" s="976">
        <v>240</v>
      </c>
      <c r="G703" s="976">
        <v>180</v>
      </c>
      <c r="H703" s="976">
        <v>123.73275</v>
      </c>
      <c r="I703" s="976"/>
      <c r="J703" s="1041">
        <v>59</v>
      </c>
      <c r="K703" s="976">
        <v>182.73275000000001</v>
      </c>
      <c r="L703" s="978">
        <v>2.73275000000001</v>
      </c>
      <c r="M703" s="976" t="s">
        <v>3583</v>
      </c>
      <c r="N703" s="976">
        <v>243.64366666666669</v>
      </c>
      <c r="O703" s="735">
        <f t="shared" si="32"/>
        <v>3.6436666666666895</v>
      </c>
      <c r="P703" s="738">
        <f t="shared" si="30"/>
        <v>243643.66666666669</v>
      </c>
      <c r="Q703" s="751">
        <f t="shared" si="31"/>
        <v>244000</v>
      </c>
      <c r="U703" s="747"/>
      <c r="V703" s="988"/>
      <c r="W703" s="1024"/>
    </row>
    <row r="704" spans="1:81" ht="14.25" customHeight="1">
      <c r="A704" s="976" t="s">
        <v>3909</v>
      </c>
      <c r="B704" s="976" t="s">
        <v>1255</v>
      </c>
      <c r="C704" s="977">
        <v>1828400780</v>
      </c>
      <c r="D704" s="976" t="s">
        <v>87</v>
      </c>
      <c r="E704" s="976">
        <v>219</v>
      </c>
      <c r="F704" s="976">
        <v>219</v>
      </c>
      <c r="G704" s="976">
        <v>164.25</v>
      </c>
      <c r="H704" s="976">
        <v>0</v>
      </c>
      <c r="I704" s="976"/>
      <c r="J704" s="1041">
        <v>164</v>
      </c>
      <c r="K704" s="976">
        <v>164</v>
      </c>
      <c r="L704" s="978">
        <v>-0.25</v>
      </c>
      <c r="M704" s="976" t="s">
        <v>3625</v>
      </c>
      <c r="N704" s="976">
        <v>218.66666666666666</v>
      </c>
      <c r="O704" s="735">
        <f t="shared" si="32"/>
        <v>-0.33333333333334281</v>
      </c>
      <c r="P704" s="738">
        <f t="shared" si="30"/>
        <v>218666.66666666666</v>
      </c>
      <c r="Q704" s="751">
        <f t="shared" si="31"/>
        <v>219000</v>
      </c>
      <c r="U704" s="747"/>
      <c r="V704" s="988"/>
      <c r="W704" s="1024"/>
    </row>
    <row r="705" spans="1:81" ht="14.25" customHeight="1">
      <c r="A705" s="976" t="s">
        <v>3868</v>
      </c>
      <c r="B705" s="976" t="s">
        <v>1255</v>
      </c>
      <c r="C705" s="977">
        <v>1829300430</v>
      </c>
      <c r="D705" s="976" t="s">
        <v>3372</v>
      </c>
      <c r="E705" s="976">
        <v>32</v>
      </c>
      <c r="F705" s="976">
        <v>32</v>
      </c>
      <c r="G705" s="976">
        <v>24</v>
      </c>
      <c r="H705" s="976">
        <v>19.144880000000001</v>
      </c>
      <c r="I705" s="976"/>
      <c r="J705" s="1041">
        <v>5</v>
      </c>
      <c r="K705" s="976">
        <v>24.144880000000001</v>
      </c>
      <c r="L705" s="978">
        <v>0.14488000000000056</v>
      </c>
      <c r="M705" s="976" t="s">
        <v>3583</v>
      </c>
      <c r="N705" s="976">
        <v>32.193173333333334</v>
      </c>
      <c r="O705" s="735">
        <f t="shared" si="32"/>
        <v>0.19317333333333409</v>
      </c>
      <c r="P705" s="738">
        <f t="shared" si="30"/>
        <v>32193.173333333332</v>
      </c>
      <c r="Q705" s="751">
        <f t="shared" si="31"/>
        <v>32000</v>
      </c>
      <c r="U705" s="747"/>
      <c r="V705" s="988"/>
      <c r="W705" s="1024"/>
    </row>
    <row r="706" spans="1:81" ht="14.25" customHeight="1">
      <c r="A706" s="976" t="s">
        <v>3905</v>
      </c>
      <c r="B706" s="976" t="s">
        <v>1255</v>
      </c>
      <c r="C706" s="977">
        <v>1829300540</v>
      </c>
      <c r="D706" s="976" t="s">
        <v>279</v>
      </c>
      <c r="E706" s="976">
        <v>19</v>
      </c>
      <c r="F706" s="976">
        <v>19</v>
      </c>
      <c r="G706" s="976">
        <v>14.25</v>
      </c>
      <c r="H706" s="976">
        <v>4.1282399999999999</v>
      </c>
      <c r="I706" s="976"/>
      <c r="J706" s="1041">
        <v>10</v>
      </c>
      <c r="K706" s="976">
        <v>14.12824</v>
      </c>
      <c r="L706" s="978">
        <v>-0.12176000000000009</v>
      </c>
      <c r="M706" s="976" t="s">
        <v>3583</v>
      </c>
      <c r="N706" s="976">
        <v>18.837653333333336</v>
      </c>
      <c r="O706" s="735">
        <f t="shared" si="32"/>
        <v>-0.16234666666666442</v>
      </c>
      <c r="P706" s="738">
        <f t="shared" si="30"/>
        <v>18837.653333333335</v>
      </c>
      <c r="Q706" s="751">
        <f t="shared" si="31"/>
        <v>19000</v>
      </c>
      <c r="U706" s="747"/>
      <c r="V706" s="988"/>
      <c r="W706" s="1024"/>
    </row>
    <row r="707" spans="1:81" ht="14.25" customHeight="1">
      <c r="A707" s="976" t="s">
        <v>3913</v>
      </c>
      <c r="B707" s="976" t="s">
        <v>1255</v>
      </c>
      <c r="C707" s="977">
        <v>1829300750</v>
      </c>
      <c r="D707" s="976" t="s">
        <v>288</v>
      </c>
      <c r="E707" s="976">
        <v>616</v>
      </c>
      <c r="F707" s="976">
        <v>616</v>
      </c>
      <c r="G707" s="976">
        <v>462</v>
      </c>
      <c r="H707" s="976">
        <v>490.41699999999997</v>
      </c>
      <c r="I707" s="976"/>
      <c r="J707" s="1041">
        <v>282</v>
      </c>
      <c r="K707" s="976">
        <v>772.41699999999992</v>
      </c>
      <c r="L707" s="978">
        <v>310.41699999999992</v>
      </c>
      <c r="M707" s="976" t="s">
        <v>3653</v>
      </c>
      <c r="N707" s="976">
        <v>1029.8893333333333</v>
      </c>
      <c r="O707" s="735">
        <f t="shared" si="32"/>
        <v>413.8893333333333</v>
      </c>
      <c r="P707" s="738">
        <f t="shared" si="30"/>
        <v>1029889.3333333333</v>
      </c>
      <c r="Q707" s="751">
        <f t="shared" si="31"/>
        <v>1030000</v>
      </c>
      <c r="U707" s="747"/>
      <c r="V707" s="988"/>
      <c r="W707" s="1024"/>
    </row>
    <row r="708" spans="1:81" ht="14.25" customHeight="1">
      <c r="A708" s="976" t="s">
        <v>3909</v>
      </c>
      <c r="B708" s="976" t="s">
        <v>1255</v>
      </c>
      <c r="C708" s="977">
        <v>1829300780</v>
      </c>
      <c r="D708" s="976" t="s">
        <v>280</v>
      </c>
      <c r="E708" s="976">
        <v>200</v>
      </c>
      <c r="F708" s="976">
        <v>200</v>
      </c>
      <c r="G708" s="976">
        <v>150</v>
      </c>
      <c r="H708" s="976">
        <v>94.340450000000004</v>
      </c>
      <c r="I708" s="976"/>
      <c r="J708" s="1041">
        <v>77</v>
      </c>
      <c r="K708" s="976">
        <v>171.34045</v>
      </c>
      <c r="L708" s="978">
        <v>21.340450000000004</v>
      </c>
      <c r="M708" s="976" t="s">
        <v>3583</v>
      </c>
      <c r="N708" s="976">
        <v>228.45393333333334</v>
      </c>
      <c r="O708" s="735">
        <f t="shared" si="32"/>
        <v>28.453933333333339</v>
      </c>
      <c r="P708" s="738">
        <f t="shared" si="30"/>
        <v>228453.93333333335</v>
      </c>
      <c r="Q708" s="751">
        <f t="shared" si="31"/>
        <v>228000</v>
      </c>
      <c r="U708" s="747"/>
      <c r="V708" s="988"/>
      <c r="W708" s="1024"/>
    </row>
    <row r="709" spans="1:81" ht="14.25" customHeight="1">
      <c r="A709" s="976" t="s">
        <v>3912</v>
      </c>
      <c r="B709" s="976"/>
      <c r="C709" s="977">
        <v>1829300781</v>
      </c>
      <c r="D709" s="976" t="s">
        <v>3373</v>
      </c>
      <c r="E709" s="976">
        <v>45</v>
      </c>
      <c r="F709" s="976">
        <v>45</v>
      </c>
      <c r="G709" s="976">
        <v>33.75</v>
      </c>
      <c r="H709" s="976">
        <v>0</v>
      </c>
      <c r="I709" s="976"/>
      <c r="J709" s="1041">
        <v>34</v>
      </c>
      <c r="K709" s="976">
        <v>34</v>
      </c>
      <c r="L709" s="978">
        <v>0.25</v>
      </c>
      <c r="M709" s="976" t="s">
        <v>3583</v>
      </c>
      <c r="N709" s="976">
        <v>45.333333333333336</v>
      </c>
      <c r="O709" s="735">
        <f t="shared" si="32"/>
        <v>0.3333333333333357</v>
      </c>
      <c r="P709" s="738">
        <f t="shared" si="30"/>
        <v>45333.333333333336</v>
      </c>
      <c r="Q709" s="751">
        <f t="shared" si="31"/>
        <v>45000</v>
      </c>
      <c r="U709" s="747"/>
      <c r="V709" s="988"/>
      <c r="W709" s="1024"/>
    </row>
    <row r="710" spans="1:81" ht="14.25" customHeight="1">
      <c r="A710" s="976" t="s">
        <v>3931</v>
      </c>
      <c r="B710" s="976" t="s">
        <v>1255</v>
      </c>
      <c r="C710" s="977">
        <v>1829300810</v>
      </c>
      <c r="D710" s="976" t="s">
        <v>699</v>
      </c>
      <c r="E710" s="976">
        <v>427.54500000000002</v>
      </c>
      <c r="F710" s="976">
        <v>427.54500000000002</v>
      </c>
      <c r="G710" s="976">
        <v>320.65875</v>
      </c>
      <c r="H710" s="976">
        <v>137.84186</v>
      </c>
      <c r="I710" s="976"/>
      <c r="J710" s="1041">
        <v>201</v>
      </c>
      <c r="K710" s="976">
        <v>338.84186</v>
      </c>
      <c r="L710" s="978">
        <v>18.183109999999999</v>
      </c>
      <c r="M710" s="976" t="s">
        <v>3583</v>
      </c>
      <c r="N710" s="976">
        <v>451.78914666666668</v>
      </c>
      <c r="O710" s="735">
        <f t="shared" si="32"/>
        <v>24.244146666666666</v>
      </c>
      <c r="P710" s="738">
        <f t="shared" si="30"/>
        <v>451789.14666666667</v>
      </c>
      <c r="Q710" s="751">
        <f t="shared" si="31"/>
        <v>452000</v>
      </c>
      <c r="U710" s="747"/>
      <c r="V710" s="988"/>
      <c r="W710" s="1024"/>
      <c r="AY710" s="845"/>
      <c r="AZ710" s="845"/>
      <c r="BA710" s="845"/>
      <c r="BB710" s="845"/>
      <c r="BC710" s="845"/>
      <c r="BD710" s="845"/>
      <c r="BE710" s="845"/>
      <c r="BF710" s="845"/>
      <c r="BG710" s="845"/>
      <c r="BH710" s="845"/>
      <c r="BI710" s="845"/>
      <c r="BJ710" s="845"/>
      <c r="BK710" s="845"/>
      <c r="BL710" s="845"/>
      <c r="BM710" s="845"/>
      <c r="BN710" s="845"/>
      <c r="BO710" s="845"/>
      <c r="BP710" s="845"/>
      <c r="BQ710" s="845"/>
      <c r="BR710" s="845"/>
      <c r="BS710" s="845"/>
      <c r="BT710" s="845"/>
      <c r="BU710" s="845"/>
      <c r="BV710" s="845"/>
      <c r="BW710" s="845"/>
      <c r="BX710" s="845"/>
      <c r="BY710" s="845"/>
      <c r="BZ710" s="845"/>
      <c r="CA710" s="845"/>
      <c r="CB710" s="845"/>
      <c r="CC710" s="845"/>
    </row>
    <row r="711" spans="1:81" ht="14.25" customHeight="1">
      <c r="A711" s="976" t="s">
        <v>3934</v>
      </c>
      <c r="B711" s="976" t="s">
        <v>1255</v>
      </c>
      <c r="C711" s="977">
        <v>1829300811</v>
      </c>
      <c r="D711" s="976" t="s">
        <v>3374</v>
      </c>
      <c r="E711" s="976">
        <v>0</v>
      </c>
      <c r="F711" s="976">
        <v>0</v>
      </c>
      <c r="G711" s="976">
        <v>0</v>
      </c>
      <c r="H711" s="976">
        <v>0</v>
      </c>
      <c r="I711" s="976"/>
      <c r="J711" s="976"/>
      <c r="K711" s="976">
        <v>0</v>
      </c>
      <c r="L711" s="978">
        <v>0</v>
      </c>
      <c r="M711" s="976"/>
      <c r="N711" s="976">
        <v>0</v>
      </c>
      <c r="O711" s="735">
        <f t="shared" si="32"/>
        <v>0</v>
      </c>
      <c r="P711" s="738">
        <f t="shared" si="30"/>
        <v>0</v>
      </c>
      <c r="Q711" s="751">
        <f t="shared" si="31"/>
        <v>0</v>
      </c>
      <c r="U711" s="747"/>
      <c r="V711" s="988"/>
      <c r="W711" s="1024"/>
      <c r="AY711" s="845"/>
      <c r="AZ711" s="845"/>
      <c r="BA711" s="845"/>
      <c r="BB711" s="845"/>
      <c r="BC711" s="845"/>
      <c r="BD711" s="845"/>
      <c r="BE711" s="845"/>
      <c r="BF711" s="845"/>
      <c r="BG711" s="845"/>
      <c r="BH711" s="845"/>
      <c r="BI711" s="845"/>
      <c r="BJ711" s="845"/>
      <c r="BK711" s="845"/>
      <c r="BL711" s="845"/>
      <c r="BM711" s="845"/>
      <c r="BN711" s="845"/>
      <c r="BO711" s="845"/>
      <c r="BP711" s="845"/>
      <c r="BQ711" s="845"/>
      <c r="BR711" s="845"/>
      <c r="BS711" s="845"/>
      <c r="BT711" s="845"/>
      <c r="BU711" s="845"/>
      <c r="BV711" s="845"/>
      <c r="BW711" s="845"/>
      <c r="BX711" s="845"/>
      <c r="BY711" s="845"/>
      <c r="BZ711" s="845"/>
      <c r="CA711" s="845"/>
      <c r="CB711" s="845"/>
      <c r="CC711" s="845"/>
    </row>
    <row r="712" spans="1:81" ht="14.25" customHeight="1">
      <c r="A712" s="976" t="s">
        <v>3931</v>
      </c>
      <c r="B712" s="976" t="s">
        <v>1260</v>
      </c>
      <c r="C712" s="977">
        <v>1832400810</v>
      </c>
      <c r="D712" s="976" t="s">
        <v>704</v>
      </c>
      <c r="E712" s="976">
        <v>22</v>
      </c>
      <c r="F712" s="976">
        <v>22</v>
      </c>
      <c r="G712" s="976">
        <v>16.5</v>
      </c>
      <c r="H712" s="976">
        <v>43.411900000000003</v>
      </c>
      <c r="I712" s="976"/>
      <c r="J712" s="976"/>
      <c r="K712" s="976">
        <v>43.411900000000003</v>
      </c>
      <c r="L712" s="978">
        <v>26.911900000000003</v>
      </c>
      <c r="M712" s="976"/>
      <c r="N712" s="976">
        <v>57.882533333333335</v>
      </c>
      <c r="O712" s="735">
        <f t="shared" si="32"/>
        <v>35.882533333333335</v>
      </c>
      <c r="P712" s="738">
        <f t="shared" ref="P712:P775" si="33">N712*1000</f>
        <v>57882.533333333333</v>
      </c>
      <c r="Q712" s="751">
        <f t="shared" ref="Q712:Q775" si="34">ROUND(P712,-3)</f>
        <v>58000</v>
      </c>
      <c r="U712" s="747"/>
      <c r="V712" s="988"/>
      <c r="W712" s="1024"/>
    </row>
    <row r="713" spans="1:81" s="866" customFormat="1" ht="14.25" customHeight="1">
      <c r="A713" s="976" t="s">
        <v>3935</v>
      </c>
      <c r="B713" s="976" t="s">
        <v>1255</v>
      </c>
      <c r="C713" s="977">
        <v>1829300812</v>
      </c>
      <c r="D713" s="976" t="s">
        <v>701</v>
      </c>
      <c r="E713" s="976">
        <v>1685.5</v>
      </c>
      <c r="F713" s="976">
        <v>1685.5</v>
      </c>
      <c r="G713" s="976">
        <v>1264.125</v>
      </c>
      <c r="H713" s="976">
        <v>1042.27809</v>
      </c>
      <c r="I713" s="976"/>
      <c r="J713" s="1041">
        <v>223</v>
      </c>
      <c r="K713" s="976">
        <v>1265.27809</v>
      </c>
      <c r="L713" s="978">
        <v>1.1530900000000202</v>
      </c>
      <c r="M713" s="976" t="s">
        <v>3583</v>
      </c>
      <c r="N713" s="976">
        <v>1687.0374533333334</v>
      </c>
      <c r="O713" s="735">
        <f t="shared" ref="O713:O776" si="35">N713-E713</f>
        <v>1.5374533333333602</v>
      </c>
      <c r="P713" s="738">
        <f t="shared" si="33"/>
        <v>1687037.4533333334</v>
      </c>
      <c r="Q713" s="751">
        <f t="shared" si="34"/>
        <v>1687000</v>
      </c>
      <c r="R713" s="865"/>
      <c r="S713" s="865"/>
      <c r="T713" s="865"/>
      <c r="U713" s="865"/>
      <c r="V713" s="988"/>
      <c r="W713" s="1024"/>
      <c r="X713" s="865"/>
      <c r="Y713" s="865"/>
      <c r="Z713" s="865"/>
      <c r="AA713" s="865"/>
      <c r="AB713" s="865"/>
      <c r="AC713" s="865"/>
      <c r="AD713" s="865"/>
      <c r="AE713" s="865"/>
      <c r="AF713" s="865"/>
      <c r="AG713" s="865"/>
      <c r="AH713" s="865"/>
      <c r="AI713" s="865"/>
      <c r="AJ713" s="865"/>
      <c r="AK713" s="865"/>
      <c r="AL713" s="865"/>
      <c r="AM713" s="865"/>
      <c r="AN713" s="865"/>
      <c r="AO713" s="865"/>
      <c r="AP713" s="865"/>
      <c r="AQ713" s="865"/>
      <c r="AR713" s="865"/>
      <c r="AS713" s="865"/>
      <c r="AT713" s="865"/>
      <c r="AU713" s="865"/>
      <c r="AV713" s="865"/>
      <c r="AW713" s="865"/>
      <c r="AX713" s="865"/>
    </row>
    <row r="714" spans="1:81" ht="14.25" customHeight="1">
      <c r="A714" s="976" t="s">
        <v>3931</v>
      </c>
      <c r="B714" s="976" t="s">
        <v>1260</v>
      </c>
      <c r="C714" s="977">
        <v>1836200810</v>
      </c>
      <c r="D714" s="976" t="s">
        <v>708</v>
      </c>
      <c r="E714" s="976">
        <v>240</v>
      </c>
      <c r="F714" s="976">
        <v>240</v>
      </c>
      <c r="G714" s="976">
        <v>180</v>
      </c>
      <c r="H714" s="976">
        <v>181.577</v>
      </c>
      <c r="I714" s="976"/>
      <c r="J714" s="976"/>
      <c r="K714" s="976">
        <v>181.577</v>
      </c>
      <c r="L714" s="978">
        <v>1.5769999999999982</v>
      </c>
      <c r="M714" s="976" t="s">
        <v>3630</v>
      </c>
      <c r="N714" s="976">
        <v>242.10266666666666</v>
      </c>
      <c r="O714" s="735">
        <f t="shared" si="35"/>
        <v>2.1026666666666642</v>
      </c>
      <c r="P714" s="738">
        <f t="shared" si="33"/>
        <v>242102.66666666666</v>
      </c>
      <c r="Q714" s="751">
        <f t="shared" si="34"/>
        <v>242000</v>
      </c>
      <c r="U714" s="747"/>
      <c r="V714" s="988"/>
      <c r="W714" s="1024"/>
    </row>
    <row r="715" spans="1:81" ht="14.25" customHeight="1">
      <c r="A715" s="976" t="s">
        <v>3931</v>
      </c>
      <c r="B715" s="976" t="s">
        <v>1265</v>
      </c>
      <c r="C715" s="977">
        <v>1851000810</v>
      </c>
      <c r="D715" s="976" t="s">
        <v>831</v>
      </c>
      <c r="E715" s="976">
        <v>5400</v>
      </c>
      <c r="F715" s="976">
        <v>5400</v>
      </c>
      <c r="G715" s="976">
        <v>4050</v>
      </c>
      <c r="H715" s="976">
        <v>3312.8020000000001</v>
      </c>
      <c r="I715" s="976"/>
      <c r="J715" s="1041">
        <v>520</v>
      </c>
      <c r="K715" s="976">
        <v>3832.8020000000001</v>
      </c>
      <c r="L715" s="978">
        <v>-217.19799999999987</v>
      </c>
      <c r="M715" s="976" t="s">
        <v>3654</v>
      </c>
      <c r="N715" s="976">
        <v>5110.4026666666668</v>
      </c>
      <c r="O715" s="735">
        <f t="shared" si="35"/>
        <v>-289.59733333333315</v>
      </c>
      <c r="P715" s="738">
        <f t="shared" si="33"/>
        <v>5110402.666666667</v>
      </c>
      <c r="Q715" s="751">
        <f t="shared" si="34"/>
        <v>5110000</v>
      </c>
      <c r="U715" s="747"/>
      <c r="V715" s="988"/>
      <c r="W715" s="1024"/>
      <c r="AY715" s="845"/>
      <c r="AZ715" s="845"/>
      <c r="BA715" s="845"/>
      <c r="BB715" s="845"/>
      <c r="BC715" s="845"/>
      <c r="BD715" s="845"/>
      <c r="BE715" s="845"/>
      <c r="BF715" s="845"/>
      <c r="BG715" s="845"/>
      <c r="BH715" s="845"/>
      <c r="BI715" s="845"/>
      <c r="BJ715" s="845"/>
      <c r="BK715" s="845"/>
      <c r="BL715" s="845"/>
      <c r="BM715" s="845"/>
      <c r="BN715" s="845"/>
      <c r="BO715" s="845"/>
      <c r="BP715" s="845"/>
      <c r="BQ715" s="845"/>
      <c r="BR715" s="845"/>
      <c r="BS715" s="845"/>
      <c r="BT715" s="845"/>
      <c r="BU715" s="845"/>
      <c r="BV715" s="845"/>
      <c r="BW715" s="845"/>
      <c r="BX715" s="845"/>
      <c r="BY715" s="845"/>
      <c r="BZ715" s="845"/>
      <c r="CA715" s="845"/>
      <c r="CB715" s="845"/>
      <c r="CC715" s="845"/>
    </row>
    <row r="716" spans="1:81" ht="14.25" customHeight="1">
      <c r="A716" s="976" t="s">
        <v>3867</v>
      </c>
      <c r="B716" s="976" t="s">
        <v>1267</v>
      </c>
      <c r="C716" s="977">
        <v>1860000410</v>
      </c>
      <c r="D716" s="976" t="s">
        <v>304</v>
      </c>
      <c r="E716" s="976">
        <v>0</v>
      </c>
      <c r="F716" s="976">
        <v>0</v>
      </c>
      <c r="G716" s="976">
        <v>0</v>
      </c>
      <c r="H716" s="976">
        <v>0</v>
      </c>
      <c r="I716" s="976"/>
      <c r="J716" s="976"/>
      <c r="K716" s="976">
        <v>0</v>
      </c>
      <c r="L716" s="978">
        <v>0</v>
      </c>
      <c r="M716" s="976"/>
      <c r="N716" s="976">
        <v>0</v>
      </c>
      <c r="O716" s="735">
        <f t="shared" si="35"/>
        <v>0</v>
      </c>
      <c r="P716" s="738">
        <f t="shared" si="33"/>
        <v>0</v>
      </c>
      <c r="Q716" s="751">
        <f t="shared" si="34"/>
        <v>0</v>
      </c>
      <c r="U716" s="747"/>
      <c r="V716" s="988"/>
      <c r="W716" s="1024"/>
    </row>
    <row r="717" spans="1:81" ht="14.25" customHeight="1">
      <c r="A717" s="976" t="s">
        <v>3868</v>
      </c>
      <c r="B717" s="976" t="s">
        <v>1267</v>
      </c>
      <c r="C717" s="977">
        <v>1860000430</v>
      </c>
      <c r="D717" s="976" t="s">
        <v>311</v>
      </c>
      <c r="E717" s="976">
        <v>28</v>
      </c>
      <c r="F717" s="976">
        <v>28</v>
      </c>
      <c r="G717" s="976">
        <v>21</v>
      </c>
      <c r="H717" s="976">
        <v>9.5769000000000002</v>
      </c>
      <c r="I717" s="976"/>
      <c r="J717" s="1041">
        <v>11</v>
      </c>
      <c r="K717" s="976">
        <v>20.576900000000002</v>
      </c>
      <c r="L717" s="978">
        <v>-0.42309999999999803</v>
      </c>
      <c r="M717" s="976" t="s">
        <v>3583</v>
      </c>
      <c r="N717" s="976">
        <v>27.435866666666669</v>
      </c>
      <c r="O717" s="735">
        <f t="shared" si="35"/>
        <v>-0.56413333333333071</v>
      </c>
      <c r="P717" s="738">
        <f t="shared" si="33"/>
        <v>27435.866666666669</v>
      </c>
      <c r="Q717" s="751">
        <f t="shared" si="34"/>
        <v>27000</v>
      </c>
      <c r="U717" s="747"/>
      <c r="V717" s="988"/>
      <c r="W717" s="1024"/>
      <c r="AY717" s="845"/>
      <c r="AZ717" s="845"/>
      <c r="BA717" s="845"/>
      <c r="BB717" s="845"/>
      <c r="BC717" s="845"/>
      <c r="BD717" s="845"/>
      <c r="BE717" s="845"/>
      <c r="BF717" s="845"/>
      <c r="BG717" s="845"/>
      <c r="BH717" s="845"/>
      <c r="BI717" s="845"/>
      <c r="BJ717" s="845"/>
      <c r="BK717" s="845"/>
      <c r="BL717" s="845"/>
      <c r="BM717" s="845"/>
      <c r="BN717" s="845"/>
      <c r="BO717" s="845"/>
      <c r="BP717" s="845"/>
      <c r="BQ717" s="845"/>
      <c r="BR717" s="845"/>
      <c r="BS717" s="845"/>
      <c r="BT717" s="845"/>
      <c r="BU717" s="845"/>
      <c r="BV717" s="845"/>
      <c r="BW717" s="845"/>
      <c r="BX717" s="845"/>
      <c r="BY717" s="845"/>
      <c r="BZ717" s="845"/>
      <c r="CA717" s="845"/>
      <c r="CB717" s="845"/>
      <c r="CC717" s="845"/>
    </row>
    <row r="718" spans="1:81" ht="14.25" customHeight="1">
      <c r="A718" s="976" t="s">
        <v>3905</v>
      </c>
      <c r="B718" s="976" t="s">
        <v>1267</v>
      </c>
      <c r="C718" s="977">
        <v>1860000540</v>
      </c>
      <c r="D718" s="976" t="s">
        <v>279</v>
      </c>
      <c r="E718" s="976">
        <v>11</v>
      </c>
      <c r="F718" s="976">
        <v>11</v>
      </c>
      <c r="G718" s="976">
        <v>8.25</v>
      </c>
      <c r="H718" s="976">
        <v>7.5539899999999998</v>
      </c>
      <c r="I718" s="976"/>
      <c r="J718" s="976">
        <v>0</v>
      </c>
      <c r="K718" s="976">
        <v>7.5539899999999998</v>
      </c>
      <c r="L718" s="978">
        <v>-0.69601000000000024</v>
      </c>
      <c r="M718" s="976" t="s">
        <v>3583</v>
      </c>
      <c r="N718" s="976">
        <v>10.071986666666668</v>
      </c>
      <c r="O718" s="735">
        <f t="shared" si="35"/>
        <v>-0.92801333333333247</v>
      </c>
      <c r="P718" s="738">
        <f t="shared" si="33"/>
        <v>10071.986666666668</v>
      </c>
      <c r="Q718" s="751">
        <f t="shared" si="34"/>
        <v>10000</v>
      </c>
      <c r="U718" s="747"/>
      <c r="V718" s="988"/>
      <c r="W718" s="1024"/>
      <c r="AY718" s="845"/>
      <c r="AZ718" s="845"/>
      <c r="BA718" s="845"/>
      <c r="BB718" s="845"/>
      <c r="BC718" s="845"/>
      <c r="BD718" s="845"/>
      <c r="BE718" s="845"/>
      <c r="BF718" s="845"/>
      <c r="BG718" s="845"/>
      <c r="BH718" s="845"/>
      <c r="BI718" s="845"/>
      <c r="BJ718" s="845"/>
      <c r="BK718" s="845"/>
      <c r="BL718" s="845"/>
      <c r="BM718" s="845"/>
      <c r="BN718" s="845"/>
      <c r="BO718" s="845"/>
      <c r="BP718" s="845"/>
      <c r="BQ718" s="845"/>
      <c r="BR718" s="845"/>
      <c r="BS718" s="845"/>
      <c r="BT718" s="845"/>
      <c r="BU718" s="845"/>
      <c r="BV718" s="845"/>
      <c r="BW718" s="845"/>
      <c r="BX718" s="845"/>
      <c r="BY718" s="845"/>
      <c r="BZ718" s="845"/>
      <c r="CA718" s="845"/>
      <c r="CB718" s="845"/>
      <c r="CC718" s="845"/>
    </row>
    <row r="719" spans="1:81" ht="14.25" customHeight="1">
      <c r="A719" s="976" t="s">
        <v>3922</v>
      </c>
      <c r="B719" s="976" t="s">
        <v>1267</v>
      </c>
      <c r="C719" s="977">
        <v>1860000550</v>
      </c>
      <c r="D719" s="976" t="s">
        <v>318</v>
      </c>
      <c r="E719" s="976">
        <v>0</v>
      </c>
      <c r="F719" s="976">
        <v>0</v>
      </c>
      <c r="G719" s="976">
        <v>0</v>
      </c>
      <c r="H719" s="976">
        <v>0</v>
      </c>
      <c r="I719" s="976"/>
      <c r="J719" s="976"/>
      <c r="K719" s="976">
        <v>0</v>
      </c>
      <c r="L719" s="978">
        <v>0</v>
      </c>
      <c r="M719" s="976"/>
      <c r="N719" s="976">
        <v>0</v>
      </c>
      <c r="O719" s="735">
        <f t="shared" si="35"/>
        <v>0</v>
      </c>
      <c r="P719" s="738">
        <f t="shared" si="33"/>
        <v>0</v>
      </c>
      <c r="Q719" s="751">
        <f t="shared" si="34"/>
        <v>0</v>
      </c>
      <c r="U719" s="747"/>
      <c r="V719" s="988"/>
      <c r="W719" s="1024"/>
    </row>
    <row r="720" spans="1:81" ht="14.25" customHeight="1">
      <c r="A720" s="976" t="s">
        <v>3913</v>
      </c>
      <c r="B720" s="976" t="s">
        <v>1267</v>
      </c>
      <c r="C720" s="977">
        <v>1860000750</v>
      </c>
      <c r="D720" s="976" t="s">
        <v>288</v>
      </c>
      <c r="E720" s="976">
        <v>300</v>
      </c>
      <c r="F720" s="976">
        <v>300</v>
      </c>
      <c r="G720" s="976">
        <v>225</v>
      </c>
      <c r="H720" s="976">
        <v>136.37982</v>
      </c>
      <c r="I720" s="976"/>
      <c r="J720" s="1041">
        <v>97</v>
      </c>
      <c r="K720" s="976">
        <v>233.37982</v>
      </c>
      <c r="L720" s="978">
        <v>8.3798199999999952</v>
      </c>
      <c r="M720" s="976" t="s">
        <v>3583</v>
      </c>
      <c r="N720" s="976">
        <v>311.17309333333333</v>
      </c>
      <c r="O720" s="735">
        <f t="shared" si="35"/>
        <v>11.173093333333327</v>
      </c>
      <c r="P720" s="738">
        <f t="shared" si="33"/>
        <v>311173.09333333332</v>
      </c>
      <c r="Q720" s="751">
        <f t="shared" si="34"/>
        <v>311000</v>
      </c>
      <c r="U720" s="747"/>
      <c r="V720" s="988"/>
      <c r="W720" s="1024"/>
    </row>
    <row r="721" spans="1:81" ht="14.25" customHeight="1">
      <c r="A721" s="976" t="s">
        <v>3914</v>
      </c>
      <c r="B721" s="976" t="s">
        <v>1267</v>
      </c>
      <c r="C721" s="977">
        <v>1860000751</v>
      </c>
      <c r="D721" s="976" t="s">
        <v>3375</v>
      </c>
      <c r="E721" s="976">
        <v>150</v>
      </c>
      <c r="F721" s="976">
        <v>150</v>
      </c>
      <c r="G721" s="976">
        <v>112.5</v>
      </c>
      <c r="H721" s="976">
        <v>89.069000000000003</v>
      </c>
      <c r="I721" s="976"/>
      <c r="J721" s="1032">
        <v>-7</v>
      </c>
      <c r="K721" s="976">
        <v>82.069000000000003</v>
      </c>
      <c r="L721" s="978">
        <v>-30.430999999999997</v>
      </c>
      <c r="M721" s="976" t="s">
        <v>3583</v>
      </c>
      <c r="N721" s="976">
        <v>109.42533333333333</v>
      </c>
      <c r="O721" s="735">
        <f t="shared" si="35"/>
        <v>-40.574666666666673</v>
      </c>
      <c r="P721" s="738">
        <f t="shared" si="33"/>
        <v>109425.33333333333</v>
      </c>
      <c r="Q721" s="751">
        <f t="shared" si="34"/>
        <v>109000</v>
      </c>
      <c r="U721" s="747"/>
      <c r="V721" s="988"/>
      <c r="W721" s="1024"/>
    </row>
    <row r="722" spans="1:81" ht="14.25" customHeight="1">
      <c r="A722" s="976" t="s">
        <v>3915</v>
      </c>
      <c r="B722" s="976" t="s">
        <v>1267</v>
      </c>
      <c r="C722" s="977">
        <v>1860000752</v>
      </c>
      <c r="D722" s="976" t="s">
        <v>3376</v>
      </c>
      <c r="E722" s="976">
        <v>137</v>
      </c>
      <c r="F722" s="976">
        <v>137</v>
      </c>
      <c r="G722" s="976">
        <v>102.75</v>
      </c>
      <c r="H722" s="976">
        <v>22.548770000000001</v>
      </c>
      <c r="I722" s="976"/>
      <c r="J722" s="1041">
        <v>80</v>
      </c>
      <c r="K722" s="976">
        <v>102.54877</v>
      </c>
      <c r="L722" s="978">
        <v>-0.20122999999999536</v>
      </c>
      <c r="M722" s="976" t="s">
        <v>3583</v>
      </c>
      <c r="N722" s="976">
        <v>136.73169333333334</v>
      </c>
      <c r="O722" s="735">
        <f t="shared" si="35"/>
        <v>-0.26830666666666048</v>
      </c>
      <c r="P722" s="738">
        <f t="shared" si="33"/>
        <v>136731.69333333333</v>
      </c>
      <c r="Q722" s="751">
        <f t="shared" si="34"/>
        <v>137000</v>
      </c>
      <c r="U722" s="747"/>
      <c r="V722" s="988"/>
      <c r="W722" s="1024"/>
    </row>
    <row r="723" spans="1:81" ht="14.25" customHeight="1">
      <c r="A723" s="976" t="s">
        <v>3916</v>
      </c>
      <c r="B723" s="976"/>
      <c r="C723" s="977">
        <v>1860000753</v>
      </c>
      <c r="D723" s="976" t="s">
        <v>1539</v>
      </c>
      <c r="E723" s="976">
        <v>100</v>
      </c>
      <c r="F723" s="976">
        <v>100</v>
      </c>
      <c r="G723" s="976">
        <v>75</v>
      </c>
      <c r="H723" s="976">
        <v>21.837</v>
      </c>
      <c r="I723" s="976"/>
      <c r="J723" s="1041">
        <v>63</v>
      </c>
      <c r="K723" s="976">
        <v>84.837000000000003</v>
      </c>
      <c r="L723" s="978">
        <v>9.8370000000000033</v>
      </c>
      <c r="M723" s="976" t="s">
        <v>3583</v>
      </c>
      <c r="N723" s="976">
        <v>113.11600000000001</v>
      </c>
      <c r="O723" s="735">
        <f t="shared" si="35"/>
        <v>13.116000000000014</v>
      </c>
      <c r="P723" s="738">
        <f t="shared" si="33"/>
        <v>113116.00000000001</v>
      </c>
      <c r="Q723" s="751">
        <f t="shared" si="34"/>
        <v>113000</v>
      </c>
      <c r="U723" s="747"/>
      <c r="V723" s="988"/>
      <c r="W723" s="1024"/>
    </row>
    <row r="724" spans="1:81" ht="14.25" customHeight="1">
      <c r="A724" s="976" t="s">
        <v>3909</v>
      </c>
      <c r="B724" s="976" t="s">
        <v>1267</v>
      </c>
      <c r="C724" s="977">
        <v>1860000780</v>
      </c>
      <c r="D724" s="976" t="s">
        <v>280</v>
      </c>
      <c r="E724" s="976">
        <v>5</v>
      </c>
      <c r="F724" s="976">
        <v>5</v>
      </c>
      <c r="G724" s="976">
        <v>3.75</v>
      </c>
      <c r="H724" s="976">
        <v>8.1063600000000005</v>
      </c>
      <c r="I724" s="976"/>
      <c r="J724" s="1032">
        <v>-4</v>
      </c>
      <c r="K724" s="976">
        <v>4.1063600000000005</v>
      </c>
      <c r="L724" s="978">
        <v>0.35636000000000045</v>
      </c>
      <c r="M724" s="976" t="s">
        <v>3583</v>
      </c>
      <c r="N724" s="976">
        <v>5.4751466666666673</v>
      </c>
      <c r="O724" s="735">
        <f t="shared" si="35"/>
        <v>0.47514666666666727</v>
      </c>
      <c r="P724" s="738">
        <f t="shared" si="33"/>
        <v>5475.1466666666674</v>
      </c>
      <c r="Q724" s="751">
        <f t="shared" si="34"/>
        <v>5000</v>
      </c>
      <c r="U724" s="747"/>
      <c r="V724" s="988"/>
      <c r="W724" s="1024"/>
    </row>
    <row r="725" spans="1:81" ht="14.25" customHeight="1">
      <c r="A725" s="976" t="s">
        <v>3908</v>
      </c>
      <c r="B725" s="976" t="s">
        <v>1270</v>
      </c>
      <c r="C725" s="977">
        <v>1870000530</v>
      </c>
      <c r="D725" s="976" t="s">
        <v>277</v>
      </c>
      <c r="E725" s="976">
        <v>80</v>
      </c>
      <c r="F725" s="976">
        <v>80</v>
      </c>
      <c r="G725" s="976">
        <v>60</v>
      </c>
      <c r="H725" s="976">
        <v>31.762709999999998</v>
      </c>
      <c r="I725" s="976"/>
      <c r="J725" s="1041">
        <v>1</v>
      </c>
      <c r="K725" s="976">
        <v>32.762709999999998</v>
      </c>
      <c r="L725" s="978">
        <v>-27.237290000000002</v>
      </c>
      <c r="M725" s="976" t="s">
        <v>1651</v>
      </c>
      <c r="N725" s="976">
        <v>43.683613333333334</v>
      </c>
      <c r="O725" s="735">
        <f t="shared" si="35"/>
        <v>-36.316386666666666</v>
      </c>
      <c r="P725" s="738">
        <f t="shared" si="33"/>
        <v>43683.613333333335</v>
      </c>
      <c r="Q725" s="751">
        <f t="shared" si="34"/>
        <v>44000</v>
      </c>
      <c r="U725" s="747"/>
      <c r="V725" s="988"/>
      <c r="W725" s="1024"/>
    </row>
    <row r="726" spans="1:81" ht="19.5" customHeight="1">
      <c r="A726" s="976" t="s">
        <v>3913</v>
      </c>
      <c r="B726" s="976" t="s">
        <v>1270</v>
      </c>
      <c r="C726" s="977">
        <v>1870000750</v>
      </c>
      <c r="D726" s="976" t="s">
        <v>288</v>
      </c>
      <c r="E726" s="976">
        <v>95</v>
      </c>
      <c r="F726" s="976">
        <v>120</v>
      </c>
      <c r="G726" s="976">
        <v>71.25</v>
      </c>
      <c r="H726" s="976">
        <v>0</v>
      </c>
      <c r="I726" s="976"/>
      <c r="J726" s="1041">
        <v>55</v>
      </c>
      <c r="K726" s="976">
        <v>55</v>
      </c>
      <c r="L726" s="978">
        <v>-16.25</v>
      </c>
      <c r="M726" s="976" t="s">
        <v>1651</v>
      </c>
      <c r="N726" s="976">
        <v>73.333333333333329</v>
      </c>
      <c r="O726" s="735">
        <f t="shared" si="35"/>
        <v>-21.666666666666671</v>
      </c>
      <c r="P726" s="738">
        <f t="shared" si="33"/>
        <v>73333.333333333328</v>
      </c>
      <c r="Q726" s="751">
        <f t="shared" si="34"/>
        <v>73000</v>
      </c>
      <c r="U726" s="747"/>
      <c r="V726" s="988"/>
      <c r="W726" s="1024"/>
    </row>
    <row r="727" spans="1:81" ht="19.5" customHeight="1">
      <c r="A727" s="976" t="s">
        <v>3909</v>
      </c>
      <c r="B727" s="976" t="s">
        <v>1270</v>
      </c>
      <c r="C727" s="977">
        <v>1870000780</v>
      </c>
      <c r="D727" s="976" t="s">
        <v>840</v>
      </c>
      <c r="E727" s="976">
        <v>10</v>
      </c>
      <c r="F727" s="976">
        <v>10</v>
      </c>
      <c r="G727" s="976">
        <v>7.5</v>
      </c>
      <c r="H727" s="976">
        <v>2.4569999999999999</v>
      </c>
      <c r="I727" s="976"/>
      <c r="J727" s="1041">
        <v>1</v>
      </c>
      <c r="K727" s="976">
        <v>3.4569999999999999</v>
      </c>
      <c r="L727" s="978">
        <v>-4.0430000000000001</v>
      </c>
      <c r="M727" s="976" t="s">
        <v>1651</v>
      </c>
      <c r="N727" s="976">
        <v>4.6093333333333328</v>
      </c>
      <c r="O727" s="735">
        <f t="shared" si="35"/>
        <v>-5.3906666666666672</v>
      </c>
      <c r="P727" s="738">
        <f t="shared" si="33"/>
        <v>4609.333333333333</v>
      </c>
      <c r="Q727" s="751">
        <f t="shared" si="34"/>
        <v>5000</v>
      </c>
      <c r="U727" s="747"/>
      <c r="V727" s="988"/>
      <c r="W727" s="1024"/>
      <c r="AY727" s="845"/>
      <c r="AZ727" s="845"/>
      <c r="BA727" s="845"/>
      <c r="BB727" s="845"/>
      <c r="BC727" s="845"/>
      <c r="BD727" s="845"/>
      <c r="BE727" s="845"/>
      <c r="BF727" s="845"/>
      <c r="BG727" s="845"/>
      <c r="BH727" s="845"/>
      <c r="BI727" s="845"/>
      <c r="BJ727" s="845"/>
      <c r="BK727" s="845"/>
      <c r="BL727" s="845"/>
      <c r="BM727" s="845"/>
      <c r="BN727" s="845"/>
      <c r="BO727" s="845"/>
      <c r="BP727" s="845"/>
      <c r="BQ727" s="845"/>
      <c r="BR727" s="845"/>
      <c r="BS727" s="845"/>
      <c r="BT727" s="845"/>
      <c r="BU727" s="845"/>
      <c r="BV727" s="845"/>
      <c r="BW727" s="845"/>
      <c r="BX727" s="845"/>
      <c r="BY727" s="845"/>
      <c r="BZ727" s="845"/>
      <c r="CA727" s="845"/>
      <c r="CB727" s="845"/>
      <c r="CC727" s="845"/>
    </row>
    <row r="728" spans="1:81" ht="14.25" customHeight="1">
      <c r="A728" s="976" t="s">
        <v>3909</v>
      </c>
      <c r="B728" s="976" t="s">
        <v>1270</v>
      </c>
      <c r="C728" s="988">
        <v>1879000780</v>
      </c>
      <c r="D728" s="988" t="s">
        <v>2686</v>
      </c>
      <c r="E728" s="976">
        <v>0</v>
      </c>
      <c r="F728" s="976">
        <v>0</v>
      </c>
      <c r="G728" s="976">
        <v>0</v>
      </c>
      <c r="H728" s="976">
        <v>0</v>
      </c>
      <c r="I728" s="976"/>
      <c r="J728" s="976"/>
      <c r="K728" s="976">
        <v>0</v>
      </c>
      <c r="L728" s="978">
        <v>0</v>
      </c>
      <c r="M728" s="976"/>
      <c r="N728" s="976">
        <v>0</v>
      </c>
      <c r="O728" s="735">
        <f t="shared" si="35"/>
        <v>0</v>
      </c>
      <c r="P728" s="738">
        <f t="shared" si="33"/>
        <v>0</v>
      </c>
      <c r="Q728" s="751">
        <f t="shared" si="34"/>
        <v>0</v>
      </c>
      <c r="U728" s="747"/>
      <c r="V728" s="988"/>
      <c r="W728" s="1024"/>
    </row>
    <row r="729" spans="1:81" ht="14.25" customHeight="1">
      <c r="A729" s="976" t="s">
        <v>3868</v>
      </c>
      <c r="B729" s="976" t="s">
        <v>1289</v>
      </c>
      <c r="C729" s="977">
        <v>1937000430</v>
      </c>
      <c r="D729" s="976" t="s">
        <v>311</v>
      </c>
      <c r="E729" s="976">
        <v>30</v>
      </c>
      <c r="F729" s="976">
        <v>30</v>
      </c>
      <c r="G729" s="976">
        <v>22.5</v>
      </c>
      <c r="H729" s="976">
        <v>15.937790000000001</v>
      </c>
      <c r="I729" s="976"/>
      <c r="J729" s="976"/>
      <c r="K729" s="976">
        <v>15.937790000000001</v>
      </c>
      <c r="L729" s="978">
        <v>-6.5622099999999985</v>
      </c>
      <c r="M729" s="976"/>
      <c r="N729" s="976">
        <v>21.250386666666671</v>
      </c>
      <c r="O729" s="735">
        <f t="shared" si="35"/>
        <v>-8.749613333333329</v>
      </c>
      <c r="P729" s="738">
        <f t="shared" si="33"/>
        <v>21250.386666666673</v>
      </c>
      <c r="Q729" s="751">
        <f t="shared" si="34"/>
        <v>21000</v>
      </c>
      <c r="U729" s="747"/>
      <c r="V729" s="988"/>
      <c r="W729" s="1024"/>
    </row>
    <row r="730" spans="1:81" s="892" customFormat="1" ht="24" customHeight="1">
      <c r="A730" s="976" t="s">
        <v>3913</v>
      </c>
      <c r="B730" s="976" t="s">
        <v>1289</v>
      </c>
      <c r="C730" s="977">
        <v>1937000750</v>
      </c>
      <c r="D730" s="976" t="s">
        <v>844</v>
      </c>
      <c r="E730" s="976">
        <v>16</v>
      </c>
      <c r="F730" s="976">
        <v>16</v>
      </c>
      <c r="G730" s="976">
        <v>12</v>
      </c>
      <c r="H730" s="976">
        <v>0</v>
      </c>
      <c r="I730" s="976"/>
      <c r="J730" s="976"/>
      <c r="K730" s="976">
        <v>0</v>
      </c>
      <c r="L730" s="978">
        <v>-12</v>
      </c>
      <c r="M730" s="976"/>
      <c r="N730" s="976">
        <v>0</v>
      </c>
      <c r="O730" s="735">
        <f t="shared" si="35"/>
        <v>-16</v>
      </c>
      <c r="P730" s="738">
        <f t="shared" si="33"/>
        <v>0</v>
      </c>
      <c r="Q730" s="751">
        <f t="shared" si="34"/>
        <v>0</v>
      </c>
      <c r="R730" s="872"/>
      <c r="S730" s="872"/>
      <c r="T730" s="872"/>
      <c r="U730" s="872"/>
      <c r="V730" s="988"/>
      <c r="W730" s="1024"/>
      <c r="X730" s="872"/>
      <c r="Y730" s="872"/>
      <c r="Z730" s="872"/>
      <c r="AA730" s="872"/>
      <c r="AB730" s="872"/>
      <c r="AC730" s="872"/>
      <c r="AD730" s="872"/>
      <c r="AE730" s="872"/>
      <c r="AF730" s="872"/>
      <c r="AG730" s="872"/>
      <c r="AH730" s="872"/>
      <c r="AI730" s="872"/>
      <c r="AJ730" s="872"/>
      <c r="AK730" s="872"/>
      <c r="AL730" s="872"/>
      <c r="AM730" s="872"/>
      <c r="AN730" s="872"/>
      <c r="AO730" s="872"/>
      <c r="AP730" s="872"/>
      <c r="AQ730" s="872"/>
      <c r="AR730" s="872"/>
      <c r="AS730" s="872"/>
      <c r="AT730" s="872"/>
      <c r="AU730" s="872"/>
      <c r="AV730" s="872"/>
      <c r="AW730" s="872"/>
      <c r="AX730" s="872"/>
      <c r="AY730" s="872"/>
      <c r="AZ730" s="872"/>
      <c r="BA730" s="872"/>
      <c r="BB730" s="872"/>
      <c r="BC730" s="872"/>
      <c r="BD730" s="872"/>
      <c r="BE730" s="872"/>
      <c r="BF730" s="872"/>
      <c r="BG730" s="872"/>
      <c r="BH730" s="872"/>
      <c r="BI730" s="872"/>
      <c r="BJ730" s="872"/>
      <c r="BK730" s="872"/>
      <c r="BL730" s="872"/>
      <c r="BM730" s="872"/>
      <c r="BN730" s="872"/>
      <c r="BO730" s="872"/>
      <c r="BP730" s="872"/>
      <c r="BQ730" s="872"/>
      <c r="BR730" s="872"/>
      <c r="BS730" s="872"/>
      <c r="BT730" s="872"/>
      <c r="BU730" s="872"/>
      <c r="BV730" s="872"/>
      <c r="BW730" s="872"/>
      <c r="BX730" s="872"/>
      <c r="BY730" s="872"/>
      <c r="BZ730" s="872"/>
      <c r="CA730" s="872"/>
      <c r="CB730" s="872"/>
      <c r="CC730" s="872"/>
    </row>
    <row r="731" spans="1:81" s="852" customFormat="1" ht="24" customHeight="1">
      <c r="A731" s="976" t="s">
        <v>3909</v>
      </c>
      <c r="B731" s="976" t="s">
        <v>1290</v>
      </c>
      <c r="C731" s="977">
        <v>1941000780</v>
      </c>
      <c r="D731" s="976" t="s">
        <v>280</v>
      </c>
      <c r="E731" s="976">
        <v>200</v>
      </c>
      <c r="F731" s="976">
        <v>200</v>
      </c>
      <c r="G731" s="976">
        <v>150</v>
      </c>
      <c r="H731" s="976">
        <v>127.7508</v>
      </c>
      <c r="I731" s="976"/>
      <c r="J731" s="976"/>
      <c r="K731" s="976">
        <v>127.7508</v>
      </c>
      <c r="L731" s="978">
        <v>-22.249200000000002</v>
      </c>
      <c r="M731" s="976"/>
      <c r="N731" s="976">
        <v>170.33439999999999</v>
      </c>
      <c r="O731" s="735">
        <f t="shared" si="35"/>
        <v>-29.665600000000012</v>
      </c>
      <c r="P731" s="738">
        <f t="shared" si="33"/>
        <v>170334.4</v>
      </c>
      <c r="Q731" s="751">
        <f t="shared" si="34"/>
        <v>170000</v>
      </c>
      <c r="R731" s="853"/>
      <c r="S731" s="853"/>
      <c r="T731" s="853"/>
      <c r="U731" s="853"/>
      <c r="V731" s="988"/>
      <c r="W731" s="1024"/>
      <c r="X731" s="853"/>
      <c r="Y731" s="853"/>
      <c r="Z731" s="853"/>
      <c r="AA731" s="853"/>
      <c r="AB731" s="853"/>
      <c r="AC731" s="853"/>
      <c r="AD731" s="853"/>
      <c r="AE731" s="853"/>
      <c r="AF731" s="853"/>
      <c r="AG731" s="853"/>
      <c r="AH731" s="853"/>
      <c r="AI731" s="853"/>
      <c r="AJ731" s="853"/>
      <c r="AK731" s="853"/>
      <c r="AL731" s="853"/>
      <c r="AM731" s="853"/>
      <c r="AN731" s="853"/>
      <c r="AO731" s="853"/>
      <c r="AP731" s="853"/>
      <c r="AQ731" s="853"/>
      <c r="AR731" s="853"/>
      <c r="AS731" s="853"/>
      <c r="AT731" s="853"/>
      <c r="AU731" s="853"/>
      <c r="AV731" s="853"/>
      <c r="AW731" s="853"/>
      <c r="AX731" s="853"/>
    </row>
    <row r="732" spans="1:81" s="856" customFormat="1" ht="15" customHeight="1">
      <c r="A732" s="976" t="s">
        <v>3908</v>
      </c>
      <c r="B732" s="976" t="s">
        <v>1290</v>
      </c>
      <c r="C732" s="977">
        <v>1941000530</v>
      </c>
      <c r="D732" s="976" t="s">
        <v>277</v>
      </c>
      <c r="E732" s="976">
        <v>65</v>
      </c>
      <c r="F732" s="976">
        <v>65</v>
      </c>
      <c r="G732" s="976">
        <v>48.75</v>
      </c>
      <c r="H732" s="976">
        <v>42.724449999999997</v>
      </c>
      <c r="I732" s="976"/>
      <c r="J732" s="976"/>
      <c r="K732" s="976">
        <v>42.724449999999997</v>
      </c>
      <c r="L732" s="978">
        <v>-6.0255500000000026</v>
      </c>
      <c r="M732" s="976"/>
      <c r="N732" s="976">
        <v>56.965933333333332</v>
      </c>
      <c r="O732" s="735">
        <f t="shared" si="35"/>
        <v>-8.0340666666666678</v>
      </c>
      <c r="P732" s="738">
        <f t="shared" si="33"/>
        <v>56965.933333333334</v>
      </c>
      <c r="Q732" s="751">
        <f t="shared" si="34"/>
        <v>57000</v>
      </c>
      <c r="R732" s="854"/>
      <c r="S732" s="854"/>
      <c r="T732" s="854"/>
      <c r="U732" s="855"/>
      <c r="V732" s="988"/>
      <c r="W732" s="1024"/>
      <c r="X732" s="854"/>
      <c r="Y732" s="854"/>
      <c r="Z732" s="854"/>
      <c r="AA732" s="854"/>
      <c r="AB732" s="854"/>
      <c r="AC732" s="854"/>
      <c r="AD732" s="854"/>
      <c r="AE732" s="854"/>
      <c r="AF732" s="854"/>
      <c r="AG732" s="854"/>
      <c r="AH732" s="854"/>
      <c r="AI732" s="854"/>
      <c r="AJ732" s="854"/>
      <c r="AK732" s="854"/>
      <c r="AL732" s="854"/>
      <c r="AM732" s="854"/>
      <c r="AN732" s="854"/>
      <c r="AO732" s="854"/>
      <c r="AP732" s="854"/>
      <c r="AQ732" s="854"/>
      <c r="AR732" s="854"/>
      <c r="AS732" s="854"/>
      <c r="AT732" s="854"/>
      <c r="AU732" s="854"/>
      <c r="AV732" s="854"/>
      <c r="AW732" s="854"/>
      <c r="AX732" s="854"/>
    </row>
    <row r="733" spans="1:81" s="893" customFormat="1" ht="15.75" customHeight="1">
      <c r="A733" s="979" t="s">
        <v>3577</v>
      </c>
      <c r="B733" s="976" t="s">
        <v>3862</v>
      </c>
      <c r="C733" s="980" t="s">
        <v>888</v>
      </c>
      <c r="D733" s="979" t="s">
        <v>3313</v>
      </c>
      <c r="E733" s="979">
        <v>180261.38500000001</v>
      </c>
      <c r="F733" s="979">
        <v>182346.38500000001</v>
      </c>
      <c r="G733" s="979">
        <v>135196.03875000001</v>
      </c>
      <c r="H733" s="979">
        <v>117084.76328000003</v>
      </c>
      <c r="I733" s="979">
        <v>0</v>
      </c>
      <c r="J733" s="979">
        <v>21175.932000000001</v>
      </c>
      <c r="K733" s="979">
        <v>138260.69527999996</v>
      </c>
      <c r="L733" s="979">
        <v>3064.6565300000029</v>
      </c>
      <c r="M733" s="979">
        <v>0</v>
      </c>
      <c r="N733" s="979">
        <v>184347.59370666661</v>
      </c>
      <c r="O733" s="735">
        <f t="shared" si="35"/>
        <v>4086.208706666599</v>
      </c>
      <c r="P733" s="738">
        <f t="shared" si="33"/>
        <v>184347593.70666662</v>
      </c>
      <c r="Q733" s="751">
        <f t="shared" si="34"/>
        <v>184348000</v>
      </c>
      <c r="R733" s="858"/>
      <c r="S733" s="858"/>
      <c r="T733" s="858"/>
      <c r="U733" s="858"/>
      <c r="V733" s="988"/>
      <c r="W733" s="1024"/>
      <c r="X733" s="858"/>
      <c r="Y733" s="858"/>
      <c r="Z733" s="858"/>
      <c r="AA733" s="858"/>
      <c r="AB733" s="858"/>
      <c r="AC733" s="858"/>
      <c r="AD733" s="858"/>
      <c r="AE733" s="858"/>
      <c r="AF733" s="858"/>
      <c r="AG733" s="858"/>
      <c r="AH733" s="858"/>
      <c r="AI733" s="858"/>
      <c r="AJ733" s="858"/>
      <c r="AK733" s="858"/>
      <c r="AL733" s="858"/>
      <c r="AM733" s="858"/>
      <c r="AN733" s="858"/>
      <c r="AO733" s="858"/>
      <c r="AP733" s="858"/>
      <c r="AQ733" s="858"/>
      <c r="AR733" s="858"/>
      <c r="AS733" s="858"/>
      <c r="AT733" s="858"/>
      <c r="AU733" s="858"/>
      <c r="AV733" s="858"/>
      <c r="AW733" s="858"/>
      <c r="AX733" s="858"/>
    </row>
    <row r="734" spans="1:81" s="858" customFormat="1" ht="15.75" customHeight="1">
      <c r="A734" s="984" t="s">
        <v>3577</v>
      </c>
      <c r="B734" s="976" t="s">
        <v>3862</v>
      </c>
      <c r="C734" s="985" t="s">
        <v>888</v>
      </c>
      <c r="D734" s="984" t="s">
        <v>3289</v>
      </c>
      <c r="E734" s="984">
        <v>333600.38500000001</v>
      </c>
      <c r="F734" s="984">
        <v>335685.38500000001</v>
      </c>
      <c r="G734" s="984">
        <v>250200.28875000001</v>
      </c>
      <c r="H734" s="984">
        <v>231920.70357000001</v>
      </c>
      <c r="I734" s="984">
        <v>0</v>
      </c>
      <c r="J734" s="984">
        <v>19746.529409999988</v>
      </c>
      <c r="K734" s="984">
        <v>251667.23297999997</v>
      </c>
      <c r="L734" s="984">
        <v>1466.944229999986</v>
      </c>
      <c r="M734" s="984">
        <v>0</v>
      </c>
      <c r="N734" s="984">
        <v>335556.31063999992</v>
      </c>
      <c r="O734" s="735">
        <f t="shared" si="35"/>
        <v>1955.925639999914</v>
      </c>
      <c r="P734" s="738">
        <f t="shared" si="33"/>
        <v>335556310.63999993</v>
      </c>
      <c r="Q734" s="751">
        <f t="shared" si="34"/>
        <v>335556000</v>
      </c>
      <c r="V734" s="988"/>
      <c r="W734" s="1024"/>
    </row>
    <row r="735" spans="1:81" ht="14.25" customHeight="1">
      <c r="A735" s="1013"/>
      <c r="B735" s="976"/>
      <c r="C735" s="1014"/>
      <c r="D735" s="1013"/>
      <c r="E735" s="1013"/>
      <c r="F735" s="1013"/>
      <c r="G735" s="984"/>
      <c r="H735" s="984"/>
      <c r="I735" s="984"/>
      <c r="J735" s="984"/>
      <c r="K735" s="984"/>
      <c r="L735" s="984"/>
      <c r="M735" s="984"/>
      <c r="N735" s="984"/>
      <c r="O735" s="735">
        <f t="shared" si="35"/>
        <v>0</v>
      </c>
      <c r="P735" s="738">
        <f t="shared" si="33"/>
        <v>0</v>
      </c>
      <c r="Q735" s="751">
        <f t="shared" si="34"/>
        <v>0</v>
      </c>
      <c r="U735" s="747"/>
      <c r="V735" s="988"/>
      <c r="W735" s="1024"/>
      <c r="AY735" s="845"/>
      <c r="AZ735" s="845"/>
      <c r="BA735" s="845"/>
      <c r="BB735" s="845"/>
      <c r="BC735" s="845"/>
      <c r="BD735" s="845"/>
      <c r="BE735" s="845"/>
      <c r="BF735" s="845"/>
      <c r="BG735" s="845"/>
      <c r="BH735" s="845"/>
      <c r="BI735" s="845"/>
      <c r="BJ735" s="845"/>
      <c r="BK735" s="845"/>
      <c r="BL735" s="845"/>
      <c r="BM735" s="845"/>
      <c r="BN735" s="845"/>
      <c r="BO735" s="845"/>
      <c r="BP735" s="845"/>
      <c r="BQ735" s="845"/>
      <c r="BR735" s="845"/>
      <c r="BS735" s="845"/>
      <c r="BT735" s="845"/>
      <c r="BU735" s="845"/>
      <c r="BV735" s="845"/>
      <c r="BW735" s="845"/>
      <c r="BX735" s="845"/>
      <c r="BY735" s="845"/>
      <c r="BZ735" s="845"/>
      <c r="CA735" s="845"/>
      <c r="CB735" s="845"/>
      <c r="CC735" s="845"/>
    </row>
    <row r="736" spans="1:81" ht="14.25" customHeight="1">
      <c r="A736" s="981" t="s">
        <v>1079</v>
      </c>
      <c r="B736" s="976" t="s">
        <v>1079</v>
      </c>
      <c r="C736" s="982"/>
      <c r="D736" s="981" t="s">
        <v>1485</v>
      </c>
      <c r="E736" s="981"/>
      <c r="F736" s="981"/>
      <c r="G736" s="981"/>
      <c r="H736" s="981"/>
      <c r="I736" s="981"/>
      <c r="J736" s="981"/>
      <c r="K736" s="981"/>
      <c r="L736" s="981"/>
      <c r="M736" s="981"/>
      <c r="N736" s="981"/>
      <c r="O736" s="735">
        <f t="shared" si="35"/>
        <v>0</v>
      </c>
      <c r="P736" s="738">
        <f t="shared" si="33"/>
        <v>0</v>
      </c>
      <c r="Q736" s="751">
        <f t="shared" si="34"/>
        <v>0</v>
      </c>
      <c r="V736" s="988"/>
      <c r="W736" s="1024"/>
    </row>
    <row r="737" spans="1:81" ht="14.25" customHeight="1">
      <c r="A737" s="976" t="s">
        <v>1322</v>
      </c>
      <c r="B737" s="976" t="s">
        <v>1249</v>
      </c>
      <c r="C737" s="977">
        <v>1800000110</v>
      </c>
      <c r="D737" s="976" t="s">
        <v>3377</v>
      </c>
      <c r="E737" s="976">
        <v>3621</v>
      </c>
      <c r="F737" s="976">
        <v>3621</v>
      </c>
      <c r="G737" s="976">
        <v>2715.75</v>
      </c>
      <c r="H737" s="976">
        <v>2184.6953800000001</v>
      </c>
      <c r="I737" s="976"/>
      <c r="J737" s="1032">
        <v>-99.419672500000161</v>
      </c>
      <c r="K737" s="976">
        <v>2085.2757075</v>
      </c>
      <c r="L737" s="978">
        <v>-630.47429250000005</v>
      </c>
      <c r="M737" s="976"/>
      <c r="N737" s="976">
        <v>2780.3676099999998</v>
      </c>
      <c r="O737" s="735">
        <f t="shared" si="35"/>
        <v>-840.63239000000021</v>
      </c>
      <c r="P737" s="738">
        <f t="shared" si="33"/>
        <v>2780367.61</v>
      </c>
      <c r="Q737" s="751">
        <f t="shared" si="34"/>
        <v>2780000</v>
      </c>
      <c r="V737" s="988"/>
      <c r="W737" s="1024"/>
    </row>
    <row r="738" spans="1:81" ht="14.25" customHeight="1">
      <c r="A738" s="976" t="s">
        <v>1322</v>
      </c>
      <c r="B738" s="976" t="s">
        <v>1251</v>
      </c>
      <c r="C738" s="977">
        <v>1811000110</v>
      </c>
      <c r="D738" s="976" t="s">
        <v>545</v>
      </c>
      <c r="E738" s="976">
        <v>11245</v>
      </c>
      <c r="F738" s="976">
        <v>11245</v>
      </c>
      <c r="G738" s="976">
        <v>8433.75</v>
      </c>
      <c r="H738" s="976">
        <v>7914.3085799999999</v>
      </c>
      <c r="I738" s="976"/>
      <c r="J738" s="1032">
        <v>-10</v>
      </c>
      <c r="K738" s="976">
        <v>7904.3085799999999</v>
      </c>
      <c r="L738" s="978">
        <v>-529.44142000000011</v>
      </c>
      <c r="M738" s="976"/>
      <c r="N738" s="976">
        <v>10539.078106666666</v>
      </c>
      <c r="O738" s="735">
        <f t="shared" si="35"/>
        <v>-705.92189333333408</v>
      </c>
      <c r="P738" s="738">
        <f t="shared" si="33"/>
        <v>10539078.106666666</v>
      </c>
      <c r="Q738" s="751">
        <f t="shared" si="34"/>
        <v>10539000</v>
      </c>
      <c r="V738" s="988"/>
      <c r="W738" s="1024"/>
      <c r="AY738" s="845"/>
      <c r="AZ738" s="845"/>
      <c r="BA738" s="845"/>
      <c r="BB738" s="845"/>
      <c r="BC738" s="845"/>
      <c r="BD738" s="845"/>
      <c r="BE738" s="845"/>
      <c r="BF738" s="845"/>
      <c r="BG738" s="845"/>
      <c r="BH738" s="845"/>
      <c r="BI738" s="845"/>
      <c r="BJ738" s="845"/>
      <c r="BK738" s="845"/>
      <c r="BL738" s="845"/>
      <c r="BM738" s="845"/>
      <c r="BN738" s="845"/>
      <c r="BO738" s="845"/>
      <c r="BP738" s="845"/>
      <c r="BQ738" s="845"/>
      <c r="BR738" s="845"/>
      <c r="BS738" s="845"/>
      <c r="BT738" s="845"/>
      <c r="BU738" s="845"/>
      <c r="BV738" s="845"/>
      <c r="BW738" s="845"/>
      <c r="BX738" s="845"/>
      <c r="BY738" s="845"/>
      <c r="BZ738" s="845"/>
      <c r="CA738" s="845"/>
      <c r="CB738" s="845"/>
      <c r="CC738" s="845"/>
    </row>
    <row r="739" spans="1:81" ht="14.25" customHeight="1">
      <c r="A739" s="976" t="s">
        <v>1322</v>
      </c>
      <c r="B739" s="976" t="s">
        <v>1251</v>
      </c>
      <c r="C739" s="987">
        <v>1812000110</v>
      </c>
      <c r="D739" s="987" t="s">
        <v>553</v>
      </c>
      <c r="E739" s="976">
        <v>20</v>
      </c>
      <c r="F739" s="976">
        <v>20</v>
      </c>
      <c r="G739" s="976">
        <v>15</v>
      </c>
      <c r="H739" s="976">
        <v>26.258089999999999</v>
      </c>
      <c r="I739" s="976"/>
      <c r="J739" s="1032">
        <v>-6.5918374999999969</v>
      </c>
      <c r="K739" s="976">
        <v>19.666252500000002</v>
      </c>
      <c r="L739" s="978">
        <v>4.6662525000000024</v>
      </c>
      <c r="M739" s="976"/>
      <c r="N739" s="976">
        <v>26.221670000000003</v>
      </c>
      <c r="O739" s="735">
        <f t="shared" si="35"/>
        <v>6.2216700000000031</v>
      </c>
      <c r="P739" s="738">
        <f t="shared" si="33"/>
        <v>26221.670000000002</v>
      </c>
      <c r="Q739" s="751">
        <f t="shared" si="34"/>
        <v>26000</v>
      </c>
      <c r="V739" s="988"/>
      <c r="W739" s="1024"/>
      <c r="AY739" s="845"/>
      <c r="AZ739" s="845"/>
      <c r="BA739" s="845"/>
      <c r="BB739" s="845"/>
      <c r="BC739" s="845"/>
      <c r="BD739" s="845"/>
      <c r="BE739" s="845"/>
      <c r="BF739" s="845"/>
      <c r="BG739" s="845"/>
      <c r="BH739" s="845"/>
      <c r="BI739" s="845"/>
      <c r="BJ739" s="845"/>
      <c r="BK739" s="845"/>
      <c r="BL739" s="845"/>
      <c r="BM739" s="845"/>
      <c r="BN739" s="845"/>
      <c r="BO739" s="845"/>
      <c r="BP739" s="845"/>
      <c r="BQ739" s="845"/>
      <c r="BR739" s="845"/>
      <c r="BS739" s="845"/>
      <c r="BT739" s="845"/>
      <c r="BU739" s="845"/>
      <c r="BV739" s="845"/>
      <c r="BW739" s="845"/>
      <c r="BX739" s="845"/>
      <c r="BY739" s="845"/>
      <c r="BZ739" s="845"/>
      <c r="CA739" s="845"/>
      <c r="CB739" s="845"/>
      <c r="CC739" s="845"/>
    </row>
    <row r="740" spans="1:81" ht="14.25" customHeight="1">
      <c r="A740" s="976" t="s">
        <v>1322</v>
      </c>
      <c r="B740" s="976" t="s">
        <v>1251</v>
      </c>
      <c r="C740" s="977">
        <v>1812200110</v>
      </c>
      <c r="D740" s="976" t="s">
        <v>3378</v>
      </c>
      <c r="E740" s="976">
        <v>6391</v>
      </c>
      <c r="F740" s="976">
        <v>6391</v>
      </c>
      <c r="G740" s="976">
        <v>4793.25</v>
      </c>
      <c r="H740" s="976">
        <v>5279.0255499999994</v>
      </c>
      <c r="I740" s="976"/>
      <c r="J740" s="1041">
        <v>76.111752499999966</v>
      </c>
      <c r="K740" s="976">
        <v>5355.1373024999994</v>
      </c>
      <c r="L740" s="978">
        <v>561.88730249999935</v>
      </c>
      <c r="M740" s="976"/>
      <c r="N740" s="976">
        <v>7140.1830699999991</v>
      </c>
      <c r="O740" s="735">
        <f t="shared" si="35"/>
        <v>749.18306999999913</v>
      </c>
      <c r="P740" s="738">
        <f t="shared" si="33"/>
        <v>7140183.0699999994</v>
      </c>
      <c r="Q740" s="751">
        <f t="shared" si="34"/>
        <v>7140000</v>
      </c>
      <c r="V740" s="988"/>
      <c r="W740" s="1024"/>
      <c r="AY740" s="845"/>
      <c r="AZ740" s="845"/>
      <c r="BA740" s="845"/>
      <c r="BB740" s="845"/>
      <c r="BC740" s="845"/>
      <c r="BD740" s="845"/>
      <c r="BE740" s="845"/>
      <c r="BF740" s="845"/>
      <c r="BG740" s="845"/>
      <c r="BH740" s="845"/>
      <c r="BI740" s="845"/>
      <c r="BJ740" s="845"/>
      <c r="BK740" s="845"/>
      <c r="BL740" s="845"/>
      <c r="BM740" s="845"/>
      <c r="BN740" s="845"/>
      <c r="BO740" s="845"/>
      <c r="BP740" s="845"/>
      <c r="BQ740" s="845"/>
      <c r="BR740" s="845"/>
      <c r="BS740" s="845"/>
      <c r="BT740" s="845"/>
      <c r="BU740" s="845"/>
      <c r="BV740" s="845"/>
      <c r="BW740" s="845"/>
      <c r="BX740" s="845"/>
      <c r="BY740" s="845"/>
      <c r="BZ740" s="845"/>
      <c r="CA740" s="845"/>
      <c r="CB740" s="845"/>
      <c r="CC740" s="845"/>
    </row>
    <row r="741" spans="1:81" ht="14.25" customHeight="1">
      <c r="A741" s="976" t="s">
        <v>1322</v>
      </c>
      <c r="B741" s="976" t="s">
        <v>1251</v>
      </c>
      <c r="C741" s="977">
        <v>1812300110</v>
      </c>
      <c r="D741" s="976" t="s">
        <v>3379</v>
      </c>
      <c r="E741" s="976">
        <v>7120</v>
      </c>
      <c r="F741" s="976">
        <v>7120</v>
      </c>
      <c r="G741" s="976">
        <v>5340</v>
      </c>
      <c r="H741" s="976">
        <v>5295.4562300000007</v>
      </c>
      <c r="I741" s="976"/>
      <c r="J741" s="1032">
        <v>-47.207262500000979</v>
      </c>
      <c r="K741" s="976">
        <v>5248.2489674999997</v>
      </c>
      <c r="L741" s="978">
        <v>-91.751032500000292</v>
      </c>
      <c r="M741" s="976"/>
      <c r="N741" s="976">
        <v>6997.6652899999999</v>
      </c>
      <c r="O741" s="735">
        <f t="shared" si="35"/>
        <v>-122.33471000000009</v>
      </c>
      <c r="P741" s="738">
        <f t="shared" si="33"/>
        <v>6997665.29</v>
      </c>
      <c r="Q741" s="751">
        <f t="shared" si="34"/>
        <v>6998000</v>
      </c>
      <c r="V741" s="988"/>
      <c r="W741" s="1024"/>
      <c r="AY741" s="845"/>
      <c r="AZ741" s="845"/>
      <c r="BA741" s="845"/>
      <c r="BB741" s="845"/>
      <c r="BC741" s="845"/>
      <c r="BD741" s="845"/>
      <c r="BE741" s="845"/>
      <c r="BF741" s="845"/>
      <c r="BG741" s="845"/>
      <c r="BH741" s="845"/>
      <c r="BI741" s="845"/>
      <c r="BJ741" s="845"/>
      <c r="BK741" s="845"/>
      <c r="BL741" s="845"/>
      <c r="BM741" s="845"/>
      <c r="BN741" s="845"/>
      <c r="BO741" s="845"/>
      <c r="BP741" s="845"/>
      <c r="BQ741" s="845"/>
      <c r="BR741" s="845"/>
      <c r="BS741" s="845"/>
      <c r="BT741" s="845"/>
      <c r="BU741" s="845"/>
      <c r="BV741" s="845"/>
      <c r="BW741" s="845"/>
      <c r="BX741" s="845"/>
      <c r="BY741" s="845"/>
      <c r="BZ741" s="845"/>
      <c r="CA741" s="845"/>
      <c r="CB741" s="845"/>
      <c r="CC741" s="845"/>
    </row>
    <row r="742" spans="1:81" ht="14.25" customHeight="1">
      <c r="A742" s="976" t="s">
        <v>1322</v>
      </c>
      <c r="B742" s="976" t="s">
        <v>1251</v>
      </c>
      <c r="C742" s="977">
        <v>1813100110</v>
      </c>
      <c r="D742" s="976" t="s">
        <v>3380</v>
      </c>
      <c r="E742" s="976">
        <v>20961</v>
      </c>
      <c r="F742" s="976">
        <v>20961</v>
      </c>
      <c r="G742" s="976">
        <v>15720.75</v>
      </c>
      <c r="H742" s="976">
        <v>15583.21119</v>
      </c>
      <c r="I742" s="976"/>
      <c r="J742" s="1032">
        <v>-451.21524750000208</v>
      </c>
      <c r="K742" s="976">
        <v>15131.995942499998</v>
      </c>
      <c r="L742" s="978">
        <v>-588.75405750000209</v>
      </c>
      <c r="M742" s="976"/>
      <c r="N742" s="976">
        <v>20175.994589999998</v>
      </c>
      <c r="O742" s="735">
        <f t="shared" si="35"/>
        <v>-785.00541000000158</v>
      </c>
      <c r="P742" s="738">
        <f t="shared" si="33"/>
        <v>20175994.59</v>
      </c>
      <c r="Q742" s="751">
        <f t="shared" si="34"/>
        <v>20176000</v>
      </c>
      <c r="V742" s="988"/>
      <c r="W742" s="1024"/>
      <c r="AY742" s="845"/>
      <c r="AZ742" s="845"/>
      <c r="BA742" s="845"/>
      <c r="BB742" s="845"/>
      <c r="BC742" s="845"/>
      <c r="BD742" s="845"/>
      <c r="BE742" s="845"/>
      <c r="BF742" s="845"/>
      <c r="BG742" s="845"/>
      <c r="BH742" s="845"/>
      <c r="BI742" s="845"/>
      <c r="BJ742" s="845"/>
      <c r="BK742" s="845"/>
      <c r="BL742" s="845"/>
      <c r="BM742" s="845"/>
      <c r="BN742" s="845"/>
      <c r="BO742" s="845"/>
      <c r="BP742" s="845"/>
      <c r="BQ742" s="845"/>
      <c r="BR742" s="845"/>
      <c r="BS742" s="845"/>
      <c r="BT742" s="845"/>
      <c r="BU742" s="845"/>
      <c r="BV742" s="845"/>
      <c r="BW742" s="845"/>
      <c r="BX742" s="845"/>
      <c r="BY742" s="845"/>
      <c r="BZ742" s="845"/>
      <c r="CA742" s="845"/>
      <c r="CB742" s="845"/>
      <c r="CC742" s="845"/>
    </row>
    <row r="743" spans="1:81" ht="14.25" customHeight="1">
      <c r="A743" s="976" t="s">
        <v>1322</v>
      </c>
      <c r="B743" s="976" t="s">
        <v>1251</v>
      </c>
      <c r="C743" s="977">
        <v>1813200110</v>
      </c>
      <c r="D743" s="976" t="s">
        <v>3381</v>
      </c>
      <c r="E743" s="976">
        <v>14383</v>
      </c>
      <c r="F743" s="976">
        <v>14383</v>
      </c>
      <c r="G743" s="976">
        <v>10787.25</v>
      </c>
      <c r="H743" s="976">
        <v>11809.19636</v>
      </c>
      <c r="I743" s="976"/>
      <c r="J743" s="1032">
        <v>-161.33543749999808</v>
      </c>
      <c r="K743" s="976">
        <v>11647.860922500002</v>
      </c>
      <c r="L743" s="978">
        <v>860.61092250000183</v>
      </c>
      <c r="M743" s="976"/>
      <c r="N743" s="976">
        <v>15530.481230000001</v>
      </c>
      <c r="O743" s="735">
        <f t="shared" si="35"/>
        <v>1147.4812300000012</v>
      </c>
      <c r="P743" s="738">
        <f t="shared" si="33"/>
        <v>15530481.23</v>
      </c>
      <c r="Q743" s="751">
        <f t="shared" si="34"/>
        <v>15530000</v>
      </c>
      <c r="V743" s="988"/>
      <c r="W743" s="1024"/>
      <c r="AY743" s="845"/>
      <c r="AZ743" s="845"/>
      <c r="BA743" s="845"/>
      <c r="BB743" s="845"/>
      <c r="BC743" s="845"/>
      <c r="BD743" s="845"/>
      <c r="BE743" s="845"/>
      <c r="BF743" s="845"/>
      <c r="BG743" s="845"/>
      <c r="BH743" s="845"/>
      <c r="BI743" s="845"/>
      <c r="BJ743" s="845"/>
      <c r="BK743" s="845"/>
      <c r="BL743" s="845"/>
      <c r="BM743" s="845"/>
      <c r="BN743" s="845"/>
      <c r="BO743" s="845"/>
      <c r="BP743" s="845"/>
      <c r="BQ743" s="845"/>
      <c r="BR743" s="845"/>
      <c r="BS743" s="845"/>
      <c r="BT743" s="845"/>
      <c r="BU743" s="845"/>
      <c r="BV743" s="845"/>
      <c r="BW743" s="845"/>
      <c r="BX743" s="845"/>
      <c r="BY743" s="845"/>
      <c r="BZ743" s="845"/>
      <c r="CA743" s="845"/>
      <c r="CB743" s="845"/>
      <c r="CC743" s="845"/>
    </row>
    <row r="744" spans="1:81" ht="14.25" customHeight="1">
      <c r="A744" s="976" t="s">
        <v>1322</v>
      </c>
      <c r="B744" s="976" t="s">
        <v>1251</v>
      </c>
      <c r="C744" s="977">
        <v>1813300110</v>
      </c>
      <c r="D744" s="976" t="s">
        <v>586</v>
      </c>
      <c r="E744" s="976">
        <v>1704</v>
      </c>
      <c r="F744" s="976">
        <v>1704</v>
      </c>
      <c r="G744" s="976">
        <v>1278</v>
      </c>
      <c r="H744" s="976">
        <v>2865.2878300000002</v>
      </c>
      <c r="I744" s="976"/>
      <c r="J744" s="1032">
        <v>-88.108592500000213</v>
      </c>
      <c r="K744" s="976">
        <v>2777.1792375</v>
      </c>
      <c r="L744" s="978">
        <v>1499.1792375</v>
      </c>
      <c r="M744" s="976"/>
      <c r="N744" s="976">
        <v>3702.9056499999997</v>
      </c>
      <c r="O744" s="735">
        <f t="shared" si="35"/>
        <v>1998.9056499999997</v>
      </c>
      <c r="P744" s="738">
        <f t="shared" si="33"/>
        <v>3702905.65</v>
      </c>
      <c r="Q744" s="751">
        <f t="shared" si="34"/>
        <v>3703000</v>
      </c>
      <c r="V744" s="988"/>
      <c r="W744" s="1024"/>
      <c r="AY744" s="845"/>
      <c r="AZ744" s="845"/>
      <c r="BA744" s="845"/>
      <c r="BB744" s="845"/>
      <c r="BC744" s="845"/>
      <c r="BD744" s="845"/>
      <c r="BE744" s="845"/>
      <c r="BF744" s="845"/>
      <c r="BG744" s="845"/>
      <c r="BH744" s="845"/>
      <c r="BI744" s="845"/>
      <c r="BJ744" s="845"/>
      <c r="BK744" s="845"/>
      <c r="BL744" s="845"/>
      <c r="BM744" s="845"/>
      <c r="BN744" s="845"/>
      <c r="BO744" s="845"/>
      <c r="BP744" s="845"/>
      <c r="BQ744" s="845"/>
      <c r="BR744" s="845"/>
      <c r="BS744" s="845"/>
      <c r="BT744" s="845"/>
      <c r="BU744" s="845"/>
      <c r="BV744" s="845"/>
      <c r="BW744" s="845"/>
      <c r="BX744" s="845"/>
      <c r="BY744" s="845"/>
      <c r="BZ744" s="845"/>
      <c r="CA744" s="845"/>
      <c r="CB744" s="845"/>
      <c r="CC744" s="845"/>
    </row>
    <row r="745" spans="1:81" ht="14.25" customHeight="1">
      <c r="A745" s="976" t="s">
        <v>1322</v>
      </c>
      <c r="B745" s="976" t="s">
        <v>1251</v>
      </c>
      <c r="C745" s="977">
        <v>1813700110</v>
      </c>
      <c r="D745" s="976" t="s">
        <v>603</v>
      </c>
      <c r="E745" s="976">
        <v>130</v>
      </c>
      <c r="F745" s="976">
        <v>130</v>
      </c>
      <c r="G745" s="976">
        <v>97.5</v>
      </c>
      <c r="H745" s="976">
        <v>108.35724999999999</v>
      </c>
      <c r="I745" s="976"/>
      <c r="J745" s="1032">
        <v>-3.7537749999999903</v>
      </c>
      <c r="K745" s="976">
        <v>104.603475</v>
      </c>
      <c r="L745" s="978">
        <v>7.1034750000000031</v>
      </c>
      <c r="M745" s="976"/>
      <c r="N745" s="976">
        <v>139.47130000000001</v>
      </c>
      <c r="O745" s="735">
        <f t="shared" si="35"/>
        <v>9.4713000000000136</v>
      </c>
      <c r="P745" s="738">
        <f t="shared" si="33"/>
        <v>139471.30000000002</v>
      </c>
      <c r="Q745" s="751">
        <f t="shared" si="34"/>
        <v>139000</v>
      </c>
      <c r="V745" s="988"/>
      <c r="W745" s="1024"/>
      <c r="AY745" s="845"/>
      <c r="AZ745" s="845"/>
      <c r="BA745" s="845"/>
      <c r="BB745" s="845"/>
      <c r="BC745" s="845"/>
      <c r="BD745" s="845"/>
      <c r="BE745" s="845"/>
      <c r="BF745" s="845"/>
      <c r="BG745" s="845"/>
      <c r="BH745" s="845"/>
      <c r="BI745" s="845"/>
      <c r="BJ745" s="845"/>
      <c r="BK745" s="845"/>
      <c r="BL745" s="845"/>
      <c r="BM745" s="845"/>
      <c r="BN745" s="845"/>
      <c r="BO745" s="845"/>
      <c r="BP745" s="845"/>
      <c r="BQ745" s="845"/>
      <c r="BR745" s="845"/>
      <c r="BS745" s="845"/>
      <c r="BT745" s="845"/>
      <c r="BU745" s="845"/>
      <c r="BV745" s="845"/>
      <c r="BW745" s="845"/>
      <c r="BX745" s="845"/>
      <c r="BY745" s="845"/>
      <c r="BZ745" s="845"/>
      <c r="CA745" s="845"/>
      <c r="CB745" s="845"/>
      <c r="CC745" s="845"/>
    </row>
    <row r="746" spans="1:81" ht="14.25" customHeight="1">
      <c r="A746" s="976" t="s">
        <v>1322</v>
      </c>
      <c r="B746" s="976"/>
      <c r="C746" s="977">
        <v>1815000110</v>
      </c>
      <c r="D746" s="1001" t="s">
        <v>1525</v>
      </c>
      <c r="E746" s="976">
        <v>560</v>
      </c>
      <c r="F746" s="976">
        <v>560</v>
      </c>
      <c r="G746" s="976">
        <v>420</v>
      </c>
      <c r="H746" s="976">
        <v>231.48845</v>
      </c>
      <c r="I746" s="976"/>
      <c r="J746" s="1041">
        <v>25.177232500000059</v>
      </c>
      <c r="K746" s="976">
        <v>256.66568250000006</v>
      </c>
      <c r="L746" s="978">
        <v>-163.33431749999994</v>
      </c>
      <c r="M746" s="976"/>
      <c r="N746" s="976">
        <v>342.22091000000012</v>
      </c>
      <c r="O746" s="735">
        <f t="shared" si="35"/>
        <v>-217.77908999999988</v>
      </c>
      <c r="P746" s="738">
        <f t="shared" si="33"/>
        <v>342220.91000000009</v>
      </c>
      <c r="Q746" s="751">
        <f t="shared" si="34"/>
        <v>342000</v>
      </c>
      <c r="V746" s="988"/>
      <c r="W746" s="1024"/>
      <c r="AY746" s="845"/>
      <c r="AZ746" s="845"/>
      <c r="BA746" s="845"/>
      <c r="BB746" s="845"/>
      <c r="BC746" s="845"/>
      <c r="BD746" s="845"/>
      <c r="BE746" s="845"/>
      <c r="BF746" s="845"/>
      <c r="BG746" s="845"/>
      <c r="BH746" s="845"/>
      <c r="BI746" s="845"/>
      <c r="BJ746" s="845"/>
      <c r="BK746" s="845"/>
      <c r="BL746" s="845"/>
      <c r="BM746" s="845"/>
      <c r="BN746" s="845"/>
      <c r="BO746" s="845"/>
      <c r="BP746" s="845"/>
      <c r="BQ746" s="845"/>
      <c r="BR746" s="845"/>
      <c r="BS746" s="845"/>
      <c r="BT746" s="845"/>
      <c r="BU746" s="845"/>
      <c r="BV746" s="845"/>
      <c r="BW746" s="845"/>
      <c r="BX746" s="845"/>
      <c r="BY746" s="845"/>
      <c r="BZ746" s="845"/>
      <c r="CA746" s="845"/>
      <c r="CB746" s="845"/>
      <c r="CC746" s="845"/>
    </row>
    <row r="747" spans="1:81" ht="14.25" customHeight="1">
      <c r="A747" s="976" t="s">
        <v>1322</v>
      </c>
      <c r="B747" s="976" t="s">
        <v>1251</v>
      </c>
      <c r="C747" s="977">
        <v>1815200110</v>
      </c>
      <c r="D747" s="976" t="s">
        <v>3382</v>
      </c>
      <c r="E747" s="976">
        <v>0</v>
      </c>
      <c r="F747" s="976">
        <v>0</v>
      </c>
      <c r="G747" s="976">
        <v>0</v>
      </c>
      <c r="H747" s="976">
        <v>331.99200000000002</v>
      </c>
      <c r="I747" s="976"/>
      <c r="J747" s="1032">
        <v>-82.998000000000019</v>
      </c>
      <c r="K747" s="976">
        <v>248.994</v>
      </c>
      <c r="L747" s="978">
        <v>248.994</v>
      </c>
      <c r="M747" s="976"/>
      <c r="N747" s="976">
        <v>331.99199999999996</v>
      </c>
      <c r="O747" s="735">
        <f t="shared" si="35"/>
        <v>331.99199999999996</v>
      </c>
      <c r="P747" s="738">
        <f t="shared" si="33"/>
        <v>331991.99999999994</v>
      </c>
      <c r="Q747" s="751">
        <f t="shared" si="34"/>
        <v>332000</v>
      </c>
      <c r="V747" s="988"/>
      <c r="W747" s="1024"/>
      <c r="AY747" s="845"/>
      <c r="AZ747" s="845"/>
      <c r="BA747" s="845"/>
      <c r="BB747" s="845"/>
      <c r="BC747" s="845"/>
      <c r="BD747" s="845"/>
      <c r="BE747" s="845"/>
      <c r="BF747" s="845"/>
      <c r="BG747" s="845"/>
      <c r="BH747" s="845"/>
      <c r="BI747" s="845"/>
      <c r="BJ747" s="845"/>
      <c r="BK747" s="845"/>
      <c r="BL747" s="845"/>
      <c r="BM747" s="845"/>
      <c r="BN747" s="845"/>
      <c r="BO747" s="845"/>
      <c r="BP747" s="845"/>
      <c r="BQ747" s="845"/>
      <c r="BR747" s="845"/>
      <c r="BS747" s="845"/>
      <c r="BT747" s="845"/>
      <c r="BU747" s="845"/>
      <c r="BV747" s="845"/>
      <c r="BW747" s="845"/>
      <c r="BX747" s="845"/>
      <c r="BY747" s="845"/>
      <c r="BZ747" s="845"/>
      <c r="CA747" s="845"/>
      <c r="CB747" s="845"/>
      <c r="CC747" s="845"/>
    </row>
    <row r="748" spans="1:81" ht="14.25" customHeight="1">
      <c r="A748" s="976" t="s">
        <v>1322</v>
      </c>
      <c r="B748" s="976" t="s">
        <v>1251</v>
      </c>
      <c r="C748" s="977">
        <v>1817200110</v>
      </c>
      <c r="D748" s="976" t="s">
        <v>3383</v>
      </c>
      <c r="E748" s="976">
        <v>277</v>
      </c>
      <c r="F748" s="976">
        <v>277</v>
      </c>
      <c r="G748" s="976">
        <v>207.75</v>
      </c>
      <c r="H748" s="976">
        <v>182.73926</v>
      </c>
      <c r="I748" s="976"/>
      <c r="J748" s="1032">
        <v>-23.113760000000013</v>
      </c>
      <c r="K748" s="976">
        <v>159.62549999999999</v>
      </c>
      <c r="L748" s="978">
        <v>-48.124500000000012</v>
      </c>
      <c r="M748" s="976"/>
      <c r="N748" s="976">
        <v>212.83399999999997</v>
      </c>
      <c r="O748" s="735">
        <f t="shared" si="35"/>
        <v>-64.166000000000025</v>
      </c>
      <c r="P748" s="738">
        <f t="shared" si="33"/>
        <v>212833.99999999997</v>
      </c>
      <c r="Q748" s="751">
        <f t="shared" si="34"/>
        <v>213000</v>
      </c>
      <c r="V748" s="988"/>
      <c r="W748" s="1024"/>
      <c r="AY748" s="845"/>
      <c r="AZ748" s="845"/>
      <c r="BA748" s="845"/>
      <c r="BB748" s="845"/>
      <c r="BC748" s="845"/>
      <c r="BD748" s="845"/>
      <c r="BE748" s="845"/>
      <c r="BF748" s="845"/>
      <c r="BG748" s="845"/>
      <c r="BH748" s="845"/>
      <c r="BI748" s="845"/>
      <c r="BJ748" s="845"/>
      <c r="BK748" s="845"/>
      <c r="BL748" s="845"/>
      <c r="BM748" s="845"/>
      <c r="BN748" s="845"/>
      <c r="BO748" s="845"/>
      <c r="BP748" s="845"/>
      <c r="BQ748" s="845"/>
      <c r="BR748" s="845"/>
      <c r="BS748" s="845"/>
      <c r="BT748" s="845"/>
      <c r="BU748" s="845"/>
      <c r="BV748" s="845"/>
      <c r="BW748" s="845"/>
      <c r="BX748" s="845"/>
      <c r="BY748" s="845"/>
      <c r="BZ748" s="845"/>
      <c r="CA748" s="845"/>
      <c r="CB748" s="845"/>
      <c r="CC748" s="845"/>
    </row>
    <row r="749" spans="1:81" ht="14.25" customHeight="1">
      <c r="A749" s="976" t="s">
        <v>1322</v>
      </c>
      <c r="B749" s="976" t="s">
        <v>1251</v>
      </c>
      <c r="C749" s="977">
        <v>1817300110</v>
      </c>
      <c r="D749" s="976" t="s">
        <v>617</v>
      </c>
      <c r="E749" s="976">
        <v>4828</v>
      </c>
      <c r="F749" s="976">
        <v>4828</v>
      </c>
      <c r="G749" s="976">
        <v>3621</v>
      </c>
      <c r="H749" s="976">
        <v>4133.6417499999998</v>
      </c>
      <c r="I749" s="976"/>
      <c r="J749" s="1032">
        <v>-83.675582500000019</v>
      </c>
      <c r="K749" s="976">
        <v>4049.9661674999998</v>
      </c>
      <c r="L749" s="978">
        <v>428.96616749999976</v>
      </c>
      <c r="M749" s="976"/>
      <c r="N749" s="976">
        <v>5399.95489</v>
      </c>
      <c r="O749" s="735">
        <f t="shared" si="35"/>
        <v>571.95488999999998</v>
      </c>
      <c r="P749" s="738">
        <f t="shared" si="33"/>
        <v>5399954.8899999997</v>
      </c>
      <c r="Q749" s="751">
        <f t="shared" si="34"/>
        <v>5400000</v>
      </c>
      <c r="V749" s="988"/>
      <c r="W749" s="1024"/>
      <c r="AY749" s="845"/>
      <c r="AZ749" s="845"/>
      <c r="BA749" s="845"/>
      <c r="BB749" s="845"/>
      <c r="BC749" s="845"/>
      <c r="BD749" s="845"/>
      <c r="BE749" s="845"/>
      <c r="BF749" s="845"/>
      <c r="BG749" s="845"/>
      <c r="BH749" s="845"/>
      <c r="BI749" s="845"/>
      <c r="BJ749" s="845"/>
      <c r="BK749" s="845"/>
      <c r="BL749" s="845"/>
      <c r="BM749" s="845"/>
      <c r="BN749" s="845"/>
      <c r="BO749" s="845"/>
      <c r="BP749" s="845"/>
      <c r="BQ749" s="845"/>
      <c r="BR749" s="845"/>
      <c r="BS749" s="845"/>
      <c r="BT749" s="845"/>
      <c r="BU749" s="845"/>
      <c r="BV749" s="845"/>
      <c r="BW749" s="845"/>
      <c r="BX749" s="845"/>
      <c r="BY749" s="845"/>
      <c r="BZ749" s="845"/>
      <c r="CA749" s="845"/>
      <c r="CB749" s="845"/>
      <c r="CC749" s="845"/>
    </row>
    <row r="750" spans="1:81" ht="14.25" customHeight="1">
      <c r="A750" s="976" t="s">
        <v>1322</v>
      </c>
      <c r="B750" s="976" t="s">
        <v>1251</v>
      </c>
      <c r="C750" s="977">
        <v>1812100110</v>
      </c>
      <c r="D750" s="976" t="s">
        <v>3384</v>
      </c>
      <c r="E750" s="976">
        <v>27633</v>
      </c>
      <c r="F750" s="976">
        <v>27633</v>
      </c>
      <c r="G750" s="976">
        <v>20724.75</v>
      </c>
      <c r="H750" s="976">
        <v>21832.951379999999</v>
      </c>
      <c r="I750" s="976"/>
      <c r="J750" s="1032">
        <v>-771.85054499999751</v>
      </c>
      <c r="K750" s="976">
        <v>21061.100835000001</v>
      </c>
      <c r="L750" s="978">
        <v>336.3508350000011</v>
      </c>
      <c r="M750" s="976"/>
      <c r="N750" s="976">
        <v>28081.467779999999</v>
      </c>
      <c r="O750" s="735">
        <f t="shared" si="35"/>
        <v>448.46777999999904</v>
      </c>
      <c r="P750" s="738">
        <f t="shared" si="33"/>
        <v>28081467.779999997</v>
      </c>
      <c r="Q750" s="751">
        <f t="shared" si="34"/>
        <v>28081000</v>
      </c>
      <c r="V750" s="988"/>
      <c r="W750" s="1024"/>
      <c r="AY750" s="845"/>
      <c r="AZ750" s="845"/>
      <c r="BA750" s="845"/>
      <c r="BB750" s="845"/>
      <c r="BC750" s="845"/>
      <c r="BD750" s="845"/>
      <c r="BE750" s="845"/>
      <c r="BF750" s="845"/>
      <c r="BG750" s="845"/>
      <c r="BH750" s="845"/>
      <c r="BI750" s="845"/>
      <c r="BJ750" s="845"/>
      <c r="BK750" s="845"/>
      <c r="BL750" s="845"/>
      <c r="BM750" s="845"/>
      <c r="BN750" s="845"/>
      <c r="BO750" s="845"/>
      <c r="BP750" s="845"/>
      <c r="BQ750" s="845"/>
      <c r="BR750" s="845"/>
      <c r="BS750" s="845"/>
      <c r="BT750" s="845"/>
      <c r="BU750" s="845"/>
      <c r="BV750" s="845"/>
      <c r="BW750" s="845"/>
      <c r="BX750" s="845"/>
      <c r="BY750" s="845"/>
      <c r="BZ750" s="845"/>
      <c r="CA750" s="845"/>
      <c r="CB750" s="845"/>
      <c r="CC750" s="845"/>
    </row>
    <row r="751" spans="1:81" ht="14.25" customHeight="1">
      <c r="A751" s="976" t="s">
        <v>1322</v>
      </c>
      <c r="B751" s="976" t="s">
        <v>1251</v>
      </c>
      <c r="C751" s="977">
        <v>1812500110</v>
      </c>
      <c r="D751" s="976" t="s">
        <v>3385</v>
      </c>
      <c r="E751" s="976">
        <v>0</v>
      </c>
      <c r="F751" s="976">
        <v>0</v>
      </c>
      <c r="G751" s="976">
        <v>0</v>
      </c>
      <c r="H751" s="976">
        <v>0</v>
      </c>
      <c r="I751" s="976"/>
      <c r="J751" s="976">
        <v>0</v>
      </c>
      <c r="K751" s="976">
        <v>0</v>
      </c>
      <c r="L751" s="978">
        <v>0</v>
      </c>
      <c r="M751" s="976"/>
      <c r="N751" s="976">
        <v>0</v>
      </c>
      <c r="O751" s="735">
        <f t="shared" si="35"/>
        <v>0</v>
      </c>
      <c r="P751" s="738">
        <f t="shared" si="33"/>
        <v>0</v>
      </c>
      <c r="Q751" s="751">
        <f t="shared" si="34"/>
        <v>0</v>
      </c>
      <c r="V751" s="988"/>
      <c r="W751" s="1024"/>
      <c r="AY751" s="845"/>
      <c r="AZ751" s="845"/>
      <c r="BA751" s="845"/>
      <c r="BB751" s="845"/>
      <c r="BC751" s="845"/>
      <c r="BD751" s="845"/>
      <c r="BE751" s="845"/>
      <c r="BF751" s="845"/>
      <c r="BG751" s="845"/>
      <c r="BH751" s="845"/>
      <c r="BI751" s="845"/>
      <c r="BJ751" s="845"/>
      <c r="BK751" s="845"/>
      <c r="BL751" s="845"/>
      <c r="BM751" s="845"/>
      <c r="BN751" s="845"/>
      <c r="BO751" s="845"/>
      <c r="BP751" s="845"/>
      <c r="BQ751" s="845"/>
      <c r="BR751" s="845"/>
      <c r="BS751" s="845"/>
      <c r="BT751" s="845"/>
      <c r="BU751" s="845"/>
      <c r="BV751" s="845"/>
      <c r="BW751" s="845"/>
      <c r="BX751" s="845"/>
      <c r="BY751" s="845"/>
      <c r="BZ751" s="845"/>
      <c r="CA751" s="845"/>
      <c r="CB751" s="845"/>
      <c r="CC751" s="845"/>
    </row>
    <row r="752" spans="1:81" ht="14.25" customHeight="1">
      <c r="A752" s="976" t="s">
        <v>1322</v>
      </c>
      <c r="B752" s="976" t="s">
        <v>1251</v>
      </c>
      <c r="C752" s="977">
        <v>1812600110</v>
      </c>
      <c r="D752" s="976" t="s">
        <v>3386</v>
      </c>
      <c r="E752" s="976">
        <v>3271</v>
      </c>
      <c r="F752" s="976">
        <v>3271</v>
      </c>
      <c r="G752" s="976">
        <v>2453.25</v>
      </c>
      <c r="H752" s="976">
        <v>282.95044000000001</v>
      </c>
      <c r="I752" s="976"/>
      <c r="J752" s="1041">
        <v>23.396719999999959</v>
      </c>
      <c r="K752" s="976">
        <v>306.34715999999997</v>
      </c>
      <c r="L752" s="978">
        <v>-2146.9028400000002</v>
      </c>
      <c r="M752" s="976"/>
      <c r="N752" s="976">
        <v>408.46287999999993</v>
      </c>
      <c r="O752" s="735">
        <f t="shared" si="35"/>
        <v>-2862.53712</v>
      </c>
      <c r="P752" s="738">
        <f t="shared" si="33"/>
        <v>408462.87999999995</v>
      </c>
      <c r="Q752" s="751">
        <f t="shared" si="34"/>
        <v>408000</v>
      </c>
      <c r="V752" s="988"/>
      <c r="W752" s="1024"/>
      <c r="AY752" s="845"/>
      <c r="AZ752" s="845"/>
      <c r="BA752" s="845"/>
      <c r="BB752" s="845"/>
      <c r="BC752" s="845"/>
      <c r="BD752" s="845"/>
      <c r="BE752" s="845"/>
      <c r="BF752" s="845"/>
      <c r="BG752" s="845"/>
      <c r="BH752" s="845"/>
      <c r="BI752" s="845"/>
      <c r="BJ752" s="845"/>
      <c r="BK752" s="845"/>
      <c r="BL752" s="845"/>
      <c r="BM752" s="845"/>
      <c r="BN752" s="845"/>
      <c r="BO752" s="845"/>
      <c r="BP752" s="845"/>
      <c r="BQ752" s="845"/>
      <c r="BR752" s="845"/>
      <c r="BS752" s="845"/>
      <c r="BT752" s="845"/>
      <c r="BU752" s="845"/>
      <c r="BV752" s="845"/>
      <c r="BW752" s="845"/>
      <c r="BX752" s="845"/>
      <c r="BY752" s="845"/>
      <c r="BZ752" s="845"/>
      <c r="CA752" s="845"/>
      <c r="CB752" s="845"/>
      <c r="CC752" s="845"/>
    </row>
    <row r="753" spans="1:81" ht="14.25" customHeight="1">
      <c r="A753" s="976" t="s">
        <v>1322</v>
      </c>
      <c r="B753" s="976" t="s">
        <v>1251</v>
      </c>
      <c r="C753" s="977">
        <v>1813400110</v>
      </c>
      <c r="D753" s="976" t="s">
        <v>590</v>
      </c>
      <c r="E753" s="976">
        <v>673</v>
      </c>
      <c r="F753" s="976">
        <v>673</v>
      </c>
      <c r="G753" s="976">
        <v>504.75</v>
      </c>
      <c r="H753" s="976">
        <v>694.57372999999995</v>
      </c>
      <c r="I753" s="976"/>
      <c r="J753" s="1032">
        <v>-14.939525000000003</v>
      </c>
      <c r="K753" s="976">
        <v>679.63420499999995</v>
      </c>
      <c r="L753" s="978">
        <v>174.88420499999995</v>
      </c>
      <c r="M753" s="976"/>
      <c r="N753" s="976">
        <v>906.17894000000001</v>
      </c>
      <c r="O753" s="735">
        <f t="shared" si="35"/>
        <v>233.17894000000001</v>
      </c>
      <c r="P753" s="738">
        <f t="shared" si="33"/>
        <v>906178.94000000006</v>
      </c>
      <c r="Q753" s="751">
        <f t="shared" si="34"/>
        <v>906000</v>
      </c>
      <c r="V753" s="988"/>
      <c r="W753" s="1024"/>
      <c r="AY753" s="845"/>
      <c r="AZ753" s="845"/>
      <c r="BA753" s="845"/>
      <c r="BB753" s="845"/>
      <c r="BC753" s="845"/>
      <c r="BD753" s="845"/>
      <c r="BE753" s="845"/>
      <c r="BF753" s="845"/>
      <c r="BG753" s="845"/>
      <c r="BH753" s="845"/>
      <c r="BI753" s="845"/>
      <c r="BJ753" s="845"/>
      <c r="BK753" s="845"/>
      <c r="BL753" s="845"/>
      <c r="BM753" s="845"/>
      <c r="BN753" s="845"/>
      <c r="BO753" s="845"/>
      <c r="BP753" s="845"/>
      <c r="BQ753" s="845"/>
      <c r="BR753" s="845"/>
      <c r="BS753" s="845"/>
      <c r="BT753" s="845"/>
      <c r="BU753" s="845"/>
      <c r="BV753" s="845"/>
      <c r="BW753" s="845"/>
      <c r="BX753" s="845"/>
      <c r="BY753" s="845"/>
      <c r="BZ753" s="845"/>
      <c r="CA753" s="845"/>
      <c r="CB753" s="845"/>
      <c r="CC753" s="845"/>
    </row>
    <row r="754" spans="1:81" ht="14.25" customHeight="1">
      <c r="A754" s="976" t="s">
        <v>1322</v>
      </c>
      <c r="B754" s="976" t="s">
        <v>1251</v>
      </c>
      <c r="C754" s="977">
        <v>1817400110</v>
      </c>
      <c r="D754" s="976" t="s">
        <v>3387</v>
      </c>
      <c r="E754" s="976">
        <v>60</v>
      </c>
      <c r="F754" s="976">
        <v>60</v>
      </c>
      <c r="G754" s="976">
        <v>45</v>
      </c>
      <c r="H754" s="976">
        <v>1.89E-3</v>
      </c>
      <c r="I754" s="976"/>
      <c r="J754" s="1032">
        <v>-4.7249999999999983E-4</v>
      </c>
      <c r="K754" s="976">
        <v>1.4175000000000001E-3</v>
      </c>
      <c r="L754" s="978">
        <v>-44.998582499999998</v>
      </c>
      <c r="M754" s="976"/>
      <c r="N754" s="976">
        <v>1.8900000000000002E-3</v>
      </c>
      <c r="O754" s="735">
        <f t="shared" si="35"/>
        <v>-59.998109999999997</v>
      </c>
      <c r="P754" s="738">
        <f t="shared" si="33"/>
        <v>1.8900000000000001</v>
      </c>
      <c r="Q754" s="751">
        <f t="shared" si="34"/>
        <v>0</v>
      </c>
      <c r="V754" s="988"/>
      <c r="W754" s="1024"/>
      <c r="AY754" s="845"/>
      <c r="AZ754" s="845"/>
      <c r="BA754" s="845"/>
      <c r="BB754" s="845"/>
      <c r="BC754" s="845"/>
      <c r="BD754" s="845"/>
      <c r="BE754" s="845"/>
      <c r="BF754" s="845"/>
      <c r="BG754" s="845"/>
      <c r="BH754" s="845"/>
      <c r="BI754" s="845"/>
      <c r="BJ754" s="845"/>
      <c r="BK754" s="845"/>
      <c r="BL754" s="845"/>
      <c r="BM754" s="845"/>
      <c r="BN754" s="845"/>
      <c r="BO754" s="845"/>
      <c r="BP754" s="845"/>
      <c r="BQ754" s="845"/>
      <c r="BR754" s="845"/>
      <c r="BS754" s="845"/>
      <c r="BT754" s="845"/>
      <c r="BU754" s="845"/>
      <c r="BV754" s="845"/>
      <c r="BW754" s="845"/>
      <c r="BX754" s="845"/>
      <c r="BY754" s="845"/>
      <c r="BZ754" s="845"/>
      <c r="CA754" s="845"/>
      <c r="CB754" s="845"/>
      <c r="CC754" s="845"/>
    </row>
    <row r="755" spans="1:81" ht="14.25" customHeight="1">
      <c r="A755" s="976" t="s">
        <v>1322</v>
      </c>
      <c r="B755" s="976" t="s">
        <v>1251</v>
      </c>
      <c r="C755" s="977">
        <v>1817600110</v>
      </c>
      <c r="D755" s="976" t="s">
        <v>3388</v>
      </c>
      <c r="E755" s="976">
        <v>0</v>
      </c>
      <c r="F755" s="976">
        <v>0</v>
      </c>
      <c r="G755" s="976">
        <v>0</v>
      </c>
      <c r="H755" s="976">
        <v>0</v>
      </c>
      <c r="I755" s="976"/>
      <c r="J755" s="976">
        <v>0</v>
      </c>
      <c r="K755" s="976">
        <v>0</v>
      </c>
      <c r="L755" s="978">
        <v>0</v>
      </c>
      <c r="M755" s="976"/>
      <c r="N755" s="976">
        <v>0</v>
      </c>
      <c r="O755" s="735">
        <f t="shared" si="35"/>
        <v>0</v>
      </c>
      <c r="P755" s="738">
        <f t="shared" si="33"/>
        <v>0</v>
      </c>
      <c r="Q755" s="751">
        <f t="shared" si="34"/>
        <v>0</v>
      </c>
      <c r="V755" s="988"/>
      <c r="W755" s="1024"/>
      <c r="AY755" s="845"/>
      <c r="AZ755" s="845"/>
      <c r="BA755" s="845"/>
      <c r="BB755" s="845"/>
      <c r="BC755" s="845"/>
      <c r="BD755" s="845"/>
      <c r="BE755" s="845"/>
      <c r="BF755" s="845"/>
      <c r="BG755" s="845"/>
      <c r="BH755" s="845"/>
      <c r="BI755" s="845"/>
      <c r="BJ755" s="845"/>
      <c r="BK755" s="845"/>
      <c r="BL755" s="845"/>
      <c r="BM755" s="845"/>
      <c r="BN755" s="845"/>
      <c r="BO755" s="845"/>
      <c r="BP755" s="845"/>
      <c r="BQ755" s="845"/>
      <c r="BR755" s="845"/>
      <c r="BS755" s="845"/>
      <c r="BT755" s="845"/>
      <c r="BU755" s="845"/>
      <c r="BV755" s="845"/>
      <c r="BW755" s="845"/>
      <c r="BX755" s="845"/>
      <c r="BY755" s="845"/>
      <c r="BZ755" s="845"/>
      <c r="CA755" s="845"/>
      <c r="CB755" s="845"/>
      <c r="CC755" s="845"/>
    </row>
    <row r="756" spans="1:81" ht="14.25" customHeight="1">
      <c r="A756" s="976" t="s">
        <v>1322</v>
      </c>
      <c r="B756" s="976" t="s">
        <v>1251</v>
      </c>
      <c r="C756" s="977">
        <v>1817700110</v>
      </c>
      <c r="D756" s="976" t="s">
        <v>3389</v>
      </c>
      <c r="E756" s="976">
        <v>0</v>
      </c>
      <c r="F756" s="976">
        <v>0</v>
      </c>
      <c r="G756" s="976">
        <v>0</v>
      </c>
      <c r="H756" s="976">
        <v>0</v>
      </c>
      <c r="I756" s="976"/>
      <c r="J756" s="976">
        <v>0</v>
      </c>
      <c r="K756" s="976">
        <v>0</v>
      </c>
      <c r="L756" s="978">
        <v>0</v>
      </c>
      <c r="M756" s="976"/>
      <c r="N756" s="976">
        <v>0</v>
      </c>
      <c r="O756" s="735">
        <f t="shared" si="35"/>
        <v>0</v>
      </c>
      <c r="P756" s="738">
        <f t="shared" si="33"/>
        <v>0</v>
      </c>
      <c r="Q756" s="751">
        <f t="shared" si="34"/>
        <v>0</v>
      </c>
      <c r="V756" s="988"/>
      <c r="W756" s="1024"/>
      <c r="AY756" s="845"/>
      <c r="AZ756" s="845"/>
      <c r="BA756" s="845"/>
      <c r="BB756" s="845"/>
      <c r="BC756" s="845"/>
      <c r="BD756" s="845"/>
      <c r="BE756" s="845"/>
      <c r="BF756" s="845"/>
      <c r="BG756" s="845"/>
      <c r="BH756" s="845"/>
      <c r="BI756" s="845"/>
      <c r="BJ756" s="845"/>
      <c r="BK756" s="845"/>
      <c r="BL756" s="845"/>
      <c r="BM756" s="845"/>
      <c r="BN756" s="845"/>
      <c r="BO756" s="845"/>
      <c r="BP756" s="845"/>
      <c r="BQ756" s="845"/>
      <c r="BR756" s="845"/>
      <c r="BS756" s="845"/>
      <c r="BT756" s="845"/>
      <c r="BU756" s="845"/>
      <c r="BV756" s="845"/>
      <c r="BW756" s="845"/>
      <c r="BX756" s="845"/>
      <c r="BY756" s="845"/>
      <c r="BZ756" s="845"/>
      <c r="CA756" s="845"/>
      <c r="CB756" s="845"/>
      <c r="CC756" s="845"/>
    </row>
    <row r="757" spans="1:81" s="895" customFormat="1" ht="15" customHeight="1">
      <c r="A757" s="976" t="s">
        <v>1322</v>
      </c>
      <c r="B757" s="976" t="s">
        <v>1251</v>
      </c>
      <c r="C757" s="977">
        <v>1813600110</v>
      </c>
      <c r="D757" s="976" t="s">
        <v>3390</v>
      </c>
      <c r="E757" s="976">
        <v>14540</v>
      </c>
      <c r="F757" s="976">
        <v>14540</v>
      </c>
      <c r="G757" s="976">
        <v>10905</v>
      </c>
      <c r="H757" s="976">
        <v>11108.101839999999</v>
      </c>
      <c r="I757" s="976"/>
      <c r="J757" s="1032">
        <v>-97.146647499999744</v>
      </c>
      <c r="K757" s="976">
        <v>11010.9551925</v>
      </c>
      <c r="L757" s="978">
        <v>105.95519249999961</v>
      </c>
      <c r="M757" s="976"/>
      <c r="N757" s="976">
        <v>14681.273590000001</v>
      </c>
      <c r="O757" s="735">
        <f t="shared" si="35"/>
        <v>141.27359000000069</v>
      </c>
      <c r="P757" s="738">
        <f t="shared" si="33"/>
        <v>14681273.59</v>
      </c>
      <c r="Q757" s="751">
        <f t="shared" si="34"/>
        <v>14681000</v>
      </c>
      <c r="R757" s="853"/>
      <c r="S757" s="853"/>
      <c r="T757" s="853"/>
      <c r="U757" s="894"/>
      <c r="V757" s="988"/>
      <c r="W757" s="1024"/>
      <c r="X757" s="853"/>
      <c r="Y757" s="853"/>
      <c r="Z757" s="853"/>
      <c r="AA757" s="853"/>
      <c r="AB757" s="853"/>
      <c r="AC757" s="853"/>
      <c r="AD757" s="853"/>
      <c r="AE757" s="853"/>
      <c r="AF757" s="853"/>
      <c r="AG757" s="853"/>
      <c r="AH757" s="853"/>
      <c r="AI757" s="853"/>
      <c r="AJ757" s="853"/>
      <c r="AK757" s="853"/>
      <c r="AL757" s="853"/>
      <c r="AM757" s="853"/>
      <c r="AN757" s="853"/>
      <c r="AO757" s="853"/>
      <c r="AP757" s="853"/>
      <c r="AQ757" s="853"/>
      <c r="AR757" s="853"/>
      <c r="AS757" s="853"/>
      <c r="AT757" s="853"/>
      <c r="AU757" s="853"/>
      <c r="AV757" s="853"/>
      <c r="AW757" s="853"/>
      <c r="AX757" s="853"/>
    </row>
    <row r="758" spans="1:81" s="853" customFormat="1" ht="15" customHeight="1">
      <c r="A758" s="976" t="s">
        <v>1322</v>
      </c>
      <c r="B758" s="976" t="s">
        <v>1251</v>
      </c>
      <c r="C758" s="977">
        <v>1819200110</v>
      </c>
      <c r="D758" s="976" t="s">
        <v>3391</v>
      </c>
      <c r="E758" s="976">
        <v>0</v>
      </c>
      <c r="F758" s="976">
        <v>0</v>
      </c>
      <c r="G758" s="976">
        <v>0</v>
      </c>
      <c r="H758" s="976">
        <v>0</v>
      </c>
      <c r="I758" s="976"/>
      <c r="J758" s="976">
        <v>0</v>
      </c>
      <c r="K758" s="976">
        <v>0</v>
      </c>
      <c r="L758" s="978">
        <v>0</v>
      </c>
      <c r="M758" s="976"/>
      <c r="N758" s="976">
        <v>0</v>
      </c>
      <c r="O758" s="735">
        <f t="shared" si="35"/>
        <v>0</v>
      </c>
      <c r="P758" s="738">
        <f t="shared" si="33"/>
        <v>0</v>
      </c>
      <c r="Q758" s="751">
        <f t="shared" si="34"/>
        <v>0</v>
      </c>
      <c r="U758" s="894"/>
      <c r="V758" s="988"/>
      <c r="W758" s="1024"/>
    </row>
    <row r="759" spans="1:81" s="897" customFormat="1" ht="14.25" customHeight="1">
      <c r="A759" s="976" t="s">
        <v>1322</v>
      </c>
      <c r="B759" s="976" t="s">
        <v>1251</v>
      </c>
      <c r="C759" s="977">
        <v>1819900110</v>
      </c>
      <c r="D759" s="976" t="s">
        <v>3392</v>
      </c>
      <c r="E759" s="976">
        <v>0</v>
      </c>
      <c r="F759" s="976">
        <v>0</v>
      </c>
      <c r="G759" s="976">
        <v>0</v>
      </c>
      <c r="H759" s="976">
        <v>0</v>
      </c>
      <c r="I759" s="976"/>
      <c r="J759" s="976">
        <v>0</v>
      </c>
      <c r="K759" s="976">
        <v>0</v>
      </c>
      <c r="L759" s="978">
        <v>0</v>
      </c>
      <c r="M759" s="976"/>
      <c r="N759" s="976">
        <v>0</v>
      </c>
      <c r="O759" s="735">
        <f t="shared" si="35"/>
        <v>0</v>
      </c>
      <c r="P759" s="738">
        <f t="shared" si="33"/>
        <v>0</v>
      </c>
      <c r="Q759" s="751">
        <f t="shared" si="34"/>
        <v>0</v>
      </c>
      <c r="R759" s="896"/>
      <c r="S759" s="896"/>
      <c r="T759" s="896"/>
      <c r="U759" s="855"/>
      <c r="V759" s="988"/>
      <c r="W759" s="1024"/>
      <c r="X759" s="896"/>
      <c r="Y759" s="896"/>
      <c r="Z759" s="896"/>
      <c r="AA759" s="896"/>
      <c r="AB759" s="896"/>
      <c r="AC759" s="896"/>
      <c r="AD759" s="896"/>
      <c r="AE759" s="896"/>
      <c r="AF759" s="896"/>
      <c r="AG759" s="896"/>
      <c r="AH759" s="896"/>
      <c r="AI759" s="896"/>
      <c r="AJ759" s="896"/>
      <c r="AK759" s="896"/>
      <c r="AL759" s="896"/>
      <c r="AM759" s="896"/>
      <c r="AN759" s="896"/>
      <c r="AO759" s="896"/>
      <c r="AP759" s="896"/>
      <c r="AQ759" s="896"/>
      <c r="AR759" s="896"/>
      <c r="AS759" s="896"/>
      <c r="AT759" s="896"/>
      <c r="AU759" s="896"/>
      <c r="AV759" s="896"/>
      <c r="AW759" s="896"/>
      <c r="AX759" s="896"/>
    </row>
    <row r="760" spans="1:81" ht="14.25" customHeight="1">
      <c r="A760" s="979" t="s">
        <v>3577</v>
      </c>
      <c r="B760" s="976" t="s">
        <v>3862</v>
      </c>
      <c r="C760" s="980" t="s">
        <v>888</v>
      </c>
      <c r="D760" s="979" t="s">
        <v>1485</v>
      </c>
      <c r="E760" s="979">
        <v>117417</v>
      </c>
      <c r="F760" s="979">
        <v>117417</v>
      </c>
      <c r="G760" s="979">
        <v>88062.75</v>
      </c>
      <c r="H760" s="979">
        <v>89864.237200000018</v>
      </c>
      <c r="I760" s="979">
        <v>0</v>
      </c>
      <c r="J760" s="979">
        <v>-1816.6706524999988</v>
      </c>
      <c r="K760" s="979">
        <v>88047.566547499999</v>
      </c>
      <c r="L760" s="979">
        <v>-15.183452500001295</v>
      </c>
      <c r="M760" s="979">
        <v>0</v>
      </c>
      <c r="N760" s="979">
        <v>117396.75539666667</v>
      </c>
      <c r="O760" s="735">
        <f t="shared" si="35"/>
        <v>-20.244603333325358</v>
      </c>
      <c r="P760" s="738">
        <f t="shared" si="33"/>
        <v>117396755.39666668</v>
      </c>
      <c r="Q760" s="751">
        <f t="shared" si="34"/>
        <v>117397000</v>
      </c>
      <c r="U760" s="747"/>
      <c r="V760" s="988"/>
      <c r="W760" s="1024"/>
      <c r="AY760" s="845"/>
      <c r="AZ760" s="845"/>
      <c r="BA760" s="845"/>
      <c r="BB760" s="845"/>
      <c r="BC760" s="845"/>
      <c r="BD760" s="845"/>
      <c r="BE760" s="845"/>
      <c r="BF760" s="845"/>
      <c r="BG760" s="845"/>
      <c r="BH760" s="845"/>
      <c r="BI760" s="845"/>
      <c r="BJ760" s="845"/>
      <c r="BK760" s="845"/>
      <c r="BL760" s="845"/>
      <c r="BM760" s="845"/>
      <c r="BN760" s="845"/>
      <c r="BO760" s="845"/>
      <c r="BP760" s="845"/>
      <c r="BQ760" s="845"/>
      <c r="BR760" s="845"/>
      <c r="BS760" s="845"/>
      <c r="BT760" s="845"/>
      <c r="BU760" s="845"/>
      <c r="BV760" s="845"/>
      <c r="BW760" s="845"/>
      <c r="BX760" s="845"/>
      <c r="BY760" s="845"/>
      <c r="BZ760" s="845"/>
      <c r="CA760" s="845"/>
      <c r="CB760" s="845"/>
      <c r="CC760" s="845"/>
    </row>
    <row r="761" spans="1:81" ht="14.25" customHeight="1">
      <c r="A761" s="981" t="s">
        <v>1079</v>
      </c>
      <c r="B761" s="976" t="s">
        <v>1079</v>
      </c>
      <c r="C761" s="982"/>
      <c r="D761" s="981" t="s">
        <v>1486</v>
      </c>
      <c r="E761" s="981"/>
      <c r="F761" s="981"/>
      <c r="G761" s="981"/>
      <c r="H761" s="981"/>
      <c r="I761" s="981"/>
      <c r="J761" s="981"/>
      <c r="K761" s="981"/>
      <c r="L761" s="981"/>
      <c r="M761" s="981"/>
      <c r="N761" s="981"/>
      <c r="O761" s="735">
        <f t="shared" si="35"/>
        <v>0</v>
      </c>
      <c r="P761" s="738">
        <f t="shared" si="33"/>
        <v>0</v>
      </c>
      <c r="Q761" s="751">
        <f t="shared" si="34"/>
        <v>0</v>
      </c>
      <c r="U761" s="747"/>
      <c r="V761" s="988"/>
      <c r="W761" s="1024"/>
      <c r="AY761" s="845"/>
      <c r="AZ761" s="845"/>
      <c r="BA761" s="845"/>
      <c r="BB761" s="845"/>
      <c r="BC761" s="845"/>
      <c r="BD761" s="845"/>
      <c r="BE761" s="845"/>
      <c r="BF761" s="845"/>
      <c r="BG761" s="845"/>
      <c r="BH761" s="845"/>
      <c r="BI761" s="845"/>
      <c r="BJ761" s="845"/>
      <c r="BK761" s="845"/>
      <c r="BL761" s="845"/>
      <c r="BM761" s="845"/>
      <c r="BN761" s="845"/>
      <c r="BO761" s="845"/>
      <c r="BP761" s="845"/>
      <c r="BQ761" s="845"/>
      <c r="BR761" s="845"/>
      <c r="BS761" s="845"/>
      <c r="BT761" s="845"/>
      <c r="BU761" s="845"/>
      <c r="BV761" s="845"/>
      <c r="BW761" s="845"/>
      <c r="BX761" s="845"/>
      <c r="BY761" s="845"/>
      <c r="BZ761" s="845"/>
      <c r="CA761" s="845"/>
      <c r="CB761" s="845"/>
      <c r="CC761" s="845"/>
    </row>
    <row r="762" spans="1:81" ht="14.25" customHeight="1">
      <c r="A762" s="976" t="s">
        <v>3908</v>
      </c>
      <c r="B762" s="976" t="s">
        <v>1249</v>
      </c>
      <c r="C762" s="977">
        <v>1800000530</v>
      </c>
      <c r="D762" s="976" t="s">
        <v>277</v>
      </c>
      <c r="E762" s="976">
        <v>125</v>
      </c>
      <c r="F762" s="976">
        <v>125</v>
      </c>
      <c r="G762" s="976">
        <v>93.75</v>
      </c>
      <c r="H762" s="976">
        <v>84.462860000000006</v>
      </c>
      <c r="I762" s="976"/>
      <c r="J762" s="1032">
        <v>-13</v>
      </c>
      <c r="K762" s="976">
        <v>71.462860000000006</v>
      </c>
      <c r="L762" s="978">
        <v>-22.287139999999994</v>
      </c>
      <c r="M762" s="976" t="s">
        <v>3583</v>
      </c>
      <c r="N762" s="976">
        <v>95.283813333333342</v>
      </c>
      <c r="O762" s="735">
        <f t="shared" si="35"/>
        <v>-29.716186666666658</v>
      </c>
      <c r="P762" s="738">
        <f t="shared" si="33"/>
        <v>95283.813333333339</v>
      </c>
      <c r="Q762" s="751">
        <f t="shared" si="34"/>
        <v>95000</v>
      </c>
      <c r="U762" s="747"/>
      <c r="V762" s="988"/>
      <c r="W762" s="1024"/>
      <c r="AY762" s="845"/>
      <c r="AZ762" s="845"/>
      <c r="BA762" s="845"/>
      <c r="BB762" s="845"/>
      <c r="BC762" s="845"/>
      <c r="BD762" s="845"/>
      <c r="BE762" s="845"/>
      <c r="BF762" s="845"/>
      <c r="BG762" s="845"/>
      <c r="BH762" s="845"/>
      <c r="BI762" s="845"/>
      <c r="BJ762" s="845"/>
      <c r="BK762" s="845"/>
      <c r="BL762" s="845"/>
      <c r="BM762" s="845"/>
      <c r="BN762" s="845"/>
      <c r="BO762" s="845"/>
      <c r="BP762" s="845"/>
      <c r="BQ762" s="845"/>
      <c r="BR762" s="845"/>
      <c r="BS762" s="845"/>
      <c r="BT762" s="845"/>
      <c r="BU762" s="845"/>
      <c r="BV762" s="845"/>
      <c r="BW762" s="845"/>
      <c r="BX762" s="845"/>
      <c r="BY762" s="845"/>
      <c r="BZ762" s="845"/>
      <c r="CA762" s="845"/>
      <c r="CB762" s="845"/>
      <c r="CC762" s="845"/>
    </row>
    <row r="763" spans="1:81" ht="14.25" customHeight="1">
      <c r="A763" s="976" t="s">
        <v>3905</v>
      </c>
      <c r="B763" s="976" t="s">
        <v>1249</v>
      </c>
      <c r="C763" s="977">
        <v>1800000540</v>
      </c>
      <c r="D763" s="976" t="s">
        <v>3393</v>
      </c>
      <c r="E763" s="976">
        <v>1</v>
      </c>
      <c r="F763" s="976">
        <v>1</v>
      </c>
      <c r="G763" s="976">
        <v>0.75</v>
      </c>
      <c r="H763" s="976">
        <v>1.6633699999999998</v>
      </c>
      <c r="I763" s="976"/>
      <c r="J763" s="976"/>
      <c r="K763" s="976">
        <v>1.6633699999999998</v>
      </c>
      <c r="L763" s="978">
        <v>0.91336999999999979</v>
      </c>
      <c r="M763" s="976"/>
      <c r="N763" s="976">
        <v>2.2178266666666664</v>
      </c>
      <c r="O763" s="735">
        <f t="shared" si="35"/>
        <v>1.2178266666666664</v>
      </c>
      <c r="P763" s="738">
        <f t="shared" si="33"/>
        <v>2217.8266666666664</v>
      </c>
      <c r="Q763" s="751">
        <f t="shared" si="34"/>
        <v>2000</v>
      </c>
      <c r="U763" s="747"/>
      <c r="V763" s="988"/>
      <c r="W763" s="1024"/>
    </row>
    <row r="764" spans="1:81" ht="14.25" customHeight="1">
      <c r="A764" s="976" t="s">
        <v>3922</v>
      </c>
      <c r="B764" s="976" t="s">
        <v>1249</v>
      </c>
      <c r="C764" s="977">
        <v>1800000550</v>
      </c>
      <c r="D764" s="976" t="s">
        <v>318</v>
      </c>
      <c r="E764" s="976">
        <v>350</v>
      </c>
      <c r="F764" s="976">
        <v>350</v>
      </c>
      <c r="G764" s="976">
        <v>262.5</v>
      </c>
      <c r="H764" s="976">
        <v>222.52850000000001</v>
      </c>
      <c r="I764" s="976"/>
      <c r="J764" s="976"/>
      <c r="K764" s="976">
        <v>222.52850000000001</v>
      </c>
      <c r="L764" s="978">
        <v>-39.971499999999992</v>
      </c>
      <c r="M764" s="976" t="s">
        <v>3630</v>
      </c>
      <c r="N764" s="976">
        <v>296.7046666666667</v>
      </c>
      <c r="O764" s="735">
        <f t="shared" si="35"/>
        <v>-53.295333333333303</v>
      </c>
      <c r="P764" s="738">
        <f t="shared" si="33"/>
        <v>296704.66666666669</v>
      </c>
      <c r="Q764" s="751">
        <f t="shared" si="34"/>
        <v>297000</v>
      </c>
      <c r="U764" s="747"/>
      <c r="V764" s="988"/>
      <c r="W764" s="1024"/>
    </row>
    <row r="765" spans="1:81" ht="14.25" customHeight="1">
      <c r="A765" s="976" t="s">
        <v>3914</v>
      </c>
      <c r="B765" s="976" t="s">
        <v>1249</v>
      </c>
      <c r="C765" s="977">
        <v>1800000751</v>
      </c>
      <c r="D765" s="976" t="s">
        <v>3394</v>
      </c>
      <c r="E765" s="976">
        <v>922</v>
      </c>
      <c r="F765" s="976">
        <v>922</v>
      </c>
      <c r="G765" s="976">
        <v>691.5</v>
      </c>
      <c r="H765" s="976">
        <v>60.948529999999998</v>
      </c>
      <c r="I765" s="976"/>
      <c r="J765" s="1041">
        <v>54</v>
      </c>
      <c r="K765" s="976">
        <v>114.94853000000001</v>
      </c>
      <c r="L765" s="978">
        <v>-576.55146999999999</v>
      </c>
      <c r="M765" s="976" t="s">
        <v>3583</v>
      </c>
      <c r="N765" s="976">
        <v>153.26470666666668</v>
      </c>
      <c r="O765" s="735">
        <f t="shared" si="35"/>
        <v>-768.73529333333329</v>
      </c>
      <c r="P765" s="738">
        <f t="shared" si="33"/>
        <v>153264.70666666669</v>
      </c>
      <c r="Q765" s="751">
        <f t="shared" si="34"/>
        <v>153000</v>
      </c>
      <c r="U765" s="747"/>
      <c r="V765" s="988"/>
      <c r="W765" s="1024"/>
    </row>
    <row r="766" spans="1:81" ht="14.25" customHeight="1">
      <c r="A766" s="976" t="s">
        <v>3915</v>
      </c>
      <c r="B766" s="976" t="s">
        <v>1249</v>
      </c>
      <c r="C766" s="977">
        <v>1800000752</v>
      </c>
      <c r="D766" s="976" t="s">
        <v>542</v>
      </c>
      <c r="E766" s="976">
        <v>311.21499999999997</v>
      </c>
      <c r="F766" s="976">
        <v>311.21499999999997</v>
      </c>
      <c r="G766" s="976">
        <v>233.41125</v>
      </c>
      <c r="H766" s="976">
        <v>27.5319</v>
      </c>
      <c r="I766" s="976"/>
      <c r="J766" s="1041">
        <v>206</v>
      </c>
      <c r="K766" s="976">
        <v>233.53190000000001</v>
      </c>
      <c r="L766" s="978">
        <v>0.12065000000001191</v>
      </c>
      <c r="M766" s="976" t="s">
        <v>3583</v>
      </c>
      <c r="N766" s="976">
        <v>311.3758666666667</v>
      </c>
      <c r="O766" s="735">
        <f t="shared" si="35"/>
        <v>0.16086666666672045</v>
      </c>
      <c r="P766" s="738">
        <f t="shared" si="33"/>
        <v>311375.8666666667</v>
      </c>
      <c r="Q766" s="751">
        <f t="shared" si="34"/>
        <v>311000</v>
      </c>
      <c r="U766" s="747"/>
      <c r="V766" s="988"/>
      <c r="W766" s="1024"/>
    </row>
    <row r="767" spans="1:81" ht="14.25" customHeight="1">
      <c r="A767" s="976" t="s">
        <v>3916</v>
      </c>
      <c r="B767" s="976"/>
      <c r="C767" s="977">
        <v>1800000753</v>
      </c>
      <c r="D767" s="976" t="s">
        <v>2465</v>
      </c>
      <c r="E767" s="976">
        <v>750</v>
      </c>
      <c r="F767" s="976">
        <v>850</v>
      </c>
      <c r="G767" s="976">
        <v>562.5</v>
      </c>
      <c r="H767" s="976">
        <v>316.89661999999998</v>
      </c>
      <c r="I767" s="976"/>
      <c r="J767" s="976"/>
      <c r="K767" s="976">
        <v>316.89661999999998</v>
      </c>
      <c r="L767" s="978">
        <v>-245.60338000000002</v>
      </c>
      <c r="M767" s="976" t="s">
        <v>3583</v>
      </c>
      <c r="N767" s="976">
        <v>422.52882666666665</v>
      </c>
      <c r="O767" s="735">
        <f t="shared" si="35"/>
        <v>-327.47117333333335</v>
      </c>
      <c r="P767" s="738">
        <f t="shared" si="33"/>
        <v>422528.82666666666</v>
      </c>
      <c r="Q767" s="751">
        <f t="shared" si="34"/>
        <v>423000</v>
      </c>
      <c r="U767" s="747"/>
      <c r="V767" s="988"/>
      <c r="W767" s="1024"/>
    </row>
    <row r="768" spans="1:81" s="883" customFormat="1" ht="14.25" customHeight="1">
      <c r="A768" s="976" t="s">
        <v>3913</v>
      </c>
      <c r="B768" s="976" t="s">
        <v>1249</v>
      </c>
      <c r="C768" s="977">
        <v>1800000750</v>
      </c>
      <c r="D768" s="976" t="s">
        <v>288</v>
      </c>
      <c r="E768" s="976">
        <v>132</v>
      </c>
      <c r="F768" s="976">
        <v>132</v>
      </c>
      <c r="G768" s="976">
        <v>99</v>
      </c>
      <c r="H768" s="976">
        <v>61.618000000000002</v>
      </c>
      <c r="I768" s="976"/>
      <c r="J768" s="1041">
        <v>36</v>
      </c>
      <c r="K768" s="976">
        <v>97.617999999999995</v>
      </c>
      <c r="L768" s="978">
        <v>-1.382000000000005</v>
      </c>
      <c r="M768" s="976" t="s">
        <v>3583</v>
      </c>
      <c r="N768" s="976">
        <v>130.15733333333333</v>
      </c>
      <c r="O768" s="735">
        <f t="shared" si="35"/>
        <v>-1.8426666666666733</v>
      </c>
      <c r="P768" s="738">
        <f t="shared" si="33"/>
        <v>130157.33333333333</v>
      </c>
      <c r="Q768" s="751">
        <f t="shared" si="34"/>
        <v>130000</v>
      </c>
      <c r="R768" s="882"/>
      <c r="S768" s="882"/>
      <c r="T768" s="882"/>
      <c r="U768" s="882"/>
      <c r="V768" s="988"/>
      <c r="W768" s="1024"/>
      <c r="X768" s="882"/>
      <c r="Y768" s="882"/>
      <c r="Z768" s="882"/>
      <c r="AA768" s="882"/>
      <c r="AB768" s="882"/>
      <c r="AC768" s="882"/>
      <c r="AD768" s="882"/>
      <c r="AE768" s="882"/>
      <c r="AF768" s="882"/>
      <c r="AG768" s="882"/>
      <c r="AH768" s="882"/>
      <c r="AI768" s="882"/>
      <c r="AJ768" s="882"/>
      <c r="AK768" s="882"/>
      <c r="AL768" s="882"/>
      <c r="AM768" s="882"/>
      <c r="AN768" s="882"/>
      <c r="AO768" s="882"/>
      <c r="AP768" s="882"/>
      <c r="AQ768" s="882"/>
      <c r="AR768" s="882"/>
      <c r="AS768" s="882"/>
      <c r="AT768" s="882"/>
      <c r="AU768" s="882"/>
      <c r="AV768" s="882"/>
      <c r="AW768" s="882"/>
      <c r="AX768" s="882"/>
      <c r="AY768" s="882"/>
      <c r="AZ768" s="882"/>
      <c r="BA768" s="882"/>
      <c r="BB768" s="882"/>
      <c r="BC768" s="882"/>
      <c r="BD768" s="882"/>
      <c r="BE768" s="882"/>
      <c r="BF768" s="882"/>
      <c r="BG768" s="882"/>
      <c r="BH768" s="882"/>
      <c r="BI768" s="882"/>
      <c r="BJ768" s="882"/>
      <c r="BK768" s="882"/>
      <c r="BL768" s="882"/>
      <c r="BM768" s="882"/>
      <c r="BN768" s="882"/>
      <c r="BO768" s="882"/>
      <c r="BP768" s="882"/>
      <c r="BQ768" s="882"/>
      <c r="BR768" s="882"/>
      <c r="BS768" s="882"/>
      <c r="BT768" s="882"/>
      <c r="BU768" s="882"/>
      <c r="BV768" s="882"/>
      <c r="BW768" s="882"/>
      <c r="BX768" s="882"/>
      <c r="BY768" s="882"/>
      <c r="BZ768" s="882"/>
      <c r="CA768" s="882"/>
      <c r="CB768" s="882"/>
      <c r="CC768" s="882"/>
    </row>
    <row r="769" spans="1:246" s="862" customFormat="1" ht="14.25" customHeight="1">
      <c r="A769" s="976" t="s">
        <v>3909</v>
      </c>
      <c r="B769" s="976" t="s">
        <v>1249</v>
      </c>
      <c r="C769" s="977">
        <v>1800000780</v>
      </c>
      <c r="D769" s="976" t="s">
        <v>379</v>
      </c>
      <c r="E769" s="976">
        <v>350</v>
      </c>
      <c r="F769" s="976">
        <v>350</v>
      </c>
      <c r="G769" s="976">
        <v>262.5</v>
      </c>
      <c r="H769" s="976">
        <v>176.07564000000002</v>
      </c>
      <c r="I769" s="976"/>
      <c r="J769" s="1041">
        <v>87</v>
      </c>
      <c r="K769" s="976">
        <v>263.07564000000002</v>
      </c>
      <c r="L769" s="978">
        <v>0.57564000000002125</v>
      </c>
      <c r="M769" s="976" t="s">
        <v>3583</v>
      </c>
      <c r="N769" s="976">
        <v>350.76752000000005</v>
      </c>
      <c r="O769" s="735">
        <f t="shared" si="35"/>
        <v>0.76752000000004728</v>
      </c>
      <c r="P769" s="738">
        <f t="shared" si="33"/>
        <v>350767.52</v>
      </c>
      <c r="Q769" s="751">
        <f t="shared" si="34"/>
        <v>351000</v>
      </c>
      <c r="R769" s="861"/>
      <c r="S769" s="861"/>
      <c r="T769" s="861"/>
      <c r="U769" s="861"/>
      <c r="V769" s="988"/>
      <c r="W769" s="1024"/>
      <c r="X769" s="861"/>
      <c r="Y769" s="861"/>
      <c r="Z769" s="861"/>
      <c r="AA769" s="861"/>
      <c r="AB769" s="861"/>
      <c r="AC769" s="861"/>
      <c r="AD769" s="861"/>
      <c r="AE769" s="861"/>
      <c r="AF769" s="861"/>
      <c r="AG769" s="861"/>
      <c r="AH769" s="861"/>
      <c r="AI769" s="861"/>
      <c r="AJ769" s="861"/>
      <c r="AK769" s="861"/>
      <c r="AL769" s="861"/>
      <c r="AM769" s="861"/>
      <c r="AN769" s="861"/>
      <c r="AO769" s="861"/>
      <c r="AP769" s="861"/>
      <c r="AQ769" s="861"/>
      <c r="AR769" s="861"/>
      <c r="AS769" s="861"/>
      <c r="AT769" s="861"/>
      <c r="AU769" s="861"/>
      <c r="AV769" s="861"/>
      <c r="AW769" s="861"/>
      <c r="AX769" s="861"/>
      <c r="AY769" s="861"/>
      <c r="AZ769" s="861"/>
      <c r="BA769" s="861"/>
      <c r="BB769" s="861"/>
      <c r="BC769" s="861"/>
      <c r="BD769" s="861"/>
      <c r="BE769" s="861"/>
      <c r="BF769" s="861"/>
      <c r="BG769" s="861"/>
      <c r="BH769" s="861"/>
      <c r="BI769" s="861"/>
      <c r="BJ769" s="861"/>
      <c r="BK769" s="861"/>
      <c r="BL769" s="861"/>
      <c r="BM769" s="861"/>
      <c r="BN769" s="861"/>
      <c r="BO769" s="861"/>
      <c r="BP769" s="861"/>
      <c r="BQ769" s="861"/>
      <c r="BR769" s="861"/>
      <c r="BS769" s="861"/>
      <c r="BT769" s="861"/>
      <c r="BU769" s="861"/>
      <c r="BV769" s="861"/>
      <c r="BW769" s="861"/>
      <c r="BX769" s="861"/>
      <c r="BY769" s="861"/>
      <c r="BZ769" s="861"/>
      <c r="CA769" s="861"/>
      <c r="CB769" s="861"/>
      <c r="CC769" s="861"/>
    </row>
    <row r="770" spans="1:246" ht="14.25" customHeight="1">
      <c r="A770" s="976" t="s">
        <v>3912</v>
      </c>
      <c r="B770" s="976" t="s">
        <v>1249</v>
      </c>
      <c r="C770" s="977">
        <v>1800000781</v>
      </c>
      <c r="D770" s="976" t="s">
        <v>3395</v>
      </c>
      <c r="E770" s="976">
        <v>1000</v>
      </c>
      <c r="F770" s="976">
        <v>1000</v>
      </c>
      <c r="G770" s="976">
        <v>750</v>
      </c>
      <c r="H770" s="976">
        <v>656.67091000000005</v>
      </c>
      <c r="I770" s="976"/>
      <c r="J770" s="1041">
        <v>93</v>
      </c>
      <c r="K770" s="976">
        <v>749.67091000000005</v>
      </c>
      <c r="L770" s="978">
        <v>-0.32908999999995103</v>
      </c>
      <c r="M770" s="976" t="s">
        <v>3655</v>
      </c>
      <c r="N770" s="976">
        <v>999.56121333333351</v>
      </c>
      <c r="O770" s="735">
        <f t="shared" si="35"/>
        <v>-0.43878666666648769</v>
      </c>
      <c r="P770" s="738">
        <f t="shared" si="33"/>
        <v>999561.21333333349</v>
      </c>
      <c r="Q770" s="751">
        <f t="shared" si="34"/>
        <v>1000000</v>
      </c>
      <c r="U770" s="747"/>
      <c r="V770" s="988"/>
      <c r="W770" s="1024"/>
    </row>
    <row r="771" spans="1:246" ht="14.25" customHeight="1">
      <c r="A771" s="976" t="s">
        <v>3867</v>
      </c>
      <c r="B771" s="976" t="s">
        <v>1251</v>
      </c>
      <c r="C771" s="977">
        <v>1811000410</v>
      </c>
      <c r="D771" s="976" t="s">
        <v>304</v>
      </c>
      <c r="E771" s="976">
        <v>966</v>
      </c>
      <c r="F771" s="976">
        <v>966</v>
      </c>
      <c r="G771" s="976">
        <v>724.5</v>
      </c>
      <c r="H771" s="976">
        <v>949.82799999999997</v>
      </c>
      <c r="I771" s="976"/>
      <c r="J771" s="1032">
        <v>-237</v>
      </c>
      <c r="K771" s="976">
        <v>712.82799999999997</v>
      </c>
      <c r="L771" s="978">
        <v>-11.672000000000025</v>
      </c>
      <c r="M771" s="976" t="s">
        <v>3656</v>
      </c>
      <c r="N771" s="976">
        <v>950.4373333333333</v>
      </c>
      <c r="O771" s="735">
        <f t="shared" si="35"/>
        <v>-15.562666666666701</v>
      </c>
      <c r="P771" s="738">
        <f t="shared" si="33"/>
        <v>950437.33333333326</v>
      </c>
      <c r="Q771" s="751">
        <f t="shared" si="34"/>
        <v>950000</v>
      </c>
      <c r="U771" s="747"/>
      <c r="V771" s="988"/>
      <c r="W771" s="1024"/>
    </row>
    <row r="772" spans="1:246" ht="14.25" customHeight="1">
      <c r="A772" s="976" t="s">
        <v>3868</v>
      </c>
      <c r="B772" s="976" t="s">
        <v>1251</v>
      </c>
      <c r="C772" s="977">
        <v>1811000430</v>
      </c>
      <c r="D772" s="976" t="s">
        <v>311</v>
      </c>
      <c r="E772" s="976">
        <v>140</v>
      </c>
      <c r="F772" s="976">
        <v>140</v>
      </c>
      <c r="G772" s="976">
        <v>105</v>
      </c>
      <c r="H772" s="976">
        <v>81.227990000000005</v>
      </c>
      <c r="I772" s="976"/>
      <c r="J772" s="1041">
        <v>24</v>
      </c>
      <c r="K772" s="976">
        <v>105.22799000000001</v>
      </c>
      <c r="L772" s="978">
        <v>0.22799000000000547</v>
      </c>
      <c r="M772" s="976" t="s">
        <v>3657</v>
      </c>
      <c r="N772" s="976">
        <v>140.30398666666667</v>
      </c>
      <c r="O772" s="735">
        <f t="shared" si="35"/>
        <v>0.30398666666667395</v>
      </c>
      <c r="P772" s="738">
        <f t="shared" si="33"/>
        <v>140303.98666666666</v>
      </c>
      <c r="Q772" s="751">
        <f t="shared" si="34"/>
        <v>140000</v>
      </c>
      <c r="U772" s="747"/>
      <c r="V772" s="988"/>
      <c r="W772" s="1024"/>
      <c r="AY772" s="845"/>
      <c r="AZ772" s="845"/>
      <c r="BA772" s="845"/>
      <c r="BB772" s="845"/>
      <c r="BC772" s="845"/>
      <c r="BD772" s="845"/>
      <c r="BE772" s="845"/>
      <c r="BF772" s="845"/>
      <c r="BG772" s="845"/>
      <c r="BH772" s="845"/>
      <c r="BI772" s="845"/>
      <c r="BJ772" s="845"/>
      <c r="BK772" s="845"/>
      <c r="BL772" s="845"/>
      <c r="BM772" s="845"/>
      <c r="BN772" s="845"/>
      <c r="BO772" s="845"/>
      <c r="BP772" s="845"/>
      <c r="BQ772" s="845"/>
      <c r="BR772" s="845"/>
      <c r="BS772" s="845"/>
      <c r="BT772" s="845"/>
      <c r="BU772" s="845"/>
      <c r="BV772" s="845"/>
      <c r="BW772" s="845"/>
      <c r="BX772" s="845"/>
      <c r="BY772" s="845"/>
      <c r="BZ772" s="845"/>
      <c r="CA772" s="845"/>
      <c r="CB772" s="845"/>
      <c r="CC772" s="845"/>
    </row>
    <row r="773" spans="1:246" ht="14.25" customHeight="1">
      <c r="A773" s="976" t="s">
        <v>3870</v>
      </c>
      <c r="B773" s="976" t="s">
        <v>1251</v>
      </c>
      <c r="C773" s="977">
        <v>1811000431</v>
      </c>
      <c r="D773" s="976" t="s">
        <v>3396</v>
      </c>
      <c r="E773" s="976">
        <v>0</v>
      </c>
      <c r="F773" s="976">
        <v>0</v>
      </c>
      <c r="G773" s="976">
        <v>0</v>
      </c>
      <c r="H773" s="976">
        <v>0</v>
      </c>
      <c r="I773" s="976"/>
      <c r="J773" s="976"/>
      <c r="K773" s="976">
        <v>0</v>
      </c>
      <c r="L773" s="978">
        <v>0</v>
      </c>
      <c r="M773" s="976" t="s">
        <v>3658</v>
      </c>
      <c r="N773" s="976">
        <v>0</v>
      </c>
      <c r="O773" s="735">
        <f t="shared" si="35"/>
        <v>0</v>
      </c>
      <c r="P773" s="738">
        <f t="shared" si="33"/>
        <v>0</v>
      </c>
      <c r="Q773" s="751">
        <f t="shared" si="34"/>
        <v>0</v>
      </c>
      <c r="U773" s="747"/>
      <c r="V773" s="988"/>
      <c r="W773" s="1024"/>
    </row>
    <row r="774" spans="1:246" ht="14.25" customHeight="1">
      <c r="A774" s="976" t="s">
        <v>3908</v>
      </c>
      <c r="B774" s="976" t="s">
        <v>1251</v>
      </c>
      <c r="C774" s="977">
        <v>1811000530</v>
      </c>
      <c r="D774" s="976" t="s">
        <v>277</v>
      </c>
      <c r="E774" s="976">
        <v>270</v>
      </c>
      <c r="F774" s="976">
        <v>270</v>
      </c>
      <c r="G774" s="976">
        <v>202.5</v>
      </c>
      <c r="H774" s="976">
        <v>197.0711</v>
      </c>
      <c r="I774" s="976"/>
      <c r="J774" s="1041">
        <v>10</v>
      </c>
      <c r="K774" s="976">
        <v>207.0711</v>
      </c>
      <c r="L774" s="978">
        <v>4.5711000000000013</v>
      </c>
      <c r="M774" s="976" t="s">
        <v>3659</v>
      </c>
      <c r="N774" s="976">
        <v>276.09480000000002</v>
      </c>
      <c r="O774" s="735">
        <f t="shared" si="35"/>
        <v>6.0948000000000206</v>
      </c>
      <c r="P774" s="738">
        <f t="shared" si="33"/>
        <v>276094.80000000005</v>
      </c>
      <c r="Q774" s="751">
        <f t="shared" si="34"/>
        <v>276000</v>
      </c>
      <c r="U774" s="747"/>
      <c r="V774" s="988"/>
      <c r="W774" s="1024"/>
    </row>
    <row r="775" spans="1:246" ht="14.25" customHeight="1">
      <c r="A775" s="976" t="s">
        <v>3905</v>
      </c>
      <c r="B775" s="976" t="s">
        <v>1251</v>
      </c>
      <c r="C775" s="977">
        <v>1811000540</v>
      </c>
      <c r="D775" s="976" t="s">
        <v>279</v>
      </c>
      <c r="E775" s="976">
        <v>40</v>
      </c>
      <c r="F775" s="976">
        <v>40</v>
      </c>
      <c r="G775" s="976">
        <v>30</v>
      </c>
      <c r="H775" s="976">
        <v>120.49403</v>
      </c>
      <c r="I775" s="976"/>
      <c r="J775" s="976"/>
      <c r="K775" s="976">
        <v>120.49403</v>
      </c>
      <c r="L775" s="978">
        <v>90.494029999999995</v>
      </c>
      <c r="M775" s="976" t="s">
        <v>3660</v>
      </c>
      <c r="N775" s="976">
        <v>160.65870666666666</v>
      </c>
      <c r="O775" s="735">
        <f t="shared" si="35"/>
        <v>120.65870666666666</v>
      </c>
      <c r="P775" s="738">
        <f t="shared" si="33"/>
        <v>160658.70666666667</v>
      </c>
      <c r="Q775" s="751">
        <f t="shared" si="34"/>
        <v>161000</v>
      </c>
      <c r="U775" s="747"/>
      <c r="V775" s="988"/>
      <c r="W775" s="1024"/>
      <c r="AY775" s="845"/>
      <c r="AZ775" s="845"/>
      <c r="BA775" s="845"/>
      <c r="BB775" s="845"/>
      <c r="BC775" s="845"/>
      <c r="BD775" s="845"/>
      <c r="BE775" s="845"/>
      <c r="BF775" s="845"/>
      <c r="BG775" s="845"/>
      <c r="BH775" s="845"/>
      <c r="BI775" s="845"/>
      <c r="BJ775" s="845"/>
      <c r="BK775" s="845"/>
      <c r="BL775" s="845"/>
      <c r="BM775" s="845"/>
      <c r="BN775" s="845"/>
      <c r="BO775" s="845"/>
      <c r="BP775" s="845"/>
      <c r="BQ775" s="845"/>
      <c r="BR775" s="845"/>
      <c r="BS775" s="845"/>
      <c r="BT775" s="845"/>
      <c r="BU775" s="845"/>
      <c r="BV775" s="845"/>
      <c r="BW775" s="845"/>
      <c r="BX775" s="845"/>
      <c r="BY775" s="845"/>
      <c r="BZ775" s="845"/>
      <c r="CA775" s="845"/>
      <c r="CB775" s="845"/>
      <c r="CC775" s="845"/>
    </row>
    <row r="776" spans="1:246" ht="14.25" customHeight="1">
      <c r="A776" s="976" t="s">
        <v>3922</v>
      </c>
      <c r="B776" s="976" t="s">
        <v>1251</v>
      </c>
      <c r="C776" s="977">
        <v>1811000550</v>
      </c>
      <c r="D776" s="976" t="s">
        <v>318</v>
      </c>
      <c r="E776" s="976">
        <v>0</v>
      </c>
      <c r="F776" s="976">
        <v>0</v>
      </c>
      <c r="G776" s="976">
        <v>0</v>
      </c>
      <c r="H776" s="976">
        <v>0</v>
      </c>
      <c r="I776" s="976"/>
      <c r="J776" s="976"/>
      <c r="K776" s="976">
        <v>0</v>
      </c>
      <c r="L776" s="978">
        <v>0</v>
      </c>
      <c r="M776" s="976" t="s">
        <v>3661</v>
      </c>
      <c r="N776" s="976">
        <v>0</v>
      </c>
      <c r="O776" s="735">
        <f t="shared" si="35"/>
        <v>0</v>
      </c>
      <c r="P776" s="738">
        <f t="shared" ref="P776:P839" si="36">N776*1000</f>
        <v>0</v>
      </c>
      <c r="Q776" s="751">
        <f t="shared" ref="Q776:Q839" si="37">ROUND(P776,-3)</f>
        <v>0</v>
      </c>
      <c r="U776" s="747"/>
      <c r="V776" s="988"/>
      <c r="W776" s="1024"/>
    </row>
    <row r="777" spans="1:246" ht="14.25" customHeight="1">
      <c r="A777" s="976" t="s">
        <v>3913</v>
      </c>
      <c r="B777" s="976" t="s">
        <v>1251</v>
      </c>
      <c r="C777" s="977">
        <v>1811000750</v>
      </c>
      <c r="D777" s="976" t="s">
        <v>546</v>
      </c>
      <c r="E777" s="976">
        <v>200</v>
      </c>
      <c r="F777" s="976">
        <v>300</v>
      </c>
      <c r="G777" s="976">
        <v>150</v>
      </c>
      <c r="H777" s="976">
        <v>0</v>
      </c>
      <c r="I777" s="976"/>
      <c r="J777" s="1041">
        <v>150</v>
      </c>
      <c r="K777" s="976">
        <v>150</v>
      </c>
      <c r="L777" s="978">
        <v>0</v>
      </c>
      <c r="M777" s="976" t="s">
        <v>3662</v>
      </c>
      <c r="N777" s="976">
        <v>200</v>
      </c>
      <c r="O777" s="735">
        <f t="shared" ref="O777:O840" si="38">N777-E777</f>
        <v>0</v>
      </c>
      <c r="P777" s="738">
        <f t="shared" si="36"/>
        <v>200000</v>
      </c>
      <c r="Q777" s="751">
        <f t="shared" si="37"/>
        <v>200000</v>
      </c>
      <c r="U777" s="747"/>
      <c r="V777" s="988"/>
      <c r="W777" s="1024"/>
      <c r="IL777" s="738"/>
    </row>
    <row r="778" spans="1:246" s="862" customFormat="1" ht="14.25" customHeight="1">
      <c r="A778" s="976" t="s">
        <v>3914</v>
      </c>
      <c r="B778" s="977" t="s">
        <v>1251</v>
      </c>
      <c r="C778" s="977">
        <v>1811000751</v>
      </c>
      <c r="D778" s="976" t="s">
        <v>547</v>
      </c>
      <c r="E778" s="976">
        <v>250</v>
      </c>
      <c r="F778" s="976">
        <v>250</v>
      </c>
      <c r="G778" s="976">
        <v>187.5</v>
      </c>
      <c r="H778" s="976">
        <v>96.697960000000009</v>
      </c>
      <c r="I778" s="976"/>
      <c r="J778" s="1041">
        <v>91</v>
      </c>
      <c r="K778" s="976">
        <v>187.69796000000002</v>
      </c>
      <c r="L778" s="978">
        <v>0.19796000000002323</v>
      </c>
      <c r="M778" s="976" t="s">
        <v>3663</v>
      </c>
      <c r="N778" s="976">
        <v>250.26394666666673</v>
      </c>
      <c r="O778" s="735">
        <f t="shared" si="38"/>
        <v>0.26394666666672606</v>
      </c>
      <c r="P778" s="738">
        <f t="shared" si="36"/>
        <v>250263.94666666671</v>
      </c>
      <c r="Q778" s="751">
        <f t="shared" si="37"/>
        <v>250000</v>
      </c>
      <c r="R778" s="747"/>
      <c r="S778" s="747"/>
      <c r="T778" s="747"/>
      <c r="U778" s="861"/>
      <c r="V778" s="988"/>
      <c r="W778" s="1024"/>
      <c r="X778" s="861"/>
      <c r="Y778" s="861"/>
      <c r="Z778" s="861"/>
      <c r="AA778" s="861"/>
      <c r="AB778" s="861"/>
      <c r="AC778" s="861"/>
      <c r="AD778" s="861"/>
      <c r="AE778" s="861"/>
      <c r="AF778" s="861"/>
      <c r="AG778" s="861"/>
      <c r="AH778" s="861"/>
      <c r="AI778" s="861"/>
      <c r="AJ778" s="861"/>
      <c r="AK778" s="861"/>
      <c r="AL778" s="861"/>
      <c r="AM778" s="861"/>
      <c r="AN778" s="861"/>
      <c r="AO778" s="861"/>
      <c r="AP778" s="861"/>
      <c r="AQ778" s="861"/>
      <c r="AR778" s="861"/>
      <c r="AS778" s="861"/>
      <c r="AT778" s="861"/>
      <c r="AU778" s="861"/>
      <c r="AV778" s="861"/>
      <c r="AW778" s="861"/>
      <c r="AX778" s="861"/>
    </row>
    <row r="779" spans="1:246" ht="14.25" customHeight="1">
      <c r="A779" s="1029" t="s">
        <v>3915</v>
      </c>
      <c r="B779" s="976" t="s">
        <v>1251</v>
      </c>
      <c r="C779" s="1030">
        <v>1811000752</v>
      </c>
      <c r="D779" s="1029" t="s">
        <v>548</v>
      </c>
      <c r="E779" s="1029">
        <v>0</v>
      </c>
      <c r="F779" s="1029">
        <v>0</v>
      </c>
      <c r="G779" s="1029">
        <v>0</v>
      </c>
      <c r="H779" s="1029">
        <v>-41</v>
      </c>
      <c r="I779" s="1029"/>
      <c r="J779" s="1029"/>
      <c r="K779" s="1029">
        <v>-41</v>
      </c>
      <c r="L779" s="1031">
        <v>-41</v>
      </c>
      <c r="M779" s="1029"/>
      <c r="N779" s="1029">
        <v>-54.666666666666664</v>
      </c>
      <c r="O779" s="735">
        <f t="shared" si="38"/>
        <v>-54.666666666666664</v>
      </c>
      <c r="P779" s="738">
        <f t="shared" si="36"/>
        <v>-54666.666666666664</v>
      </c>
      <c r="Q779" s="751">
        <f t="shared" si="37"/>
        <v>-55000</v>
      </c>
      <c r="U779" s="747"/>
      <c r="V779" s="988"/>
      <c r="W779" s="1024"/>
      <c r="AY779" s="845"/>
      <c r="AZ779" s="845"/>
      <c r="BA779" s="845"/>
      <c r="BB779" s="845"/>
      <c r="BC779" s="845"/>
      <c r="BD779" s="845"/>
      <c r="BE779" s="845"/>
      <c r="BF779" s="845"/>
      <c r="BG779" s="845"/>
      <c r="BH779" s="845"/>
      <c r="BI779" s="845"/>
      <c r="BJ779" s="845"/>
      <c r="BK779" s="845"/>
      <c r="BL779" s="845"/>
      <c r="BM779" s="845"/>
      <c r="BN779" s="845"/>
      <c r="BO779" s="845"/>
      <c r="BP779" s="845"/>
      <c r="BQ779" s="845"/>
      <c r="BR779" s="845"/>
      <c r="BS779" s="845"/>
      <c r="BT779" s="845"/>
      <c r="BU779" s="845"/>
      <c r="BV779" s="845"/>
      <c r="BW779" s="845"/>
      <c r="BX779" s="845"/>
      <c r="BY779" s="845"/>
      <c r="BZ779" s="845"/>
      <c r="CA779" s="845"/>
      <c r="CB779" s="845"/>
      <c r="CC779" s="845"/>
    </row>
    <row r="780" spans="1:246" ht="14.25" customHeight="1">
      <c r="A780" s="976" t="s">
        <v>3916</v>
      </c>
      <c r="B780" s="976" t="s">
        <v>1251</v>
      </c>
      <c r="C780" s="977">
        <v>1811000753</v>
      </c>
      <c r="D780" s="976" t="s">
        <v>3397</v>
      </c>
      <c r="E780" s="976">
        <v>0</v>
      </c>
      <c r="F780" s="976">
        <v>0</v>
      </c>
      <c r="G780" s="976">
        <v>0</v>
      </c>
      <c r="H780" s="976">
        <v>0</v>
      </c>
      <c r="I780" s="976"/>
      <c r="J780" s="976"/>
      <c r="K780" s="976">
        <v>0</v>
      </c>
      <c r="L780" s="978">
        <v>0</v>
      </c>
      <c r="M780" s="976"/>
      <c r="N780" s="976">
        <v>0</v>
      </c>
      <c r="O780" s="735">
        <f t="shared" si="38"/>
        <v>0</v>
      </c>
      <c r="P780" s="738">
        <f t="shared" si="36"/>
        <v>0</v>
      </c>
      <c r="Q780" s="751">
        <f t="shared" si="37"/>
        <v>0</v>
      </c>
      <c r="U780" s="747"/>
      <c r="V780" s="988"/>
      <c r="W780" s="1024"/>
      <c r="AY780" s="845"/>
      <c r="AZ780" s="845"/>
      <c r="BA780" s="845"/>
      <c r="BB780" s="845"/>
      <c r="BC780" s="845"/>
      <c r="BD780" s="845"/>
      <c r="BE780" s="845"/>
      <c r="BF780" s="845"/>
      <c r="BG780" s="845"/>
      <c r="BH780" s="845"/>
      <c r="BI780" s="845"/>
      <c r="BJ780" s="845"/>
      <c r="BK780" s="845"/>
      <c r="BL780" s="845"/>
      <c r="BM780" s="845"/>
      <c r="BN780" s="845"/>
      <c r="BO780" s="845"/>
      <c r="BP780" s="845"/>
      <c r="BQ780" s="845"/>
      <c r="BR780" s="845"/>
      <c r="BS780" s="845"/>
      <c r="BT780" s="845"/>
      <c r="BU780" s="845"/>
      <c r="BV780" s="845"/>
      <c r="BW780" s="845"/>
      <c r="BX780" s="845"/>
      <c r="BY780" s="845"/>
      <c r="BZ780" s="845"/>
      <c r="CA780" s="845"/>
      <c r="CB780" s="845"/>
      <c r="CC780" s="845"/>
    </row>
    <row r="781" spans="1:246" ht="14.25" customHeight="1">
      <c r="A781" s="976" t="s">
        <v>3910</v>
      </c>
      <c r="B781" s="976"/>
      <c r="C781" s="977">
        <v>1811000754</v>
      </c>
      <c r="D781" s="976" t="s">
        <v>1514</v>
      </c>
      <c r="E781" s="976">
        <v>0</v>
      </c>
      <c r="F781" s="976">
        <v>0</v>
      </c>
      <c r="G781" s="976">
        <v>0</v>
      </c>
      <c r="H781" s="976">
        <v>0</v>
      </c>
      <c r="I781" s="976"/>
      <c r="J781" s="976"/>
      <c r="K781" s="976">
        <v>0</v>
      </c>
      <c r="L781" s="978">
        <v>0</v>
      </c>
      <c r="M781" s="976"/>
      <c r="N781" s="976">
        <v>0</v>
      </c>
      <c r="O781" s="735">
        <f t="shared" si="38"/>
        <v>0</v>
      </c>
      <c r="P781" s="738">
        <f t="shared" si="36"/>
        <v>0</v>
      </c>
      <c r="Q781" s="751">
        <f t="shared" si="37"/>
        <v>0</v>
      </c>
      <c r="U781" s="747"/>
      <c r="V781" s="988"/>
      <c r="W781" s="1024"/>
    </row>
    <row r="782" spans="1:246" ht="14.25" customHeight="1">
      <c r="A782" s="976" t="s">
        <v>3911</v>
      </c>
      <c r="B782" s="976"/>
      <c r="C782" s="977">
        <v>1811000755</v>
      </c>
      <c r="D782" s="976" t="s">
        <v>1527</v>
      </c>
      <c r="E782" s="976">
        <v>400</v>
      </c>
      <c r="F782" s="976">
        <v>400</v>
      </c>
      <c r="G782" s="976">
        <v>300</v>
      </c>
      <c r="H782" s="976">
        <v>261.416</v>
      </c>
      <c r="I782" s="976"/>
      <c r="J782" s="976"/>
      <c r="K782" s="976">
        <v>261.416</v>
      </c>
      <c r="L782" s="978">
        <v>-38.584000000000003</v>
      </c>
      <c r="M782" s="976" t="s">
        <v>3582</v>
      </c>
      <c r="N782" s="976">
        <v>348.55466666666666</v>
      </c>
      <c r="O782" s="735">
        <f t="shared" si="38"/>
        <v>-51.445333333333338</v>
      </c>
      <c r="P782" s="738">
        <f t="shared" si="36"/>
        <v>348554.66666666669</v>
      </c>
      <c r="Q782" s="751">
        <f t="shared" si="37"/>
        <v>349000</v>
      </c>
      <c r="U782" s="747"/>
      <c r="V782" s="988"/>
      <c r="W782" s="1024"/>
    </row>
    <row r="783" spans="1:246" ht="14.25" customHeight="1">
      <c r="A783" s="976" t="s">
        <v>3917</v>
      </c>
      <c r="B783" s="976"/>
      <c r="C783" s="977">
        <v>1811000756</v>
      </c>
      <c r="D783" s="976" t="s">
        <v>2220</v>
      </c>
      <c r="E783" s="976">
        <v>120</v>
      </c>
      <c r="F783" s="976">
        <v>120</v>
      </c>
      <c r="G783" s="976">
        <v>90</v>
      </c>
      <c r="H783" s="976">
        <v>121.318</v>
      </c>
      <c r="I783" s="976"/>
      <c r="J783" s="1041">
        <v>140</v>
      </c>
      <c r="K783" s="976">
        <v>261.31799999999998</v>
      </c>
      <c r="L783" s="978">
        <v>171.31799999999998</v>
      </c>
      <c r="M783" s="976" t="s">
        <v>3664</v>
      </c>
      <c r="N783" s="976">
        <v>348.42399999999998</v>
      </c>
      <c r="O783" s="735">
        <f t="shared" si="38"/>
        <v>228.42399999999998</v>
      </c>
      <c r="P783" s="738">
        <f t="shared" si="36"/>
        <v>348424</v>
      </c>
      <c r="Q783" s="751">
        <f t="shared" si="37"/>
        <v>348000</v>
      </c>
      <c r="U783" s="747"/>
      <c r="V783" s="988"/>
      <c r="W783" s="1024"/>
    </row>
    <row r="784" spans="1:246" ht="14.25" customHeight="1">
      <c r="A784" s="976" t="s">
        <v>3909</v>
      </c>
      <c r="B784" s="976" t="s">
        <v>1251</v>
      </c>
      <c r="C784" s="977">
        <v>1811000780</v>
      </c>
      <c r="D784" s="976" t="s">
        <v>379</v>
      </c>
      <c r="E784" s="976">
        <v>250</v>
      </c>
      <c r="F784" s="976">
        <v>250</v>
      </c>
      <c r="G784" s="976">
        <v>187.5</v>
      </c>
      <c r="H784" s="976">
        <v>127.61714000000001</v>
      </c>
      <c r="I784" s="976"/>
      <c r="J784" s="1041">
        <v>60</v>
      </c>
      <c r="K784" s="976">
        <v>187.61714000000001</v>
      </c>
      <c r="L784" s="978">
        <v>0.11714000000000624</v>
      </c>
      <c r="M784" s="976" t="s">
        <v>3665</v>
      </c>
      <c r="N784" s="976">
        <v>250.15618666666666</v>
      </c>
      <c r="O784" s="735">
        <f t="shared" si="38"/>
        <v>0.15618666666665604</v>
      </c>
      <c r="P784" s="738">
        <f t="shared" si="36"/>
        <v>250156.18666666665</v>
      </c>
      <c r="Q784" s="751">
        <f t="shared" si="37"/>
        <v>250000</v>
      </c>
      <c r="U784" s="747"/>
      <c r="V784" s="988"/>
      <c r="W784" s="1024"/>
    </row>
    <row r="785" spans="1:81" ht="14.25" customHeight="1">
      <c r="A785" s="976" t="s">
        <v>3912</v>
      </c>
      <c r="B785" s="976" t="s">
        <v>1251</v>
      </c>
      <c r="C785" s="977">
        <v>1811000781</v>
      </c>
      <c r="D785" s="976" t="s">
        <v>549</v>
      </c>
      <c r="E785" s="976">
        <v>1176</v>
      </c>
      <c r="F785" s="976">
        <v>1176</v>
      </c>
      <c r="G785" s="976">
        <v>882</v>
      </c>
      <c r="H785" s="976">
        <v>771.73400000000004</v>
      </c>
      <c r="I785" s="976"/>
      <c r="J785" s="1041">
        <v>300</v>
      </c>
      <c r="K785" s="976">
        <v>1071.7339999999999</v>
      </c>
      <c r="L785" s="978">
        <v>189.73399999999992</v>
      </c>
      <c r="M785" s="976" t="s">
        <v>3666</v>
      </c>
      <c r="N785" s="976">
        <v>1428.9786666666666</v>
      </c>
      <c r="O785" s="735">
        <f t="shared" si="38"/>
        <v>252.97866666666664</v>
      </c>
      <c r="P785" s="738">
        <f t="shared" si="36"/>
        <v>1428978.6666666667</v>
      </c>
      <c r="Q785" s="751">
        <f t="shared" si="37"/>
        <v>1429000</v>
      </c>
      <c r="U785" s="747"/>
      <c r="V785" s="988"/>
      <c r="W785" s="1024"/>
      <c r="AY785" s="845"/>
      <c r="AZ785" s="845"/>
      <c r="BA785" s="845"/>
      <c r="BB785" s="845"/>
      <c r="BC785" s="845"/>
      <c r="BD785" s="845"/>
      <c r="BE785" s="845"/>
      <c r="BF785" s="845"/>
      <c r="BG785" s="845"/>
      <c r="BH785" s="845"/>
      <c r="BI785" s="845"/>
      <c r="BJ785" s="845"/>
      <c r="BK785" s="845"/>
      <c r="BL785" s="845"/>
      <c r="BM785" s="845"/>
      <c r="BN785" s="845"/>
      <c r="BO785" s="845"/>
      <c r="BP785" s="845"/>
      <c r="BQ785" s="845"/>
      <c r="BR785" s="845"/>
      <c r="BS785" s="845"/>
      <c r="BT785" s="845"/>
      <c r="BU785" s="845"/>
      <c r="BV785" s="845"/>
      <c r="BW785" s="845"/>
      <c r="BX785" s="845"/>
      <c r="BY785" s="845"/>
      <c r="BZ785" s="845"/>
      <c r="CA785" s="845"/>
      <c r="CB785" s="845"/>
      <c r="CC785" s="845"/>
    </row>
    <row r="786" spans="1:81" ht="14.25" customHeight="1">
      <c r="A786" s="976" t="s">
        <v>3920</v>
      </c>
      <c r="B786" s="976" t="s">
        <v>1251</v>
      </c>
      <c r="C786" s="977">
        <v>1811000782</v>
      </c>
      <c r="D786" s="976" t="s">
        <v>3398</v>
      </c>
      <c r="E786" s="976">
        <v>0</v>
      </c>
      <c r="F786" s="976">
        <v>0</v>
      </c>
      <c r="G786" s="976">
        <v>0</v>
      </c>
      <c r="H786" s="976">
        <v>0</v>
      </c>
      <c r="I786" s="976"/>
      <c r="J786" s="976"/>
      <c r="K786" s="976">
        <v>0</v>
      </c>
      <c r="L786" s="978">
        <v>0</v>
      </c>
      <c r="M786" s="976" t="s">
        <v>3667</v>
      </c>
      <c r="N786" s="976">
        <v>0</v>
      </c>
      <c r="O786" s="735">
        <f t="shared" si="38"/>
        <v>0</v>
      </c>
      <c r="P786" s="738">
        <f t="shared" si="36"/>
        <v>0</v>
      </c>
      <c r="Q786" s="751">
        <f t="shared" si="37"/>
        <v>0</v>
      </c>
      <c r="U786" s="747"/>
      <c r="V786" s="988"/>
      <c r="W786" s="1024"/>
      <c r="AY786" s="845"/>
      <c r="AZ786" s="845"/>
      <c r="BA786" s="845"/>
      <c r="BB786" s="845"/>
      <c r="BC786" s="845"/>
      <c r="BD786" s="845"/>
      <c r="BE786" s="845"/>
      <c r="BF786" s="845"/>
      <c r="BG786" s="845"/>
      <c r="BH786" s="845"/>
      <c r="BI786" s="845"/>
      <c r="BJ786" s="845"/>
      <c r="BK786" s="845"/>
      <c r="BL786" s="845"/>
      <c r="BM786" s="845"/>
      <c r="BN786" s="845"/>
      <c r="BO786" s="845"/>
      <c r="BP786" s="845"/>
      <c r="BQ786" s="845"/>
      <c r="BR786" s="845"/>
      <c r="BS786" s="845"/>
      <c r="BT786" s="845"/>
      <c r="BU786" s="845"/>
      <c r="BV786" s="845"/>
      <c r="BW786" s="845"/>
      <c r="BX786" s="845"/>
      <c r="BY786" s="845"/>
      <c r="BZ786" s="845"/>
      <c r="CA786" s="845"/>
      <c r="CB786" s="845"/>
      <c r="CC786" s="845"/>
    </row>
    <row r="787" spans="1:81" ht="14.25" customHeight="1">
      <c r="A787" s="976" t="s">
        <v>3921</v>
      </c>
      <c r="B787" s="976" t="s">
        <v>1251</v>
      </c>
      <c r="C787" s="977">
        <v>1811000783</v>
      </c>
      <c r="D787" s="976" t="s">
        <v>3399</v>
      </c>
      <c r="E787" s="976">
        <v>0</v>
      </c>
      <c r="F787" s="976">
        <v>0</v>
      </c>
      <c r="G787" s="976">
        <v>0</v>
      </c>
      <c r="H787" s="976">
        <v>0</v>
      </c>
      <c r="I787" s="976"/>
      <c r="J787" s="976"/>
      <c r="K787" s="976">
        <v>0</v>
      </c>
      <c r="L787" s="978">
        <v>0</v>
      </c>
      <c r="M787" s="976" t="s">
        <v>3667</v>
      </c>
      <c r="N787" s="976">
        <v>0</v>
      </c>
      <c r="O787" s="735">
        <f t="shared" si="38"/>
        <v>0</v>
      </c>
      <c r="P787" s="738">
        <f t="shared" si="36"/>
        <v>0</v>
      </c>
      <c r="Q787" s="751">
        <f t="shared" si="37"/>
        <v>0</v>
      </c>
      <c r="U787" s="747"/>
      <c r="V787" s="988"/>
      <c r="W787" s="1024"/>
      <c r="AY787" s="845"/>
      <c r="AZ787" s="845"/>
      <c r="BA787" s="845"/>
      <c r="BB787" s="845"/>
      <c r="BC787" s="845"/>
      <c r="BD787" s="845"/>
      <c r="BE787" s="845"/>
      <c r="BF787" s="845"/>
      <c r="BG787" s="845"/>
      <c r="BH787" s="845"/>
      <c r="BI787" s="845"/>
      <c r="BJ787" s="845"/>
      <c r="BK787" s="845"/>
      <c r="BL787" s="845"/>
      <c r="BM787" s="845"/>
      <c r="BN787" s="845"/>
      <c r="BO787" s="845"/>
      <c r="BP787" s="845"/>
      <c r="BQ787" s="845"/>
      <c r="BR787" s="845"/>
      <c r="BS787" s="845"/>
      <c r="BT787" s="845"/>
      <c r="BU787" s="845"/>
      <c r="BV787" s="845"/>
      <c r="BW787" s="845"/>
      <c r="BX787" s="845"/>
      <c r="BY787" s="845"/>
      <c r="BZ787" s="845"/>
      <c r="CA787" s="845"/>
      <c r="CB787" s="845"/>
      <c r="CC787" s="845"/>
    </row>
    <row r="788" spans="1:81" ht="14.25" customHeight="1">
      <c r="A788" s="976" t="s">
        <v>3919</v>
      </c>
      <c r="B788" s="976" t="s">
        <v>1251</v>
      </c>
      <c r="C788" s="977">
        <v>1811000784</v>
      </c>
      <c r="D788" s="976" t="s">
        <v>3400</v>
      </c>
      <c r="E788" s="976">
        <v>0</v>
      </c>
      <c r="F788" s="976">
        <v>0</v>
      </c>
      <c r="G788" s="976">
        <v>0</v>
      </c>
      <c r="H788" s="976">
        <v>0</v>
      </c>
      <c r="I788" s="976"/>
      <c r="J788" s="976"/>
      <c r="K788" s="976">
        <v>0</v>
      </c>
      <c r="L788" s="978">
        <v>0</v>
      </c>
      <c r="M788" s="976" t="s">
        <v>3667</v>
      </c>
      <c r="N788" s="976">
        <v>0</v>
      </c>
      <c r="O788" s="735">
        <f t="shared" si="38"/>
        <v>0</v>
      </c>
      <c r="P788" s="738">
        <f t="shared" si="36"/>
        <v>0</v>
      </c>
      <c r="Q788" s="751">
        <f t="shared" si="37"/>
        <v>0</v>
      </c>
      <c r="U788" s="747"/>
      <c r="V788" s="988"/>
      <c r="W788" s="1024"/>
      <c r="AY788" s="845"/>
      <c r="AZ788" s="845"/>
      <c r="BA788" s="845"/>
      <c r="BB788" s="845"/>
      <c r="BC788" s="845"/>
      <c r="BD788" s="845"/>
      <c r="BE788" s="845"/>
      <c r="BF788" s="845"/>
      <c r="BG788" s="845"/>
      <c r="BH788" s="845"/>
      <c r="BI788" s="845"/>
      <c r="BJ788" s="845"/>
      <c r="BK788" s="845"/>
      <c r="BL788" s="845"/>
      <c r="BM788" s="845"/>
      <c r="BN788" s="845"/>
      <c r="BO788" s="845"/>
      <c r="BP788" s="845"/>
      <c r="BQ788" s="845"/>
      <c r="BR788" s="845"/>
      <c r="BS788" s="845"/>
      <c r="BT788" s="845"/>
      <c r="BU788" s="845"/>
      <c r="BV788" s="845"/>
      <c r="BW788" s="845"/>
      <c r="BX788" s="845"/>
      <c r="BY788" s="845"/>
      <c r="BZ788" s="845"/>
      <c r="CA788" s="845"/>
      <c r="CB788" s="845"/>
      <c r="CC788" s="845"/>
    </row>
    <row r="789" spans="1:81" ht="14.25" customHeight="1">
      <c r="A789" s="976" t="s">
        <v>3931</v>
      </c>
      <c r="B789" s="976" t="s">
        <v>1251</v>
      </c>
      <c r="C789" s="977">
        <v>1811000810</v>
      </c>
      <c r="D789" s="976" t="s">
        <v>3401</v>
      </c>
      <c r="E789" s="976">
        <v>0</v>
      </c>
      <c r="F789" s="976">
        <v>0</v>
      </c>
      <c r="G789" s="976">
        <v>0</v>
      </c>
      <c r="H789" s="976">
        <v>0.39</v>
      </c>
      <c r="I789" s="976"/>
      <c r="J789" s="976"/>
      <c r="K789" s="976">
        <v>0.39</v>
      </c>
      <c r="L789" s="978">
        <v>0.39</v>
      </c>
      <c r="M789" s="976" t="s">
        <v>3667</v>
      </c>
      <c r="N789" s="976">
        <v>0.52</v>
      </c>
      <c r="O789" s="735">
        <f t="shared" si="38"/>
        <v>0.52</v>
      </c>
      <c r="P789" s="738">
        <f t="shared" si="36"/>
        <v>520</v>
      </c>
      <c r="Q789" s="751">
        <f t="shared" si="37"/>
        <v>1000</v>
      </c>
      <c r="U789" s="747"/>
      <c r="V789" s="988"/>
      <c r="W789" s="1024"/>
      <c r="AY789" s="845"/>
      <c r="AZ789" s="845"/>
      <c r="BA789" s="845"/>
      <c r="BB789" s="845"/>
      <c r="BC789" s="845"/>
      <c r="BD789" s="845"/>
      <c r="BE789" s="845"/>
      <c r="BF789" s="845"/>
      <c r="BG789" s="845"/>
      <c r="BH789" s="845"/>
      <c r="BI789" s="845"/>
      <c r="BJ789" s="845"/>
      <c r="BK789" s="845"/>
      <c r="BL789" s="845"/>
      <c r="BM789" s="845"/>
      <c r="BN789" s="845"/>
      <c r="BO789" s="845"/>
      <c r="BP789" s="845"/>
      <c r="BQ789" s="845"/>
      <c r="BR789" s="845"/>
      <c r="BS789" s="845"/>
      <c r="BT789" s="845"/>
      <c r="BU789" s="845"/>
      <c r="BV789" s="845"/>
      <c r="BW789" s="845"/>
      <c r="BX789" s="845"/>
      <c r="BY789" s="845"/>
      <c r="BZ789" s="845"/>
      <c r="CA789" s="845"/>
      <c r="CB789" s="845"/>
      <c r="CC789" s="845"/>
    </row>
    <row r="790" spans="1:81" ht="14.25" customHeight="1">
      <c r="A790" s="976" t="s">
        <v>3867</v>
      </c>
      <c r="B790" s="976" t="s">
        <v>1251</v>
      </c>
      <c r="C790" s="977">
        <v>1812200410</v>
      </c>
      <c r="D790" s="976" t="s">
        <v>304</v>
      </c>
      <c r="E790" s="976">
        <v>0</v>
      </c>
      <c r="F790" s="976">
        <v>0</v>
      </c>
      <c r="G790" s="976">
        <v>0</v>
      </c>
      <c r="H790" s="976">
        <v>0</v>
      </c>
      <c r="I790" s="976"/>
      <c r="J790" s="976"/>
      <c r="K790" s="976">
        <v>0</v>
      </c>
      <c r="L790" s="978">
        <v>0</v>
      </c>
      <c r="M790" s="976" t="s">
        <v>3667</v>
      </c>
      <c r="N790" s="976">
        <v>0</v>
      </c>
      <c r="O790" s="735">
        <f t="shared" si="38"/>
        <v>0</v>
      </c>
      <c r="P790" s="738">
        <f t="shared" si="36"/>
        <v>0</v>
      </c>
      <c r="Q790" s="751">
        <f t="shared" si="37"/>
        <v>0</v>
      </c>
      <c r="U790" s="747"/>
      <c r="V790" s="988"/>
      <c r="W790" s="1024"/>
    </row>
    <row r="791" spans="1:81" ht="14.25" customHeight="1">
      <c r="A791" s="976" t="s">
        <v>3868</v>
      </c>
      <c r="B791" s="976" t="s">
        <v>1251</v>
      </c>
      <c r="C791" s="977">
        <v>1812200430</v>
      </c>
      <c r="D791" s="976" t="s">
        <v>311</v>
      </c>
      <c r="E791" s="976">
        <v>340</v>
      </c>
      <c r="F791" s="976">
        <v>340</v>
      </c>
      <c r="G791" s="976">
        <v>255</v>
      </c>
      <c r="H791" s="976">
        <v>248.05386999999999</v>
      </c>
      <c r="I791" s="976"/>
      <c r="J791" s="1041">
        <v>35</v>
      </c>
      <c r="K791" s="976">
        <v>283.05386999999996</v>
      </c>
      <c r="L791" s="978">
        <v>28.053869999999961</v>
      </c>
      <c r="M791" s="976" t="s">
        <v>3668</v>
      </c>
      <c r="N791" s="976">
        <v>377.40515999999997</v>
      </c>
      <c r="O791" s="735">
        <f t="shared" si="38"/>
        <v>37.405159999999967</v>
      </c>
      <c r="P791" s="738">
        <f t="shared" si="36"/>
        <v>377405.16</v>
      </c>
      <c r="Q791" s="751">
        <f t="shared" si="37"/>
        <v>377000</v>
      </c>
      <c r="U791" s="747"/>
      <c r="V791" s="988"/>
      <c r="W791" s="1024"/>
    </row>
    <row r="792" spans="1:81" ht="14.25" customHeight="1">
      <c r="A792" s="976" t="s">
        <v>3930</v>
      </c>
      <c r="B792" s="976" t="s">
        <v>1251</v>
      </c>
      <c r="C792" s="977">
        <v>1812200432</v>
      </c>
      <c r="D792" s="976" t="s">
        <v>462</v>
      </c>
      <c r="E792" s="976">
        <v>150</v>
      </c>
      <c r="F792" s="976">
        <v>150</v>
      </c>
      <c r="G792" s="976">
        <v>112.5</v>
      </c>
      <c r="H792" s="976">
        <v>22.635000000000002</v>
      </c>
      <c r="I792" s="976"/>
      <c r="J792" s="1041">
        <v>90</v>
      </c>
      <c r="K792" s="976">
        <v>112.63500000000001</v>
      </c>
      <c r="L792" s="978">
        <v>0.13500000000000512</v>
      </c>
      <c r="M792" s="976" t="s">
        <v>3642</v>
      </c>
      <c r="N792" s="976">
        <v>150.18</v>
      </c>
      <c r="O792" s="735">
        <f t="shared" si="38"/>
        <v>0.18000000000000682</v>
      </c>
      <c r="P792" s="738">
        <f t="shared" si="36"/>
        <v>150180</v>
      </c>
      <c r="Q792" s="751">
        <f t="shared" si="37"/>
        <v>150000</v>
      </c>
      <c r="U792" s="747"/>
      <c r="V792" s="988"/>
      <c r="W792" s="1024"/>
    </row>
    <row r="793" spans="1:81" s="866" customFormat="1" ht="14.25" customHeight="1">
      <c r="A793" s="976" t="s">
        <v>3941</v>
      </c>
      <c r="B793" s="976" t="s">
        <v>1251</v>
      </c>
      <c r="C793" s="977">
        <v>1812200743</v>
      </c>
      <c r="D793" s="976" t="s">
        <v>559</v>
      </c>
      <c r="E793" s="976">
        <v>150</v>
      </c>
      <c r="F793" s="976">
        <v>150</v>
      </c>
      <c r="G793" s="976">
        <v>112.5</v>
      </c>
      <c r="H793" s="976">
        <v>58.589500000000001</v>
      </c>
      <c r="I793" s="976"/>
      <c r="J793" s="1041">
        <v>30</v>
      </c>
      <c r="K793" s="976">
        <v>88.589500000000001</v>
      </c>
      <c r="L793" s="978">
        <v>-23.910499999999999</v>
      </c>
      <c r="M793" s="976" t="s">
        <v>3582</v>
      </c>
      <c r="N793" s="976">
        <v>118.11933333333334</v>
      </c>
      <c r="O793" s="735">
        <f t="shared" si="38"/>
        <v>-31.880666666666656</v>
      </c>
      <c r="P793" s="738">
        <f t="shared" si="36"/>
        <v>118119.33333333334</v>
      </c>
      <c r="Q793" s="751">
        <f t="shared" si="37"/>
        <v>118000</v>
      </c>
      <c r="R793" s="865"/>
      <c r="S793" s="865"/>
      <c r="T793" s="865"/>
      <c r="U793" s="865"/>
      <c r="V793" s="988"/>
      <c r="W793" s="1024"/>
      <c r="X793" s="865"/>
      <c r="Y793" s="865"/>
      <c r="Z793" s="865"/>
      <c r="AA793" s="865"/>
      <c r="AB793" s="865"/>
      <c r="AC793" s="865"/>
      <c r="AD793" s="865"/>
      <c r="AE793" s="865"/>
      <c r="AF793" s="865"/>
      <c r="AG793" s="865"/>
      <c r="AH793" s="865"/>
      <c r="AI793" s="865"/>
      <c r="AJ793" s="865"/>
      <c r="AK793" s="865"/>
      <c r="AL793" s="865"/>
      <c r="AM793" s="865"/>
      <c r="AN793" s="865"/>
      <c r="AO793" s="865"/>
      <c r="AP793" s="865"/>
      <c r="AQ793" s="865"/>
      <c r="AR793" s="865"/>
      <c r="AS793" s="865"/>
      <c r="AT793" s="865"/>
      <c r="AU793" s="865"/>
      <c r="AV793" s="865"/>
      <c r="AW793" s="865"/>
      <c r="AX793" s="865"/>
      <c r="AY793" s="865"/>
      <c r="AZ793" s="865"/>
      <c r="BA793" s="865"/>
      <c r="BB793" s="865"/>
      <c r="BC793" s="865"/>
      <c r="BD793" s="865"/>
      <c r="BE793" s="865"/>
      <c r="BF793" s="865"/>
      <c r="BG793" s="865"/>
      <c r="BH793" s="865"/>
      <c r="BI793" s="865"/>
      <c r="BJ793" s="865"/>
      <c r="BK793" s="865"/>
      <c r="BL793" s="865"/>
      <c r="BM793" s="865"/>
      <c r="BN793" s="865"/>
      <c r="BO793" s="865"/>
      <c r="BP793" s="865"/>
      <c r="BQ793" s="865"/>
      <c r="BR793" s="865"/>
      <c r="BS793" s="865"/>
      <c r="BT793" s="865"/>
      <c r="BU793" s="865"/>
      <c r="BV793" s="865"/>
      <c r="BW793" s="865"/>
      <c r="BX793" s="865"/>
      <c r="BY793" s="865"/>
      <c r="BZ793" s="865"/>
      <c r="CA793" s="865"/>
      <c r="CB793" s="865"/>
      <c r="CC793" s="865"/>
    </row>
    <row r="794" spans="1:81" ht="14.25" customHeight="1">
      <c r="A794" s="976" t="s">
        <v>3913</v>
      </c>
      <c r="B794" s="976" t="s">
        <v>1251</v>
      </c>
      <c r="C794" s="977">
        <v>1812200750</v>
      </c>
      <c r="D794" s="976" t="s">
        <v>288</v>
      </c>
      <c r="E794" s="976">
        <v>400</v>
      </c>
      <c r="F794" s="976">
        <v>400</v>
      </c>
      <c r="G794" s="976">
        <v>300</v>
      </c>
      <c r="H794" s="976">
        <v>344.99021000000005</v>
      </c>
      <c r="I794" s="976"/>
      <c r="J794" s="1032">
        <v>-32</v>
      </c>
      <c r="K794" s="976">
        <v>312.99021000000005</v>
      </c>
      <c r="L794" s="978">
        <v>12.990210000000047</v>
      </c>
      <c r="M794" s="976" t="s">
        <v>3669</v>
      </c>
      <c r="N794" s="976">
        <v>417.32028000000008</v>
      </c>
      <c r="O794" s="735">
        <f t="shared" si="38"/>
        <v>17.320280000000082</v>
      </c>
      <c r="P794" s="738">
        <f t="shared" si="36"/>
        <v>417320.28000000009</v>
      </c>
      <c r="Q794" s="751">
        <f t="shared" si="37"/>
        <v>417000</v>
      </c>
      <c r="U794" s="747"/>
      <c r="V794" s="988"/>
      <c r="W794" s="1024"/>
    </row>
    <row r="795" spans="1:81" ht="14.25" customHeight="1">
      <c r="A795" s="976" t="s">
        <v>3915</v>
      </c>
      <c r="B795" s="976" t="s">
        <v>1251</v>
      </c>
      <c r="C795" s="977">
        <v>1812200752</v>
      </c>
      <c r="D795" s="976" t="s">
        <v>561</v>
      </c>
      <c r="E795" s="976">
        <v>153</v>
      </c>
      <c r="F795" s="976">
        <v>153</v>
      </c>
      <c r="G795" s="976">
        <v>114.75</v>
      </c>
      <c r="H795" s="976">
        <v>74.5</v>
      </c>
      <c r="I795" s="976"/>
      <c r="J795" s="1041">
        <v>20</v>
      </c>
      <c r="K795" s="976">
        <v>94.5</v>
      </c>
      <c r="L795" s="978">
        <v>-20.25</v>
      </c>
      <c r="M795" s="976" t="s">
        <v>3670</v>
      </c>
      <c r="N795" s="976">
        <v>126</v>
      </c>
      <c r="O795" s="735">
        <f t="shared" si="38"/>
        <v>-27</v>
      </c>
      <c r="P795" s="738">
        <f t="shared" si="36"/>
        <v>126000</v>
      </c>
      <c r="Q795" s="751">
        <f t="shared" si="37"/>
        <v>126000</v>
      </c>
      <c r="U795" s="747"/>
      <c r="V795" s="988"/>
      <c r="W795" s="1024"/>
    </row>
    <row r="796" spans="1:81" ht="14.25" customHeight="1">
      <c r="A796" s="976" t="s">
        <v>3909</v>
      </c>
      <c r="B796" s="976" t="s">
        <v>1251</v>
      </c>
      <c r="C796" s="977">
        <v>1812200780</v>
      </c>
      <c r="D796" s="976" t="s">
        <v>280</v>
      </c>
      <c r="E796" s="976">
        <v>1798</v>
      </c>
      <c r="F796" s="976">
        <v>1798</v>
      </c>
      <c r="G796" s="976">
        <v>1348.5</v>
      </c>
      <c r="H796" s="976">
        <v>1260.9567400000001</v>
      </c>
      <c r="I796" s="976"/>
      <c r="J796" s="1041">
        <v>88</v>
      </c>
      <c r="K796" s="976">
        <v>1348.9567400000001</v>
      </c>
      <c r="L796" s="978">
        <v>0.45674000000008164</v>
      </c>
      <c r="M796" s="976" t="s">
        <v>3671</v>
      </c>
      <c r="N796" s="976">
        <v>1798.6089866666669</v>
      </c>
      <c r="O796" s="735">
        <f t="shared" si="38"/>
        <v>0.60898666666685131</v>
      </c>
      <c r="P796" s="738">
        <f t="shared" si="36"/>
        <v>1798608.9866666668</v>
      </c>
      <c r="Q796" s="751">
        <f t="shared" si="37"/>
        <v>1799000</v>
      </c>
      <c r="U796" s="747"/>
      <c r="V796" s="988"/>
      <c r="W796" s="1024"/>
    </row>
    <row r="797" spans="1:81" ht="14.25" customHeight="1">
      <c r="A797" s="976" t="s">
        <v>3912</v>
      </c>
      <c r="B797" s="976"/>
      <c r="C797" s="977">
        <v>1812200781</v>
      </c>
      <c r="D797" s="976" t="s">
        <v>3402</v>
      </c>
      <c r="E797" s="976">
        <v>2975</v>
      </c>
      <c r="F797" s="976">
        <v>2975</v>
      </c>
      <c r="G797" s="976">
        <v>2231.25</v>
      </c>
      <c r="H797" s="976">
        <v>2296.4373799999998</v>
      </c>
      <c r="I797" s="976"/>
      <c r="J797" s="976"/>
      <c r="K797" s="976">
        <v>2296.4373799999998</v>
      </c>
      <c r="L797" s="978">
        <v>65.187379999999848</v>
      </c>
      <c r="M797" s="976" t="s">
        <v>3672</v>
      </c>
      <c r="N797" s="976">
        <v>3061.9165066666665</v>
      </c>
      <c r="O797" s="735">
        <f t="shared" si="38"/>
        <v>86.916506666666464</v>
      </c>
      <c r="P797" s="738">
        <f t="shared" si="36"/>
        <v>3061916.5066666664</v>
      </c>
      <c r="Q797" s="751">
        <f t="shared" si="37"/>
        <v>3062000</v>
      </c>
      <c r="U797" s="747"/>
      <c r="V797" s="988"/>
      <c r="W797" s="1024"/>
    </row>
    <row r="798" spans="1:81" ht="14.25" customHeight="1">
      <c r="A798" s="976" t="s">
        <v>3901</v>
      </c>
      <c r="B798" s="976" t="s">
        <v>1251</v>
      </c>
      <c r="C798" s="977">
        <v>1812200980</v>
      </c>
      <c r="D798" s="976" t="s">
        <v>546</v>
      </c>
      <c r="E798" s="976">
        <v>1600</v>
      </c>
      <c r="F798" s="976">
        <v>1600</v>
      </c>
      <c r="G798" s="976">
        <v>1200</v>
      </c>
      <c r="H798" s="976">
        <v>772.96633999999995</v>
      </c>
      <c r="I798" s="976"/>
      <c r="J798" s="1041">
        <v>427</v>
      </c>
      <c r="K798" s="976">
        <v>1199.9663399999999</v>
      </c>
      <c r="L798" s="978">
        <v>-3.3660000000054424E-2</v>
      </c>
      <c r="M798" s="976" t="s">
        <v>3673</v>
      </c>
      <c r="N798" s="976">
        <v>1599.9551199999999</v>
      </c>
      <c r="O798" s="735">
        <f t="shared" si="38"/>
        <v>-4.4880000000148357E-2</v>
      </c>
      <c r="P798" s="738">
        <f t="shared" si="36"/>
        <v>1599955.1199999999</v>
      </c>
      <c r="Q798" s="751">
        <f t="shared" si="37"/>
        <v>1600000</v>
      </c>
      <c r="U798" s="747"/>
      <c r="V798" s="988"/>
      <c r="W798" s="1024"/>
    </row>
    <row r="799" spans="1:81" ht="14.25" customHeight="1">
      <c r="A799" s="976" t="s">
        <v>3868</v>
      </c>
      <c r="B799" s="976" t="s">
        <v>1251</v>
      </c>
      <c r="C799" s="977">
        <v>1812300430</v>
      </c>
      <c r="D799" s="976" t="s">
        <v>311</v>
      </c>
      <c r="E799" s="976">
        <v>350</v>
      </c>
      <c r="F799" s="976">
        <v>350</v>
      </c>
      <c r="G799" s="976">
        <v>262.5</v>
      </c>
      <c r="H799" s="976">
        <v>244.96270000000001</v>
      </c>
      <c r="I799" s="976"/>
      <c r="J799" s="1041">
        <v>70</v>
      </c>
      <c r="K799" s="976">
        <v>314.96270000000004</v>
      </c>
      <c r="L799" s="978">
        <v>52.462700000000041</v>
      </c>
      <c r="M799" s="976" t="s">
        <v>3674</v>
      </c>
      <c r="N799" s="976">
        <v>419.95026666666672</v>
      </c>
      <c r="O799" s="735">
        <f t="shared" si="38"/>
        <v>69.950266666666721</v>
      </c>
      <c r="P799" s="738">
        <f t="shared" si="36"/>
        <v>419950.26666666672</v>
      </c>
      <c r="Q799" s="751">
        <f t="shared" si="37"/>
        <v>420000</v>
      </c>
      <c r="U799" s="747"/>
      <c r="V799" s="988"/>
      <c r="W799" s="1024"/>
    </row>
    <row r="800" spans="1:81" ht="14.25" customHeight="1">
      <c r="A800" s="976" t="s">
        <v>3930</v>
      </c>
      <c r="B800" s="976" t="s">
        <v>1251</v>
      </c>
      <c r="C800" s="977">
        <v>1812300432</v>
      </c>
      <c r="D800" s="976" t="s">
        <v>462</v>
      </c>
      <c r="E800" s="976">
        <v>150</v>
      </c>
      <c r="F800" s="976">
        <v>150</v>
      </c>
      <c r="G800" s="976">
        <v>112.5</v>
      </c>
      <c r="H800" s="976">
        <v>22.635000000000002</v>
      </c>
      <c r="I800" s="976"/>
      <c r="J800" s="1041">
        <v>90</v>
      </c>
      <c r="K800" s="976">
        <v>112.63500000000001</v>
      </c>
      <c r="L800" s="978">
        <v>0.13500000000000512</v>
      </c>
      <c r="M800" s="976" t="s">
        <v>3642</v>
      </c>
      <c r="N800" s="976">
        <v>150.18</v>
      </c>
      <c r="O800" s="735">
        <f t="shared" si="38"/>
        <v>0.18000000000000682</v>
      </c>
      <c r="P800" s="738">
        <f t="shared" si="36"/>
        <v>150180</v>
      </c>
      <c r="Q800" s="751">
        <f t="shared" si="37"/>
        <v>150000</v>
      </c>
      <c r="U800" s="747"/>
      <c r="V800" s="988"/>
      <c r="W800" s="1024"/>
    </row>
    <row r="801" spans="1:81" ht="14.25" customHeight="1">
      <c r="A801" s="976" t="s">
        <v>3909</v>
      </c>
      <c r="B801" s="976" t="s">
        <v>1251</v>
      </c>
      <c r="C801" s="977">
        <v>1812300780</v>
      </c>
      <c r="D801" s="976" t="s">
        <v>280</v>
      </c>
      <c r="E801" s="976">
        <v>1240</v>
      </c>
      <c r="F801" s="976">
        <v>1240</v>
      </c>
      <c r="G801" s="976">
        <v>930</v>
      </c>
      <c r="H801" s="976">
        <v>786.19659000000001</v>
      </c>
      <c r="I801" s="976"/>
      <c r="J801" s="1041">
        <v>144</v>
      </c>
      <c r="K801" s="976">
        <v>930.19659000000001</v>
      </c>
      <c r="L801" s="978">
        <v>0.1965900000000147</v>
      </c>
      <c r="M801" s="976" t="s">
        <v>3675</v>
      </c>
      <c r="N801" s="976">
        <v>1240.2621200000001</v>
      </c>
      <c r="O801" s="735">
        <f t="shared" si="38"/>
        <v>0.26212000000009539</v>
      </c>
      <c r="P801" s="738">
        <f t="shared" si="36"/>
        <v>1240262.1200000001</v>
      </c>
      <c r="Q801" s="751">
        <f t="shared" si="37"/>
        <v>1240000</v>
      </c>
      <c r="U801" s="747"/>
      <c r="V801" s="988"/>
      <c r="W801" s="1024"/>
    </row>
    <row r="802" spans="1:81">
      <c r="A802" s="976" t="s">
        <v>3912</v>
      </c>
      <c r="B802" s="976" t="s">
        <v>1251</v>
      </c>
      <c r="C802" s="977">
        <v>1812300781</v>
      </c>
      <c r="D802" s="976" t="s">
        <v>569</v>
      </c>
      <c r="E802" s="976">
        <v>2160</v>
      </c>
      <c r="F802" s="976">
        <v>2160</v>
      </c>
      <c r="G802" s="976">
        <v>1620</v>
      </c>
      <c r="H802" s="976">
        <v>1755.9390000000001</v>
      </c>
      <c r="I802" s="976"/>
      <c r="J802" s="1041">
        <v>439</v>
      </c>
      <c r="K802" s="976">
        <v>2194.9390000000003</v>
      </c>
      <c r="L802" s="978">
        <v>574.93900000000031</v>
      </c>
      <c r="M802" s="976" t="s">
        <v>3676</v>
      </c>
      <c r="N802" s="976">
        <v>2926.5853333333339</v>
      </c>
      <c r="O802" s="735">
        <f t="shared" si="38"/>
        <v>766.58533333333389</v>
      </c>
      <c r="P802" s="738">
        <f t="shared" si="36"/>
        <v>2926585.333333334</v>
      </c>
      <c r="Q802" s="751">
        <f t="shared" si="37"/>
        <v>2927000</v>
      </c>
      <c r="U802" s="747"/>
      <c r="V802" s="988"/>
      <c r="W802" s="1024"/>
    </row>
    <row r="803" spans="1:81">
      <c r="A803" s="976" t="s">
        <v>3942</v>
      </c>
      <c r="B803" s="976" t="s">
        <v>1251</v>
      </c>
      <c r="C803" s="977">
        <v>1812300821</v>
      </c>
      <c r="D803" s="976" t="s">
        <v>572</v>
      </c>
      <c r="E803" s="976">
        <v>28847</v>
      </c>
      <c r="F803" s="976">
        <v>28847</v>
      </c>
      <c r="G803" s="976">
        <v>21635.25</v>
      </c>
      <c r="H803" s="976">
        <v>21820.89618</v>
      </c>
      <c r="I803" s="976"/>
      <c r="J803" s="976"/>
      <c r="K803" s="976">
        <v>21820.89618</v>
      </c>
      <c r="L803" s="978">
        <v>185.64617999999973</v>
      </c>
      <c r="M803" s="976" t="s">
        <v>3677</v>
      </c>
      <c r="N803" s="976">
        <v>29094.52824</v>
      </c>
      <c r="O803" s="735">
        <f t="shared" si="38"/>
        <v>247.52823999999964</v>
      </c>
      <c r="P803" s="738">
        <f t="shared" si="36"/>
        <v>29094528.239999998</v>
      </c>
      <c r="Q803" s="751">
        <f t="shared" si="37"/>
        <v>29095000</v>
      </c>
      <c r="U803" s="747"/>
      <c r="V803" s="988"/>
      <c r="W803" s="1024"/>
      <c r="AY803" s="845"/>
      <c r="AZ803" s="845"/>
      <c r="BA803" s="845"/>
      <c r="BB803" s="845"/>
      <c r="BC803" s="845"/>
      <c r="BD803" s="845"/>
      <c r="BE803" s="845"/>
      <c r="BF803" s="845"/>
      <c r="BG803" s="845"/>
      <c r="BH803" s="845"/>
      <c r="BI803" s="845"/>
      <c r="BJ803" s="845"/>
      <c r="BK803" s="845"/>
      <c r="BL803" s="845"/>
      <c r="BM803" s="845"/>
      <c r="BN803" s="845"/>
      <c r="BO803" s="845"/>
      <c r="BP803" s="845"/>
      <c r="BQ803" s="845"/>
      <c r="BR803" s="845"/>
      <c r="BS803" s="845"/>
      <c r="BT803" s="845"/>
      <c r="BU803" s="845"/>
      <c r="BV803" s="845"/>
      <c r="BW803" s="845"/>
      <c r="BX803" s="845"/>
      <c r="BY803" s="845"/>
      <c r="BZ803" s="845"/>
      <c r="CA803" s="845"/>
      <c r="CB803" s="845"/>
      <c r="CC803" s="845"/>
    </row>
    <row r="804" spans="1:81">
      <c r="A804" s="976" t="s">
        <v>3931</v>
      </c>
      <c r="B804" s="976" t="s">
        <v>1251</v>
      </c>
      <c r="C804" s="977">
        <v>1812500810</v>
      </c>
      <c r="D804" s="976" t="s">
        <v>3403</v>
      </c>
      <c r="E804" s="976">
        <v>0</v>
      </c>
      <c r="F804" s="976">
        <v>0</v>
      </c>
      <c r="G804" s="976">
        <v>0</v>
      </c>
      <c r="H804" s="976">
        <v>0</v>
      </c>
      <c r="I804" s="976"/>
      <c r="J804" s="976"/>
      <c r="K804" s="976">
        <v>0</v>
      </c>
      <c r="L804" s="978">
        <v>0</v>
      </c>
      <c r="M804" s="976" t="s">
        <v>3582</v>
      </c>
      <c r="N804" s="976">
        <v>0</v>
      </c>
      <c r="O804" s="735">
        <f t="shared" si="38"/>
        <v>0</v>
      </c>
      <c r="P804" s="738">
        <f t="shared" si="36"/>
        <v>0</v>
      </c>
      <c r="Q804" s="751">
        <f t="shared" si="37"/>
        <v>0</v>
      </c>
      <c r="U804" s="747"/>
      <c r="V804" s="988"/>
      <c r="W804" s="1024"/>
    </row>
    <row r="805" spans="1:81">
      <c r="A805" s="976" t="s">
        <v>3867</v>
      </c>
      <c r="B805" s="976" t="s">
        <v>1251</v>
      </c>
      <c r="C805" s="977">
        <v>1813200410</v>
      </c>
      <c r="D805" s="976" t="s">
        <v>3404</v>
      </c>
      <c r="E805" s="976">
        <v>201.61699999999999</v>
      </c>
      <c r="F805" s="976">
        <v>201.61699999999999</v>
      </c>
      <c r="G805" s="976">
        <v>151.21275</v>
      </c>
      <c r="H805" s="976">
        <v>200.61699999999999</v>
      </c>
      <c r="I805" s="976"/>
      <c r="J805" s="1032">
        <v>-49</v>
      </c>
      <c r="K805" s="976">
        <v>151.61699999999999</v>
      </c>
      <c r="L805" s="978">
        <v>0.40424999999999045</v>
      </c>
      <c r="M805" s="976" t="s">
        <v>3582</v>
      </c>
      <c r="N805" s="976">
        <v>202.15600000000001</v>
      </c>
      <c r="O805" s="735">
        <f t="shared" si="38"/>
        <v>0.53900000000001569</v>
      </c>
      <c r="P805" s="738">
        <f t="shared" si="36"/>
        <v>202156</v>
      </c>
      <c r="Q805" s="751">
        <f t="shared" si="37"/>
        <v>202000</v>
      </c>
      <c r="U805" s="747"/>
      <c r="V805" s="988"/>
      <c r="W805" s="1024"/>
    </row>
    <row r="806" spans="1:81" ht="14.25" customHeight="1">
      <c r="A806" s="976" t="s">
        <v>3868</v>
      </c>
      <c r="B806" s="976" t="s">
        <v>1251</v>
      </c>
      <c r="C806" s="977">
        <v>1813200430</v>
      </c>
      <c r="D806" s="976" t="s">
        <v>311</v>
      </c>
      <c r="E806" s="976">
        <v>1548</v>
      </c>
      <c r="F806" s="976">
        <v>1548</v>
      </c>
      <c r="G806" s="976">
        <v>1161</v>
      </c>
      <c r="H806" s="976">
        <v>1007.92162</v>
      </c>
      <c r="I806" s="976"/>
      <c r="J806" s="1041">
        <v>153</v>
      </c>
      <c r="K806" s="976">
        <v>1160.9216200000001</v>
      </c>
      <c r="L806" s="978">
        <v>-7.8379999999924621E-2</v>
      </c>
      <c r="M806" s="976" t="s">
        <v>3678</v>
      </c>
      <c r="N806" s="976">
        <v>1547.8954933333334</v>
      </c>
      <c r="O806" s="735">
        <f t="shared" si="38"/>
        <v>-0.10450666666656616</v>
      </c>
      <c r="P806" s="738">
        <f t="shared" si="36"/>
        <v>1547895.4933333334</v>
      </c>
      <c r="Q806" s="751">
        <f t="shared" si="37"/>
        <v>1548000</v>
      </c>
      <c r="U806" s="747"/>
      <c r="V806" s="988"/>
      <c r="W806" s="1024"/>
    </row>
    <row r="807" spans="1:81" ht="14.25" customHeight="1">
      <c r="A807" s="976" t="s">
        <v>3930</v>
      </c>
      <c r="B807" s="976" t="s">
        <v>1251</v>
      </c>
      <c r="C807" s="977">
        <v>1813200432</v>
      </c>
      <c r="D807" s="976" t="s">
        <v>462</v>
      </c>
      <c r="E807" s="976">
        <v>1700</v>
      </c>
      <c r="F807" s="976">
        <v>1700</v>
      </c>
      <c r="G807" s="976">
        <v>1275</v>
      </c>
      <c r="H807" s="976">
        <v>1671.616</v>
      </c>
      <c r="I807" s="976"/>
      <c r="J807" s="1032">
        <v>-397</v>
      </c>
      <c r="K807" s="976">
        <v>1274.616</v>
      </c>
      <c r="L807" s="978">
        <v>-0.38400000000001455</v>
      </c>
      <c r="M807" s="976" t="s">
        <v>3642</v>
      </c>
      <c r="N807" s="976">
        <v>1699.4880000000001</v>
      </c>
      <c r="O807" s="735">
        <f t="shared" si="38"/>
        <v>-0.51199999999994361</v>
      </c>
      <c r="P807" s="738">
        <f t="shared" si="36"/>
        <v>1699488</v>
      </c>
      <c r="Q807" s="751">
        <f t="shared" si="37"/>
        <v>1699000</v>
      </c>
      <c r="U807" s="747"/>
      <c r="V807" s="988"/>
      <c r="W807" s="1024"/>
    </row>
    <row r="808" spans="1:81" ht="14.25" customHeight="1">
      <c r="A808" s="976" t="s">
        <v>3920</v>
      </c>
      <c r="B808" s="976" t="s">
        <v>1251</v>
      </c>
      <c r="C808" s="977">
        <v>1812300782</v>
      </c>
      <c r="D808" s="976" t="s">
        <v>3405</v>
      </c>
      <c r="E808" s="976">
        <v>250</v>
      </c>
      <c r="F808" s="976">
        <v>250</v>
      </c>
      <c r="G808" s="976">
        <v>187.5</v>
      </c>
      <c r="H808" s="976">
        <v>20.696999999999999</v>
      </c>
      <c r="I808" s="976"/>
      <c r="J808" s="1041">
        <v>167</v>
      </c>
      <c r="K808" s="976">
        <v>187.697</v>
      </c>
      <c r="L808" s="978">
        <v>0.19700000000000273</v>
      </c>
      <c r="M808" s="976" t="s">
        <v>3679</v>
      </c>
      <c r="N808" s="976">
        <v>250.26266666666666</v>
      </c>
      <c r="O808" s="735">
        <f t="shared" si="38"/>
        <v>0.26266666666666083</v>
      </c>
      <c r="P808" s="738">
        <f t="shared" si="36"/>
        <v>250262.66666666666</v>
      </c>
      <c r="Q808" s="751">
        <f t="shared" si="37"/>
        <v>250000</v>
      </c>
      <c r="U808" s="747"/>
      <c r="V808" s="988"/>
      <c r="W808" s="1024"/>
    </row>
    <row r="809" spans="1:81" ht="19.5" customHeight="1">
      <c r="A809" s="976" t="s">
        <v>3941</v>
      </c>
      <c r="B809" s="976" t="s">
        <v>1251</v>
      </c>
      <c r="C809" s="977">
        <v>1813200743</v>
      </c>
      <c r="D809" s="976" t="s">
        <v>580</v>
      </c>
      <c r="E809" s="976">
        <v>150</v>
      </c>
      <c r="F809" s="976">
        <v>200</v>
      </c>
      <c r="G809" s="976">
        <v>112.5</v>
      </c>
      <c r="H809" s="976">
        <v>0</v>
      </c>
      <c r="I809" s="976"/>
      <c r="J809" s="976"/>
      <c r="K809" s="976">
        <v>0</v>
      </c>
      <c r="L809" s="978">
        <v>-112.5</v>
      </c>
      <c r="M809" s="976" t="s">
        <v>3582</v>
      </c>
      <c r="N809" s="976">
        <v>0</v>
      </c>
      <c r="O809" s="735">
        <f t="shared" si="38"/>
        <v>-150</v>
      </c>
      <c r="P809" s="738">
        <f t="shared" si="36"/>
        <v>0</v>
      </c>
      <c r="Q809" s="751">
        <f t="shared" si="37"/>
        <v>0</v>
      </c>
      <c r="U809" s="747"/>
      <c r="V809" s="988"/>
      <c r="W809" s="1024"/>
    </row>
    <row r="810" spans="1:81" ht="14.25" customHeight="1">
      <c r="A810" s="976" t="s">
        <v>3914</v>
      </c>
      <c r="B810" s="976" t="s">
        <v>1251</v>
      </c>
      <c r="C810" s="977">
        <v>1813200751</v>
      </c>
      <c r="D810" s="976" t="s">
        <v>581</v>
      </c>
      <c r="E810" s="976">
        <v>8532</v>
      </c>
      <c r="F810" s="976">
        <v>8532</v>
      </c>
      <c r="G810" s="976">
        <v>6399</v>
      </c>
      <c r="H810" s="976">
        <v>4405.8611500000006</v>
      </c>
      <c r="I810" s="976"/>
      <c r="J810" s="1041">
        <v>1367</v>
      </c>
      <c r="K810" s="976">
        <v>5772.8611500000006</v>
      </c>
      <c r="L810" s="978">
        <v>-626.13884999999937</v>
      </c>
      <c r="M810" s="976" t="s">
        <v>1651</v>
      </c>
      <c r="N810" s="976">
        <v>7697.1482000000005</v>
      </c>
      <c r="O810" s="735">
        <f t="shared" si="38"/>
        <v>-834.85179999999946</v>
      </c>
      <c r="P810" s="738">
        <f t="shared" si="36"/>
        <v>7697148.2000000002</v>
      </c>
      <c r="Q810" s="751">
        <f t="shared" si="37"/>
        <v>7697000</v>
      </c>
      <c r="U810" s="747"/>
      <c r="V810" s="988"/>
      <c r="W810" s="1024"/>
      <c r="AY810" s="845"/>
      <c r="AZ810" s="845"/>
      <c r="BA810" s="845"/>
      <c r="BB810" s="845"/>
      <c r="BC810" s="845"/>
      <c r="BD810" s="845"/>
      <c r="BE810" s="845"/>
      <c r="BF810" s="845"/>
      <c r="BG810" s="845"/>
      <c r="BH810" s="845"/>
      <c r="BI810" s="845"/>
      <c r="BJ810" s="845"/>
      <c r="BK810" s="845"/>
      <c r="BL810" s="845"/>
      <c r="BM810" s="845"/>
      <c r="BN810" s="845"/>
      <c r="BO810" s="845"/>
      <c r="BP810" s="845"/>
      <c r="BQ810" s="845"/>
      <c r="BR810" s="845"/>
      <c r="BS810" s="845"/>
      <c r="BT810" s="845"/>
      <c r="BU810" s="845"/>
      <c r="BV810" s="845"/>
      <c r="BW810" s="845"/>
      <c r="BX810" s="845"/>
      <c r="BY810" s="845"/>
      <c r="BZ810" s="845"/>
      <c r="CA810" s="845"/>
      <c r="CB810" s="845"/>
      <c r="CC810" s="845"/>
    </row>
    <row r="811" spans="1:81" ht="14.25" customHeight="1">
      <c r="A811" s="976" t="s">
        <v>3915</v>
      </c>
      <c r="B811" s="976" t="s">
        <v>1251</v>
      </c>
      <c r="C811" s="977">
        <v>1813200752</v>
      </c>
      <c r="D811" s="976" t="s">
        <v>3406</v>
      </c>
      <c r="E811" s="976">
        <v>0</v>
      </c>
      <c r="F811" s="976">
        <v>0</v>
      </c>
      <c r="G811" s="976">
        <v>0</v>
      </c>
      <c r="H811" s="976">
        <v>0</v>
      </c>
      <c r="I811" s="976"/>
      <c r="J811" s="976"/>
      <c r="K811" s="976">
        <v>0</v>
      </c>
      <c r="L811" s="978">
        <v>0</v>
      </c>
      <c r="M811" s="976" t="s">
        <v>3582</v>
      </c>
      <c r="N811" s="976">
        <v>0</v>
      </c>
      <c r="O811" s="735">
        <f t="shared" si="38"/>
        <v>0</v>
      </c>
      <c r="P811" s="738">
        <f t="shared" si="36"/>
        <v>0</v>
      </c>
      <c r="Q811" s="751">
        <f t="shared" si="37"/>
        <v>0</v>
      </c>
      <c r="U811" s="747"/>
      <c r="V811" s="988"/>
      <c r="W811" s="1024"/>
    </row>
    <row r="812" spans="1:81" ht="14.25" customHeight="1">
      <c r="A812" s="976" t="s">
        <v>3909</v>
      </c>
      <c r="B812" s="976" t="s">
        <v>1251</v>
      </c>
      <c r="C812" s="977">
        <v>1813200780</v>
      </c>
      <c r="D812" s="976" t="s">
        <v>280</v>
      </c>
      <c r="E812" s="976">
        <v>5068</v>
      </c>
      <c r="F812" s="976">
        <v>5068</v>
      </c>
      <c r="G812" s="976">
        <v>3801</v>
      </c>
      <c r="H812" s="976">
        <v>3817.3674599999999</v>
      </c>
      <c r="I812" s="976"/>
      <c r="J812" s="976"/>
      <c r="K812" s="976">
        <v>3817.3674599999999</v>
      </c>
      <c r="L812" s="978">
        <v>16.367459999999937</v>
      </c>
      <c r="M812" s="976" t="s">
        <v>3680</v>
      </c>
      <c r="N812" s="976">
        <v>5089.8232800000005</v>
      </c>
      <c r="O812" s="735">
        <f t="shared" si="38"/>
        <v>21.823280000000523</v>
      </c>
      <c r="P812" s="738">
        <f t="shared" si="36"/>
        <v>5089823.28</v>
      </c>
      <c r="Q812" s="751">
        <f t="shared" si="37"/>
        <v>5090000</v>
      </c>
      <c r="U812" s="747"/>
      <c r="V812" s="988"/>
      <c r="W812" s="1024"/>
    </row>
    <row r="813" spans="1:81" ht="14.25" customHeight="1">
      <c r="A813" s="976" t="s">
        <v>3912</v>
      </c>
      <c r="B813" s="976" t="s">
        <v>1251</v>
      </c>
      <c r="C813" s="977">
        <v>1813200781</v>
      </c>
      <c r="D813" s="976" t="s">
        <v>60</v>
      </c>
      <c r="E813" s="976">
        <v>4427</v>
      </c>
      <c r="F813" s="976">
        <v>4427</v>
      </c>
      <c r="G813" s="976">
        <v>3320.25</v>
      </c>
      <c r="H813" s="976">
        <v>3266.3820900000001</v>
      </c>
      <c r="I813" s="976"/>
      <c r="J813" s="1041">
        <v>55</v>
      </c>
      <c r="K813" s="976">
        <v>3321.3820900000001</v>
      </c>
      <c r="L813" s="976">
        <v>1.132090000000062</v>
      </c>
      <c r="M813" s="976" t="s">
        <v>3681</v>
      </c>
      <c r="N813" s="976">
        <v>4428.509453333334</v>
      </c>
      <c r="O813" s="735">
        <f t="shared" si="38"/>
        <v>1.5094533333340223</v>
      </c>
      <c r="P813" s="738">
        <f t="shared" si="36"/>
        <v>4428509.4533333341</v>
      </c>
      <c r="Q813" s="751">
        <f t="shared" si="37"/>
        <v>4429000</v>
      </c>
      <c r="U813" s="747"/>
      <c r="V813" s="988"/>
      <c r="W813" s="1024"/>
    </row>
    <row r="814" spans="1:81" ht="14.25" customHeight="1">
      <c r="A814" s="976" t="s">
        <v>3920</v>
      </c>
      <c r="B814" s="976" t="s">
        <v>1251</v>
      </c>
      <c r="C814" s="977">
        <v>1813200782</v>
      </c>
      <c r="D814" s="976" t="s">
        <v>3407</v>
      </c>
      <c r="E814" s="976">
        <v>780</v>
      </c>
      <c r="F814" s="976">
        <v>780</v>
      </c>
      <c r="G814" s="976">
        <v>585</v>
      </c>
      <c r="H814" s="976">
        <v>578.88</v>
      </c>
      <c r="I814" s="976"/>
      <c r="J814" s="1041">
        <v>6</v>
      </c>
      <c r="K814" s="976">
        <v>584.88</v>
      </c>
      <c r="L814" s="976">
        <v>-0.12000000000000455</v>
      </c>
      <c r="M814" s="976" t="s">
        <v>3682</v>
      </c>
      <c r="N814" s="976">
        <v>779.83999999999992</v>
      </c>
      <c r="O814" s="735">
        <f t="shared" si="38"/>
        <v>-0.16000000000008185</v>
      </c>
      <c r="P814" s="738">
        <f t="shared" si="36"/>
        <v>779839.99999999988</v>
      </c>
      <c r="Q814" s="751">
        <f t="shared" si="37"/>
        <v>780000</v>
      </c>
      <c r="U814" s="747"/>
      <c r="V814" s="988"/>
      <c r="W814" s="1024"/>
      <c r="AY814" s="845"/>
      <c r="AZ814" s="845"/>
      <c r="BA814" s="845"/>
      <c r="BB814" s="845"/>
      <c r="BC814" s="845"/>
      <c r="BD814" s="845"/>
      <c r="BE814" s="845"/>
      <c r="BF814" s="845"/>
      <c r="BG814" s="845"/>
      <c r="BH814" s="845"/>
      <c r="BI814" s="845"/>
      <c r="BJ814" s="845"/>
      <c r="BK814" s="845"/>
      <c r="BL814" s="845"/>
      <c r="BM814" s="845"/>
      <c r="BN814" s="845"/>
      <c r="BO814" s="845"/>
      <c r="BP814" s="845"/>
      <c r="BQ814" s="845"/>
      <c r="BR814" s="845"/>
      <c r="BS814" s="845"/>
      <c r="BT814" s="845"/>
      <c r="BU814" s="845"/>
      <c r="BV814" s="845"/>
      <c r="BW814" s="845"/>
      <c r="BX814" s="845"/>
      <c r="BY814" s="845"/>
      <c r="BZ814" s="845"/>
      <c r="CA814" s="845"/>
      <c r="CB814" s="845"/>
      <c r="CC814" s="845"/>
    </row>
    <row r="815" spans="1:81" s="899" customFormat="1" ht="14.25" customHeight="1">
      <c r="A815" s="976" t="s">
        <v>3921</v>
      </c>
      <c r="B815" s="976" t="s">
        <v>1251</v>
      </c>
      <c r="C815" s="988">
        <v>1813200783</v>
      </c>
      <c r="D815" s="988" t="s">
        <v>3408</v>
      </c>
      <c r="E815" s="976"/>
      <c r="F815" s="976"/>
      <c r="G815" s="976">
        <v>0</v>
      </c>
      <c r="H815" s="976">
        <v>0</v>
      </c>
      <c r="I815" s="976"/>
      <c r="J815" s="976"/>
      <c r="K815" s="976">
        <v>0</v>
      </c>
      <c r="L815" s="978">
        <v>0</v>
      </c>
      <c r="M815" s="976" t="s">
        <v>3683</v>
      </c>
      <c r="N815" s="976">
        <v>0</v>
      </c>
      <c r="O815" s="735">
        <f t="shared" si="38"/>
        <v>0</v>
      </c>
      <c r="P815" s="738">
        <f t="shared" si="36"/>
        <v>0</v>
      </c>
      <c r="Q815" s="751">
        <f t="shared" si="37"/>
        <v>0</v>
      </c>
      <c r="R815" s="898"/>
      <c r="S815" s="898"/>
      <c r="T815" s="898"/>
      <c r="U815" s="898"/>
      <c r="V815" s="988"/>
      <c r="W815" s="1024"/>
      <c r="X815" s="898"/>
      <c r="Y815" s="898"/>
      <c r="Z815" s="898"/>
      <c r="AA815" s="898"/>
      <c r="AB815" s="898"/>
      <c r="AC815" s="898"/>
      <c r="AD815" s="898"/>
      <c r="AE815" s="898"/>
      <c r="AF815" s="898"/>
      <c r="AG815" s="898"/>
      <c r="AH815" s="898"/>
      <c r="AI815" s="898"/>
      <c r="AJ815" s="898"/>
      <c r="AK815" s="898"/>
      <c r="AL815" s="898"/>
      <c r="AM815" s="898"/>
      <c r="AN815" s="898"/>
      <c r="AO815" s="898"/>
      <c r="AP815" s="898"/>
      <c r="AQ815" s="898"/>
      <c r="AR815" s="898"/>
      <c r="AS815" s="898"/>
      <c r="AT815" s="898"/>
      <c r="AU815" s="898"/>
      <c r="AV815" s="898"/>
      <c r="AW815" s="898"/>
      <c r="AX815" s="898"/>
      <c r="AY815" s="898"/>
      <c r="AZ815" s="898"/>
      <c r="BA815" s="898"/>
      <c r="BB815" s="898"/>
      <c r="BC815" s="898"/>
      <c r="BD815" s="898"/>
      <c r="BE815" s="898"/>
      <c r="BF815" s="898"/>
      <c r="BG815" s="898"/>
      <c r="BH815" s="898"/>
      <c r="BI815" s="898"/>
      <c r="BJ815" s="898"/>
      <c r="BK815" s="898"/>
      <c r="BL815" s="898"/>
      <c r="BM815" s="898"/>
      <c r="BN815" s="898"/>
      <c r="BO815" s="898"/>
      <c r="BP815" s="898"/>
      <c r="BQ815" s="898"/>
      <c r="BR815" s="898"/>
      <c r="BS815" s="898"/>
      <c r="BT815" s="898"/>
      <c r="BU815" s="898"/>
      <c r="BV815" s="898"/>
      <c r="BW815" s="898"/>
      <c r="BX815" s="898"/>
      <c r="BY815" s="898"/>
      <c r="BZ815" s="898"/>
      <c r="CA815" s="898"/>
      <c r="CB815" s="898"/>
      <c r="CC815" s="898"/>
    </row>
    <row r="816" spans="1:81" ht="14.25" customHeight="1">
      <c r="A816" s="976" t="s">
        <v>3901</v>
      </c>
      <c r="B816" s="976" t="s">
        <v>1251</v>
      </c>
      <c r="C816" s="977">
        <v>1813200980</v>
      </c>
      <c r="D816" s="976" t="s">
        <v>546</v>
      </c>
      <c r="E816" s="976">
        <v>2740</v>
      </c>
      <c r="F816" s="976">
        <v>2940</v>
      </c>
      <c r="G816" s="976">
        <v>2055</v>
      </c>
      <c r="H816" s="976">
        <v>1868.01225</v>
      </c>
      <c r="I816" s="976"/>
      <c r="J816" s="1041">
        <v>187</v>
      </c>
      <c r="K816" s="976">
        <v>2055.0122499999998</v>
      </c>
      <c r="L816" s="978">
        <v>1.2249999999767169E-2</v>
      </c>
      <c r="M816" s="976" t="s">
        <v>3684</v>
      </c>
      <c r="N816" s="976">
        <v>2740.016333333333</v>
      </c>
      <c r="O816" s="735">
        <f t="shared" si="38"/>
        <v>1.6333333333022892E-2</v>
      </c>
      <c r="P816" s="738">
        <f t="shared" si="36"/>
        <v>2740016.333333333</v>
      </c>
      <c r="Q816" s="751">
        <f t="shared" si="37"/>
        <v>2740000</v>
      </c>
      <c r="U816" s="747"/>
      <c r="V816" s="988"/>
      <c r="W816" s="1024"/>
    </row>
    <row r="817" spans="1:81" ht="14.25" customHeight="1">
      <c r="A817" s="976" t="s">
        <v>3868</v>
      </c>
      <c r="B817" s="976" t="s">
        <v>1251</v>
      </c>
      <c r="C817" s="977">
        <v>1813300430</v>
      </c>
      <c r="D817" s="976" t="s">
        <v>311</v>
      </c>
      <c r="E817" s="976">
        <v>150</v>
      </c>
      <c r="F817" s="976">
        <v>150</v>
      </c>
      <c r="G817" s="976">
        <v>112.5</v>
      </c>
      <c r="H817" s="976">
        <v>37.19144</v>
      </c>
      <c r="I817" s="976"/>
      <c r="J817" s="1041">
        <v>20</v>
      </c>
      <c r="K817" s="976">
        <v>57.19144</v>
      </c>
      <c r="L817" s="978">
        <v>-55.30856</v>
      </c>
      <c r="M817" s="976" t="s">
        <v>3582</v>
      </c>
      <c r="N817" s="976">
        <v>76.255253333333329</v>
      </c>
      <c r="O817" s="735">
        <f t="shared" si="38"/>
        <v>-73.744746666666671</v>
      </c>
      <c r="P817" s="738">
        <f t="shared" si="36"/>
        <v>76255.253333333327</v>
      </c>
      <c r="Q817" s="751">
        <f t="shared" si="37"/>
        <v>76000</v>
      </c>
      <c r="U817" s="747"/>
      <c r="V817" s="988"/>
      <c r="W817" s="1024"/>
    </row>
    <row r="818" spans="1:81" s="901" customFormat="1" ht="14.25" customHeight="1">
      <c r="A818" s="976" t="s">
        <v>3930</v>
      </c>
      <c r="B818" s="976" t="s">
        <v>1251</v>
      </c>
      <c r="C818" s="977">
        <v>1813300432</v>
      </c>
      <c r="D818" s="976" t="s">
        <v>462</v>
      </c>
      <c r="E818" s="976">
        <v>180</v>
      </c>
      <c r="F818" s="976">
        <v>180</v>
      </c>
      <c r="G818" s="976">
        <v>135</v>
      </c>
      <c r="H818" s="976">
        <v>27.161999999999999</v>
      </c>
      <c r="I818" s="976"/>
      <c r="J818" s="1041">
        <v>108</v>
      </c>
      <c r="K818" s="976">
        <v>135.16200000000001</v>
      </c>
      <c r="L818" s="978">
        <v>0.16200000000000614</v>
      </c>
      <c r="M818" s="976" t="s">
        <v>3642</v>
      </c>
      <c r="N818" s="976">
        <v>180.21600000000001</v>
      </c>
      <c r="O818" s="735">
        <f t="shared" si="38"/>
        <v>0.21600000000000819</v>
      </c>
      <c r="P818" s="738">
        <f t="shared" si="36"/>
        <v>180216</v>
      </c>
      <c r="Q818" s="751">
        <f t="shared" si="37"/>
        <v>180000</v>
      </c>
      <c r="R818" s="900"/>
      <c r="S818" s="900"/>
      <c r="T818" s="900"/>
      <c r="U818" s="900"/>
      <c r="V818" s="988"/>
      <c r="W818" s="1024"/>
      <c r="X818" s="900"/>
      <c r="Y818" s="900"/>
      <c r="Z818" s="900"/>
      <c r="AA818" s="900"/>
      <c r="AB818" s="900"/>
      <c r="AC818" s="900"/>
      <c r="AD818" s="900"/>
      <c r="AE818" s="900"/>
      <c r="AF818" s="900"/>
      <c r="AG818" s="900"/>
      <c r="AH818" s="900"/>
      <c r="AI818" s="900"/>
      <c r="AJ818" s="900"/>
      <c r="AK818" s="900"/>
      <c r="AL818" s="900"/>
      <c r="AM818" s="900"/>
      <c r="AN818" s="900"/>
      <c r="AO818" s="900"/>
      <c r="AP818" s="900"/>
      <c r="AQ818" s="900"/>
      <c r="AR818" s="900"/>
      <c r="AS818" s="900"/>
      <c r="AT818" s="900"/>
      <c r="AU818" s="900"/>
      <c r="AV818" s="900"/>
      <c r="AW818" s="900"/>
      <c r="AX818" s="900"/>
      <c r="AY818" s="900"/>
      <c r="AZ818" s="900"/>
      <c r="BA818" s="900"/>
      <c r="BB818" s="900"/>
      <c r="BC818" s="900"/>
      <c r="BD818" s="900"/>
      <c r="BE818" s="900"/>
      <c r="BF818" s="900"/>
      <c r="BG818" s="900"/>
      <c r="BH818" s="900"/>
      <c r="BI818" s="900"/>
      <c r="BJ818" s="900"/>
      <c r="BK818" s="900"/>
      <c r="BL818" s="900"/>
      <c r="BM818" s="900"/>
      <c r="BN818" s="900"/>
      <c r="BO818" s="900"/>
      <c r="BP818" s="900"/>
      <c r="BQ818" s="900"/>
      <c r="BR818" s="900"/>
      <c r="BS818" s="900"/>
      <c r="BT818" s="900"/>
      <c r="BU818" s="900"/>
      <c r="BV818" s="900"/>
      <c r="BW818" s="900"/>
      <c r="BX818" s="900"/>
      <c r="BY818" s="900"/>
      <c r="BZ818" s="900"/>
      <c r="CA818" s="900"/>
      <c r="CB818" s="900"/>
      <c r="CC818" s="900"/>
    </row>
    <row r="819" spans="1:81" ht="14.25" customHeight="1">
      <c r="A819" s="976" t="s">
        <v>3909</v>
      </c>
      <c r="B819" s="976" t="s">
        <v>1251</v>
      </c>
      <c r="C819" s="977">
        <v>1813300780</v>
      </c>
      <c r="D819" s="976" t="s">
        <v>280</v>
      </c>
      <c r="E819" s="976">
        <v>1500</v>
      </c>
      <c r="F819" s="976">
        <v>1500</v>
      </c>
      <c r="G819" s="976">
        <v>1125</v>
      </c>
      <c r="H819" s="976">
        <v>713.28552000000002</v>
      </c>
      <c r="I819" s="976"/>
      <c r="J819" s="1041">
        <v>412</v>
      </c>
      <c r="K819" s="976">
        <v>1125.2855199999999</v>
      </c>
      <c r="L819" s="978">
        <v>0.28551999999990585</v>
      </c>
      <c r="M819" s="976" t="s">
        <v>3685</v>
      </c>
      <c r="N819" s="976">
        <v>1500.3806933333333</v>
      </c>
      <c r="O819" s="735">
        <f t="shared" si="38"/>
        <v>0.38069333333328359</v>
      </c>
      <c r="P819" s="738">
        <f t="shared" si="36"/>
        <v>1500380.6933333334</v>
      </c>
      <c r="Q819" s="751">
        <f t="shared" si="37"/>
        <v>1500000</v>
      </c>
      <c r="U819" s="747"/>
      <c r="V819" s="988"/>
      <c r="W819" s="1024"/>
    </row>
    <row r="820" spans="1:81" ht="14.25" customHeight="1">
      <c r="A820" s="976" t="s">
        <v>3868</v>
      </c>
      <c r="B820" s="976" t="s">
        <v>1251</v>
      </c>
      <c r="C820" s="977">
        <v>1813400430</v>
      </c>
      <c r="D820" s="976" t="s">
        <v>591</v>
      </c>
      <c r="E820" s="976">
        <v>400</v>
      </c>
      <c r="F820" s="976">
        <v>400</v>
      </c>
      <c r="G820" s="976">
        <v>300</v>
      </c>
      <c r="H820" s="976">
        <v>266.66399999999999</v>
      </c>
      <c r="I820" s="976"/>
      <c r="J820" s="1041">
        <v>33</v>
      </c>
      <c r="K820" s="976">
        <v>299.66399999999999</v>
      </c>
      <c r="L820" s="978">
        <v>-0.33600000000001273</v>
      </c>
      <c r="M820" s="976" t="s">
        <v>3582</v>
      </c>
      <c r="N820" s="976">
        <v>399.55199999999996</v>
      </c>
      <c r="O820" s="735">
        <f t="shared" si="38"/>
        <v>-0.44800000000003593</v>
      </c>
      <c r="P820" s="738">
        <f t="shared" si="36"/>
        <v>399551.99999999994</v>
      </c>
      <c r="Q820" s="751">
        <f t="shared" si="37"/>
        <v>400000</v>
      </c>
      <c r="U820" s="747"/>
      <c r="V820" s="988"/>
      <c r="W820" s="1024"/>
      <c r="AY820" s="845"/>
      <c r="AZ820" s="845"/>
      <c r="BA820" s="845"/>
      <c r="BB820" s="845"/>
      <c r="BC820" s="845"/>
      <c r="BD820" s="845"/>
      <c r="BE820" s="845"/>
      <c r="BF820" s="845"/>
      <c r="BG820" s="845"/>
      <c r="BH820" s="845"/>
      <c r="BI820" s="845"/>
      <c r="BJ820" s="845"/>
      <c r="BK820" s="845"/>
      <c r="BL820" s="845"/>
      <c r="BM820" s="845"/>
      <c r="BN820" s="845"/>
      <c r="BO820" s="845"/>
      <c r="BP820" s="845"/>
      <c r="BQ820" s="845"/>
      <c r="BR820" s="845"/>
      <c r="BS820" s="845"/>
      <c r="BT820" s="845"/>
      <c r="BU820" s="845"/>
      <c r="BV820" s="845"/>
      <c r="BW820" s="845"/>
      <c r="BX820" s="845"/>
      <c r="BY820" s="845"/>
      <c r="BZ820" s="845"/>
      <c r="CA820" s="845"/>
      <c r="CB820" s="845"/>
      <c r="CC820" s="845"/>
    </row>
    <row r="821" spans="1:81" ht="14.25" customHeight="1">
      <c r="A821" s="976" t="s">
        <v>3922</v>
      </c>
      <c r="B821" s="976" t="s">
        <v>1251</v>
      </c>
      <c r="C821" s="977">
        <v>1813400550</v>
      </c>
      <c r="D821" s="976" t="s">
        <v>318</v>
      </c>
      <c r="E821" s="976">
        <v>0</v>
      </c>
      <c r="F821" s="976">
        <v>0</v>
      </c>
      <c r="G821" s="976">
        <v>0</v>
      </c>
      <c r="H821" s="976">
        <v>0</v>
      </c>
      <c r="I821" s="976"/>
      <c r="J821" s="976"/>
      <c r="K821" s="976">
        <v>0</v>
      </c>
      <c r="L821" s="978">
        <v>0</v>
      </c>
      <c r="M821" s="976" t="s">
        <v>3582</v>
      </c>
      <c r="N821" s="976">
        <v>0</v>
      </c>
      <c r="O821" s="735">
        <f t="shared" si="38"/>
        <v>0</v>
      </c>
      <c r="P821" s="738">
        <f t="shared" si="36"/>
        <v>0</v>
      </c>
      <c r="Q821" s="751">
        <f t="shared" si="37"/>
        <v>0</v>
      </c>
      <c r="U821" s="747"/>
      <c r="V821" s="988"/>
      <c r="W821" s="1024"/>
    </row>
    <row r="822" spans="1:81" ht="14.25" customHeight="1">
      <c r="A822" s="976" t="s">
        <v>3931</v>
      </c>
      <c r="B822" s="976" t="s">
        <v>1251</v>
      </c>
      <c r="C822" s="977">
        <v>1813400810</v>
      </c>
      <c r="D822" s="976" t="s">
        <v>593</v>
      </c>
      <c r="E822" s="976">
        <v>4500</v>
      </c>
      <c r="F822" s="976">
        <v>4500</v>
      </c>
      <c r="G822" s="976">
        <v>3375</v>
      </c>
      <c r="H822" s="976">
        <v>3000</v>
      </c>
      <c r="I822" s="976"/>
      <c r="J822" s="1041">
        <v>375</v>
      </c>
      <c r="K822" s="976">
        <v>3375</v>
      </c>
      <c r="L822" s="978">
        <v>0</v>
      </c>
      <c r="M822" s="976" t="s">
        <v>3686</v>
      </c>
      <c r="N822" s="976">
        <v>4500</v>
      </c>
      <c r="O822" s="735">
        <f t="shared" si="38"/>
        <v>0</v>
      </c>
      <c r="P822" s="738">
        <f t="shared" si="36"/>
        <v>4500000</v>
      </c>
      <c r="Q822" s="751">
        <f t="shared" si="37"/>
        <v>4500000</v>
      </c>
      <c r="U822" s="747"/>
      <c r="V822" s="988"/>
      <c r="W822" s="1024"/>
    </row>
    <row r="823" spans="1:81" ht="14.25" customHeight="1">
      <c r="A823" s="976" t="s">
        <v>3909</v>
      </c>
      <c r="B823" s="976" t="s">
        <v>1251</v>
      </c>
      <c r="C823" s="977">
        <v>1813500780</v>
      </c>
      <c r="D823" s="976" t="s">
        <v>595</v>
      </c>
      <c r="E823" s="976">
        <v>4153</v>
      </c>
      <c r="F823" s="976">
        <v>4153</v>
      </c>
      <c r="G823" s="976">
        <v>3114.75</v>
      </c>
      <c r="H823" s="976">
        <v>2222.386</v>
      </c>
      <c r="I823" s="976"/>
      <c r="J823" s="1041">
        <v>500</v>
      </c>
      <c r="K823" s="976">
        <v>2722.386</v>
      </c>
      <c r="L823" s="978">
        <v>-392.36400000000003</v>
      </c>
      <c r="M823" s="976" t="s">
        <v>3687</v>
      </c>
      <c r="N823" s="976">
        <v>3629.848</v>
      </c>
      <c r="O823" s="735">
        <f t="shared" si="38"/>
        <v>-523.15200000000004</v>
      </c>
      <c r="P823" s="738">
        <f t="shared" si="36"/>
        <v>3629848</v>
      </c>
      <c r="Q823" s="751">
        <f t="shared" si="37"/>
        <v>3630000</v>
      </c>
      <c r="U823" s="747"/>
      <c r="V823" s="988"/>
      <c r="W823" s="1024"/>
    </row>
    <row r="824" spans="1:81" ht="14.25" customHeight="1">
      <c r="A824" s="976" t="s">
        <v>3929</v>
      </c>
      <c r="B824" s="976" t="s">
        <v>1251</v>
      </c>
      <c r="C824" s="977">
        <v>1813600760</v>
      </c>
      <c r="D824" s="976" t="s">
        <v>599</v>
      </c>
      <c r="E824" s="976">
        <v>3500</v>
      </c>
      <c r="F824" s="976">
        <v>3500</v>
      </c>
      <c r="G824" s="976">
        <v>2625</v>
      </c>
      <c r="H824" s="976">
        <v>1968.519</v>
      </c>
      <c r="I824" s="976"/>
      <c r="J824" s="1041">
        <v>656</v>
      </c>
      <c r="K824" s="976">
        <v>2624.5190000000002</v>
      </c>
      <c r="L824" s="978">
        <v>-0.48099999999976717</v>
      </c>
      <c r="M824" s="976" t="s">
        <v>3688</v>
      </c>
      <c r="N824" s="976">
        <v>3499.358666666667</v>
      </c>
      <c r="O824" s="735">
        <f t="shared" si="38"/>
        <v>-0.64133333333302289</v>
      </c>
      <c r="P824" s="738">
        <f t="shared" si="36"/>
        <v>3499358.666666667</v>
      </c>
      <c r="Q824" s="751">
        <f t="shared" si="37"/>
        <v>3499000</v>
      </c>
      <c r="U824" s="747"/>
      <c r="V824" s="988"/>
      <c r="W824" s="1024"/>
    </row>
    <row r="825" spans="1:81" ht="14.25" customHeight="1">
      <c r="A825" s="976" t="s">
        <v>3868</v>
      </c>
      <c r="B825" s="976" t="s">
        <v>1251</v>
      </c>
      <c r="C825" s="977">
        <v>1813700430</v>
      </c>
      <c r="D825" s="976" t="s">
        <v>311</v>
      </c>
      <c r="E825" s="976">
        <v>25</v>
      </c>
      <c r="F825" s="976">
        <v>25</v>
      </c>
      <c r="G825" s="976">
        <v>18.75</v>
      </c>
      <c r="H825" s="976">
        <v>13.85782</v>
      </c>
      <c r="I825" s="976"/>
      <c r="J825" s="1041">
        <v>5</v>
      </c>
      <c r="K825" s="976">
        <v>18.85782</v>
      </c>
      <c r="L825" s="978">
        <v>0.10782000000000025</v>
      </c>
      <c r="M825" s="976" t="s">
        <v>3582</v>
      </c>
      <c r="N825" s="976">
        <v>25.14376</v>
      </c>
      <c r="O825" s="735">
        <f t="shared" si="38"/>
        <v>0.14376000000000033</v>
      </c>
      <c r="P825" s="738">
        <f t="shared" si="36"/>
        <v>25143.760000000002</v>
      </c>
      <c r="Q825" s="751">
        <f t="shared" si="37"/>
        <v>25000</v>
      </c>
      <c r="U825" s="747"/>
      <c r="V825" s="988"/>
      <c r="W825" s="1024"/>
    </row>
    <row r="826" spans="1:81" ht="14.25" customHeight="1">
      <c r="A826" s="976" t="s">
        <v>3927</v>
      </c>
      <c r="B826" s="976" t="s">
        <v>1251</v>
      </c>
      <c r="C826" s="977">
        <v>1813700720</v>
      </c>
      <c r="D826" s="976" t="s">
        <v>400</v>
      </c>
      <c r="E826" s="976">
        <v>218</v>
      </c>
      <c r="F826" s="976">
        <v>218</v>
      </c>
      <c r="G826" s="976">
        <v>163.5</v>
      </c>
      <c r="H826" s="976">
        <v>182</v>
      </c>
      <c r="I826" s="976"/>
      <c r="J826" s="1032">
        <v>-18</v>
      </c>
      <c r="K826" s="976">
        <v>164</v>
      </c>
      <c r="L826" s="978">
        <v>0.5</v>
      </c>
      <c r="M826" s="976" t="s">
        <v>3582</v>
      </c>
      <c r="N826" s="976">
        <v>218.66666666666666</v>
      </c>
      <c r="O826" s="735">
        <f t="shared" si="38"/>
        <v>0.66666666666665719</v>
      </c>
      <c r="P826" s="738">
        <f t="shared" si="36"/>
        <v>218666.66666666666</v>
      </c>
      <c r="Q826" s="751">
        <f t="shared" si="37"/>
        <v>219000</v>
      </c>
      <c r="U826" s="747"/>
      <c r="V826" s="988"/>
      <c r="W826" s="1024"/>
    </row>
    <row r="827" spans="1:81" ht="14.25" customHeight="1">
      <c r="A827" s="976" t="s">
        <v>3868</v>
      </c>
      <c r="B827" s="976" t="s">
        <v>1251</v>
      </c>
      <c r="C827" s="977">
        <v>1814000430</v>
      </c>
      <c r="D827" s="976" t="s">
        <v>311</v>
      </c>
      <c r="E827" s="976">
        <v>1000</v>
      </c>
      <c r="F827" s="976">
        <v>1000</v>
      </c>
      <c r="G827" s="976">
        <v>750</v>
      </c>
      <c r="H827" s="976">
        <v>741.54300000000001</v>
      </c>
      <c r="I827" s="976"/>
      <c r="J827" s="976"/>
      <c r="K827" s="976">
        <v>741.54300000000001</v>
      </c>
      <c r="L827" s="978">
        <v>-8.4569999999999936</v>
      </c>
      <c r="M827" s="976" t="s">
        <v>3689</v>
      </c>
      <c r="N827" s="976">
        <v>988.72399999999993</v>
      </c>
      <c r="O827" s="735">
        <f t="shared" si="38"/>
        <v>-11.276000000000067</v>
      </c>
      <c r="P827" s="738">
        <f t="shared" si="36"/>
        <v>988723.99999999988</v>
      </c>
      <c r="Q827" s="751">
        <f t="shared" si="37"/>
        <v>989000</v>
      </c>
      <c r="U827" s="747"/>
      <c r="V827" s="988"/>
      <c r="W827" s="1024"/>
    </row>
    <row r="828" spans="1:81" ht="14.25" customHeight="1">
      <c r="A828" s="976" t="s">
        <v>3909</v>
      </c>
      <c r="B828" s="976" t="s">
        <v>1251</v>
      </c>
      <c r="C828" s="977">
        <v>1814000780</v>
      </c>
      <c r="D828" s="976" t="s">
        <v>280</v>
      </c>
      <c r="E828" s="976">
        <v>450</v>
      </c>
      <c r="F828" s="976">
        <v>450</v>
      </c>
      <c r="G828" s="976">
        <v>337.5</v>
      </c>
      <c r="H828" s="976">
        <v>319.48935</v>
      </c>
      <c r="I828" s="976"/>
      <c r="J828" s="1041">
        <v>18</v>
      </c>
      <c r="K828" s="976">
        <v>337.48935</v>
      </c>
      <c r="L828" s="978">
        <v>-1.0649999999998272E-2</v>
      </c>
      <c r="M828" s="976" t="s">
        <v>3582</v>
      </c>
      <c r="N828" s="976">
        <v>449.98579999999998</v>
      </c>
      <c r="O828" s="735">
        <f t="shared" si="38"/>
        <v>-1.4200000000016644E-2</v>
      </c>
      <c r="P828" s="738">
        <f t="shared" si="36"/>
        <v>449985.8</v>
      </c>
      <c r="Q828" s="751">
        <f t="shared" si="37"/>
        <v>450000</v>
      </c>
      <c r="U828" s="747"/>
      <c r="V828" s="988"/>
      <c r="W828" s="1024"/>
      <c r="AY828" s="845"/>
      <c r="AZ828" s="845"/>
      <c r="BA828" s="845"/>
      <c r="BB828" s="845"/>
      <c r="BC828" s="845"/>
      <c r="BD828" s="845"/>
      <c r="BE828" s="845"/>
      <c r="BF828" s="845"/>
      <c r="BG828" s="845"/>
      <c r="BH828" s="845"/>
      <c r="BI828" s="845"/>
      <c r="BJ828" s="845"/>
      <c r="BK828" s="845"/>
      <c r="BL828" s="845"/>
      <c r="BM828" s="845"/>
      <c r="BN828" s="845"/>
      <c r="BO828" s="845"/>
      <c r="BP828" s="845"/>
      <c r="BQ828" s="845"/>
      <c r="BR828" s="845"/>
      <c r="BS828" s="845"/>
      <c r="BT828" s="845"/>
      <c r="BU828" s="845"/>
      <c r="BV828" s="845"/>
      <c r="BW828" s="845"/>
      <c r="BX828" s="845"/>
      <c r="BY828" s="845"/>
      <c r="BZ828" s="845"/>
      <c r="CA828" s="845"/>
      <c r="CB828" s="845"/>
      <c r="CC828" s="845"/>
    </row>
    <row r="829" spans="1:81" ht="14.25" customHeight="1">
      <c r="A829" s="976" t="s">
        <v>3912</v>
      </c>
      <c r="B829" s="976" t="s">
        <v>1251</v>
      </c>
      <c r="C829" s="977">
        <v>1814000781</v>
      </c>
      <c r="D829" s="976" t="s">
        <v>3409</v>
      </c>
      <c r="E829" s="976">
        <v>0</v>
      </c>
      <c r="F829" s="976">
        <v>0</v>
      </c>
      <c r="G829" s="976">
        <v>0</v>
      </c>
      <c r="H829" s="976">
        <v>0</v>
      </c>
      <c r="I829" s="976"/>
      <c r="J829" s="976"/>
      <c r="K829" s="976">
        <v>0</v>
      </c>
      <c r="L829" s="978">
        <v>0</v>
      </c>
      <c r="M829" s="976" t="s">
        <v>3582</v>
      </c>
      <c r="N829" s="976">
        <v>0</v>
      </c>
      <c r="O829" s="860">
        <f t="shared" si="38"/>
        <v>0</v>
      </c>
      <c r="P829" s="738">
        <f t="shared" si="36"/>
        <v>0</v>
      </c>
      <c r="Q829" s="751">
        <f t="shared" si="37"/>
        <v>0</v>
      </c>
      <c r="U829" s="747"/>
      <c r="V829" s="988"/>
      <c r="W829" s="1024"/>
    </row>
    <row r="830" spans="1:81" ht="14.25" customHeight="1">
      <c r="A830" s="976" t="s">
        <v>3931</v>
      </c>
      <c r="B830" s="1029" t="s">
        <v>1251</v>
      </c>
      <c r="C830" s="977">
        <v>1814000810</v>
      </c>
      <c r="D830" s="976" t="s">
        <v>607</v>
      </c>
      <c r="E830" s="976">
        <v>3800</v>
      </c>
      <c r="F830" s="976">
        <v>4200</v>
      </c>
      <c r="G830" s="976">
        <v>2850</v>
      </c>
      <c r="H830" s="976">
        <v>3675.4854999999998</v>
      </c>
      <c r="I830" s="976"/>
      <c r="J830" s="1032">
        <v>-825</v>
      </c>
      <c r="K830" s="976">
        <v>2850.4854999999998</v>
      </c>
      <c r="L830" s="976">
        <v>0.48549999999977445</v>
      </c>
      <c r="M830" s="976" t="s">
        <v>3690</v>
      </c>
      <c r="N830" s="976">
        <v>3800.6473333333333</v>
      </c>
      <c r="O830" s="735">
        <f t="shared" si="38"/>
        <v>0.64733333333333576</v>
      </c>
      <c r="P830" s="738">
        <f t="shared" si="36"/>
        <v>3800647.3333333335</v>
      </c>
      <c r="Q830" s="751">
        <f t="shared" si="37"/>
        <v>3801000</v>
      </c>
      <c r="U830" s="747"/>
      <c r="V830" s="988"/>
      <c r="W830" s="1024"/>
      <c r="AY830" s="845"/>
      <c r="AZ830" s="845"/>
      <c r="BA830" s="845"/>
      <c r="BB830" s="845"/>
      <c r="BC830" s="845"/>
      <c r="BD830" s="845"/>
      <c r="BE830" s="845"/>
      <c r="BF830" s="845"/>
      <c r="BG830" s="845"/>
      <c r="BH830" s="845"/>
      <c r="BI830" s="845"/>
      <c r="BJ830" s="845"/>
      <c r="BK830" s="845"/>
      <c r="BL830" s="845"/>
      <c r="BM830" s="845"/>
      <c r="BN830" s="845"/>
      <c r="BO830" s="845"/>
      <c r="BP830" s="845"/>
      <c r="BQ830" s="845"/>
      <c r="BR830" s="845"/>
      <c r="BS830" s="845"/>
      <c r="BT830" s="845"/>
      <c r="BU830" s="845"/>
      <c r="BV830" s="845"/>
      <c r="BW830" s="845"/>
      <c r="BX830" s="845"/>
      <c r="BY830" s="845"/>
      <c r="BZ830" s="845"/>
      <c r="CA830" s="845"/>
      <c r="CB830" s="845"/>
      <c r="CC830" s="845"/>
    </row>
    <row r="831" spans="1:81" ht="14.25" customHeight="1">
      <c r="A831" s="976" t="s">
        <v>3909</v>
      </c>
      <c r="B831" s="976" t="s">
        <v>1251</v>
      </c>
      <c r="C831" s="977">
        <v>1815200780</v>
      </c>
      <c r="D831" s="976" t="s">
        <v>3410</v>
      </c>
      <c r="E831" s="976">
        <v>0</v>
      </c>
      <c r="F831" s="976">
        <v>0</v>
      </c>
      <c r="G831" s="976">
        <v>0</v>
      </c>
      <c r="H831" s="976">
        <v>0</v>
      </c>
      <c r="I831" s="976"/>
      <c r="J831" s="976"/>
      <c r="K831" s="976">
        <v>0</v>
      </c>
      <c r="L831" s="978">
        <v>0</v>
      </c>
      <c r="M831" s="976" t="s">
        <v>3582</v>
      </c>
      <c r="N831" s="976">
        <v>0</v>
      </c>
      <c r="O831" s="735">
        <f t="shared" si="38"/>
        <v>0</v>
      </c>
      <c r="P831" s="738">
        <f t="shared" si="36"/>
        <v>0</v>
      </c>
      <c r="Q831" s="751">
        <f t="shared" si="37"/>
        <v>0</v>
      </c>
      <c r="U831" s="747"/>
      <c r="V831" s="988"/>
      <c r="W831" s="1024"/>
      <c r="AY831" s="845"/>
      <c r="AZ831" s="845"/>
      <c r="BA831" s="845"/>
      <c r="BB831" s="845"/>
      <c r="BC831" s="845"/>
      <c r="BD831" s="845"/>
      <c r="BE831" s="845"/>
      <c r="BF831" s="845"/>
      <c r="BG831" s="845"/>
      <c r="BH831" s="845"/>
      <c r="BI831" s="845"/>
      <c r="BJ831" s="845"/>
      <c r="BK831" s="845"/>
      <c r="BL831" s="845"/>
      <c r="BM831" s="845"/>
      <c r="BN831" s="845"/>
      <c r="BO831" s="845"/>
      <c r="BP831" s="845"/>
      <c r="BQ831" s="845"/>
      <c r="BR831" s="845"/>
      <c r="BS831" s="845"/>
      <c r="BT831" s="845"/>
      <c r="BU831" s="845"/>
      <c r="BV831" s="845"/>
      <c r="BW831" s="845"/>
      <c r="BX831" s="845"/>
      <c r="BY831" s="845"/>
      <c r="BZ831" s="845"/>
      <c r="CA831" s="845"/>
      <c r="CB831" s="845"/>
      <c r="CC831" s="845"/>
    </row>
    <row r="832" spans="1:81" ht="14.25" customHeight="1">
      <c r="A832" s="976" t="s">
        <v>3912</v>
      </c>
      <c r="B832" s="976" t="s">
        <v>1251</v>
      </c>
      <c r="C832" s="977">
        <v>1815200781</v>
      </c>
      <c r="D832" s="976" t="s">
        <v>3411</v>
      </c>
      <c r="E832" s="976">
        <v>0</v>
      </c>
      <c r="F832" s="976">
        <v>0</v>
      </c>
      <c r="G832" s="976">
        <v>0</v>
      </c>
      <c r="H832" s="976">
        <v>0</v>
      </c>
      <c r="I832" s="976"/>
      <c r="J832" s="976"/>
      <c r="K832" s="976">
        <v>0</v>
      </c>
      <c r="L832" s="978">
        <v>0</v>
      </c>
      <c r="M832" s="976" t="s">
        <v>3582</v>
      </c>
      <c r="N832" s="976">
        <v>0</v>
      </c>
      <c r="O832" s="735">
        <f t="shared" si="38"/>
        <v>0</v>
      </c>
      <c r="P832" s="738">
        <f t="shared" si="36"/>
        <v>0</v>
      </c>
      <c r="Q832" s="751">
        <f t="shared" si="37"/>
        <v>0</v>
      </c>
      <c r="U832" s="747"/>
      <c r="V832" s="988"/>
      <c r="W832" s="1024"/>
    </row>
    <row r="833" spans="1:81" ht="14.25" customHeight="1">
      <c r="A833" s="976" t="s">
        <v>3901</v>
      </c>
      <c r="B833" s="976" t="s">
        <v>1251</v>
      </c>
      <c r="C833" s="977">
        <v>1815200980</v>
      </c>
      <c r="D833" s="976" t="s">
        <v>546</v>
      </c>
      <c r="E833" s="976">
        <v>1850</v>
      </c>
      <c r="F833" s="976">
        <v>2000</v>
      </c>
      <c r="G833" s="976">
        <v>1387.5</v>
      </c>
      <c r="H833" s="976">
        <v>803.14635999999996</v>
      </c>
      <c r="I833" s="976"/>
      <c r="J833" s="1041">
        <v>584</v>
      </c>
      <c r="K833" s="976">
        <v>1387.14636</v>
      </c>
      <c r="L833" s="978">
        <v>-0.35364000000004125</v>
      </c>
      <c r="M833" s="976" t="s">
        <v>3691</v>
      </c>
      <c r="N833" s="976">
        <v>1849.5284799999999</v>
      </c>
      <c r="O833" s="735">
        <f t="shared" si="38"/>
        <v>-0.47152000000005501</v>
      </c>
      <c r="P833" s="738">
        <f t="shared" si="36"/>
        <v>1849528.48</v>
      </c>
      <c r="Q833" s="751">
        <f t="shared" si="37"/>
        <v>1850000</v>
      </c>
      <c r="U833" s="747"/>
      <c r="V833" s="988"/>
      <c r="W833" s="1024"/>
      <c r="AY833" s="845"/>
      <c r="AZ833" s="845"/>
      <c r="BA833" s="845"/>
      <c r="BB833" s="845"/>
      <c r="BC833" s="845"/>
      <c r="BD833" s="845"/>
      <c r="BE833" s="845"/>
      <c r="BF833" s="845"/>
      <c r="BG833" s="845"/>
      <c r="BH833" s="845"/>
      <c r="BI833" s="845"/>
      <c r="BJ833" s="845"/>
      <c r="BK833" s="845"/>
      <c r="BL833" s="845"/>
      <c r="BM833" s="845"/>
      <c r="BN833" s="845"/>
      <c r="BO833" s="845"/>
      <c r="BP833" s="845"/>
      <c r="BQ833" s="845"/>
      <c r="BR833" s="845"/>
      <c r="BS833" s="845"/>
      <c r="BT833" s="845"/>
      <c r="BU833" s="845"/>
      <c r="BV833" s="845"/>
      <c r="BW833" s="845"/>
      <c r="BX833" s="845"/>
      <c r="BY833" s="845"/>
      <c r="BZ833" s="845"/>
      <c r="CA833" s="845"/>
      <c r="CB833" s="845"/>
      <c r="CC833" s="845"/>
    </row>
    <row r="834" spans="1:81" ht="14.25" customHeight="1">
      <c r="A834" s="976" t="s">
        <v>3921</v>
      </c>
      <c r="B834" s="976" t="s">
        <v>1251</v>
      </c>
      <c r="C834" s="977">
        <v>1815400783</v>
      </c>
      <c r="D834" s="976" t="s">
        <v>3412</v>
      </c>
      <c r="E834" s="976">
        <v>0</v>
      </c>
      <c r="F834" s="976">
        <v>0</v>
      </c>
      <c r="G834" s="976">
        <v>0</v>
      </c>
      <c r="H834" s="976">
        <v>0</v>
      </c>
      <c r="I834" s="976"/>
      <c r="J834" s="976"/>
      <c r="K834" s="976">
        <v>0</v>
      </c>
      <c r="L834" s="978">
        <v>0</v>
      </c>
      <c r="M834" s="976" t="s">
        <v>3582</v>
      </c>
      <c r="N834" s="976">
        <v>0</v>
      </c>
      <c r="O834" s="735">
        <f t="shared" si="38"/>
        <v>0</v>
      </c>
      <c r="P834" s="738">
        <f t="shared" si="36"/>
        <v>0</v>
      </c>
      <c r="Q834" s="751">
        <f t="shared" si="37"/>
        <v>0</v>
      </c>
      <c r="U834" s="747"/>
      <c r="V834" s="988"/>
      <c r="W834" s="1024"/>
      <c r="AY834" s="845"/>
      <c r="AZ834" s="845"/>
      <c r="BA834" s="845"/>
      <c r="BB834" s="845"/>
      <c r="BC834" s="845"/>
      <c r="BD834" s="845"/>
      <c r="BE834" s="845"/>
      <c r="BF834" s="845"/>
      <c r="BG834" s="845"/>
      <c r="BH834" s="845"/>
      <c r="BI834" s="845"/>
      <c r="BJ834" s="845"/>
      <c r="BK834" s="845"/>
      <c r="BL834" s="845"/>
      <c r="BM834" s="845"/>
      <c r="BN834" s="845"/>
      <c r="BO834" s="845"/>
      <c r="BP834" s="845"/>
      <c r="BQ834" s="845"/>
      <c r="BR834" s="845"/>
      <c r="BS834" s="845"/>
      <c r="BT834" s="845"/>
      <c r="BU834" s="845"/>
      <c r="BV834" s="845"/>
      <c r="BW834" s="845"/>
      <c r="BX834" s="845"/>
      <c r="BY834" s="845"/>
      <c r="BZ834" s="845"/>
      <c r="CA834" s="845"/>
      <c r="CB834" s="845"/>
      <c r="CC834" s="845"/>
    </row>
    <row r="835" spans="1:81" ht="14.25" customHeight="1">
      <c r="A835" s="976" t="s">
        <v>3913</v>
      </c>
      <c r="B835" s="976" t="s">
        <v>1251</v>
      </c>
      <c r="C835" s="977">
        <v>1816500750</v>
      </c>
      <c r="D835" s="976" t="s">
        <v>3413</v>
      </c>
      <c r="E835" s="976">
        <v>0</v>
      </c>
      <c r="F835" s="976">
        <v>0</v>
      </c>
      <c r="G835" s="976">
        <v>0</v>
      </c>
      <c r="H835" s="976">
        <v>0</v>
      </c>
      <c r="I835" s="976"/>
      <c r="J835" s="976"/>
      <c r="K835" s="976">
        <v>0</v>
      </c>
      <c r="L835" s="978">
        <v>0</v>
      </c>
      <c r="M835" s="976" t="s">
        <v>3582</v>
      </c>
      <c r="N835" s="976">
        <v>0</v>
      </c>
      <c r="O835" s="735">
        <f t="shared" si="38"/>
        <v>0</v>
      </c>
      <c r="P835" s="738">
        <f t="shared" si="36"/>
        <v>0</v>
      </c>
      <c r="Q835" s="751">
        <f t="shared" si="37"/>
        <v>0</v>
      </c>
      <c r="U835" s="747"/>
      <c r="V835" s="988"/>
      <c r="W835" s="1024"/>
      <c r="AY835" s="845"/>
      <c r="AZ835" s="845"/>
      <c r="BA835" s="845"/>
      <c r="BB835" s="845"/>
      <c r="BC835" s="845"/>
      <c r="BD835" s="845"/>
      <c r="BE835" s="845"/>
      <c r="BF835" s="845"/>
      <c r="BG835" s="845"/>
      <c r="BH835" s="845"/>
      <c r="BI835" s="845"/>
      <c r="BJ835" s="845"/>
      <c r="BK835" s="845"/>
      <c r="BL835" s="845"/>
      <c r="BM835" s="845"/>
      <c r="BN835" s="845"/>
      <c r="BO835" s="845"/>
      <c r="BP835" s="845"/>
      <c r="BQ835" s="845"/>
      <c r="BR835" s="845"/>
      <c r="BS835" s="845"/>
      <c r="BT835" s="845"/>
      <c r="BU835" s="845"/>
      <c r="BV835" s="845"/>
      <c r="BW835" s="845"/>
      <c r="BX835" s="845"/>
      <c r="BY835" s="845"/>
      <c r="BZ835" s="845"/>
      <c r="CA835" s="845"/>
      <c r="CB835" s="845"/>
      <c r="CC835" s="845"/>
    </row>
    <row r="836" spans="1:81" ht="14.25" customHeight="1">
      <c r="A836" s="976" t="s">
        <v>3909</v>
      </c>
      <c r="B836" s="976" t="s">
        <v>1251</v>
      </c>
      <c r="C836" s="977">
        <v>1816600780</v>
      </c>
      <c r="D836" s="976" t="s">
        <v>3414</v>
      </c>
      <c r="E836" s="976">
        <v>0</v>
      </c>
      <c r="F836" s="976">
        <v>0</v>
      </c>
      <c r="G836" s="976">
        <v>0</v>
      </c>
      <c r="H836" s="976">
        <v>0</v>
      </c>
      <c r="I836" s="976"/>
      <c r="J836" s="976"/>
      <c r="K836" s="976">
        <v>0</v>
      </c>
      <c r="L836" s="978">
        <v>0</v>
      </c>
      <c r="M836" s="976" t="s">
        <v>3582</v>
      </c>
      <c r="N836" s="976">
        <v>0</v>
      </c>
      <c r="O836" s="735">
        <f t="shared" si="38"/>
        <v>0</v>
      </c>
      <c r="P836" s="738">
        <f t="shared" si="36"/>
        <v>0</v>
      </c>
      <c r="Q836" s="751">
        <f t="shared" si="37"/>
        <v>0</v>
      </c>
      <c r="U836" s="747"/>
      <c r="V836" s="988"/>
      <c r="W836" s="1024"/>
    </row>
    <row r="837" spans="1:81" ht="14.25" customHeight="1">
      <c r="A837" s="976" t="s">
        <v>3912</v>
      </c>
      <c r="B837" s="976" t="s">
        <v>1251</v>
      </c>
      <c r="C837" s="1020">
        <v>1816600781</v>
      </c>
      <c r="D837" s="1020" t="s">
        <v>610</v>
      </c>
      <c r="E837" s="976">
        <v>115</v>
      </c>
      <c r="F837" s="976">
        <v>115</v>
      </c>
      <c r="G837" s="976">
        <v>86.25</v>
      </c>
      <c r="H837" s="976">
        <v>27.893599999999999</v>
      </c>
      <c r="I837" s="976"/>
      <c r="J837" s="1041">
        <v>58</v>
      </c>
      <c r="K837" s="976">
        <v>85.893599999999992</v>
      </c>
      <c r="L837" s="978">
        <v>-0.35640000000000782</v>
      </c>
      <c r="M837" s="976" t="s">
        <v>3582</v>
      </c>
      <c r="N837" s="976">
        <v>114.52479999999998</v>
      </c>
      <c r="O837" s="735">
        <f t="shared" si="38"/>
        <v>-0.47520000000001517</v>
      </c>
      <c r="P837" s="738">
        <f t="shared" si="36"/>
        <v>114524.79999999999</v>
      </c>
      <c r="Q837" s="751">
        <f t="shared" si="37"/>
        <v>115000</v>
      </c>
      <c r="U837" s="747"/>
      <c r="V837" s="988"/>
      <c r="W837" s="1024"/>
      <c r="AY837" s="845"/>
      <c r="AZ837" s="845"/>
      <c r="BA837" s="845"/>
      <c r="BB837" s="845"/>
      <c r="BC837" s="845"/>
      <c r="BD837" s="845"/>
      <c r="BE837" s="845"/>
      <c r="BF837" s="845"/>
      <c r="BG837" s="845"/>
      <c r="BH837" s="845"/>
      <c r="BI837" s="845"/>
      <c r="BJ837" s="845"/>
      <c r="BK837" s="845"/>
      <c r="BL837" s="845"/>
      <c r="BM837" s="845"/>
      <c r="BN837" s="845"/>
      <c r="BO837" s="845"/>
      <c r="BP837" s="845"/>
      <c r="BQ837" s="845"/>
      <c r="BR837" s="845"/>
      <c r="BS837" s="845"/>
      <c r="BT837" s="845"/>
      <c r="BU837" s="845"/>
      <c r="BV837" s="845"/>
      <c r="BW837" s="845"/>
      <c r="BX837" s="845"/>
      <c r="BY837" s="845"/>
      <c r="BZ837" s="845"/>
      <c r="CA837" s="845"/>
      <c r="CB837" s="845"/>
      <c r="CC837" s="845"/>
    </row>
    <row r="838" spans="1:81" ht="14.25" customHeight="1">
      <c r="A838" s="976" t="s">
        <v>3931</v>
      </c>
      <c r="B838" s="976" t="s">
        <v>1251</v>
      </c>
      <c r="C838" s="977">
        <v>1816700810</v>
      </c>
      <c r="D838" s="976" t="s">
        <v>3415</v>
      </c>
      <c r="E838" s="976">
        <v>0</v>
      </c>
      <c r="F838" s="976">
        <v>0</v>
      </c>
      <c r="G838" s="976">
        <v>0</v>
      </c>
      <c r="H838" s="976">
        <v>0</v>
      </c>
      <c r="I838" s="976"/>
      <c r="J838" s="976"/>
      <c r="K838" s="976">
        <v>0</v>
      </c>
      <c r="L838" s="978">
        <v>0</v>
      </c>
      <c r="M838" s="976" t="s">
        <v>3582</v>
      </c>
      <c r="N838" s="976">
        <v>0</v>
      </c>
      <c r="O838" s="735">
        <f t="shared" si="38"/>
        <v>0</v>
      </c>
      <c r="P838" s="738">
        <f t="shared" si="36"/>
        <v>0</v>
      </c>
      <c r="Q838" s="751">
        <f t="shared" si="37"/>
        <v>0</v>
      </c>
      <c r="U838" s="747"/>
      <c r="V838" s="988"/>
      <c r="W838" s="1024"/>
    </row>
    <row r="839" spans="1:81" ht="14.25" customHeight="1">
      <c r="A839" s="976" t="s">
        <v>3943</v>
      </c>
      <c r="B839" s="976" t="s">
        <v>1251</v>
      </c>
      <c r="C839" s="977">
        <v>1816800850</v>
      </c>
      <c r="D839" s="976" t="s">
        <v>611</v>
      </c>
      <c r="E839" s="976">
        <v>275</v>
      </c>
      <c r="F839" s="976">
        <v>275</v>
      </c>
      <c r="G839" s="976">
        <v>206.25</v>
      </c>
      <c r="H839" s="976">
        <v>173</v>
      </c>
      <c r="I839" s="976"/>
      <c r="J839" s="1041">
        <v>33</v>
      </c>
      <c r="K839" s="976">
        <v>206</v>
      </c>
      <c r="L839" s="978">
        <v>-0.25</v>
      </c>
      <c r="M839" s="976" t="s">
        <v>3582</v>
      </c>
      <c r="N839" s="976">
        <v>274.66666666666669</v>
      </c>
      <c r="O839" s="735">
        <f t="shared" si="38"/>
        <v>-0.33333333333331439</v>
      </c>
      <c r="P839" s="738">
        <f t="shared" si="36"/>
        <v>274666.66666666669</v>
      </c>
      <c r="Q839" s="751">
        <f t="shared" si="37"/>
        <v>275000</v>
      </c>
      <c r="U839" s="747"/>
      <c r="V839" s="988"/>
      <c r="W839" s="1024"/>
    </row>
    <row r="840" spans="1:81" ht="14.25" customHeight="1">
      <c r="A840" s="976" t="s">
        <v>3867</v>
      </c>
      <c r="B840" s="976" t="s">
        <v>1251</v>
      </c>
      <c r="C840" s="977">
        <v>1817200410</v>
      </c>
      <c r="D840" s="976" t="s">
        <v>304</v>
      </c>
      <c r="E840" s="976">
        <v>319</v>
      </c>
      <c r="F840" s="976">
        <v>319</v>
      </c>
      <c r="G840" s="976">
        <v>239.25</v>
      </c>
      <c r="H840" s="976">
        <v>332.07409999999999</v>
      </c>
      <c r="I840" s="976"/>
      <c r="J840" s="1032">
        <v>-83</v>
      </c>
      <c r="K840" s="976">
        <v>249.07409999999999</v>
      </c>
      <c r="L840" s="978">
        <v>9.8240999999999872</v>
      </c>
      <c r="M840" s="976" t="s">
        <v>3582</v>
      </c>
      <c r="N840" s="976">
        <v>332.09879999999998</v>
      </c>
      <c r="O840" s="735">
        <f t="shared" si="38"/>
        <v>13.098799999999983</v>
      </c>
      <c r="P840" s="738">
        <f t="shared" ref="P840:P903" si="39">N840*1000</f>
        <v>332098.8</v>
      </c>
      <c r="Q840" s="751">
        <f t="shared" ref="Q840:Q903" si="40">ROUND(P840,-3)</f>
        <v>332000</v>
      </c>
      <c r="U840" s="747"/>
      <c r="V840" s="988"/>
      <c r="W840" s="1024"/>
    </row>
    <row r="841" spans="1:81" ht="14.25" customHeight="1">
      <c r="A841" s="976" t="s">
        <v>3868</v>
      </c>
      <c r="B841" s="976" t="s">
        <v>1251</v>
      </c>
      <c r="C841" s="977">
        <v>1817200430</v>
      </c>
      <c r="D841" s="976" t="s">
        <v>2654</v>
      </c>
      <c r="E841" s="976">
        <v>25</v>
      </c>
      <c r="F841" s="976">
        <v>25</v>
      </c>
      <c r="G841" s="976">
        <v>18.75</v>
      </c>
      <c r="H841" s="976">
        <v>0</v>
      </c>
      <c r="I841" s="976"/>
      <c r="J841" s="976"/>
      <c r="K841" s="976">
        <v>0</v>
      </c>
      <c r="L841" s="978">
        <v>-18.75</v>
      </c>
      <c r="M841" s="976" t="s">
        <v>3582</v>
      </c>
      <c r="N841" s="976">
        <v>0</v>
      </c>
      <c r="O841" s="735">
        <f t="shared" ref="O841:O904" si="41">N841-E841</f>
        <v>-25</v>
      </c>
      <c r="P841" s="738">
        <f t="shared" si="39"/>
        <v>0</v>
      </c>
      <c r="Q841" s="751">
        <f t="shared" si="40"/>
        <v>0</v>
      </c>
      <c r="U841" s="747"/>
      <c r="V841" s="988"/>
      <c r="W841" s="1024"/>
      <c r="AY841" s="845"/>
      <c r="AZ841" s="845"/>
      <c r="BA841" s="845"/>
      <c r="BB841" s="845"/>
      <c r="BC841" s="845"/>
      <c r="BD841" s="845"/>
      <c r="BE841" s="845"/>
      <c r="BF841" s="845"/>
      <c r="BG841" s="845"/>
      <c r="BH841" s="845"/>
      <c r="BI841" s="845"/>
      <c r="BJ841" s="845"/>
      <c r="BK841" s="845"/>
      <c r="BL841" s="845"/>
      <c r="BM841" s="845"/>
      <c r="BN841" s="845"/>
      <c r="BO841" s="845"/>
      <c r="BP841" s="845"/>
      <c r="BQ841" s="845"/>
      <c r="BR841" s="845"/>
      <c r="BS841" s="845"/>
      <c r="BT841" s="845"/>
      <c r="BU841" s="845"/>
      <c r="BV841" s="845"/>
      <c r="BW841" s="845"/>
      <c r="BX841" s="845"/>
      <c r="BY841" s="845"/>
      <c r="BZ841" s="845"/>
      <c r="CA841" s="845"/>
      <c r="CB841" s="845"/>
      <c r="CC841" s="845"/>
    </row>
    <row r="842" spans="1:81" ht="14.25" customHeight="1">
      <c r="A842" s="976" t="s">
        <v>3905</v>
      </c>
      <c r="B842" s="976" t="s">
        <v>1251</v>
      </c>
      <c r="C842" s="977">
        <v>1817200540</v>
      </c>
      <c r="D842" s="976" t="s">
        <v>279</v>
      </c>
      <c r="E842" s="976">
        <v>1</v>
      </c>
      <c r="F842" s="976">
        <v>1</v>
      </c>
      <c r="G842" s="976">
        <v>0.75</v>
      </c>
      <c r="H842" s="976">
        <v>0.45435000000000003</v>
      </c>
      <c r="I842" s="976"/>
      <c r="J842" s="976"/>
      <c r="K842" s="976">
        <v>0.45435000000000003</v>
      </c>
      <c r="L842" s="978">
        <v>-0.29564999999999997</v>
      </c>
      <c r="M842" s="976" t="s">
        <v>3582</v>
      </c>
      <c r="N842" s="976">
        <v>0.60580000000000001</v>
      </c>
      <c r="O842" s="735">
        <f t="shared" si="41"/>
        <v>-0.39419999999999999</v>
      </c>
      <c r="P842" s="738">
        <f t="shared" si="39"/>
        <v>605.79999999999995</v>
      </c>
      <c r="Q842" s="751">
        <f t="shared" si="40"/>
        <v>1000</v>
      </c>
      <c r="U842" s="747"/>
      <c r="V842" s="988"/>
      <c r="W842" s="1024"/>
    </row>
    <row r="843" spans="1:81" s="899" customFormat="1" ht="14.25" customHeight="1">
      <c r="A843" s="976" t="s">
        <v>3909</v>
      </c>
      <c r="B843" s="976" t="s">
        <v>1251</v>
      </c>
      <c r="C843" s="977">
        <v>1817200780</v>
      </c>
      <c r="D843" s="976" t="s">
        <v>280</v>
      </c>
      <c r="E843" s="976">
        <v>200</v>
      </c>
      <c r="F843" s="976">
        <v>200</v>
      </c>
      <c r="G843" s="976">
        <v>150</v>
      </c>
      <c r="H843" s="976">
        <v>96.2</v>
      </c>
      <c r="I843" s="976"/>
      <c r="J843" s="976"/>
      <c r="K843" s="976">
        <v>96.2</v>
      </c>
      <c r="L843" s="978">
        <v>-53.8</v>
      </c>
      <c r="M843" s="976" t="s">
        <v>3582</v>
      </c>
      <c r="N843" s="976">
        <v>128.26666666666668</v>
      </c>
      <c r="O843" s="735">
        <f t="shared" si="41"/>
        <v>-71.73333333333332</v>
      </c>
      <c r="P843" s="738">
        <f t="shared" si="39"/>
        <v>128266.66666666669</v>
      </c>
      <c r="Q843" s="751">
        <f t="shared" si="40"/>
        <v>128000</v>
      </c>
      <c r="R843" s="898"/>
      <c r="S843" s="898"/>
      <c r="T843" s="898"/>
      <c r="U843" s="898"/>
      <c r="V843" s="988"/>
      <c r="W843" s="1024"/>
      <c r="X843" s="898"/>
      <c r="Y843" s="898"/>
      <c r="Z843" s="898"/>
      <c r="AA843" s="898"/>
      <c r="AB843" s="898"/>
      <c r="AC843" s="898"/>
      <c r="AD843" s="898"/>
      <c r="AE843" s="898"/>
      <c r="AF843" s="898"/>
      <c r="AG843" s="898"/>
      <c r="AH843" s="898"/>
      <c r="AI843" s="898"/>
      <c r="AJ843" s="898"/>
      <c r="AK843" s="898"/>
      <c r="AL843" s="898"/>
      <c r="AM843" s="898"/>
      <c r="AN843" s="898"/>
      <c r="AO843" s="898"/>
      <c r="AP843" s="898"/>
      <c r="AQ843" s="898"/>
      <c r="AR843" s="898"/>
      <c r="AS843" s="898"/>
      <c r="AT843" s="898"/>
      <c r="AU843" s="898"/>
      <c r="AV843" s="898"/>
      <c r="AW843" s="898"/>
      <c r="AX843" s="898"/>
      <c r="AY843" s="898"/>
      <c r="AZ843" s="898"/>
      <c r="BA843" s="898"/>
      <c r="BB843" s="898"/>
      <c r="BC843" s="898"/>
      <c r="BD843" s="898"/>
      <c r="BE843" s="898"/>
      <c r="BF843" s="898"/>
      <c r="BG843" s="898"/>
      <c r="BH843" s="898"/>
      <c r="BI843" s="898"/>
      <c r="BJ843" s="898"/>
      <c r="BK843" s="898"/>
      <c r="BL843" s="898"/>
      <c r="BM843" s="898"/>
      <c r="BN843" s="898"/>
      <c r="BO843" s="898"/>
      <c r="BP843" s="898"/>
      <c r="BQ843" s="898"/>
      <c r="BR843" s="898"/>
      <c r="BS843" s="898"/>
      <c r="BT843" s="898"/>
      <c r="BU843" s="898"/>
      <c r="BV843" s="898"/>
      <c r="BW843" s="898"/>
      <c r="BX843" s="898"/>
      <c r="BY843" s="898"/>
      <c r="BZ843" s="898"/>
      <c r="CA843" s="898"/>
      <c r="CB843" s="898"/>
      <c r="CC843" s="898"/>
    </row>
    <row r="844" spans="1:81" ht="14.25" customHeight="1">
      <c r="A844" s="976" t="s">
        <v>3867</v>
      </c>
      <c r="B844" s="976"/>
      <c r="C844" s="977">
        <v>1817300410</v>
      </c>
      <c r="D844" s="976" t="s">
        <v>3416</v>
      </c>
      <c r="E844" s="976">
        <v>473.38299999999998</v>
      </c>
      <c r="F844" s="976">
        <v>473.38299999999998</v>
      </c>
      <c r="G844" s="976">
        <v>355.03725000000003</v>
      </c>
      <c r="H844" s="976">
        <v>0</v>
      </c>
      <c r="I844" s="976"/>
      <c r="J844" s="976"/>
      <c r="K844" s="976">
        <v>0</v>
      </c>
      <c r="L844" s="978">
        <v>-355.03725000000003</v>
      </c>
      <c r="M844" s="976" t="s">
        <v>3692</v>
      </c>
      <c r="N844" s="976">
        <v>0</v>
      </c>
      <c r="O844" s="735">
        <f t="shared" si="41"/>
        <v>-473.38299999999998</v>
      </c>
      <c r="P844" s="738">
        <f t="shared" si="39"/>
        <v>0</v>
      </c>
      <c r="Q844" s="751">
        <f t="shared" si="40"/>
        <v>0</v>
      </c>
      <c r="U844" s="747"/>
      <c r="V844" s="988"/>
      <c r="W844" s="1024"/>
    </row>
    <row r="845" spans="1:81" ht="14.25" customHeight="1">
      <c r="A845" s="976" t="s">
        <v>3868</v>
      </c>
      <c r="B845" s="976" t="s">
        <v>1251</v>
      </c>
      <c r="C845" s="977">
        <v>1817300430</v>
      </c>
      <c r="D845" s="976" t="s">
        <v>311</v>
      </c>
      <c r="E845" s="976">
        <v>21</v>
      </c>
      <c r="F845" s="976">
        <v>21</v>
      </c>
      <c r="G845" s="976">
        <v>15.75</v>
      </c>
      <c r="H845" s="976">
        <v>10.37542</v>
      </c>
      <c r="I845" s="976"/>
      <c r="J845" s="1041">
        <v>5</v>
      </c>
      <c r="K845" s="976">
        <v>15.37542</v>
      </c>
      <c r="L845" s="978">
        <v>-0.37457999999999991</v>
      </c>
      <c r="M845" s="976" t="s">
        <v>3582</v>
      </c>
      <c r="N845" s="976">
        <v>20.50056</v>
      </c>
      <c r="O845" s="735">
        <f t="shared" si="41"/>
        <v>-0.49943999999999988</v>
      </c>
      <c r="P845" s="738">
        <f t="shared" si="39"/>
        <v>20500.560000000001</v>
      </c>
      <c r="Q845" s="751">
        <f t="shared" si="40"/>
        <v>21000</v>
      </c>
      <c r="U845" s="747"/>
      <c r="V845" s="988"/>
      <c r="W845" s="1024"/>
      <c r="AY845" s="845"/>
      <c r="AZ845" s="845"/>
      <c r="BA845" s="845"/>
      <c r="BB845" s="845"/>
      <c r="BC845" s="845"/>
      <c r="BD845" s="845"/>
      <c r="BE845" s="845"/>
      <c r="BF845" s="845"/>
      <c r="BG845" s="845"/>
      <c r="BH845" s="845"/>
      <c r="BI845" s="845"/>
      <c r="BJ845" s="845"/>
      <c r="BK845" s="845"/>
      <c r="BL845" s="845"/>
      <c r="BM845" s="845"/>
      <c r="BN845" s="845"/>
      <c r="BO845" s="845"/>
      <c r="BP845" s="845"/>
      <c r="BQ845" s="845"/>
      <c r="BR845" s="845"/>
      <c r="BS845" s="845"/>
      <c r="BT845" s="845"/>
      <c r="BU845" s="845"/>
      <c r="BV845" s="845"/>
      <c r="BW845" s="845"/>
      <c r="BX845" s="845"/>
      <c r="BY845" s="845"/>
      <c r="BZ845" s="845"/>
      <c r="CA845" s="845"/>
      <c r="CB845" s="845"/>
      <c r="CC845" s="845"/>
    </row>
    <row r="846" spans="1:81" ht="14.25" customHeight="1">
      <c r="A846" s="976" t="s">
        <v>3905</v>
      </c>
      <c r="B846" s="976" t="s">
        <v>1251</v>
      </c>
      <c r="C846" s="977">
        <v>1817300540</v>
      </c>
      <c r="D846" s="976" t="s">
        <v>279</v>
      </c>
      <c r="E846" s="976">
        <v>0</v>
      </c>
      <c r="F846" s="976">
        <v>0</v>
      </c>
      <c r="G846" s="976">
        <v>0</v>
      </c>
      <c r="H846" s="976">
        <v>0</v>
      </c>
      <c r="I846" s="976"/>
      <c r="J846" s="976"/>
      <c r="K846" s="976">
        <v>0</v>
      </c>
      <c r="L846" s="978">
        <v>0</v>
      </c>
      <c r="M846" s="976" t="s">
        <v>3582</v>
      </c>
      <c r="N846" s="976">
        <v>0</v>
      </c>
      <c r="O846" s="735">
        <f t="shared" si="41"/>
        <v>0</v>
      </c>
      <c r="P846" s="738">
        <f t="shared" si="39"/>
        <v>0</v>
      </c>
      <c r="Q846" s="751">
        <f t="shared" si="40"/>
        <v>0</v>
      </c>
      <c r="U846" s="747"/>
      <c r="V846" s="988"/>
      <c r="W846" s="1024"/>
    </row>
    <row r="847" spans="1:81" ht="14.25" customHeight="1">
      <c r="A847" s="976" t="s">
        <v>3913</v>
      </c>
      <c r="B847" s="976" t="s">
        <v>1251</v>
      </c>
      <c r="C847" s="977">
        <v>1817300750</v>
      </c>
      <c r="D847" s="976" t="s">
        <v>288</v>
      </c>
      <c r="E847" s="976">
        <v>200</v>
      </c>
      <c r="F847" s="976">
        <v>200</v>
      </c>
      <c r="G847" s="976">
        <v>150</v>
      </c>
      <c r="H847" s="976">
        <v>38.012050000000002</v>
      </c>
      <c r="I847" s="976"/>
      <c r="J847" s="1041">
        <v>80</v>
      </c>
      <c r="K847" s="976">
        <v>118.01205</v>
      </c>
      <c r="L847" s="978">
        <v>-31.987949999999998</v>
      </c>
      <c r="M847" s="976" t="s">
        <v>3693</v>
      </c>
      <c r="N847" s="976">
        <v>157.3494</v>
      </c>
      <c r="O847" s="735">
        <f t="shared" si="41"/>
        <v>-42.650599999999997</v>
      </c>
      <c r="P847" s="738">
        <f t="shared" si="39"/>
        <v>157349.4</v>
      </c>
      <c r="Q847" s="751">
        <f t="shared" si="40"/>
        <v>157000</v>
      </c>
      <c r="U847" s="747"/>
      <c r="V847" s="988"/>
      <c r="W847" s="1024"/>
    </row>
    <row r="848" spans="1:81" ht="14.25" customHeight="1">
      <c r="A848" s="976" t="s">
        <v>3909</v>
      </c>
      <c r="B848" s="976" t="s">
        <v>1251</v>
      </c>
      <c r="C848" s="977">
        <v>1817300780</v>
      </c>
      <c r="D848" s="976" t="s">
        <v>280</v>
      </c>
      <c r="E848" s="976">
        <v>100</v>
      </c>
      <c r="F848" s="976">
        <v>100</v>
      </c>
      <c r="G848" s="976">
        <v>75</v>
      </c>
      <c r="H848" s="976">
        <v>46.93862</v>
      </c>
      <c r="I848" s="976"/>
      <c r="J848" s="1041">
        <v>28</v>
      </c>
      <c r="K848" s="976">
        <v>74.93862</v>
      </c>
      <c r="L848" s="978">
        <v>-6.1379999999999768E-2</v>
      </c>
      <c r="M848" s="976" t="s">
        <v>3693</v>
      </c>
      <c r="N848" s="976">
        <v>99.91816</v>
      </c>
      <c r="O848" s="735">
        <f t="shared" si="41"/>
        <v>-8.1839999999999691E-2</v>
      </c>
      <c r="P848" s="738">
        <f t="shared" si="39"/>
        <v>99918.16</v>
      </c>
      <c r="Q848" s="751">
        <f t="shared" si="40"/>
        <v>100000</v>
      </c>
      <c r="U848" s="747"/>
      <c r="V848" s="988"/>
      <c r="W848" s="1024"/>
    </row>
    <row r="849" spans="1:81" ht="14.25" customHeight="1">
      <c r="A849" s="976" t="s">
        <v>3909</v>
      </c>
      <c r="B849" s="976" t="s">
        <v>1251</v>
      </c>
      <c r="C849" s="977">
        <v>1817600780</v>
      </c>
      <c r="D849" s="976" t="s">
        <v>280</v>
      </c>
      <c r="E849" s="976">
        <v>800</v>
      </c>
      <c r="F849" s="976">
        <v>800</v>
      </c>
      <c r="G849" s="976">
        <v>600</v>
      </c>
      <c r="H849" s="976">
        <v>472.62438000000003</v>
      </c>
      <c r="I849" s="976"/>
      <c r="J849" s="1041">
        <v>128</v>
      </c>
      <c r="K849" s="976">
        <v>600.62437999999997</v>
      </c>
      <c r="L849" s="978">
        <v>0.62437999999997373</v>
      </c>
      <c r="M849" s="976" t="s">
        <v>3693</v>
      </c>
      <c r="N849" s="976">
        <v>800.83250666666663</v>
      </c>
      <c r="O849" s="735">
        <f t="shared" si="41"/>
        <v>0.83250666666663165</v>
      </c>
      <c r="P849" s="738">
        <f t="shared" si="39"/>
        <v>800832.5066666666</v>
      </c>
      <c r="Q849" s="751">
        <f t="shared" si="40"/>
        <v>801000</v>
      </c>
      <c r="U849" s="747"/>
      <c r="V849" s="988"/>
      <c r="W849" s="1024"/>
      <c r="AY849" s="845"/>
      <c r="AZ849" s="845"/>
      <c r="BA849" s="845"/>
      <c r="BB849" s="845"/>
      <c r="BC849" s="845"/>
      <c r="BD849" s="845"/>
      <c r="BE849" s="845"/>
      <c r="BF849" s="845"/>
      <c r="BG849" s="845"/>
      <c r="BH849" s="845"/>
      <c r="BI849" s="845"/>
      <c r="BJ849" s="845"/>
      <c r="BK849" s="845"/>
      <c r="BL849" s="845"/>
      <c r="BM849" s="845"/>
      <c r="BN849" s="845"/>
      <c r="BO849" s="845"/>
      <c r="BP849" s="845"/>
      <c r="BQ849" s="845"/>
      <c r="BR849" s="845"/>
      <c r="BS849" s="845"/>
      <c r="BT849" s="845"/>
      <c r="BU849" s="845"/>
      <c r="BV849" s="845"/>
      <c r="BW849" s="845"/>
      <c r="BX849" s="845"/>
      <c r="BY849" s="845"/>
      <c r="BZ849" s="845"/>
      <c r="CA849" s="845"/>
      <c r="CB849" s="845"/>
      <c r="CC849" s="845"/>
    </row>
    <row r="850" spans="1:81" ht="14.25" customHeight="1">
      <c r="A850" s="976"/>
      <c r="B850" s="976"/>
      <c r="C850" s="1020">
        <v>1817600785</v>
      </c>
      <c r="D850" s="1020" t="s">
        <v>3221</v>
      </c>
      <c r="E850" s="976">
        <v>0</v>
      </c>
      <c r="F850" s="976">
        <v>0</v>
      </c>
      <c r="G850" s="976">
        <v>0</v>
      </c>
      <c r="H850" s="976">
        <v>0</v>
      </c>
      <c r="I850" s="976"/>
      <c r="J850" s="976"/>
      <c r="K850" s="976">
        <v>0</v>
      </c>
      <c r="L850" s="978">
        <v>0</v>
      </c>
      <c r="M850" s="976" t="s">
        <v>3693</v>
      </c>
      <c r="N850" s="976">
        <v>0</v>
      </c>
      <c r="O850" s="735">
        <f t="shared" si="41"/>
        <v>0</v>
      </c>
      <c r="P850" s="738">
        <f t="shared" si="39"/>
        <v>0</v>
      </c>
      <c r="Q850" s="751">
        <f t="shared" si="40"/>
        <v>0</v>
      </c>
      <c r="U850" s="747"/>
      <c r="V850" s="988"/>
      <c r="W850" s="1024"/>
    </row>
    <row r="851" spans="1:81" ht="14.25" customHeight="1">
      <c r="A851" s="976" t="s">
        <v>3920</v>
      </c>
      <c r="B851" s="976" t="s">
        <v>1251</v>
      </c>
      <c r="C851" s="977">
        <v>1817600782</v>
      </c>
      <c r="D851" s="976" t="s">
        <v>636</v>
      </c>
      <c r="E851" s="976">
        <v>1160</v>
      </c>
      <c r="F851" s="976">
        <v>1160</v>
      </c>
      <c r="G851" s="976">
        <v>870</v>
      </c>
      <c r="H851" s="976">
        <v>539.58329000000003</v>
      </c>
      <c r="I851" s="976"/>
      <c r="J851" s="1041">
        <v>330</v>
      </c>
      <c r="K851" s="976">
        <v>869.58329000000003</v>
      </c>
      <c r="L851" s="978">
        <v>-0.41670999999996639</v>
      </c>
      <c r="M851" s="976" t="s">
        <v>3582</v>
      </c>
      <c r="N851" s="976">
        <v>1159.4443866666668</v>
      </c>
      <c r="O851" s="735">
        <f t="shared" si="41"/>
        <v>-0.55561333333321272</v>
      </c>
      <c r="P851" s="738">
        <f t="shared" si="39"/>
        <v>1159444.3866666667</v>
      </c>
      <c r="Q851" s="751">
        <f t="shared" si="40"/>
        <v>1159000</v>
      </c>
      <c r="U851" s="747"/>
      <c r="V851" s="988"/>
      <c r="W851" s="1024"/>
      <c r="AY851" s="845"/>
      <c r="AZ851" s="845"/>
      <c r="BA851" s="845"/>
      <c r="BB851" s="845"/>
      <c r="BC851" s="845"/>
      <c r="BD851" s="845"/>
      <c r="BE851" s="845"/>
      <c r="BF851" s="845"/>
      <c r="BG851" s="845"/>
      <c r="BH851" s="845"/>
      <c r="BI851" s="845"/>
      <c r="BJ851" s="845"/>
      <c r="BK851" s="845"/>
      <c r="BL851" s="845"/>
      <c r="BM851" s="845"/>
      <c r="BN851" s="845"/>
      <c r="BO851" s="845"/>
      <c r="BP851" s="845"/>
      <c r="BQ851" s="845"/>
      <c r="BR851" s="845"/>
      <c r="BS851" s="845"/>
      <c r="BT851" s="845"/>
      <c r="BU851" s="845"/>
      <c r="BV851" s="845"/>
      <c r="BW851" s="845"/>
      <c r="BX851" s="845"/>
      <c r="BY851" s="845"/>
      <c r="BZ851" s="845"/>
      <c r="CA851" s="845"/>
      <c r="CB851" s="845"/>
      <c r="CC851" s="845"/>
    </row>
    <row r="852" spans="1:81" ht="14.25" customHeight="1">
      <c r="A852" s="976" t="s">
        <v>3921</v>
      </c>
      <c r="B852" s="976" t="s">
        <v>1251</v>
      </c>
      <c r="C852" s="977">
        <v>1817600783</v>
      </c>
      <c r="D852" s="976" t="s">
        <v>3219</v>
      </c>
      <c r="E852" s="976">
        <v>0</v>
      </c>
      <c r="F852" s="976">
        <v>0</v>
      </c>
      <c r="G852" s="976">
        <v>0</v>
      </c>
      <c r="H852" s="976">
        <v>0</v>
      </c>
      <c r="I852" s="976"/>
      <c r="J852" s="976"/>
      <c r="K852" s="976">
        <v>0</v>
      </c>
      <c r="L852" s="978">
        <v>0</v>
      </c>
      <c r="M852" s="976" t="s">
        <v>3658</v>
      </c>
      <c r="N852" s="976">
        <v>0</v>
      </c>
      <c r="O852" s="735">
        <f t="shared" si="41"/>
        <v>0</v>
      </c>
      <c r="P852" s="738">
        <f t="shared" si="39"/>
        <v>0</v>
      </c>
      <c r="Q852" s="751">
        <f t="shared" si="40"/>
        <v>0</v>
      </c>
      <c r="U852" s="747"/>
      <c r="V852" s="988"/>
      <c r="W852" s="1024"/>
      <c r="AY852" s="845"/>
      <c r="AZ852" s="845"/>
      <c r="BA852" s="845"/>
      <c r="BB852" s="845"/>
      <c r="BC852" s="845"/>
      <c r="BD852" s="845"/>
      <c r="BE852" s="845"/>
      <c r="BF852" s="845"/>
      <c r="BG852" s="845"/>
      <c r="BH852" s="845"/>
      <c r="BI852" s="845"/>
      <c r="BJ852" s="845"/>
      <c r="BK852" s="845"/>
      <c r="BL852" s="845"/>
      <c r="BM852" s="845"/>
      <c r="BN852" s="845"/>
      <c r="BO852" s="845"/>
      <c r="BP852" s="845"/>
      <c r="BQ852" s="845"/>
      <c r="BR852" s="845"/>
      <c r="BS852" s="845"/>
      <c r="BT852" s="845"/>
      <c r="BU852" s="845"/>
      <c r="BV852" s="845"/>
      <c r="BW852" s="845"/>
      <c r="BX852" s="845"/>
      <c r="BY852" s="845"/>
      <c r="BZ852" s="845"/>
      <c r="CA852" s="845"/>
      <c r="CB852" s="845"/>
      <c r="CC852" s="845"/>
    </row>
    <row r="853" spans="1:81" ht="14.25" customHeight="1">
      <c r="A853" s="976"/>
      <c r="B853" s="976"/>
      <c r="C853" s="1020">
        <v>1817600785</v>
      </c>
      <c r="D853" s="1020" t="s">
        <v>3221</v>
      </c>
      <c r="E853" s="976">
        <v>0</v>
      </c>
      <c r="F853" s="976">
        <v>0</v>
      </c>
      <c r="G853" s="976">
        <v>0</v>
      </c>
      <c r="H853" s="976">
        <v>0</v>
      </c>
      <c r="I853" s="976"/>
      <c r="J853" s="976"/>
      <c r="K853" s="976">
        <v>0</v>
      </c>
      <c r="L853" s="978">
        <v>0</v>
      </c>
      <c r="M853" s="976" t="s">
        <v>3658</v>
      </c>
      <c r="N853" s="976">
        <v>0</v>
      </c>
      <c r="O853" s="735">
        <f t="shared" si="41"/>
        <v>0</v>
      </c>
      <c r="P853" s="738">
        <f t="shared" si="39"/>
        <v>0</v>
      </c>
      <c r="Q853" s="751">
        <f t="shared" si="40"/>
        <v>0</v>
      </c>
      <c r="U853" s="747"/>
      <c r="V853" s="988"/>
      <c r="W853" s="1024"/>
    </row>
    <row r="854" spans="1:81" ht="14.25" customHeight="1">
      <c r="A854" s="976" t="s">
        <v>3944</v>
      </c>
      <c r="B854" s="976" t="s">
        <v>1251</v>
      </c>
      <c r="C854" s="977">
        <v>1817800710</v>
      </c>
      <c r="D854" s="976" t="s">
        <v>628</v>
      </c>
      <c r="E854" s="976">
        <v>10520</v>
      </c>
      <c r="F854" s="976">
        <v>10520</v>
      </c>
      <c r="G854" s="976">
        <v>7890</v>
      </c>
      <c r="H854" s="976">
        <v>7528.5552800000005</v>
      </c>
      <c r="I854" s="976"/>
      <c r="J854" s="1041">
        <v>1100</v>
      </c>
      <c r="K854" s="976">
        <v>8628.5552800000005</v>
      </c>
      <c r="L854" s="978">
        <v>738.55528000000049</v>
      </c>
      <c r="M854" s="976" t="s">
        <v>3694</v>
      </c>
      <c r="N854" s="976">
        <v>11504.740373333334</v>
      </c>
      <c r="O854" s="735">
        <f t="shared" si="41"/>
        <v>984.74037333333399</v>
      </c>
      <c r="P854" s="738">
        <f t="shared" si="39"/>
        <v>11504740.373333335</v>
      </c>
      <c r="Q854" s="751">
        <f t="shared" si="40"/>
        <v>11505000</v>
      </c>
      <c r="U854" s="747"/>
      <c r="V854" s="988"/>
      <c r="W854" s="1024"/>
      <c r="AY854" s="845"/>
      <c r="AZ854" s="845"/>
      <c r="BA854" s="845"/>
      <c r="BB854" s="845"/>
      <c r="BC854" s="845"/>
      <c r="BD854" s="845"/>
      <c r="BE854" s="845"/>
      <c r="BF854" s="845"/>
      <c r="BG854" s="845"/>
      <c r="BH854" s="845"/>
      <c r="BI854" s="845"/>
      <c r="BJ854" s="845"/>
      <c r="BK854" s="845"/>
      <c r="BL854" s="845"/>
      <c r="BM854" s="845"/>
      <c r="BN854" s="845"/>
      <c r="BO854" s="845"/>
      <c r="BP854" s="845"/>
      <c r="BQ854" s="845"/>
      <c r="BR854" s="845"/>
      <c r="BS854" s="845"/>
      <c r="BT854" s="845"/>
      <c r="BU854" s="845"/>
      <c r="BV854" s="845"/>
      <c r="BW854" s="845"/>
      <c r="BX854" s="845"/>
      <c r="BY854" s="845"/>
      <c r="BZ854" s="845"/>
      <c r="CA854" s="845"/>
      <c r="CB854" s="845"/>
      <c r="CC854" s="845"/>
    </row>
    <row r="855" spans="1:81" s="852" customFormat="1" ht="15" customHeight="1">
      <c r="A855" s="976" t="s">
        <v>3945</v>
      </c>
      <c r="B855" s="976" t="s">
        <v>1251</v>
      </c>
      <c r="C855" s="977">
        <v>1817800711</v>
      </c>
      <c r="D855" s="976" t="s">
        <v>3417</v>
      </c>
      <c r="E855" s="976">
        <v>0</v>
      </c>
      <c r="F855" s="976">
        <v>0</v>
      </c>
      <c r="G855" s="976">
        <v>0</v>
      </c>
      <c r="H855" s="976">
        <v>0</v>
      </c>
      <c r="I855" s="976"/>
      <c r="J855" s="976"/>
      <c r="K855" s="976">
        <v>0</v>
      </c>
      <c r="L855" s="978">
        <v>0</v>
      </c>
      <c r="M855" s="976" t="s">
        <v>3658</v>
      </c>
      <c r="N855" s="976">
        <v>0</v>
      </c>
      <c r="O855" s="735">
        <f t="shared" si="41"/>
        <v>0</v>
      </c>
      <c r="P855" s="738">
        <f t="shared" si="39"/>
        <v>0</v>
      </c>
      <c r="Q855" s="751">
        <f t="shared" si="40"/>
        <v>0</v>
      </c>
      <c r="R855" s="853"/>
      <c r="S855" s="853"/>
      <c r="T855" s="853"/>
      <c r="U855" s="853"/>
      <c r="V855" s="988"/>
      <c r="W855" s="1024"/>
      <c r="X855" s="853"/>
      <c r="Y855" s="853"/>
      <c r="Z855" s="853"/>
      <c r="AA855" s="853"/>
      <c r="AB855" s="853"/>
      <c r="AC855" s="853"/>
      <c r="AD855" s="853"/>
      <c r="AE855" s="853"/>
      <c r="AF855" s="853"/>
      <c r="AG855" s="853"/>
      <c r="AH855" s="853"/>
      <c r="AI855" s="853"/>
      <c r="AJ855" s="853"/>
      <c r="AK855" s="853"/>
      <c r="AL855" s="853"/>
      <c r="AM855" s="853"/>
      <c r="AN855" s="853"/>
      <c r="AO855" s="853"/>
      <c r="AP855" s="853"/>
      <c r="AQ855" s="853"/>
      <c r="AR855" s="853"/>
      <c r="AS855" s="853"/>
      <c r="AT855" s="853"/>
      <c r="AU855" s="853"/>
      <c r="AV855" s="853"/>
      <c r="AW855" s="853"/>
      <c r="AX855" s="853"/>
    </row>
    <row r="856" spans="1:81" s="852" customFormat="1" ht="15.75" customHeight="1">
      <c r="A856" s="976" t="s">
        <v>3927</v>
      </c>
      <c r="B856" s="976" t="s">
        <v>1251</v>
      </c>
      <c r="C856" s="977">
        <v>1819200720</v>
      </c>
      <c r="D856" s="976" t="s">
        <v>400</v>
      </c>
      <c r="E856" s="976">
        <v>0</v>
      </c>
      <c r="F856" s="976">
        <v>0</v>
      </c>
      <c r="G856" s="976">
        <v>0</v>
      </c>
      <c r="H856" s="976">
        <v>0</v>
      </c>
      <c r="I856" s="976"/>
      <c r="J856" s="976"/>
      <c r="K856" s="976">
        <v>0</v>
      </c>
      <c r="L856" s="978">
        <v>0</v>
      </c>
      <c r="M856" s="976" t="s">
        <v>3658</v>
      </c>
      <c r="N856" s="976">
        <v>0</v>
      </c>
      <c r="O856" s="735">
        <f t="shared" si="41"/>
        <v>0</v>
      </c>
      <c r="P856" s="738">
        <f t="shared" si="39"/>
        <v>0</v>
      </c>
      <c r="Q856" s="751">
        <f t="shared" si="40"/>
        <v>0</v>
      </c>
      <c r="R856" s="853"/>
      <c r="S856" s="853"/>
      <c r="T856" s="853"/>
      <c r="U856" s="853"/>
      <c r="V856" s="988"/>
      <c r="W856" s="1024"/>
      <c r="X856" s="853"/>
      <c r="Y856" s="853"/>
      <c r="Z856" s="853"/>
      <c r="AA856" s="853"/>
      <c r="AB856" s="853"/>
      <c r="AC856" s="853"/>
      <c r="AD856" s="853"/>
      <c r="AE856" s="853"/>
      <c r="AF856" s="853"/>
      <c r="AG856" s="853"/>
      <c r="AH856" s="853"/>
      <c r="AI856" s="853"/>
      <c r="AJ856" s="853"/>
      <c r="AK856" s="853"/>
      <c r="AL856" s="853"/>
      <c r="AM856" s="853"/>
      <c r="AN856" s="853"/>
      <c r="AO856" s="853"/>
      <c r="AP856" s="853"/>
      <c r="AQ856" s="853"/>
      <c r="AR856" s="853"/>
      <c r="AS856" s="853"/>
      <c r="AT856" s="853"/>
      <c r="AU856" s="853"/>
      <c r="AV856" s="853"/>
      <c r="AW856" s="853"/>
      <c r="AX856" s="853"/>
    </row>
    <row r="857" spans="1:81" s="853" customFormat="1">
      <c r="A857" s="976" t="s">
        <v>3890</v>
      </c>
      <c r="B857" s="976" t="s">
        <v>1251</v>
      </c>
      <c r="C857" s="977">
        <v>1819200740</v>
      </c>
      <c r="D857" s="976" t="s">
        <v>451</v>
      </c>
      <c r="E857" s="976">
        <v>0</v>
      </c>
      <c r="F857" s="976">
        <v>0</v>
      </c>
      <c r="G857" s="976">
        <v>0</v>
      </c>
      <c r="H857" s="976">
        <v>0</v>
      </c>
      <c r="I857" s="976"/>
      <c r="J857" s="976"/>
      <c r="K857" s="976">
        <v>0</v>
      </c>
      <c r="L857" s="978">
        <v>0</v>
      </c>
      <c r="M857" s="976" t="s">
        <v>3658</v>
      </c>
      <c r="N857" s="976">
        <v>0</v>
      </c>
      <c r="O857" s="735">
        <f t="shared" si="41"/>
        <v>0</v>
      </c>
      <c r="P857" s="738">
        <f t="shared" si="39"/>
        <v>0</v>
      </c>
      <c r="Q857" s="751">
        <f t="shared" si="40"/>
        <v>0</v>
      </c>
      <c r="V857" s="988"/>
      <c r="W857" s="1024"/>
    </row>
    <row r="858" spans="1:81" s="853" customFormat="1">
      <c r="A858" s="976" t="s">
        <v>3913</v>
      </c>
      <c r="B858" s="976" t="s">
        <v>1251</v>
      </c>
      <c r="C858" s="977">
        <v>1819200750</v>
      </c>
      <c r="D858" s="976" t="s">
        <v>288</v>
      </c>
      <c r="E858" s="976">
        <v>635</v>
      </c>
      <c r="F858" s="976">
        <v>635</v>
      </c>
      <c r="G858" s="976">
        <v>476.25</v>
      </c>
      <c r="H858" s="976">
        <v>488.62541999999996</v>
      </c>
      <c r="I858" s="976"/>
      <c r="J858" s="976"/>
      <c r="K858" s="976">
        <v>488.62541999999996</v>
      </c>
      <c r="L858" s="978">
        <v>12.375419999999963</v>
      </c>
      <c r="M858" s="976" t="s">
        <v>3695</v>
      </c>
      <c r="N858" s="976">
        <v>651.50055999999995</v>
      </c>
      <c r="O858" s="735">
        <f t="shared" si="41"/>
        <v>16.50055999999995</v>
      </c>
      <c r="P858" s="738">
        <f t="shared" si="39"/>
        <v>651500.55999999994</v>
      </c>
      <c r="Q858" s="751">
        <f t="shared" si="40"/>
        <v>652000</v>
      </c>
      <c r="V858" s="988"/>
      <c r="W858" s="1024"/>
    </row>
    <row r="859" spans="1:81" s="853" customFormat="1">
      <c r="A859" s="976" t="s">
        <v>3914</v>
      </c>
      <c r="B859" s="976" t="s">
        <v>1251</v>
      </c>
      <c r="C859" s="977">
        <v>1819200751</v>
      </c>
      <c r="D859" s="976" t="s">
        <v>632</v>
      </c>
      <c r="E859" s="976">
        <v>550</v>
      </c>
      <c r="F859" s="976">
        <v>550</v>
      </c>
      <c r="G859" s="976">
        <v>412.5</v>
      </c>
      <c r="H859" s="976">
        <v>245.73639</v>
      </c>
      <c r="I859" s="976"/>
      <c r="J859" s="1041">
        <v>11</v>
      </c>
      <c r="K859" s="976">
        <v>256.73639000000003</v>
      </c>
      <c r="L859" s="978">
        <v>-155.76360999999997</v>
      </c>
      <c r="M859" s="976" t="s">
        <v>3696</v>
      </c>
      <c r="N859" s="976">
        <v>342.3151866666667</v>
      </c>
      <c r="O859" s="735">
        <f t="shared" si="41"/>
        <v>-207.6848133333333</v>
      </c>
      <c r="P859" s="738">
        <f t="shared" si="39"/>
        <v>342315.1866666667</v>
      </c>
      <c r="Q859" s="751">
        <f t="shared" si="40"/>
        <v>342000</v>
      </c>
      <c r="V859" s="988"/>
      <c r="W859" s="1024"/>
    </row>
    <row r="860" spans="1:81" s="856" customFormat="1" ht="15" customHeight="1">
      <c r="A860" s="976" t="s">
        <v>1079</v>
      </c>
      <c r="B860" s="976" t="s">
        <v>1079</v>
      </c>
      <c r="C860" s="977"/>
      <c r="D860" s="976" t="s">
        <v>3302</v>
      </c>
      <c r="E860" s="976"/>
      <c r="F860" s="976"/>
      <c r="G860" s="976"/>
      <c r="H860" s="976"/>
      <c r="I860" s="976"/>
      <c r="J860" s="976"/>
      <c r="K860" s="976"/>
      <c r="L860" s="976"/>
      <c r="M860" s="976"/>
      <c r="N860" s="976"/>
      <c r="O860" s="735">
        <f t="shared" si="41"/>
        <v>0</v>
      </c>
      <c r="P860" s="738">
        <f t="shared" si="39"/>
        <v>0</v>
      </c>
      <c r="Q860" s="751">
        <f t="shared" si="40"/>
        <v>0</v>
      </c>
      <c r="R860" s="854"/>
      <c r="S860" s="854"/>
      <c r="T860" s="854"/>
      <c r="U860" s="855"/>
      <c r="V860" s="988"/>
      <c r="W860" s="1024"/>
      <c r="X860" s="854"/>
      <c r="Y860" s="854"/>
      <c r="Z860" s="854"/>
      <c r="AA860" s="854"/>
      <c r="AB860" s="854"/>
      <c r="AC860" s="854"/>
      <c r="AD860" s="854"/>
      <c r="AE860" s="854"/>
      <c r="AF860" s="854"/>
      <c r="AG860" s="854"/>
      <c r="AH860" s="854"/>
      <c r="AI860" s="854"/>
      <c r="AJ860" s="854"/>
      <c r="AK860" s="854"/>
      <c r="AL860" s="854"/>
      <c r="AM860" s="854"/>
      <c r="AN860" s="854"/>
      <c r="AO860" s="854"/>
      <c r="AP860" s="854"/>
      <c r="AQ860" s="854"/>
      <c r="AR860" s="854"/>
      <c r="AS860" s="854"/>
      <c r="AT860" s="854"/>
      <c r="AU860" s="854"/>
      <c r="AV860" s="854"/>
      <c r="AW860" s="854"/>
      <c r="AX860" s="854"/>
    </row>
    <row r="861" spans="1:81" s="903" customFormat="1" ht="15.75" customHeight="1">
      <c r="A861" s="979" t="s">
        <v>3577</v>
      </c>
      <c r="B861" s="976" t="s">
        <v>3862</v>
      </c>
      <c r="C861" s="980" t="s">
        <v>888</v>
      </c>
      <c r="D861" s="979" t="s">
        <v>1486</v>
      </c>
      <c r="E861" s="979">
        <v>110583.215</v>
      </c>
      <c r="F861" s="979">
        <v>111583.215</v>
      </c>
      <c r="G861" s="979">
        <v>82937.411250000005</v>
      </c>
      <c r="H861" s="979">
        <v>74813.106519999972</v>
      </c>
      <c r="I861" s="979">
        <v>0</v>
      </c>
      <c r="J861" s="979">
        <v>7449</v>
      </c>
      <c r="K861" s="979">
        <v>82262.106519999972</v>
      </c>
      <c r="L861" s="979">
        <v>-675.30472999999949</v>
      </c>
      <c r="M861" s="979">
        <v>0</v>
      </c>
      <c r="N861" s="979">
        <v>109682.80869333335</v>
      </c>
      <c r="O861" s="735">
        <f t="shared" si="41"/>
        <v>-900.40630666664219</v>
      </c>
      <c r="P861" s="738">
        <f t="shared" si="39"/>
        <v>109682808.69333336</v>
      </c>
      <c r="Q861" s="751">
        <f t="shared" si="40"/>
        <v>109683000</v>
      </c>
      <c r="R861" s="902"/>
      <c r="S861" s="902"/>
      <c r="T861" s="902"/>
      <c r="U861" s="902"/>
      <c r="V861" s="988"/>
      <c r="W861" s="1024"/>
      <c r="X861" s="902"/>
      <c r="Y861" s="902"/>
      <c r="Z861" s="902"/>
      <c r="AA861" s="902"/>
      <c r="AB861" s="902"/>
      <c r="AC861" s="902"/>
      <c r="AD861" s="902"/>
      <c r="AE861" s="902"/>
      <c r="AF861" s="902"/>
      <c r="AG861" s="902"/>
      <c r="AH861" s="902"/>
      <c r="AI861" s="902"/>
      <c r="AJ861" s="902"/>
      <c r="AK861" s="902"/>
      <c r="AL861" s="902"/>
      <c r="AM861" s="902"/>
      <c r="AN861" s="902"/>
      <c r="AO861" s="902"/>
      <c r="AP861" s="902"/>
      <c r="AQ861" s="902"/>
      <c r="AR861" s="902"/>
      <c r="AS861" s="902"/>
      <c r="AT861" s="902"/>
      <c r="AU861" s="902"/>
      <c r="AV861" s="902"/>
      <c r="AW861" s="902"/>
      <c r="AX861" s="902"/>
    </row>
    <row r="862" spans="1:81" s="903" customFormat="1" ht="15.75" customHeight="1">
      <c r="A862" s="984" t="s">
        <v>3577</v>
      </c>
      <c r="B862" s="976" t="s">
        <v>3862</v>
      </c>
      <c r="C862" s="985" t="s">
        <v>888</v>
      </c>
      <c r="D862" s="984" t="s">
        <v>914</v>
      </c>
      <c r="E862" s="984">
        <v>228000.215</v>
      </c>
      <c r="F862" s="984">
        <v>229000.215</v>
      </c>
      <c r="G862" s="984">
        <v>171000.16125</v>
      </c>
      <c r="H862" s="984">
        <v>164677.34372</v>
      </c>
      <c r="I862" s="984">
        <v>0</v>
      </c>
      <c r="J862" s="984">
        <v>5632.3293475000009</v>
      </c>
      <c r="K862" s="984">
        <v>170309.67306749997</v>
      </c>
      <c r="L862" s="984">
        <v>-690.48818250000079</v>
      </c>
      <c r="M862" s="984">
        <v>0</v>
      </c>
      <c r="N862" s="984">
        <v>227079.56409000003</v>
      </c>
      <c r="O862" s="735">
        <f t="shared" si="41"/>
        <v>-920.65090999996755</v>
      </c>
      <c r="P862" s="738">
        <f t="shared" si="39"/>
        <v>227079564.09000003</v>
      </c>
      <c r="Q862" s="751">
        <f t="shared" si="40"/>
        <v>227080000</v>
      </c>
      <c r="R862" s="902"/>
      <c r="S862" s="902"/>
      <c r="T862" s="902"/>
      <c r="U862" s="902"/>
      <c r="V862" s="988"/>
      <c r="W862" s="1024"/>
      <c r="X862" s="902"/>
      <c r="Y862" s="902"/>
      <c r="Z862" s="902"/>
      <c r="AA862" s="902"/>
      <c r="AB862" s="902"/>
      <c r="AC862" s="902"/>
      <c r="AD862" s="902"/>
      <c r="AE862" s="902"/>
      <c r="AF862" s="902"/>
      <c r="AG862" s="902"/>
      <c r="AH862" s="902"/>
      <c r="AI862" s="902"/>
      <c r="AJ862" s="902"/>
      <c r="AK862" s="902"/>
      <c r="AL862" s="902"/>
      <c r="AM862" s="902"/>
      <c r="AN862" s="902"/>
      <c r="AO862" s="902"/>
      <c r="AP862" s="902"/>
      <c r="AQ862" s="902"/>
      <c r="AR862" s="902"/>
      <c r="AS862" s="902"/>
      <c r="AT862" s="902"/>
      <c r="AU862" s="902"/>
      <c r="AV862" s="902"/>
      <c r="AW862" s="902"/>
      <c r="AX862" s="902"/>
    </row>
    <row r="863" spans="1:81" ht="14.25" customHeight="1">
      <c r="A863" s="1013" t="s">
        <v>3577</v>
      </c>
      <c r="B863" s="976" t="s">
        <v>3946</v>
      </c>
      <c r="C863" s="1014" t="s">
        <v>918</v>
      </c>
      <c r="D863" s="1013"/>
      <c r="E863" s="1013"/>
      <c r="F863" s="1013"/>
      <c r="G863" s="1013"/>
      <c r="H863" s="1013"/>
      <c r="I863" s="1013"/>
      <c r="J863" s="1013"/>
      <c r="K863" s="1013"/>
      <c r="L863" s="1013"/>
      <c r="M863" s="1013"/>
      <c r="N863" s="1013"/>
      <c r="O863" s="735">
        <f t="shared" si="41"/>
        <v>0</v>
      </c>
      <c r="P863" s="738">
        <f t="shared" si="39"/>
        <v>0</v>
      </c>
      <c r="Q863" s="751">
        <f t="shared" si="40"/>
        <v>0</v>
      </c>
      <c r="U863" s="747"/>
      <c r="V863" s="988"/>
      <c r="W863" s="1024"/>
      <c r="AY863" s="845"/>
      <c r="AZ863" s="845"/>
      <c r="BA863" s="845"/>
      <c r="BB863" s="845"/>
      <c r="BC863" s="845"/>
      <c r="BD863" s="845"/>
      <c r="BE863" s="845"/>
      <c r="BF863" s="845"/>
      <c r="BG863" s="845"/>
      <c r="BH863" s="845"/>
      <c r="BI863" s="845"/>
      <c r="BJ863" s="845"/>
      <c r="BK863" s="845"/>
      <c r="BL863" s="845"/>
      <c r="BM863" s="845"/>
      <c r="BN863" s="845"/>
      <c r="BO863" s="845"/>
      <c r="BP863" s="845"/>
      <c r="BQ863" s="845"/>
      <c r="BR863" s="845"/>
      <c r="BS863" s="845"/>
      <c r="BT863" s="845"/>
      <c r="BU863" s="845"/>
      <c r="BV863" s="845"/>
      <c r="BW863" s="845"/>
      <c r="BX863" s="845"/>
      <c r="BY863" s="845"/>
      <c r="BZ863" s="845"/>
      <c r="CA863" s="845"/>
      <c r="CB863" s="845"/>
      <c r="CC863" s="845"/>
    </row>
    <row r="864" spans="1:81" ht="14.25" customHeight="1">
      <c r="A864" s="981" t="s">
        <v>1079</v>
      </c>
      <c r="B864" s="976" t="s">
        <v>1079</v>
      </c>
      <c r="C864" s="982"/>
      <c r="D864" s="981" t="s">
        <v>1488</v>
      </c>
      <c r="E864" s="981"/>
      <c r="F864" s="981"/>
      <c r="G864" s="981"/>
      <c r="H864" s="981"/>
      <c r="I864" s="981"/>
      <c r="J864" s="981"/>
      <c r="K864" s="981"/>
      <c r="L864" s="981"/>
      <c r="M864" s="981"/>
      <c r="N864" s="981"/>
      <c r="O864" s="735">
        <f t="shared" si="41"/>
        <v>0</v>
      </c>
      <c r="P864" s="738">
        <f t="shared" si="39"/>
        <v>0</v>
      </c>
      <c r="Q864" s="751">
        <f t="shared" si="40"/>
        <v>0</v>
      </c>
      <c r="V864" s="988"/>
      <c r="W864" s="1024"/>
    </row>
    <row r="865" spans="1:81" ht="14.25" customHeight="1">
      <c r="A865" s="976" t="s">
        <v>1322</v>
      </c>
      <c r="B865" s="976" t="s">
        <v>1263</v>
      </c>
      <c r="C865" s="977">
        <v>1841000110</v>
      </c>
      <c r="D865" s="976" t="s">
        <v>711</v>
      </c>
      <c r="E865" s="976">
        <v>21787.167000000001</v>
      </c>
      <c r="F865" s="976">
        <v>21787.167000000001</v>
      </c>
      <c r="G865" s="976">
        <v>16340.375250000003</v>
      </c>
      <c r="H865" s="976">
        <v>15005.49806</v>
      </c>
      <c r="I865" s="976"/>
      <c r="J865" s="1041">
        <v>1172.4759640000011</v>
      </c>
      <c r="K865" s="976">
        <v>16177.974024000001</v>
      </c>
      <c r="L865" s="978">
        <v>-162.40122600000177</v>
      </c>
      <c r="M865" s="976" t="s">
        <v>3589</v>
      </c>
      <c r="N865" s="976">
        <v>21570.632032000001</v>
      </c>
      <c r="O865" s="735">
        <f t="shared" si="41"/>
        <v>-216.53496799999994</v>
      </c>
      <c r="P865" s="738">
        <f t="shared" si="39"/>
        <v>21570632.032000002</v>
      </c>
      <c r="Q865" s="751">
        <f t="shared" si="40"/>
        <v>21571000</v>
      </c>
      <c r="V865" s="988"/>
      <c r="W865" s="1024"/>
      <c r="AY865" s="845"/>
      <c r="AZ865" s="845"/>
      <c r="BA865" s="845"/>
      <c r="BB865" s="845"/>
      <c r="BC865" s="845"/>
      <c r="BD865" s="845"/>
      <c r="BE865" s="845"/>
      <c r="BF865" s="845"/>
      <c r="BG865" s="845"/>
      <c r="BH865" s="845"/>
      <c r="BI865" s="845"/>
      <c r="BJ865" s="845"/>
      <c r="BK865" s="845"/>
      <c r="BL865" s="845"/>
      <c r="BM865" s="845"/>
      <c r="BN865" s="845"/>
      <c r="BO865" s="845"/>
      <c r="BP865" s="845"/>
      <c r="BQ865" s="845"/>
      <c r="BR865" s="845"/>
      <c r="BS865" s="845"/>
      <c r="BT865" s="845"/>
      <c r="BU865" s="845"/>
      <c r="BV865" s="845"/>
      <c r="BW865" s="845"/>
      <c r="BX865" s="845"/>
      <c r="BY865" s="845"/>
      <c r="BZ865" s="845"/>
      <c r="CA865" s="845"/>
      <c r="CB865" s="845"/>
      <c r="CC865" s="845"/>
    </row>
    <row r="866" spans="1:81" ht="14.25" customHeight="1">
      <c r="A866" s="976" t="s">
        <v>1322</v>
      </c>
      <c r="B866" s="976" t="s">
        <v>1263</v>
      </c>
      <c r="C866" s="977">
        <v>1842200110</v>
      </c>
      <c r="D866" s="976" t="s">
        <v>3418</v>
      </c>
      <c r="E866" s="976">
        <v>188</v>
      </c>
      <c r="F866" s="976">
        <v>188</v>
      </c>
      <c r="G866" s="976">
        <v>141</v>
      </c>
      <c r="H866" s="976">
        <v>5.7534799999999997</v>
      </c>
      <c r="I866" s="976"/>
      <c r="J866" s="1041">
        <v>13.991177499999999</v>
      </c>
      <c r="K866" s="976">
        <v>19.744657499999999</v>
      </c>
      <c r="L866" s="978">
        <v>-121.2553425</v>
      </c>
      <c r="M866" s="976" t="s">
        <v>3589</v>
      </c>
      <c r="N866" s="976">
        <v>26.326209999999996</v>
      </c>
      <c r="O866" s="735">
        <f t="shared" si="41"/>
        <v>-161.67379</v>
      </c>
      <c r="P866" s="738">
        <f t="shared" si="39"/>
        <v>26326.209999999995</v>
      </c>
      <c r="Q866" s="751">
        <f t="shared" si="40"/>
        <v>26000</v>
      </c>
      <c r="V866" s="988"/>
      <c r="W866" s="1024"/>
      <c r="AY866" s="845"/>
      <c r="AZ866" s="845"/>
      <c r="BA866" s="845"/>
      <c r="BB866" s="845"/>
      <c r="BC866" s="845"/>
      <c r="BD866" s="845"/>
      <c r="BE866" s="845"/>
      <c r="BF866" s="845"/>
      <c r="BG866" s="845"/>
      <c r="BH866" s="845"/>
      <c r="BI866" s="845"/>
      <c r="BJ866" s="845"/>
      <c r="BK866" s="845"/>
      <c r="BL866" s="845"/>
      <c r="BM866" s="845"/>
      <c r="BN866" s="845"/>
      <c r="BO866" s="845"/>
      <c r="BP866" s="845"/>
      <c r="BQ866" s="845"/>
      <c r="BR866" s="845"/>
      <c r="BS866" s="845"/>
      <c r="BT866" s="845"/>
      <c r="BU866" s="845"/>
      <c r="BV866" s="845"/>
      <c r="BW866" s="845"/>
      <c r="BX866" s="845"/>
      <c r="BY866" s="845"/>
      <c r="BZ866" s="845"/>
      <c r="CA866" s="845"/>
      <c r="CB866" s="845"/>
      <c r="CC866" s="845"/>
    </row>
    <row r="867" spans="1:81" ht="14.25" customHeight="1">
      <c r="A867" s="976" t="s">
        <v>1322</v>
      </c>
      <c r="B867" s="976" t="s">
        <v>1263</v>
      </c>
      <c r="C867" s="977">
        <v>1842210110</v>
      </c>
      <c r="D867" s="976" t="s">
        <v>724</v>
      </c>
      <c r="E867" s="976">
        <v>0</v>
      </c>
      <c r="F867" s="976">
        <v>0</v>
      </c>
      <c r="G867" s="976">
        <v>0</v>
      </c>
      <c r="H867" s="976">
        <v>0</v>
      </c>
      <c r="I867" s="976"/>
      <c r="J867" s="976">
        <v>0</v>
      </c>
      <c r="K867" s="976">
        <v>0</v>
      </c>
      <c r="L867" s="978">
        <v>0</v>
      </c>
      <c r="M867" s="976" t="s">
        <v>3589</v>
      </c>
      <c r="N867" s="976">
        <v>0</v>
      </c>
      <c r="O867" s="735">
        <f t="shared" si="41"/>
        <v>0</v>
      </c>
      <c r="P867" s="738">
        <f t="shared" si="39"/>
        <v>0</v>
      </c>
      <c r="Q867" s="751">
        <f t="shared" si="40"/>
        <v>0</v>
      </c>
      <c r="V867" s="988"/>
      <c r="W867" s="1024"/>
      <c r="AY867" s="845"/>
      <c r="AZ867" s="845"/>
      <c r="BA867" s="845"/>
      <c r="BB867" s="845"/>
      <c r="BC867" s="845"/>
      <c r="BD867" s="845"/>
      <c r="BE867" s="845"/>
      <c r="BF867" s="845"/>
      <c r="BG867" s="845"/>
      <c r="BH867" s="845"/>
      <c r="BI867" s="845"/>
      <c r="BJ867" s="845"/>
      <c r="BK867" s="845"/>
      <c r="BL867" s="845"/>
      <c r="BM867" s="845"/>
      <c r="BN867" s="845"/>
      <c r="BO867" s="845"/>
      <c r="BP867" s="845"/>
      <c r="BQ867" s="845"/>
      <c r="BR867" s="845"/>
      <c r="BS867" s="845"/>
      <c r="BT867" s="845"/>
      <c r="BU867" s="845"/>
      <c r="BV867" s="845"/>
      <c r="BW867" s="845"/>
      <c r="BX867" s="845"/>
      <c r="BY867" s="845"/>
      <c r="BZ867" s="845"/>
      <c r="CA867" s="845"/>
      <c r="CB867" s="845"/>
      <c r="CC867" s="845"/>
    </row>
    <row r="868" spans="1:81" ht="14.25" customHeight="1">
      <c r="A868" s="976" t="s">
        <v>1322</v>
      </c>
      <c r="B868" s="976" t="s">
        <v>1263</v>
      </c>
      <c r="C868" s="977">
        <v>1842300110</v>
      </c>
      <c r="D868" s="976" t="s">
        <v>721</v>
      </c>
      <c r="E868" s="976">
        <v>306</v>
      </c>
      <c r="F868" s="976">
        <v>306</v>
      </c>
      <c r="G868" s="976">
        <v>229.5</v>
      </c>
      <c r="H868" s="976">
        <v>216.09553</v>
      </c>
      <c r="I868" s="976"/>
      <c r="J868" s="1041">
        <v>29.963270000000023</v>
      </c>
      <c r="K868" s="976">
        <v>246.05880000000002</v>
      </c>
      <c r="L868" s="978">
        <v>16.558800000000019</v>
      </c>
      <c r="M868" s="976" t="s">
        <v>3589</v>
      </c>
      <c r="N868" s="976">
        <v>328.07840000000004</v>
      </c>
      <c r="O868" s="735">
        <f t="shared" si="41"/>
        <v>22.078400000000045</v>
      </c>
      <c r="P868" s="738">
        <f t="shared" si="39"/>
        <v>328078.40000000002</v>
      </c>
      <c r="Q868" s="751">
        <f t="shared" si="40"/>
        <v>328000</v>
      </c>
      <c r="V868" s="988"/>
      <c r="W868" s="1024"/>
      <c r="AY868" s="845"/>
      <c r="AZ868" s="845"/>
      <c r="BA868" s="845"/>
      <c r="BB868" s="845"/>
      <c r="BC868" s="845"/>
      <c r="BD868" s="845"/>
      <c r="BE868" s="845"/>
      <c r="BF868" s="845"/>
      <c r="BG868" s="845"/>
      <c r="BH868" s="845"/>
      <c r="BI868" s="845"/>
      <c r="BJ868" s="845"/>
      <c r="BK868" s="845"/>
      <c r="BL868" s="845"/>
      <c r="BM868" s="845"/>
      <c r="BN868" s="845"/>
      <c r="BO868" s="845"/>
      <c r="BP868" s="845"/>
      <c r="BQ868" s="845"/>
      <c r="BR868" s="845"/>
      <c r="BS868" s="845"/>
      <c r="BT868" s="845"/>
      <c r="BU868" s="845"/>
      <c r="BV868" s="845"/>
      <c r="BW868" s="845"/>
      <c r="BX868" s="845"/>
      <c r="BY868" s="845"/>
      <c r="BZ868" s="845"/>
      <c r="CA868" s="845"/>
      <c r="CB868" s="845"/>
      <c r="CC868" s="845"/>
    </row>
    <row r="869" spans="1:81" ht="14.25" customHeight="1">
      <c r="A869" s="976" t="s">
        <v>1322</v>
      </c>
      <c r="B869" s="976" t="s">
        <v>1263</v>
      </c>
      <c r="C869" s="977">
        <v>1842400110</v>
      </c>
      <c r="D869" s="976" t="s">
        <v>722</v>
      </c>
      <c r="E869" s="976">
        <v>1015</v>
      </c>
      <c r="F869" s="976">
        <v>1015</v>
      </c>
      <c r="G869" s="976">
        <v>761.25</v>
      </c>
      <c r="H869" s="976">
        <v>736.86156999999992</v>
      </c>
      <c r="I869" s="976"/>
      <c r="J869" s="1041">
        <v>78.075704000000087</v>
      </c>
      <c r="K869" s="976">
        <v>814.937274</v>
      </c>
      <c r="L869" s="978">
        <v>53.687274000000002</v>
      </c>
      <c r="M869" s="976" t="s">
        <v>3589</v>
      </c>
      <c r="N869" s="976">
        <v>1086.583032</v>
      </c>
      <c r="O869" s="735">
        <f t="shared" si="41"/>
        <v>71.583032000000003</v>
      </c>
      <c r="P869" s="738">
        <f t="shared" si="39"/>
        <v>1086583.0319999999</v>
      </c>
      <c r="Q869" s="751">
        <f t="shared" si="40"/>
        <v>1087000</v>
      </c>
      <c r="V869" s="988"/>
      <c r="W869" s="1024"/>
      <c r="AY869" s="845"/>
      <c r="AZ869" s="845"/>
      <c r="BA869" s="845"/>
      <c r="BB869" s="845"/>
      <c r="BC869" s="845"/>
      <c r="BD869" s="845"/>
      <c r="BE869" s="845"/>
      <c r="BF869" s="845"/>
      <c r="BG869" s="845"/>
      <c r="BH869" s="845"/>
      <c r="BI869" s="845"/>
      <c r="BJ869" s="845"/>
      <c r="BK869" s="845"/>
      <c r="BL869" s="845"/>
      <c r="BM869" s="845"/>
      <c r="BN869" s="845"/>
      <c r="BO869" s="845"/>
      <c r="BP869" s="845"/>
      <c r="BQ869" s="845"/>
      <c r="BR869" s="845"/>
      <c r="BS869" s="845"/>
      <c r="BT869" s="845"/>
      <c r="BU869" s="845"/>
      <c r="BV869" s="845"/>
      <c r="BW869" s="845"/>
      <c r="BX869" s="845"/>
      <c r="BY869" s="845"/>
      <c r="BZ869" s="845"/>
      <c r="CA869" s="845"/>
      <c r="CB869" s="845"/>
      <c r="CC869" s="845"/>
    </row>
    <row r="870" spans="1:81" ht="14.25" customHeight="1">
      <c r="A870" s="976" t="s">
        <v>1322</v>
      </c>
      <c r="B870" s="976" t="s">
        <v>1263</v>
      </c>
      <c r="C870" s="977">
        <v>1843400110</v>
      </c>
      <c r="D870" s="976" t="s">
        <v>727</v>
      </c>
      <c r="E870" s="976">
        <v>730</v>
      </c>
      <c r="F870" s="976">
        <v>730</v>
      </c>
      <c r="G870" s="976">
        <v>547.5</v>
      </c>
      <c r="H870" s="976">
        <v>478.18153000000001</v>
      </c>
      <c r="I870" s="976"/>
      <c r="J870" s="1041">
        <v>16.1296549999999</v>
      </c>
      <c r="K870" s="976">
        <v>494.31118499999991</v>
      </c>
      <c r="L870" s="978">
        <v>-53.188815000000091</v>
      </c>
      <c r="M870" s="976" t="s">
        <v>3589</v>
      </c>
      <c r="N870" s="976">
        <v>659.0815799999998</v>
      </c>
      <c r="O870" s="735">
        <f t="shared" si="41"/>
        <v>-70.918420000000197</v>
      </c>
      <c r="P870" s="738">
        <f t="shared" si="39"/>
        <v>659081.57999999984</v>
      </c>
      <c r="Q870" s="751">
        <f t="shared" si="40"/>
        <v>659000</v>
      </c>
      <c r="V870" s="988"/>
      <c r="W870" s="1024"/>
      <c r="AY870" s="845"/>
      <c r="AZ870" s="845"/>
      <c r="BA870" s="845"/>
      <c r="BB870" s="845"/>
      <c r="BC870" s="845"/>
      <c r="BD870" s="845"/>
      <c r="BE870" s="845"/>
      <c r="BF870" s="845"/>
      <c r="BG870" s="845"/>
      <c r="BH870" s="845"/>
      <c r="BI870" s="845"/>
      <c r="BJ870" s="845"/>
      <c r="BK870" s="845"/>
      <c r="BL870" s="845"/>
      <c r="BM870" s="845"/>
      <c r="BN870" s="845"/>
      <c r="BO870" s="845"/>
      <c r="BP870" s="845"/>
      <c r="BQ870" s="845"/>
      <c r="BR870" s="845"/>
      <c r="BS870" s="845"/>
      <c r="BT870" s="845"/>
      <c r="BU870" s="845"/>
      <c r="BV870" s="845"/>
      <c r="BW870" s="845"/>
      <c r="BX870" s="845"/>
      <c r="BY870" s="845"/>
      <c r="BZ870" s="845"/>
      <c r="CA870" s="845"/>
      <c r="CB870" s="845"/>
      <c r="CC870" s="845"/>
    </row>
    <row r="871" spans="1:81" ht="14.25" customHeight="1">
      <c r="A871" s="976" t="s">
        <v>1322</v>
      </c>
      <c r="B871" s="976" t="s">
        <v>1263</v>
      </c>
      <c r="C871" s="977">
        <v>1843500110</v>
      </c>
      <c r="D871" s="976" t="s">
        <v>728</v>
      </c>
      <c r="E871" s="976">
        <v>689</v>
      </c>
      <c r="F871" s="976">
        <v>689</v>
      </c>
      <c r="G871" s="976">
        <v>516.75</v>
      </c>
      <c r="H871" s="976">
        <v>534.54836</v>
      </c>
      <c r="I871" s="976"/>
      <c r="J871" s="1041">
        <v>40.806983500000001</v>
      </c>
      <c r="K871" s="976">
        <v>575.3553435</v>
      </c>
      <c r="L871" s="978">
        <v>58.605343500000004</v>
      </c>
      <c r="M871" s="976" t="s">
        <v>3589</v>
      </c>
      <c r="N871" s="976">
        <v>767.14045800000008</v>
      </c>
      <c r="O871" s="735">
        <f t="shared" si="41"/>
        <v>78.140458000000081</v>
      </c>
      <c r="P871" s="738">
        <f t="shared" si="39"/>
        <v>767140.4580000001</v>
      </c>
      <c r="Q871" s="751">
        <f t="shared" si="40"/>
        <v>767000</v>
      </c>
      <c r="V871" s="988"/>
      <c r="W871" s="1024"/>
      <c r="AY871" s="845"/>
      <c r="AZ871" s="845"/>
      <c r="BA871" s="845"/>
      <c r="BB871" s="845"/>
      <c r="BC871" s="845"/>
      <c r="BD871" s="845"/>
      <c r="BE871" s="845"/>
      <c r="BF871" s="845"/>
      <c r="BG871" s="845"/>
      <c r="BH871" s="845"/>
      <c r="BI871" s="845"/>
      <c r="BJ871" s="845"/>
      <c r="BK871" s="845"/>
      <c r="BL871" s="845"/>
      <c r="BM871" s="845"/>
      <c r="BN871" s="845"/>
      <c r="BO871" s="845"/>
      <c r="BP871" s="845"/>
      <c r="BQ871" s="845"/>
      <c r="BR871" s="845"/>
      <c r="BS871" s="845"/>
      <c r="BT871" s="845"/>
      <c r="BU871" s="845"/>
      <c r="BV871" s="845"/>
      <c r="BW871" s="845"/>
      <c r="BX871" s="845"/>
      <c r="BY871" s="845"/>
      <c r="BZ871" s="845"/>
      <c r="CA871" s="845"/>
      <c r="CB871" s="845"/>
      <c r="CC871" s="845"/>
    </row>
    <row r="872" spans="1:81" ht="14.25" customHeight="1">
      <c r="A872" s="976" t="s">
        <v>1322</v>
      </c>
      <c r="B872" s="976" t="s">
        <v>1263</v>
      </c>
      <c r="C872" s="977">
        <v>1843510110</v>
      </c>
      <c r="D872" s="976" t="s">
        <v>727</v>
      </c>
      <c r="E872" s="976">
        <v>0</v>
      </c>
      <c r="F872" s="976">
        <v>0</v>
      </c>
      <c r="G872" s="976">
        <v>0</v>
      </c>
      <c r="H872" s="976">
        <v>0</v>
      </c>
      <c r="I872" s="976"/>
      <c r="J872" s="976">
        <v>0</v>
      </c>
      <c r="K872" s="976">
        <v>0</v>
      </c>
      <c r="L872" s="978">
        <v>0</v>
      </c>
      <c r="M872" s="976" t="s">
        <v>3589</v>
      </c>
      <c r="N872" s="976">
        <v>0</v>
      </c>
      <c r="O872" s="735">
        <f t="shared" si="41"/>
        <v>0</v>
      </c>
      <c r="P872" s="738">
        <f t="shared" si="39"/>
        <v>0</v>
      </c>
      <c r="Q872" s="751">
        <f t="shared" si="40"/>
        <v>0</v>
      </c>
      <c r="V872" s="988"/>
      <c r="W872" s="1024"/>
      <c r="AY872" s="845"/>
      <c r="AZ872" s="845"/>
      <c r="BA872" s="845"/>
      <c r="BB872" s="845"/>
      <c r="BC872" s="845"/>
      <c r="BD872" s="845"/>
      <c r="BE872" s="845"/>
      <c r="BF872" s="845"/>
      <c r="BG872" s="845"/>
      <c r="BH872" s="845"/>
      <c r="BI872" s="845"/>
      <c r="BJ872" s="845"/>
      <c r="BK872" s="845"/>
      <c r="BL872" s="845"/>
      <c r="BM872" s="845"/>
      <c r="BN872" s="845"/>
      <c r="BO872" s="845"/>
      <c r="BP872" s="845"/>
      <c r="BQ872" s="845"/>
      <c r="BR872" s="845"/>
      <c r="BS872" s="845"/>
      <c r="BT872" s="845"/>
      <c r="BU872" s="845"/>
      <c r="BV872" s="845"/>
      <c r="BW872" s="845"/>
      <c r="BX872" s="845"/>
      <c r="BY872" s="845"/>
      <c r="BZ872" s="845"/>
      <c r="CA872" s="845"/>
      <c r="CB872" s="845"/>
      <c r="CC872" s="845"/>
    </row>
    <row r="873" spans="1:81" ht="14.25" customHeight="1">
      <c r="A873" s="976" t="s">
        <v>1322</v>
      </c>
      <c r="B873" s="976" t="s">
        <v>1263</v>
      </c>
      <c r="C873" s="977">
        <v>1843600110</v>
      </c>
      <c r="D873" s="976" t="s">
        <v>735</v>
      </c>
      <c r="E873" s="976">
        <v>90</v>
      </c>
      <c r="F873" s="976">
        <v>90</v>
      </c>
      <c r="G873" s="976">
        <v>67.5</v>
      </c>
      <c r="H873" s="976">
        <v>56.258209999999998</v>
      </c>
      <c r="I873" s="976"/>
      <c r="J873" s="1032">
        <v>-0.10239499999999424</v>
      </c>
      <c r="K873" s="976">
        <v>56.155815000000004</v>
      </c>
      <c r="L873" s="978">
        <v>-11.344184999999996</v>
      </c>
      <c r="M873" s="976" t="s">
        <v>3589</v>
      </c>
      <c r="N873" s="976">
        <v>74.874420000000001</v>
      </c>
      <c r="O873" s="735">
        <f t="shared" si="41"/>
        <v>-15.125579999999999</v>
      </c>
      <c r="P873" s="738">
        <f t="shared" si="39"/>
        <v>74874.42</v>
      </c>
      <c r="Q873" s="751">
        <f t="shared" si="40"/>
        <v>75000</v>
      </c>
      <c r="V873" s="988"/>
      <c r="W873" s="1024"/>
      <c r="AY873" s="845"/>
      <c r="AZ873" s="845"/>
      <c r="BA873" s="845"/>
      <c r="BB873" s="845"/>
      <c r="BC873" s="845"/>
      <c r="BD873" s="845"/>
      <c r="BE873" s="845"/>
      <c r="BF873" s="845"/>
      <c r="BG873" s="845"/>
      <c r="BH873" s="845"/>
      <c r="BI873" s="845"/>
      <c r="BJ873" s="845"/>
      <c r="BK873" s="845"/>
      <c r="BL873" s="845"/>
      <c r="BM873" s="845"/>
      <c r="BN873" s="845"/>
      <c r="BO873" s="845"/>
      <c r="BP873" s="845"/>
      <c r="BQ873" s="845"/>
      <c r="BR873" s="845"/>
      <c r="BS873" s="845"/>
      <c r="BT873" s="845"/>
      <c r="BU873" s="845"/>
      <c r="BV873" s="845"/>
      <c r="BW873" s="845"/>
      <c r="BX873" s="845"/>
      <c r="BY873" s="845"/>
      <c r="BZ873" s="845"/>
      <c r="CA873" s="845"/>
      <c r="CB873" s="845"/>
      <c r="CC873" s="845"/>
    </row>
    <row r="874" spans="1:81" ht="14.25" customHeight="1">
      <c r="A874" s="976" t="s">
        <v>1322</v>
      </c>
      <c r="B874" s="976" t="s">
        <v>1263</v>
      </c>
      <c r="C874" s="977">
        <v>1843700110</v>
      </c>
      <c r="D874" s="976" t="s">
        <v>2992</v>
      </c>
      <c r="E874" s="976">
        <v>0</v>
      </c>
      <c r="F874" s="976">
        <v>0</v>
      </c>
      <c r="G874" s="976">
        <v>0</v>
      </c>
      <c r="H874" s="976">
        <v>19.117150000000002</v>
      </c>
      <c r="I874" s="976"/>
      <c r="J874" s="1041">
        <v>18.575315000000003</v>
      </c>
      <c r="K874" s="976">
        <v>37.692465000000006</v>
      </c>
      <c r="L874" s="978">
        <v>37.692465000000006</v>
      </c>
      <c r="M874" s="976" t="s">
        <v>3589</v>
      </c>
      <c r="N874" s="976">
        <v>50.256620000000012</v>
      </c>
      <c r="O874" s="735">
        <f t="shared" si="41"/>
        <v>50.256620000000012</v>
      </c>
      <c r="P874" s="738">
        <f t="shared" si="39"/>
        <v>50256.62000000001</v>
      </c>
      <c r="Q874" s="751">
        <f t="shared" si="40"/>
        <v>50000</v>
      </c>
      <c r="V874" s="988"/>
      <c r="W874" s="1024"/>
      <c r="AY874" s="845"/>
      <c r="AZ874" s="845"/>
      <c r="BA874" s="845"/>
      <c r="BB874" s="845"/>
      <c r="BC874" s="845"/>
      <c r="BD874" s="845"/>
      <c r="BE874" s="845"/>
      <c r="BF874" s="845"/>
      <c r="BG874" s="845"/>
      <c r="BH874" s="845"/>
      <c r="BI874" s="845"/>
      <c r="BJ874" s="845"/>
      <c r="BK874" s="845"/>
      <c r="BL874" s="845"/>
      <c r="BM874" s="845"/>
      <c r="BN874" s="845"/>
      <c r="BO874" s="845"/>
      <c r="BP874" s="845"/>
      <c r="BQ874" s="845"/>
      <c r="BR874" s="845"/>
      <c r="BS874" s="845"/>
      <c r="BT874" s="845"/>
      <c r="BU874" s="845"/>
      <c r="BV874" s="845"/>
      <c r="BW874" s="845"/>
      <c r="BX874" s="845"/>
      <c r="BY874" s="845"/>
      <c r="BZ874" s="845"/>
      <c r="CA874" s="845"/>
      <c r="CB874" s="845"/>
      <c r="CC874" s="845"/>
    </row>
    <row r="875" spans="1:81" ht="14.25" customHeight="1">
      <c r="A875" s="976" t="s">
        <v>1322</v>
      </c>
      <c r="B875" s="976" t="s">
        <v>1263</v>
      </c>
      <c r="C875" s="977">
        <v>1843800110</v>
      </c>
      <c r="D875" s="976" t="s">
        <v>737</v>
      </c>
      <c r="E875" s="976">
        <v>399</v>
      </c>
      <c r="F875" s="976">
        <v>399</v>
      </c>
      <c r="G875" s="976">
        <v>299.25</v>
      </c>
      <c r="H875" s="976">
        <v>289.64640999999995</v>
      </c>
      <c r="I875" s="976"/>
      <c r="J875" s="1032">
        <v>-9.2235174999999572</v>
      </c>
      <c r="K875" s="976">
        <v>280.42289249999999</v>
      </c>
      <c r="L875" s="978">
        <v>-18.827107500000011</v>
      </c>
      <c r="M875" s="976" t="s">
        <v>3589</v>
      </c>
      <c r="N875" s="976">
        <v>373.89718999999997</v>
      </c>
      <c r="O875" s="735">
        <f t="shared" si="41"/>
        <v>-25.102810000000034</v>
      </c>
      <c r="P875" s="738">
        <f t="shared" si="39"/>
        <v>373897.18999999994</v>
      </c>
      <c r="Q875" s="751">
        <f t="shared" si="40"/>
        <v>374000</v>
      </c>
      <c r="V875" s="988"/>
      <c r="W875" s="1024"/>
      <c r="AY875" s="845"/>
      <c r="AZ875" s="845"/>
      <c r="BA875" s="845"/>
      <c r="BB875" s="845"/>
      <c r="BC875" s="845"/>
      <c r="BD875" s="845"/>
      <c r="BE875" s="845"/>
      <c r="BF875" s="845"/>
      <c r="BG875" s="845"/>
      <c r="BH875" s="845"/>
      <c r="BI875" s="845"/>
      <c r="BJ875" s="845"/>
      <c r="BK875" s="845"/>
      <c r="BL875" s="845"/>
      <c r="BM875" s="845"/>
      <c r="BN875" s="845"/>
      <c r="BO875" s="845"/>
      <c r="BP875" s="845"/>
      <c r="BQ875" s="845"/>
      <c r="BR875" s="845"/>
      <c r="BS875" s="845"/>
      <c r="BT875" s="845"/>
      <c r="BU875" s="845"/>
      <c r="BV875" s="845"/>
      <c r="BW875" s="845"/>
      <c r="BX875" s="845"/>
      <c r="BY875" s="845"/>
      <c r="BZ875" s="845"/>
      <c r="CA875" s="845"/>
      <c r="CB875" s="845"/>
      <c r="CC875" s="845"/>
    </row>
    <row r="876" spans="1:81" ht="14.25" customHeight="1">
      <c r="A876" s="976" t="s">
        <v>1322</v>
      </c>
      <c r="B876" s="976" t="s">
        <v>1263</v>
      </c>
      <c r="C876" s="977">
        <v>1843900110</v>
      </c>
      <c r="D876" s="976" t="s">
        <v>137</v>
      </c>
      <c r="E876" s="976">
        <v>70</v>
      </c>
      <c r="F876" s="976">
        <v>70</v>
      </c>
      <c r="G876" s="976">
        <v>52.5</v>
      </c>
      <c r="H876" s="976">
        <v>54.523969999999998</v>
      </c>
      <c r="I876" s="976"/>
      <c r="J876" s="1032">
        <v>-1.527492500000001</v>
      </c>
      <c r="K876" s="976">
        <v>52.996477499999997</v>
      </c>
      <c r="L876" s="978">
        <v>0.49647749999999746</v>
      </c>
      <c r="M876" s="976" t="s">
        <v>3589</v>
      </c>
      <c r="N876" s="976">
        <v>70.661969999999997</v>
      </c>
      <c r="O876" s="735">
        <f t="shared" si="41"/>
        <v>0.66196999999999662</v>
      </c>
      <c r="P876" s="738">
        <f t="shared" si="39"/>
        <v>70661.97</v>
      </c>
      <c r="Q876" s="751">
        <f t="shared" si="40"/>
        <v>71000</v>
      </c>
      <c r="V876" s="988"/>
      <c r="W876" s="1024"/>
      <c r="AY876" s="845"/>
      <c r="AZ876" s="845"/>
      <c r="BA876" s="845"/>
      <c r="BB876" s="845"/>
      <c r="BC876" s="845"/>
      <c r="BD876" s="845"/>
      <c r="BE876" s="845"/>
      <c r="BF876" s="845"/>
      <c r="BG876" s="845"/>
      <c r="BH876" s="845"/>
      <c r="BI876" s="845"/>
      <c r="BJ876" s="845"/>
      <c r="BK876" s="845"/>
      <c r="BL876" s="845"/>
      <c r="BM876" s="845"/>
      <c r="BN876" s="845"/>
      <c r="BO876" s="845"/>
      <c r="BP876" s="845"/>
      <c r="BQ876" s="845"/>
      <c r="BR876" s="845"/>
      <c r="BS876" s="845"/>
      <c r="BT876" s="845"/>
      <c r="BU876" s="845"/>
      <c r="BV876" s="845"/>
      <c r="BW876" s="845"/>
      <c r="BX876" s="845"/>
      <c r="BY876" s="845"/>
      <c r="BZ876" s="845"/>
      <c r="CA876" s="845"/>
      <c r="CB876" s="845"/>
      <c r="CC876" s="845"/>
    </row>
    <row r="877" spans="1:81" ht="14.25" customHeight="1">
      <c r="A877" s="976" t="s">
        <v>1322</v>
      </c>
      <c r="B877" s="976" t="s">
        <v>1263</v>
      </c>
      <c r="C877" s="977">
        <v>1845200110</v>
      </c>
      <c r="D877" s="976" t="s">
        <v>3419</v>
      </c>
      <c r="E877" s="976">
        <v>0</v>
      </c>
      <c r="F877" s="976">
        <v>0</v>
      </c>
      <c r="G877" s="976">
        <v>0</v>
      </c>
      <c r="H877" s="976">
        <v>-0.3014</v>
      </c>
      <c r="I877" s="976"/>
      <c r="J877" s="1041">
        <v>0.3014</v>
      </c>
      <c r="K877" s="976">
        <v>0</v>
      </c>
      <c r="L877" s="978">
        <v>0</v>
      </c>
      <c r="M877" s="976" t="s">
        <v>3589</v>
      </c>
      <c r="N877" s="976">
        <v>0</v>
      </c>
      <c r="O877" s="735">
        <f t="shared" si="41"/>
        <v>0</v>
      </c>
      <c r="P877" s="738">
        <f t="shared" si="39"/>
        <v>0</v>
      </c>
      <c r="Q877" s="751">
        <f t="shared" si="40"/>
        <v>0</v>
      </c>
      <c r="V877" s="988"/>
      <c r="W877" s="1024"/>
      <c r="AY877" s="845"/>
      <c r="AZ877" s="845"/>
      <c r="BA877" s="845"/>
      <c r="BB877" s="845"/>
      <c r="BC877" s="845"/>
      <c r="BD877" s="845"/>
      <c r="BE877" s="845"/>
      <c r="BF877" s="845"/>
      <c r="BG877" s="845"/>
      <c r="BH877" s="845"/>
      <c r="BI877" s="845"/>
      <c r="BJ877" s="845"/>
      <c r="BK877" s="845"/>
      <c r="BL877" s="845"/>
      <c r="BM877" s="845"/>
      <c r="BN877" s="845"/>
      <c r="BO877" s="845"/>
      <c r="BP877" s="845"/>
      <c r="BQ877" s="845"/>
      <c r="BR877" s="845"/>
      <c r="BS877" s="845"/>
      <c r="BT877" s="845"/>
      <c r="BU877" s="845"/>
      <c r="BV877" s="845"/>
      <c r="BW877" s="845"/>
      <c r="BX877" s="845"/>
      <c r="BY877" s="845"/>
      <c r="BZ877" s="845"/>
      <c r="CA877" s="845"/>
      <c r="CB877" s="845"/>
      <c r="CC877" s="845"/>
    </row>
    <row r="878" spans="1:81" ht="14.25" customHeight="1">
      <c r="A878" s="976" t="s">
        <v>1322</v>
      </c>
      <c r="B878" s="976" t="s">
        <v>1263</v>
      </c>
      <c r="C878" s="977">
        <v>1845400110</v>
      </c>
      <c r="D878" s="976" t="s">
        <v>762</v>
      </c>
      <c r="E878" s="976">
        <v>2126</v>
      </c>
      <c r="F878" s="976">
        <v>2126</v>
      </c>
      <c r="G878" s="976">
        <v>1594.5</v>
      </c>
      <c r="H878" s="976">
        <v>1632.68923</v>
      </c>
      <c r="I878" s="976"/>
      <c r="J878" s="1032">
        <v>-0.27571449999982178</v>
      </c>
      <c r="K878" s="976">
        <v>1632.4135155000001</v>
      </c>
      <c r="L878" s="978">
        <v>37.91351550000013</v>
      </c>
      <c r="M878" s="976" t="s">
        <v>3589</v>
      </c>
      <c r="N878" s="976">
        <v>2176.5513540000002</v>
      </c>
      <c r="O878" s="735">
        <f t="shared" si="41"/>
        <v>50.551354000000174</v>
      </c>
      <c r="P878" s="738">
        <f t="shared" si="39"/>
        <v>2176551.3540000003</v>
      </c>
      <c r="Q878" s="751">
        <f t="shared" si="40"/>
        <v>2177000</v>
      </c>
      <c r="V878" s="988"/>
      <c r="W878" s="1024"/>
      <c r="AY878" s="845"/>
      <c r="AZ878" s="845"/>
      <c r="BA878" s="845"/>
      <c r="BB878" s="845"/>
      <c r="BC878" s="845"/>
      <c r="BD878" s="845"/>
      <c r="BE878" s="845"/>
      <c r="BF878" s="845"/>
      <c r="BG878" s="845"/>
      <c r="BH878" s="845"/>
      <c r="BI878" s="845"/>
      <c r="BJ878" s="845"/>
      <c r="BK878" s="845"/>
      <c r="BL878" s="845"/>
      <c r="BM878" s="845"/>
      <c r="BN878" s="845"/>
      <c r="BO878" s="845"/>
      <c r="BP878" s="845"/>
      <c r="BQ878" s="845"/>
      <c r="BR878" s="845"/>
      <c r="BS878" s="845"/>
      <c r="BT878" s="845"/>
      <c r="BU878" s="845"/>
      <c r="BV878" s="845"/>
      <c r="BW878" s="845"/>
      <c r="BX878" s="845"/>
      <c r="BY878" s="845"/>
      <c r="BZ878" s="845"/>
      <c r="CA878" s="845"/>
      <c r="CB878" s="845"/>
      <c r="CC878" s="845"/>
    </row>
    <row r="879" spans="1:81" ht="14.25" customHeight="1">
      <c r="A879" s="976" t="s">
        <v>1322</v>
      </c>
      <c r="B879" s="976" t="s">
        <v>1263</v>
      </c>
      <c r="C879" s="977">
        <v>1846300110</v>
      </c>
      <c r="D879" s="976" t="s">
        <v>774</v>
      </c>
      <c r="E879" s="976">
        <v>70</v>
      </c>
      <c r="F879" s="976">
        <v>70</v>
      </c>
      <c r="G879" s="976">
        <v>52.5</v>
      </c>
      <c r="H879" s="976">
        <v>0</v>
      </c>
      <c r="I879" s="976"/>
      <c r="J879" s="976">
        <v>0</v>
      </c>
      <c r="K879" s="976">
        <v>0</v>
      </c>
      <c r="L879" s="978">
        <v>-52.5</v>
      </c>
      <c r="M879" s="976" t="s">
        <v>3589</v>
      </c>
      <c r="N879" s="976">
        <v>0</v>
      </c>
      <c r="O879" s="735">
        <f t="shared" si="41"/>
        <v>-70</v>
      </c>
      <c r="P879" s="738">
        <f t="shared" si="39"/>
        <v>0</v>
      </c>
      <c r="Q879" s="751">
        <f t="shared" si="40"/>
        <v>0</v>
      </c>
      <c r="V879" s="988"/>
      <c r="W879" s="1024"/>
      <c r="AY879" s="845"/>
      <c r="AZ879" s="845"/>
      <c r="BA879" s="845"/>
      <c r="BB879" s="845"/>
      <c r="BC879" s="845"/>
      <c r="BD879" s="845"/>
      <c r="BE879" s="845"/>
      <c r="BF879" s="845"/>
      <c r="BG879" s="845"/>
      <c r="BH879" s="845"/>
      <c r="BI879" s="845"/>
      <c r="BJ879" s="845"/>
      <c r="BK879" s="845"/>
      <c r="BL879" s="845"/>
      <c r="BM879" s="845"/>
      <c r="BN879" s="845"/>
      <c r="BO879" s="845"/>
      <c r="BP879" s="845"/>
      <c r="BQ879" s="845"/>
      <c r="BR879" s="845"/>
      <c r="BS879" s="845"/>
      <c r="BT879" s="845"/>
      <c r="BU879" s="845"/>
      <c r="BV879" s="845"/>
      <c r="BW879" s="845"/>
      <c r="BX879" s="845"/>
      <c r="BY879" s="845"/>
      <c r="BZ879" s="845"/>
      <c r="CA879" s="845"/>
      <c r="CB879" s="845"/>
      <c r="CC879" s="845"/>
    </row>
    <row r="880" spans="1:81" ht="14.25" customHeight="1">
      <c r="A880" s="976" t="s">
        <v>1322</v>
      </c>
      <c r="B880" s="976" t="s">
        <v>1263</v>
      </c>
      <c r="C880" s="977">
        <v>1846700110</v>
      </c>
      <c r="D880" s="976" t="s">
        <v>787</v>
      </c>
      <c r="E880" s="976">
        <v>337</v>
      </c>
      <c r="F880" s="976">
        <v>337</v>
      </c>
      <c r="G880" s="976">
        <v>252.75</v>
      </c>
      <c r="H880" s="976">
        <v>202.17323000000002</v>
      </c>
      <c r="I880" s="976"/>
      <c r="J880" s="1032">
        <v>-13.478817499999991</v>
      </c>
      <c r="K880" s="976">
        <v>188.69441250000003</v>
      </c>
      <c r="L880" s="978">
        <v>-64.055587499999973</v>
      </c>
      <c r="M880" s="976" t="s">
        <v>3589</v>
      </c>
      <c r="N880" s="976">
        <v>251.59255000000005</v>
      </c>
      <c r="O880" s="735">
        <f t="shared" si="41"/>
        <v>-85.407449999999955</v>
      </c>
      <c r="P880" s="738">
        <f t="shared" si="39"/>
        <v>251592.55000000005</v>
      </c>
      <c r="Q880" s="751">
        <f t="shared" si="40"/>
        <v>252000</v>
      </c>
      <c r="V880" s="988"/>
      <c r="W880" s="1024"/>
      <c r="AY880" s="845"/>
      <c r="AZ880" s="845"/>
      <c r="BA880" s="845"/>
      <c r="BB880" s="845"/>
      <c r="BC880" s="845"/>
      <c r="BD880" s="845"/>
      <c r="BE880" s="845"/>
      <c r="BF880" s="845"/>
      <c r="BG880" s="845"/>
      <c r="BH880" s="845"/>
      <c r="BI880" s="845"/>
      <c r="BJ880" s="845"/>
      <c r="BK880" s="845"/>
      <c r="BL880" s="845"/>
      <c r="BM880" s="845"/>
      <c r="BN880" s="845"/>
      <c r="BO880" s="845"/>
      <c r="BP880" s="845"/>
      <c r="BQ880" s="845"/>
      <c r="BR880" s="845"/>
      <c r="BS880" s="845"/>
      <c r="BT880" s="845"/>
      <c r="BU880" s="845"/>
      <c r="BV880" s="845"/>
      <c r="BW880" s="845"/>
      <c r="BX880" s="845"/>
      <c r="BY880" s="845"/>
      <c r="BZ880" s="845"/>
      <c r="CA880" s="845"/>
      <c r="CB880" s="845"/>
      <c r="CC880" s="845"/>
    </row>
    <row r="881" spans="1:81" ht="14.25" customHeight="1">
      <c r="A881" s="976" t="s">
        <v>1322</v>
      </c>
      <c r="B881" s="976" t="s">
        <v>1263</v>
      </c>
      <c r="C881" s="977">
        <v>1847200110</v>
      </c>
      <c r="D881" s="976" t="s">
        <v>199</v>
      </c>
      <c r="E881" s="976">
        <v>164</v>
      </c>
      <c r="F881" s="976">
        <v>164</v>
      </c>
      <c r="G881" s="976">
        <v>123</v>
      </c>
      <c r="H881" s="976">
        <v>129.14695</v>
      </c>
      <c r="I881" s="976"/>
      <c r="J881" s="1041">
        <v>17.559905000000015</v>
      </c>
      <c r="K881" s="976">
        <v>146.70685500000002</v>
      </c>
      <c r="L881" s="978">
        <v>23.706855000000019</v>
      </c>
      <c r="M881" s="976" t="s">
        <v>3589</v>
      </c>
      <c r="N881" s="976">
        <v>195.60914000000002</v>
      </c>
      <c r="O881" s="735">
        <f t="shared" si="41"/>
        <v>31.609140000000025</v>
      </c>
      <c r="P881" s="738">
        <f t="shared" si="39"/>
        <v>195609.14</v>
      </c>
      <c r="Q881" s="751">
        <f t="shared" si="40"/>
        <v>196000</v>
      </c>
      <c r="V881" s="988"/>
      <c r="W881" s="1024"/>
      <c r="AY881" s="845"/>
      <c r="AZ881" s="845"/>
      <c r="BA881" s="845"/>
      <c r="BB881" s="845"/>
      <c r="BC881" s="845"/>
      <c r="BD881" s="845"/>
      <c r="BE881" s="845"/>
      <c r="BF881" s="845"/>
      <c r="BG881" s="845"/>
      <c r="BH881" s="845"/>
      <c r="BI881" s="845"/>
      <c r="BJ881" s="845"/>
      <c r="BK881" s="845"/>
      <c r="BL881" s="845"/>
      <c r="BM881" s="845"/>
      <c r="BN881" s="845"/>
      <c r="BO881" s="845"/>
      <c r="BP881" s="845"/>
      <c r="BQ881" s="845"/>
      <c r="BR881" s="845"/>
      <c r="BS881" s="845"/>
      <c r="BT881" s="845"/>
      <c r="BU881" s="845"/>
      <c r="BV881" s="845"/>
      <c r="BW881" s="845"/>
      <c r="BX881" s="845"/>
      <c r="BY881" s="845"/>
      <c r="BZ881" s="845"/>
      <c r="CA881" s="845"/>
      <c r="CB881" s="845"/>
      <c r="CC881" s="845"/>
    </row>
    <row r="882" spans="1:81" ht="14.25" customHeight="1">
      <c r="A882" s="976" t="s">
        <v>1322</v>
      </c>
      <c r="B882" s="976" t="s">
        <v>1263</v>
      </c>
      <c r="C882" s="977">
        <v>1847100110</v>
      </c>
      <c r="D882" s="976" t="s">
        <v>797</v>
      </c>
      <c r="E882" s="976">
        <v>197</v>
      </c>
      <c r="F882" s="976">
        <v>197</v>
      </c>
      <c r="G882" s="976">
        <v>147.75</v>
      </c>
      <c r="H882" s="976">
        <v>121.79526</v>
      </c>
      <c r="I882" s="976"/>
      <c r="J882" s="1041">
        <v>7.1933849999999921</v>
      </c>
      <c r="K882" s="976">
        <v>128.98864499999999</v>
      </c>
      <c r="L882" s="978">
        <v>-18.761355000000009</v>
      </c>
      <c r="M882" s="976" t="s">
        <v>3589</v>
      </c>
      <c r="N882" s="976">
        <v>171.98485999999997</v>
      </c>
      <c r="O882" s="735">
        <f t="shared" si="41"/>
        <v>-25.015140000000031</v>
      </c>
      <c r="P882" s="738">
        <f t="shared" si="39"/>
        <v>171984.85999999996</v>
      </c>
      <c r="Q882" s="751">
        <f t="shared" si="40"/>
        <v>172000</v>
      </c>
      <c r="V882" s="988"/>
      <c r="W882" s="1024"/>
      <c r="AY882" s="845"/>
      <c r="AZ882" s="845"/>
      <c r="BA882" s="845"/>
      <c r="BB882" s="845"/>
      <c r="BC882" s="845"/>
      <c r="BD882" s="845"/>
      <c r="BE882" s="845"/>
      <c r="BF882" s="845"/>
      <c r="BG882" s="845"/>
      <c r="BH882" s="845"/>
      <c r="BI882" s="845"/>
      <c r="BJ882" s="845"/>
      <c r="BK882" s="845"/>
      <c r="BL882" s="845"/>
      <c r="BM882" s="845"/>
      <c r="BN882" s="845"/>
      <c r="BO882" s="845"/>
      <c r="BP882" s="845"/>
      <c r="BQ882" s="845"/>
      <c r="BR882" s="845"/>
      <c r="BS882" s="845"/>
      <c r="BT882" s="845"/>
      <c r="BU882" s="845"/>
      <c r="BV882" s="845"/>
      <c r="BW882" s="845"/>
      <c r="BX882" s="845"/>
      <c r="BY882" s="845"/>
      <c r="BZ882" s="845"/>
      <c r="CA882" s="845"/>
      <c r="CB882" s="845"/>
      <c r="CC882" s="845"/>
    </row>
    <row r="883" spans="1:81" ht="14.25" customHeight="1">
      <c r="A883" s="976" t="s">
        <v>1322</v>
      </c>
      <c r="B883" s="976"/>
      <c r="C883" s="977">
        <v>1847110110</v>
      </c>
      <c r="D883" s="976" t="s">
        <v>3420</v>
      </c>
      <c r="E883" s="976">
        <v>105.3</v>
      </c>
      <c r="F883" s="976">
        <v>105.3</v>
      </c>
      <c r="G883" s="976">
        <v>78.974999999999994</v>
      </c>
      <c r="H883" s="976">
        <v>0</v>
      </c>
      <c r="I883" s="976"/>
      <c r="J883" s="976">
        <v>0</v>
      </c>
      <c r="K883" s="976">
        <v>0</v>
      </c>
      <c r="L883" s="978">
        <v>-78.974999999999994</v>
      </c>
      <c r="M883" s="976" t="s">
        <v>3589</v>
      </c>
      <c r="N883" s="976">
        <v>0</v>
      </c>
      <c r="O883" s="735">
        <f t="shared" si="41"/>
        <v>-105.3</v>
      </c>
      <c r="P883" s="738">
        <f t="shared" si="39"/>
        <v>0</v>
      </c>
      <c r="Q883" s="751">
        <f t="shared" si="40"/>
        <v>0</v>
      </c>
      <c r="V883" s="988"/>
      <c r="W883" s="1024"/>
      <c r="AY883" s="845"/>
      <c r="AZ883" s="845"/>
      <c r="BA883" s="845"/>
      <c r="BB883" s="845"/>
      <c r="BC883" s="845"/>
      <c r="BD883" s="845"/>
      <c r="BE883" s="845"/>
      <c r="BF883" s="845"/>
      <c r="BG883" s="845"/>
      <c r="BH883" s="845"/>
      <c r="BI883" s="845"/>
      <c r="BJ883" s="845"/>
      <c r="BK883" s="845"/>
      <c r="BL883" s="845"/>
      <c r="BM883" s="845"/>
      <c r="BN883" s="845"/>
      <c r="BO883" s="845"/>
      <c r="BP883" s="845"/>
      <c r="BQ883" s="845"/>
      <c r="BR883" s="845"/>
      <c r="BS883" s="845"/>
      <c r="BT883" s="845"/>
      <c r="BU883" s="845"/>
      <c r="BV883" s="845"/>
      <c r="BW883" s="845"/>
      <c r="BX883" s="845"/>
      <c r="BY883" s="845"/>
      <c r="BZ883" s="845"/>
      <c r="CA883" s="845"/>
      <c r="CB883" s="845"/>
      <c r="CC883" s="845"/>
    </row>
    <row r="884" spans="1:81" ht="14.25" customHeight="1">
      <c r="A884" s="976" t="s">
        <v>1322</v>
      </c>
      <c r="B884" s="976" t="s">
        <v>1263</v>
      </c>
      <c r="C884" s="977">
        <v>1847400110</v>
      </c>
      <c r="D884" s="976" t="s">
        <v>3260</v>
      </c>
      <c r="E884" s="976">
        <v>148</v>
      </c>
      <c r="F884" s="976">
        <v>148</v>
      </c>
      <c r="G884" s="976">
        <v>111</v>
      </c>
      <c r="H884" s="976">
        <v>70.044089999999997</v>
      </c>
      <c r="I884" s="976"/>
      <c r="J884" s="1041">
        <v>14.579047500000001</v>
      </c>
      <c r="K884" s="976">
        <v>84.623137499999999</v>
      </c>
      <c r="L884" s="978">
        <v>-26.376862500000001</v>
      </c>
      <c r="M884" s="976" t="s">
        <v>3589</v>
      </c>
      <c r="N884" s="976">
        <v>112.83085</v>
      </c>
      <c r="O884" s="735">
        <f t="shared" si="41"/>
        <v>-35.169150000000002</v>
      </c>
      <c r="P884" s="738">
        <f t="shared" si="39"/>
        <v>112830.84999999999</v>
      </c>
      <c r="Q884" s="751">
        <f t="shared" si="40"/>
        <v>113000</v>
      </c>
      <c r="V884" s="988"/>
      <c r="W884" s="1024"/>
      <c r="AY884" s="845"/>
      <c r="AZ884" s="845"/>
      <c r="BA884" s="845"/>
      <c r="BB884" s="845"/>
      <c r="BC884" s="845"/>
      <c r="BD884" s="845"/>
      <c r="BE884" s="845"/>
      <c r="BF884" s="845"/>
      <c r="BG884" s="845"/>
      <c r="BH884" s="845"/>
      <c r="BI884" s="845"/>
      <c r="BJ884" s="845"/>
      <c r="BK884" s="845"/>
      <c r="BL884" s="845"/>
      <c r="BM884" s="845"/>
      <c r="BN884" s="845"/>
      <c r="BO884" s="845"/>
      <c r="BP884" s="845"/>
      <c r="BQ884" s="845"/>
      <c r="BR884" s="845"/>
      <c r="BS884" s="845"/>
      <c r="BT884" s="845"/>
      <c r="BU884" s="845"/>
      <c r="BV884" s="845"/>
      <c r="BW884" s="845"/>
      <c r="BX884" s="845"/>
      <c r="BY884" s="845"/>
      <c r="BZ884" s="845"/>
      <c r="CA884" s="845"/>
      <c r="CB884" s="845"/>
      <c r="CC884" s="845"/>
    </row>
    <row r="885" spans="1:81" ht="14.25" customHeight="1">
      <c r="A885" s="976" t="s">
        <v>1322</v>
      </c>
      <c r="B885" s="976" t="s">
        <v>1263</v>
      </c>
      <c r="C885" s="977">
        <v>1847410110</v>
      </c>
      <c r="D885" s="976" t="s">
        <v>805</v>
      </c>
      <c r="E885" s="976">
        <v>969</v>
      </c>
      <c r="F885" s="976">
        <v>969</v>
      </c>
      <c r="G885" s="976">
        <v>726.75</v>
      </c>
      <c r="H885" s="976">
        <v>740.60629000000006</v>
      </c>
      <c r="I885" s="976"/>
      <c r="J885" s="1041">
        <v>40.391019999999912</v>
      </c>
      <c r="K885" s="976">
        <v>780.99730999999997</v>
      </c>
      <c r="L885" s="978">
        <v>54.24730999999997</v>
      </c>
      <c r="M885" s="976" t="s">
        <v>3589</v>
      </c>
      <c r="N885" s="976">
        <v>1041.3297466666668</v>
      </c>
      <c r="O885" s="735">
        <f t="shared" si="41"/>
        <v>72.329746666666779</v>
      </c>
      <c r="P885" s="738">
        <f t="shared" si="39"/>
        <v>1041329.7466666668</v>
      </c>
      <c r="Q885" s="751">
        <f t="shared" si="40"/>
        <v>1041000</v>
      </c>
      <c r="V885" s="988"/>
      <c r="W885" s="1024"/>
      <c r="AY885" s="845"/>
      <c r="AZ885" s="845"/>
      <c r="BA885" s="845"/>
      <c r="BB885" s="845"/>
      <c r="BC885" s="845"/>
      <c r="BD885" s="845"/>
      <c r="BE885" s="845"/>
      <c r="BF885" s="845"/>
      <c r="BG885" s="845"/>
      <c r="BH885" s="845"/>
      <c r="BI885" s="845"/>
      <c r="BJ885" s="845"/>
      <c r="BK885" s="845"/>
      <c r="BL885" s="845"/>
      <c r="BM885" s="845"/>
      <c r="BN885" s="845"/>
      <c r="BO885" s="845"/>
      <c r="BP885" s="845"/>
      <c r="BQ885" s="845"/>
      <c r="BR885" s="845"/>
      <c r="BS885" s="845"/>
      <c r="BT885" s="845"/>
      <c r="BU885" s="845"/>
      <c r="BV885" s="845"/>
      <c r="BW885" s="845"/>
      <c r="BX885" s="845"/>
      <c r="BY885" s="845"/>
      <c r="BZ885" s="845"/>
      <c r="CA885" s="845"/>
      <c r="CB885" s="845"/>
      <c r="CC885" s="845"/>
    </row>
    <row r="886" spans="1:81" s="852" customFormat="1" ht="15" customHeight="1">
      <c r="A886" s="976" t="s">
        <v>1322</v>
      </c>
      <c r="B886" s="976" t="s">
        <v>1263</v>
      </c>
      <c r="C886" s="977">
        <v>1847420110</v>
      </c>
      <c r="D886" s="976" t="s">
        <v>806</v>
      </c>
      <c r="E886" s="976">
        <v>201</v>
      </c>
      <c r="F886" s="976">
        <v>201</v>
      </c>
      <c r="G886" s="976">
        <v>150.75</v>
      </c>
      <c r="H886" s="976">
        <v>147.26935</v>
      </c>
      <c r="I886" s="976"/>
      <c r="J886" s="1041">
        <v>7.746530000000007</v>
      </c>
      <c r="K886" s="976">
        <v>155.01588000000001</v>
      </c>
      <c r="L886" s="978">
        <v>4.2658800000000099</v>
      </c>
      <c r="M886" s="976" t="s">
        <v>3589</v>
      </c>
      <c r="N886" s="976">
        <v>206.68783999999999</v>
      </c>
      <c r="O886" s="735">
        <f t="shared" si="41"/>
        <v>5.6878399999999942</v>
      </c>
      <c r="P886" s="738">
        <f t="shared" si="39"/>
        <v>206687.84</v>
      </c>
      <c r="Q886" s="751">
        <f t="shared" si="40"/>
        <v>207000</v>
      </c>
      <c r="R886" s="853"/>
      <c r="S886" s="853"/>
      <c r="T886" s="853"/>
      <c r="U886" s="844"/>
      <c r="V886" s="988"/>
      <c r="W886" s="1024"/>
      <c r="X886" s="853"/>
      <c r="Y886" s="853"/>
      <c r="Z886" s="853"/>
      <c r="AA886" s="853"/>
      <c r="AB886" s="853"/>
      <c r="AC886" s="853"/>
      <c r="AD886" s="853"/>
      <c r="AE886" s="853"/>
      <c r="AF886" s="853"/>
      <c r="AG886" s="853"/>
      <c r="AH886" s="853"/>
      <c r="AI886" s="853"/>
      <c r="AJ886" s="853"/>
      <c r="AK886" s="853"/>
      <c r="AL886" s="853"/>
      <c r="AM886" s="853"/>
      <c r="AN886" s="853"/>
      <c r="AO886" s="853"/>
      <c r="AP886" s="853"/>
      <c r="AQ886" s="853"/>
      <c r="AR886" s="853"/>
      <c r="AS886" s="853"/>
      <c r="AT886" s="853"/>
      <c r="AU886" s="853"/>
      <c r="AV886" s="853"/>
      <c r="AW886" s="853"/>
      <c r="AX886" s="853"/>
    </row>
    <row r="887" spans="1:81" s="857" customFormat="1" ht="14.25" customHeight="1">
      <c r="A887" s="976" t="s">
        <v>1322</v>
      </c>
      <c r="B887" s="976" t="s">
        <v>1263</v>
      </c>
      <c r="C887" s="977">
        <v>1847500110</v>
      </c>
      <c r="D887" s="976" t="s">
        <v>201</v>
      </c>
      <c r="E887" s="976">
        <v>294</v>
      </c>
      <c r="F887" s="976">
        <v>294</v>
      </c>
      <c r="G887" s="976">
        <v>220.5</v>
      </c>
      <c r="H887" s="976">
        <v>113.49733000000001</v>
      </c>
      <c r="I887" s="976"/>
      <c r="J887" s="1041">
        <v>6.5058200000000141</v>
      </c>
      <c r="K887" s="976">
        <v>120.00315000000002</v>
      </c>
      <c r="L887" s="978">
        <v>-100.49684999999998</v>
      </c>
      <c r="M887" s="976" t="s">
        <v>3589</v>
      </c>
      <c r="N887" s="976">
        <v>160.00420000000003</v>
      </c>
      <c r="O887" s="735">
        <f t="shared" si="41"/>
        <v>-133.99579999999997</v>
      </c>
      <c r="P887" s="738">
        <f t="shared" si="39"/>
        <v>160004.20000000001</v>
      </c>
      <c r="Q887" s="751">
        <f t="shared" si="40"/>
        <v>160000</v>
      </c>
      <c r="R887" s="747"/>
      <c r="S887" s="747"/>
      <c r="T887" s="747"/>
      <c r="U887" s="844"/>
      <c r="V887" s="988"/>
      <c r="W887" s="1024"/>
      <c r="X887" s="747"/>
      <c r="Y887" s="747"/>
      <c r="Z887" s="747"/>
      <c r="AA887" s="747"/>
      <c r="AB887" s="747"/>
      <c r="AC887" s="747"/>
      <c r="AD887" s="747"/>
      <c r="AE887" s="747"/>
      <c r="AF887" s="747"/>
      <c r="AG887" s="747"/>
      <c r="AH887" s="747"/>
      <c r="AI887" s="747"/>
      <c r="AJ887" s="747"/>
      <c r="AK887" s="747"/>
      <c r="AL887" s="747"/>
      <c r="AM887" s="747"/>
      <c r="AN887" s="747"/>
      <c r="AO887" s="747"/>
      <c r="AP887" s="747"/>
      <c r="AQ887" s="747"/>
      <c r="AR887" s="747"/>
      <c r="AS887" s="747"/>
      <c r="AT887" s="747"/>
      <c r="AU887" s="747"/>
      <c r="AV887" s="747"/>
      <c r="AW887" s="747"/>
      <c r="AX887" s="747"/>
    </row>
    <row r="888" spans="1:81" s="747" customFormat="1" ht="14.25" customHeight="1">
      <c r="A888" s="976" t="s">
        <v>1322</v>
      </c>
      <c r="B888" s="976" t="s">
        <v>1263</v>
      </c>
      <c r="C888" s="977">
        <v>1847300110</v>
      </c>
      <c r="D888" s="976" t="s">
        <v>3254</v>
      </c>
      <c r="E888" s="976">
        <v>65</v>
      </c>
      <c r="F888" s="976">
        <v>65</v>
      </c>
      <c r="G888" s="976">
        <v>48.75</v>
      </c>
      <c r="H888" s="976">
        <v>27.18018</v>
      </c>
      <c r="I888" s="976"/>
      <c r="J888" s="1041">
        <v>5.0522100000000023</v>
      </c>
      <c r="K888" s="976">
        <v>32.232390000000002</v>
      </c>
      <c r="L888" s="978">
        <v>-16.517609999999998</v>
      </c>
      <c r="M888" s="976" t="s">
        <v>3589</v>
      </c>
      <c r="N888" s="976">
        <v>42.976520000000001</v>
      </c>
      <c r="O888" s="735">
        <f t="shared" si="41"/>
        <v>-22.023479999999999</v>
      </c>
      <c r="P888" s="738">
        <f t="shared" si="39"/>
        <v>42976.520000000004</v>
      </c>
      <c r="Q888" s="751">
        <f t="shared" si="40"/>
        <v>43000</v>
      </c>
      <c r="U888" s="844"/>
      <c r="V888" s="988"/>
      <c r="W888" s="1024"/>
    </row>
    <row r="889" spans="1:81" s="747" customFormat="1" ht="14.25" customHeight="1">
      <c r="A889" s="976" t="s">
        <v>1322</v>
      </c>
      <c r="B889" s="976" t="s">
        <v>1263</v>
      </c>
      <c r="C889" s="977">
        <v>1847600110</v>
      </c>
      <c r="D889" s="976" t="s">
        <v>807</v>
      </c>
      <c r="E889" s="976">
        <v>766</v>
      </c>
      <c r="F889" s="976">
        <v>766</v>
      </c>
      <c r="G889" s="976">
        <v>574.5</v>
      </c>
      <c r="H889" s="976">
        <v>477.18549000000002</v>
      </c>
      <c r="I889" s="976"/>
      <c r="J889" s="1041">
        <v>78.63704249999995</v>
      </c>
      <c r="K889" s="976">
        <v>555.82253249999997</v>
      </c>
      <c r="L889" s="978">
        <v>-18.677467500000034</v>
      </c>
      <c r="M889" s="976" t="s">
        <v>3589</v>
      </c>
      <c r="N889" s="976">
        <v>741.09671000000003</v>
      </c>
      <c r="O889" s="735">
        <f t="shared" si="41"/>
        <v>-24.90328999999997</v>
      </c>
      <c r="P889" s="738">
        <f t="shared" si="39"/>
        <v>741096.71000000008</v>
      </c>
      <c r="Q889" s="751">
        <f t="shared" si="40"/>
        <v>741000</v>
      </c>
      <c r="U889" s="844"/>
      <c r="V889" s="988"/>
      <c r="W889" s="1024"/>
    </row>
    <row r="890" spans="1:81" ht="14.25" customHeight="1">
      <c r="A890" s="976" t="s">
        <v>1322</v>
      </c>
      <c r="B890" s="976" t="s">
        <v>1263</v>
      </c>
      <c r="C890" s="977">
        <v>1847700110</v>
      </c>
      <c r="D890" s="976" t="s">
        <v>3135</v>
      </c>
      <c r="E890" s="976">
        <v>149.6</v>
      </c>
      <c r="F890" s="976">
        <v>149.6</v>
      </c>
      <c r="G890" s="976">
        <v>112.19999999999999</v>
      </c>
      <c r="H890" s="976">
        <v>1.6040000000000001</v>
      </c>
      <c r="I890" s="976"/>
      <c r="J890" s="1041">
        <v>0.62662499999999999</v>
      </c>
      <c r="K890" s="976">
        <v>2.2306249999999999</v>
      </c>
      <c r="L890" s="978">
        <v>-109.96937499999999</v>
      </c>
      <c r="M890" s="976" t="s">
        <v>3589</v>
      </c>
      <c r="N890" s="976">
        <v>2.9741666666666666</v>
      </c>
      <c r="O890" s="735">
        <f t="shared" si="41"/>
        <v>-146.62583333333333</v>
      </c>
      <c r="P890" s="738">
        <f t="shared" si="39"/>
        <v>2974.1666666666665</v>
      </c>
      <c r="Q890" s="751">
        <f t="shared" si="40"/>
        <v>3000</v>
      </c>
      <c r="V890" s="988"/>
      <c r="W890" s="1024"/>
      <c r="AY890" s="845"/>
      <c r="AZ890" s="845"/>
      <c r="BA890" s="845"/>
      <c r="BB890" s="845"/>
      <c r="BC890" s="845"/>
      <c r="BD890" s="845"/>
      <c r="BE890" s="845"/>
      <c r="BF890" s="845"/>
      <c r="BG890" s="845"/>
      <c r="BH890" s="845"/>
      <c r="BI890" s="845"/>
      <c r="BJ890" s="845"/>
      <c r="BK890" s="845"/>
      <c r="BL890" s="845"/>
      <c r="BM890" s="845"/>
      <c r="BN890" s="845"/>
      <c r="BO890" s="845"/>
      <c r="BP890" s="845"/>
      <c r="BQ890" s="845"/>
      <c r="BR890" s="845"/>
      <c r="BS890" s="845"/>
      <c r="BT890" s="845"/>
      <c r="BU890" s="845"/>
      <c r="BV890" s="845"/>
      <c r="BW890" s="845"/>
      <c r="BX890" s="845"/>
      <c r="BY890" s="845"/>
      <c r="BZ890" s="845"/>
      <c r="CA890" s="845"/>
      <c r="CB890" s="845"/>
      <c r="CC890" s="845"/>
    </row>
    <row r="891" spans="1:81" s="747" customFormat="1" ht="14.25" customHeight="1">
      <c r="A891" s="976" t="s">
        <v>1322</v>
      </c>
      <c r="B891" s="976" t="s">
        <v>1263</v>
      </c>
      <c r="C891" s="987">
        <v>1842500110</v>
      </c>
      <c r="D891" s="987" t="s">
        <v>724</v>
      </c>
      <c r="E891" s="976">
        <v>103.5</v>
      </c>
      <c r="F891" s="976">
        <v>103.5</v>
      </c>
      <c r="G891" s="976">
        <v>77.625</v>
      </c>
      <c r="H891" s="976">
        <v>11.731440000000001</v>
      </c>
      <c r="I891" s="976"/>
      <c r="J891" s="1041">
        <v>5.7834675000000022</v>
      </c>
      <c r="K891" s="976">
        <v>17.514907500000003</v>
      </c>
      <c r="L891" s="978">
        <v>-60.110092499999993</v>
      </c>
      <c r="M891" s="976" t="s">
        <v>3589</v>
      </c>
      <c r="N891" s="976">
        <v>23.353210000000004</v>
      </c>
      <c r="O891" s="735">
        <f t="shared" si="41"/>
        <v>-80.146789999999996</v>
      </c>
      <c r="P891" s="738">
        <f t="shared" si="39"/>
        <v>23353.210000000003</v>
      </c>
      <c r="Q891" s="751">
        <f t="shared" si="40"/>
        <v>23000</v>
      </c>
      <c r="U891" s="844"/>
      <c r="V891" s="988"/>
      <c r="W891" s="1024"/>
    </row>
    <row r="892" spans="1:81" s="747" customFormat="1" ht="14.25" customHeight="1">
      <c r="A892" s="976" t="s">
        <v>1322</v>
      </c>
      <c r="B892" s="976" t="s">
        <v>1263</v>
      </c>
      <c r="C892" s="977">
        <v>1847800110</v>
      </c>
      <c r="D892" s="976" t="s">
        <v>809</v>
      </c>
      <c r="E892" s="976">
        <v>179</v>
      </c>
      <c r="F892" s="976">
        <v>179</v>
      </c>
      <c r="G892" s="976">
        <v>134.25</v>
      </c>
      <c r="H892" s="976">
        <v>94.599860000000007</v>
      </c>
      <c r="I892" s="976"/>
      <c r="J892" s="1032">
        <v>-4.9182500000014784E-2</v>
      </c>
      <c r="K892" s="976">
        <v>94.550677499999992</v>
      </c>
      <c r="L892" s="978">
        <v>-39.699322500000008</v>
      </c>
      <c r="M892" s="976" t="s">
        <v>3589</v>
      </c>
      <c r="N892" s="976">
        <v>126.06756999999999</v>
      </c>
      <c r="O892" s="735">
        <f t="shared" si="41"/>
        <v>-52.932430000000011</v>
      </c>
      <c r="P892" s="738">
        <f t="shared" si="39"/>
        <v>126067.56999999999</v>
      </c>
      <c r="Q892" s="751">
        <f t="shared" si="40"/>
        <v>126000</v>
      </c>
      <c r="U892" s="844"/>
      <c r="V892" s="988"/>
      <c r="W892" s="1024"/>
    </row>
    <row r="893" spans="1:81" s="747" customFormat="1" ht="14.25" customHeight="1">
      <c r="A893" s="976" t="s">
        <v>1322</v>
      </c>
      <c r="B893" s="976" t="s">
        <v>1263</v>
      </c>
      <c r="C893" s="977">
        <v>1847810110</v>
      </c>
      <c r="D893" s="976" t="s">
        <v>812</v>
      </c>
      <c r="E893" s="976">
        <v>81</v>
      </c>
      <c r="F893" s="976">
        <v>81</v>
      </c>
      <c r="G893" s="976">
        <v>60.75</v>
      </c>
      <c r="H893" s="976">
        <v>67.568240000000003</v>
      </c>
      <c r="I893" s="976"/>
      <c r="J893" s="1032">
        <v>-3.2264975000000078</v>
      </c>
      <c r="K893" s="976">
        <v>64.341742499999995</v>
      </c>
      <c r="L893" s="978">
        <v>3.5917424999999952</v>
      </c>
      <c r="M893" s="976" t="s">
        <v>3589</v>
      </c>
      <c r="N893" s="976">
        <v>85.788989999999984</v>
      </c>
      <c r="O893" s="735">
        <f t="shared" si="41"/>
        <v>4.7889899999999841</v>
      </c>
      <c r="P893" s="738">
        <f t="shared" si="39"/>
        <v>85788.989999999991</v>
      </c>
      <c r="Q893" s="751">
        <f t="shared" si="40"/>
        <v>86000</v>
      </c>
      <c r="U893" s="844"/>
      <c r="V893" s="988"/>
      <c r="W893" s="1024"/>
    </row>
    <row r="894" spans="1:81" s="747" customFormat="1" ht="14.25" customHeight="1">
      <c r="A894" s="976" t="s">
        <v>1322</v>
      </c>
      <c r="B894" s="976" t="s">
        <v>1263</v>
      </c>
      <c r="C894" s="977">
        <v>1847900110</v>
      </c>
      <c r="D894" s="976" t="s">
        <v>814</v>
      </c>
      <c r="E894" s="976">
        <v>460</v>
      </c>
      <c r="F894" s="976">
        <v>460</v>
      </c>
      <c r="G894" s="976">
        <v>345</v>
      </c>
      <c r="H894" s="976">
        <v>347.85500999999999</v>
      </c>
      <c r="I894" s="976"/>
      <c r="J894" s="1041">
        <v>11.162347500000067</v>
      </c>
      <c r="K894" s="976">
        <v>359.01735750000006</v>
      </c>
      <c r="L894" s="978">
        <v>14.01735750000006</v>
      </c>
      <c r="M894" s="976" t="s">
        <v>3589</v>
      </c>
      <c r="N894" s="976">
        <v>478.68981000000008</v>
      </c>
      <c r="O894" s="735">
        <f t="shared" si="41"/>
        <v>18.68981000000008</v>
      </c>
      <c r="P894" s="738">
        <f t="shared" si="39"/>
        <v>478689.81000000006</v>
      </c>
      <c r="Q894" s="751">
        <f t="shared" si="40"/>
        <v>479000</v>
      </c>
      <c r="U894" s="844"/>
      <c r="V894" s="988"/>
      <c r="W894" s="1024"/>
    </row>
    <row r="895" spans="1:81" s="747" customFormat="1" ht="14.25" customHeight="1">
      <c r="A895" s="976" t="s">
        <v>1322</v>
      </c>
      <c r="B895" s="976" t="s">
        <v>1263</v>
      </c>
      <c r="C895" s="977">
        <v>1842100110</v>
      </c>
      <c r="D895" s="976" t="s">
        <v>716</v>
      </c>
      <c r="E895" s="976">
        <v>175</v>
      </c>
      <c r="F895" s="976">
        <v>175</v>
      </c>
      <c r="G895" s="976">
        <v>131.25</v>
      </c>
      <c r="H895" s="976">
        <v>117.53538</v>
      </c>
      <c r="I895" s="976"/>
      <c r="J895" s="1041">
        <v>9.0501374999999911</v>
      </c>
      <c r="K895" s="976">
        <v>126.58551749999999</v>
      </c>
      <c r="L895" s="978">
        <v>-4.6644825000000054</v>
      </c>
      <c r="M895" s="976" t="s">
        <v>3589</v>
      </c>
      <c r="N895" s="976">
        <v>168.78068999999999</v>
      </c>
      <c r="O895" s="735">
        <f t="shared" si="41"/>
        <v>-6.2193100000000072</v>
      </c>
      <c r="P895" s="738">
        <f t="shared" si="39"/>
        <v>168780.69</v>
      </c>
      <c r="Q895" s="751">
        <f t="shared" si="40"/>
        <v>169000</v>
      </c>
      <c r="U895" s="844"/>
      <c r="V895" s="988"/>
      <c r="W895" s="1024"/>
    </row>
    <row r="896" spans="1:81" s="747" customFormat="1" ht="14.25" customHeight="1">
      <c r="A896" s="976" t="s">
        <v>1322</v>
      </c>
      <c r="B896" s="976"/>
      <c r="C896" s="977">
        <v>1842600110</v>
      </c>
      <c r="D896" s="976" t="s">
        <v>2202</v>
      </c>
      <c r="E896" s="976">
        <v>270</v>
      </c>
      <c r="F896" s="976">
        <v>270</v>
      </c>
      <c r="G896" s="976">
        <v>202.5</v>
      </c>
      <c r="H896" s="976">
        <v>120.84011</v>
      </c>
      <c r="I896" s="976"/>
      <c r="J896" s="1041">
        <v>4.0130200000000116</v>
      </c>
      <c r="K896" s="976">
        <v>124.85313000000001</v>
      </c>
      <c r="L896" s="978">
        <v>-77.646869999999993</v>
      </c>
      <c r="M896" s="976" t="s">
        <v>3589</v>
      </c>
      <c r="N896" s="976">
        <v>166.47084000000001</v>
      </c>
      <c r="O896" s="735">
        <f t="shared" si="41"/>
        <v>-103.52915999999999</v>
      </c>
      <c r="P896" s="738">
        <f t="shared" si="39"/>
        <v>166470.84</v>
      </c>
      <c r="Q896" s="751">
        <f t="shared" si="40"/>
        <v>166000</v>
      </c>
      <c r="U896" s="844"/>
      <c r="V896" s="988"/>
      <c r="W896" s="1024"/>
    </row>
    <row r="897" spans="1:50" s="747" customFormat="1" ht="14.25" customHeight="1">
      <c r="A897" s="976" t="s">
        <v>1322</v>
      </c>
      <c r="B897" s="976" t="s">
        <v>1263</v>
      </c>
      <c r="C897" s="977">
        <v>1846600110</v>
      </c>
      <c r="D897" s="976" t="s">
        <v>182</v>
      </c>
      <c r="E897" s="976">
        <v>1149</v>
      </c>
      <c r="F897" s="976">
        <v>1149</v>
      </c>
      <c r="G897" s="976">
        <v>861.75</v>
      </c>
      <c r="H897" s="976">
        <v>739.99391000000003</v>
      </c>
      <c r="I897" s="976"/>
      <c r="J897" s="1032">
        <v>-32.549329999999941</v>
      </c>
      <c r="K897" s="976">
        <v>707.44458000000009</v>
      </c>
      <c r="L897" s="978">
        <v>-154.30541999999991</v>
      </c>
      <c r="M897" s="976" t="s">
        <v>3589</v>
      </c>
      <c r="N897" s="976">
        <v>943.25944000000004</v>
      </c>
      <c r="O897" s="735">
        <f t="shared" si="41"/>
        <v>-205.74055999999996</v>
      </c>
      <c r="P897" s="738">
        <f t="shared" si="39"/>
        <v>943259.44000000006</v>
      </c>
      <c r="Q897" s="751">
        <f t="shared" si="40"/>
        <v>943000</v>
      </c>
      <c r="U897" s="844"/>
      <c r="V897" s="988"/>
      <c r="W897" s="1024"/>
    </row>
    <row r="898" spans="1:50" s="747" customFormat="1" ht="14.25" customHeight="1">
      <c r="A898" s="976" t="s">
        <v>1322</v>
      </c>
      <c r="B898" s="976" t="s">
        <v>1263</v>
      </c>
      <c r="C898" s="977">
        <v>1846800110</v>
      </c>
      <c r="D898" s="976" t="s">
        <v>794</v>
      </c>
      <c r="E898" s="976">
        <v>150</v>
      </c>
      <c r="F898" s="976">
        <v>150</v>
      </c>
      <c r="G898" s="976">
        <v>112.5</v>
      </c>
      <c r="H898" s="976">
        <v>0</v>
      </c>
      <c r="I898" s="976"/>
      <c r="J898" s="976">
        <v>0</v>
      </c>
      <c r="K898" s="976">
        <v>0</v>
      </c>
      <c r="L898" s="978">
        <v>-112.5</v>
      </c>
      <c r="M898" s="976" t="s">
        <v>3589</v>
      </c>
      <c r="N898" s="976">
        <v>0</v>
      </c>
      <c r="O898" s="735">
        <f t="shared" si="41"/>
        <v>-150</v>
      </c>
      <c r="P898" s="738">
        <f t="shared" si="39"/>
        <v>0</v>
      </c>
      <c r="Q898" s="751">
        <f t="shared" si="40"/>
        <v>0</v>
      </c>
      <c r="U898" s="844"/>
      <c r="V898" s="988"/>
      <c r="W898" s="1024"/>
    </row>
    <row r="899" spans="1:50" s="747" customFormat="1" ht="14.25" customHeight="1">
      <c r="A899" s="976" t="s">
        <v>1322</v>
      </c>
      <c r="B899" s="976" t="s">
        <v>1263</v>
      </c>
      <c r="C899" s="977">
        <v>1849900110</v>
      </c>
      <c r="D899" s="976" t="s">
        <v>3302</v>
      </c>
      <c r="E899" s="976">
        <v>0</v>
      </c>
      <c r="F899" s="976">
        <v>0</v>
      </c>
      <c r="G899" s="976">
        <v>0</v>
      </c>
      <c r="H899" s="976">
        <v>0</v>
      </c>
      <c r="I899" s="976"/>
      <c r="J899" s="976">
        <v>0</v>
      </c>
      <c r="K899" s="976">
        <v>0</v>
      </c>
      <c r="L899" s="978">
        <v>0</v>
      </c>
      <c r="M899" s="976" t="s">
        <v>3589</v>
      </c>
      <c r="N899" s="976">
        <v>0</v>
      </c>
      <c r="O899" s="735">
        <f t="shared" si="41"/>
        <v>0</v>
      </c>
      <c r="P899" s="738">
        <f t="shared" si="39"/>
        <v>0</v>
      </c>
      <c r="Q899" s="751">
        <f t="shared" si="40"/>
        <v>0</v>
      </c>
      <c r="V899" s="988"/>
      <c r="W899" s="1024"/>
    </row>
    <row r="900" spans="1:50" s="897" customFormat="1" ht="14.25" customHeight="1">
      <c r="A900" s="981"/>
      <c r="B900" s="976" t="s">
        <v>1079</v>
      </c>
      <c r="C900" s="982"/>
      <c r="D900" s="981" t="s">
        <v>3421</v>
      </c>
      <c r="E900" s="976"/>
      <c r="F900" s="976"/>
      <c r="G900" s="976"/>
      <c r="H900" s="976"/>
      <c r="I900" s="976"/>
      <c r="J900" s="976"/>
      <c r="K900" s="981"/>
      <c r="L900" s="981"/>
      <c r="M900" s="981"/>
      <c r="N900" s="981"/>
      <c r="O900" s="735">
        <f t="shared" si="41"/>
        <v>0</v>
      </c>
      <c r="P900" s="738">
        <f t="shared" si="39"/>
        <v>0</v>
      </c>
      <c r="Q900" s="751">
        <f t="shared" si="40"/>
        <v>0</v>
      </c>
      <c r="R900" s="896"/>
      <c r="S900" s="896"/>
      <c r="T900" s="896"/>
      <c r="U900" s="855"/>
      <c r="V900" s="988"/>
      <c r="W900" s="1024"/>
      <c r="X900" s="896"/>
      <c r="Y900" s="896"/>
      <c r="Z900" s="896"/>
      <c r="AA900" s="896"/>
      <c r="AB900" s="896"/>
      <c r="AC900" s="896"/>
      <c r="AD900" s="896"/>
      <c r="AE900" s="896"/>
      <c r="AF900" s="896"/>
      <c r="AG900" s="896"/>
      <c r="AH900" s="896"/>
      <c r="AI900" s="896"/>
      <c r="AJ900" s="896"/>
      <c r="AK900" s="896"/>
      <c r="AL900" s="896"/>
      <c r="AM900" s="896"/>
      <c r="AN900" s="896"/>
      <c r="AO900" s="896"/>
      <c r="AP900" s="896"/>
      <c r="AQ900" s="896"/>
      <c r="AR900" s="896"/>
      <c r="AS900" s="896"/>
      <c r="AT900" s="896"/>
      <c r="AU900" s="896"/>
      <c r="AV900" s="896"/>
      <c r="AW900" s="896"/>
      <c r="AX900" s="896"/>
    </row>
    <row r="901" spans="1:50" s="734" customFormat="1" ht="14.25" customHeight="1">
      <c r="A901" s="979" t="s">
        <v>3577</v>
      </c>
      <c r="B901" s="976" t="s">
        <v>3862</v>
      </c>
      <c r="C901" s="980" t="s">
        <v>888</v>
      </c>
      <c r="D901" s="979" t="s">
        <v>1488</v>
      </c>
      <c r="E901" s="979">
        <v>33433.566999999995</v>
      </c>
      <c r="F901" s="979">
        <v>33433.566999999995</v>
      </c>
      <c r="G901" s="979">
        <v>25075.175250000004</v>
      </c>
      <c r="H901" s="979">
        <v>22559.49821999999</v>
      </c>
      <c r="I901" s="979">
        <v>0</v>
      </c>
      <c r="J901" s="979">
        <v>1518.1870795000013</v>
      </c>
      <c r="K901" s="979">
        <v>24077.685299499997</v>
      </c>
      <c r="L901" s="979">
        <v>-997.48995050000156</v>
      </c>
      <c r="M901" s="979">
        <v>0</v>
      </c>
      <c r="N901" s="979">
        <v>32103.580399333336</v>
      </c>
      <c r="O901" s="735">
        <f t="shared" si="41"/>
        <v>-1329.9866006666598</v>
      </c>
      <c r="P901" s="738">
        <f t="shared" si="39"/>
        <v>32103580.399333335</v>
      </c>
      <c r="Q901" s="751">
        <f t="shared" si="40"/>
        <v>32104000</v>
      </c>
      <c r="R901" s="904"/>
      <c r="S901" s="904"/>
      <c r="T901" s="904"/>
      <c r="U901" s="904"/>
      <c r="V901" s="988"/>
      <c r="W901" s="1024"/>
      <c r="X901" s="904"/>
      <c r="Y901" s="904"/>
      <c r="Z901" s="904"/>
      <c r="AA901" s="904"/>
      <c r="AB901" s="904"/>
      <c r="AC901" s="904"/>
      <c r="AD901" s="904"/>
      <c r="AE901" s="904"/>
      <c r="AF901" s="904"/>
      <c r="AG901" s="904"/>
      <c r="AH901" s="904"/>
      <c r="AI901" s="904"/>
      <c r="AJ901" s="904"/>
      <c r="AK901" s="904"/>
      <c r="AL901" s="904"/>
      <c r="AM901" s="904"/>
      <c r="AN901" s="904"/>
      <c r="AO901" s="904"/>
      <c r="AP901" s="904"/>
      <c r="AQ901" s="904"/>
      <c r="AR901" s="904"/>
      <c r="AS901" s="904"/>
      <c r="AT901" s="904"/>
      <c r="AU901" s="904"/>
      <c r="AV901" s="904"/>
      <c r="AW901" s="904"/>
      <c r="AX901" s="904"/>
    </row>
    <row r="902" spans="1:50" ht="14.25" customHeight="1">
      <c r="A902" s="1022" t="s">
        <v>1079</v>
      </c>
      <c r="B902" s="976" t="s">
        <v>1079</v>
      </c>
      <c r="C902" s="1023"/>
      <c r="D902" s="1022" t="s">
        <v>1489</v>
      </c>
      <c r="E902" s="976"/>
      <c r="F902" s="976"/>
      <c r="G902" s="976"/>
      <c r="H902" s="976"/>
      <c r="I902" s="976"/>
      <c r="J902" s="976"/>
      <c r="K902" s="1022"/>
      <c r="L902" s="1022"/>
      <c r="M902" s="1022"/>
      <c r="N902" s="1022"/>
      <c r="O902" s="735">
        <f t="shared" si="41"/>
        <v>0</v>
      </c>
      <c r="P902" s="738">
        <f t="shared" si="39"/>
        <v>0</v>
      </c>
      <c r="Q902" s="751">
        <f t="shared" si="40"/>
        <v>0</v>
      </c>
      <c r="U902" s="751"/>
      <c r="V902" s="988"/>
      <c r="W902" s="1024"/>
    </row>
    <row r="903" spans="1:50" ht="14.25" customHeight="1">
      <c r="A903" s="976" t="s">
        <v>3867</v>
      </c>
      <c r="B903" s="976" t="s">
        <v>1263</v>
      </c>
      <c r="C903" s="977">
        <v>1841000410</v>
      </c>
      <c r="D903" s="976" t="s">
        <v>304</v>
      </c>
      <c r="E903" s="976">
        <v>2147</v>
      </c>
      <c r="F903" s="976">
        <v>2147</v>
      </c>
      <c r="G903" s="976">
        <v>1610.25</v>
      </c>
      <c r="H903" s="976">
        <v>1919.8884800000001</v>
      </c>
      <c r="I903" s="976"/>
      <c r="J903" s="1032">
        <v>-394</v>
      </c>
      <c r="K903" s="976">
        <v>1525.8884800000001</v>
      </c>
      <c r="L903" s="978">
        <v>-84.361519999999928</v>
      </c>
      <c r="M903" s="976" t="s">
        <v>3589</v>
      </c>
      <c r="N903" s="976">
        <v>2034.5179733333337</v>
      </c>
      <c r="O903" s="735">
        <f t="shared" si="41"/>
        <v>-112.48202666666634</v>
      </c>
      <c r="P903" s="738">
        <f t="shared" si="39"/>
        <v>2034517.9733333336</v>
      </c>
      <c r="Q903" s="751">
        <f t="shared" si="40"/>
        <v>2035000</v>
      </c>
      <c r="U903" s="751"/>
      <c r="V903" s="988"/>
      <c r="W903" s="1024"/>
    </row>
    <row r="904" spans="1:50" ht="14.25" customHeight="1">
      <c r="A904" s="976" t="s">
        <v>3868</v>
      </c>
      <c r="B904" s="976" t="s">
        <v>1263</v>
      </c>
      <c r="C904" s="977">
        <v>1841000430</v>
      </c>
      <c r="D904" s="976" t="s">
        <v>311</v>
      </c>
      <c r="E904" s="976">
        <v>110</v>
      </c>
      <c r="F904" s="976">
        <v>110</v>
      </c>
      <c r="G904" s="976">
        <v>82.5</v>
      </c>
      <c r="H904" s="976">
        <v>74.915229999999994</v>
      </c>
      <c r="I904" s="976"/>
      <c r="J904" s="1041">
        <v>8</v>
      </c>
      <c r="K904" s="976">
        <v>82.915229999999994</v>
      </c>
      <c r="L904" s="978">
        <v>0.41522999999999399</v>
      </c>
      <c r="M904" s="976" t="s">
        <v>3589</v>
      </c>
      <c r="N904" s="976">
        <v>110.55363999999999</v>
      </c>
      <c r="O904" s="735">
        <f t="shared" si="41"/>
        <v>0.55363999999998725</v>
      </c>
      <c r="P904" s="738">
        <f t="shared" ref="P904:P967" si="42">N904*1000</f>
        <v>110553.63999999998</v>
      </c>
      <c r="Q904" s="751">
        <f t="shared" ref="Q904:Q967" si="43">ROUND(P904,-3)</f>
        <v>111000</v>
      </c>
      <c r="U904" s="751"/>
      <c r="V904" s="988"/>
      <c r="W904" s="1024"/>
    </row>
    <row r="905" spans="1:50" ht="15" customHeight="1">
      <c r="A905" s="976" t="s">
        <v>3932</v>
      </c>
      <c r="B905" s="976" t="s">
        <v>1263</v>
      </c>
      <c r="C905" s="977">
        <v>1841000450</v>
      </c>
      <c r="D905" s="976" t="s">
        <v>3422</v>
      </c>
      <c r="E905" s="976">
        <v>0</v>
      </c>
      <c r="F905" s="976">
        <v>0</v>
      </c>
      <c r="G905" s="976">
        <v>0</v>
      </c>
      <c r="H905" s="976">
        <v>0</v>
      </c>
      <c r="I905" s="976"/>
      <c r="J905" s="976"/>
      <c r="K905" s="976">
        <v>0</v>
      </c>
      <c r="L905" s="978">
        <v>0</v>
      </c>
      <c r="M905" s="976" t="s">
        <v>3589</v>
      </c>
      <c r="N905" s="976">
        <v>0</v>
      </c>
      <c r="O905" s="735">
        <f t="shared" ref="O905:O968" si="44">N905-E905</f>
        <v>0</v>
      </c>
      <c r="P905" s="738">
        <f t="shared" si="42"/>
        <v>0</v>
      </c>
      <c r="Q905" s="751">
        <f t="shared" si="43"/>
        <v>0</v>
      </c>
      <c r="U905" s="751"/>
      <c r="V905" s="988"/>
      <c r="W905" s="1024"/>
    </row>
    <row r="906" spans="1:50" ht="14.25" customHeight="1">
      <c r="A906" s="976" t="s">
        <v>3908</v>
      </c>
      <c r="B906" s="976" t="s">
        <v>1263</v>
      </c>
      <c r="C906" s="977">
        <v>1841000530</v>
      </c>
      <c r="D906" s="976" t="s">
        <v>277</v>
      </c>
      <c r="E906" s="976">
        <v>140</v>
      </c>
      <c r="F906" s="976">
        <v>140</v>
      </c>
      <c r="G906" s="976">
        <v>105</v>
      </c>
      <c r="H906" s="976">
        <v>90.10766000000001</v>
      </c>
      <c r="I906" s="976"/>
      <c r="J906" s="976"/>
      <c r="K906" s="976">
        <v>90.10766000000001</v>
      </c>
      <c r="L906" s="978">
        <v>-14.89233999999999</v>
      </c>
      <c r="M906" s="976" t="s">
        <v>3589</v>
      </c>
      <c r="N906" s="976">
        <v>120.14354666666668</v>
      </c>
      <c r="O906" s="735">
        <f t="shared" si="44"/>
        <v>-19.85645333333332</v>
      </c>
      <c r="P906" s="738">
        <f t="shared" si="42"/>
        <v>120143.54666666668</v>
      </c>
      <c r="Q906" s="751">
        <f t="shared" si="43"/>
        <v>120000</v>
      </c>
      <c r="U906" s="751"/>
      <c r="V906" s="988"/>
      <c r="W906" s="1024"/>
    </row>
    <row r="907" spans="1:50" ht="14.25" customHeight="1">
      <c r="A907" s="976" t="s">
        <v>3905</v>
      </c>
      <c r="B907" s="976" t="s">
        <v>1263</v>
      </c>
      <c r="C907" s="977">
        <v>1841000540</v>
      </c>
      <c r="D907" s="976" t="s">
        <v>279</v>
      </c>
      <c r="E907" s="976">
        <v>51</v>
      </c>
      <c r="F907" s="976">
        <v>51</v>
      </c>
      <c r="G907" s="976">
        <v>38.25</v>
      </c>
      <c r="H907" s="976">
        <v>55.565269999999998</v>
      </c>
      <c r="I907" s="976"/>
      <c r="J907" s="976"/>
      <c r="K907" s="976">
        <v>55.565269999999998</v>
      </c>
      <c r="L907" s="978">
        <v>17.315269999999998</v>
      </c>
      <c r="M907" s="976" t="s">
        <v>3589</v>
      </c>
      <c r="N907" s="976">
        <v>74.087026666666659</v>
      </c>
      <c r="O907" s="735">
        <f t="shared" si="44"/>
        <v>23.087026666666659</v>
      </c>
      <c r="P907" s="738">
        <f t="shared" si="42"/>
        <v>74087.026666666658</v>
      </c>
      <c r="Q907" s="751">
        <f t="shared" si="43"/>
        <v>74000</v>
      </c>
      <c r="U907" s="751"/>
      <c r="V907" s="988"/>
      <c r="W907" s="1024"/>
    </row>
    <row r="908" spans="1:50" ht="14.25" customHeight="1">
      <c r="A908" s="976" t="s">
        <v>3922</v>
      </c>
      <c r="B908" s="976" t="s">
        <v>1263</v>
      </c>
      <c r="C908" s="977">
        <v>1841000550</v>
      </c>
      <c r="D908" s="976" t="s">
        <v>318</v>
      </c>
      <c r="E908" s="976">
        <v>0</v>
      </c>
      <c r="F908" s="976">
        <v>0</v>
      </c>
      <c r="G908" s="976">
        <v>0</v>
      </c>
      <c r="H908" s="976">
        <v>0</v>
      </c>
      <c r="I908" s="976"/>
      <c r="J908" s="976"/>
      <c r="K908" s="976">
        <v>0</v>
      </c>
      <c r="L908" s="978">
        <v>0</v>
      </c>
      <c r="M908" s="976" t="s">
        <v>3589</v>
      </c>
      <c r="N908" s="976">
        <v>0</v>
      </c>
      <c r="O908" s="735">
        <f t="shared" si="44"/>
        <v>0</v>
      </c>
      <c r="P908" s="738">
        <f t="shared" si="42"/>
        <v>0</v>
      </c>
      <c r="Q908" s="751">
        <f t="shared" si="43"/>
        <v>0</v>
      </c>
      <c r="U908" s="751"/>
      <c r="V908" s="988"/>
      <c r="W908" s="1024"/>
    </row>
    <row r="909" spans="1:50" ht="14.25" customHeight="1">
      <c r="A909" s="976" t="s">
        <v>3913</v>
      </c>
      <c r="B909" s="976"/>
      <c r="C909" s="977">
        <v>1841000750</v>
      </c>
      <c r="D909" s="976" t="s">
        <v>288</v>
      </c>
      <c r="E909" s="976">
        <v>450</v>
      </c>
      <c r="F909" s="976">
        <v>450</v>
      </c>
      <c r="G909" s="976">
        <v>337.5</v>
      </c>
      <c r="H909" s="976">
        <v>173.55957999999998</v>
      </c>
      <c r="I909" s="976"/>
      <c r="J909" s="976"/>
      <c r="K909" s="976">
        <v>173.55957999999998</v>
      </c>
      <c r="L909" s="978">
        <v>-163.94042000000002</v>
      </c>
      <c r="M909" s="976" t="s">
        <v>3589</v>
      </c>
      <c r="N909" s="976">
        <v>231.41277333333332</v>
      </c>
      <c r="O909" s="735">
        <f t="shared" si="44"/>
        <v>-218.58722666666668</v>
      </c>
      <c r="P909" s="738">
        <f t="shared" si="42"/>
        <v>231412.77333333332</v>
      </c>
      <c r="Q909" s="751">
        <f t="shared" si="43"/>
        <v>231000</v>
      </c>
      <c r="U909" s="751"/>
      <c r="V909" s="988"/>
      <c r="W909" s="1024"/>
    </row>
    <row r="910" spans="1:50" ht="14.25" customHeight="1">
      <c r="A910" s="976" t="s">
        <v>3909</v>
      </c>
      <c r="B910" s="976" t="s">
        <v>1263</v>
      </c>
      <c r="C910" s="977">
        <v>1841000780</v>
      </c>
      <c r="D910" s="976" t="s">
        <v>280</v>
      </c>
      <c r="E910" s="976">
        <v>100</v>
      </c>
      <c r="F910" s="976">
        <v>100</v>
      </c>
      <c r="G910" s="976">
        <v>75</v>
      </c>
      <c r="H910" s="976">
        <v>78.073509999999999</v>
      </c>
      <c r="I910" s="976"/>
      <c r="J910" s="1032">
        <v>-3</v>
      </c>
      <c r="K910" s="976">
        <v>75.073509999999999</v>
      </c>
      <c r="L910" s="978">
        <v>7.3509999999998854E-2</v>
      </c>
      <c r="M910" s="976" t="s">
        <v>3589</v>
      </c>
      <c r="N910" s="976">
        <v>100.09801333333333</v>
      </c>
      <c r="O910" s="735">
        <f t="shared" si="44"/>
        <v>9.8013333333327068E-2</v>
      </c>
      <c r="P910" s="738">
        <f t="shared" si="42"/>
        <v>100098.01333333332</v>
      </c>
      <c r="Q910" s="751">
        <f t="shared" si="43"/>
        <v>100000</v>
      </c>
      <c r="U910" s="751"/>
      <c r="V910" s="988"/>
      <c r="W910" s="1024"/>
    </row>
    <row r="911" spans="1:50" ht="14.25" customHeight="1">
      <c r="A911" s="976" t="s">
        <v>3912</v>
      </c>
      <c r="B911" s="976" t="s">
        <v>1263</v>
      </c>
      <c r="C911" s="977">
        <v>1841000781</v>
      </c>
      <c r="D911" s="976" t="s">
        <v>714</v>
      </c>
      <c r="E911" s="976">
        <v>215</v>
      </c>
      <c r="F911" s="976">
        <v>215</v>
      </c>
      <c r="G911" s="976">
        <v>161.25</v>
      </c>
      <c r="H911" s="976">
        <v>184.9956</v>
      </c>
      <c r="I911" s="976"/>
      <c r="J911" s="1032">
        <v>-24</v>
      </c>
      <c r="K911" s="976">
        <v>160.9956</v>
      </c>
      <c r="L911" s="978">
        <v>-0.25440000000000396</v>
      </c>
      <c r="M911" s="976" t="s">
        <v>3589</v>
      </c>
      <c r="N911" s="976">
        <v>214.66079999999999</v>
      </c>
      <c r="O911" s="735">
        <f t="shared" si="44"/>
        <v>-0.33920000000000528</v>
      </c>
      <c r="P911" s="738">
        <f t="shared" si="42"/>
        <v>214660.8</v>
      </c>
      <c r="Q911" s="751">
        <f t="shared" si="43"/>
        <v>215000</v>
      </c>
      <c r="U911" s="751"/>
      <c r="V911" s="988"/>
      <c r="W911" s="1024"/>
    </row>
    <row r="912" spans="1:50" ht="14.25" customHeight="1">
      <c r="A912" s="976" t="s">
        <v>3920</v>
      </c>
      <c r="B912" s="976" t="s">
        <v>1263</v>
      </c>
      <c r="C912" s="977">
        <v>1841000782</v>
      </c>
      <c r="D912" s="976" t="s">
        <v>3423</v>
      </c>
      <c r="E912" s="976">
        <v>0</v>
      </c>
      <c r="F912" s="976">
        <v>0</v>
      </c>
      <c r="G912" s="976">
        <v>0</v>
      </c>
      <c r="H912" s="976">
        <v>0</v>
      </c>
      <c r="I912" s="976"/>
      <c r="J912" s="976"/>
      <c r="K912" s="976">
        <v>0</v>
      </c>
      <c r="L912" s="978">
        <v>0</v>
      </c>
      <c r="M912" s="976" t="s">
        <v>3589</v>
      </c>
      <c r="N912" s="976">
        <v>0</v>
      </c>
      <c r="O912" s="735">
        <f t="shared" si="44"/>
        <v>0</v>
      </c>
      <c r="P912" s="738">
        <f t="shared" si="42"/>
        <v>0</v>
      </c>
      <c r="Q912" s="751">
        <f t="shared" si="43"/>
        <v>0</v>
      </c>
      <c r="U912" s="751"/>
      <c r="V912" s="988"/>
      <c r="W912" s="1024"/>
    </row>
    <row r="913" spans="1:23" ht="14.25" customHeight="1">
      <c r="A913" s="976"/>
      <c r="B913" s="976" t="s">
        <v>1263</v>
      </c>
      <c r="C913" s="977">
        <v>1841000783</v>
      </c>
      <c r="D913" s="976" t="s">
        <v>2516</v>
      </c>
      <c r="E913" s="976">
        <v>0</v>
      </c>
      <c r="F913" s="976">
        <v>0</v>
      </c>
      <c r="G913" s="976">
        <v>0</v>
      </c>
      <c r="H913" s="976">
        <v>0</v>
      </c>
      <c r="I913" s="976"/>
      <c r="J913" s="976"/>
      <c r="K913" s="976">
        <v>0</v>
      </c>
      <c r="L913" s="978">
        <v>0</v>
      </c>
      <c r="M913" s="976" t="s">
        <v>3589</v>
      </c>
      <c r="N913" s="976">
        <v>0</v>
      </c>
      <c r="O913" s="735">
        <f t="shared" si="44"/>
        <v>0</v>
      </c>
      <c r="P913" s="738">
        <f t="shared" si="42"/>
        <v>0</v>
      </c>
      <c r="Q913" s="751">
        <f t="shared" si="43"/>
        <v>0</v>
      </c>
      <c r="U913" s="751"/>
      <c r="V913" s="988"/>
      <c r="W913" s="1024"/>
    </row>
    <row r="914" spans="1:23" ht="14.25" customHeight="1">
      <c r="A914" s="976" t="s">
        <v>3937</v>
      </c>
      <c r="B914" s="976" t="s">
        <v>1263</v>
      </c>
      <c r="C914" s="977">
        <v>1842200820</v>
      </c>
      <c r="D914" s="976" t="s">
        <v>717</v>
      </c>
      <c r="E914" s="976">
        <v>182</v>
      </c>
      <c r="F914" s="976">
        <v>182</v>
      </c>
      <c r="G914" s="976">
        <v>136.5</v>
      </c>
      <c r="H914" s="976">
        <v>67.766249999999999</v>
      </c>
      <c r="I914" s="976"/>
      <c r="J914" s="1041">
        <v>315</v>
      </c>
      <c r="K914" s="976">
        <v>382.76625000000001</v>
      </c>
      <c r="L914" s="978">
        <v>246.26625000000001</v>
      </c>
      <c r="M914" s="976" t="s">
        <v>3857</v>
      </c>
      <c r="N914" s="976">
        <v>510.35499999999996</v>
      </c>
      <c r="O914" s="735">
        <f t="shared" si="44"/>
        <v>328.35499999999996</v>
      </c>
      <c r="P914" s="738">
        <f t="shared" si="42"/>
        <v>510354.99999999994</v>
      </c>
      <c r="Q914" s="751">
        <f t="shared" si="43"/>
        <v>510000</v>
      </c>
      <c r="U914" s="751"/>
      <c r="V914" s="988"/>
      <c r="W914" s="1024"/>
    </row>
    <row r="915" spans="1:23" ht="14.25" customHeight="1">
      <c r="A915" s="976" t="s">
        <v>3942</v>
      </c>
      <c r="B915" s="976" t="s">
        <v>1263</v>
      </c>
      <c r="C915" s="977">
        <v>1842200821</v>
      </c>
      <c r="D915" s="976" t="s">
        <v>121</v>
      </c>
      <c r="E915" s="976">
        <v>440</v>
      </c>
      <c r="F915" s="976">
        <v>440</v>
      </c>
      <c r="G915" s="976">
        <v>330</v>
      </c>
      <c r="H915" s="976">
        <v>287.87900000000002</v>
      </c>
      <c r="I915" s="976"/>
      <c r="J915" s="1032">
        <v>-47</v>
      </c>
      <c r="K915" s="976">
        <v>240.87900000000002</v>
      </c>
      <c r="L915" s="978">
        <v>-89.120999999999981</v>
      </c>
      <c r="M915" s="976" t="s">
        <v>3589</v>
      </c>
      <c r="N915" s="976">
        <v>321.17200000000003</v>
      </c>
      <c r="O915" s="735">
        <f t="shared" si="44"/>
        <v>-118.82799999999997</v>
      </c>
      <c r="P915" s="738">
        <f t="shared" si="42"/>
        <v>321172</v>
      </c>
      <c r="Q915" s="751">
        <f t="shared" si="43"/>
        <v>321000</v>
      </c>
      <c r="U915" s="751"/>
      <c r="V915" s="988"/>
      <c r="W915" s="1024"/>
    </row>
    <row r="916" spans="1:23" ht="14.25" customHeight="1">
      <c r="A916" s="976" t="s">
        <v>3947</v>
      </c>
      <c r="B916" s="976"/>
      <c r="C916" s="977">
        <v>1842200822</v>
      </c>
      <c r="D916" s="976" t="s">
        <v>3424</v>
      </c>
      <c r="E916" s="976">
        <v>0</v>
      </c>
      <c r="F916" s="976">
        <v>0</v>
      </c>
      <c r="G916" s="976">
        <v>0</v>
      </c>
      <c r="H916" s="976">
        <v>5.3719999999999999</v>
      </c>
      <c r="I916" s="976"/>
      <c r="J916" s="1032">
        <v>-5</v>
      </c>
      <c r="K916" s="976">
        <v>0.37199999999999989</v>
      </c>
      <c r="L916" s="978">
        <v>0.37199999999999989</v>
      </c>
      <c r="M916" s="976" t="s">
        <v>3589</v>
      </c>
      <c r="N916" s="976">
        <v>0.49599999999999983</v>
      </c>
      <c r="O916" s="735">
        <f t="shared" si="44"/>
        <v>0.49599999999999983</v>
      </c>
      <c r="P916" s="738">
        <f t="shared" si="42"/>
        <v>495.99999999999983</v>
      </c>
      <c r="Q916" s="751">
        <f t="shared" si="43"/>
        <v>0</v>
      </c>
      <c r="U916" s="751"/>
      <c r="V916" s="988"/>
      <c r="W916" s="1024"/>
    </row>
    <row r="917" spans="1:23" ht="14.25" customHeight="1">
      <c r="A917" s="976" t="s">
        <v>3948</v>
      </c>
      <c r="B917" s="976" t="s">
        <v>1263</v>
      </c>
      <c r="C917" s="977">
        <v>1842200824</v>
      </c>
      <c r="D917" s="976" t="s">
        <v>123</v>
      </c>
      <c r="E917" s="976">
        <v>833</v>
      </c>
      <c r="F917" s="976">
        <v>833</v>
      </c>
      <c r="G917" s="976">
        <v>624.75</v>
      </c>
      <c r="H917" s="976">
        <v>555.89</v>
      </c>
      <c r="I917" s="976"/>
      <c r="J917" s="1041">
        <v>73</v>
      </c>
      <c r="K917" s="976">
        <v>628.89</v>
      </c>
      <c r="L917" s="978">
        <v>4.1399999999999864</v>
      </c>
      <c r="M917" s="976" t="s">
        <v>3589</v>
      </c>
      <c r="N917" s="976">
        <v>838.52</v>
      </c>
      <c r="O917" s="735">
        <f t="shared" si="44"/>
        <v>5.5199999999999818</v>
      </c>
      <c r="P917" s="738">
        <f t="shared" si="42"/>
        <v>838520</v>
      </c>
      <c r="Q917" s="751">
        <f t="shared" si="43"/>
        <v>839000</v>
      </c>
      <c r="U917" s="751"/>
      <c r="V917" s="988"/>
      <c r="W917" s="1024"/>
    </row>
    <row r="918" spans="1:23" ht="14.25" customHeight="1">
      <c r="A918" s="976" t="s">
        <v>3949</v>
      </c>
      <c r="B918" s="976" t="s">
        <v>1263</v>
      </c>
      <c r="C918" s="977">
        <v>1842200825</v>
      </c>
      <c r="D918" s="976" t="s">
        <v>3231</v>
      </c>
      <c r="E918" s="976">
        <v>0</v>
      </c>
      <c r="F918" s="976">
        <v>0</v>
      </c>
      <c r="G918" s="976">
        <v>0</v>
      </c>
      <c r="H918" s="976">
        <v>0</v>
      </c>
      <c r="I918" s="976"/>
      <c r="J918" s="976"/>
      <c r="K918" s="976">
        <v>0</v>
      </c>
      <c r="L918" s="978">
        <v>0</v>
      </c>
      <c r="M918" s="976" t="s">
        <v>3589</v>
      </c>
      <c r="N918" s="976">
        <v>0</v>
      </c>
      <c r="O918" s="735">
        <f t="shared" si="44"/>
        <v>0</v>
      </c>
      <c r="P918" s="738">
        <f t="shared" si="42"/>
        <v>0</v>
      </c>
      <c r="Q918" s="751">
        <f t="shared" si="43"/>
        <v>0</v>
      </c>
      <c r="U918" s="751"/>
      <c r="V918" s="988"/>
      <c r="W918" s="1024"/>
    </row>
    <row r="919" spans="1:23" ht="14.25" customHeight="1">
      <c r="A919" s="976" t="s">
        <v>3950</v>
      </c>
      <c r="B919" s="976" t="s">
        <v>1263</v>
      </c>
      <c r="C919" s="977">
        <v>1842200828</v>
      </c>
      <c r="D919" s="976" t="s">
        <v>115</v>
      </c>
      <c r="E919" s="976">
        <v>260</v>
      </c>
      <c r="F919" s="976">
        <v>260</v>
      </c>
      <c r="G919" s="976">
        <v>195</v>
      </c>
      <c r="H919" s="976">
        <v>86.357089999999999</v>
      </c>
      <c r="I919" s="976"/>
      <c r="J919" s="1041">
        <v>109</v>
      </c>
      <c r="K919" s="976">
        <v>195.35709</v>
      </c>
      <c r="L919" s="978">
        <v>0.35708999999999946</v>
      </c>
      <c r="M919" s="976" t="s">
        <v>3589</v>
      </c>
      <c r="N919" s="976">
        <v>260.47612000000004</v>
      </c>
      <c r="O919" s="735">
        <f t="shared" si="44"/>
        <v>0.47612000000003718</v>
      </c>
      <c r="P919" s="738">
        <f t="shared" si="42"/>
        <v>260476.12000000002</v>
      </c>
      <c r="Q919" s="751">
        <f t="shared" si="43"/>
        <v>260000</v>
      </c>
      <c r="U919" s="751"/>
      <c r="V919" s="988"/>
      <c r="W919" s="1024"/>
    </row>
    <row r="920" spans="1:23" ht="14.25" customHeight="1">
      <c r="A920" s="976" t="s">
        <v>3951</v>
      </c>
      <c r="B920" s="976" t="s">
        <v>1263</v>
      </c>
      <c r="C920" s="977">
        <v>1842200829</v>
      </c>
      <c r="D920" s="976" t="s">
        <v>125</v>
      </c>
      <c r="E920" s="976">
        <v>240.5</v>
      </c>
      <c r="F920" s="976">
        <v>240.5</v>
      </c>
      <c r="G920" s="976">
        <v>180.375</v>
      </c>
      <c r="H920" s="976">
        <v>104.12519</v>
      </c>
      <c r="I920" s="976"/>
      <c r="J920" s="1041">
        <v>78</v>
      </c>
      <c r="K920" s="976">
        <v>182.12519</v>
      </c>
      <c r="L920" s="978">
        <v>1.7501900000000035</v>
      </c>
      <c r="M920" s="976" t="s">
        <v>3589</v>
      </c>
      <c r="N920" s="976">
        <v>242.83358666666669</v>
      </c>
      <c r="O920" s="735">
        <f t="shared" si="44"/>
        <v>2.3335866666666902</v>
      </c>
      <c r="P920" s="738">
        <f t="shared" si="42"/>
        <v>242833.5866666667</v>
      </c>
      <c r="Q920" s="751">
        <f t="shared" si="43"/>
        <v>243000</v>
      </c>
      <c r="U920" s="751"/>
      <c r="V920" s="988"/>
      <c r="W920" s="1024"/>
    </row>
    <row r="921" spans="1:23" ht="14.25" customHeight="1">
      <c r="A921" s="976" t="s">
        <v>3942</v>
      </c>
      <c r="B921" s="976" t="s">
        <v>1263</v>
      </c>
      <c r="C921" s="977">
        <v>1842400821</v>
      </c>
      <c r="D921" s="976" t="s">
        <v>3425</v>
      </c>
      <c r="E921" s="976">
        <v>0</v>
      </c>
      <c r="F921" s="976">
        <v>0</v>
      </c>
      <c r="G921" s="976">
        <v>0</v>
      </c>
      <c r="H921" s="976">
        <v>0</v>
      </c>
      <c r="I921" s="976"/>
      <c r="J921" s="976"/>
      <c r="K921" s="976">
        <v>0</v>
      </c>
      <c r="L921" s="978">
        <v>0</v>
      </c>
      <c r="M921" s="976" t="s">
        <v>3589</v>
      </c>
      <c r="N921" s="976">
        <v>0</v>
      </c>
      <c r="O921" s="735">
        <f t="shared" si="44"/>
        <v>0</v>
      </c>
      <c r="P921" s="738">
        <f t="shared" si="42"/>
        <v>0</v>
      </c>
      <c r="Q921" s="751">
        <f t="shared" si="43"/>
        <v>0</v>
      </c>
      <c r="U921" s="751"/>
      <c r="V921" s="988"/>
      <c r="W921" s="1024"/>
    </row>
    <row r="922" spans="1:23" ht="14.25" customHeight="1">
      <c r="A922" s="976" t="s">
        <v>3947</v>
      </c>
      <c r="B922" s="976" t="s">
        <v>1263</v>
      </c>
      <c r="C922" s="977">
        <v>1842400822</v>
      </c>
      <c r="D922" s="976" t="s">
        <v>723</v>
      </c>
      <c r="E922" s="976">
        <v>419</v>
      </c>
      <c r="F922" s="976">
        <v>419</v>
      </c>
      <c r="G922" s="976">
        <v>314.25</v>
      </c>
      <c r="H922" s="976">
        <v>227.95438000000001</v>
      </c>
      <c r="I922" s="976"/>
      <c r="J922" s="1041">
        <v>86</v>
      </c>
      <c r="K922" s="976">
        <v>313.95438000000001</v>
      </c>
      <c r="L922" s="978">
        <v>-0.29561999999998534</v>
      </c>
      <c r="M922" s="976" t="s">
        <v>3589</v>
      </c>
      <c r="N922" s="976">
        <v>418.60584</v>
      </c>
      <c r="O922" s="735">
        <f t="shared" si="44"/>
        <v>-0.3941599999999994</v>
      </c>
      <c r="P922" s="738">
        <f t="shared" si="42"/>
        <v>418605.84</v>
      </c>
      <c r="Q922" s="751">
        <f t="shared" si="43"/>
        <v>419000</v>
      </c>
      <c r="U922" s="751"/>
      <c r="V922" s="988"/>
      <c r="W922" s="1024"/>
    </row>
    <row r="923" spans="1:23" ht="14.25" customHeight="1">
      <c r="A923" s="976" t="s">
        <v>3952</v>
      </c>
      <c r="B923" s="976" t="s">
        <v>1263</v>
      </c>
      <c r="C923" s="977">
        <v>1842400823</v>
      </c>
      <c r="D923" s="976" t="s">
        <v>122</v>
      </c>
      <c r="E923" s="976">
        <v>108</v>
      </c>
      <c r="F923" s="976">
        <v>108</v>
      </c>
      <c r="G923" s="976">
        <v>81</v>
      </c>
      <c r="H923" s="976">
        <v>161.34399999999999</v>
      </c>
      <c r="I923" s="976"/>
      <c r="J923" s="1032">
        <v>-80</v>
      </c>
      <c r="K923" s="976">
        <v>81.343999999999994</v>
      </c>
      <c r="L923" s="978">
        <v>0.34399999999999409</v>
      </c>
      <c r="M923" s="976" t="s">
        <v>3589</v>
      </c>
      <c r="N923" s="976">
        <v>108.45866666666666</v>
      </c>
      <c r="O923" s="735">
        <f t="shared" si="44"/>
        <v>0.45866666666665878</v>
      </c>
      <c r="P923" s="738">
        <f t="shared" si="42"/>
        <v>108458.66666666666</v>
      </c>
      <c r="Q923" s="751">
        <f t="shared" si="43"/>
        <v>108000</v>
      </c>
      <c r="U923" s="751"/>
      <c r="V923" s="988"/>
      <c r="W923" s="1024"/>
    </row>
    <row r="924" spans="1:23" ht="14.25" customHeight="1">
      <c r="A924" s="976" t="s">
        <v>3948</v>
      </c>
      <c r="B924" s="976" t="s">
        <v>1263</v>
      </c>
      <c r="C924" s="977">
        <v>1842400824</v>
      </c>
      <c r="D924" s="976" t="s">
        <v>3233</v>
      </c>
      <c r="E924" s="976">
        <v>0</v>
      </c>
      <c r="F924" s="976">
        <v>0</v>
      </c>
      <c r="G924" s="976">
        <v>0</v>
      </c>
      <c r="H924" s="976">
        <v>0</v>
      </c>
      <c r="I924" s="976"/>
      <c r="J924" s="976"/>
      <c r="K924" s="976">
        <v>0</v>
      </c>
      <c r="L924" s="978">
        <v>0</v>
      </c>
      <c r="M924" s="976" t="s">
        <v>3589</v>
      </c>
      <c r="N924" s="976">
        <v>0</v>
      </c>
      <c r="O924" s="735">
        <f t="shared" si="44"/>
        <v>0</v>
      </c>
      <c r="P924" s="738">
        <f t="shared" si="42"/>
        <v>0</v>
      </c>
      <c r="Q924" s="751">
        <f t="shared" si="43"/>
        <v>0</v>
      </c>
      <c r="U924" s="751"/>
      <c r="V924" s="988"/>
      <c r="W924" s="1024"/>
    </row>
    <row r="925" spans="1:23" ht="14.25" customHeight="1">
      <c r="A925" s="976" t="s">
        <v>3949</v>
      </c>
      <c r="B925" s="976" t="s">
        <v>1263</v>
      </c>
      <c r="C925" s="977">
        <v>1842400825</v>
      </c>
      <c r="D925" s="976" t="s">
        <v>3426</v>
      </c>
      <c r="E925" s="976">
        <v>0</v>
      </c>
      <c r="F925" s="976">
        <v>0</v>
      </c>
      <c r="G925" s="976">
        <v>0</v>
      </c>
      <c r="H925" s="976">
        <v>0</v>
      </c>
      <c r="I925" s="976"/>
      <c r="J925" s="976"/>
      <c r="K925" s="976">
        <v>0</v>
      </c>
      <c r="L925" s="978">
        <v>0</v>
      </c>
      <c r="M925" s="976" t="s">
        <v>3589</v>
      </c>
      <c r="N925" s="976">
        <v>0</v>
      </c>
      <c r="O925" s="735">
        <f t="shared" si="44"/>
        <v>0</v>
      </c>
      <c r="P925" s="738">
        <f t="shared" si="42"/>
        <v>0</v>
      </c>
      <c r="Q925" s="751">
        <f t="shared" si="43"/>
        <v>0</v>
      </c>
      <c r="U925" s="751"/>
      <c r="V925" s="988"/>
      <c r="W925" s="1024"/>
    </row>
    <row r="926" spans="1:23" ht="14.25" customHeight="1">
      <c r="A926" s="976" t="s">
        <v>3937</v>
      </c>
      <c r="B926" s="976"/>
      <c r="C926" s="977">
        <v>1842600820</v>
      </c>
      <c r="D926" s="976" t="s">
        <v>1543</v>
      </c>
      <c r="E926" s="976">
        <v>124</v>
      </c>
      <c r="F926" s="976">
        <v>124</v>
      </c>
      <c r="G926" s="976">
        <v>93</v>
      </c>
      <c r="H926" s="976">
        <v>1.1240000000000001</v>
      </c>
      <c r="I926" s="976"/>
      <c r="J926" s="1041">
        <v>5</v>
      </c>
      <c r="K926" s="976">
        <v>6.1240000000000006</v>
      </c>
      <c r="L926" s="978">
        <v>-86.876000000000005</v>
      </c>
      <c r="M926" s="976" t="s">
        <v>3589</v>
      </c>
      <c r="N926" s="976">
        <v>8.1653333333333329</v>
      </c>
      <c r="O926" s="735">
        <f t="shared" si="44"/>
        <v>-115.83466666666666</v>
      </c>
      <c r="P926" s="738">
        <f t="shared" si="42"/>
        <v>8165.333333333333</v>
      </c>
      <c r="Q926" s="751">
        <f t="shared" si="43"/>
        <v>8000</v>
      </c>
      <c r="U926" s="751"/>
      <c r="V926" s="988"/>
      <c r="W926" s="1024"/>
    </row>
    <row r="927" spans="1:23" ht="14.25" customHeight="1">
      <c r="A927" s="976" t="s">
        <v>3942</v>
      </c>
      <c r="B927" s="976" t="s">
        <v>1263</v>
      </c>
      <c r="C927" s="977">
        <v>1843500821</v>
      </c>
      <c r="D927" s="976" t="s">
        <v>128</v>
      </c>
      <c r="E927" s="976">
        <v>88</v>
      </c>
      <c r="F927" s="976">
        <v>88</v>
      </c>
      <c r="G927" s="976">
        <v>66</v>
      </c>
      <c r="H927" s="976">
        <v>61.750099999999996</v>
      </c>
      <c r="I927" s="976"/>
      <c r="J927" s="1041">
        <v>4</v>
      </c>
      <c r="K927" s="976">
        <v>65.750100000000003</v>
      </c>
      <c r="L927" s="978">
        <v>-0.24989999999999668</v>
      </c>
      <c r="M927" s="976" t="s">
        <v>3589</v>
      </c>
      <c r="N927" s="976">
        <v>87.666800000000009</v>
      </c>
      <c r="O927" s="735">
        <f t="shared" si="44"/>
        <v>-0.33319999999999084</v>
      </c>
      <c r="P927" s="738">
        <f t="shared" si="42"/>
        <v>87666.8</v>
      </c>
      <c r="Q927" s="751">
        <f t="shared" si="43"/>
        <v>88000</v>
      </c>
      <c r="U927" s="751"/>
      <c r="V927" s="988"/>
      <c r="W927" s="1024"/>
    </row>
    <row r="928" spans="1:23" ht="14.25" customHeight="1">
      <c r="A928" s="976" t="s">
        <v>3947</v>
      </c>
      <c r="B928" s="976" t="s">
        <v>1263</v>
      </c>
      <c r="C928" s="977">
        <v>1843500822</v>
      </c>
      <c r="D928" s="976" t="s">
        <v>730</v>
      </c>
      <c r="E928" s="976">
        <v>148</v>
      </c>
      <c r="F928" s="976">
        <v>148</v>
      </c>
      <c r="G928" s="976">
        <v>111</v>
      </c>
      <c r="H928" s="976">
        <v>33.158499999999997</v>
      </c>
      <c r="I928" s="976"/>
      <c r="J928" s="1041">
        <v>78</v>
      </c>
      <c r="K928" s="976">
        <v>111.1585</v>
      </c>
      <c r="L928" s="978">
        <v>0.15850000000000364</v>
      </c>
      <c r="M928" s="976" t="s">
        <v>3589</v>
      </c>
      <c r="N928" s="976">
        <v>148.21133333333333</v>
      </c>
      <c r="O928" s="735">
        <f t="shared" si="44"/>
        <v>0.21133333333332871</v>
      </c>
      <c r="P928" s="738">
        <f t="shared" si="42"/>
        <v>148211.33333333334</v>
      </c>
      <c r="Q928" s="751">
        <f t="shared" si="43"/>
        <v>148000</v>
      </c>
      <c r="U928" s="751"/>
      <c r="V928" s="988"/>
      <c r="W928" s="1024"/>
    </row>
    <row r="929" spans="1:23" ht="14.25" customHeight="1">
      <c r="A929" s="976" t="s">
        <v>3952</v>
      </c>
      <c r="B929" s="976" t="s">
        <v>1263</v>
      </c>
      <c r="C929" s="977">
        <v>1843500823</v>
      </c>
      <c r="D929" s="976" t="s">
        <v>130</v>
      </c>
      <c r="E929" s="976">
        <v>1147</v>
      </c>
      <c r="F929" s="976">
        <v>1147</v>
      </c>
      <c r="G929" s="976">
        <v>860.25</v>
      </c>
      <c r="H929" s="976">
        <v>932.97718999999995</v>
      </c>
      <c r="I929" s="976"/>
      <c r="J929" s="1032">
        <v>-73</v>
      </c>
      <c r="K929" s="976">
        <v>859.97718999999995</v>
      </c>
      <c r="L929" s="978">
        <v>-0.27281000000004951</v>
      </c>
      <c r="M929" s="976" t="s">
        <v>3589</v>
      </c>
      <c r="N929" s="976">
        <v>1146.6362533333331</v>
      </c>
      <c r="O929" s="735">
        <f t="shared" si="44"/>
        <v>-0.36374666666688427</v>
      </c>
      <c r="P929" s="738">
        <f t="shared" si="42"/>
        <v>1146636.2533333332</v>
      </c>
      <c r="Q929" s="751">
        <f t="shared" si="43"/>
        <v>1147000</v>
      </c>
      <c r="U929" s="751"/>
      <c r="V929" s="988"/>
      <c r="W929" s="1024"/>
    </row>
    <row r="930" spans="1:23" ht="14.25" customHeight="1">
      <c r="A930" s="976" t="s">
        <v>3949</v>
      </c>
      <c r="B930" s="976" t="s">
        <v>1263</v>
      </c>
      <c r="C930" s="977">
        <v>1843500825</v>
      </c>
      <c r="D930" s="976" t="s">
        <v>733</v>
      </c>
      <c r="E930" s="976">
        <v>300</v>
      </c>
      <c r="F930" s="976">
        <v>300</v>
      </c>
      <c r="G930" s="976">
        <v>225</v>
      </c>
      <c r="H930" s="976">
        <v>404.01499999999999</v>
      </c>
      <c r="I930" s="976"/>
      <c r="J930" s="1032">
        <v>-179</v>
      </c>
      <c r="K930" s="976">
        <v>225.01499999999999</v>
      </c>
      <c r="L930" s="978">
        <v>1.4999999999986358E-2</v>
      </c>
      <c r="M930" s="976" t="s">
        <v>3589</v>
      </c>
      <c r="N930" s="976">
        <v>300.02</v>
      </c>
      <c r="O930" s="735">
        <f t="shared" si="44"/>
        <v>1.999999999998181E-2</v>
      </c>
      <c r="P930" s="738">
        <f t="shared" si="42"/>
        <v>300020</v>
      </c>
      <c r="Q930" s="751">
        <f t="shared" si="43"/>
        <v>300000</v>
      </c>
      <c r="U930" s="751"/>
      <c r="V930" s="988"/>
      <c r="W930" s="1024"/>
    </row>
    <row r="931" spans="1:23" ht="14.25" customHeight="1">
      <c r="A931" s="976" t="s">
        <v>3947</v>
      </c>
      <c r="B931" s="976" t="s">
        <v>1263</v>
      </c>
      <c r="C931" s="977">
        <v>1843700822</v>
      </c>
      <c r="D931" s="1025" t="s">
        <v>138</v>
      </c>
      <c r="E931" s="976">
        <v>151</v>
      </c>
      <c r="F931" s="976">
        <v>151</v>
      </c>
      <c r="G931" s="976">
        <v>113.25</v>
      </c>
      <c r="H931" s="976">
        <v>91.082899999999995</v>
      </c>
      <c r="I931" s="976"/>
      <c r="J931" s="1032">
        <v>-16</v>
      </c>
      <c r="K931" s="976">
        <v>75.082899999999995</v>
      </c>
      <c r="L931" s="978">
        <v>-38.167100000000005</v>
      </c>
      <c r="M931" s="976" t="s">
        <v>3589</v>
      </c>
      <c r="N931" s="976">
        <v>100.11053333333332</v>
      </c>
      <c r="O931" s="735">
        <f t="shared" si="44"/>
        <v>-50.889466666666678</v>
      </c>
      <c r="P931" s="738">
        <f t="shared" si="42"/>
        <v>100110.53333333333</v>
      </c>
      <c r="Q931" s="751">
        <f t="shared" si="43"/>
        <v>100000</v>
      </c>
      <c r="U931" s="751"/>
      <c r="V931" s="988"/>
      <c r="W931" s="1024"/>
    </row>
    <row r="932" spans="1:23" ht="14.25" customHeight="1">
      <c r="A932" s="976" t="s">
        <v>3937</v>
      </c>
      <c r="B932" s="976" t="s">
        <v>1263</v>
      </c>
      <c r="C932" s="977">
        <v>1843800820</v>
      </c>
      <c r="D932" s="976" t="s">
        <v>738</v>
      </c>
      <c r="E932" s="976">
        <v>16120</v>
      </c>
      <c r="F932" s="976">
        <v>16120</v>
      </c>
      <c r="G932" s="976">
        <v>12090</v>
      </c>
      <c r="H932" s="976">
        <v>11217.386</v>
      </c>
      <c r="I932" s="976"/>
      <c r="J932" s="1032">
        <v>-3</v>
      </c>
      <c r="K932" s="976">
        <v>11214.386</v>
      </c>
      <c r="L932" s="978">
        <v>-875.61399999999958</v>
      </c>
      <c r="M932" s="976" t="s">
        <v>3589</v>
      </c>
      <c r="N932" s="976">
        <v>14952.514666666668</v>
      </c>
      <c r="O932" s="735">
        <f t="shared" si="44"/>
        <v>-1167.4853333333322</v>
      </c>
      <c r="P932" s="738">
        <f t="shared" si="42"/>
        <v>14952514.666666668</v>
      </c>
      <c r="Q932" s="751">
        <f t="shared" si="43"/>
        <v>14953000</v>
      </c>
      <c r="U932" s="751"/>
      <c r="V932" s="988"/>
      <c r="W932" s="1024"/>
    </row>
    <row r="933" spans="1:23" ht="14.25" customHeight="1">
      <c r="A933" s="976" t="s">
        <v>3942</v>
      </c>
      <c r="B933" s="976" t="s">
        <v>1263</v>
      </c>
      <c r="C933" s="977">
        <v>1843800821</v>
      </c>
      <c r="D933" s="976" t="s">
        <v>739</v>
      </c>
      <c r="E933" s="976">
        <v>1185</v>
      </c>
      <c r="F933" s="976">
        <v>1185</v>
      </c>
      <c r="G933" s="976">
        <v>888.75</v>
      </c>
      <c r="H933" s="976">
        <v>887.79300000000001</v>
      </c>
      <c r="I933" s="976"/>
      <c r="J933" s="1041">
        <v>1</v>
      </c>
      <c r="K933" s="976">
        <v>888.79300000000001</v>
      </c>
      <c r="L933" s="978">
        <v>4.3000000000006366E-2</v>
      </c>
      <c r="M933" s="976" t="s">
        <v>3589</v>
      </c>
      <c r="N933" s="976">
        <v>1185.0573333333332</v>
      </c>
      <c r="O933" s="735">
        <f t="shared" si="44"/>
        <v>5.733333333319024E-2</v>
      </c>
      <c r="P933" s="738">
        <f t="shared" si="42"/>
        <v>1185057.3333333333</v>
      </c>
      <c r="Q933" s="751">
        <f t="shared" si="43"/>
        <v>1185000</v>
      </c>
      <c r="U933" s="751"/>
      <c r="V933" s="988"/>
      <c r="W933" s="1024"/>
    </row>
    <row r="934" spans="1:23" ht="14.25" customHeight="1">
      <c r="A934" s="976" t="s">
        <v>3952</v>
      </c>
      <c r="B934" s="976" t="s">
        <v>1263</v>
      </c>
      <c r="C934" s="977">
        <v>1843800823</v>
      </c>
      <c r="D934" s="976" t="s">
        <v>135</v>
      </c>
      <c r="E934" s="976">
        <v>272</v>
      </c>
      <c r="F934" s="976">
        <v>272</v>
      </c>
      <c r="G934" s="976">
        <v>204</v>
      </c>
      <c r="H934" s="976">
        <v>142.10232000000002</v>
      </c>
      <c r="I934" s="976"/>
      <c r="J934" s="1041">
        <v>78.5</v>
      </c>
      <c r="K934" s="976">
        <v>220.60232000000002</v>
      </c>
      <c r="L934" s="978">
        <v>16.60232000000002</v>
      </c>
      <c r="M934" s="976" t="s">
        <v>3589</v>
      </c>
      <c r="N934" s="976">
        <v>294.13642666666669</v>
      </c>
      <c r="O934" s="735">
        <f t="shared" si="44"/>
        <v>22.136426666666694</v>
      </c>
      <c r="P934" s="738">
        <f t="shared" si="42"/>
        <v>294136.4266666667</v>
      </c>
      <c r="Q934" s="751">
        <f t="shared" si="43"/>
        <v>294000</v>
      </c>
      <c r="U934" s="751"/>
      <c r="V934" s="988"/>
      <c r="W934" s="1024"/>
    </row>
    <row r="935" spans="1:23" ht="14.25" customHeight="1">
      <c r="A935" s="976" t="s">
        <v>3937</v>
      </c>
      <c r="B935" s="976" t="s">
        <v>1263</v>
      </c>
      <c r="C935" s="977">
        <v>1843900820</v>
      </c>
      <c r="D935" s="976" t="s">
        <v>136</v>
      </c>
      <c r="E935" s="976">
        <v>3900</v>
      </c>
      <c r="F935" s="976">
        <v>3900</v>
      </c>
      <c r="G935" s="976">
        <v>2925</v>
      </c>
      <c r="H935" s="976">
        <v>3141.9459999999999</v>
      </c>
      <c r="I935" s="976"/>
      <c r="J935" s="1032">
        <v>-311</v>
      </c>
      <c r="K935" s="976">
        <v>2830.9459999999999</v>
      </c>
      <c r="L935" s="978">
        <v>-94.054000000000087</v>
      </c>
      <c r="M935" s="976" t="s">
        <v>3589</v>
      </c>
      <c r="N935" s="976">
        <v>3774.5946666666664</v>
      </c>
      <c r="O935" s="735">
        <f t="shared" si="44"/>
        <v>-125.4053333333336</v>
      </c>
      <c r="P935" s="738">
        <f t="shared" si="42"/>
        <v>3774594.6666666665</v>
      </c>
      <c r="Q935" s="751">
        <f t="shared" si="43"/>
        <v>3775000</v>
      </c>
      <c r="U935" s="751"/>
      <c r="V935" s="988"/>
      <c r="W935" s="1024"/>
    </row>
    <row r="936" spans="1:23" ht="14.25" customHeight="1">
      <c r="A936" s="976" t="s">
        <v>3947</v>
      </c>
      <c r="B936" s="976" t="s">
        <v>1263</v>
      </c>
      <c r="C936" s="977">
        <v>1843900822</v>
      </c>
      <c r="D936" s="976" t="s">
        <v>138</v>
      </c>
      <c r="E936" s="976">
        <v>0</v>
      </c>
      <c r="F936" s="976">
        <v>0</v>
      </c>
      <c r="G936" s="976">
        <v>0</v>
      </c>
      <c r="H936" s="976">
        <v>0</v>
      </c>
      <c r="I936" s="976"/>
      <c r="J936" s="976"/>
      <c r="K936" s="976">
        <v>0</v>
      </c>
      <c r="L936" s="978">
        <v>0</v>
      </c>
      <c r="M936" s="976" t="s">
        <v>3589</v>
      </c>
      <c r="N936" s="976">
        <v>0</v>
      </c>
      <c r="O936" s="735">
        <f t="shared" si="44"/>
        <v>0</v>
      </c>
      <c r="P936" s="738">
        <f t="shared" si="42"/>
        <v>0</v>
      </c>
      <c r="Q936" s="751">
        <f t="shared" si="43"/>
        <v>0</v>
      </c>
      <c r="U936" s="751"/>
      <c r="V936" s="988"/>
      <c r="W936" s="1024"/>
    </row>
    <row r="937" spans="1:23" ht="14.25" customHeight="1">
      <c r="A937" s="976" t="s">
        <v>3952</v>
      </c>
      <c r="B937" s="976" t="s">
        <v>1263</v>
      </c>
      <c r="C937" s="977">
        <v>1843900823</v>
      </c>
      <c r="D937" s="976" t="s">
        <v>139</v>
      </c>
      <c r="E937" s="976">
        <v>480</v>
      </c>
      <c r="F937" s="976">
        <v>480</v>
      </c>
      <c r="G937" s="976">
        <v>360</v>
      </c>
      <c r="H937" s="976">
        <v>344.459</v>
      </c>
      <c r="I937" s="976"/>
      <c r="J937" s="1041">
        <v>15.5</v>
      </c>
      <c r="K937" s="976">
        <v>359.959</v>
      </c>
      <c r="L937" s="978">
        <v>-4.0999999999996817E-2</v>
      </c>
      <c r="M937" s="976" t="s">
        <v>3589</v>
      </c>
      <c r="N937" s="976">
        <v>479.94533333333334</v>
      </c>
      <c r="O937" s="735">
        <f t="shared" si="44"/>
        <v>-5.4666666666662422E-2</v>
      </c>
      <c r="P937" s="738">
        <f t="shared" si="42"/>
        <v>479945.33333333331</v>
      </c>
      <c r="Q937" s="751">
        <f t="shared" si="43"/>
        <v>480000</v>
      </c>
      <c r="U937" s="751"/>
      <c r="V937" s="988"/>
      <c r="W937" s="1024"/>
    </row>
    <row r="938" spans="1:23" ht="14.25" customHeight="1">
      <c r="A938" s="976" t="s">
        <v>3937</v>
      </c>
      <c r="B938" s="976" t="s">
        <v>1263</v>
      </c>
      <c r="C938" s="977">
        <v>1844300820</v>
      </c>
      <c r="D938" s="976" t="s">
        <v>143</v>
      </c>
      <c r="E938" s="976">
        <v>5428</v>
      </c>
      <c r="F938" s="976">
        <v>5428</v>
      </c>
      <c r="G938" s="976">
        <v>4071</v>
      </c>
      <c r="H938" s="976">
        <v>3737.2469999999998</v>
      </c>
      <c r="I938" s="976"/>
      <c r="J938" s="1032">
        <v>-12</v>
      </c>
      <c r="K938" s="976">
        <v>3725.2469999999998</v>
      </c>
      <c r="L938" s="978">
        <v>-345.75300000000016</v>
      </c>
      <c r="M938" s="976" t="s">
        <v>3589</v>
      </c>
      <c r="N938" s="976">
        <v>4966.9960000000001</v>
      </c>
      <c r="O938" s="735">
        <f t="shared" si="44"/>
        <v>-461.00399999999991</v>
      </c>
      <c r="P938" s="738">
        <f t="shared" si="42"/>
        <v>4966996</v>
      </c>
      <c r="Q938" s="751">
        <f t="shared" si="43"/>
        <v>4967000</v>
      </c>
      <c r="U938" s="751"/>
      <c r="V938" s="988"/>
      <c r="W938" s="1024"/>
    </row>
    <row r="939" spans="1:23" ht="14.25" customHeight="1">
      <c r="A939" s="976" t="s">
        <v>3942</v>
      </c>
      <c r="B939" s="976" t="s">
        <v>1263</v>
      </c>
      <c r="C939" s="977">
        <v>1844300821</v>
      </c>
      <c r="D939" s="976" t="s">
        <v>144</v>
      </c>
      <c r="E939" s="976">
        <v>194</v>
      </c>
      <c r="F939" s="976">
        <v>194</v>
      </c>
      <c r="G939" s="976">
        <v>145.5</v>
      </c>
      <c r="H939" s="976">
        <v>192.25200000000001</v>
      </c>
      <c r="I939" s="976"/>
      <c r="J939" s="1032">
        <v>-47</v>
      </c>
      <c r="K939" s="976">
        <v>145.25200000000001</v>
      </c>
      <c r="L939" s="978">
        <v>-0.24799999999999045</v>
      </c>
      <c r="M939" s="976" t="s">
        <v>3589</v>
      </c>
      <c r="N939" s="976">
        <v>193.66933333333336</v>
      </c>
      <c r="O939" s="735">
        <f t="shared" si="44"/>
        <v>-0.33066666666664446</v>
      </c>
      <c r="P939" s="738">
        <f t="shared" si="42"/>
        <v>193669.33333333334</v>
      </c>
      <c r="Q939" s="751">
        <f t="shared" si="43"/>
        <v>194000</v>
      </c>
      <c r="U939" s="751"/>
      <c r="V939" s="988"/>
      <c r="W939" s="1024"/>
    </row>
    <row r="940" spans="1:23" ht="14.25" customHeight="1">
      <c r="A940" s="976" t="s">
        <v>3947</v>
      </c>
      <c r="B940" s="976" t="s">
        <v>1263</v>
      </c>
      <c r="C940" s="977">
        <v>1844300822</v>
      </c>
      <c r="D940" s="976" t="s">
        <v>147</v>
      </c>
      <c r="E940" s="976">
        <v>40</v>
      </c>
      <c r="F940" s="976">
        <v>40</v>
      </c>
      <c r="G940" s="976">
        <v>30</v>
      </c>
      <c r="H940" s="976">
        <v>0</v>
      </c>
      <c r="I940" s="976"/>
      <c r="J940" s="976"/>
      <c r="K940" s="976">
        <v>0</v>
      </c>
      <c r="L940" s="978">
        <v>-30</v>
      </c>
      <c r="M940" s="976" t="s">
        <v>3589</v>
      </c>
      <c r="N940" s="976">
        <v>0</v>
      </c>
      <c r="O940" s="735">
        <f t="shared" si="44"/>
        <v>-40</v>
      </c>
      <c r="P940" s="738">
        <f t="shared" si="42"/>
        <v>0</v>
      </c>
      <c r="Q940" s="751">
        <f t="shared" si="43"/>
        <v>0</v>
      </c>
      <c r="U940" s="751"/>
      <c r="V940" s="988"/>
      <c r="W940" s="1024"/>
    </row>
    <row r="941" spans="1:23" ht="14.25" customHeight="1">
      <c r="A941" s="976" t="s">
        <v>3937</v>
      </c>
      <c r="B941" s="976" t="s">
        <v>1263</v>
      </c>
      <c r="C941" s="977">
        <v>1844400820</v>
      </c>
      <c r="D941" s="976" t="s">
        <v>3236</v>
      </c>
      <c r="E941" s="976">
        <v>607</v>
      </c>
      <c r="F941" s="976">
        <v>607</v>
      </c>
      <c r="G941" s="976">
        <v>455.25</v>
      </c>
      <c r="H941" s="976">
        <v>318.31299999999999</v>
      </c>
      <c r="I941" s="976"/>
      <c r="J941" s="1041">
        <v>137</v>
      </c>
      <c r="K941" s="976">
        <v>455.31299999999999</v>
      </c>
      <c r="L941" s="978">
        <v>6.2999999999988177E-2</v>
      </c>
      <c r="M941" s="976" t="s">
        <v>3589</v>
      </c>
      <c r="N941" s="976">
        <v>607.08399999999995</v>
      </c>
      <c r="O941" s="735">
        <f t="shared" si="44"/>
        <v>8.399999999994634E-2</v>
      </c>
      <c r="P941" s="738">
        <f t="shared" si="42"/>
        <v>607084</v>
      </c>
      <c r="Q941" s="751">
        <f t="shared" si="43"/>
        <v>607000</v>
      </c>
      <c r="U941" s="751"/>
      <c r="V941" s="988"/>
      <c r="W941" s="1024"/>
    </row>
    <row r="942" spans="1:23" ht="14.25" customHeight="1">
      <c r="A942" s="976" t="s">
        <v>3942</v>
      </c>
      <c r="B942" s="976" t="s">
        <v>1263</v>
      </c>
      <c r="C942" s="977">
        <v>1844400821</v>
      </c>
      <c r="D942" s="976" t="s">
        <v>746</v>
      </c>
      <c r="E942" s="976">
        <v>231</v>
      </c>
      <c r="F942" s="976">
        <v>231</v>
      </c>
      <c r="G942" s="976">
        <v>173.25</v>
      </c>
      <c r="H942" s="976">
        <v>175.02600000000001</v>
      </c>
      <c r="I942" s="976"/>
      <c r="J942" s="1032">
        <v>-2</v>
      </c>
      <c r="K942" s="976">
        <v>173.02600000000001</v>
      </c>
      <c r="L942" s="978">
        <v>-0.22399999999998954</v>
      </c>
      <c r="M942" s="976" t="s">
        <v>3589</v>
      </c>
      <c r="N942" s="976">
        <v>230.70133333333331</v>
      </c>
      <c r="O942" s="735">
        <f t="shared" si="44"/>
        <v>-0.29866666666669062</v>
      </c>
      <c r="P942" s="738">
        <f t="shared" si="42"/>
        <v>230701.33333333331</v>
      </c>
      <c r="Q942" s="751">
        <f t="shared" si="43"/>
        <v>231000</v>
      </c>
      <c r="U942" s="751"/>
      <c r="V942" s="988"/>
      <c r="W942" s="1024"/>
    </row>
    <row r="943" spans="1:23" ht="14.25" customHeight="1">
      <c r="A943" s="976" t="s">
        <v>3947</v>
      </c>
      <c r="B943" s="976"/>
      <c r="C943" s="977">
        <v>1844400822</v>
      </c>
      <c r="D943" s="976" t="s">
        <v>3427</v>
      </c>
      <c r="E943" s="976">
        <v>458</v>
      </c>
      <c r="F943" s="976">
        <v>458</v>
      </c>
      <c r="G943" s="976">
        <v>343.5</v>
      </c>
      <c r="H943" s="976">
        <v>184.65549999999999</v>
      </c>
      <c r="I943" s="976"/>
      <c r="J943" s="1041">
        <v>160.5</v>
      </c>
      <c r="K943" s="976">
        <v>345.15549999999996</v>
      </c>
      <c r="L943" s="978">
        <v>1.6554999999999609</v>
      </c>
      <c r="M943" s="976" t="s">
        <v>3589</v>
      </c>
      <c r="N943" s="976">
        <v>460.20733333333334</v>
      </c>
      <c r="O943" s="735">
        <f t="shared" si="44"/>
        <v>2.207333333333338</v>
      </c>
      <c r="P943" s="738">
        <f t="shared" si="42"/>
        <v>460207.33333333331</v>
      </c>
      <c r="Q943" s="751">
        <f t="shared" si="43"/>
        <v>460000</v>
      </c>
      <c r="U943" s="751"/>
      <c r="V943" s="988"/>
      <c r="W943" s="1024"/>
    </row>
    <row r="944" spans="1:23" ht="14.25" customHeight="1">
      <c r="A944" s="976" t="s">
        <v>3952</v>
      </c>
      <c r="B944" s="976" t="s">
        <v>1263</v>
      </c>
      <c r="C944" s="977">
        <v>1844400823</v>
      </c>
      <c r="D944" s="976" t="s">
        <v>150</v>
      </c>
      <c r="E944" s="976">
        <v>1249</v>
      </c>
      <c r="F944" s="976">
        <v>1249</v>
      </c>
      <c r="G944" s="976">
        <v>936.75</v>
      </c>
      <c r="H944" s="976">
        <v>971.99400000000003</v>
      </c>
      <c r="I944" s="976"/>
      <c r="J944" s="1032">
        <v>-35</v>
      </c>
      <c r="K944" s="976">
        <v>936.99400000000003</v>
      </c>
      <c r="L944" s="978">
        <v>0.24400000000002819</v>
      </c>
      <c r="M944" s="976" t="s">
        <v>3589</v>
      </c>
      <c r="N944" s="976">
        <v>1249.3253333333332</v>
      </c>
      <c r="O944" s="735">
        <f t="shared" si="44"/>
        <v>0.32533333333321934</v>
      </c>
      <c r="P944" s="738">
        <f t="shared" si="42"/>
        <v>1249325.3333333333</v>
      </c>
      <c r="Q944" s="751">
        <f t="shared" si="43"/>
        <v>1249000</v>
      </c>
      <c r="U944" s="751"/>
      <c r="V944" s="988"/>
      <c r="W944" s="1024"/>
    </row>
    <row r="945" spans="1:81" ht="14.25" customHeight="1">
      <c r="A945" s="976" t="s">
        <v>3949</v>
      </c>
      <c r="B945" s="976" t="s">
        <v>1263</v>
      </c>
      <c r="C945" s="977">
        <v>1844400825</v>
      </c>
      <c r="D945" s="976" t="s">
        <v>3428</v>
      </c>
      <c r="E945" s="976">
        <v>162</v>
      </c>
      <c r="F945" s="976">
        <v>162</v>
      </c>
      <c r="G945" s="976">
        <v>121.5</v>
      </c>
      <c r="H945" s="976">
        <v>191.184</v>
      </c>
      <c r="I945" s="976"/>
      <c r="J945" s="1032">
        <v>-70</v>
      </c>
      <c r="K945" s="976">
        <v>121.184</v>
      </c>
      <c r="L945" s="978">
        <v>-0.3160000000000025</v>
      </c>
      <c r="M945" s="976" t="s">
        <v>3589</v>
      </c>
      <c r="N945" s="976">
        <v>161.57866666666666</v>
      </c>
      <c r="O945" s="735">
        <f t="shared" si="44"/>
        <v>-0.42133333333333667</v>
      </c>
      <c r="P945" s="738">
        <f t="shared" si="42"/>
        <v>161578.66666666666</v>
      </c>
      <c r="Q945" s="751">
        <f t="shared" si="43"/>
        <v>162000</v>
      </c>
      <c r="U945" s="751"/>
      <c r="V945" s="988"/>
      <c r="W945" s="1024"/>
    </row>
    <row r="946" spans="1:81" ht="14.25" customHeight="1">
      <c r="A946" s="976" t="s">
        <v>3953</v>
      </c>
      <c r="B946" s="976" t="s">
        <v>1263</v>
      </c>
      <c r="C946" s="977">
        <v>1844400826</v>
      </c>
      <c r="D946" s="976" t="s">
        <v>149</v>
      </c>
      <c r="E946" s="976">
        <v>607</v>
      </c>
      <c r="F946" s="976">
        <v>607</v>
      </c>
      <c r="G946" s="976">
        <v>455.25</v>
      </c>
      <c r="H946" s="976">
        <v>247.71100000000001</v>
      </c>
      <c r="I946" s="976"/>
      <c r="J946" s="1041">
        <v>207.5</v>
      </c>
      <c r="K946" s="976">
        <v>455.21100000000001</v>
      </c>
      <c r="L946" s="978">
        <v>-3.8999999999987267E-2</v>
      </c>
      <c r="M946" s="976" t="s">
        <v>3589</v>
      </c>
      <c r="N946" s="976">
        <v>606.94799999999998</v>
      </c>
      <c r="O946" s="735">
        <f t="shared" si="44"/>
        <v>-5.2000000000020918E-2</v>
      </c>
      <c r="P946" s="738">
        <f t="shared" si="42"/>
        <v>606948</v>
      </c>
      <c r="Q946" s="751">
        <f t="shared" si="43"/>
        <v>607000</v>
      </c>
      <c r="U946" s="751"/>
      <c r="V946" s="988"/>
      <c r="W946" s="1024"/>
    </row>
    <row r="947" spans="1:81" ht="14.25" customHeight="1">
      <c r="A947" s="976" t="s">
        <v>3954</v>
      </c>
      <c r="B947" s="976"/>
      <c r="C947" s="977">
        <v>1844400827</v>
      </c>
      <c r="D947" s="976" t="s">
        <v>1515</v>
      </c>
      <c r="E947" s="976">
        <v>276</v>
      </c>
      <c r="F947" s="976">
        <v>276</v>
      </c>
      <c r="G947" s="976">
        <v>207</v>
      </c>
      <c r="H947" s="976">
        <v>113.59372</v>
      </c>
      <c r="I947" s="976"/>
      <c r="J947" s="1041">
        <v>99</v>
      </c>
      <c r="K947" s="976">
        <v>212.59372000000002</v>
      </c>
      <c r="L947" s="978">
        <v>5.5937200000000189</v>
      </c>
      <c r="M947" s="976" t="s">
        <v>3589</v>
      </c>
      <c r="N947" s="976">
        <v>283.45829333333336</v>
      </c>
      <c r="O947" s="735">
        <f t="shared" si="44"/>
        <v>7.4582933333333585</v>
      </c>
      <c r="P947" s="738">
        <f t="shared" si="42"/>
        <v>283458.29333333333</v>
      </c>
      <c r="Q947" s="751">
        <f t="shared" si="43"/>
        <v>283000</v>
      </c>
      <c r="U947" s="751"/>
      <c r="V947" s="988"/>
      <c r="W947" s="1024"/>
    </row>
    <row r="948" spans="1:81" ht="14.25" customHeight="1">
      <c r="A948" s="976" t="s">
        <v>3953</v>
      </c>
      <c r="B948" s="976" t="s">
        <v>1263</v>
      </c>
      <c r="C948" s="999">
        <v>1842200826</v>
      </c>
      <c r="D948" s="999" t="s">
        <v>3230</v>
      </c>
      <c r="E948" s="976">
        <v>0</v>
      </c>
      <c r="F948" s="976">
        <v>0</v>
      </c>
      <c r="G948" s="976">
        <v>0</v>
      </c>
      <c r="H948" s="976">
        <v>0</v>
      </c>
      <c r="I948" s="976"/>
      <c r="J948" s="976"/>
      <c r="K948" s="976">
        <v>0</v>
      </c>
      <c r="L948" s="978">
        <v>0</v>
      </c>
      <c r="M948" s="976" t="s">
        <v>3589</v>
      </c>
      <c r="N948" s="976">
        <v>0</v>
      </c>
      <c r="O948" s="735">
        <f t="shared" si="44"/>
        <v>0</v>
      </c>
      <c r="P948" s="738">
        <f t="shared" si="42"/>
        <v>0</v>
      </c>
      <c r="Q948" s="751">
        <f t="shared" si="43"/>
        <v>0</v>
      </c>
      <c r="U948" s="751"/>
      <c r="V948" s="988"/>
      <c r="W948" s="1024"/>
    </row>
    <row r="949" spans="1:81" ht="14.25" customHeight="1">
      <c r="A949" s="976" t="s">
        <v>3931</v>
      </c>
      <c r="B949" s="976" t="s">
        <v>1263</v>
      </c>
      <c r="C949" s="977">
        <v>1844500810</v>
      </c>
      <c r="D949" s="976" t="s">
        <v>751</v>
      </c>
      <c r="E949" s="976">
        <v>1000</v>
      </c>
      <c r="F949" s="976">
        <v>1000</v>
      </c>
      <c r="G949" s="976">
        <v>750</v>
      </c>
      <c r="H949" s="976">
        <v>433.95299999999997</v>
      </c>
      <c r="I949" s="976"/>
      <c r="J949" s="1041">
        <v>316</v>
      </c>
      <c r="K949" s="976">
        <v>749.95299999999997</v>
      </c>
      <c r="L949" s="978">
        <v>-4.7000000000025466E-2</v>
      </c>
      <c r="M949" s="976" t="s">
        <v>3589</v>
      </c>
      <c r="N949" s="976">
        <v>999.9373333333333</v>
      </c>
      <c r="O949" s="735">
        <f t="shared" si="44"/>
        <v>-6.2666666666700621E-2</v>
      </c>
      <c r="P949" s="738">
        <f t="shared" si="42"/>
        <v>999937.33333333326</v>
      </c>
      <c r="Q949" s="751">
        <f t="shared" si="43"/>
        <v>1000000</v>
      </c>
      <c r="U949" s="751"/>
      <c r="V949" s="988"/>
      <c r="W949" s="1024"/>
    </row>
    <row r="950" spans="1:81" ht="14.25" customHeight="1">
      <c r="A950" s="976" t="s">
        <v>3937</v>
      </c>
      <c r="B950" s="976" t="s">
        <v>1263</v>
      </c>
      <c r="C950" s="977">
        <v>1845100820</v>
      </c>
      <c r="D950" s="976" t="s">
        <v>153</v>
      </c>
      <c r="E950" s="976">
        <v>22502</v>
      </c>
      <c r="F950" s="976">
        <v>22502</v>
      </c>
      <c r="G950" s="976">
        <v>16876.5</v>
      </c>
      <c r="H950" s="976">
        <v>15921.52</v>
      </c>
      <c r="I950" s="976"/>
      <c r="J950" s="1041">
        <v>24</v>
      </c>
      <c r="K950" s="976">
        <v>15945.52</v>
      </c>
      <c r="L950" s="978">
        <v>-930.97999999999956</v>
      </c>
      <c r="M950" s="976" t="s">
        <v>3589</v>
      </c>
      <c r="N950" s="976">
        <v>21260.693333333333</v>
      </c>
      <c r="O950" s="735">
        <f t="shared" si="44"/>
        <v>-1241.3066666666673</v>
      </c>
      <c r="P950" s="738">
        <f t="shared" si="42"/>
        <v>21260693.333333332</v>
      </c>
      <c r="Q950" s="751">
        <f t="shared" si="43"/>
        <v>21261000</v>
      </c>
      <c r="U950" s="751"/>
      <c r="V950" s="988"/>
      <c r="W950" s="1024"/>
    </row>
    <row r="951" spans="1:81" ht="14.25" customHeight="1">
      <c r="A951" s="976" t="s">
        <v>3942</v>
      </c>
      <c r="B951" s="976" t="s">
        <v>1263</v>
      </c>
      <c r="C951" s="977">
        <v>1845100821</v>
      </c>
      <c r="D951" s="976" t="s">
        <v>154</v>
      </c>
      <c r="E951" s="976">
        <v>4170</v>
      </c>
      <c r="F951" s="976">
        <v>4170</v>
      </c>
      <c r="G951" s="976">
        <v>3127.5</v>
      </c>
      <c r="H951" s="976">
        <v>2979.3760000000002</v>
      </c>
      <c r="I951" s="976"/>
      <c r="J951" s="1041">
        <v>36</v>
      </c>
      <c r="K951" s="976">
        <v>3015.3760000000002</v>
      </c>
      <c r="L951" s="978">
        <v>-112.1239999999998</v>
      </c>
      <c r="M951" s="976" t="s">
        <v>3589</v>
      </c>
      <c r="N951" s="976">
        <v>4020.5013333333336</v>
      </c>
      <c r="O951" s="735">
        <f t="shared" si="44"/>
        <v>-149.4986666666664</v>
      </c>
      <c r="P951" s="738">
        <f t="shared" si="42"/>
        <v>4020501.3333333335</v>
      </c>
      <c r="Q951" s="751">
        <f t="shared" si="43"/>
        <v>4021000</v>
      </c>
      <c r="U951" s="751"/>
      <c r="V951" s="988"/>
      <c r="W951" s="1024"/>
    </row>
    <row r="952" spans="1:81" ht="14.25" customHeight="1">
      <c r="A952" s="976" t="s">
        <v>3942</v>
      </c>
      <c r="B952" s="976" t="s">
        <v>1263</v>
      </c>
      <c r="C952" s="977">
        <v>1845101821</v>
      </c>
      <c r="D952" s="976" t="s">
        <v>160</v>
      </c>
      <c r="E952" s="976">
        <v>8107</v>
      </c>
      <c r="F952" s="976">
        <v>8107</v>
      </c>
      <c r="G952" s="976">
        <v>6080.25</v>
      </c>
      <c r="H952" s="976">
        <v>6457.46</v>
      </c>
      <c r="I952" s="976"/>
      <c r="J952" s="1032">
        <v>-377</v>
      </c>
      <c r="K952" s="976">
        <v>6080.46</v>
      </c>
      <c r="L952" s="978">
        <v>0.21000000000003638</v>
      </c>
      <c r="M952" s="976" t="s">
        <v>3589</v>
      </c>
      <c r="N952" s="976">
        <v>8107.2800000000007</v>
      </c>
      <c r="O952" s="735">
        <f t="shared" si="44"/>
        <v>0.28000000000065484</v>
      </c>
      <c r="P952" s="738">
        <f t="shared" si="42"/>
        <v>8107280.0000000009</v>
      </c>
      <c r="Q952" s="751">
        <f t="shared" si="43"/>
        <v>8107000</v>
      </c>
      <c r="U952" s="751"/>
      <c r="V952" s="988"/>
      <c r="W952" s="1024"/>
    </row>
    <row r="953" spans="1:81" ht="14.25" customHeight="1">
      <c r="A953" s="976" t="s">
        <v>3947</v>
      </c>
      <c r="B953" s="976" t="s">
        <v>1263</v>
      </c>
      <c r="C953" s="977">
        <v>1845101822</v>
      </c>
      <c r="D953" s="976" t="s">
        <v>159</v>
      </c>
      <c r="E953" s="976">
        <v>79</v>
      </c>
      <c r="F953" s="976">
        <v>79</v>
      </c>
      <c r="G953" s="976">
        <v>59.25</v>
      </c>
      <c r="H953" s="976">
        <v>47.034999999999997</v>
      </c>
      <c r="I953" s="976"/>
      <c r="J953" s="976"/>
      <c r="K953" s="976">
        <v>47.034999999999997</v>
      </c>
      <c r="L953" s="978">
        <v>-12.215000000000003</v>
      </c>
      <c r="M953" s="976" t="s">
        <v>3589</v>
      </c>
      <c r="N953" s="976">
        <v>62.713333333333331</v>
      </c>
      <c r="O953" s="735">
        <f t="shared" si="44"/>
        <v>-16.286666666666669</v>
      </c>
      <c r="P953" s="738">
        <f t="shared" si="42"/>
        <v>62713.333333333328</v>
      </c>
      <c r="Q953" s="751">
        <f t="shared" si="43"/>
        <v>63000</v>
      </c>
      <c r="U953" s="751"/>
      <c r="V953" s="988"/>
      <c r="W953" s="1024"/>
    </row>
    <row r="954" spans="1:81" ht="14.25" customHeight="1">
      <c r="A954" s="976" t="s">
        <v>3937</v>
      </c>
      <c r="B954" s="976" t="s">
        <v>1263</v>
      </c>
      <c r="C954" s="977">
        <v>1845200820</v>
      </c>
      <c r="D954" s="976" t="s">
        <v>155</v>
      </c>
      <c r="E954" s="976">
        <v>600</v>
      </c>
      <c r="F954" s="976">
        <v>600</v>
      </c>
      <c r="G954" s="976">
        <v>450</v>
      </c>
      <c r="H954" s="976">
        <v>422.92099999999999</v>
      </c>
      <c r="I954" s="976"/>
      <c r="J954" s="1041">
        <v>27</v>
      </c>
      <c r="K954" s="976">
        <v>449.92099999999999</v>
      </c>
      <c r="L954" s="978">
        <v>-7.9000000000007731E-2</v>
      </c>
      <c r="M954" s="976" t="s">
        <v>3589</v>
      </c>
      <c r="N954" s="976">
        <v>599.89466666666658</v>
      </c>
      <c r="O954" s="735">
        <f t="shared" si="44"/>
        <v>-0.10533333333341943</v>
      </c>
      <c r="P954" s="738">
        <f t="shared" si="42"/>
        <v>599894.66666666663</v>
      </c>
      <c r="Q954" s="751">
        <f t="shared" si="43"/>
        <v>600000</v>
      </c>
      <c r="U954" s="751"/>
      <c r="V954" s="988"/>
      <c r="W954" s="1024"/>
    </row>
    <row r="955" spans="1:81" ht="14.25" customHeight="1">
      <c r="A955" s="976" t="s">
        <v>3942</v>
      </c>
      <c r="B955" s="976" t="s">
        <v>1263</v>
      </c>
      <c r="C955" s="977">
        <v>1845200821</v>
      </c>
      <c r="D955" s="976" t="s">
        <v>757</v>
      </c>
      <c r="E955" s="976">
        <v>1409</v>
      </c>
      <c r="F955" s="976">
        <v>1409</v>
      </c>
      <c r="G955" s="976">
        <v>1056.75</v>
      </c>
      <c r="H955" s="976">
        <v>670.702</v>
      </c>
      <c r="I955" s="976"/>
      <c r="J955" s="1041">
        <v>392</v>
      </c>
      <c r="K955" s="976">
        <v>1062.702</v>
      </c>
      <c r="L955" s="978">
        <v>5.9519999999999982</v>
      </c>
      <c r="M955" s="976" t="s">
        <v>3858</v>
      </c>
      <c r="N955" s="976">
        <v>1416.9359999999999</v>
      </c>
      <c r="O955" s="735">
        <f t="shared" si="44"/>
        <v>7.9359999999999218</v>
      </c>
      <c r="P955" s="738">
        <f t="shared" si="42"/>
        <v>1416936</v>
      </c>
      <c r="Q955" s="751">
        <f t="shared" si="43"/>
        <v>1417000</v>
      </c>
      <c r="U955" s="751"/>
      <c r="V955" s="988"/>
      <c r="W955" s="1024"/>
    </row>
    <row r="956" spans="1:81" ht="14.25" customHeight="1">
      <c r="A956" s="976" t="s">
        <v>3947</v>
      </c>
      <c r="B956" s="976" t="s">
        <v>1263</v>
      </c>
      <c r="C956" s="977">
        <v>1845200822</v>
      </c>
      <c r="D956" s="976" t="s">
        <v>156</v>
      </c>
      <c r="E956" s="976">
        <v>2162</v>
      </c>
      <c r="F956" s="976">
        <v>2162</v>
      </c>
      <c r="G956" s="976">
        <v>1621.5</v>
      </c>
      <c r="H956" s="976">
        <v>3379.5309999999999</v>
      </c>
      <c r="I956" s="976"/>
      <c r="J956" s="1041">
        <v>40</v>
      </c>
      <c r="K956" s="976">
        <v>3419.5309999999999</v>
      </c>
      <c r="L956" s="978">
        <v>1798.0309999999999</v>
      </c>
      <c r="M956" s="976" t="s">
        <v>3589</v>
      </c>
      <c r="N956" s="976">
        <v>4559.3746666666666</v>
      </c>
      <c r="O956" s="735">
        <f t="shared" si="44"/>
        <v>2397.3746666666666</v>
      </c>
      <c r="P956" s="738">
        <f t="shared" si="42"/>
        <v>4559374.666666667</v>
      </c>
      <c r="Q956" s="751">
        <f t="shared" si="43"/>
        <v>4559000</v>
      </c>
      <c r="U956" s="751"/>
      <c r="V956" s="988"/>
      <c r="W956" s="1024"/>
    </row>
    <row r="957" spans="1:81" ht="14.25" customHeight="1">
      <c r="A957" s="976" t="s">
        <v>3948</v>
      </c>
      <c r="B957" s="976" t="s">
        <v>1263</v>
      </c>
      <c r="C957" s="977">
        <v>1845200824</v>
      </c>
      <c r="D957" s="976" t="s">
        <v>758</v>
      </c>
      <c r="E957" s="976">
        <v>27</v>
      </c>
      <c r="F957" s="976">
        <v>27</v>
      </c>
      <c r="G957" s="976">
        <v>20.25</v>
      </c>
      <c r="H957" s="976">
        <v>23.251000000000001</v>
      </c>
      <c r="I957" s="976"/>
      <c r="J957" s="976"/>
      <c r="K957" s="976">
        <v>23.251000000000001</v>
      </c>
      <c r="L957" s="978">
        <v>3.0010000000000012</v>
      </c>
      <c r="M957" s="976" t="s">
        <v>3589</v>
      </c>
      <c r="N957" s="976">
        <v>31.001333333333335</v>
      </c>
      <c r="O957" s="735">
        <f t="shared" si="44"/>
        <v>4.001333333333335</v>
      </c>
      <c r="P957" s="738">
        <f t="shared" si="42"/>
        <v>31001.333333333336</v>
      </c>
      <c r="Q957" s="751">
        <f t="shared" si="43"/>
        <v>31000</v>
      </c>
      <c r="U957" s="751"/>
      <c r="V957" s="988"/>
      <c r="W957" s="1024"/>
    </row>
    <row r="958" spans="1:81" ht="14.25" customHeight="1">
      <c r="A958" s="976" t="s">
        <v>3952</v>
      </c>
      <c r="B958" s="976" t="s">
        <v>1263</v>
      </c>
      <c r="C958" s="977">
        <v>1845200823</v>
      </c>
      <c r="D958" s="976" t="s">
        <v>3429</v>
      </c>
      <c r="E958" s="976">
        <v>0</v>
      </c>
      <c r="F958" s="976">
        <v>0</v>
      </c>
      <c r="G958" s="976">
        <v>0</v>
      </c>
      <c r="H958" s="976">
        <v>0</v>
      </c>
      <c r="I958" s="976"/>
      <c r="J958" s="976"/>
      <c r="K958" s="976">
        <v>0</v>
      </c>
      <c r="L958" s="978">
        <v>0</v>
      </c>
      <c r="M958" s="976" t="s">
        <v>3589</v>
      </c>
      <c r="N958" s="976">
        <v>0</v>
      </c>
      <c r="O958" s="735">
        <f t="shared" si="44"/>
        <v>0</v>
      </c>
      <c r="P958" s="738">
        <f t="shared" si="42"/>
        <v>0</v>
      </c>
      <c r="Q958" s="751">
        <f t="shared" si="43"/>
        <v>0</v>
      </c>
      <c r="U958" s="751"/>
      <c r="V958" s="988"/>
      <c r="W958" s="1024"/>
    </row>
    <row r="959" spans="1:81" ht="14.25" customHeight="1">
      <c r="A959" s="976" t="s">
        <v>3949</v>
      </c>
      <c r="B959" s="976" t="s">
        <v>1263</v>
      </c>
      <c r="C959" s="977">
        <v>1845200825</v>
      </c>
      <c r="D959" s="976" t="s">
        <v>163</v>
      </c>
      <c r="E959" s="976">
        <v>800</v>
      </c>
      <c r="F959" s="976">
        <v>800</v>
      </c>
      <c r="G959" s="976">
        <v>600</v>
      </c>
      <c r="H959" s="976">
        <v>504.38400000000001</v>
      </c>
      <c r="I959" s="976"/>
      <c r="J959" s="1041">
        <v>31</v>
      </c>
      <c r="K959" s="976">
        <v>535.38400000000001</v>
      </c>
      <c r="L959" s="978">
        <v>-64.615999999999985</v>
      </c>
      <c r="M959" s="976" t="s">
        <v>3589</v>
      </c>
      <c r="N959" s="976">
        <v>713.84533333333331</v>
      </c>
      <c r="O959" s="735">
        <f t="shared" si="44"/>
        <v>-86.154666666666685</v>
      </c>
      <c r="P959" s="738">
        <f t="shared" si="42"/>
        <v>713845.33333333337</v>
      </c>
      <c r="Q959" s="751">
        <f t="shared" si="43"/>
        <v>714000</v>
      </c>
      <c r="U959" s="751"/>
      <c r="V959" s="988"/>
      <c r="W959" s="1024"/>
    </row>
    <row r="960" spans="1:81" s="866" customFormat="1" ht="14.25" customHeight="1">
      <c r="A960" s="976" t="s">
        <v>3953</v>
      </c>
      <c r="B960" s="976" t="s">
        <v>1263</v>
      </c>
      <c r="C960" s="977">
        <v>1845200826</v>
      </c>
      <c r="D960" s="976" t="s">
        <v>2183</v>
      </c>
      <c r="E960" s="976">
        <v>15</v>
      </c>
      <c r="F960" s="976">
        <v>15</v>
      </c>
      <c r="G960" s="976">
        <v>11.25</v>
      </c>
      <c r="H960" s="976">
        <v>10.584</v>
      </c>
      <c r="I960" s="976"/>
      <c r="J960" s="1032">
        <v>-3</v>
      </c>
      <c r="K960" s="976">
        <v>7.5839999999999996</v>
      </c>
      <c r="L960" s="978">
        <v>-3.6660000000000004</v>
      </c>
      <c r="M960" s="976" t="s">
        <v>3589</v>
      </c>
      <c r="N960" s="976">
        <v>10.112</v>
      </c>
      <c r="O960" s="863">
        <f t="shared" si="44"/>
        <v>-4.8879999999999999</v>
      </c>
      <c r="P960" s="738">
        <f t="shared" si="42"/>
        <v>10112</v>
      </c>
      <c r="Q960" s="751">
        <f t="shared" si="43"/>
        <v>10000</v>
      </c>
      <c r="R960" s="865"/>
      <c r="S960" s="865"/>
      <c r="T960" s="865"/>
      <c r="U960" s="864"/>
      <c r="V960" s="988"/>
      <c r="W960" s="1024"/>
      <c r="X960" s="865"/>
      <c r="Y960" s="865"/>
      <c r="Z960" s="865"/>
      <c r="AA960" s="865"/>
      <c r="AB960" s="865"/>
      <c r="AC960" s="865"/>
      <c r="AD960" s="865"/>
      <c r="AE960" s="865"/>
      <c r="AF960" s="865"/>
      <c r="AG960" s="865"/>
      <c r="AH960" s="865"/>
      <c r="AI960" s="865"/>
      <c r="AJ960" s="865"/>
      <c r="AK960" s="865"/>
      <c r="AL960" s="865"/>
      <c r="AM960" s="865"/>
      <c r="AN960" s="865"/>
      <c r="AO960" s="865"/>
      <c r="AP960" s="865"/>
      <c r="AQ960" s="865"/>
      <c r="AR960" s="865"/>
      <c r="AS960" s="865"/>
      <c r="AT960" s="865"/>
      <c r="AU960" s="865"/>
      <c r="AV960" s="865"/>
      <c r="AW960" s="865"/>
      <c r="AX960" s="865"/>
      <c r="AY960" s="865"/>
      <c r="AZ960" s="865"/>
      <c r="BA960" s="865"/>
      <c r="BB960" s="865"/>
      <c r="BC960" s="865"/>
      <c r="BD960" s="865"/>
      <c r="BE960" s="865"/>
      <c r="BF960" s="865"/>
      <c r="BG960" s="865"/>
      <c r="BH960" s="865"/>
      <c r="BI960" s="865"/>
      <c r="BJ960" s="865"/>
      <c r="BK960" s="865"/>
      <c r="BL960" s="865"/>
      <c r="BM960" s="865"/>
      <c r="BN960" s="865"/>
      <c r="BO960" s="865"/>
      <c r="BP960" s="865"/>
      <c r="BQ960" s="865"/>
      <c r="BR960" s="865"/>
      <c r="BS960" s="865"/>
      <c r="BT960" s="865"/>
      <c r="BU960" s="865"/>
      <c r="BV960" s="865"/>
      <c r="BW960" s="865"/>
      <c r="BX960" s="865"/>
      <c r="BY960" s="865"/>
      <c r="BZ960" s="865"/>
      <c r="CA960" s="865"/>
      <c r="CB960" s="865"/>
      <c r="CC960" s="865"/>
    </row>
    <row r="961" spans="1:240" ht="14.25" customHeight="1">
      <c r="A961" s="976" t="s">
        <v>3954</v>
      </c>
      <c r="B961" s="975" t="s">
        <v>1263</v>
      </c>
      <c r="C961" s="977">
        <v>1845200827</v>
      </c>
      <c r="D961" s="976" t="s">
        <v>759</v>
      </c>
      <c r="E961" s="976">
        <v>0</v>
      </c>
      <c r="F961" s="976">
        <v>0</v>
      </c>
      <c r="G961" s="976">
        <v>0</v>
      </c>
      <c r="H961" s="976">
        <v>0</v>
      </c>
      <c r="I961" s="976"/>
      <c r="J961" s="976"/>
      <c r="K961" s="976">
        <v>0</v>
      </c>
      <c r="L961" s="978">
        <v>0</v>
      </c>
      <c r="M961" s="976" t="s">
        <v>3859</v>
      </c>
      <c r="N961" s="976">
        <v>0</v>
      </c>
      <c r="O961" s="735">
        <f t="shared" si="44"/>
        <v>0</v>
      </c>
      <c r="P961" s="738">
        <f t="shared" si="42"/>
        <v>0</v>
      </c>
      <c r="Q961" s="751">
        <f t="shared" si="43"/>
        <v>0</v>
      </c>
      <c r="U961" s="751"/>
      <c r="V961" s="988"/>
      <c r="W961" s="1024"/>
    </row>
    <row r="962" spans="1:240" ht="14.25" customHeight="1">
      <c r="A962" s="976" t="s">
        <v>3950</v>
      </c>
      <c r="B962" s="976" t="s">
        <v>1263</v>
      </c>
      <c r="C962" s="977">
        <v>1845200828</v>
      </c>
      <c r="D962" s="976" t="s">
        <v>165</v>
      </c>
      <c r="E962" s="976">
        <v>40</v>
      </c>
      <c r="F962" s="976">
        <v>40</v>
      </c>
      <c r="G962" s="976">
        <v>30</v>
      </c>
      <c r="H962" s="976">
        <v>22.719000000000001</v>
      </c>
      <c r="I962" s="976"/>
      <c r="J962" s="1041">
        <v>7</v>
      </c>
      <c r="K962" s="976">
        <v>29.719000000000001</v>
      </c>
      <c r="L962" s="978">
        <v>-0.28099999999999881</v>
      </c>
      <c r="M962" s="976" t="s">
        <v>3589</v>
      </c>
      <c r="N962" s="976">
        <v>39.625333333333337</v>
      </c>
      <c r="O962" s="735">
        <f t="shared" si="44"/>
        <v>-0.37466666666666271</v>
      </c>
      <c r="P962" s="738">
        <f t="shared" si="42"/>
        <v>39625.333333333336</v>
      </c>
      <c r="Q962" s="751">
        <f t="shared" si="43"/>
        <v>40000</v>
      </c>
      <c r="U962" s="751"/>
      <c r="V962" s="988"/>
      <c r="W962" s="1024"/>
    </row>
    <row r="963" spans="1:240" ht="14.25" customHeight="1">
      <c r="A963" s="976" t="s">
        <v>3951</v>
      </c>
      <c r="B963" s="976" t="s">
        <v>1263</v>
      </c>
      <c r="C963" s="999">
        <v>1845200829</v>
      </c>
      <c r="D963" s="999" t="s">
        <v>760</v>
      </c>
      <c r="E963" s="976">
        <v>164</v>
      </c>
      <c r="F963" s="976">
        <v>164</v>
      </c>
      <c r="G963" s="976">
        <v>123</v>
      </c>
      <c r="H963" s="976">
        <v>166.042</v>
      </c>
      <c r="I963" s="976"/>
      <c r="J963" s="1032">
        <v>-43</v>
      </c>
      <c r="K963" s="976">
        <v>123.042</v>
      </c>
      <c r="L963" s="978">
        <v>4.2000000000001592E-2</v>
      </c>
      <c r="M963" s="976" t="s">
        <v>3589</v>
      </c>
      <c r="N963" s="976">
        <v>164.05599999999998</v>
      </c>
      <c r="O963" s="735">
        <f t="shared" si="44"/>
        <v>5.5999999999983174E-2</v>
      </c>
      <c r="P963" s="738">
        <f t="shared" si="42"/>
        <v>164055.99999999997</v>
      </c>
      <c r="Q963" s="751">
        <f t="shared" si="43"/>
        <v>164000</v>
      </c>
      <c r="U963" s="751"/>
      <c r="V963" s="988"/>
      <c r="W963" s="1024"/>
    </row>
    <row r="964" spans="1:240" ht="14.25" customHeight="1">
      <c r="A964" s="976" t="s">
        <v>3937</v>
      </c>
      <c r="B964" s="976" t="s">
        <v>1263</v>
      </c>
      <c r="C964" s="977">
        <v>1845300820</v>
      </c>
      <c r="D964" s="976" t="s">
        <v>157</v>
      </c>
      <c r="E964" s="976">
        <v>0</v>
      </c>
      <c r="F964" s="976">
        <v>0</v>
      </c>
      <c r="G964" s="976">
        <v>0</v>
      </c>
      <c r="H964" s="976">
        <v>0</v>
      </c>
      <c r="I964" s="976"/>
      <c r="J964" s="976"/>
      <c r="K964" s="976">
        <v>0</v>
      </c>
      <c r="L964" s="978">
        <v>0</v>
      </c>
      <c r="M964" s="976" t="s">
        <v>3589</v>
      </c>
      <c r="N964" s="976">
        <v>0</v>
      </c>
      <c r="O964" s="735">
        <f t="shared" si="44"/>
        <v>0</v>
      </c>
      <c r="P964" s="738">
        <f t="shared" si="42"/>
        <v>0</v>
      </c>
      <c r="Q964" s="751">
        <f t="shared" si="43"/>
        <v>0</v>
      </c>
      <c r="U964" s="751"/>
      <c r="V964" s="988"/>
      <c r="W964" s="1024"/>
    </row>
    <row r="965" spans="1:240" ht="14.25" customHeight="1">
      <c r="A965" s="976" t="s">
        <v>3942</v>
      </c>
      <c r="B965" s="976" t="s">
        <v>1263</v>
      </c>
      <c r="C965" s="977">
        <v>1845300821</v>
      </c>
      <c r="D965" s="976" t="s">
        <v>3239</v>
      </c>
      <c r="E965" s="976">
        <v>0</v>
      </c>
      <c r="F965" s="976">
        <v>0</v>
      </c>
      <c r="G965" s="976">
        <v>0</v>
      </c>
      <c r="H965" s="976">
        <v>0</v>
      </c>
      <c r="I965" s="976"/>
      <c r="J965" s="976"/>
      <c r="K965" s="976">
        <v>0</v>
      </c>
      <c r="L965" s="978">
        <v>0</v>
      </c>
      <c r="M965" s="976" t="s">
        <v>3589</v>
      </c>
      <c r="N965" s="976">
        <v>0</v>
      </c>
      <c r="O965" s="735">
        <f t="shared" si="44"/>
        <v>0</v>
      </c>
      <c r="P965" s="738">
        <f t="shared" si="42"/>
        <v>0</v>
      </c>
      <c r="Q965" s="751">
        <f t="shared" si="43"/>
        <v>0</v>
      </c>
      <c r="U965" s="751"/>
      <c r="V965" s="988"/>
      <c r="W965" s="1024"/>
    </row>
    <row r="966" spans="1:240" ht="14.25" customHeight="1">
      <c r="A966" s="976" t="s">
        <v>3869</v>
      </c>
      <c r="B966" s="976" t="s">
        <v>1263</v>
      </c>
      <c r="C966" s="977">
        <v>1845400420</v>
      </c>
      <c r="D966" s="976" t="s">
        <v>763</v>
      </c>
      <c r="E966" s="976">
        <v>45</v>
      </c>
      <c r="F966" s="976">
        <v>45</v>
      </c>
      <c r="G966" s="976">
        <v>33.75</v>
      </c>
      <c r="H966" s="976">
        <v>7.9930000000000003</v>
      </c>
      <c r="I966" s="976"/>
      <c r="J966" s="1041">
        <v>26</v>
      </c>
      <c r="K966" s="976">
        <v>33.993000000000002</v>
      </c>
      <c r="L966" s="978">
        <v>0.2430000000000021</v>
      </c>
      <c r="M966" s="976" t="s">
        <v>3589</v>
      </c>
      <c r="N966" s="976">
        <v>45.324000000000005</v>
      </c>
      <c r="O966" s="735">
        <f t="shared" si="44"/>
        <v>0.32400000000000517</v>
      </c>
      <c r="P966" s="738">
        <f t="shared" si="42"/>
        <v>45324.000000000007</v>
      </c>
      <c r="Q966" s="751">
        <f t="shared" si="43"/>
        <v>45000</v>
      </c>
      <c r="U966" s="751"/>
      <c r="V966" s="988"/>
      <c r="W966" s="1024"/>
    </row>
    <row r="967" spans="1:240" ht="14.25" customHeight="1">
      <c r="A967" s="976" t="s">
        <v>3908</v>
      </c>
      <c r="B967" s="976" t="s">
        <v>1263</v>
      </c>
      <c r="C967" s="999">
        <v>1845400530</v>
      </c>
      <c r="D967" s="999" t="s">
        <v>277</v>
      </c>
      <c r="E967" s="976">
        <v>70</v>
      </c>
      <c r="F967" s="976">
        <v>70</v>
      </c>
      <c r="G967" s="976">
        <v>52.5</v>
      </c>
      <c r="H967" s="976">
        <v>47.808779999999999</v>
      </c>
      <c r="I967" s="976"/>
      <c r="J967" s="1041">
        <v>5</v>
      </c>
      <c r="K967" s="976">
        <v>52.808779999999999</v>
      </c>
      <c r="L967" s="978">
        <v>0.30877999999999872</v>
      </c>
      <c r="M967" s="976" t="s">
        <v>3589</v>
      </c>
      <c r="N967" s="976">
        <v>70.41170666666666</v>
      </c>
      <c r="O967" s="735">
        <f t="shared" si="44"/>
        <v>0.41170666666666023</v>
      </c>
      <c r="P967" s="738">
        <f t="shared" si="42"/>
        <v>70411.706666666665</v>
      </c>
      <c r="Q967" s="751">
        <f t="shared" si="43"/>
        <v>70000</v>
      </c>
      <c r="U967" s="751"/>
      <c r="V967" s="988"/>
      <c r="W967" s="1024"/>
    </row>
    <row r="968" spans="1:240" ht="14.25" customHeight="1">
      <c r="A968" s="976" t="s">
        <v>3927</v>
      </c>
      <c r="B968" s="976" t="s">
        <v>1263</v>
      </c>
      <c r="C968" s="977">
        <v>1845400720</v>
      </c>
      <c r="D968" s="976" t="s">
        <v>400</v>
      </c>
      <c r="E968" s="976">
        <v>100</v>
      </c>
      <c r="F968" s="976">
        <v>100</v>
      </c>
      <c r="G968" s="976">
        <v>75</v>
      </c>
      <c r="H968" s="976">
        <v>33.804749999999999</v>
      </c>
      <c r="I968" s="976"/>
      <c r="J968" s="1041">
        <v>41</v>
      </c>
      <c r="K968" s="976">
        <v>74.804749999999999</v>
      </c>
      <c r="L968" s="978">
        <v>-0.19525000000000148</v>
      </c>
      <c r="M968" s="976" t="s">
        <v>3589</v>
      </c>
      <c r="N968" s="976">
        <v>99.739666666666665</v>
      </c>
      <c r="O968" s="735">
        <f t="shared" si="44"/>
        <v>-0.2603333333333353</v>
      </c>
      <c r="P968" s="738">
        <f t="shared" ref="P968:P1031" si="45">N968*1000</f>
        <v>99739.666666666672</v>
      </c>
      <c r="Q968" s="751">
        <f t="shared" ref="Q968:Q1031" si="46">ROUND(P968,-3)</f>
        <v>100000</v>
      </c>
      <c r="U968" s="751"/>
      <c r="V968" s="988"/>
      <c r="W968" s="1024"/>
    </row>
    <row r="969" spans="1:240" ht="14.25" customHeight="1">
      <c r="A969" s="976" t="s">
        <v>3909</v>
      </c>
      <c r="B969" s="976" t="s">
        <v>1263</v>
      </c>
      <c r="C969" s="977">
        <v>1845400780</v>
      </c>
      <c r="D969" s="976" t="s">
        <v>280</v>
      </c>
      <c r="E969" s="976">
        <v>1730</v>
      </c>
      <c r="F969" s="976">
        <v>1730</v>
      </c>
      <c r="G969" s="976">
        <v>1297.5</v>
      </c>
      <c r="H969" s="976">
        <v>1087.22775</v>
      </c>
      <c r="I969" s="976"/>
      <c r="J969" s="1041">
        <v>210</v>
      </c>
      <c r="K969" s="976">
        <v>1297.22775</v>
      </c>
      <c r="L969" s="978">
        <v>-0.27224999999998545</v>
      </c>
      <c r="M969" s="976" t="s">
        <v>3589</v>
      </c>
      <c r="N969" s="976">
        <v>1729.6369999999999</v>
      </c>
      <c r="O969" s="735">
        <f t="shared" ref="O969:O1032" si="47">N969-E969</f>
        <v>-0.36300000000005639</v>
      </c>
      <c r="P969" s="738">
        <f t="shared" si="45"/>
        <v>1729637</v>
      </c>
      <c r="Q969" s="751">
        <f t="shared" si="46"/>
        <v>1730000</v>
      </c>
      <c r="U969" s="751"/>
      <c r="V969" s="988"/>
      <c r="W969" s="1024"/>
    </row>
    <row r="970" spans="1:240" ht="14.25" customHeight="1">
      <c r="A970" s="976" t="s">
        <v>3912</v>
      </c>
      <c r="B970" s="976" t="s">
        <v>1263</v>
      </c>
      <c r="C970" s="977">
        <v>1845400781</v>
      </c>
      <c r="D970" s="976" t="s">
        <v>767</v>
      </c>
      <c r="E970" s="976">
        <v>400</v>
      </c>
      <c r="F970" s="976">
        <v>400</v>
      </c>
      <c r="G970" s="976">
        <v>300</v>
      </c>
      <c r="H970" s="976">
        <v>270.96171999999996</v>
      </c>
      <c r="I970" s="976"/>
      <c r="J970" s="1041">
        <v>29</v>
      </c>
      <c r="K970" s="976">
        <v>299.96171999999996</v>
      </c>
      <c r="L970" s="978">
        <v>-3.8280000000042946E-2</v>
      </c>
      <c r="M970" s="976" t="s">
        <v>3589</v>
      </c>
      <c r="N970" s="976">
        <v>399.94895999999994</v>
      </c>
      <c r="O970" s="735">
        <f t="shared" si="47"/>
        <v>-5.1040000000057262E-2</v>
      </c>
      <c r="P970" s="738">
        <f t="shared" si="45"/>
        <v>399948.95999999996</v>
      </c>
      <c r="Q970" s="751">
        <f t="shared" si="46"/>
        <v>400000</v>
      </c>
      <c r="U970" s="751"/>
      <c r="V970" s="988"/>
      <c r="W970" s="1024"/>
    </row>
    <row r="971" spans="1:240" s="747" customFormat="1" ht="14.25" customHeight="1">
      <c r="A971" s="976" t="s">
        <v>3947</v>
      </c>
      <c r="B971" s="976" t="s">
        <v>1263</v>
      </c>
      <c r="C971" s="977">
        <v>1845400822</v>
      </c>
      <c r="D971" s="976" t="s">
        <v>169</v>
      </c>
      <c r="E971" s="976">
        <v>913</v>
      </c>
      <c r="F971" s="976">
        <v>913</v>
      </c>
      <c r="G971" s="976">
        <v>684.75</v>
      </c>
      <c r="H971" s="976">
        <v>532.86500000000001</v>
      </c>
      <c r="I971" s="976"/>
      <c r="J971" s="1032">
        <v>-36</v>
      </c>
      <c r="K971" s="976">
        <v>496.86500000000001</v>
      </c>
      <c r="L971" s="978">
        <v>-187.88499999999999</v>
      </c>
      <c r="M971" s="976" t="s">
        <v>3589</v>
      </c>
      <c r="N971" s="976">
        <v>662.48666666666668</v>
      </c>
      <c r="O971" s="735">
        <f t="shared" si="47"/>
        <v>-250.51333333333332</v>
      </c>
      <c r="P971" s="738">
        <f t="shared" si="45"/>
        <v>662486.66666666663</v>
      </c>
      <c r="Q971" s="751">
        <f t="shared" si="46"/>
        <v>662000</v>
      </c>
      <c r="U971" s="751"/>
      <c r="V971" s="988"/>
      <c r="W971" s="1024"/>
      <c r="CD971" s="845"/>
      <c r="CE971" s="845"/>
      <c r="CF971" s="845"/>
      <c r="CG971" s="845"/>
      <c r="CH971" s="845"/>
      <c r="CI971" s="845"/>
      <c r="CJ971" s="845"/>
      <c r="CK971" s="845"/>
      <c r="CL971" s="845"/>
      <c r="CM971" s="845"/>
      <c r="CN971" s="845"/>
      <c r="CO971" s="845"/>
      <c r="CP971" s="845"/>
      <c r="CQ971" s="845"/>
      <c r="CR971" s="845"/>
      <c r="CS971" s="845"/>
      <c r="CT971" s="845"/>
      <c r="CU971" s="845"/>
      <c r="CV971" s="845"/>
      <c r="CW971" s="845"/>
      <c r="CX971" s="845"/>
      <c r="CY971" s="845"/>
      <c r="CZ971" s="845"/>
      <c r="DA971" s="845"/>
      <c r="DB971" s="845"/>
      <c r="DC971" s="845"/>
      <c r="DD971" s="845"/>
      <c r="DE971" s="845"/>
      <c r="DF971" s="845"/>
      <c r="DG971" s="845"/>
      <c r="DH971" s="845"/>
      <c r="DI971" s="845"/>
      <c r="DJ971" s="845"/>
      <c r="DK971" s="845"/>
      <c r="DL971" s="845"/>
      <c r="DM971" s="845"/>
      <c r="DN971" s="845"/>
      <c r="DO971" s="845"/>
      <c r="DP971" s="845"/>
      <c r="DQ971" s="845"/>
      <c r="DR971" s="845"/>
      <c r="DS971" s="845"/>
      <c r="DT971" s="845"/>
      <c r="DU971" s="845"/>
      <c r="DV971" s="845"/>
      <c r="DW971" s="845"/>
      <c r="DX971" s="845"/>
      <c r="DY971" s="845"/>
      <c r="DZ971" s="845"/>
      <c r="EA971" s="845"/>
      <c r="EB971" s="845"/>
      <c r="EC971" s="845"/>
      <c r="ED971" s="845"/>
      <c r="EE971" s="845"/>
      <c r="EF971" s="845"/>
      <c r="EG971" s="845"/>
      <c r="EH971" s="845"/>
      <c r="EI971" s="845"/>
      <c r="EJ971" s="845"/>
      <c r="EK971" s="845"/>
      <c r="EL971" s="845"/>
      <c r="EM971" s="845"/>
      <c r="EN971" s="845"/>
      <c r="EO971" s="845"/>
      <c r="EP971" s="845"/>
      <c r="EQ971" s="845"/>
      <c r="ER971" s="845"/>
      <c r="ES971" s="845"/>
      <c r="ET971" s="845"/>
      <c r="EU971" s="845"/>
      <c r="EV971" s="845"/>
      <c r="EW971" s="845"/>
      <c r="EX971" s="845"/>
      <c r="EY971" s="845"/>
      <c r="EZ971" s="845"/>
      <c r="FA971" s="845"/>
      <c r="FB971" s="845"/>
      <c r="FC971" s="845"/>
      <c r="FD971" s="845"/>
      <c r="FE971" s="845"/>
      <c r="FF971" s="845"/>
      <c r="FG971" s="845"/>
      <c r="FH971" s="845"/>
      <c r="FI971" s="845"/>
      <c r="FJ971" s="845"/>
      <c r="FK971" s="845"/>
      <c r="FL971" s="845"/>
      <c r="FM971" s="845"/>
      <c r="FN971" s="845"/>
      <c r="FO971" s="845"/>
      <c r="FP971" s="845"/>
      <c r="FQ971" s="845"/>
      <c r="FR971" s="845"/>
      <c r="FS971" s="845"/>
      <c r="FT971" s="845"/>
      <c r="FU971" s="845"/>
      <c r="FV971" s="845"/>
      <c r="FW971" s="845"/>
      <c r="FX971" s="845"/>
      <c r="FY971" s="845"/>
      <c r="FZ971" s="845"/>
      <c r="GA971" s="845"/>
      <c r="GB971" s="845"/>
      <c r="GC971" s="845"/>
      <c r="GD971" s="845"/>
      <c r="GE971" s="845"/>
      <c r="GF971" s="845"/>
      <c r="GG971" s="845"/>
      <c r="GH971" s="845"/>
      <c r="GI971" s="845"/>
      <c r="GJ971" s="845"/>
      <c r="GK971" s="845"/>
      <c r="GL971" s="845"/>
      <c r="GM971" s="845"/>
      <c r="GN971" s="845"/>
      <c r="GO971" s="845"/>
      <c r="GP971" s="845"/>
      <c r="GQ971" s="845"/>
      <c r="GR971" s="845"/>
      <c r="GS971" s="845"/>
      <c r="GT971" s="845"/>
      <c r="GU971" s="845"/>
      <c r="GV971" s="845"/>
      <c r="GW971" s="845"/>
      <c r="GX971" s="845"/>
      <c r="GY971" s="845"/>
      <c r="GZ971" s="845"/>
      <c r="HA971" s="845"/>
      <c r="HB971" s="845"/>
      <c r="HC971" s="845"/>
      <c r="HD971" s="845"/>
      <c r="HE971" s="845"/>
      <c r="HF971" s="845"/>
      <c r="HG971" s="845"/>
      <c r="HH971" s="845"/>
      <c r="HI971" s="845"/>
      <c r="HJ971" s="845"/>
      <c r="HK971" s="845"/>
      <c r="HL971" s="845"/>
      <c r="HM971" s="845"/>
      <c r="HN971" s="845"/>
      <c r="HO971" s="845"/>
      <c r="HP971" s="845"/>
      <c r="HQ971" s="845"/>
      <c r="HR971" s="845"/>
      <c r="HS971" s="845"/>
      <c r="HT971" s="845"/>
      <c r="HU971" s="845"/>
      <c r="HV971" s="845"/>
      <c r="HW971" s="845"/>
      <c r="HX971" s="845"/>
      <c r="HY971" s="845"/>
      <c r="HZ971" s="845"/>
      <c r="IA971" s="845"/>
      <c r="IB971" s="845"/>
      <c r="IC971" s="845"/>
      <c r="ID971" s="845"/>
      <c r="IE971" s="845"/>
      <c r="IF971" s="845"/>
    </row>
    <row r="972" spans="1:240" s="747" customFormat="1" ht="14.25" customHeight="1">
      <c r="A972" s="976" t="s">
        <v>3952</v>
      </c>
      <c r="B972" s="976" t="s">
        <v>1263</v>
      </c>
      <c r="C972" s="977">
        <v>1845400823</v>
      </c>
      <c r="D972" s="976" t="s">
        <v>771</v>
      </c>
      <c r="E972" s="976">
        <v>97</v>
      </c>
      <c r="F972" s="976">
        <v>97</v>
      </c>
      <c r="G972" s="976">
        <v>72.75</v>
      </c>
      <c r="H972" s="976">
        <v>3.827</v>
      </c>
      <c r="I972" s="976"/>
      <c r="J972" s="1041">
        <v>69</v>
      </c>
      <c r="K972" s="976">
        <v>72.826999999999998</v>
      </c>
      <c r="L972" s="978">
        <v>7.6999999999998181E-2</v>
      </c>
      <c r="M972" s="976" t="s">
        <v>3589</v>
      </c>
      <c r="N972" s="976">
        <v>97.102666666666664</v>
      </c>
      <c r="O972" s="735">
        <f t="shared" si="47"/>
        <v>0.10266666666666424</v>
      </c>
      <c r="P972" s="738">
        <f t="shared" si="45"/>
        <v>97102.666666666657</v>
      </c>
      <c r="Q972" s="751">
        <f t="shared" si="46"/>
        <v>97000</v>
      </c>
      <c r="U972" s="751"/>
      <c r="V972" s="988"/>
      <c r="W972" s="1024"/>
      <c r="CD972" s="845"/>
      <c r="CE972" s="845"/>
      <c r="CF972" s="845"/>
      <c r="CG972" s="845"/>
      <c r="CH972" s="845"/>
      <c r="CI972" s="845"/>
      <c r="CJ972" s="845"/>
      <c r="CK972" s="845"/>
      <c r="CL972" s="845"/>
      <c r="CM972" s="845"/>
      <c r="CN972" s="845"/>
      <c r="CO972" s="845"/>
      <c r="CP972" s="845"/>
      <c r="CQ972" s="845"/>
      <c r="CR972" s="845"/>
      <c r="CS972" s="845"/>
      <c r="CT972" s="845"/>
      <c r="CU972" s="845"/>
      <c r="CV972" s="845"/>
      <c r="CW972" s="845"/>
      <c r="CX972" s="845"/>
      <c r="CY972" s="845"/>
      <c r="CZ972" s="845"/>
      <c r="DA972" s="845"/>
      <c r="DB972" s="845"/>
      <c r="DC972" s="845"/>
      <c r="DD972" s="845"/>
      <c r="DE972" s="845"/>
      <c r="DF972" s="845"/>
      <c r="DG972" s="845"/>
      <c r="DH972" s="845"/>
      <c r="DI972" s="845"/>
      <c r="DJ972" s="845"/>
      <c r="DK972" s="845"/>
      <c r="DL972" s="845"/>
      <c r="DM972" s="845"/>
      <c r="DN972" s="845"/>
      <c r="DO972" s="845"/>
      <c r="DP972" s="845"/>
      <c r="DQ972" s="845"/>
      <c r="DR972" s="845"/>
      <c r="DS972" s="845"/>
      <c r="DT972" s="845"/>
      <c r="DU972" s="845"/>
      <c r="DV972" s="845"/>
      <c r="DW972" s="845"/>
      <c r="DX972" s="845"/>
      <c r="DY972" s="845"/>
      <c r="DZ972" s="845"/>
      <c r="EA972" s="845"/>
      <c r="EB972" s="845"/>
      <c r="EC972" s="845"/>
      <c r="ED972" s="845"/>
      <c r="EE972" s="845"/>
      <c r="EF972" s="845"/>
      <c r="EG972" s="845"/>
      <c r="EH972" s="845"/>
      <c r="EI972" s="845"/>
      <c r="EJ972" s="845"/>
      <c r="EK972" s="845"/>
      <c r="EL972" s="845"/>
      <c r="EM972" s="845"/>
      <c r="EN972" s="845"/>
      <c r="EO972" s="845"/>
      <c r="EP972" s="845"/>
      <c r="EQ972" s="845"/>
      <c r="ER972" s="845"/>
      <c r="ES972" s="845"/>
      <c r="ET972" s="845"/>
      <c r="EU972" s="845"/>
      <c r="EV972" s="845"/>
      <c r="EW972" s="845"/>
      <c r="EX972" s="845"/>
      <c r="EY972" s="845"/>
      <c r="EZ972" s="845"/>
      <c r="FA972" s="845"/>
      <c r="FB972" s="845"/>
      <c r="FC972" s="845"/>
      <c r="FD972" s="845"/>
      <c r="FE972" s="845"/>
      <c r="FF972" s="845"/>
      <c r="FG972" s="845"/>
      <c r="FH972" s="845"/>
      <c r="FI972" s="845"/>
      <c r="FJ972" s="845"/>
      <c r="FK972" s="845"/>
      <c r="FL972" s="845"/>
      <c r="FM972" s="845"/>
      <c r="FN972" s="845"/>
      <c r="FO972" s="845"/>
      <c r="FP972" s="845"/>
      <c r="FQ972" s="845"/>
      <c r="FR972" s="845"/>
      <c r="FS972" s="845"/>
      <c r="FT972" s="845"/>
      <c r="FU972" s="845"/>
      <c r="FV972" s="845"/>
      <c r="FW972" s="845"/>
      <c r="FX972" s="845"/>
      <c r="FY972" s="845"/>
      <c r="FZ972" s="845"/>
      <c r="GA972" s="845"/>
      <c r="GB972" s="845"/>
      <c r="GC972" s="845"/>
      <c r="GD972" s="845"/>
      <c r="GE972" s="845"/>
      <c r="GF972" s="845"/>
      <c r="GG972" s="845"/>
      <c r="GH972" s="845"/>
      <c r="GI972" s="845"/>
      <c r="GJ972" s="845"/>
      <c r="GK972" s="845"/>
      <c r="GL972" s="845"/>
      <c r="GM972" s="845"/>
      <c r="GN972" s="845"/>
      <c r="GO972" s="845"/>
      <c r="GP972" s="845"/>
      <c r="GQ972" s="845"/>
      <c r="GR972" s="845"/>
      <c r="GS972" s="845"/>
      <c r="GT972" s="845"/>
      <c r="GU972" s="845"/>
      <c r="GV972" s="845"/>
      <c r="GW972" s="845"/>
      <c r="GX972" s="845"/>
      <c r="GY972" s="845"/>
      <c r="GZ972" s="845"/>
      <c r="HA972" s="845"/>
      <c r="HB972" s="845"/>
      <c r="HC972" s="845"/>
      <c r="HD972" s="845"/>
      <c r="HE972" s="845"/>
      <c r="HF972" s="845"/>
      <c r="HG972" s="845"/>
      <c r="HH972" s="845"/>
      <c r="HI972" s="845"/>
      <c r="HJ972" s="845"/>
      <c r="HK972" s="845"/>
      <c r="HL972" s="845"/>
      <c r="HM972" s="845"/>
      <c r="HN972" s="845"/>
      <c r="HO972" s="845"/>
      <c r="HP972" s="845"/>
      <c r="HQ972" s="845"/>
      <c r="HR972" s="845"/>
      <c r="HS972" s="845"/>
      <c r="HT972" s="845"/>
      <c r="HU972" s="845"/>
      <c r="HV972" s="845"/>
      <c r="HW972" s="845"/>
      <c r="HX972" s="845"/>
      <c r="HY972" s="845"/>
      <c r="HZ972" s="845"/>
      <c r="IA972" s="845"/>
      <c r="IB972" s="845"/>
      <c r="IC972" s="845"/>
      <c r="ID972" s="845"/>
      <c r="IE972" s="845"/>
      <c r="IF972" s="845"/>
    </row>
    <row r="973" spans="1:240" s="747" customFormat="1" ht="14.25" customHeight="1">
      <c r="A973" s="976" t="s">
        <v>3952</v>
      </c>
      <c r="B973" s="976" t="s">
        <v>1263</v>
      </c>
      <c r="C973" s="977">
        <v>1846300823</v>
      </c>
      <c r="D973" s="976" t="s">
        <v>777</v>
      </c>
      <c r="E973" s="976">
        <v>20</v>
      </c>
      <c r="F973" s="976">
        <v>20</v>
      </c>
      <c r="G973" s="976">
        <v>15</v>
      </c>
      <c r="H973" s="976">
        <v>117.953</v>
      </c>
      <c r="I973" s="976"/>
      <c r="J973" s="1032">
        <v>-118</v>
      </c>
      <c r="K973" s="976">
        <v>-4.6999999999997044E-2</v>
      </c>
      <c r="L973" s="978">
        <v>-15.046999999999997</v>
      </c>
      <c r="M973" s="976" t="s">
        <v>3589</v>
      </c>
      <c r="N973" s="976">
        <v>-6.2666666666662721E-2</v>
      </c>
      <c r="O973" s="735">
        <f t="shared" si="47"/>
        <v>-20.062666666666662</v>
      </c>
      <c r="P973" s="738">
        <f t="shared" si="45"/>
        <v>-62.666666666662721</v>
      </c>
      <c r="Q973" s="751">
        <f t="shared" si="46"/>
        <v>0</v>
      </c>
      <c r="U973" s="751"/>
      <c r="V973" s="988"/>
      <c r="W973" s="1024"/>
      <c r="CD973" s="845"/>
      <c r="CE973" s="845"/>
      <c r="CF973" s="845"/>
      <c r="CG973" s="845"/>
      <c r="CH973" s="845"/>
      <c r="CI973" s="845"/>
      <c r="CJ973" s="845"/>
      <c r="CK973" s="845"/>
      <c r="CL973" s="845"/>
      <c r="CM973" s="845"/>
      <c r="CN973" s="845"/>
      <c r="CO973" s="845"/>
      <c r="CP973" s="845"/>
      <c r="CQ973" s="845"/>
      <c r="CR973" s="845"/>
      <c r="CS973" s="845"/>
      <c r="CT973" s="845"/>
      <c r="CU973" s="845"/>
      <c r="CV973" s="845"/>
      <c r="CW973" s="845"/>
      <c r="CX973" s="845"/>
      <c r="CY973" s="845"/>
      <c r="CZ973" s="845"/>
      <c r="DA973" s="845"/>
      <c r="DB973" s="845"/>
      <c r="DC973" s="845"/>
      <c r="DD973" s="845"/>
      <c r="DE973" s="845"/>
      <c r="DF973" s="845"/>
      <c r="DG973" s="845"/>
      <c r="DH973" s="845"/>
      <c r="DI973" s="845"/>
      <c r="DJ973" s="845"/>
      <c r="DK973" s="845"/>
      <c r="DL973" s="845"/>
      <c r="DM973" s="845"/>
      <c r="DN973" s="845"/>
      <c r="DO973" s="845"/>
      <c r="DP973" s="845"/>
      <c r="DQ973" s="845"/>
      <c r="DR973" s="845"/>
      <c r="DS973" s="845"/>
      <c r="DT973" s="845"/>
      <c r="DU973" s="845"/>
      <c r="DV973" s="845"/>
      <c r="DW973" s="845"/>
      <c r="DX973" s="845"/>
      <c r="DY973" s="845"/>
      <c r="DZ973" s="845"/>
      <c r="EA973" s="845"/>
      <c r="EB973" s="845"/>
      <c r="EC973" s="845"/>
      <c r="ED973" s="845"/>
      <c r="EE973" s="845"/>
      <c r="EF973" s="845"/>
      <c r="EG973" s="845"/>
      <c r="EH973" s="845"/>
      <c r="EI973" s="845"/>
      <c r="EJ973" s="845"/>
      <c r="EK973" s="845"/>
      <c r="EL973" s="845"/>
      <c r="EM973" s="845"/>
      <c r="EN973" s="845"/>
      <c r="EO973" s="845"/>
      <c r="EP973" s="845"/>
      <c r="EQ973" s="845"/>
      <c r="ER973" s="845"/>
      <c r="ES973" s="845"/>
      <c r="ET973" s="845"/>
      <c r="EU973" s="845"/>
      <c r="EV973" s="845"/>
      <c r="EW973" s="845"/>
      <c r="EX973" s="845"/>
      <c r="EY973" s="845"/>
      <c r="EZ973" s="845"/>
      <c r="FA973" s="845"/>
      <c r="FB973" s="845"/>
      <c r="FC973" s="845"/>
      <c r="FD973" s="845"/>
      <c r="FE973" s="845"/>
      <c r="FF973" s="845"/>
      <c r="FG973" s="845"/>
      <c r="FH973" s="845"/>
      <c r="FI973" s="845"/>
      <c r="FJ973" s="845"/>
      <c r="FK973" s="845"/>
      <c r="FL973" s="845"/>
      <c r="FM973" s="845"/>
      <c r="FN973" s="845"/>
      <c r="FO973" s="845"/>
      <c r="FP973" s="845"/>
      <c r="FQ973" s="845"/>
      <c r="FR973" s="845"/>
      <c r="FS973" s="845"/>
      <c r="FT973" s="845"/>
      <c r="FU973" s="845"/>
      <c r="FV973" s="845"/>
      <c r="FW973" s="845"/>
      <c r="FX973" s="845"/>
      <c r="FY973" s="845"/>
      <c r="FZ973" s="845"/>
      <c r="GA973" s="845"/>
      <c r="GB973" s="845"/>
      <c r="GC973" s="845"/>
      <c r="GD973" s="845"/>
      <c r="GE973" s="845"/>
      <c r="GF973" s="845"/>
      <c r="GG973" s="845"/>
      <c r="GH973" s="845"/>
      <c r="GI973" s="845"/>
      <c r="GJ973" s="845"/>
      <c r="GK973" s="845"/>
      <c r="GL973" s="845"/>
      <c r="GM973" s="845"/>
      <c r="GN973" s="845"/>
      <c r="GO973" s="845"/>
      <c r="GP973" s="845"/>
      <c r="GQ973" s="845"/>
      <c r="GR973" s="845"/>
      <c r="GS973" s="845"/>
      <c r="GT973" s="845"/>
      <c r="GU973" s="845"/>
      <c r="GV973" s="845"/>
      <c r="GW973" s="845"/>
      <c r="GX973" s="845"/>
      <c r="GY973" s="845"/>
      <c r="GZ973" s="845"/>
      <c r="HA973" s="845"/>
      <c r="HB973" s="845"/>
      <c r="HC973" s="845"/>
      <c r="HD973" s="845"/>
      <c r="HE973" s="845"/>
      <c r="HF973" s="845"/>
      <c r="HG973" s="845"/>
      <c r="HH973" s="845"/>
      <c r="HI973" s="845"/>
      <c r="HJ973" s="845"/>
      <c r="HK973" s="845"/>
      <c r="HL973" s="845"/>
      <c r="HM973" s="845"/>
      <c r="HN973" s="845"/>
      <c r="HO973" s="845"/>
      <c r="HP973" s="845"/>
      <c r="HQ973" s="845"/>
      <c r="HR973" s="845"/>
      <c r="HS973" s="845"/>
      <c r="HT973" s="845"/>
      <c r="HU973" s="845"/>
      <c r="HV973" s="845"/>
      <c r="HW973" s="845"/>
      <c r="HX973" s="845"/>
      <c r="HY973" s="845"/>
      <c r="HZ973" s="845"/>
      <c r="IA973" s="845"/>
      <c r="IB973" s="845"/>
      <c r="IC973" s="845"/>
      <c r="ID973" s="845"/>
      <c r="IE973" s="845"/>
      <c r="IF973" s="845"/>
    </row>
    <row r="974" spans="1:240" s="747" customFormat="1" ht="14.25" customHeight="1">
      <c r="A974" s="976" t="s">
        <v>3947</v>
      </c>
      <c r="B974" s="976" t="s">
        <v>1263</v>
      </c>
      <c r="C974" s="977">
        <v>1846400822</v>
      </c>
      <c r="D974" s="976" t="s">
        <v>176</v>
      </c>
      <c r="E974" s="976">
        <v>310</v>
      </c>
      <c r="F974" s="976">
        <v>310</v>
      </c>
      <c r="G974" s="976">
        <v>232.5</v>
      </c>
      <c r="H974" s="976">
        <v>134.62100000000001</v>
      </c>
      <c r="I974" s="976"/>
      <c r="J974" s="1041">
        <v>32</v>
      </c>
      <c r="K974" s="976">
        <v>166.62100000000001</v>
      </c>
      <c r="L974" s="978">
        <v>-65.878999999999991</v>
      </c>
      <c r="M974" s="976" t="s">
        <v>3589</v>
      </c>
      <c r="N974" s="976">
        <v>222.16133333333335</v>
      </c>
      <c r="O974" s="735">
        <f t="shared" si="47"/>
        <v>-87.838666666666654</v>
      </c>
      <c r="P974" s="738">
        <f t="shared" si="45"/>
        <v>222161.33333333334</v>
      </c>
      <c r="Q974" s="751">
        <f t="shared" si="46"/>
        <v>222000</v>
      </c>
      <c r="U974" s="751"/>
      <c r="V974" s="988"/>
      <c r="W974" s="1024"/>
      <c r="CD974" s="845"/>
      <c r="CE974" s="845"/>
      <c r="CF974" s="845"/>
      <c r="CG974" s="845"/>
      <c r="CH974" s="845"/>
      <c r="CI974" s="845"/>
      <c r="CJ974" s="845"/>
      <c r="CK974" s="845"/>
      <c r="CL974" s="845"/>
      <c r="CM974" s="845"/>
      <c r="CN974" s="845"/>
      <c r="CO974" s="845"/>
      <c r="CP974" s="845"/>
      <c r="CQ974" s="845"/>
      <c r="CR974" s="845"/>
      <c r="CS974" s="845"/>
      <c r="CT974" s="845"/>
      <c r="CU974" s="845"/>
      <c r="CV974" s="845"/>
      <c r="CW974" s="845"/>
      <c r="CX974" s="845"/>
      <c r="CY974" s="845"/>
      <c r="CZ974" s="845"/>
      <c r="DA974" s="845"/>
      <c r="DB974" s="845"/>
      <c r="DC974" s="845"/>
      <c r="DD974" s="845"/>
      <c r="DE974" s="845"/>
      <c r="DF974" s="845"/>
      <c r="DG974" s="845"/>
      <c r="DH974" s="845"/>
      <c r="DI974" s="845"/>
      <c r="DJ974" s="845"/>
      <c r="DK974" s="845"/>
      <c r="DL974" s="845"/>
      <c r="DM974" s="845"/>
      <c r="DN974" s="845"/>
      <c r="DO974" s="845"/>
      <c r="DP974" s="845"/>
      <c r="DQ974" s="845"/>
      <c r="DR974" s="845"/>
      <c r="DS974" s="845"/>
      <c r="DT974" s="845"/>
      <c r="DU974" s="845"/>
      <c r="DV974" s="845"/>
      <c r="DW974" s="845"/>
      <c r="DX974" s="845"/>
      <c r="DY974" s="845"/>
      <c r="DZ974" s="845"/>
      <c r="EA974" s="845"/>
      <c r="EB974" s="845"/>
      <c r="EC974" s="845"/>
      <c r="ED974" s="845"/>
      <c r="EE974" s="845"/>
      <c r="EF974" s="845"/>
      <c r="EG974" s="845"/>
      <c r="EH974" s="845"/>
      <c r="EI974" s="845"/>
      <c r="EJ974" s="845"/>
      <c r="EK974" s="845"/>
      <c r="EL974" s="845"/>
      <c r="EM974" s="845"/>
      <c r="EN974" s="845"/>
      <c r="EO974" s="845"/>
      <c r="EP974" s="845"/>
      <c r="EQ974" s="845"/>
      <c r="ER974" s="845"/>
      <c r="ES974" s="845"/>
      <c r="ET974" s="845"/>
      <c r="EU974" s="845"/>
      <c r="EV974" s="845"/>
      <c r="EW974" s="845"/>
      <c r="EX974" s="845"/>
      <c r="EY974" s="845"/>
      <c r="EZ974" s="845"/>
      <c r="FA974" s="845"/>
      <c r="FB974" s="845"/>
      <c r="FC974" s="845"/>
      <c r="FD974" s="845"/>
      <c r="FE974" s="845"/>
      <c r="FF974" s="845"/>
      <c r="FG974" s="845"/>
      <c r="FH974" s="845"/>
      <c r="FI974" s="845"/>
      <c r="FJ974" s="845"/>
      <c r="FK974" s="845"/>
      <c r="FL974" s="845"/>
      <c r="FM974" s="845"/>
      <c r="FN974" s="845"/>
      <c r="FO974" s="845"/>
      <c r="FP974" s="845"/>
      <c r="FQ974" s="845"/>
      <c r="FR974" s="845"/>
      <c r="FS974" s="845"/>
      <c r="FT974" s="845"/>
      <c r="FU974" s="845"/>
      <c r="FV974" s="845"/>
      <c r="FW974" s="845"/>
      <c r="FX974" s="845"/>
      <c r="FY974" s="845"/>
      <c r="FZ974" s="845"/>
      <c r="GA974" s="845"/>
      <c r="GB974" s="845"/>
      <c r="GC974" s="845"/>
      <c r="GD974" s="845"/>
      <c r="GE974" s="845"/>
      <c r="GF974" s="845"/>
      <c r="GG974" s="845"/>
      <c r="GH974" s="845"/>
      <c r="GI974" s="845"/>
      <c r="GJ974" s="845"/>
      <c r="GK974" s="845"/>
      <c r="GL974" s="845"/>
      <c r="GM974" s="845"/>
      <c r="GN974" s="845"/>
      <c r="GO974" s="845"/>
      <c r="GP974" s="845"/>
      <c r="GQ974" s="845"/>
      <c r="GR974" s="845"/>
      <c r="GS974" s="845"/>
      <c r="GT974" s="845"/>
      <c r="GU974" s="845"/>
      <c r="GV974" s="845"/>
      <c r="GW974" s="845"/>
      <c r="GX974" s="845"/>
      <c r="GY974" s="845"/>
      <c r="GZ974" s="845"/>
      <c r="HA974" s="845"/>
      <c r="HB974" s="845"/>
      <c r="HC974" s="845"/>
      <c r="HD974" s="845"/>
      <c r="HE974" s="845"/>
      <c r="HF974" s="845"/>
      <c r="HG974" s="845"/>
      <c r="HH974" s="845"/>
      <c r="HI974" s="845"/>
      <c r="HJ974" s="845"/>
      <c r="HK974" s="845"/>
      <c r="HL974" s="845"/>
      <c r="HM974" s="845"/>
      <c r="HN974" s="845"/>
      <c r="HO974" s="845"/>
      <c r="HP974" s="845"/>
      <c r="HQ974" s="845"/>
      <c r="HR974" s="845"/>
      <c r="HS974" s="845"/>
      <c r="HT974" s="845"/>
      <c r="HU974" s="845"/>
      <c r="HV974" s="845"/>
      <c r="HW974" s="845"/>
      <c r="HX974" s="845"/>
      <c r="HY974" s="845"/>
      <c r="HZ974" s="845"/>
      <c r="IA974" s="845"/>
      <c r="IB974" s="845"/>
      <c r="IC974" s="845"/>
      <c r="ID974" s="845"/>
      <c r="IE974" s="845"/>
      <c r="IF974" s="845"/>
    </row>
    <row r="975" spans="1:240" s="747" customFormat="1" ht="14.25" customHeight="1">
      <c r="A975" s="976" t="s">
        <v>3937</v>
      </c>
      <c r="B975" s="976" t="s">
        <v>1263</v>
      </c>
      <c r="C975" s="977">
        <v>1845400820</v>
      </c>
      <c r="D975" s="976" t="s">
        <v>769</v>
      </c>
      <c r="E975" s="976">
        <v>307</v>
      </c>
      <c r="F975" s="976">
        <v>307</v>
      </c>
      <c r="G975" s="976">
        <v>230.25</v>
      </c>
      <c r="H975" s="976">
        <v>223.72399999999999</v>
      </c>
      <c r="I975" s="976"/>
      <c r="J975" s="1041">
        <v>7</v>
      </c>
      <c r="K975" s="976">
        <v>230.72399999999999</v>
      </c>
      <c r="L975" s="978">
        <v>0.47399999999998954</v>
      </c>
      <c r="M975" s="976" t="s">
        <v>3589</v>
      </c>
      <c r="N975" s="976">
        <v>307.63200000000001</v>
      </c>
      <c r="O975" s="735">
        <f t="shared" si="47"/>
        <v>0.632000000000005</v>
      </c>
      <c r="P975" s="738">
        <f t="shared" si="45"/>
        <v>307632</v>
      </c>
      <c r="Q975" s="751">
        <f t="shared" si="46"/>
        <v>308000</v>
      </c>
      <c r="U975" s="751"/>
      <c r="V975" s="988"/>
      <c r="W975" s="1024"/>
      <c r="CD975" s="845"/>
      <c r="CE975" s="845"/>
      <c r="CF975" s="845"/>
      <c r="CG975" s="845"/>
      <c r="CH975" s="845"/>
      <c r="CI975" s="845"/>
      <c r="CJ975" s="845"/>
      <c r="CK975" s="845"/>
      <c r="CL975" s="845"/>
      <c r="CM975" s="845"/>
      <c r="CN975" s="845"/>
      <c r="CO975" s="845"/>
      <c r="CP975" s="845"/>
      <c r="CQ975" s="845"/>
      <c r="CR975" s="845"/>
      <c r="CS975" s="845"/>
      <c r="CT975" s="845"/>
      <c r="CU975" s="845"/>
      <c r="CV975" s="845"/>
      <c r="CW975" s="845"/>
      <c r="CX975" s="845"/>
      <c r="CY975" s="845"/>
      <c r="CZ975" s="845"/>
      <c r="DA975" s="845"/>
      <c r="DB975" s="845"/>
      <c r="DC975" s="845"/>
      <c r="DD975" s="845"/>
      <c r="DE975" s="845"/>
      <c r="DF975" s="845"/>
      <c r="DG975" s="845"/>
      <c r="DH975" s="845"/>
      <c r="DI975" s="845"/>
      <c r="DJ975" s="845"/>
      <c r="DK975" s="845"/>
      <c r="DL975" s="845"/>
      <c r="DM975" s="845"/>
      <c r="DN975" s="845"/>
      <c r="DO975" s="845"/>
      <c r="DP975" s="845"/>
      <c r="DQ975" s="845"/>
      <c r="DR975" s="845"/>
      <c r="DS975" s="845"/>
      <c r="DT975" s="845"/>
      <c r="DU975" s="845"/>
      <c r="DV975" s="845"/>
      <c r="DW975" s="845"/>
      <c r="DX975" s="845"/>
      <c r="DY975" s="845"/>
      <c r="DZ975" s="845"/>
      <c r="EA975" s="845"/>
      <c r="EB975" s="845"/>
      <c r="EC975" s="845"/>
      <c r="ED975" s="845"/>
      <c r="EE975" s="845"/>
      <c r="EF975" s="845"/>
      <c r="EG975" s="845"/>
      <c r="EH975" s="845"/>
      <c r="EI975" s="845"/>
      <c r="EJ975" s="845"/>
      <c r="EK975" s="845"/>
      <c r="EL975" s="845"/>
      <c r="EM975" s="845"/>
      <c r="EN975" s="845"/>
      <c r="EO975" s="845"/>
      <c r="EP975" s="845"/>
      <c r="EQ975" s="845"/>
      <c r="ER975" s="845"/>
      <c r="ES975" s="845"/>
      <c r="ET975" s="845"/>
      <c r="EU975" s="845"/>
      <c r="EV975" s="845"/>
      <c r="EW975" s="845"/>
      <c r="EX975" s="845"/>
      <c r="EY975" s="845"/>
      <c r="EZ975" s="845"/>
      <c r="FA975" s="845"/>
      <c r="FB975" s="845"/>
      <c r="FC975" s="845"/>
      <c r="FD975" s="845"/>
      <c r="FE975" s="845"/>
      <c r="FF975" s="845"/>
      <c r="FG975" s="845"/>
      <c r="FH975" s="845"/>
      <c r="FI975" s="845"/>
      <c r="FJ975" s="845"/>
      <c r="FK975" s="845"/>
      <c r="FL975" s="845"/>
      <c r="FM975" s="845"/>
      <c r="FN975" s="845"/>
      <c r="FO975" s="845"/>
      <c r="FP975" s="845"/>
      <c r="FQ975" s="845"/>
      <c r="FR975" s="845"/>
      <c r="FS975" s="845"/>
      <c r="FT975" s="845"/>
      <c r="FU975" s="845"/>
      <c r="FV975" s="845"/>
      <c r="FW975" s="845"/>
      <c r="FX975" s="845"/>
      <c r="FY975" s="845"/>
      <c r="FZ975" s="845"/>
      <c r="GA975" s="845"/>
      <c r="GB975" s="845"/>
      <c r="GC975" s="845"/>
      <c r="GD975" s="845"/>
      <c r="GE975" s="845"/>
      <c r="GF975" s="845"/>
      <c r="GG975" s="845"/>
      <c r="GH975" s="845"/>
      <c r="GI975" s="845"/>
      <c r="GJ975" s="845"/>
      <c r="GK975" s="845"/>
      <c r="GL975" s="845"/>
      <c r="GM975" s="845"/>
      <c r="GN975" s="845"/>
      <c r="GO975" s="845"/>
      <c r="GP975" s="845"/>
      <c r="GQ975" s="845"/>
      <c r="GR975" s="845"/>
      <c r="GS975" s="845"/>
      <c r="GT975" s="845"/>
      <c r="GU975" s="845"/>
      <c r="GV975" s="845"/>
      <c r="GW975" s="845"/>
      <c r="GX975" s="845"/>
      <c r="GY975" s="845"/>
      <c r="GZ975" s="845"/>
      <c r="HA975" s="845"/>
      <c r="HB975" s="845"/>
      <c r="HC975" s="845"/>
      <c r="HD975" s="845"/>
      <c r="HE975" s="845"/>
      <c r="HF975" s="845"/>
      <c r="HG975" s="845"/>
      <c r="HH975" s="845"/>
      <c r="HI975" s="845"/>
      <c r="HJ975" s="845"/>
      <c r="HK975" s="845"/>
      <c r="HL975" s="845"/>
      <c r="HM975" s="845"/>
      <c r="HN975" s="845"/>
      <c r="HO975" s="845"/>
      <c r="HP975" s="845"/>
      <c r="HQ975" s="845"/>
      <c r="HR975" s="845"/>
      <c r="HS975" s="845"/>
      <c r="HT975" s="845"/>
      <c r="HU975" s="845"/>
      <c r="HV975" s="845"/>
      <c r="HW975" s="845"/>
      <c r="HX975" s="845"/>
      <c r="HY975" s="845"/>
      <c r="HZ975" s="845"/>
      <c r="IA975" s="845"/>
      <c r="IB975" s="845"/>
      <c r="IC975" s="845"/>
      <c r="ID975" s="845"/>
      <c r="IE975" s="845"/>
      <c r="IF975" s="845"/>
    </row>
    <row r="976" spans="1:240" s="747" customFormat="1" ht="14.25" customHeight="1">
      <c r="A976" s="976" t="s">
        <v>3937</v>
      </c>
      <c r="B976" s="976" t="s">
        <v>1263</v>
      </c>
      <c r="C976" s="977">
        <v>1846300820</v>
      </c>
      <c r="D976" s="976" t="s">
        <v>174</v>
      </c>
      <c r="E976" s="976">
        <v>48</v>
      </c>
      <c r="F976" s="976">
        <v>48</v>
      </c>
      <c r="G976" s="976">
        <v>36</v>
      </c>
      <c r="H976" s="976">
        <v>19.155750000000001</v>
      </c>
      <c r="I976" s="976"/>
      <c r="J976" s="1041">
        <v>17</v>
      </c>
      <c r="K976" s="976">
        <v>36.155749999999998</v>
      </c>
      <c r="L976" s="978">
        <v>0.15574999999999761</v>
      </c>
      <c r="M976" s="976" t="s">
        <v>3589</v>
      </c>
      <c r="N976" s="976">
        <v>48.207666666666661</v>
      </c>
      <c r="O976" s="735">
        <f t="shared" si="47"/>
        <v>0.20766666666666111</v>
      </c>
      <c r="P976" s="738">
        <f t="shared" si="45"/>
        <v>48207.666666666664</v>
      </c>
      <c r="Q976" s="751">
        <f t="shared" si="46"/>
        <v>48000</v>
      </c>
      <c r="U976" s="751"/>
      <c r="V976" s="988"/>
      <c r="W976" s="1024"/>
      <c r="CD976" s="845"/>
      <c r="CE976" s="845"/>
      <c r="CF976" s="845"/>
      <c r="CG976" s="845"/>
      <c r="CH976" s="845"/>
      <c r="CI976" s="845"/>
      <c r="CJ976" s="845"/>
      <c r="CK976" s="845"/>
      <c r="CL976" s="845"/>
      <c r="CM976" s="845"/>
      <c r="CN976" s="845"/>
      <c r="CO976" s="845"/>
      <c r="CP976" s="845"/>
      <c r="CQ976" s="845"/>
      <c r="CR976" s="845"/>
      <c r="CS976" s="845"/>
      <c r="CT976" s="845"/>
      <c r="CU976" s="845"/>
      <c r="CV976" s="845"/>
      <c r="CW976" s="845"/>
      <c r="CX976" s="845"/>
      <c r="CY976" s="845"/>
      <c r="CZ976" s="845"/>
      <c r="DA976" s="845"/>
      <c r="DB976" s="845"/>
      <c r="DC976" s="845"/>
      <c r="DD976" s="845"/>
      <c r="DE976" s="845"/>
      <c r="DF976" s="845"/>
      <c r="DG976" s="845"/>
      <c r="DH976" s="845"/>
      <c r="DI976" s="845"/>
      <c r="DJ976" s="845"/>
      <c r="DK976" s="845"/>
      <c r="DL976" s="845"/>
      <c r="DM976" s="845"/>
      <c r="DN976" s="845"/>
      <c r="DO976" s="845"/>
      <c r="DP976" s="845"/>
      <c r="DQ976" s="845"/>
      <c r="DR976" s="845"/>
      <c r="DS976" s="845"/>
      <c r="DT976" s="845"/>
      <c r="DU976" s="845"/>
      <c r="DV976" s="845"/>
      <c r="DW976" s="845"/>
      <c r="DX976" s="845"/>
      <c r="DY976" s="845"/>
      <c r="DZ976" s="845"/>
      <c r="EA976" s="845"/>
      <c r="EB976" s="845"/>
      <c r="EC976" s="845"/>
      <c r="ED976" s="845"/>
      <c r="EE976" s="845"/>
      <c r="EF976" s="845"/>
      <c r="EG976" s="845"/>
      <c r="EH976" s="845"/>
      <c r="EI976" s="845"/>
      <c r="EJ976" s="845"/>
      <c r="EK976" s="845"/>
      <c r="EL976" s="845"/>
      <c r="EM976" s="845"/>
      <c r="EN976" s="845"/>
      <c r="EO976" s="845"/>
      <c r="EP976" s="845"/>
      <c r="EQ976" s="845"/>
      <c r="ER976" s="845"/>
      <c r="ES976" s="845"/>
      <c r="ET976" s="845"/>
      <c r="EU976" s="845"/>
      <c r="EV976" s="845"/>
      <c r="EW976" s="845"/>
      <c r="EX976" s="845"/>
      <c r="EY976" s="845"/>
      <c r="EZ976" s="845"/>
      <c r="FA976" s="845"/>
      <c r="FB976" s="845"/>
      <c r="FC976" s="845"/>
      <c r="FD976" s="845"/>
      <c r="FE976" s="845"/>
      <c r="FF976" s="845"/>
      <c r="FG976" s="845"/>
      <c r="FH976" s="845"/>
      <c r="FI976" s="845"/>
      <c r="FJ976" s="845"/>
      <c r="FK976" s="845"/>
      <c r="FL976" s="845"/>
      <c r="FM976" s="845"/>
      <c r="FN976" s="845"/>
      <c r="FO976" s="845"/>
      <c r="FP976" s="845"/>
      <c r="FQ976" s="845"/>
      <c r="FR976" s="845"/>
      <c r="FS976" s="845"/>
      <c r="FT976" s="845"/>
      <c r="FU976" s="845"/>
      <c r="FV976" s="845"/>
      <c r="FW976" s="845"/>
      <c r="FX976" s="845"/>
      <c r="FY976" s="845"/>
      <c r="FZ976" s="845"/>
      <c r="GA976" s="845"/>
      <c r="GB976" s="845"/>
      <c r="GC976" s="845"/>
      <c r="GD976" s="845"/>
      <c r="GE976" s="845"/>
      <c r="GF976" s="845"/>
      <c r="GG976" s="845"/>
      <c r="GH976" s="845"/>
      <c r="GI976" s="845"/>
      <c r="GJ976" s="845"/>
      <c r="GK976" s="845"/>
      <c r="GL976" s="845"/>
      <c r="GM976" s="845"/>
      <c r="GN976" s="845"/>
      <c r="GO976" s="845"/>
      <c r="GP976" s="845"/>
      <c r="GQ976" s="845"/>
      <c r="GR976" s="845"/>
      <c r="GS976" s="845"/>
      <c r="GT976" s="845"/>
      <c r="GU976" s="845"/>
      <c r="GV976" s="845"/>
      <c r="GW976" s="845"/>
      <c r="GX976" s="845"/>
      <c r="GY976" s="845"/>
      <c r="GZ976" s="845"/>
      <c r="HA976" s="845"/>
      <c r="HB976" s="845"/>
      <c r="HC976" s="845"/>
      <c r="HD976" s="845"/>
      <c r="HE976" s="845"/>
      <c r="HF976" s="845"/>
      <c r="HG976" s="845"/>
      <c r="HH976" s="845"/>
      <c r="HI976" s="845"/>
      <c r="HJ976" s="845"/>
      <c r="HK976" s="845"/>
      <c r="HL976" s="845"/>
      <c r="HM976" s="845"/>
      <c r="HN976" s="845"/>
      <c r="HO976" s="845"/>
      <c r="HP976" s="845"/>
      <c r="HQ976" s="845"/>
      <c r="HR976" s="845"/>
      <c r="HS976" s="845"/>
      <c r="HT976" s="845"/>
      <c r="HU976" s="845"/>
      <c r="HV976" s="845"/>
      <c r="HW976" s="845"/>
      <c r="HX976" s="845"/>
      <c r="HY976" s="845"/>
      <c r="HZ976" s="845"/>
      <c r="IA976" s="845"/>
      <c r="IB976" s="845"/>
      <c r="IC976" s="845"/>
      <c r="ID976" s="845"/>
      <c r="IE976" s="845"/>
      <c r="IF976" s="845"/>
    </row>
    <row r="977" spans="1:240" s="747" customFormat="1" ht="14.25" customHeight="1">
      <c r="A977" s="976" t="s">
        <v>3947</v>
      </c>
      <c r="B977" s="976" t="s">
        <v>1263</v>
      </c>
      <c r="C977" s="977">
        <v>1846300822</v>
      </c>
      <c r="D977" s="976" t="s">
        <v>175</v>
      </c>
      <c r="E977" s="976">
        <v>105</v>
      </c>
      <c r="F977" s="976">
        <v>105</v>
      </c>
      <c r="G977" s="976">
        <v>78.75</v>
      </c>
      <c r="H977" s="976">
        <v>96.364000000000004</v>
      </c>
      <c r="I977" s="976"/>
      <c r="J977" s="1032">
        <v>-18</v>
      </c>
      <c r="K977" s="976">
        <v>78.364000000000004</v>
      </c>
      <c r="L977" s="978">
        <v>-0.38599999999999568</v>
      </c>
      <c r="M977" s="976" t="s">
        <v>3589</v>
      </c>
      <c r="N977" s="976">
        <v>104.48533333333334</v>
      </c>
      <c r="O977" s="735">
        <f t="shared" si="47"/>
        <v>-0.51466666666665617</v>
      </c>
      <c r="P977" s="738">
        <f t="shared" si="45"/>
        <v>104485.33333333334</v>
      </c>
      <c r="Q977" s="751">
        <f t="shared" si="46"/>
        <v>104000</v>
      </c>
      <c r="U977" s="751"/>
      <c r="V977" s="988"/>
      <c r="W977" s="1024"/>
      <c r="CD977" s="845"/>
      <c r="CE977" s="845"/>
      <c r="CF977" s="845"/>
      <c r="CG977" s="845"/>
      <c r="CH977" s="845"/>
      <c r="CI977" s="845"/>
      <c r="CJ977" s="845"/>
      <c r="CK977" s="845"/>
      <c r="CL977" s="845"/>
      <c r="CM977" s="845"/>
      <c r="CN977" s="845"/>
      <c r="CO977" s="845"/>
      <c r="CP977" s="845"/>
      <c r="CQ977" s="845"/>
      <c r="CR977" s="845"/>
      <c r="CS977" s="845"/>
      <c r="CT977" s="845"/>
      <c r="CU977" s="845"/>
      <c r="CV977" s="845"/>
      <c r="CW977" s="845"/>
      <c r="CX977" s="845"/>
      <c r="CY977" s="845"/>
      <c r="CZ977" s="845"/>
      <c r="DA977" s="845"/>
      <c r="DB977" s="845"/>
      <c r="DC977" s="845"/>
      <c r="DD977" s="845"/>
      <c r="DE977" s="845"/>
      <c r="DF977" s="845"/>
      <c r="DG977" s="845"/>
      <c r="DH977" s="845"/>
      <c r="DI977" s="845"/>
      <c r="DJ977" s="845"/>
      <c r="DK977" s="845"/>
      <c r="DL977" s="845"/>
      <c r="DM977" s="845"/>
      <c r="DN977" s="845"/>
      <c r="DO977" s="845"/>
      <c r="DP977" s="845"/>
      <c r="DQ977" s="845"/>
      <c r="DR977" s="845"/>
      <c r="DS977" s="845"/>
      <c r="DT977" s="845"/>
      <c r="DU977" s="845"/>
      <c r="DV977" s="845"/>
      <c r="DW977" s="845"/>
      <c r="DX977" s="845"/>
      <c r="DY977" s="845"/>
      <c r="DZ977" s="845"/>
      <c r="EA977" s="845"/>
      <c r="EB977" s="845"/>
      <c r="EC977" s="845"/>
      <c r="ED977" s="845"/>
      <c r="EE977" s="845"/>
      <c r="EF977" s="845"/>
      <c r="EG977" s="845"/>
      <c r="EH977" s="845"/>
      <c r="EI977" s="845"/>
      <c r="EJ977" s="845"/>
      <c r="EK977" s="845"/>
      <c r="EL977" s="845"/>
      <c r="EM977" s="845"/>
      <c r="EN977" s="845"/>
      <c r="EO977" s="845"/>
      <c r="EP977" s="845"/>
      <c r="EQ977" s="845"/>
      <c r="ER977" s="845"/>
      <c r="ES977" s="845"/>
      <c r="ET977" s="845"/>
      <c r="EU977" s="845"/>
      <c r="EV977" s="845"/>
      <c r="EW977" s="845"/>
      <c r="EX977" s="845"/>
      <c r="EY977" s="845"/>
      <c r="EZ977" s="845"/>
      <c r="FA977" s="845"/>
      <c r="FB977" s="845"/>
      <c r="FC977" s="845"/>
      <c r="FD977" s="845"/>
      <c r="FE977" s="845"/>
      <c r="FF977" s="845"/>
      <c r="FG977" s="845"/>
      <c r="FH977" s="845"/>
      <c r="FI977" s="845"/>
      <c r="FJ977" s="845"/>
      <c r="FK977" s="845"/>
      <c r="FL977" s="845"/>
      <c r="FM977" s="845"/>
      <c r="FN977" s="845"/>
      <c r="FO977" s="845"/>
      <c r="FP977" s="845"/>
      <c r="FQ977" s="845"/>
      <c r="FR977" s="845"/>
      <c r="FS977" s="845"/>
      <c r="FT977" s="845"/>
      <c r="FU977" s="845"/>
      <c r="FV977" s="845"/>
      <c r="FW977" s="845"/>
      <c r="FX977" s="845"/>
      <c r="FY977" s="845"/>
      <c r="FZ977" s="845"/>
      <c r="GA977" s="845"/>
      <c r="GB977" s="845"/>
      <c r="GC977" s="845"/>
      <c r="GD977" s="845"/>
      <c r="GE977" s="845"/>
      <c r="GF977" s="845"/>
      <c r="GG977" s="845"/>
      <c r="GH977" s="845"/>
      <c r="GI977" s="845"/>
      <c r="GJ977" s="845"/>
      <c r="GK977" s="845"/>
      <c r="GL977" s="845"/>
      <c r="GM977" s="845"/>
      <c r="GN977" s="845"/>
      <c r="GO977" s="845"/>
      <c r="GP977" s="845"/>
      <c r="GQ977" s="845"/>
      <c r="GR977" s="845"/>
      <c r="GS977" s="845"/>
      <c r="GT977" s="845"/>
      <c r="GU977" s="845"/>
      <c r="GV977" s="845"/>
      <c r="GW977" s="845"/>
      <c r="GX977" s="845"/>
      <c r="GY977" s="845"/>
      <c r="GZ977" s="845"/>
      <c r="HA977" s="845"/>
      <c r="HB977" s="845"/>
      <c r="HC977" s="845"/>
      <c r="HD977" s="845"/>
      <c r="HE977" s="845"/>
      <c r="HF977" s="845"/>
      <c r="HG977" s="845"/>
      <c r="HH977" s="845"/>
      <c r="HI977" s="845"/>
      <c r="HJ977" s="845"/>
      <c r="HK977" s="845"/>
      <c r="HL977" s="845"/>
      <c r="HM977" s="845"/>
      <c r="HN977" s="845"/>
      <c r="HO977" s="845"/>
      <c r="HP977" s="845"/>
      <c r="HQ977" s="845"/>
      <c r="HR977" s="845"/>
      <c r="HS977" s="845"/>
      <c r="HT977" s="845"/>
      <c r="HU977" s="845"/>
      <c r="HV977" s="845"/>
      <c r="HW977" s="845"/>
      <c r="HX977" s="845"/>
      <c r="HY977" s="845"/>
      <c r="HZ977" s="845"/>
      <c r="IA977" s="845"/>
      <c r="IB977" s="845"/>
      <c r="IC977" s="845"/>
      <c r="ID977" s="845"/>
      <c r="IE977" s="845"/>
      <c r="IF977" s="845"/>
    </row>
    <row r="978" spans="1:240" s="747" customFormat="1" ht="14.25" customHeight="1">
      <c r="A978" s="976" t="s">
        <v>3937</v>
      </c>
      <c r="B978" s="976" t="s">
        <v>1263</v>
      </c>
      <c r="C978" s="977">
        <v>1846400820</v>
      </c>
      <c r="D978" s="976" t="s">
        <v>3245</v>
      </c>
      <c r="E978" s="976">
        <v>0</v>
      </c>
      <c r="F978" s="976">
        <v>0</v>
      </c>
      <c r="G978" s="976">
        <v>0</v>
      </c>
      <c r="H978" s="976">
        <v>0</v>
      </c>
      <c r="I978" s="976"/>
      <c r="J978" s="976"/>
      <c r="K978" s="976">
        <v>0</v>
      </c>
      <c r="L978" s="978">
        <v>0</v>
      </c>
      <c r="M978" s="976" t="s">
        <v>3589</v>
      </c>
      <c r="N978" s="976">
        <v>0</v>
      </c>
      <c r="O978" s="735">
        <f t="shared" si="47"/>
        <v>0</v>
      </c>
      <c r="P978" s="738">
        <f t="shared" si="45"/>
        <v>0</v>
      </c>
      <c r="Q978" s="751">
        <f t="shared" si="46"/>
        <v>0</v>
      </c>
      <c r="U978" s="751"/>
      <c r="V978" s="988"/>
      <c r="W978" s="1024"/>
      <c r="CD978" s="845"/>
      <c r="CE978" s="845"/>
      <c r="CF978" s="845"/>
      <c r="CG978" s="845"/>
      <c r="CH978" s="845"/>
      <c r="CI978" s="845"/>
      <c r="CJ978" s="845"/>
      <c r="CK978" s="845"/>
      <c r="CL978" s="845"/>
      <c r="CM978" s="845"/>
      <c r="CN978" s="845"/>
      <c r="CO978" s="845"/>
      <c r="CP978" s="845"/>
      <c r="CQ978" s="845"/>
      <c r="CR978" s="845"/>
      <c r="CS978" s="845"/>
      <c r="CT978" s="845"/>
      <c r="CU978" s="845"/>
      <c r="CV978" s="845"/>
      <c r="CW978" s="845"/>
      <c r="CX978" s="845"/>
      <c r="CY978" s="845"/>
      <c r="CZ978" s="845"/>
      <c r="DA978" s="845"/>
      <c r="DB978" s="845"/>
      <c r="DC978" s="845"/>
      <c r="DD978" s="845"/>
      <c r="DE978" s="845"/>
      <c r="DF978" s="845"/>
      <c r="DG978" s="845"/>
      <c r="DH978" s="845"/>
      <c r="DI978" s="845"/>
      <c r="DJ978" s="845"/>
      <c r="DK978" s="845"/>
      <c r="DL978" s="845"/>
      <c r="DM978" s="845"/>
      <c r="DN978" s="845"/>
      <c r="DO978" s="845"/>
      <c r="DP978" s="845"/>
      <c r="DQ978" s="845"/>
      <c r="DR978" s="845"/>
      <c r="DS978" s="845"/>
      <c r="DT978" s="845"/>
      <c r="DU978" s="845"/>
      <c r="DV978" s="845"/>
      <c r="DW978" s="845"/>
      <c r="DX978" s="845"/>
      <c r="DY978" s="845"/>
      <c r="DZ978" s="845"/>
      <c r="EA978" s="845"/>
      <c r="EB978" s="845"/>
      <c r="EC978" s="845"/>
      <c r="ED978" s="845"/>
      <c r="EE978" s="845"/>
      <c r="EF978" s="845"/>
      <c r="EG978" s="845"/>
      <c r="EH978" s="845"/>
      <c r="EI978" s="845"/>
      <c r="EJ978" s="845"/>
      <c r="EK978" s="845"/>
      <c r="EL978" s="845"/>
      <c r="EM978" s="845"/>
      <c r="EN978" s="845"/>
      <c r="EO978" s="845"/>
      <c r="EP978" s="845"/>
      <c r="EQ978" s="845"/>
      <c r="ER978" s="845"/>
      <c r="ES978" s="845"/>
      <c r="ET978" s="845"/>
      <c r="EU978" s="845"/>
      <c r="EV978" s="845"/>
      <c r="EW978" s="845"/>
      <c r="EX978" s="845"/>
      <c r="EY978" s="845"/>
      <c r="EZ978" s="845"/>
      <c r="FA978" s="845"/>
      <c r="FB978" s="845"/>
      <c r="FC978" s="845"/>
      <c r="FD978" s="845"/>
      <c r="FE978" s="845"/>
      <c r="FF978" s="845"/>
      <c r="FG978" s="845"/>
      <c r="FH978" s="845"/>
      <c r="FI978" s="845"/>
      <c r="FJ978" s="845"/>
      <c r="FK978" s="845"/>
      <c r="FL978" s="845"/>
      <c r="FM978" s="845"/>
      <c r="FN978" s="845"/>
      <c r="FO978" s="845"/>
      <c r="FP978" s="845"/>
      <c r="FQ978" s="845"/>
      <c r="FR978" s="845"/>
      <c r="FS978" s="845"/>
      <c r="FT978" s="845"/>
      <c r="FU978" s="845"/>
      <c r="FV978" s="845"/>
      <c r="FW978" s="845"/>
      <c r="FX978" s="845"/>
      <c r="FY978" s="845"/>
      <c r="FZ978" s="845"/>
      <c r="GA978" s="845"/>
      <c r="GB978" s="845"/>
      <c r="GC978" s="845"/>
      <c r="GD978" s="845"/>
      <c r="GE978" s="845"/>
      <c r="GF978" s="845"/>
      <c r="GG978" s="845"/>
      <c r="GH978" s="845"/>
      <c r="GI978" s="845"/>
      <c r="GJ978" s="845"/>
      <c r="GK978" s="845"/>
      <c r="GL978" s="845"/>
      <c r="GM978" s="845"/>
      <c r="GN978" s="845"/>
      <c r="GO978" s="845"/>
      <c r="GP978" s="845"/>
      <c r="GQ978" s="845"/>
      <c r="GR978" s="845"/>
      <c r="GS978" s="845"/>
      <c r="GT978" s="845"/>
      <c r="GU978" s="845"/>
      <c r="GV978" s="845"/>
      <c r="GW978" s="845"/>
      <c r="GX978" s="845"/>
      <c r="GY978" s="845"/>
      <c r="GZ978" s="845"/>
      <c r="HA978" s="845"/>
      <c r="HB978" s="845"/>
      <c r="HC978" s="845"/>
      <c r="HD978" s="845"/>
      <c r="HE978" s="845"/>
      <c r="HF978" s="845"/>
      <c r="HG978" s="845"/>
      <c r="HH978" s="845"/>
      <c r="HI978" s="845"/>
      <c r="HJ978" s="845"/>
      <c r="HK978" s="845"/>
      <c r="HL978" s="845"/>
      <c r="HM978" s="845"/>
      <c r="HN978" s="845"/>
      <c r="HO978" s="845"/>
      <c r="HP978" s="845"/>
      <c r="HQ978" s="845"/>
      <c r="HR978" s="845"/>
      <c r="HS978" s="845"/>
      <c r="HT978" s="845"/>
      <c r="HU978" s="845"/>
      <c r="HV978" s="845"/>
      <c r="HW978" s="845"/>
      <c r="HX978" s="845"/>
      <c r="HY978" s="845"/>
      <c r="HZ978" s="845"/>
      <c r="IA978" s="845"/>
      <c r="IB978" s="845"/>
      <c r="IC978" s="845"/>
      <c r="ID978" s="845"/>
      <c r="IE978" s="845"/>
      <c r="IF978" s="845"/>
    </row>
    <row r="979" spans="1:240" s="747" customFormat="1" ht="14.25" customHeight="1">
      <c r="A979" s="976" t="s">
        <v>3942</v>
      </c>
      <c r="B979" s="976" t="s">
        <v>1263</v>
      </c>
      <c r="C979" s="977">
        <v>1846400821</v>
      </c>
      <c r="D979" s="976" t="s">
        <v>3430</v>
      </c>
      <c r="E979" s="976">
        <v>0</v>
      </c>
      <c r="F979" s="976">
        <v>0</v>
      </c>
      <c r="G979" s="976">
        <v>0</v>
      </c>
      <c r="H979" s="976">
        <v>0</v>
      </c>
      <c r="I979" s="976"/>
      <c r="J979" s="976"/>
      <c r="K979" s="976">
        <v>0</v>
      </c>
      <c r="L979" s="978">
        <v>0</v>
      </c>
      <c r="M979" s="976" t="s">
        <v>3589</v>
      </c>
      <c r="N979" s="976">
        <v>0</v>
      </c>
      <c r="O979" s="735">
        <f t="shared" si="47"/>
        <v>0</v>
      </c>
      <c r="P979" s="738">
        <f t="shared" si="45"/>
        <v>0</v>
      </c>
      <c r="Q979" s="751">
        <f t="shared" si="46"/>
        <v>0</v>
      </c>
      <c r="U979" s="751"/>
      <c r="V979" s="988"/>
      <c r="W979" s="1024"/>
      <c r="CD979" s="845"/>
      <c r="CE979" s="845"/>
      <c r="CF979" s="845"/>
      <c r="CG979" s="845"/>
      <c r="CH979" s="845"/>
      <c r="CI979" s="845"/>
      <c r="CJ979" s="845"/>
      <c r="CK979" s="845"/>
      <c r="CL979" s="845"/>
      <c r="CM979" s="845"/>
      <c r="CN979" s="845"/>
      <c r="CO979" s="845"/>
      <c r="CP979" s="845"/>
      <c r="CQ979" s="845"/>
      <c r="CR979" s="845"/>
      <c r="CS979" s="845"/>
      <c r="CT979" s="845"/>
      <c r="CU979" s="845"/>
      <c r="CV979" s="845"/>
      <c r="CW979" s="845"/>
      <c r="CX979" s="845"/>
      <c r="CY979" s="845"/>
      <c r="CZ979" s="845"/>
      <c r="DA979" s="845"/>
      <c r="DB979" s="845"/>
      <c r="DC979" s="845"/>
      <c r="DD979" s="845"/>
      <c r="DE979" s="845"/>
      <c r="DF979" s="845"/>
      <c r="DG979" s="845"/>
      <c r="DH979" s="845"/>
      <c r="DI979" s="845"/>
      <c r="DJ979" s="845"/>
      <c r="DK979" s="845"/>
      <c r="DL979" s="845"/>
      <c r="DM979" s="845"/>
      <c r="DN979" s="845"/>
      <c r="DO979" s="845"/>
      <c r="DP979" s="845"/>
      <c r="DQ979" s="845"/>
      <c r="DR979" s="845"/>
      <c r="DS979" s="845"/>
      <c r="DT979" s="845"/>
      <c r="DU979" s="845"/>
      <c r="DV979" s="845"/>
      <c r="DW979" s="845"/>
      <c r="DX979" s="845"/>
      <c r="DY979" s="845"/>
      <c r="DZ979" s="845"/>
      <c r="EA979" s="845"/>
      <c r="EB979" s="845"/>
      <c r="EC979" s="845"/>
      <c r="ED979" s="845"/>
      <c r="EE979" s="845"/>
      <c r="EF979" s="845"/>
      <c r="EG979" s="845"/>
      <c r="EH979" s="845"/>
      <c r="EI979" s="845"/>
      <c r="EJ979" s="845"/>
      <c r="EK979" s="845"/>
      <c r="EL979" s="845"/>
      <c r="EM979" s="845"/>
      <c r="EN979" s="845"/>
      <c r="EO979" s="845"/>
      <c r="EP979" s="845"/>
      <c r="EQ979" s="845"/>
      <c r="ER979" s="845"/>
      <c r="ES979" s="845"/>
      <c r="ET979" s="845"/>
      <c r="EU979" s="845"/>
      <c r="EV979" s="845"/>
      <c r="EW979" s="845"/>
      <c r="EX979" s="845"/>
      <c r="EY979" s="845"/>
      <c r="EZ979" s="845"/>
      <c r="FA979" s="845"/>
      <c r="FB979" s="845"/>
      <c r="FC979" s="845"/>
      <c r="FD979" s="845"/>
      <c r="FE979" s="845"/>
      <c r="FF979" s="845"/>
      <c r="FG979" s="845"/>
      <c r="FH979" s="845"/>
      <c r="FI979" s="845"/>
      <c r="FJ979" s="845"/>
      <c r="FK979" s="845"/>
      <c r="FL979" s="845"/>
      <c r="FM979" s="845"/>
      <c r="FN979" s="845"/>
      <c r="FO979" s="845"/>
      <c r="FP979" s="845"/>
      <c r="FQ979" s="845"/>
      <c r="FR979" s="845"/>
      <c r="FS979" s="845"/>
      <c r="FT979" s="845"/>
      <c r="FU979" s="845"/>
      <c r="FV979" s="845"/>
      <c r="FW979" s="845"/>
      <c r="FX979" s="845"/>
      <c r="FY979" s="845"/>
      <c r="FZ979" s="845"/>
      <c r="GA979" s="845"/>
      <c r="GB979" s="845"/>
      <c r="GC979" s="845"/>
      <c r="GD979" s="845"/>
      <c r="GE979" s="845"/>
      <c r="GF979" s="845"/>
      <c r="GG979" s="845"/>
      <c r="GH979" s="845"/>
      <c r="GI979" s="845"/>
      <c r="GJ979" s="845"/>
      <c r="GK979" s="845"/>
      <c r="GL979" s="845"/>
      <c r="GM979" s="845"/>
      <c r="GN979" s="845"/>
      <c r="GO979" s="845"/>
      <c r="GP979" s="845"/>
      <c r="GQ979" s="845"/>
      <c r="GR979" s="845"/>
      <c r="GS979" s="845"/>
      <c r="GT979" s="845"/>
      <c r="GU979" s="845"/>
      <c r="GV979" s="845"/>
      <c r="GW979" s="845"/>
      <c r="GX979" s="845"/>
      <c r="GY979" s="845"/>
      <c r="GZ979" s="845"/>
      <c r="HA979" s="845"/>
      <c r="HB979" s="845"/>
      <c r="HC979" s="845"/>
      <c r="HD979" s="845"/>
      <c r="HE979" s="845"/>
      <c r="HF979" s="845"/>
      <c r="HG979" s="845"/>
      <c r="HH979" s="845"/>
      <c r="HI979" s="845"/>
      <c r="HJ979" s="845"/>
      <c r="HK979" s="845"/>
      <c r="HL979" s="845"/>
      <c r="HM979" s="845"/>
      <c r="HN979" s="845"/>
      <c r="HO979" s="845"/>
      <c r="HP979" s="845"/>
      <c r="HQ979" s="845"/>
      <c r="HR979" s="845"/>
      <c r="HS979" s="845"/>
      <c r="HT979" s="845"/>
      <c r="HU979" s="845"/>
      <c r="HV979" s="845"/>
      <c r="HW979" s="845"/>
      <c r="HX979" s="845"/>
      <c r="HY979" s="845"/>
      <c r="HZ979" s="845"/>
      <c r="IA979" s="845"/>
      <c r="IB979" s="845"/>
      <c r="IC979" s="845"/>
      <c r="ID979" s="845"/>
      <c r="IE979" s="845"/>
      <c r="IF979" s="845"/>
    </row>
    <row r="980" spans="1:240" s="747" customFormat="1" ht="14.25" customHeight="1">
      <c r="A980" s="976" t="s">
        <v>3937</v>
      </c>
      <c r="B980" s="976" t="s">
        <v>1263</v>
      </c>
      <c r="C980" s="977">
        <v>1846500820</v>
      </c>
      <c r="D980" s="976" t="s">
        <v>178</v>
      </c>
      <c r="E980" s="976">
        <v>7521</v>
      </c>
      <c r="F980" s="976">
        <v>7521</v>
      </c>
      <c r="G980" s="976">
        <v>5640.75</v>
      </c>
      <c r="H980" s="976">
        <v>5270.348</v>
      </c>
      <c r="I980" s="976"/>
      <c r="J980" s="1041">
        <v>257</v>
      </c>
      <c r="K980" s="976">
        <v>5527.348</v>
      </c>
      <c r="L980" s="978">
        <v>-113.40200000000004</v>
      </c>
      <c r="M980" s="976" t="s">
        <v>3589</v>
      </c>
      <c r="N980" s="976">
        <v>7369.7973333333339</v>
      </c>
      <c r="O980" s="735">
        <f t="shared" si="47"/>
        <v>-151.20266666666612</v>
      </c>
      <c r="P980" s="738">
        <f t="shared" si="45"/>
        <v>7369797.333333334</v>
      </c>
      <c r="Q980" s="751">
        <f t="shared" si="46"/>
        <v>7370000</v>
      </c>
      <c r="U980" s="751"/>
      <c r="V980" s="988"/>
      <c r="W980" s="1024"/>
      <c r="CD980" s="845"/>
      <c r="CE980" s="845"/>
      <c r="CF980" s="845"/>
      <c r="CG980" s="845"/>
      <c r="CH980" s="845"/>
      <c r="CI980" s="845"/>
      <c r="CJ980" s="845"/>
      <c r="CK980" s="845"/>
      <c r="CL980" s="845"/>
      <c r="CM980" s="845"/>
      <c r="CN980" s="845"/>
      <c r="CO980" s="845"/>
      <c r="CP980" s="845"/>
      <c r="CQ980" s="845"/>
      <c r="CR980" s="845"/>
      <c r="CS980" s="845"/>
      <c r="CT980" s="845"/>
      <c r="CU980" s="845"/>
      <c r="CV980" s="845"/>
      <c r="CW980" s="845"/>
      <c r="CX980" s="845"/>
      <c r="CY980" s="845"/>
      <c r="CZ980" s="845"/>
      <c r="DA980" s="845"/>
      <c r="DB980" s="845"/>
      <c r="DC980" s="845"/>
      <c r="DD980" s="845"/>
      <c r="DE980" s="845"/>
      <c r="DF980" s="845"/>
      <c r="DG980" s="845"/>
      <c r="DH980" s="845"/>
      <c r="DI980" s="845"/>
      <c r="DJ980" s="845"/>
      <c r="DK980" s="845"/>
      <c r="DL980" s="845"/>
      <c r="DM980" s="845"/>
      <c r="DN980" s="845"/>
      <c r="DO980" s="845"/>
      <c r="DP980" s="845"/>
      <c r="DQ980" s="845"/>
      <c r="DR980" s="845"/>
      <c r="DS980" s="845"/>
      <c r="DT980" s="845"/>
      <c r="DU980" s="845"/>
      <c r="DV980" s="845"/>
      <c r="DW980" s="845"/>
      <c r="DX980" s="845"/>
      <c r="DY980" s="845"/>
      <c r="DZ980" s="845"/>
      <c r="EA980" s="845"/>
      <c r="EB980" s="845"/>
      <c r="EC980" s="845"/>
      <c r="ED980" s="845"/>
      <c r="EE980" s="845"/>
      <c r="EF980" s="845"/>
      <c r="EG980" s="845"/>
      <c r="EH980" s="845"/>
      <c r="EI980" s="845"/>
      <c r="EJ980" s="845"/>
      <c r="EK980" s="845"/>
      <c r="EL980" s="845"/>
      <c r="EM980" s="845"/>
      <c r="EN980" s="845"/>
      <c r="EO980" s="845"/>
      <c r="EP980" s="845"/>
      <c r="EQ980" s="845"/>
      <c r="ER980" s="845"/>
      <c r="ES980" s="845"/>
      <c r="ET980" s="845"/>
      <c r="EU980" s="845"/>
      <c r="EV980" s="845"/>
      <c r="EW980" s="845"/>
      <c r="EX980" s="845"/>
      <c r="EY980" s="845"/>
      <c r="EZ980" s="845"/>
      <c r="FA980" s="845"/>
      <c r="FB980" s="845"/>
      <c r="FC980" s="845"/>
      <c r="FD980" s="845"/>
      <c r="FE980" s="845"/>
      <c r="FF980" s="845"/>
      <c r="FG980" s="845"/>
      <c r="FH980" s="845"/>
      <c r="FI980" s="845"/>
      <c r="FJ980" s="845"/>
      <c r="FK980" s="845"/>
      <c r="FL980" s="845"/>
      <c r="FM980" s="845"/>
      <c r="FN980" s="845"/>
      <c r="FO980" s="845"/>
      <c r="FP980" s="845"/>
      <c r="FQ980" s="845"/>
      <c r="FR980" s="845"/>
      <c r="FS980" s="845"/>
      <c r="FT980" s="845"/>
      <c r="FU980" s="845"/>
      <c r="FV980" s="845"/>
      <c r="FW980" s="845"/>
      <c r="FX980" s="845"/>
      <c r="FY980" s="845"/>
      <c r="FZ980" s="845"/>
      <c r="GA980" s="845"/>
      <c r="GB980" s="845"/>
      <c r="GC980" s="845"/>
      <c r="GD980" s="845"/>
      <c r="GE980" s="845"/>
      <c r="GF980" s="845"/>
      <c r="GG980" s="845"/>
      <c r="GH980" s="845"/>
      <c r="GI980" s="845"/>
      <c r="GJ980" s="845"/>
      <c r="GK980" s="845"/>
      <c r="GL980" s="845"/>
      <c r="GM980" s="845"/>
      <c r="GN980" s="845"/>
      <c r="GO980" s="845"/>
      <c r="GP980" s="845"/>
      <c r="GQ980" s="845"/>
      <c r="GR980" s="845"/>
      <c r="GS980" s="845"/>
      <c r="GT980" s="845"/>
      <c r="GU980" s="845"/>
      <c r="GV980" s="845"/>
      <c r="GW980" s="845"/>
      <c r="GX980" s="845"/>
      <c r="GY980" s="845"/>
      <c r="GZ980" s="845"/>
      <c r="HA980" s="845"/>
      <c r="HB980" s="845"/>
      <c r="HC980" s="845"/>
      <c r="HD980" s="845"/>
      <c r="HE980" s="845"/>
      <c r="HF980" s="845"/>
      <c r="HG980" s="845"/>
      <c r="HH980" s="845"/>
      <c r="HI980" s="845"/>
      <c r="HJ980" s="845"/>
      <c r="HK980" s="845"/>
      <c r="HL980" s="845"/>
      <c r="HM980" s="845"/>
      <c r="HN980" s="845"/>
      <c r="HO980" s="845"/>
      <c r="HP980" s="845"/>
      <c r="HQ980" s="845"/>
      <c r="HR980" s="845"/>
      <c r="HS980" s="845"/>
      <c r="HT980" s="845"/>
      <c r="HU980" s="845"/>
      <c r="HV980" s="845"/>
      <c r="HW980" s="845"/>
      <c r="HX980" s="845"/>
      <c r="HY980" s="845"/>
      <c r="HZ980" s="845"/>
      <c r="IA980" s="845"/>
      <c r="IB980" s="845"/>
      <c r="IC980" s="845"/>
      <c r="ID980" s="845"/>
      <c r="IE980" s="845"/>
      <c r="IF980" s="845"/>
    </row>
    <row r="981" spans="1:240" s="747" customFormat="1" ht="14.25" customHeight="1">
      <c r="A981" s="976" t="s">
        <v>3942</v>
      </c>
      <c r="B981" s="976" t="s">
        <v>1263</v>
      </c>
      <c r="C981" s="977">
        <v>1846500821</v>
      </c>
      <c r="D981" s="976" t="s">
        <v>179</v>
      </c>
      <c r="E981" s="976">
        <v>153</v>
      </c>
      <c r="F981" s="976">
        <v>153</v>
      </c>
      <c r="G981" s="976">
        <v>114.75</v>
      </c>
      <c r="H981" s="976">
        <v>89.063999999999993</v>
      </c>
      <c r="I981" s="976"/>
      <c r="J981" s="1041">
        <v>25</v>
      </c>
      <c r="K981" s="976">
        <v>114.06399999999999</v>
      </c>
      <c r="L981" s="978">
        <v>-0.68600000000000705</v>
      </c>
      <c r="M981" s="976" t="s">
        <v>3589</v>
      </c>
      <c r="N981" s="976">
        <v>152.08533333333332</v>
      </c>
      <c r="O981" s="735">
        <f t="shared" si="47"/>
        <v>-0.91466666666667606</v>
      </c>
      <c r="P981" s="738">
        <f t="shared" si="45"/>
        <v>152085.33333333331</v>
      </c>
      <c r="Q981" s="751">
        <f t="shared" si="46"/>
        <v>152000</v>
      </c>
      <c r="U981" s="751"/>
      <c r="V981" s="988"/>
      <c r="W981" s="1024"/>
      <c r="CD981" s="845"/>
      <c r="CE981" s="845"/>
      <c r="CF981" s="845"/>
      <c r="CG981" s="845"/>
      <c r="CH981" s="845"/>
      <c r="CI981" s="845"/>
      <c r="CJ981" s="845"/>
      <c r="CK981" s="845"/>
      <c r="CL981" s="845"/>
      <c r="CM981" s="845"/>
      <c r="CN981" s="845"/>
      <c r="CO981" s="845"/>
      <c r="CP981" s="845"/>
      <c r="CQ981" s="845"/>
      <c r="CR981" s="845"/>
      <c r="CS981" s="845"/>
      <c r="CT981" s="845"/>
      <c r="CU981" s="845"/>
      <c r="CV981" s="845"/>
      <c r="CW981" s="845"/>
      <c r="CX981" s="845"/>
      <c r="CY981" s="845"/>
      <c r="CZ981" s="845"/>
      <c r="DA981" s="845"/>
      <c r="DB981" s="845"/>
      <c r="DC981" s="845"/>
      <c r="DD981" s="845"/>
      <c r="DE981" s="845"/>
      <c r="DF981" s="845"/>
      <c r="DG981" s="845"/>
      <c r="DH981" s="845"/>
      <c r="DI981" s="845"/>
      <c r="DJ981" s="845"/>
      <c r="DK981" s="845"/>
      <c r="DL981" s="845"/>
      <c r="DM981" s="845"/>
      <c r="DN981" s="845"/>
      <c r="DO981" s="845"/>
      <c r="DP981" s="845"/>
      <c r="DQ981" s="845"/>
      <c r="DR981" s="845"/>
      <c r="DS981" s="845"/>
      <c r="DT981" s="845"/>
      <c r="DU981" s="845"/>
      <c r="DV981" s="845"/>
      <c r="DW981" s="845"/>
      <c r="DX981" s="845"/>
      <c r="DY981" s="845"/>
      <c r="DZ981" s="845"/>
      <c r="EA981" s="845"/>
      <c r="EB981" s="845"/>
      <c r="EC981" s="845"/>
      <c r="ED981" s="845"/>
      <c r="EE981" s="845"/>
      <c r="EF981" s="845"/>
      <c r="EG981" s="845"/>
      <c r="EH981" s="845"/>
      <c r="EI981" s="845"/>
      <c r="EJ981" s="845"/>
      <c r="EK981" s="845"/>
      <c r="EL981" s="845"/>
      <c r="EM981" s="845"/>
      <c r="EN981" s="845"/>
      <c r="EO981" s="845"/>
      <c r="EP981" s="845"/>
      <c r="EQ981" s="845"/>
      <c r="ER981" s="845"/>
      <c r="ES981" s="845"/>
      <c r="ET981" s="845"/>
      <c r="EU981" s="845"/>
      <c r="EV981" s="845"/>
      <c r="EW981" s="845"/>
      <c r="EX981" s="845"/>
      <c r="EY981" s="845"/>
      <c r="EZ981" s="845"/>
      <c r="FA981" s="845"/>
      <c r="FB981" s="845"/>
      <c r="FC981" s="845"/>
      <c r="FD981" s="845"/>
      <c r="FE981" s="845"/>
      <c r="FF981" s="845"/>
      <c r="FG981" s="845"/>
      <c r="FH981" s="845"/>
      <c r="FI981" s="845"/>
      <c r="FJ981" s="845"/>
      <c r="FK981" s="845"/>
      <c r="FL981" s="845"/>
      <c r="FM981" s="845"/>
      <c r="FN981" s="845"/>
      <c r="FO981" s="845"/>
      <c r="FP981" s="845"/>
      <c r="FQ981" s="845"/>
      <c r="FR981" s="845"/>
      <c r="FS981" s="845"/>
      <c r="FT981" s="845"/>
      <c r="FU981" s="845"/>
      <c r="FV981" s="845"/>
      <c r="FW981" s="845"/>
      <c r="FX981" s="845"/>
      <c r="FY981" s="845"/>
      <c r="FZ981" s="845"/>
      <c r="GA981" s="845"/>
      <c r="GB981" s="845"/>
      <c r="GC981" s="845"/>
      <c r="GD981" s="845"/>
      <c r="GE981" s="845"/>
      <c r="GF981" s="845"/>
      <c r="GG981" s="845"/>
      <c r="GH981" s="845"/>
      <c r="GI981" s="845"/>
      <c r="GJ981" s="845"/>
      <c r="GK981" s="845"/>
      <c r="GL981" s="845"/>
      <c r="GM981" s="845"/>
      <c r="GN981" s="845"/>
      <c r="GO981" s="845"/>
      <c r="GP981" s="845"/>
      <c r="GQ981" s="845"/>
      <c r="GR981" s="845"/>
      <c r="GS981" s="845"/>
      <c r="GT981" s="845"/>
      <c r="GU981" s="845"/>
      <c r="GV981" s="845"/>
      <c r="GW981" s="845"/>
      <c r="GX981" s="845"/>
      <c r="GY981" s="845"/>
      <c r="GZ981" s="845"/>
      <c r="HA981" s="845"/>
      <c r="HB981" s="845"/>
      <c r="HC981" s="845"/>
      <c r="HD981" s="845"/>
      <c r="HE981" s="845"/>
      <c r="HF981" s="845"/>
      <c r="HG981" s="845"/>
      <c r="HH981" s="845"/>
      <c r="HI981" s="845"/>
      <c r="HJ981" s="845"/>
      <c r="HK981" s="845"/>
      <c r="HL981" s="845"/>
      <c r="HM981" s="845"/>
      <c r="HN981" s="845"/>
      <c r="HO981" s="845"/>
      <c r="HP981" s="845"/>
      <c r="HQ981" s="845"/>
      <c r="HR981" s="845"/>
      <c r="HS981" s="845"/>
      <c r="HT981" s="845"/>
      <c r="HU981" s="845"/>
      <c r="HV981" s="845"/>
      <c r="HW981" s="845"/>
      <c r="HX981" s="845"/>
      <c r="HY981" s="845"/>
      <c r="HZ981" s="845"/>
      <c r="IA981" s="845"/>
      <c r="IB981" s="845"/>
      <c r="IC981" s="845"/>
      <c r="ID981" s="845"/>
      <c r="IE981" s="845"/>
      <c r="IF981" s="845"/>
    </row>
    <row r="982" spans="1:240" s="747" customFormat="1" ht="14.25" customHeight="1">
      <c r="A982" s="976" t="s">
        <v>3947</v>
      </c>
      <c r="B982" s="976" t="s">
        <v>1263</v>
      </c>
      <c r="C982" s="977">
        <v>1846500822</v>
      </c>
      <c r="D982" s="976" t="s">
        <v>177</v>
      </c>
      <c r="E982" s="976">
        <v>215</v>
      </c>
      <c r="F982" s="976">
        <v>215</v>
      </c>
      <c r="G982" s="976">
        <v>161.25</v>
      </c>
      <c r="H982" s="976">
        <v>142.43700000000001</v>
      </c>
      <c r="I982" s="976"/>
      <c r="J982" s="1032">
        <v>-15</v>
      </c>
      <c r="K982" s="976">
        <v>127.43700000000001</v>
      </c>
      <c r="L982" s="978">
        <v>-33.812999999999988</v>
      </c>
      <c r="M982" s="976" t="s">
        <v>3589</v>
      </c>
      <c r="N982" s="976">
        <v>169.91600000000003</v>
      </c>
      <c r="O982" s="735">
        <f t="shared" si="47"/>
        <v>-45.083999999999975</v>
      </c>
      <c r="P982" s="738">
        <f t="shared" si="45"/>
        <v>169916.00000000003</v>
      </c>
      <c r="Q982" s="751">
        <f t="shared" si="46"/>
        <v>170000</v>
      </c>
      <c r="U982" s="751"/>
      <c r="V982" s="988"/>
      <c r="W982" s="1024"/>
      <c r="CD982" s="845"/>
      <c r="CE982" s="845"/>
      <c r="CF982" s="845"/>
      <c r="CG982" s="845"/>
      <c r="CH982" s="845"/>
      <c r="CI982" s="845"/>
      <c r="CJ982" s="845"/>
      <c r="CK982" s="845"/>
      <c r="CL982" s="845"/>
      <c r="CM982" s="845"/>
      <c r="CN982" s="845"/>
      <c r="CO982" s="845"/>
      <c r="CP982" s="845"/>
      <c r="CQ982" s="845"/>
      <c r="CR982" s="845"/>
      <c r="CS982" s="845"/>
      <c r="CT982" s="845"/>
      <c r="CU982" s="845"/>
      <c r="CV982" s="845"/>
      <c r="CW982" s="845"/>
      <c r="CX982" s="845"/>
      <c r="CY982" s="845"/>
      <c r="CZ982" s="845"/>
      <c r="DA982" s="845"/>
      <c r="DB982" s="845"/>
      <c r="DC982" s="845"/>
      <c r="DD982" s="845"/>
      <c r="DE982" s="845"/>
      <c r="DF982" s="845"/>
      <c r="DG982" s="845"/>
      <c r="DH982" s="845"/>
      <c r="DI982" s="845"/>
      <c r="DJ982" s="845"/>
      <c r="DK982" s="845"/>
      <c r="DL982" s="845"/>
      <c r="DM982" s="845"/>
      <c r="DN982" s="845"/>
      <c r="DO982" s="845"/>
      <c r="DP982" s="845"/>
      <c r="DQ982" s="845"/>
      <c r="DR982" s="845"/>
      <c r="DS982" s="845"/>
      <c r="DT982" s="845"/>
      <c r="DU982" s="845"/>
      <c r="DV982" s="845"/>
      <c r="DW982" s="845"/>
      <c r="DX982" s="845"/>
      <c r="DY982" s="845"/>
      <c r="DZ982" s="845"/>
      <c r="EA982" s="845"/>
      <c r="EB982" s="845"/>
      <c r="EC982" s="845"/>
      <c r="ED982" s="845"/>
      <c r="EE982" s="845"/>
      <c r="EF982" s="845"/>
      <c r="EG982" s="845"/>
      <c r="EH982" s="845"/>
      <c r="EI982" s="845"/>
      <c r="EJ982" s="845"/>
      <c r="EK982" s="845"/>
      <c r="EL982" s="845"/>
      <c r="EM982" s="845"/>
      <c r="EN982" s="845"/>
      <c r="EO982" s="845"/>
      <c r="EP982" s="845"/>
      <c r="EQ982" s="845"/>
      <c r="ER982" s="845"/>
      <c r="ES982" s="845"/>
      <c r="ET982" s="845"/>
      <c r="EU982" s="845"/>
      <c r="EV982" s="845"/>
      <c r="EW982" s="845"/>
      <c r="EX982" s="845"/>
      <c r="EY982" s="845"/>
      <c r="EZ982" s="845"/>
      <c r="FA982" s="845"/>
      <c r="FB982" s="845"/>
      <c r="FC982" s="845"/>
      <c r="FD982" s="845"/>
      <c r="FE982" s="845"/>
      <c r="FF982" s="845"/>
      <c r="FG982" s="845"/>
      <c r="FH982" s="845"/>
      <c r="FI982" s="845"/>
      <c r="FJ982" s="845"/>
      <c r="FK982" s="845"/>
      <c r="FL982" s="845"/>
      <c r="FM982" s="845"/>
      <c r="FN982" s="845"/>
      <c r="FO982" s="845"/>
      <c r="FP982" s="845"/>
      <c r="FQ982" s="845"/>
      <c r="FR982" s="845"/>
      <c r="FS982" s="845"/>
      <c r="FT982" s="845"/>
      <c r="FU982" s="845"/>
      <c r="FV982" s="845"/>
      <c r="FW982" s="845"/>
      <c r="FX982" s="845"/>
      <c r="FY982" s="845"/>
      <c r="FZ982" s="845"/>
      <c r="GA982" s="845"/>
      <c r="GB982" s="845"/>
      <c r="GC982" s="845"/>
      <c r="GD982" s="845"/>
      <c r="GE982" s="845"/>
      <c r="GF982" s="845"/>
      <c r="GG982" s="845"/>
      <c r="GH982" s="845"/>
      <c r="GI982" s="845"/>
      <c r="GJ982" s="845"/>
      <c r="GK982" s="845"/>
      <c r="GL982" s="845"/>
      <c r="GM982" s="845"/>
      <c r="GN982" s="845"/>
      <c r="GO982" s="845"/>
      <c r="GP982" s="845"/>
      <c r="GQ982" s="845"/>
      <c r="GR982" s="845"/>
      <c r="GS982" s="845"/>
      <c r="GT982" s="845"/>
      <c r="GU982" s="845"/>
      <c r="GV982" s="845"/>
      <c r="GW982" s="845"/>
      <c r="GX982" s="845"/>
      <c r="GY982" s="845"/>
      <c r="GZ982" s="845"/>
      <c r="HA982" s="845"/>
      <c r="HB982" s="845"/>
      <c r="HC982" s="845"/>
      <c r="HD982" s="845"/>
      <c r="HE982" s="845"/>
      <c r="HF982" s="845"/>
      <c r="HG982" s="845"/>
      <c r="HH982" s="845"/>
      <c r="HI982" s="845"/>
      <c r="HJ982" s="845"/>
      <c r="HK982" s="845"/>
      <c r="HL982" s="845"/>
      <c r="HM982" s="845"/>
      <c r="HN982" s="845"/>
      <c r="HO982" s="845"/>
      <c r="HP982" s="845"/>
      <c r="HQ982" s="845"/>
      <c r="HR982" s="845"/>
      <c r="HS982" s="845"/>
      <c r="HT982" s="845"/>
      <c r="HU982" s="845"/>
      <c r="HV982" s="845"/>
      <c r="HW982" s="845"/>
      <c r="HX982" s="845"/>
      <c r="HY982" s="845"/>
      <c r="HZ982" s="845"/>
      <c r="IA982" s="845"/>
      <c r="IB982" s="845"/>
      <c r="IC982" s="845"/>
      <c r="ID982" s="845"/>
      <c r="IE982" s="845"/>
      <c r="IF982" s="845"/>
    </row>
    <row r="983" spans="1:240" s="747" customFormat="1" ht="14.25" customHeight="1">
      <c r="A983" s="976" t="s">
        <v>3952</v>
      </c>
      <c r="B983" s="976" t="s">
        <v>1263</v>
      </c>
      <c r="C983" s="977">
        <v>1846500823</v>
      </c>
      <c r="D983" s="976" t="s">
        <v>3247</v>
      </c>
      <c r="E983" s="976">
        <v>0</v>
      </c>
      <c r="F983" s="976">
        <v>0</v>
      </c>
      <c r="G983" s="976">
        <v>0</v>
      </c>
      <c r="H983" s="976">
        <v>0</v>
      </c>
      <c r="I983" s="976"/>
      <c r="J983" s="976"/>
      <c r="K983" s="976">
        <v>0</v>
      </c>
      <c r="L983" s="978">
        <v>0</v>
      </c>
      <c r="M983" s="976" t="s">
        <v>3589</v>
      </c>
      <c r="N983" s="976">
        <v>0</v>
      </c>
      <c r="O983" s="735">
        <f t="shared" si="47"/>
        <v>0</v>
      </c>
      <c r="P983" s="738">
        <f t="shared" si="45"/>
        <v>0</v>
      </c>
      <c r="Q983" s="751">
        <f t="shared" si="46"/>
        <v>0</v>
      </c>
      <c r="U983" s="751"/>
      <c r="V983" s="988"/>
      <c r="W983" s="1024"/>
      <c r="CD983" s="845"/>
      <c r="CE983" s="845"/>
      <c r="CF983" s="845"/>
      <c r="CG983" s="845"/>
      <c r="CH983" s="845"/>
      <c r="CI983" s="845"/>
      <c r="CJ983" s="845"/>
      <c r="CK983" s="845"/>
      <c r="CL983" s="845"/>
      <c r="CM983" s="845"/>
      <c r="CN983" s="845"/>
      <c r="CO983" s="845"/>
      <c r="CP983" s="845"/>
      <c r="CQ983" s="845"/>
      <c r="CR983" s="845"/>
      <c r="CS983" s="845"/>
      <c r="CT983" s="845"/>
      <c r="CU983" s="845"/>
      <c r="CV983" s="845"/>
      <c r="CW983" s="845"/>
      <c r="CX983" s="845"/>
      <c r="CY983" s="845"/>
      <c r="CZ983" s="845"/>
      <c r="DA983" s="845"/>
      <c r="DB983" s="845"/>
      <c r="DC983" s="845"/>
      <c r="DD983" s="845"/>
      <c r="DE983" s="845"/>
      <c r="DF983" s="845"/>
      <c r="DG983" s="845"/>
      <c r="DH983" s="845"/>
      <c r="DI983" s="845"/>
      <c r="DJ983" s="845"/>
      <c r="DK983" s="845"/>
      <c r="DL983" s="845"/>
      <c r="DM983" s="845"/>
      <c r="DN983" s="845"/>
      <c r="DO983" s="845"/>
      <c r="DP983" s="845"/>
      <c r="DQ983" s="845"/>
      <c r="DR983" s="845"/>
      <c r="DS983" s="845"/>
      <c r="DT983" s="845"/>
      <c r="DU983" s="845"/>
      <c r="DV983" s="845"/>
      <c r="DW983" s="845"/>
      <c r="DX983" s="845"/>
      <c r="DY983" s="845"/>
      <c r="DZ983" s="845"/>
      <c r="EA983" s="845"/>
      <c r="EB983" s="845"/>
      <c r="EC983" s="845"/>
      <c r="ED983" s="845"/>
      <c r="EE983" s="845"/>
      <c r="EF983" s="845"/>
      <c r="EG983" s="845"/>
      <c r="EH983" s="845"/>
      <c r="EI983" s="845"/>
      <c r="EJ983" s="845"/>
      <c r="EK983" s="845"/>
      <c r="EL983" s="845"/>
      <c r="EM983" s="845"/>
      <c r="EN983" s="845"/>
      <c r="EO983" s="845"/>
      <c r="EP983" s="845"/>
      <c r="EQ983" s="845"/>
      <c r="ER983" s="845"/>
      <c r="ES983" s="845"/>
      <c r="ET983" s="845"/>
      <c r="EU983" s="845"/>
      <c r="EV983" s="845"/>
      <c r="EW983" s="845"/>
      <c r="EX983" s="845"/>
      <c r="EY983" s="845"/>
      <c r="EZ983" s="845"/>
      <c r="FA983" s="845"/>
      <c r="FB983" s="845"/>
      <c r="FC983" s="845"/>
      <c r="FD983" s="845"/>
      <c r="FE983" s="845"/>
      <c r="FF983" s="845"/>
      <c r="FG983" s="845"/>
      <c r="FH983" s="845"/>
      <c r="FI983" s="845"/>
      <c r="FJ983" s="845"/>
      <c r="FK983" s="845"/>
      <c r="FL983" s="845"/>
      <c r="FM983" s="845"/>
      <c r="FN983" s="845"/>
      <c r="FO983" s="845"/>
      <c r="FP983" s="845"/>
      <c r="FQ983" s="845"/>
      <c r="FR983" s="845"/>
      <c r="FS983" s="845"/>
      <c r="FT983" s="845"/>
      <c r="FU983" s="845"/>
      <c r="FV983" s="845"/>
      <c r="FW983" s="845"/>
      <c r="FX983" s="845"/>
      <c r="FY983" s="845"/>
      <c r="FZ983" s="845"/>
      <c r="GA983" s="845"/>
      <c r="GB983" s="845"/>
      <c r="GC983" s="845"/>
      <c r="GD983" s="845"/>
      <c r="GE983" s="845"/>
      <c r="GF983" s="845"/>
      <c r="GG983" s="845"/>
      <c r="GH983" s="845"/>
      <c r="GI983" s="845"/>
      <c r="GJ983" s="845"/>
      <c r="GK983" s="845"/>
      <c r="GL983" s="845"/>
      <c r="GM983" s="845"/>
      <c r="GN983" s="845"/>
      <c r="GO983" s="845"/>
      <c r="GP983" s="845"/>
      <c r="GQ983" s="845"/>
      <c r="GR983" s="845"/>
      <c r="GS983" s="845"/>
      <c r="GT983" s="845"/>
      <c r="GU983" s="845"/>
      <c r="GV983" s="845"/>
      <c r="GW983" s="845"/>
      <c r="GX983" s="845"/>
      <c r="GY983" s="845"/>
      <c r="GZ983" s="845"/>
      <c r="HA983" s="845"/>
      <c r="HB983" s="845"/>
      <c r="HC983" s="845"/>
      <c r="HD983" s="845"/>
      <c r="HE983" s="845"/>
      <c r="HF983" s="845"/>
      <c r="HG983" s="845"/>
      <c r="HH983" s="845"/>
      <c r="HI983" s="845"/>
      <c r="HJ983" s="845"/>
      <c r="HK983" s="845"/>
      <c r="HL983" s="845"/>
      <c r="HM983" s="845"/>
      <c r="HN983" s="845"/>
      <c r="HO983" s="845"/>
      <c r="HP983" s="845"/>
      <c r="HQ983" s="845"/>
      <c r="HR983" s="845"/>
      <c r="HS983" s="845"/>
      <c r="HT983" s="845"/>
      <c r="HU983" s="845"/>
      <c r="HV983" s="845"/>
      <c r="HW983" s="845"/>
      <c r="HX983" s="845"/>
      <c r="HY983" s="845"/>
      <c r="HZ983" s="845"/>
      <c r="IA983" s="845"/>
      <c r="IB983" s="845"/>
      <c r="IC983" s="845"/>
      <c r="ID983" s="845"/>
      <c r="IE983" s="845"/>
      <c r="IF983" s="845"/>
    </row>
    <row r="984" spans="1:240" s="747" customFormat="1" ht="14.25" customHeight="1">
      <c r="A984" s="976" t="s">
        <v>3949</v>
      </c>
      <c r="B984" s="976" t="s">
        <v>1263</v>
      </c>
      <c r="C984" s="977">
        <v>1846500825</v>
      </c>
      <c r="D984" s="976" t="s">
        <v>739</v>
      </c>
      <c r="E984" s="976">
        <v>43</v>
      </c>
      <c r="F984" s="976">
        <v>43</v>
      </c>
      <c r="G984" s="976">
        <v>32.25</v>
      </c>
      <c r="H984" s="976">
        <v>31.141999999999999</v>
      </c>
      <c r="I984" s="976"/>
      <c r="J984" s="1032">
        <v>-3</v>
      </c>
      <c r="K984" s="976">
        <v>28.141999999999999</v>
      </c>
      <c r="L984" s="978">
        <v>-4.1080000000000005</v>
      </c>
      <c r="M984" s="976" t="s">
        <v>3589</v>
      </c>
      <c r="N984" s="976">
        <v>37.522666666666666</v>
      </c>
      <c r="O984" s="735">
        <f t="shared" si="47"/>
        <v>-5.4773333333333341</v>
      </c>
      <c r="P984" s="738">
        <f t="shared" si="45"/>
        <v>37522.666666666664</v>
      </c>
      <c r="Q984" s="751">
        <f t="shared" si="46"/>
        <v>38000</v>
      </c>
      <c r="U984" s="751"/>
      <c r="V984" s="988"/>
      <c r="W984" s="1024"/>
      <c r="CD984" s="845"/>
      <c r="CE984" s="845"/>
      <c r="CF984" s="845"/>
      <c r="CG984" s="845"/>
      <c r="CH984" s="845"/>
      <c r="CI984" s="845"/>
      <c r="CJ984" s="845"/>
      <c r="CK984" s="845"/>
      <c r="CL984" s="845"/>
      <c r="CM984" s="845"/>
      <c r="CN984" s="845"/>
      <c r="CO984" s="845"/>
      <c r="CP984" s="845"/>
      <c r="CQ984" s="845"/>
      <c r="CR984" s="845"/>
      <c r="CS984" s="845"/>
      <c r="CT984" s="845"/>
      <c r="CU984" s="845"/>
      <c r="CV984" s="845"/>
      <c r="CW984" s="845"/>
      <c r="CX984" s="845"/>
      <c r="CY984" s="845"/>
      <c r="CZ984" s="845"/>
      <c r="DA984" s="845"/>
      <c r="DB984" s="845"/>
      <c r="DC984" s="845"/>
      <c r="DD984" s="845"/>
      <c r="DE984" s="845"/>
      <c r="DF984" s="845"/>
      <c r="DG984" s="845"/>
      <c r="DH984" s="845"/>
      <c r="DI984" s="845"/>
      <c r="DJ984" s="845"/>
      <c r="DK984" s="845"/>
      <c r="DL984" s="845"/>
      <c r="DM984" s="845"/>
      <c r="DN984" s="845"/>
      <c r="DO984" s="845"/>
      <c r="DP984" s="845"/>
      <c r="DQ984" s="845"/>
      <c r="DR984" s="845"/>
      <c r="DS984" s="845"/>
      <c r="DT984" s="845"/>
      <c r="DU984" s="845"/>
      <c r="DV984" s="845"/>
      <c r="DW984" s="845"/>
      <c r="DX984" s="845"/>
      <c r="DY984" s="845"/>
      <c r="DZ984" s="845"/>
      <c r="EA984" s="845"/>
      <c r="EB984" s="845"/>
      <c r="EC984" s="845"/>
      <c r="ED984" s="845"/>
      <c r="EE984" s="845"/>
      <c r="EF984" s="845"/>
      <c r="EG984" s="845"/>
      <c r="EH984" s="845"/>
      <c r="EI984" s="845"/>
      <c r="EJ984" s="845"/>
      <c r="EK984" s="845"/>
      <c r="EL984" s="845"/>
      <c r="EM984" s="845"/>
      <c r="EN984" s="845"/>
      <c r="EO984" s="845"/>
      <c r="EP984" s="845"/>
      <c r="EQ984" s="845"/>
      <c r="ER984" s="845"/>
      <c r="ES984" s="845"/>
      <c r="ET984" s="845"/>
      <c r="EU984" s="845"/>
      <c r="EV984" s="845"/>
      <c r="EW984" s="845"/>
      <c r="EX984" s="845"/>
      <c r="EY984" s="845"/>
      <c r="EZ984" s="845"/>
      <c r="FA984" s="845"/>
      <c r="FB984" s="845"/>
      <c r="FC984" s="845"/>
      <c r="FD984" s="845"/>
      <c r="FE984" s="845"/>
      <c r="FF984" s="845"/>
      <c r="FG984" s="845"/>
      <c r="FH984" s="845"/>
      <c r="FI984" s="845"/>
      <c r="FJ984" s="845"/>
      <c r="FK984" s="845"/>
      <c r="FL984" s="845"/>
      <c r="FM984" s="845"/>
      <c r="FN984" s="845"/>
      <c r="FO984" s="845"/>
      <c r="FP984" s="845"/>
      <c r="FQ984" s="845"/>
      <c r="FR984" s="845"/>
      <c r="FS984" s="845"/>
      <c r="FT984" s="845"/>
      <c r="FU984" s="845"/>
      <c r="FV984" s="845"/>
      <c r="FW984" s="845"/>
      <c r="FX984" s="845"/>
      <c r="FY984" s="845"/>
      <c r="FZ984" s="845"/>
      <c r="GA984" s="845"/>
      <c r="GB984" s="845"/>
      <c r="GC984" s="845"/>
      <c r="GD984" s="845"/>
      <c r="GE984" s="845"/>
      <c r="GF984" s="845"/>
      <c r="GG984" s="845"/>
      <c r="GH984" s="845"/>
      <c r="GI984" s="845"/>
      <c r="GJ984" s="845"/>
      <c r="GK984" s="845"/>
      <c r="GL984" s="845"/>
      <c r="GM984" s="845"/>
      <c r="GN984" s="845"/>
      <c r="GO984" s="845"/>
      <c r="GP984" s="845"/>
      <c r="GQ984" s="845"/>
      <c r="GR984" s="845"/>
      <c r="GS984" s="845"/>
      <c r="GT984" s="845"/>
      <c r="GU984" s="845"/>
      <c r="GV984" s="845"/>
      <c r="GW984" s="845"/>
      <c r="GX984" s="845"/>
      <c r="GY984" s="845"/>
      <c r="GZ984" s="845"/>
      <c r="HA984" s="845"/>
      <c r="HB984" s="845"/>
      <c r="HC984" s="845"/>
      <c r="HD984" s="845"/>
      <c r="HE984" s="845"/>
      <c r="HF984" s="845"/>
      <c r="HG984" s="845"/>
      <c r="HH984" s="845"/>
      <c r="HI984" s="845"/>
      <c r="HJ984" s="845"/>
      <c r="HK984" s="845"/>
      <c r="HL984" s="845"/>
      <c r="HM984" s="845"/>
      <c r="HN984" s="845"/>
      <c r="HO984" s="845"/>
      <c r="HP984" s="845"/>
      <c r="HQ984" s="845"/>
      <c r="HR984" s="845"/>
      <c r="HS984" s="845"/>
      <c r="HT984" s="845"/>
      <c r="HU984" s="845"/>
      <c r="HV984" s="845"/>
      <c r="HW984" s="845"/>
      <c r="HX984" s="845"/>
      <c r="HY984" s="845"/>
      <c r="HZ984" s="845"/>
      <c r="IA984" s="845"/>
      <c r="IB984" s="845"/>
      <c r="IC984" s="845"/>
      <c r="ID984" s="845"/>
      <c r="IE984" s="845"/>
      <c r="IF984" s="845"/>
    </row>
    <row r="985" spans="1:240" s="747" customFormat="1" ht="14.25" customHeight="1">
      <c r="A985" s="976" t="s">
        <v>3937</v>
      </c>
      <c r="B985" s="976" t="s">
        <v>1263</v>
      </c>
      <c r="C985" s="977">
        <v>1846600820</v>
      </c>
      <c r="D985" s="976" t="s">
        <v>186</v>
      </c>
      <c r="E985" s="976">
        <v>500</v>
      </c>
      <c r="F985" s="976">
        <v>500</v>
      </c>
      <c r="G985" s="976">
        <v>375</v>
      </c>
      <c r="H985" s="976">
        <v>356.36599999999999</v>
      </c>
      <c r="I985" s="976"/>
      <c r="J985" s="1041">
        <v>17</v>
      </c>
      <c r="K985" s="976">
        <v>373.36599999999999</v>
      </c>
      <c r="L985" s="978">
        <v>-1.6340000000000146</v>
      </c>
      <c r="M985" s="976" t="s">
        <v>3589</v>
      </c>
      <c r="N985" s="976">
        <v>497.82133333333331</v>
      </c>
      <c r="O985" s="735">
        <f t="shared" si="47"/>
        <v>-2.1786666666666861</v>
      </c>
      <c r="P985" s="738">
        <f t="shared" si="45"/>
        <v>497821.33333333331</v>
      </c>
      <c r="Q985" s="751">
        <f t="shared" si="46"/>
        <v>498000</v>
      </c>
      <c r="U985" s="751"/>
      <c r="V985" s="988"/>
      <c r="W985" s="1024"/>
      <c r="CD985" s="845"/>
      <c r="CE985" s="845"/>
      <c r="CF985" s="845"/>
      <c r="CG985" s="845"/>
      <c r="CH985" s="845"/>
      <c r="CI985" s="845"/>
      <c r="CJ985" s="845"/>
      <c r="CK985" s="845"/>
      <c r="CL985" s="845"/>
      <c r="CM985" s="845"/>
      <c r="CN985" s="845"/>
      <c r="CO985" s="845"/>
      <c r="CP985" s="845"/>
      <c r="CQ985" s="845"/>
      <c r="CR985" s="845"/>
      <c r="CS985" s="845"/>
      <c r="CT985" s="845"/>
      <c r="CU985" s="845"/>
      <c r="CV985" s="845"/>
      <c r="CW985" s="845"/>
      <c r="CX985" s="845"/>
      <c r="CY985" s="845"/>
      <c r="CZ985" s="845"/>
      <c r="DA985" s="845"/>
      <c r="DB985" s="845"/>
      <c r="DC985" s="845"/>
      <c r="DD985" s="845"/>
      <c r="DE985" s="845"/>
      <c r="DF985" s="845"/>
      <c r="DG985" s="845"/>
      <c r="DH985" s="845"/>
      <c r="DI985" s="845"/>
      <c r="DJ985" s="845"/>
      <c r="DK985" s="845"/>
      <c r="DL985" s="845"/>
      <c r="DM985" s="845"/>
      <c r="DN985" s="845"/>
      <c r="DO985" s="845"/>
      <c r="DP985" s="845"/>
      <c r="DQ985" s="845"/>
      <c r="DR985" s="845"/>
      <c r="DS985" s="845"/>
      <c r="DT985" s="845"/>
      <c r="DU985" s="845"/>
      <c r="DV985" s="845"/>
      <c r="DW985" s="845"/>
      <c r="DX985" s="845"/>
      <c r="DY985" s="845"/>
      <c r="DZ985" s="845"/>
      <c r="EA985" s="845"/>
      <c r="EB985" s="845"/>
      <c r="EC985" s="845"/>
      <c r="ED985" s="845"/>
      <c r="EE985" s="845"/>
      <c r="EF985" s="845"/>
      <c r="EG985" s="845"/>
      <c r="EH985" s="845"/>
      <c r="EI985" s="845"/>
      <c r="EJ985" s="845"/>
      <c r="EK985" s="845"/>
      <c r="EL985" s="845"/>
      <c r="EM985" s="845"/>
      <c r="EN985" s="845"/>
      <c r="EO985" s="845"/>
      <c r="EP985" s="845"/>
      <c r="EQ985" s="845"/>
      <c r="ER985" s="845"/>
      <c r="ES985" s="845"/>
      <c r="ET985" s="845"/>
      <c r="EU985" s="845"/>
      <c r="EV985" s="845"/>
      <c r="EW985" s="845"/>
      <c r="EX985" s="845"/>
      <c r="EY985" s="845"/>
      <c r="EZ985" s="845"/>
      <c r="FA985" s="845"/>
      <c r="FB985" s="845"/>
      <c r="FC985" s="845"/>
      <c r="FD985" s="845"/>
      <c r="FE985" s="845"/>
      <c r="FF985" s="845"/>
      <c r="FG985" s="845"/>
      <c r="FH985" s="845"/>
      <c r="FI985" s="845"/>
      <c r="FJ985" s="845"/>
      <c r="FK985" s="845"/>
      <c r="FL985" s="845"/>
      <c r="FM985" s="845"/>
      <c r="FN985" s="845"/>
      <c r="FO985" s="845"/>
      <c r="FP985" s="845"/>
      <c r="FQ985" s="845"/>
      <c r="FR985" s="845"/>
      <c r="FS985" s="845"/>
      <c r="FT985" s="845"/>
      <c r="FU985" s="845"/>
      <c r="FV985" s="845"/>
      <c r="FW985" s="845"/>
      <c r="FX985" s="845"/>
      <c r="FY985" s="845"/>
      <c r="FZ985" s="845"/>
      <c r="GA985" s="845"/>
      <c r="GB985" s="845"/>
      <c r="GC985" s="845"/>
      <c r="GD985" s="845"/>
      <c r="GE985" s="845"/>
      <c r="GF985" s="845"/>
      <c r="GG985" s="845"/>
      <c r="GH985" s="845"/>
      <c r="GI985" s="845"/>
      <c r="GJ985" s="845"/>
      <c r="GK985" s="845"/>
      <c r="GL985" s="845"/>
      <c r="GM985" s="845"/>
      <c r="GN985" s="845"/>
      <c r="GO985" s="845"/>
      <c r="GP985" s="845"/>
      <c r="GQ985" s="845"/>
      <c r="GR985" s="845"/>
      <c r="GS985" s="845"/>
      <c r="GT985" s="845"/>
      <c r="GU985" s="845"/>
      <c r="GV985" s="845"/>
      <c r="GW985" s="845"/>
      <c r="GX985" s="845"/>
      <c r="GY985" s="845"/>
      <c r="GZ985" s="845"/>
      <c r="HA985" s="845"/>
      <c r="HB985" s="845"/>
      <c r="HC985" s="845"/>
      <c r="HD985" s="845"/>
      <c r="HE985" s="845"/>
      <c r="HF985" s="845"/>
      <c r="HG985" s="845"/>
      <c r="HH985" s="845"/>
      <c r="HI985" s="845"/>
      <c r="HJ985" s="845"/>
      <c r="HK985" s="845"/>
      <c r="HL985" s="845"/>
      <c r="HM985" s="845"/>
      <c r="HN985" s="845"/>
      <c r="HO985" s="845"/>
      <c r="HP985" s="845"/>
      <c r="HQ985" s="845"/>
      <c r="HR985" s="845"/>
      <c r="HS985" s="845"/>
      <c r="HT985" s="845"/>
      <c r="HU985" s="845"/>
      <c r="HV985" s="845"/>
      <c r="HW985" s="845"/>
      <c r="HX985" s="845"/>
      <c r="HY985" s="845"/>
      <c r="HZ985" s="845"/>
      <c r="IA985" s="845"/>
      <c r="IB985" s="845"/>
      <c r="IC985" s="845"/>
      <c r="ID985" s="845"/>
      <c r="IE985" s="845"/>
      <c r="IF985" s="845"/>
    </row>
    <row r="986" spans="1:240" s="747" customFormat="1" ht="14.25" customHeight="1">
      <c r="A986" s="976" t="s">
        <v>3942</v>
      </c>
      <c r="B986" s="976" t="s">
        <v>1263</v>
      </c>
      <c r="C986" s="977">
        <v>1846600821</v>
      </c>
      <c r="D986" s="976" t="s">
        <v>782</v>
      </c>
      <c r="E986" s="976">
        <v>210</v>
      </c>
      <c r="F986" s="976">
        <v>210</v>
      </c>
      <c r="G986" s="976">
        <v>157.5</v>
      </c>
      <c r="H986" s="976">
        <v>83.492000000000004</v>
      </c>
      <c r="I986" s="976"/>
      <c r="J986" s="976"/>
      <c r="K986" s="976">
        <v>83.492000000000004</v>
      </c>
      <c r="L986" s="978">
        <v>-74.007999999999996</v>
      </c>
      <c r="M986" s="976" t="s">
        <v>3589</v>
      </c>
      <c r="N986" s="976">
        <v>111.32266666666666</v>
      </c>
      <c r="O986" s="735">
        <f t="shared" si="47"/>
        <v>-98.677333333333337</v>
      </c>
      <c r="P986" s="738">
        <f t="shared" si="45"/>
        <v>111322.66666666666</v>
      </c>
      <c r="Q986" s="751">
        <f t="shared" si="46"/>
        <v>111000</v>
      </c>
      <c r="U986" s="751"/>
      <c r="V986" s="988"/>
      <c r="W986" s="1024"/>
      <c r="CD986" s="845"/>
      <c r="CE986" s="845"/>
      <c r="CF986" s="845"/>
      <c r="CG986" s="845"/>
      <c r="CH986" s="845"/>
      <c r="CI986" s="845"/>
      <c r="CJ986" s="845"/>
      <c r="CK986" s="845"/>
      <c r="CL986" s="845"/>
      <c r="CM986" s="845"/>
      <c r="CN986" s="845"/>
      <c r="CO986" s="845"/>
      <c r="CP986" s="845"/>
      <c r="CQ986" s="845"/>
      <c r="CR986" s="845"/>
      <c r="CS986" s="845"/>
      <c r="CT986" s="845"/>
      <c r="CU986" s="845"/>
      <c r="CV986" s="845"/>
      <c r="CW986" s="845"/>
      <c r="CX986" s="845"/>
      <c r="CY986" s="845"/>
      <c r="CZ986" s="845"/>
      <c r="DA986" s="845"/>
      <c r="DB986" s="845"/>
      <c r="DC986" s="845"/>
      <c r="DD986" s="845"/>
      <c r="DE986" s="845"/>
      <c r="DF986" s="845"/>
      <c r="DG986" s="845"/>
      <c r="DH986" s="845"/>
      <c r="DI986" s="845"/>
      <c r="DJ986" s="845"/>
      <c r="DK986" s="845"/>
      <c r="DL986" s="845"/>
      <c r="DM986" s="845"/>
      <c r="DN986" s="845"/>
      <c r="DO986" s="845"/>
      <c r="DP986" s="845"/>
      <c r="DQ986" s="845"/>
      <c r="DR986" s="845"/>
      <c r="DS986" s="845"/>
      <c r="DT986" s="845"/>
      <c r="DU986" s="845"/>
      <c r="DV986" s="845"/>
      <c r="DW986" s="845"/>
      <c r="DX986" s="845"/>
      <c r="DY986" s="845"/>
      <c r="DZ986" s="845"/>
      <c r="EA986" s="845"/>
      <c r="EB986" s="845"/>
      <c r="EC986" s="845"/>
      <c r="ED986" s="845"/>
      <c r="EE986" s="845"/>
      <c r="EF986" s="845"/>
      <c r="EG986" s="845"/>
      <c r="EH986" s="845"/>
      <c r="EI986" s="845"/>
      <c r="EJ986" s="845"/>
      <c r="EK986" s="845"/>
      <c r="EL986" s="845"/>
      <c r="EM986" s="845"/>
      <c r="EN986" s="845"/>
      <c r="EO986" s="845"/>
      <c r="EP986" s="845"/>
      <c r="EQ986" s="845"/>
      <c r="ER986" s="845"/>
      <c r="ES986" s="845"/>
      <c r="ET986" s="845"/>
      <c r="EU986" s="845"/>
      <c r="EV986" s="845"/>
      <c r="EW986" s="845"/>
      <c r="EX986" s="845"/>
      <c r="EY986" s="845"/>
      <c r="EZ986" s="845"/>
      <c r="FA986" s="845"/>
      <c r="FB986" s="845"/>
      <c r="FC986" s="845"/>
      <c r="FD986" s="845"/>
      <c r="FE986" s="845"/>
      <c r="FF986" s="845"/>
      <c r="FG986" s="845"/>
      <c r="FH986" s="845"/>
      <c r="FI986" s="845"/>
      <c r="FJ986" s="845"/>
      <c r="FK986" s="845"/>
      <c r="FL986" s="845"/>
      <c r="FM986" s="845"/>
      <c r="FN986" s="845"/>
      <c r="FO986" s="845"/>
      <c r="FP986" s="845"/>
      <c r="FQ986" s="845"/>
      <c r="FR986" s="845"/>
      <c r="FS986" s="845"/>
      <c r="FT986" s="845"/>
      <c r="FU986" s="845"/>
      <c r="FV986" s="845"/>
      <c r="FW986" s="845"/>
      <c r="FX986" s="845"/>
      <c r="FY986" s="845"/>
      <c r="FZ986" s="845"/>
      <c r="GA986" s="845"/>
      <c r="GB986" s="845"/>
      <c r="GC986" s="845"/>
      <c r="GD986" s="845"/>
      <c r="GE986" s="845"/>
      <c r="GF986" s="845"/>
      <c r="GG986" s="845"/>
      <c r="GH986" s="845"/>
      <c r="GI986" s="845"/>
      <c r="GJ986" s="845"/>
      <c r="GK986" s="845"/>
      <c r="GL986" s="845"/>
      <c r="GM986" s="845"/>
      <c r="GN986" s="845"/>
      <c r="GO986" s="845"/>
      <c r="GP986" s="845"/>
      <c r="GQ986" s="845"/>
      <c r="GR986" s="845"/>
      <c r="GS986" s="845"/>
      <c r="GT986" s="845"/>
      <c r="GU986" s="845"/>
      <c r="GV986" s="845"/>
      <c r="GW986" s="845"/>
      <c r="GX986" s="845"/>
      <c r="GY986" s="845"/>
      <c r="GZ986" s="845"/>
      <c r="HA986" s="845"/>
      <c r="HB986" s="845"/>
      <c r="HC986" s="845"/>
      <c r="HD986" s="845"/>
      <c r="HE986" s="845"/>
      <c r="HF986" s="845"/>
      <c r="HG986" s="845"/>
      <c r="HH986" s="845"/>
      <c r="HI986" s="845"/>
      <c r="HJ986" s="845"/>
      <c r="HK986" s="845"/>
      <c r="HL986" s="845"/>
      <c r="HM986" s="845"/>
      <c r="HN986" s="845"/>
      <c r="HO986" s="845"/>
      <c r="HP986" s="845"/>
      <c r="HQ986" s="845"/>
      <c r="HR986" s="845"/>
      <c r="HS986" s="845"/>
      <c r="HT986" s="845"/>
      <c r="HU986" s="845"/>
      <c r="HV986" s="845"/>
      <c r="HW986" s="845"/>
      <c r="HX986" s="845"/>
      <c r="HY986" s="845"/>
      <c r="HZ986" s="845"/>
      <c r="IA986" s="845"/>
      <c r="IB986" s="845"/>
      <c r="IC986" s="845"/>
      <c r="ID986" s="845"/>
      <c r="IE986" s="845"/>
      <c r="IF986" s="845"/>
    </row>
    <row r="987" spans="1:240" ht="14.25" customHeight="1">
      <c r="A987" s="976" t="s">
        <v>3947</v>
      </c>
      <c r="B987" s="976" t="s">
        <v>1263</v>
      </c>
      <c r="C987" s="977">
        <v>1846600822</v>
      </c>
      <c r="D987" s="976" t="s">
        <v>181</v>
      </c>
      <c r="E987" s="976">
        <v>900</v>
      </c>
      <c r="F987" s="976">
        <v>900</v>
      </c>
      <c r="G987" s="976">
        <v>675</v>
      </c>
      <c r="H987" s="976">
        <v>593.63679999999999</v>
      </c>
      <c r="I987" s="976"/>
      <c r="J987" s="1032">
        <v>-67</v>
      </c>
      <c r="K987" s="976">
        <v>526.63679999999999</v>
      </c>
      <c r="L987" s="978">
        <v>-148.36320000000001</v>
      </c>
      <c r="M987" s="976" t="s">
        <v>3589</v>
      </c>
      <c r="N987" s="976">
        <v>702.18240000000003</v>
      </c>
      <c r="O987" s="735">
        <f t="shared" si="47"/>
        <v>-197.81759999999997</v>
      </c>
      <c r="P987" s="738">
        <f t="shared" si="45"/>
        <v>702182.40000000002</v>
      </c>
      <c r="Q987" s="751">
        <f t="shared" si="46"/>
        <v>702000</v>
      </c>
      <c r="U987" s="751"/>
      <c r="V987" s="988"/>
      <c r="W987" s="1024"/>
    </row>
    <row r="988" spans="1:240" ht="14.25" customHeight="1">
      <c r="A988" s="976" t="s">
        <v>3952</v>
      </c>
      <c r="B988" s="976" t="s">
        <v>1263</v>
      </c>
      <c r="C988" s="977">
        <v>1846600823</v>
      </c>
      <c r="D988" s="976" t="s">
        <v>3431</v>
      </c>
      <c r="E988" s="976">
        <v>0</v>
      </c>
      <c r="F988" s="976">
        <v>0</v>
      </c>
      <c r="G988" s="976">
        <v>0</v>
      </c>
      <c r="H988" s="976">
        <v>0</v>
      </c>
      <c r="I988" s="976"/>
      <c r="J988" s="976"/>
      <c r="K988" s="976">
        <v>0</v>
      </c>
      <c r="L988" s="978">
        <v>0</v>
      </c>
      <c r="M988" s="976" t="s">
        <v>3589</v>
      </c>
      <c r="N988" s="976">
        <v>0</v>
      </c>
      <c r="O988" s="735">
        <f t="shared" si="47"/>
        <v>0</v>
      </c>
      <c r="P988" s="738">
        <f t="shared" si="45"/>
        <v>0</v>
      </c>
      <c r="Q988" s="751">
        <f t="shared" si="46"/>
        <v>0</v>
      </c>
      <c r="U988" s="751"/>
      <c r="V988" s="988"/>
      <c r="W988" s="1024"/>
    </row>
    <row r="989" spans="1:240" ht="14.25" customHeight="1">
      <c r="A989" s="976" t="s">
        <v>3948</v>
      </c>
      <c r="B989" s="976" t="s">
        <v>1263</v>
      </c>
      <c r="C989" s="977">
        <v>1846600824</v>
      </c>
      <c r="D989" s="976" t="s">
        <v>183</v>
      </c>
      <c r="E989" s="976">
        <v>60</v>
      </c>
      <c r="F989" s="976">
        <v>60</v>
      </c>
      <c r="G989" s="976">
        <v>45</v>
      </c>
      <c r="H989" s="976">
        <v>26.06</v>
      </c>
      <c r="I989" s="976"/>
      <c r="J989" s="976"/>
      <c r="K989" s="976">
        <v>26.06</v>
      </c>
      <c r="L989" s="978">
        <v>-18.940000000000001</v>
      </c>
      <c r="M989" s="976" t="s">
        <v>3589</v>
      </c>
      <c r="N989" s="976">
        <v>34.746666666666663</v>
      </c>
      <c r="O989" s="735">
        <f t="shared" si="47"/>
        <v>-25.253333333333337</v>
      </c>
      <c r="P989" s="738">
        <f t="shared" si="45"/>
        <v>34746.666666666664</v>
      </c>
      <c r="Q989" s="751">
        <f t="shared" si="46"/>
        <v>35000</v>
      </c>
      <c r="U989" s="751"/>
      <c r="V989" s="988"/>
      <c r="W989" s="1024"/>
    </row>
    <row r="990" spans="1:240" ht="14.25" customHeight="1">
      <c r="A990" s="976" t="s">
        <v>3953</v>
      </c>
      <c r="B990" s="976" t="s">
        <v>1263</v>
      </c>
      <c r="C990" s="977">
        <v>1846600826</v>
      </c>
      <c r="D990" s="976" t="s">
        <v>785</v>
      </c>
      <c r="E990" s="976">
        <v>3000</v>
      </c>
      <c r="F990" s="976">
        <v>3000</v>
      </c>
      <c r="G990" s="976">
        <v>2250</v>
      </c>
      <c r="H990" s="976">
        <v>1880.18</v>
      </c>
      <c r="I990" s="976"/>
      <c r="J990" s="1041">
        <v>160</v>
      </c>
      <c r="K990" s="976">
        <v>2040.18</v>
      </c>
      <c r="L990" s="978">
        <v>-209.81999999999994</v>
      </c>
      <c r="M990" s="976" t="s">
        <v>3589</v>
      </c>
      <c r="N990" s="976">
        <v>2720.24</v>
      </c>
      <c r="O990" s="735">
        <f t="shared" si="47"/>
        <v>-279.76000000000022</v>
      </c>
      <c r="P990" s="738">
        <f t="shared" si="45"/>
        <v>2720240</v>
      </c>
      <c r="Q990" s="751">
        <f t="shared" si="46"/>
        <v>2720000</v>
      </c>
      <c r="U990" s="751"/>
      <c r="V990" s="988"/>
      <c r="W990" s="1024"/>
    </row>
    <row r="991" spans="1:240" ht="13.5" customHeight="1">
      <c r="A991" s="976" t="s">
        <v>3954</v>
      </c>
      <c r="B991" s="976" t="s">
        <v>1263</v>
      </c>
      <c r="C991" s="977">
        <v>1846600827</v>
      </c>
      <c r="D991" s="976" t="s">
        <v>185</v>
      </c>
      <c r="E991" s="976">
        <v>297</v>
      </c>
      <c r="F991" s="976">
        <v>297</v>
      </c>
      <c r="G991" s="976">
        <v>222.75</v>
      </c>
      <c r="H991" s="976">
        <v>180.797</v>
      </c>
      <c r="I991" s="976"/>
      <c r="J991" s="1041">
        <v>7</v>
      </c>
      <c r="K991" s="976">
        <v>187.797</v>
      </c>
      <c r="L991" s="978">
        <v>-34.953000000000003</v>
      </c>
      <c r="M991" s="976" t="s">
        <v>3589</v>
      </c>
      <c r="N991" s="976">
        <v>250.39599999999999</v>
      </c>
      <c r="O991" s="735">
        <f t="shared" si="47"/>
        <v>-46.604000000000013</v>
      </c>
      <c r="P991" s="738">
        <f t="shared" si="45"/>
        <v>250396</v>
      </c>
      <c r="Q991" s="751">
        <f t="shared" si="46"/>
        <v>250000</v>
      </c>
      <c r="U991" s="751"/>
      <c r="V991" s="988"/>
      <c r="W991" s="1024"/>
    </row>
    <row r="992" spans="1:240" ht="14.25" customHeight="1">
      <c r="A992" s="976" t="s">
        <v>3937</v>
      </c>
      <c r="B992" s="976" t="s">
        <v>1263</v>
      </c>
      <c r="C992" s="977">
        <v>1846700820</v>
      </c>
      <c r="D992" s="976" t="s">
        <v>187</v>
      </c>
      <c r="E992" s="976">
        <v>124</v>
      </c>
      <c r="F992" s="976">
        <v>124</v>
      </c>
      <c r="G992" s="976">
        <v>93</v>
      </c>
      <c r="H992" s="976">
        <v>93.563000000000002</v>
      </c>
      <c r="I992" s="976"/>
      <c r="J992" s="1032">
        <v>-1</v>
      </c>
      <c r="K992" s="976">
        <v>92.563000000000002</v>
      </c>
      <c r="L992" s="978">
        <v>-0.43699999999999761</v>
      </c>
      <c r="M992" s="976" t="s">
        <v>3589</v>
      </c>
      <c r="N992" s="976">
        <v>123.41733333333335</v>
      </c>
      <c r="O992" s="735">
        <f t="shared" si="47"/>
        <v>-0.58266666666665401</v>
      </c>
      <c r="P992" s="738">
        <f t="shared" si="45"/>
        <v>123417.33333333334</v>
      </c>
      <c r="Q992" s="751">
        <f t="shared" si="46"/>
        <v>123000</v>
      </c>
      <c r="U992" s="751"/>
      <c r="V992" s="988"/>
      <c r="W992" s="1024"/>
    </row>
    <row r="993" spans="1:106" ht="14.25" customHeight="1">
      <c r="A993" s="976" t="s">
        <v>3942</v>
      </c>
      <c r="B993" s="976" t="s">
        <v>1263</v>
      </c>
      <c r="C993" s="977">
        <v>1846700821</v>
      </c>
      <c r="D993" s="976" t="s">
        <v>3248</v>
      </c>
      <c r="E993" s="976">
        <v>0</v>
      </c>
      <c r="F993" s="976">
        <v>0</v>
      </c>
      <c r="G993" s="976">
        <v>0</v>
      </c>
      <c r="H993" s="976">
        <v>0</v>
      </c>
      <c r="I993" s="976"/>
      <c r="J993" s="976"/>
      <c r="K993" s="976">
        <v>0</v>
      </c>
      <c r="L993" s="978">
        <v>0</v>
      </c>
      <c r="M993" s="976" t="s">
        <v>3589</v>
      </c>
      <c r="N993" s="976">
        <v>0</v>
      </c>
      <c r="O993" s="735">
        <f t="shared" si="47"/>
        <v>0</v>
      </c>
      <c r="P993" s="738">
        <f t="shared" si="45"/>
        <v>0</v>
      </c>
      <c r="Q993" s="751">
        <f t="shared" si="46"/>
        <v>0</v>
      </c>
      <c r="U993" s="751"/>
      <c r="V993" s="988"/>
      <c r="W993" s="1024"/>
    </row>
    <row r="994" spans="1:106" ht="14.25" customHeight="1">
      <c r="A994" s="976" t="s">
        <v>3947</v>
      </c>
      <c r="B994" s="976" t="s">
        <v>1263</v>
      </c>
      <c r="C994" s="977">
        <v>1846700822</v>
      </c>
      <c r="D994" s="976" t="s">
        <v>188</v>
      </c>
      <c r="E994" s="976">
        <v>45</v>
      </c>
      <c r="F994" s="976">
        <v>45</v>
      </c>
      <c r="G994" s="976">
        <v>33.75</v>
      </c>
      <c r="H994" s="976">
        <v>27.614000000000001</v>
      </c>
      <c r="I994" s="976"/>
      <c r="J994" s="1041">
        <v>8</v>
      </c>
      <c r="K994" s="976">
        <v>35.614000000000004</v>
      </c>
      <c r="L994" s="978">
        <v>1.8640000000000043</v>
      </c>
      <c r="M994" s="976" t="s">
        <v>3589</v>
      </c>
      <c r="N994" s="976">
        <v>47.485333333333337</v>
      </c>
      <c r="O994" s="735">
        <f t="shared" si="47"/>
        <v>2.4853333333333367</v>
      </c>
      <c r="P994" s="738">
        <f t="shared" si="45"/>
        <v>47485.333333333336</v>
      </c>
      <c r="Q994" s="751">
        <f t="shared" si="46"/>
        <v>47000</v>
      </c>
      <c r="U994" s="751"/>
      <c r="V994" s="988"/>
      <c r="W994" s="1024"/>
    </row>
    <row r="995" spans="1:106" ht="14.25" customHeight="1">
      <c r="A995" s="976" t="s">
        <v>3937</v>
      </c>
      <c r="B995" s="976" t="s">
        <v>1263</v>
      </c>
      <c r="C995" s="977">
        <v>1846800820</v>
      </c>
      <c r="D995" s="976" t="s">
        <v>190</v>
      </c>
      <c r="E995" s="976">
        <v>70</v>
      </c>
      <c r="F995" s="976">
        <v>70</v>
      </c>
      <c r="G995" s="976">
        <v>52.5</v>
      </c>
      <c r="H995" s="976">
        <v>31.321000000000002</v>
      </c>
      <c r="I995" s="976"/>
      <c r="J995" s="1041">
        <v>21</v>
      </c>
      <c r="K995" s="976">
        <v>52.320999999999998</v>
      </c>
      <c r="L995" s="978">
        <v>-0.17900000000000205</v>
      </c>
      <c r="M995" s="976" t="s">
        <v>3589</v>
      </c>
      <c r="N995" s="976">
        <v>69.761333333333326</v>
      </c>
      <c r="O995" s="735">
        <f t="shared" si="47"/>
        <v>-0.23866666666667413</v>
      </c>
      <c r="P995" s="738">
        <f t="shared" si="45"/>
        <v>69761.333333333328</v>
      </c>
      <c r="Q995" s="751">
        <f t="shared" si="46"/>
        <v>70000</v>
      </c>
      <c r="U995" s="751"/>
      <c r="V995" s="988"/>
      <c r="W995" s="1024"/>
    </row>
    <row r="996" spans="1:106" ht="14.25" customHeight="1">
      <c r="A996" s="976" t="s">
        <v>3942</v>
      </c>
      <c r="B996" s="976" t="s">
        <v>1263</v>
      </c>
      <c r="C996" s="977">
        <v>1846800821</v>
      </c>
      <c r="D996" s="976" t="s">
        <v>191</v>
      </c>
      <c r="E996" s="976">
        <v>70</v>
      </c>
      <c r="F996" s="976">
        <v>70</v>
      </c>
      <c r="G996" s="976">
        <v>52.5</v>
      </c>
      <c r="H996" s="976">
        <v>22.749509999999997</v>
      </c>
      <c r="I996" s="976"/>
      <c r="J996" s="1041">
        <v>30</v>
      </c>
      <c r="K996" s="976">
        <v>52.749510000000001</v>
      </c>
      <c r="L996" s="978">
        <v>0.24951000000000079</v>
      </c>
      <c r="M996" s="976" t="s">
        <v>3589</v>
      </c>
      <c r="N996" s="976">
        <v>70.332680000000011</v>
      </c>
      <c r="O996" s="735">
        <f t="shared" si="47"/>
        <v>0.33268000000001052</v>
      </c>
      <c r="P996" s="738">
        <f t="shared" si="45"/>
        <v>70332.680000000008</v>
      </c>
      <c r="Q996" s="751">
        <f t="shared" si="46"/>
        <v>70000</v>
      </c>
      <c r="U996" s="751"/>
      <c r="V996" s="988"/>
      <c r="W996" s="1024"/>
    </row>
    <row r="997" spans="1:106" ht="14.25" customHeight="1">
      <c r="A997" s="976" t="s">
        <v>3947</v>
      </c>
      <c r="B997" s="976" t="s">
        <v>1263</v>
      </c>
      <c r="C997" s="977">
        <v>1846800822</v>
      </c>
      <c r="D997" s="976" t="s">
        <v>192</v>
      </c>
      <c r="E997" s="976">
        <v>80</v>
      </c>
      <c r="F997" s="976">
        <v>80</v>
      </c>
      <c r="G997" s="976">
        <v>60</v>
      </c>
      <c r="H997" s="976">
        <v>39.6</v>
      </c>
      <c r="I997" s="976"/>
      <c r="J997" s="976"/>
      <c r="K997" s="976">
        <v>39.6</v>
      </c>
      <c r="L997" s="978">
        <v>-20.399999999999999</v>
      </c>
      <c r="M997" s="976" t="s">
        <v>3589</v>
      </c>
      <c r="N997" s="976">
        <v>52.800000000000004</v>
      </c>
      <c r="O997" s="735">
        <f t="shared" si="47"/>
        <v>-27.199999999999996</v>
      </c>
      <c r="P997" s="738">
        <f t="shared" si="45"/>
        <v>52800.000000000007</v>
      </c>
      <c r="Q997" s="751">
        <f t="shared" si="46"/>
        <v>53000</v>
      </c>
      <c r="U997" s="751"/>
      <c r="V997" s="988"/>
      <c r="W997" s="1024"/>
    </row>
    <row r="998" spans="1:106" ht="14.25" customHeight="1">
      <c r="A998" s="976" t="s">
        <v>3952</v>
      </c>
      <c r="B998" s="976" t="s">
        <v>1263</v>
      </c>
      <c r="C998" s="977">
        <v>1846800823</v>
      </c>
      <c r="D998" s="976" t="s">
        <v>3432</v>
      </c>
      <c r="E998" s="976">
        <v>0</v>
      </c>
      <c r="F998" s="976">
        <v>0</v>
      </c>
      <c r="G998" s="976">
        <v>0</v>
      </c>
      <c r="H998" s="976">
        <v>0</v>
      </c>
      <c r="I998" s="976"/>
      <c r="J998" s="976"/>
      <c r="K998" s="976">
        <v>0</v>
      </c>
      <c r="L998" s="978">
        <v>0</v>
      </c>
      <c r="M998" s="976" t="s">
        <v>3589</v>
      </c>
      <c r="N998" s="976">
        <v>0</v>
      </c>
      <c r="O998" s="735">
        <f t="shared" si="47"/>
        <v>0</v>
      </c>
      <c r="P998" s="738">
        <f t="shared" si="45"/>
        <v>0</v>
      </c>
      <c r="Q998" s="751">
        <f t="shared" si="46"/>
        <v>0</v>
      </c>
      <c r="U998" s="751"/>
      <c r="V998" s="988"/>
      <c r="W998" s="1024"/>
    </row>
    <row r="999" spans="1:106" ht="14.25" customHeight="1">
      <c r="A999" s="976" t="s">
        <v>3948</v>
      </c>
      <c r="B999" s="976" t="s">
        <v>1263</v>
      </c>
      <c r="C999" s="977">
        <v>1846800824</v>
      </c>
      <c r="D999" s="976" t="s">
        <v>793</v>
      </c>
      <c r="E999" s="976">
        <v>113</v>
      </c>
      <c r="F999" s="976">
        <v>113</v>
      </c>
      <c r="G999" s="976">
        <v>84.75</v>
      </c>
      <c r="H999" s="976">
        <v>108.60396</v>
      </c>
      <c r="I999" s="976"/>
      <c r="J999" s="1032">
        <v>-24</v>
      </c>
      <c r="K999" s="976">
        <v>84.603960000000001</v>
      </c>
      <c r="L999" s="978">
        <v>-0.14603999999999928</v>
      </c>
      <c r="M999" s="976" t="s">
        <v>3589</v>
      </c>
      <c r="N999" s="976">
        <v>112.80528</v>
      </c>
      <c r="O999" s="735">
        <f t="shared" si="47"/>
        <v>-0.19472000000000378</v>
      </c>
      <c r="P999" s="738">
        <f t="shared" si="45"/>
        <v>112805.28</v>
      </c>
      <c r="Q999" s="751">
        <f t="shared" si="46"/>
        <v>113000</v>
      </c>
      <c r="R999" s="745"/>
      <c r="S999" s="745"/>
      <c r="T999" s="745"/>
      <c r="U999" s="751"/>
      <c r="V999" s="988"/>
      <c r="W999" s="1024"/>
      <c r="X999" s="745"/>
      <c r="Y999" s="745"/>
      <c r="Z999" s="745"/>
      <c r="AA999" s="745"/>
      <c r="AB999" s="745"/>
      <c r="AC999" s="745"/>
      <c r="AD999" s="745"/>
      <c r="AE999" s="745"/>
      <c r="AF999" s="745"/>
      <c r="AG999" s="745"/>
      <c r="AH999" s="745"/>
      <c r="AI999" s="745"/>
      <c r="AJ999" s="745"/>
      <c r="AK999" s="745"/>
      <c r="AL999" s="745"/>
      <c r="AM999" s="745"/>
      <c r="AN999" s="745"/>
      <c r="AO999" s="745"/>
      <c r="AP999" s="745"/>
      <c r="AQ999" s="745"/>
      <c r="AR999" s="745"/>
      <c r="AS999" s="745"/>
      <c r="AT999" s="745"/>
      <c r="AU999" s="745"/>
      <c r="AV999" s="745"/>
      <c r="AW999" s="745"/>
      <c r="AX999" s="745"/>
      <c r="AY999" s="745"/>
      <c r="AZ999" s="745"/>
      <c r="BA999" s="745"/>
      <c r="BB999" s="745"/>
      <c r="BC999" s="745"/>
      <c r="BD999" s="745"/>
      <c r="BE999" s="745"/>
      <c r="BF999" s="745"/>
      <c r="BG999" s="745"/>
      <c r="BH999" s="745"/>
      <c r="BI999" s="745"/>
      <c r="BJ999" s="745"/>
      <c r="BK999" s="745"/>
      <c r="BL999" s="745"/>
      <c r="BM999" s="745"/>
      <c r="BN999" s="745"/>
      <c r="BO999" s="745"/>
      <c r="BP999" s="745"/>
      <c r="BQ999" s="745"/>
      <c r="BR999" s="745"/>
      <c r="BS999" s="745"/>
      <c r="BT999" s="745"/>
      <c r="BU999" s="745"/>
      <c r="BV999" s="745"/>
      <c r="BW999" s="745"/>
      <c r="BX999" s="745"/>
      <c r="BY999" s="745"/>
      <c r="BZ999" s="745"/>
      <c r="CA999" s="745"/>
      <c r="CB999" s="745"/>
      <c r="CC999" s="745"/>
      <c r="CD999" s="753"/>
      <c r="CE999" s="753"/>
      <c r="CF999" s="753"/>
      <c r="CG999" s="753"/>
      <c r="CH999" s="753"/>
      <c r="CI999" s="753"/>
      <c r="CJ999" s="753"/>
      <c r="CK999" s="753"/>
      <c r="CL999" s="753"/>
      <c r="CM999" s="753"/>
      <c r="CN999" s="753"/>
      <c r="CO999" s="753"/>
      <c r="CP999" s="753"/>
      <c r="CQ999" s="753"/>
      <c r="CR999" s="753"/>
      <c r="CS999" s="753"/>
      <c r="CT999" s="753"/>
      <c r="CU999" s="753"/>
      <c r="CV999" s="753"/>
      <c r="CW999" s="753"/>
      <c r="CX999" s="753"/>
      <c r="CY999" s="753"/>
      <c r="CZ999" s="753"/>
      <c r="DA999" s="753"/>
      <c r="DB999" s="753"/>
    </row>
    <row r="1000" spans="1:106" ht="14.25" customHeight="1">
      <c r="A1000" s="976" t="s">
        <v>3949</v>
      </c>
      <c r="B1000" s="976" t="s">
        <v>1263</v>
      </c>
      <c r="C1000" s="987">
        <v>1846800825</v>
      </c>
      <c r="D1000" s="987" t="s">
        <v>193</v>
      </c>
      <c r="E1000" s="976">
        <v>215</v>
      </c>
      <c r="F1000" s="976">
        <v>215</v>
      </c>
      <c r="G1000" s="976">
        <v>161.25</v>
      </c>
      <c r="H1000" s="976">
        <v>63.282160000000005</v>
      </c>
      <c r="I1000" s="976"/>
      <c r="J1000" s="1041">
        <v>21.5</v>
      </c>
      <c r="K1000" s="976">
        <v>84.782160000000005</v>
      </c>
      <c r="L1000" s="978">
        <v>-76.467839999999995</v>
      </c>
      <c r="M1000" s="976" t="s">
        <v>3589</v>
      </c>
      <c r="N1000" s="976">
        <v>113.04288000000001</v>
      </c>
      <c r="O1000" s="735">
        <f t="shared" si="47"/>
        <v>-101.95711999999999</v>
      </c>
      <c r="P1000" s="738">
        <f t="shared" si="45"/>
        <v>113042.88</v>
      </c>
      <c r="Q1000" s="751">
        <f t="shared" si="46"/>
        <v>113000</v>
      </c>
      <c r="U1000" s="751"/>
      <c r="V1000" s="988"/>
      <c r="W1000" s="1024"/>
    </row>
    <row r="1001" spans="1:106" ht="14.25" customHeight="1">
      <c r="A1001" s="976" t="s">
        <v>3942</v>
      </c>
      <c r="B1001" s="976" t="s">
        <v>1263</v>
      </c>
      <c r="C1001" s="977">
        <v>1847100821</v>
      </c>
      <c r="D1001" s="976" t="s">
        <v>196</v>
      </c>
      <c r="E1001" s="976">
        <v>52</v>
      </c>
      <c r="F1001" s="976">
        <v>52</v>
      </c>
      <c r="G1001" s="976">
        <v>39</v>
      </c>
      <c r="H1001" s="976">
        <v>20.767810000000001</v>
      </c>
      <c r="I1001" s="976"/>
      <c r="J1001" s="1041">
        <v>17</v>
      </c>
      <c r="K1001" s="976">
        <v>37.767809999999997</v>
      </c>
      <c r="L1001" s="978">
        <v>-1.2321900000000028</v>
      </c>
      <c r="M1001" s="976" t="s">
        <v>3589</v>
      </c>
      <c r="N1001" s="976">
        <v>50.357079999999996</v>
      </c>
      <c r="O1001" s="735">
        <f t="shared" si="47"/>
        <v>-1.6429200000000037</v>
      </c>
      <c r="P1001" s="738">
        <f t="shared" si="45"/>
        <v>50357.079999999994</v>
      </c>
      <c r="Q1001" s="751">
        <f t="shared" si="46"/>
        <v>50000</v>
      </c>
      <c r="U1001" s="751"/>
      <c r="V1001" s="988"/>
      <c r="W1001" s="1024"/>
    </row>
    <row r="1002" spans="1:106" ht="14.25" customHeight="1">
      <c r="A1002" s="976" t="s">
        <v>3947</v>
      </c>
      <c r="B1002" s="976"/>
      <c r="C1002" s="977">
        <v>1847100822</v>
      </c>
      <c r="D1002" s="976" t="s">
        <v>3433</v>
      </c>
      <c r="E1002" s="976">
        <v>25</v>
      </c>
      <c r="F1002" s="976">
        <v>25</v>
      </c>
      <c r="G1002" s="976">
        <v>18.75</v>
      </c>
      <c r="H1002" s="976">
        <v>0</v>
      </c>
      <c r="I1002" s="976"/>
      <c r="J1002" s="1041">
        <v>19</v>
      </c>
      <c r="K1002" s="976">
        <v>19</v>
      </c>
      <c r="L1002" s="978">
        <v>0.25</v>
      </c>
      <c r="M1002" s="976" t="s">
        <v>3589</v>
      </c>
      <c r="N1002" s="976">
        <v>25.333333333333332</v>
      </c>
      <c r="O1002" s="735">
        <f t="shared" si="47"/>
        <v>0.33333333333333215</v>
      </c>
      <c r="P1002" s="738">
        <f t="shared" si="45"/>
        <v>25333.333333333332</v>
      </c>
      <c r="Q1002" s="751">
        <f t="shared" si="46"/>
        <v>25000</v>
      </c>
      <c r="U1002" s="751"/>
      <c r="V1002" s="988"/>
      <c r="W1002" s="1024"/>
    </row>
    <row r="1003" spans="1:106" ht="14.25" customHeight="1">
      <c r="A1003" s="976" t="s">
        <v>3949</v>
      </c>
      <c r="B1003" s="976" t="s">
        <v>1263</v>
      </c>
      <c r="C1003" s="977">
        <v>1847100825</v>
      </c>
      <c r="D1003" s="976" t="s">
        <v>197</v>
      </c>
      <c r="E1003" s="976">
        <v>1416</v>
      </c>
      <c r="F1003" s="976">
        <v>1416</v>
      </c>
      <c r="G1003" s="976">
        <v>1062</v>
      </c>
      <c r="H1003" s="976">
        <v>734.33199999999999</v>
      </c>
      <c r="I1003" s="976"/>
      <c r="J1003" s="1032">
        <v>-121</v>
      </c>
      <c r="K1003" s="976">
        <v>613.33199999999999</v>
      </c>
      <c r="L1003" s="978">
        <v>-448.66800000000001</v>
      </c>
      <c r="M1003" s="976" t="s">
        <v>3589</v>
      </c>
      <c r="N1003" s="976">
        <v>817.77600000000007</v>
      </c>
      <c r="O1003" s="735">
        <f t="shared" si="47"/>
        <v>-598.22399999999993</v>
      </c>
      <c r="P1003" s="738">
        <f t="shared" si="45"/>
        <v>817776.00000000012</v>
      </c>
      <c r="Q1003" s="751">
        <f t="shared" si="46"/>
        <v>818000</v>
      </c>
      <c r="U1003" s="751"/>
      <c r="V1003" s="988"/>
      <c r="W1003" s="1024"/>
    </row>
    <row r="1004" spans="1:106" ht="14.25" customHeight="1">
      <c r="A1004" s="976" t="s">
        <v>3953</v>
      </c>
      <c r="B1004" s="976" t="s">
        <v>1263</v>
      </c>
      <c r="C1004" s="977">
        <v>1847100826</v>
      </c>
      <c r="D1004" s="976" t="s">
        <v>198</v>
      </c>
      <c r="E1004" s="976">
        <v>60</v>
      </c>
      <c r="F1004" s="976">
        <v>60</v>
      </c>
      <c r="G1004" s="976">
        <v>45</v>
      </c>
      <c r="H1004" s="976">
        <v>31.914490000000001</v>
      </c>
      <c r="I1004" s="976"/>
      <c r="J1004" s="1041">
        <v>13</v>
      </c>
      <c r="K1004" s="976">
        <v>44.914490000000001</v>
      </c>
      <c r="L1004" s="978">
        <v>-8.5509999999999309E-2</v>
      </c>
      <c r="M1004" s="976" t="s">
        <v>3589</v>
      </c>
      <c r="N1004" s="976">
        <v>59.885986666666668</v>
      </c>
      <c r="O1004" s="735">
        <f t="shared" si="47"/>
        <v>-0.11401333333333241</v>
      </c>
      <c r="P1004" s="738">
        <f t="shared" si="45"/>
        <v>59885.986666666664</v>
      </c>
      <c r="Q1004" s="751">
        <f t="shared" si="46"/>
        <v>60000</v>
      </c>
      <c r="U1004" s="751"/>
      <c r="V1004" s="988"/>
      <c r="W1004" s="1024"/>
    </row>
    <row r="1005" spans="1:106" ht="14.25" customHeight="1">
      <c r="A1005" s="976" t="s">
        <v>3954</v>
      </c>
      <c r="B1005" s="976" t="s">
        <v>1263</v>
      </c>
      <c r="C1005" s="977">
        <v>1847100827</v>
      </c>
      <c r="D1005" s="976" t="s">
        <v>3253</v>
      </c>
      <c r="E1005" s="976">
        <v>0</v>
      </c>
      <c r="F1005" s="976">
        <v>0</v>
      </c>
      <c r="G1005" s="976">
        <v>0</v>
      </c>
      <c r="H1005" s="976">
        <v>0</v>
      </c>
      <c r="I1005" s="976"/>
      <c r="J1005" s="976"/>
      <c r="K1005" s="976">
        <v>0</v>
      </c>
      <c r="L1005" s="978">
        <v>0</v>
      </c>
      <c r="M1005" s="976" t="s">
        <v>3589</v>
      </c>
      <c r="N1005" s="976">
        <v>0</v>
      </c>
      <c r="O1005" s="735">
        <f t="shared" si="47"/>
        <v>0</v>
      </c>
      <c r="P1005" s="738">
        <f t="shared" si="45"/>
        <v>0</v>
      </c>
      <c r="Q1005" s="751">
        <f t="shared" si="46"/>
        <v>0</v>
      </c>
      <c r="U1005" s="751"/>
      <c r="V1005" s="988"/>
      <c r="W1005" s="1024"/>
    </row>
    <row r="1006" spans="1:106" ht="14.25" customHeight="1">
      <c r="A1006" s="976" t="s">
        <v>3931</v>
      </c>
      <c r="B1006" s="976"/>
      <c r="C1006" s="977">
        <v>1847110810</v>
      </c>
      <c r="D1006" s="976" t="s">
        <v>2479</v>
      </c>
      <c r="E1006" s="976">
        <v>4</v>
      </c>
      <c r="F1006" s="976">
        <v>4</v>
      </c>
      <c r="G1006" s="976">
        <v>3</v>
      </c>
      <c r="H1006" s="976">
        <v>0</v>
      </c>
      <c r="I1006" s="976"/>
      <c r="J1006" s="976"/>
      <c r="K1006" s="976">
        <v>0</v>
      </c>
      <c r="L1006" s="978">
        <v>-3</v>
      </c>
      <c r="M1006" s="976" t="s">
        <v>3589</v>
      </c>
      <c r="N1006" s="976">
        <v>0</v>
      </c>
      <c r="O1006" s="735">
        <f t="shared" si="47"/>
        <v>-4</v>
      </c>
      <c r="P1006" s="738">
        <f t="shared" si="45"/>
        <v>0</v>
      </c>
      <c r="Q1006" s="751">
        <f t="shared" si="46"/>
        <v>0</v>
      </c>
      <c r="U1006" s="751"/>
      <c r="V1006" s="988"/>
      <c r="W1006" s="1024"/>
    </row>
    <row r="1007" spans="1:106">
      <c r="A1007" s="976" t="s">
        <v>3934</v>
      </c>
      <c r="B1007" s="976" t="s">
        <v>1263</v>
      </c>
      <c r="C1007" s="977">
        <v>1847300811</v>
      </c>
      <c r="D1007" s="976" t="s">
        <v>3255</v>
      </c>
      <c r="E1007" s="976">
        <v>0</v>
      </c>
      <c r="F1007" s="976">
        <v>0</v>
      </c>
      <c r="G1007" s="976">
        <v>0</v>
      </c>
      <c r="H1007" s="976">
        <v>0</v>
      </c>
      <c r="I1007" s="976"/>
      <c r="J1007" s="976"/>
      <c r="K1007" s="976">
        <v>0</v>
      </c>
      <c r="L1007" s="978">
        <v>0</v>
      </c>
      <c r="M1007" s="976" t="s">
        <v>3589</v>
      </c>
      <c r="N1007" s="976">
        <v>0</v>
      </c>
      <c r="O1007" s="735">
        <f t="shared" si="47"/>
        <v>0</v>
      </c>
      <c r="P1007" s="738">
        <f t="shared" si="45"/>
        <v>0</v>
      </c>
      <c r="Q1007" s="751">
        <f t="shared" si="46"/>
        <v>0</v>
      </c>
      <c r="U1007" s="751"/>
      <c r="V1007" s="988"/>
      <c r="W1007" s="1024"/>
    </row>
    <row r="1008" spans="1:106">
      <c r="A1008" s="976" t="s">
        <v>3935</v>
      </c>
      <c r="B1008" s="976" t="s">
        <v>1263</v>
      </c>
      <c r="C1008" s="977">
        <v>1847300812</v>
      </c>
      <c r="D1008" s="976" t="s">
        <v>3434</v>
      </c>
      <c r="E1008" s="976">
        <v>0</v>
      </c>
      <c r="F1008" s="976">
        <v>0</v>
      </c>
      <c r="G1008" s="976">
        <v>0</v>
      </c>
      <c r="H1008" s="976">
        <v>0</v>
      </c>
      <c r="I1008" s="976"/>
      <c r="J1008" s="976"/>
      <c r="K1008" s="976">
        <v>0</v>
      </c>
      <c r="L1008" s="978">
        <v>0</v>
      </c>
      <c r="M1008" s="976" t="s">
        <v>3589</v>
      </c>
      <c r="N1008" s="976">
        <v>0</v>
      </c>
      <c r="O1008" s="735">
        <f t="shared" si="47"/>
        <v>0</v>
      </c>
      <c r="P1008" s="738">
        <f t="shared" si="45"/>
        <v>0</v>
      </c>
      <c r="Q1008" s="751">
        <f t="shared" si="46"/>
        <v>0</v>
      </c>
      <c r="U1008" s="751"/>
      <c r="V1008" s="988"/>
      <c r="W1008" s="1024"/>
    </row>
    <row r="1009" spans="1:81">
      <c r="A1009" s="976" t="s">
        <v>3936</v>
      </c>
      <c r="B1009" s="976" t="s">
        <v>1263</v>
      </c>
      <c r="C1009" s="977">
        <v>1847300813</v>
      </c>
      <c r="D1009" s="976" t="s">
        <v>799</v>
      </c>
      <c r="E1009" s="976">
        <v>123</v>
      </c>
      <c r="F1009" s="976">
        <v>123</v>
      </c>
      <c r="G1009" s="976">
        <v>92.25</v>
      </c>
      <c r="H1009" s="976">
        <v>56.821120000000001</v>
      </c>
      <c r="I1009" s="976"/>
      <c r="J1009" s="1041">
        <v>35</v>
      </c>
      <c r="K1009" s="976">
        <v>91.821120000000008</v>
      </c>
      <c r="L1009" s="978">
        <v>-0.42887999999999238</v>
      </c>
      <c r="M1009" s="976" t="s">
        <v>3589</v>
      </c>
      <c r="N1009" s="976">
        <v>122.42816000000001</v>
      </c>
      <c r="O1009" s="735">
        <f t="shared" si="47"/>
        <v>-0.57183999999999457</v>
      </c>
      <c r="P1009" s="738">
        <f t="shared" si="45"/>
        <v>122428.16</v>
      </c>
      <c r="Q1009" s="751">
        <f t="shared" si="46"/>
        <v>122000</v>
      </c>
      <c r="U1009" s="751"/>
      <c r="V1009" s="988"/>
      <c r="W1009" s="1024"/>
    </row>
    <row r="1010" spans="1:81" s="866" customFormat="1">
      <c r="A1010" s="976" t="s">
        <v>3938</v>
      </c>
      <c r="B1010" s="976" t="s">
        <v>1263</v>
      </c>
      <c r="C1010" s="977">
        <v>1847300814</v>
      </c>
      <c r="D1010" s="976" t="s">
        <v>3258</v>
      </c>
      <c r="E1010" s="976">
        <v>240</v>
      </c>
      <c r="F1010" s="976">
        <v>240</v>
      </c>
      <c r="G1010" s="976">
        <v>180</v>
      </c>
      <c r="H1010" s="976">
        <v>181.249</v>
      </c>
      <c r="I1010" s="976"/>
      <c r="J1010" s="1032">
        <v>-1</v>
      </c>
      <c r="K1010" s="976">
        <v>180.249</v>
      </c>
      <c r="L1010" s="978">
        <v>0.24899999999999523</v>
      </c>
      <c r="M1010" s="976" t="s">
        <v>3589</v>
      </c>
      <c r="N1010" s="976">
        <v>240.33199999999999</v>
      </c>
      <c r="O1010" s="863">
        <f t="shared" si="47"/>
        <v>0.33199999999999363</v>
      </c>
      <c r="P1010" s="738">
        <f t="shared" si="45"/>
        <v>240332</v>
      </c>
      <c r="Q1010" s="751">
        <f t="shared" si="46"/>
        <v>240000</v>
      </c>
      <c r="R1010" s="865"/>
      <c r="S1010" s="865"/>
      <c r="T1010" s="865"/>
      <c r="U1010" s="864"/>
      <c r="V1010" s="988"/>
      <c r="W1010" s="1024"/>
      <c r="X1010" s="865"/>
      <c r="Y1010" s="865"/>
      <c r="Z1010" s="865"/>
      <c r="AA1010" s="865"/>
      <c r="AB1010" s="865"/>
      <c r="AC1010" s="865"/>
      <c r="AD1010" s="865"/>
      <c r="AE1010" s="865"/>
      <c r="AF1010" s="865"/>
      <c r="AG1010" s="865"/>
      <c r="AH1010" s="865"/>
      <c r="AI1010" s="865"/>
      <c r="AJ1010" s="865"/>
      <c r="AK1010" s="865"/>
      <c r="AL1010" s="865"/>
      <c r="AM1010" s="865"/>
      <c r="AN1010" s="865"/>
      <c r="AO1010" s="865"/>
      <c r="AP1010" s="865"/>
      <c r="AQ1010" s="865"/>
      <c r="AR1010" s="865"/>
      <c r="AS1010" s="865"/>
      <c r="AT1010" s="865"/>
      <c r="AU1010" s="865"/>
      <c r="AV1010" s="865"/>
      <c r="AW1010" s="865"/>
      <c r="AX1010" s="865"/>
      <c r="AY1010" s="865"/>
      <c r="AZ1010" s="865"/>
      <c r="BA1010" s="865"/>
      <c r="BB1010" s="865"/>
      <c r="BC1010" s="865"/>
      <c r="BD1010" s="865"/>
      <c r="BE1010" s="865"/>
      <c r="BF1010" s="865"/>
      <c r="BG1010" s="865"/>
      <c r="BH1010" s="865"/>
      <c r="BI1010" s="865"/>
      <c r="BJ1010" s="865"/>
      <c r="BK1010" s="865"/>
      <c r="BL1010" s="865"/>
      <c r="BM1010" s="865"/>
      <c r="BN1010" s="865"/>
      <c r="BO1010" s="865"/>
      <c r="BP1010" s="865"/>
      <c r="BQ1010" s="865"/>
      <c r="BR1010" s="865"/>
      <c r="BS1010" s="865"/>
      <c r="BT1010" s="865"/>
      <c r="BU1010" s="865"/>
      <c r="BV1010" s="865"/>
      <c r="BW1010" s="865"/>
      <c r="BX1010" s="865"/>
      <c r="BY1010" s="865"/>
      <c r="BZ1010" s="865"/>
      <c r="CA1010" s="865"/>
      <c r="CB1010" s="865"/>
      <c r="CC1010" s="865"/>
    </row>
    <row r="1011" spans="1:81">
      <c r="A1011" s="975" t="s">
        <v>3937</v>
      </c>
      <c r="B1011" s="975" t="s">
        <v>1263</v>
      </c>
      <c r="C1011" s="1033">
        <v>1847300820</v>
      </c>
      <c r="D1011" s="975" t="s">
        <v>801</v>
      </c>
      <c r="E1011" s="975">
        <v>0</v>
      </c>
      <c r="F1011" s="975">
        <v>0</v>
      </c>
      <c r="G1011" s="975">
        <v>0</v>
      </c>
      <c r="H1011" s="975">
        <v>441.72899999999998</v>
      </c>
      <c r="I1011" s="975"/>
      <c r="J1011" s="975"/>
      <c r="K1011" s="975">
        <v>441.72899999999998</v>
      </c>
      <c r="L1011" s="1034">
        <v>441.72899999999998</v>
      </c>
      <c r="M1011" s="975" t="s">
        <v>3860</v>
      </c>
      <c r="N1011" s="975">
        <v>588.97199999999998</v>
      </c>
      <c r="O1011" s="735">
        <f t="shared" si="47"/>
        <v>588.97199999999998</v>
      </c>
      <c r="P1011" s="738">
        <f t="shared" si="45"/>
        <v>588972</v>
      </c>
      <c r="Q1011" s="751">
        <f t="shared" si="46"/>
        <v>589000</v>
      </c>
      <c r="U1011" s="751"/>
      <c r="V1011" s="988"/>
      <c r="W1011" s="1024"/>
    </row>
    <row r="1012" spans="1:81">
      <c r="A1012" s="976" t="s">
        <v>3942</v>
      </c>
      <c r="B1012" s="976" t="s">
        <v>1263</v>
      </c>
      <c r="C1012" s="977">
        <v>1847300821</v>
      </c>
      <c r="D1012" s="976" t="s">
        <v>3257</v>
      </c>
      <c r="E1012" s="976">
        <v>0</v>
      </c>
      <c r="F1012" s="976">
        <v>0</v>
      </c>
      <c r="G1012" s="976">
        <v>0</v>
      </c>
      <c r="H1012" s="976">
        <v>0</v>
      </c>
      <c r="I1012" s="976"/>
      <c r="J1012" s="976"/>
      <c r="K1012" s="976">
        <v>0</v>
      </c>
      <c r="L1012" s="978">
        <v>0</v>
      </c>
      <c r="M1012" s="976" t="s">
        <v>3589</v>
      </c>
      <c r="N1012" s="976">
        <v>0</v>
      </c>
      <c r="O1012" s="735">
        <f t="shared" si="47"/>
        <v>0</v>
      </c>
      <c r="P1012" s="738">
        <f t="shared" si="45"/>
        <v>0</v>
      </c>
      <c r="Q1012" s="751">
        <f t="shared" si="46"/>
        <v>0</v>
      </c>
      <c r="U1012" s="751"/>
      <c r="V1012" s="988"/>
      <c r="W1012" s="1024"/>
    </row>
    <row r="1013" spans="1:81">
      <c r="A1013" s="976" t="s">
        <v>3947</v>
      </c>
      <c r="B1013" s="976" t="s">
        <v>1263</v>
      </c>
      <c r="C1013" s="977">
        <v>1847300822</v>
      </c>
      <c r="D1013" s="976" t="s">
        <v>803</v>
      </c>
      <c r="E1013" s="976">
        <v>30</v>
      </c>
      <c r="F1013" s="976">
        <v>30</v>
      </c>
      <c r="G1013" s="976">
        <v>22.5</v>
      </c>
      <c r="H1013" s="976">
        <v>26.007999999999999</v>
      </c>
      <c r="I1013" s="976"/>
      <c r="J1013" s="1032">
        <v>-3.5</v>
      </c>
      <c r="K1013" s="976">
        <v>22.507999999999999</v>
      </c>
      <c r="L1013" s="978">
        <v>7.9999999999991189E-3</v>
      </c>
      <c r="M1013" s="976" t="s">
        <v>3589</v>
      </c>
      <c r="N1013" s="976">
        <v>30.010666666666665</v>
      </c>
      <c r="O1013" s="735">
        <f t="shared" si="47"/>
        <v>1.0666666666665492E-2</v>
      </c>
      <c r="P1013" s="738">
        <f t="shared" si="45"/>
        <v>30010.666666666664</v>
      </c>
      <c r="Q1013" s="751">
        <f t="shared" si="46"/>
        <v>30000</v>
      </c>
      <c r="U1013" s="751"/>
      <c r="V1013" s="988"/>
      <c r="W1013" s="1024"/>
    </row>
    <row r="1014" spans="1:81">
      <c r="A1014" s="976" t="s">
        <v>3942</v>
      </c>
      <c r="B1014" s="976" t="s">
        <v>1263</v>
      </c>
      <c r="C1014" s="977">
        <v>1847400821</v>
      </c>
      <c r="D1014" s="976" t="s">
        <v>3261</v>
      </c>
      <c r="E1014" s="976">
        <v>362</v>
      </c>
      <c r="F1014" s="976">
        <v>362</v>
      </c>
      <c r="G1014" s="976">
        <v>271.5</v>
      </c>
      <c r="H1014" s="976">
        <v>174.41668999999999</v>
      </c>
      <c r="I1014" s="976"/>
      <c r="J1014" s="1041">
        <v>39</v>
      </c>
      <c r="K1014" s="976">
        <v>213.41668999999999</v>
      </c>
      <c r="L1014" s="978">
        <v>-58.083310000000012</v>
      </c>
      <c r="M1014" s="976" t="s">
        <v>3589</v>
      </c>
      <c r="N1014" s="976">
        <v>284.55558666666661</v>
      </c>
      <c r="O1014" s="735">
        <f t="shared" si="47"/>
        <v>-77.444413333333387</v>
      </c>
      <c r="P1014" s="738">
        <f t="shared" si="45"/>
        <v>284555.58666666661</v>
      </c>
      <c r="Q1014" s="751">
        <f t="shared" si="46"/>
        <v>285000</v>
      </c>
      <c r="U1014" s="751"/>
      <c r="V1014" s="988"/>
      <c r="W1014" s="1024"/>
    </row>
    <row r="1015" spans="1:81">
      <c r="A1015" s="976" t="s">
        <v>3947</v>
      </c>
      <c r="B1015" s="976" t="s">
        <v>1263</v>
      </c>
      <c r="C1015" s="977">
        <v>1847400822</v>
      </c>
      <c r="D1015" s="976" t="s">
        <v>205</v>
      </c>
      <c r="E1015" s="976">
        <v>151</v>
      </c>
      <c r="F1015" s="976">
        <v>151</v>
      </c>
      <c r="G1015" s="976">
        <v>113.25</v>
      </c>
      <c r="H1015" s="976">
        <v>7.6420000000000003</v>
      </c>
      <c r="I1015" s="976"/>
      <c r="J1015" s="1041">
        <v>20</v>
      </c>
      <c r="K1015" s="976">
        <v>27.641999999999999</v>
      </c>
      <c r="L1015" s="978">
        <v>-85.608000000000004</v>
      </c>
      <c r="M1015" s="976" t="s">
        <v>3589</v>
      </c>
      <c r="N1015" s="976">
        <v>36.856000000000002</v>
      </c>
      <c r="O1015" s="735">
        <f t="shared" si="47"/>
        <v>-114.14400000000001</v>
      </c>
      <c r="P1015" s="738">
        <f t="shared" si="45"/>
        <v>36856</v>
      </c>
      <c r="Q1015" s="751">
        <f t="shared" si="46"/>
        <v>37000</v>
      </c>
      <c r="U1015" s="751"/>
      <c r="V1015" s="988"/>
      <c r="W1015" s="1024"/>
    </row>
    <row r="1016" spans="1:81">
      <c r="A1016" s="976" t="s">
        <v>3952</v>
      </c>
      <c r="B1016" s="976" t="s">
        <v>1263</v>
      </c>
      <c r="C1016" s="988">
        <v>1847400823</v>
      </c>
      <c r="D1016" s="976" t="s">
        <v>3435</v>
      </c>
      <c r="E1016" s="976">
        <v>74</v>
      </c>
      <c r="F1016" s="976">
        <v>74</v>
      </c>
      <c r="G1016" s="976">
        <v>55.5</v>
      </c>
      <c r="H1016" s="976">
        <v>33.097580000000001</v>
      </c>
      <c r="I1016" s="976"/>
      <c r="J1016" s="976"/>
      <c r="K1016" s="976">
        <v>33.097580000000001</v>
      </c>
      <c r="L1016" s="978">
        <v>-22.402419999999999</v>
      </c>
      <c r="M1016" s="976" t="s">
        <v>3589</v>
      </c>
      <c r="N1016" s="976">
        <v>44.13010666666667</v>
      </c>
      <c r="O1016" s="735">
        <f t="shared" si="47"/>
        <v>-29.86989333333333</v>
      </c>
      <c r="P1016" s="738">
        <f t="shared" si="45"/>
        <v>44130.106666666667</v>
      </c>
      <c r="Q1016" s="751">
        <f t="shared" si="46"/>
        <v>44000</v>
      </c>
      <c r="U1016" s="751"/>
      <c r="V1016" s="988"/>
      <c r="W1016" s="1024"/>
    </row>
    <row r="1017" spans="1:81">
      <c r="A1017" s="976" t="s">
        <v>3948</v>
      </c>
      <c r="B1017" s="976" t="s">
        <v>1263</v>
      </c>
      <c r="C1017" s="977">
        <v>1847400824</v>
      </c>
      <c r="D1017" s="976" t="s">
        <v>3259</v>
      </c>
      <c r="E1017" s="976">
        <v>0</v>
      </c>
      <c r="F1017" s="976">
        <v>0</v>
      </c>
      <c r="G1017" s="976">
        <v>0</v>
      </c>
      <c r="H1017" s="976">
        <v>0</v>
      </c>
      <c r="I1017" s="976"/>
      <c r="J1017" s="976"/>
      <c r="K1017" s="976">
        <v>0</v>
      </c>
      <c r="L1017" s="978">
        <v>0</v>
      </c>
      <c r="M1017" s="976" t="s">
        <v>3589</v>
      </c>
      <c r="N1017" s="976">
        <v>0</v>
      </c>
      <c r="O1017" s="735">
        <f t="shared" si="47"/>
        <v>0</v>
      </c>
      <c r="P1017" s="738">
        <f t="shared" si="45"/>
        <v>0</v>
      </c>
      <c r="Q1017" s="751">
        <f t="shared" si="46"/>
        <v>0</v>
      </c>
      <c r="U1017" s="751"/>
      <c r="V1017" s="988"/>
      <c r="W1017" s="1024"/>
    </row>
    <row r="1018" spans="1:81">
      <c r="A1018" s="976" t="s">
        <v>3928</v>
      </c>
      <c r="B1018" s="976" t="s">
        <v>1263</v>
      </c>
      <c r="C1018" s="977">
        <v>1847600830</v>
      </c>
      <c r="D1018" s="976" t="s">
        <v>206</v>
      </c>
      <c r="E1018" s="976">
        <v>72</v>
      </c>
      <c r="F1018" s="976">
        <v>72</v>
      </c>
      <c r="G1018" s="976">
        <v>54</v>
      </c>
      <c r="H1018" s="976">
        <v>58.518800000000006</v>
      </c>
      <c r="I1018" s="976"/>
      <c r="J1018" s="1041">
        <v>11</v>
      </c>
      <c r="K1018" s="976">
        <v>69.518799999999999</v>
      </c>
      <c r="L1018" s="978">
        <v>15.518799999999999</v>
      </c>
      <c r="M1018" s="976" t="s">
        <v>3589</v>
      </c>
      <c r="N1018" s="976">
        <v>92.691733333333332</v>
      </c>
      <c r="O1018" s="735">
        <f t="shared" si="47"/>
        <v>20.691733333333332</v>
      </c>
      <c r="P1018" s="738">
        <f t="shared" si="45"/>
        <v>92691.733333333337</v>
      </c>
      <c r="Q1018" s="751">
        <f t="shared" si="46"/>
        <v>93000</v>
      </c>
      <c r="U1018" s="751"/>
      <c r="V1018" s="988"/>
      <c r="W1018" s="1024"/>
    </row>
    <row r="1019" spans="1:81">
      <c r="A1019" s="976" t="s">
        <v>3931</v>
      </c>
      <c r="B1019" s="976"/>
      <c r="C1019" s="977">
        <v>1847700810</v>
      </c>
      <c r="D1019" s="976" t="s">
        <v>3436</v>
      </c>
      <c r="E1019" s="976">
        <v>49.332999999999998</v>
      </c>
      <c r="F1019" s="976">
        <v>49.332999999999998</v>
      </c>
      <c r="G1019" s="976">
        <v>36.999749999999999</v>
      </c>
      <c r="H1019" s="976">
        <v>0</v>
      </c>
      <c r="I1019" s="976"/>
      <c r="J1019" s="976"/>
      <c r="K1019" s="976">
        <v>0</v>
      </c>
      <c r="L1019" s="978">
        <v>-36.999749999999999</v>
      </c>
      <c r="M1019" s="976" t="s">
        <v>3589</v>
      </c>
      <c r="N1019" s="976">
        <v>0</v>
      </c>
      <c r="O1019" s="735">
        <f t="shared" si="47"/>
        <v>-49.332999999999998</v>
      </c>
      <c r="P1019" s="738">
        <f t="shared" si="45"/>
        <v>0</v>
      </c>
      <c r="Q1019" s="751">
        <f t="shared" si="46"/>
        <v>0</v>
      </c>
      <c r="U1019" s="751"/>
      <c r="V1019" s="988"/>
      <c r="W1019" s="1024"/>
    </row>
    <row r="1020" spans="1:81">
      <c r="A1020" s="976" t="s">
        <v>3931</v>
      </c>
      <c r="B1020" s="976" t="s">
        <v>1263</v>
      </c>
      <c r="C1020" s="977">
        <v>1847800810</v>
      </c>
      <c r="D1020" s="976" t="s">
        <v>810</v>
      </c>
      <c r="E1020" s="976">
        <v>43</v>
      </c>
      <c r="F1020" s="976">
        <v>43</v>
      </c>
      <c r="G1020" s="976">
        <v>32.25</v>
      </c>
      <c r="H1020" s="976">
        <v>25.504810000000003</v>
      </c>
      <c r="I1020" s="976"/>
      <c r="J1020" s="1041">
        <v>46</v>
      </c>
      <c r="K1020" s="976">
        <v>71.504810000000006</v>
      </c>
      <c r="L1020" s="978">
        <v>39.254810000000006</v>
      </c>
      <c r="M1020" s="976" t="s">
        <v>3589</v>
      </c>
      <c r="N1020" s="976">
        <v>95.33974666666667</v>
      </c>
      <c r="O1020" s="735">
        <f t="shared" si="47"/>
        <v>52.33974666666667</v>
      </c>
      <c r="P1020" s="738">
        <f t="shared" si="45"/>
        <v>95339.746666666673</v>
      </c>
      <c r="Q1020" s="751">
        <f t="shared" si="46"/>
        <v>95000</v>
      </c>
      <c r="U1020" s="751"/>
      <c r="V1020" s="988"/>
      <c r="W1020" s="1024"/>
    </row>
    <row r="1021" spans="1:81">
      <c r="A1021" s="976" t="s">
        <v>3931</v>
      </c>
      <c r="B1021" s="976" t="s">
        <v>1263</v>
      </c>
      <c r="C1021" s="977">
        <v>1847810810</v>
      </c>
      <c r="D1021" s="1001" t="s">
        <v>3437</v>
      </c>
      <c r="E1021" s="976">
        <v>70</v>
      </c>
      <c r="F1021" s="976">
        <v>70</v>
      </c>
      <c r="G1021" s="976">
        <v>52.5</v>
      </c>
      <c r="H1021" s="976">
        <v>49.365790000000004</v>
      </c>
      <c r="I1021" s="976"/>
      <c r="J1021" s="1032">
        <v>-9</v>
      </c>
      <c r="K1021" s="976">
        <v>40.365790000000004</v>
      </c>
      <c r="L1021" s="978">
        <v>-12.134209999999996</v>
      </c>
      <c r="M1021" s="976" t="s">
        <v>3589</v>
      </c>
      <c r="N1021" s="976">
        <v>53.821053333333339</v>
      </c>
      <c r="O1021" s="735">
        <f t="shared" si="47"/>
        <v>-16.178946666666661</v>
      </c>
      <c r="P1021" s="738">
        <f t="shared" si="45"/>
        <v>53821.053333333337</v>
      </c>
      <c r="Q1021" s="751">
        <f t="shared" si="46"/>
        <v>54000</v>
      </c>
      <c r="U1021" s="751"/>
      <c r="V1021" s="988"/>
      <c r="W1021" s="1024"/>
    </row>
    <row r="1022" spans="1:81">
      <c r="A1022" s="976" t="s">
        <v>3937</v>
      </c>
      <c r="B1022" s="976" t="s">
        <v>1263</v>
      </c>
      <c r="C1022" s="977">
        <v>1847810820</v>
      </c>
      <c r="D1022" s="1001" t="s">
        <v>209</v>
      </c>
      <c r="E1022" s="976">
        <v>238</v>
      </c>
      <c r="F1022" s="976">
        <v>238</v>
      </c>
      <c r="G1022" s="976">
        <v>178.5</v>
      </c>
      <c r="H1022" s="976">
        <v>288.62099999999998</v>
      </c>
      <c r="I1022" s="976"/>
      <c r="J1022" s="1032">
        <v>-17</v>
      </c>
      <c r="K1022" s="976">
        <v>271.62099999999998</v>
      </c>
      <c r="L1022" s="978">
        <v>93.120999999999981</v>
      </c>
      <c r="M1022" s="976" t="s">
        <v>3589</v>
      </c>
      <c r="N1022" s="976">
        <v>362.16133333333329</v>
      </c>
      <c r="O1022" s="735">
        <f t="shared" si="47"/>
        <v>124.16133333333329</v>
      </c>
      <c r="P1022" s="738">
        <f t="shared" si="45"/>
        <v>362161.33333333331</v>
      </c>
      <c r="Q1022" s="751">
        <f t="shared" si="46"/>
        <v>362000</v>
      </c>
      <c r="U1022" s="751"/>
      <c r="V1022" s="988"/>
      <c r="W1022" s="1024"/>
    </row>
    <row r="1023" spans="1:81">
      <c r="A1023" s="976" t="s">
        <v>3937</v>
      </c>
      <c r="B1023" s="976" t="s">
        <v>1263</v>
      </c>
      <c r="C1023" s="977">
        <v>1847900820</v>
      </c>
      <c r="D1023" s="976" t="s">
        <v>815</v>
      </c>
      <c r="E1023" s="976">
        <v>289</v>
      </c>
      <c r="F1023" s="976">
        <v>289</v>
      </c>
      <c r="G1023" s="976">
        <v>216.75</v>
      </c>
      <c r="H1023" s="976">
        <v>206.2424</v>
      </c>
      <c r="I1023" s="976"/>
      <c r="J1023" s="1041">
        <v>4</v>
      </c>
      <c r="K1023" s="976">
        <v>210.2424</v>
      </c>
      <c r="L1023" s="978">
        <v>-6.5075999999999965</v>
      </c>
      <c r="M1023" s="976" t="s">
        <v>3589</v>
      </c>
      <c r="N1023" s="976">
        <v>280.32320000000004</v>
      </c>
      <c r="O1023" s="735">
        <f t="shared" si="47"/>
        <v>-8.6767999999999574</v>
      </c>
      <c r="P1023" s="738">
        <f>N1023*1000</f>
        <v>280323.20000000007</v>
      </c>
      <c r="Q1023" s="751">
        <f>ROUND(P1023,-3)</f>
        <v>280000</v>
      </c>
      <c r="U1023" s="751"/>
      <c r="V1023" s="988"/>
      <c r="W1023" s="1024"/>
    </row>
    <row r="1024" spans="1:81">
      <c r="A1024" s="976" t="s">
        <v>3947</v>
      </c>
      <c r="B1024" s="976" t="s">
        <v>1263</v>
      </c>
      <c r="C1024" s="977">
        <v>1847900822</v>
      </c>
      <c r="D1024" s="976" t="s">
        <v>211</v>
      </c>
      <c r="E1024" s="976">
        <v>87</v>
      </c>
      <c r="F1024" s="976">
        <v>87</v>
      </c>
      <c r="G1024" s="976">
        <v>65.25</v>
      </c>
      <c r="H1024" s="976">
        <v>85.789649999999995</v>
      </c>
      <c r="I1024" s="976"/>
      <c r="J1024" s="1032">
        <v>-14</v>
      </c>
      <c r="K1024" s="976">
        <v>71.789649999999995</v>
      </c>
      <c r="L1024" s="978">
        <v>6.5396499999999946</v>
      </c>
      <c r="M1024" s="976" t="s">
        <v>3589</v>
      </c>
      <c r="N1024" s="976">
        <v>95.719533333333331</v>
      </c>
      <c r="O1024" s="735">
        <f t="shared" si="47"/>
        <v>8.7195333333333309</v>
      </c>
      <c r="P1024" s="738">
        <f t="shared" si="45"/>
        <v>95719.533333333326</v>
      </c>
      <c r="Q1024" s="751">
        <f t="shared" si="46"/>
        <v>96000</v>
      </c>
      <c r="U1024" s="751"/>
      <c r="V1024" s="988"/>
      <c r="W1024" s="1024"/>
    </row>
    <row r="1025" spans="1:81">
      <c r="A1025" s="976" t="s">
        <v>3937</v>
      </c>
      <c r="B1025" s="976" t="s">
        <v>1263</v>
      </c>
      <c r="C1025" s="977">
        <v>1848200820</v>
      </c>
      <c r="D1025" s="976" t="s">
        <v>213</v>
      </c>
      <c r="E1025" s="976">
        <v>30</v>
      </c>
      <c r="F1025" s="976">
        <v>30</v>
      </c>
      <c r="G1025" s="976">
        <v>22.5</v>
      </c>
      <c r="H1025" s="976">
        <v>8.3589000000000002</v>
      </c>
      <c r="I1025" s="976"/>
      <c r="J1025" s="1032">
        <v>-1</v>
      </c>
      <c r="K1025" s="976">
        <v>7.3589000000000002</v>
      </c>
      <c r="L1025" s="978">
        <v>-15.1411</v>
      </c>
      <c r="M1025" s="976" t="s">
        <v>3589</v>
      </c>
      <c r="N1025" s="976">
        <v>9.811866666666667</v>
      </c>
      <c r="O1025" s="735">
        <f t="shared" si="47"/>
        <v>-20.188133333333333</v>
      </c>
      <c r="P1025" s="738">
        <f t="shared" si="45"/>
        <v>9811.8666666666668</v>
      </c>
      <c r="Q1025" s="751">
        <f t="shared" si="46"/>
        <v>10000</v>
      </c>
      <c r="U1025" s="751"/>
      <c r="V1025" s="988"/>
      <c r="W1025" s="1024"/>
    </row>
    <row r="1026" spans="1:81">
      <c r="A1026" s="976" t="s">
        <v>3942</v>
      </c>
      <c r="B1026" s="976" t="s">
        <v>1263</v>
      </c>
      <c r="C1026" s="987">
        <v>1848200821</v>
      </c>
      <c r="D1026" s="987" t="s">
        <v>3438</v>
      </c>
      <c r="E1026" s="976">
        <v>0</v>
      </c>
      <c r="F1026" s="976">
        <v>0</v>
      </c>
      <c r="G1026" s="976">
        <v>0</v>
      </c>
      <c r="H1026" s="976">
        <v>0</v>
      </c>
      <c r="I1026" s="976"/>
      <c r="J1026" s="976"/>
      <c r="K1026" s="976">
        <v>0</v>
      </c>
      <c r="L1026" s="978">
        <v>0</v>
      </c>
      <c r="M1026" s="976" t="s">
        <v>3589</v>
      </c>
      <c r="N1026" s="976">
        <v>0</v>
      </c>
      <c r="O1026" s="735">
        <f t="shared" si="47"/>
        <v>0</v>
      </c>
      <c r="P1026" s="738">
        <f t="shared" si="45"/>
        <v>0</v>
      </c>
      <c r="Q1026" s="751">
        <f t="shared" si="46"/>
        <v>0</v>
      </c>
      <c r="U1026" s="751"/>
      <c r="V1026" s="988"/>
      <c r="W1026" s="1024"/>
    </row>
    <row r="1027" spans="1:81">
      <c r="A1027" s="976" t="s">
        <v>3937</v>
      </c>
      <c r="B1027" s="976" t="s">
        <v>1263</v>
      </c>
      <c r="C1027" s="977">
        <v>1848300820</v>
      </c>
      <c r="D1027" s="976" t="s">
        <v>819</v>
      </c>
      <c r="E1027" s="976">
        <v>50</v>
      </c>
      <c r="F1027" s="976">
        <v>50</v>
      </c>
      <c r="G1027" s="976">
        <v>37.5</v>
      </c>
      <c r="H1027" s="976">
        <v>10.879799999999999</v>
      </c>
      <c r="I1027" s="976"/>
      <c r="J1027" s="1032">
        <v>-3</v>
      </c>
      <c r="K1027" s="976">
        <v>7.8797999999999995</v>
      </c>
      <c r="L1027" s="978">
        <v>-29.620200000000001</v>
      </c>
      <c r="M1027" s="976" t="s">
        <v>3589</v>
      </c>
      <c r="N1027" s="976">
        <v>10.506399999999999</v>
      </c>
      <c r="O1027" s="735">
        <f t="shared" si="47"/>
        <v>-39.493600000000001</v>
      </c>
      <c r="P1027" s="738">
        <f t="shared" si="45"/>
        <v>10506.4</v>
      </c>
      <c r="Q1027" s="751">
        <f t="shared" si="46"/>
        <v>11000</v>
      </c>
      <c r="U1027" s="751"/>
      <c r="V1027" s="988"/>
      <c r="W1027" s="1024"/>
    </row>
    <row r="1028" spans="1:81">
      <c r="A1028" s="976" t="s">
        <v>3913</v>
      </c>
      <c r="B1028" s="976" t="s">
        <v>1263</v>
      </c>
      <c r="C1028" s="977">
        <v>1848400750</v>
      </c>
      <c r="D1028" s="976" t="s">
        <v>821</v>
      </c>
      <c r="E1028" s="976">
        <v>15</v>
      </c>
      <c r="F1028" s="976">
        <v>15</v>
      </c>
      <c r="G1028" s="976">
        <v>11.25</v>
      </c>
      <c r="H1028" s="976">
        <v>2.78857</v>
      </c>
      <c r="I1028" s="976"/>
      <c r="J1028" s="1041">
        <v>6</v>
      </c>
      <c r="K1028" s="976">
        <v>8.78857</v>
      </c>
      <c r="L1028" s="978">
        <v>-2.46143</v>
      </c>
      <c r="M1028" s="976" t="s">
        <v>3589</v>
      </c>
      <c r="N1028" s="976">
        <v>11.718093333333334</v>
      </c>
      <c r="O1028" s="735">
        <f t="shared" si="47"/>
        <v>-3.2819066666666661</v>
      </c>
      <c r="P1028" s="738">
        <f t="shared" si="45"/>
        <v>11718.093333333334</v>
      </c>
      <c r="Q1028" s="751">
        <f t="shared" si="46"/>
        <v>12000</v>
      </c>
      <c r="U1028" s="751"/>
      <c r="V1028" s="988"/>
      <c r="W1028" s="1024"/>
    </row>
    <row r="1029" spans="1:81">
      <c r="A1029" s="976" t="s">
        <v>3909</v>
      </c>
      <c r="B1029" s="976" t="s">
        <v>1263</v>
      </c>
      <c r="C1029" s="977">
        <v>1848500780</v>
      </c>
      <c r="D1029" s="976" t="s">
        <v>824</v>
      </c>
      <c r="E1029" s="976">
        <v>30</v>
      </c>
      <c r="F1029" s="976">
        <v>30</v>
      </c>
      <c r="G1029" s="976">
        <v>22.5</v>
      </c>
      <c r="H1029" s="976">
        <v>0</v>
      </c>
      <c r="I1029" s="976"/>
      <c r="J1029" s="976"/>
      <c r="K1029" s="976">
        <v>0</v>
      </c>
      <c r="L1029" s="978">
        <v>-22.5</v>
      </c>
      <c r="M1029" s="976" t="s">
        <v>3589</v>
      </c>
      <c r="N1029" s="976">
        <v>0</v>
      </c>
      <c r="O1029" s="735">
        <f t="shared" si="47"/>
        <v>-30</v>
      </c>
      <c r="P1029" s="738">
        <f t="shared" si="45"/>
        <v>0</v>
      </c>
      <c r="Q1029" s="751">
        <f t="shared" si="46"/>
        <v>0</v>
      </c>
      <c r="U1029" s="751"/>
      <c r="V1029" s="988"/>
      <c r="W1029" s="1024"/>
    </row>
    <row r="1030" spans="1:81">
      <c r="A1030" s="976" t="s">
        <v>3937</v>
      </c>
      <c r="B1030" s="976" t="s">
        <v>1263</v>
      </c>
      <c r="C1030" s="977">
        <v>1848500820</v>
      </c>
      <c r="D1030" s="976" t="s">
        <v>825</v>
      </c>
      <c r="E1030" s="976">
        <v>19</v>
      </c>
      <c r="F1030" s="976">
        <v>19</v>
      </c>
      <c r="G1030" s="976">
        <v>14.25</v>
      </c>
      <c r="H1030" s="976">
        <v>12.62993</v>
      </c>
      <c r="I1030" s="976"/>
      <c r="J1030" s="976"/>
      <c r="K1030" s="976">
        <v>12.62993</v>
      </c>
      <c r="L1030" s="978">
        <v>-1.6200700000000001</v>
      </c>
      <c r="M1030" s="976" t="s">
        <v>3589</v>
      </c>
      <c r="N1030" s="976">
        <v>16.839906666666664</v>
      </c>
      <c r="O1030" s="735">
        <f t="shared" si="47"/>
        <v>-2.1600933333333359</v>
      </c>
      <c r="P1030" s="738">
        <f t="shared" si="45"/>
        <v>16839.906666666666</v>
      </c>
      <c r="Q1030" s="751">
        <f t="shared" si="46"/>
        <v>17000</v>
      </c>
      <c r="U1030" s="751"/>
      <c r="V1030" s="988"/>
      <c r="W1030" s="1024"/>
    </row>
    <row r="1031" spans="1:81">
      <c r="A1031" s="976" t="s">
        <v>3948</v>
      </c>
      <c r="B1031" s="976" t="s">
        <v>1263</v>
      </c>
      <c r="C1031" s="977">
        <v>1849000824</v>
      </c>
      <c r="D1031" s="976" t="s">
        <v>3264</v>
      </c>
      <c r="E1031" s="976">
        <v>0</v>
      </c>
      <c r="F1031" s="976">
        <v>0</v>
      </c>
      <c r="G1031" s="976">
        <v>0</v>
      </c>
      <c r="H1031" s="976">
        <v>0</v>
      </c>
      <c r="I1031" s="976"/>
      <c r="J1031" s="976"/>
      <c r="K1031" s="976">
        <v>0</v>
      </c>
      <c r="L1031" s="978">
        <v>0</v>
      </c>
      <c r="M1031" s="976" t="s">
        <v>3589</v>
      </c>
      <c r="N1031" s="976">
        <v>0</v>
      </c>
      <c r="O1031" s="735">
        <f t="shared" si="47"/>
        <v>0</v>
      </c>
      <c r="P1031" s="738">
        <f t="shared" si="45"/>
        <v>0</v>
      </c>
      <c r="Q1031" s="751">
        <f t="shared" si="46"/>
        <v>0</v>
      </c>
      <c r="U1031" s="751"/>
      <c r="V1031" s="988"/>
      <c r="W1031" s="1024"/>
    </row>
    <row r="1032" spans="1:81">
      <c r="A1032" s="976" t="s">
        <v>3950</v>
      </c>
      <c r="B1032" s="976" t="s">
        <v>1263</v>
      </c>
      <c r="C1032" s="977">
        <v>1849000828</v>
      </c>
      <c r="D1032" s="976" t="s">
        <v>3265</v>
      </c>
      <c r="E1032" s="976">
        <v>0</v>
      </c>
      <c r="F1032" s="976">
        <v>0</v>
      </c>
      <c r="G1032" s="976">
        <v>0</v>
      </c>
      <c r="H1032" s="976">
        <v>0</v>
      </c>
      <c r="I1032" s="976"/>
      <c r="J1032" s="976"/>
      <c r="K1032" s="976">
        <v>0</v>
      </c>
      <c r="L1032" s="978">
        <v>0</v>
      </c>
      <c r="M1032" s="976" t="s">
        <v>3589</v>
      </c>
      <c r="N1032" s="976">
        <v>0</v>
      </c>
      <c r="O1032" s="735">
        <f t="shared" si="47"/>
        <v>0</v>
      </c>
      <c r="P1032" s="738">
        <f t="shared" ref="P1032:P1075" si="48">N1032*1000</f>
        <v>0</v>
      </c>
      <c r="Q1032" s="751">
        <f t="shared" ref="Q1032:Q1075" si="49">ROUND(P1032,-3)</f>
        <v>0</v>
      </c>
      <c r="U1032" s="751"/>
      <c r="V1032" s="988"/>
      <c r="W1032" s="1024"/>
    </row>
    <row r="1033" spans="1:81">
      <c r="A1033" s="976" t="s">
        <v>3951</v>
      </c>
      <c r="B1033" s="976" t="s">
        <v>1263</v>
      </c>
      <c r="C1033" s="977">
        <v>1849000829</v>
      </c>
      <c r="D1033" s="976" t="s">
        <v>221</v>
      </c>
      <c r="E1033" s="976">
        <v>1197</v>
      </c>
      <c r="F1033" s="976">
        <v>1197</v>
      </c>
      <c r="G1033" s="976">
        <v>897.75</v>
      </c>
      <c r="H1033" s="976">
        <v>1100.4010000000001</v>
      </c>
      <c r="I1033" s="976"/>
      <c r="J1033" s="1032">
        <v>-212</v>
      </c>
      <c r="K1033" s="976">
        <v>888.40100000000007</v>
      </c>
      <c r="L1033" s="978">
        <v>-9.3489999999999327</v>
      </c>
      <c r="M1033" s="976" t="s">
        <v>3589</v>
      </c>
      <c r="N1033" s="976">
        <v>1184.5346666666669</v>
      </c>
      <c r="O1033" s="735">
        <f t="shared" ref="O1033:O1059" si="50">N1033-E1033</f>
        <v>-12.465333333333092</v>
      </c>
      <c r="P1033" s="738">
        <f t="shared" si="48"/>
        <v>1184534.666666667</v>
      </c>
      <c r="Q1033" s="751">
        <f t="shared" si="49"/>
        <v>1185000</v>
      </c>
      <c r="U1033" s="751"/>
      <c r="V1033" s="988"/>
      <c r="W1033" s="1024"/>
    </row>
    <row r="1034" spans="1:81" s="852" customFormat="1">
      <c r="A1034" s="976" t="s">
        <v>3928</v>
      </c>
      <c r="B1034" s="976" t="s">
        <v>1263</v>
      </c>
      <c r="C1034" s="977">
        <v>1849000830</v>
      </c>
      <c r="D1034" s="976" t="s">
        <v>222</v>
      </c>
      <c r="E1034" s="976">
        <v>30</v>
      </c>
      <c r="F1034" s="976">
        <v>30</v>
      </c>
      <c r="G1034" s="976">
        <v>22.5</v>
      </c>
      <c r="H1034" s="976">
        <v>16.518000000000001</v>
      </c>
      <c r="I1034" s="976"/>
      <c r="J1034" s="1032">
        <v>-3</v>
      </c>
      <c r="K1034" s="976">
        <v>13.518000000000001</v>
      </c>
      <c r="L1034" s="978">
        <v>-8.9819999999999993</v>
      </c>
      <c r="M1034" s="976" t="s">
        <v>3589</v>
      </c>
      <c r="N1034" s="976">
        <v>18.024000000000001</v>
      </c>
      <c r="O1034" s="735">
        <f t="shared" si="50"/>
        <v>-11.975999999999999</v>
      </c>
      <c r="P1034" s="738">
        <f t="shared" si="48"/>
        <v>18024</v>
      </c>
      <c r="Q1034" s="751">
        <f t="shared" si="49"/>
        <v>18000</v>
      </c>
      <c r="R1034" s="853"/>
      <c r="S1034" s="853"/>
      <c r="T1034" s="853"/>
      <c r="U1034" s="751"/>
      <c r="V1034" s="988"/>
      <c r="W1034" s="1024"/>
      <c r="X1034" s="853"/>
      <c r="Y1034" s="853"/>
      <c r="Z1034" s="853"/>
      <c r="AA1034" s="853"/>
      <c r="AB1034" s="853"/>
      <c r="AC1034" s="853"/>
      <c r="AD1034" s="853"/>
      <c r="AE1034" s="853"/>
      <c r="AF1034" s="853"/>
      <c r="AG1034" s="853"/>
      <c r="AH1034" s="853"/>
      <c r="AI1034" s="853"/>
      <c r="AJ1034" s="853"/>
      <c r="AK1034" s="853"/>
      <c r="AL1034" s="853"/>
      <c r="AM1034" s="853"/>
      <c r="AN1034" s="853"/>
      <c r="AO1034" s="853"/>
      <c r="AP1034" s="853"/>
      <c r="AQ1034" s="853"/>
      <c r="AR1034" s="853"/>
      <c r="AS1034" s="853"/>
      <c r="AT1034" s="853"/>
      <c r="AU1034" s="853"/>
      <c r="AV1034" s="853"/>
      <c r="AW1034" s="853"/>
      <c r="AX1034" s="853"/>
      <c r="AY1034" s="853"/>
      <c r="AZ1034" s="853"/>
      <c r="BA1034" s="853"/>
      <c r="BB1034" s="853"/>
      <c r="BC1034" s="853"/>
      <c r="BD1034" s="853"/>
      <c r="BE1034" s="853"/>
      <c r="BF1034" s="853"/>
      <c r="BG1034" s="853"/>
      <c r="BH1034" s="853"/>
      <c r="BI1034" s="853"/>
      <c r="BJ1034" s="853"/>
      <c r="BK1034" s="853"/>
      <c r="BL1034" s="853"/>
      <c r="BM1034" s="853"/>
      <c r="BN1034" s="853"/>
      <c r="BO1034" s="853"/>
      <c r="BP1034" s="853"/>
      <c r="BQ1034" s="853"/>
      <c r="BR1034" s="853"/>
      <c r="BS1034" s="853"/>
      <c r="BT1034" s="853"/>
      <c r="BU1034" s="853"/>
      <c r="BV1034" s="853"/>
      <c r="BW1034" s="853"/>
      <c r="BX1034" s="853"/>
      <c r="BY1034" s="853"/>
      <c r="BZ1034" s="853"/>
      <c r="CA1034" s="853"/>
      <c r="CB1034" s="853"/>
      <c r="CC1034" s="853"/>
    </row>
    <row r="1035" spans="1:81" s="852" customFormat="1">
      <c r="A1035" s="976" t="s">
        <v>3955</v>
      </c>
      <c r="B1035" s="976" t="s">
        <v>1263</v>
      </c>
      <c r="C1035" s="977">
        <v>1849000832</v>
      </c>
      <c r="D1035" s="976" t="s">
        <v>3266</v>
      </c>
      <c r="E1035" s="976">
        <v>0</v>
      </c>
      <c r="F1035" s="976">
        <v>0</v>
      </c>
      <c r="G1035" s="976">
        <v>0</v>
      </c>
      <c r="H1035" s="976">
        <v>0</v>
      </c>
      <c r="I1035" s="976"/>
      <c r="J1035" s="976"/>
      <c r="K1035" s="976">
        <v>0</v>
      </c>
      <c r="L1035" s="978">
        <v>0</v>
      </c>
      <c r="M1035" s="976" t="s">
        <v>3589</v>
      </c>
      <c r="N1035" s="976">
        <v>0</v>
      </c>
      <c r="O1035" s="735">
        <f t="shared" si="50"/>
        <v>0</v>
      </c>
      <c r="P1035" s="738">
        <f t="shared" si="48"/>
        <v>0</v>
      </c>
      <c r="Q1035" s="751">
        <f t="shared" si="49"/>
        <v>0</v>
      </c>
      <c r="R1035" s="853"/>
      <c r="S1035" s="853"/>
      <c r="T1035" s="853"/>
      <c r="U1035" s="751"/>
      <c r="V1035" s="988"/>
      <c r="W1035" s="1024"/>
      <c r="X1035" s="853"/>
      <c r="Y1035" s="853"/>
      <c r="Z1035" s="853"/>
      <c r="AA1035" s="853"/>
      <c r="AB1035" s="853"/>
      <c r="AC1035" s="853"/>
      <c r="AD1035" s="853"/>
      <c r="AE1035" s="853"/>
      <c r="AF1035" s="853"/>
      <c r="AG1035" s="853"/>
      <c r="AH1035" s="853"/>
      <c r="AI1035" s="853"/>
      <c r="AJ1035" s="853"/>
      <c r="AK1035" s="853"/>
      <c r="AL1035" s="853"/>
      <c r="AM1035" s="853"/>
      <c r="AN1035" s="853"/>
      <c r="AO1035" s="853"/>
      <c r="AP1035" s="853"/>
      <c r="AQ1035" s="853"/>
      <c r="AR1035" s="853"/>
      <c r="AS1035" s="853"/>
      <c r="AT1035" s="853"/>
      <c r="AU1035" s="853"/>
      <c r="AV1035" s="853"/>
      <c r="AW1035" s="853"/>
      <c r="AX1035" s="853"/>
      <c r="AY1035" s="853"/>
      <c r="AZ1035" s="853"/>
      <c r="BA1035" s="853"/>
      <c r="BB1035" s="853"/>
      <c r="BC1035" s="853"/>
      <c r="BD1035" s="853"/>
      <c r="BE1035" s="853"/>
      <c r="BF1035" s="853"/>
      <c r="BG1035" s="853"/>
      <c r="BH1035" s="853"/>
      <c r="BI1035" s="853"/>
      <c r="BJ1035" s="853"/>
      <c r="BK1035" s="853"/>
      <c r="BL1035" s="853"/>
      <c r="BM1035" s="853"/>
      <c r="BN1035" s="853"/>
      <c r="BO1035" s="853"/>
      <c r="BP1035" s="853"/>
      <c r="BQ1035" s="853"/>
      <c r="BR1035" s="853"/>
      <c r="BS1035" s="853"/>
      <c r="BT1035" s="853"/>
      <c r="BU1035" s="853"/>
      <c r="BV1035" s="853"/>
      <c r="BW1035" s="853"/>
      <c r="BX1035" s="853"/>
      <c r="BY1035" s="853"/>
      <c r="BZ1035" s="853"/>
      <c r="CA1035" s="853"/>
      <c r="CB1035" s="853"/>
      <c r="CC1035" s="853"/>
    </row>
    <row r="1036" spans="1:81" s="895" customFormat="1">
      <c r="A1036" s="976" t="s">
        <v>3956</v>
      </c>
      <c r="B1036" s="976" t="s">
        <v>1263</v>
      </c>
      <c r="C1036" s="977">
        <v>1849000833</v>
      </c>
      <c r="D1036" s="976" t="s">
        <v>828</v>
      </c>
      <c r="E1036" s="976">
        <v>35</v>
      </c>
      <c r="F1036" s="976">
        <v>35</v>
      </c>
      <c r="G1036" s="976">
        <v>26.25</v>
      </c>
      <c r="H1036" s="976">
        <v>20.789000000000001</v>
      </c>
      <c r="I1036" s="976"/>
      <c r="J1036" s="1032">
        <v>-3</v>
      </c>
      <c r="K1036" s="976">
        <v>17.789000000000001</v>
      </c>
      <c r="L1036" s="978">
        <v>-8.4609999999999985</v>
      </c>
      <c r="M1036" s="976" t="s">
        <v>3589</v>
      </c>
      <c r="N1036" s="976">
        <v>23.718666666666667</v>
      </c>
      <c r="O1036" s="735">
        <f t="shared" si="50"/>
        <v>-11.281333333333333</v>
      </c>
      <c r="P1036" s="738">
        <f t="shared" si="48"/>
        <v>23718.666666666668</v>
      </c>
      <c r="Q1036" s="751">
        <f t="shared" si="49"/>
        <v>24000</v>
      </c>
      <c r="R1036" s="853"/>
      <c r="S1036" s="853"/>
      <c r="T1036" s="853"/>
      <c r="U1036" s="751"/>
      <c r="V1036" s="988"/>
      <c r="W1036" s="1024"/>
      <c r="X1036" s="853"/>
      <c r="Y1036" s="853"/>
      <c r="Z1036" s="853"/>
      <c r="AA1036" s="853"/>
      <c r="AB1036" s="853"/>
      <c r="AC1036" s="853"/>
      <c r="AD1036" s="853"/>
      <c r="AE1036" s="853"/>
      <c r="AF1036" s="853"/>
      <c r="AG1036" s="853"/>
      <c r="AH1036" s="853"/>
      <c r="AI1036" s="853"/>
      <c r="AJ1036" s="853"/>
      <c r="AK1036" s="853"/>
      <c r="AL1036" s="853"/>
      <c r="AM1036" s="853"/>
      <c r="AN1036" s="853"/>
      <c r="AO1036" s="853"/>
      <c r="AP1036" s="853"/>
      <c r="AQ1036" s="853"/>
      <c r="AR1036" s="853"/>
      <c r="AS1036" s="853"/>
      <c r="AT1036" s="853"/>
      <c r="AU1036" s="853"/>
      <c r="AV1036" s="853"/>
      <c r="AW1036" s="853"/>
      <c r="AX1036" s="853"/>
      <c r="AY1036" s="853"/>
      <c r="AZ1036" s="853"/>
      <c r="BA1036" s="853"/>
      <c r="BB1036" s="853"/>
      <c r="BC1036" s="853"/>
      <c r="BD1036" s="853"/>
      <c r="BE1036" s="853"/>
      <c r="BF1036" s="853"/>
      <c r="BG1036" s="853"/>
      <c r="BH1036" s="853"/>
      <c r="BI1036" s="853"/>
      <c r="BJ1036" s="853"/>
      <c r="BK1036" s="853"/>
      <c r="BL1036" s="853"/>
      <c r="BM1036" s="853"/>
      <c r="BN1036" s="853"/>
      <c r="BO1036" s="853"/>
      <c r="BP1036" s="853"/>
      <c r="BQ1036" s="853"/>
      <c r="BR1036" s="853"/>
      <c r="BS1036" s="853"/>
      <c r="BT1036" s="853"/>
      <c r="BU1036" s="853"/>
      <c r="BV1036" s="853"/>
      <c r="BW1036" s="853"/>
      <c r="BX1036" s="853"/>
      <c r="BY1036" s="853"/>
      <c r="BZ1036" s="853"/>
      <c r="CA1036" s="853"/>
      <c r="CB1036" s="853"/>
      <c r="CC1036" s="853"/>
    </row>
    <row r="1037" spans="1:81" s="897" customFormat="1" ht="14.25" customHeight="1">
      <c r="A1037" s="976" t="s">
        <v>3957</v>
      </c>
      <c r="B1037" s="976" t="s">
        <v>1263</v>
      </c>
      <c r="C1037" s="977">
        <v>1849000834</v>
      </c>
      <c r="D1037" s="976" t="s">
        <v>3267</v>
      </c>
      <c r="E1037" s="976">
        <v>0</v>
      </c>
      <c r="F1037" s="976">
        <v>0</v>
      </c>
      <c r="G1037" s="976">
        <v>0</v>
      </c>
      <c r="H1037" s="976">
        <v>0</v>
      </c>
      <c r="I1037" s="976"/>
      <c r="J1037" s="976"/>
      <c r="K1037" s="976">
        <v>0</v>
      </c>
      <c r="L1037" s="978">
        <v>0</v>
      </c>
      <c r="M1037" s="976" t="s">
        <v>3589</v>
      </c>
      <c r="N1037" s="976">
        <v>0</v>
      </c>
      <c r="O1037" s="735">
        <f t="shared" si="50"/>
        <v>0</v>
      </c>
      <c r="P1037" s="738">
        <f t="shared" si="48"/>
        <v>0</v>
      </c>
      <c r="Q1037" s="751">
        <f t="shared" si="49"/>
        <v>0</v>
      </c>
      <c r="R1037" s="896"/>
      <c r="S1037" s="896"/>
      <c r="T1037" s="896"/>
      <c r="U1037" s="855"/>
      <c r="V1037" s="988"/>
      <c r="W1037" s="1024"/>
      <c r="X1037" s="896"/>
      <c r="Y1037" s="896"/>
      <c r="Z1037" s="896"/>
      <c r="AA1037" s="896"/>
      <c r="AB1037" s="896"/>
      <c r="AC1037" s="896"/>
      <c r="AD1037" s="896"/>
      <c r="AE1037" s="896"/>
      <c r="AF1037" s="896"/>
      <c r="AG1037" s="896"/>
      <c r="AH1037" s="896"/>
      <c r="AI1037" s="896"/>
      <c r="AJ1037" s="896"/>
      <c r="AK1037" s="896"/>
      <c r="AL1037" s="896"/>
      <c r="AM1037" s="896"/>
      <c r="AN1037" s="896"/>
      <c r="AO1037" s="896"/>
      <c r="AP1037" s="896"/>
      <c r="AQ1037" s="896"/>
      <c r="AR1037" s="896"/>
      <c r="AS1037" s="896"/>
      <c r="AT1037" s="896"/>
      <c r="AU1037" s="896"/>
      <c r="AV1037" s="896"/>
      <c r="AW1037" s="896"/>
      <c r="AX1037" s="896"/>
    </row>
    <row r="1038" spans="1:81" s="903" customFormat="1" ht="15.75" customHeight="1">
      <c r="A1038" s="979" t="s">
        <v>3577</v>
      </c>
      <c r="B1038" s="976" t="s">
        <v>3862</v>
      </c>
      <c r="C1038" s="980" t="s">
        <v>888</v>
      </c>
      <c r="D1038" s="979" t="s">
        <v>1489</v>
      </c>
      <c r="E1038" s="979">
        <v>102489.833</v>
      </c>
      <c r="F1038" s="979">
        <v>102489.833</v>
      </c>
      <c r="G1038" s="979">
        <v>76867.374750000003</v>
      </c>
      <c r="H1038" s="979">
        <v>73713.988989999998</v>
      </c>
      <c r="I1038" s="979">
        <v>0</v>
      </c>
      <c r="J1038" s="979">
        <v>1127</v>
      </c>
      <c r="K1038" s="979">
        <v>74840.988989999998</v>
      </c>
      <c r="L1038" s="979">
        <v>-2026.3857599999992</v>
      </c>
      <c r="M1038" s="979">
        <v>0</v>
      </c>
      <c r="N1038" s="979">
        <v>99787.985319999978</v>
      </c>
      <c r="O1038" s="735">
        <f t="shared" si="50"/>
        <v>-2701.8476800000208</v>
      </c>
      <c r="P1038" s="738">
        <f t="shared" si="48"/>
        <v>99787985.319999978</v>
      </c>
      <c r="Q1038" s="751">
        <f t="shared" si="49"/>
        <v>99788000</v>
      </c>
      <c r="R1038" s="902"/>
      <c r="S1038" s="902"/>
      <c r="T1038" s="902"/>
      <c r="U1038" s="902"/>
      <c r="V1038" s="988"/>
      <c r="W1038" s="1024"/>
      <c r="X1038" s="902"/>
      <c r="Y1038" s="902"/>
      <c r="Z1038" s="902"/>
      <c r="AA1038" s="902"/>
      <c r="AB1038" s="902"/>
      <c r="AC1038" s="902"/>
      <c r="AD1038" s="902"/>
      <c r="AE1038" s="902"/>
      <c r="AF1038" s="902"/>
      <c r="AG1038" s="902"/>
      <c r="AH1038" s="902"/>
      <c r="AI1038" s="902"/>
      <c r="AJ1038" s="902"/>
      <c r="AK1038" s="902"/>
      <c r="AL1038" s="902"/>
      <c r="AM1038" s="902"/>
      <c r="AN1038" s="902"/>
      <c r="AO1038" s="902"/>
      <c r="AP1038" s="902"/>
      <c r="AQ1038" s="902"/>
      <c r="AR1038" s="902"/>
      <c r="AS1038" s="902"/>
      <c r="AT1038" s="902"/>
      <c r="AU1038" s="902"/>
      <c r="AV1038" s="902"/>
      <c r="AW1038" s="902"/>
      <c r="AX1038" s="902"/>
    </row>
    <row r="1039" spans="1:81" s="734" customFormat="1" ht="14.25" customHeight="1">
      <c r="A1039" s="984" t="s">
        <v>3577</v>
      </c>
      <c r="B1039" s="976" t="s">
        <v>3862</v>
      </c>
      <c r="C1039" s="985" t="s">
        <v>888</v>
      </c>
      <c r="D1039" s="984" t="s">
        <v>918</v>
      </c>
      <c r="E1039" s="984">
        <v>135923.4</v>
      </c>
      <c r="F1039" s="984">
        <v>135923.4</v>
      </c>
      <c r="G1039" s="984">
        <v>101942.55</v>
      </c>
      <c r="H1039" s="984">
        <v>96273.487209999992</v>
      </c>
      <c r="I1039" s="984">
        <v>0</v>
      </c>
      <c r="J1039" s="984">
        <v>2645.1870795000013</v>
      </c>
      <c r="K1039" s="984">
        <v>98918.674289499992</v>
      </c>
      <c r="L1039" s="984">
        <v>-3023.8757105000009</v>
      </c>
      <c r="M1039" s="984">
        <v>0</v>
      </c>
      <c r="N1039" s="984">
        <v>131891.5657193333</v>
      </c>
      <c r="O1039" s="735">
        <f t="shared" si="50"/>
        <v>-4031.8342806666915</v>
      </c>
      <c r="P1039" s="738">
        <f t="shared" si="48"/>
        <v>131891565.71933331</v>
      </c>
      <c r="Q1039" s="751">
        <f t="shared" si="49"/>
        <v>131892000</v>
      </c>
      <c r="R1039" s="904"/>
      <c r="S1039" s="904"/>
      <c r="T1039" s="904"/>
      <c r="U1039" s="904"/>
      <c r="V1039" s="988"/>
      <c r="W1039" s="1024"/>
      <c r="X1039" s="904"/>
      <c r="Y1039" s="904"/>
      <c r="Z1039" s="904"/>
      <c r="AA1039" s="904"/>
      <c r="AB1039" s="904"/>
      <c r="AC1039" s="904"/>
      <c r="AD1039" s="904"/>
      <c r="AE1039" s="904"/>
      <c r="AF1039" s="904"/>
      <c r="AG1039" s="904"/>
      <c r="AH1039" s="904"/>
      <c r="AI1039" s="904"/>
      <c r="AJ1039" s="904"/>
      <c r="AK1039" s="904"/>
      <c r="AL1039" s="904"/>
      <c r="AM1039" s="904"/>
      <c r="AN1039" s="904"/>
      <c r="AO1039" s="904"/>
      <c r="AP1039" s="904"/>
      <c r="AQ1039" s="904"/>
      <c r="AR1039" s="904"/>
      <c r="AS1039" s="904"/>
      <c r="AT1039" s="904"/>
      <c r="AU1039" s="904"/>
      <c r="AV1039" s="904"/>
      <c r="AW1039" s="904"/>
      <c r="AX1039" s="904"/>
    </row>
    <row r="1040" spans="1:81" s="852" customFormat="1" ht="30" customHeight="1">
      <c r="A1040" s="1022" t="s">
        <v>1079</v>
      </c>
      <c r="B1040" s="976" t="s">
        <v>1079</v>
      </c>
      <c r="C1040" s="1023"/>
      <c r="D1040" s="1022" t="s">
        <v>1349</v>
      </c>
      <c r="E1040" s="1022"/>
      <c r="F1040" s="1022"/>
      <c r="G1040" s="1022"/>
      <c r="H1040" s="1022"/>
      <c r="I1040" s="1022"/>
      <c r="J1040" s="1022"/>
      <c r="K1040" s="1022"/>
      <c r="L1040" s="1022"/>
      <c r="M1040" s="1022"/>
      <c r="N1040" s="1022"/>
      <c r="O1040" s="735">
        <f t="shared" si="50"/>
        <v>0</v>
      </c>
      <c r="P1040" s="738">
        <f t="shared" si="48"/>
        <v>0</v>
      </c>
      <c r="Q1040" s="751">
        <f t="shared" si="49"/>
        <v>0</v>
      </c>
      <c r="R1040" s="853"/>
      <c r="S1040" s="853"/>
      <c r="T1040" s="853"/>
      <c r="U1040" s="853"/>
      <c r="V1040" s="988"/>
      <c r="W1040" s="1024"/>
      <c r="X1040" s="853"/>
      <c r="Y1040" s="853"/>
      <c r="Z1040" s="853"/>
      <c r="AA1040" s="853"/>
      <c r="AB1040" s="853"/>
      <c r="AC1040" s="853"/>
      <c r="AD1040" s="853"/>
      <c r="AE1040" s="853"/>
      <c r="AF1040" s="853"/>
      <c r="AG1040" s="853"/>
      <c r="AH1040" s="853"/>
      <c r="AI1040" s="853"/>
      <c r="AJ1040" s="853"/>
      <c r="AK1040" s="853"/>
      <c r="AL1040" s="853"/>
      <c r="AM1040" s="853"/>
      <c r="AN1040" s="853"/>
      <c r="AO1040" s="853"/>
      <c r="AP1040" s="853"/>
      <c r="AQ1040" s="853"/>
      <c r="AR1040" s="853"/>
      <c r="AS1040" s="853"/>
      <c r="AT1040" s="853"/>
      <c r="AU1040" s="853"/>
      <c r="AV1040" s="853"/>
      <c r="AW1040" s="853"/>
      <c r="AX1040" s="853"/>
      <c r="AY1040" s="853"/>
      <c r="AZ1040" s="853"/>
      <c r="BA1040" s="853"/>
      <c r="BB1040" s="853"/>
      <c r="BC1040" s="853"/>
      <c r="BD1040" s="853"/>
      <c r="BE1040" s="853"/>
      <c r="BF1040" s="853"/>
      <c r="BG1040" s="853"/>
      <c r="BH1040" s="853"/>
      <c r="BI1040" s="853"/>
      <c r="BJ1040" s="853"/>
      <c r="BK1040" s="853"/>
      <c r="BL1040" s="853"/>
      <c r="BM1040" s="853"/>
      <c r="BN1040" s="853"/>
      <c r="BO1040" s="853"/>
      <c r="BP1040" s="853"/>
      <c r="BQ1040" s="853"/>
      <c r="BR1040" s="853"/>
      <c r="BS1040" s="853"/>
      <c r="BT1040" s="853"/>
      <c r="BU1040" s="853"/>
      <c r="BV1040" s="853"/>
      <c r="BW1040" s="853"/>
      <c r="BX1040" s="853"/>
      <c r="BY1040" s="853"/>
      <c r="BZ1040" s="853"/>
      <c r="CA1040" s="853"/>
      <c r="CB1040" s="853"/>
      <c r="CC1040" s="853"/>
    </row>
    <row r="1041" spans="1:81" s="852" customFormat="1" ht="15" customHeight="1">
      <c r="A1041" s="976" t="s">
        <v>3877</v>
      </c>
      <c r="B1041" s="976" t="s">
        <v>1200</v>
      </c>
      <c r="C1041" s="977">
        <v>1649100691</v>
      </c>
      <c r="D1041" s="976" t="s">
        <v>2948</v>
      </c>
      <c r="E1041" s="976">
        <v>24687</v>
      </c>
      <c r="F1041" s="976">
        <v>24687</v>
      </c>
      <c r="G1041" s="976">
        <v>18515.25</v>
      </c>
      <c r="H1041" s="976">
        <v>19092.17988</v>
      </c>
      <c r="I1041" s="976"/>
      <c r="J1041" s="1032">
        <v>-590</v>
      </c>
      <c r="K1041" s="976">
        <v>18502.17988</v>
      </c>
      <c r="L1041" s="978">
        <v>-13.070120000000315</v>
      </c>
      <c r="M1041" s="976"/>
      <c r="N1041" s="976">
        <v>24669.573173333334</v>
      </c>
      <c r="O1041" s="735">
        <f t="shared" si="50"/>
        <v>-17.426826666665875</v>
      </c>
      <c r="P1041" s="738">
        <f t="shared" si="48"/>
        <v>24669573.173333336</v>
      </c>
      <c r="Q1041" s="751">
        <f t="shared" si="49"/>
        <v>24670000</v>
      </c>
      <c r="R1041" s="853"/>
      <c r="S1041" s="853"/>
      <c r="T1041" s="853"/>
      <c r="U1041" s="853"/>
      <c r="V1041" s="988"/>
      <c r="W1041" s="1024"/>
      <c r="X1041" s="853"/>
      <c r="Y1041" s="853"/>
      <c r="Z1041" s="853"/>
      <c r="AA1041" s="853"/>
      <c r="AB1041" s="853"/>
      <c r="AC1041" s="853"/>
      <c r="AD1041" s="853"/>
      <c r="AE1041" s="853"/>
      <c r="AF1041" s="853"/>
      <c r="AG1041" s="853"/>
      <c r="AH1041" s="853"/>
      <c r="AI1041" s="853"/>
      <c r="AJ1041" s="853"/>
      <c r="AK1041" s="853"/>
      <c r="AL1041" s="853"/>
      <c r="AM1041" s="853"/>
      <c r="AN1041" s="853"/>
      <c r="AO1041" s="853"/>
      <c r="AP1041" s="853"/>
      <c r="AQ1041" s="853"/>
      <c r="AR1041" s="853"/>
      <c r="AS1041" s="853"/>
      <c r="AT1041" s="853"/>
      <c r="AU1041" s="853"/>
      <c r="AV1041" s="853"/>
      <c r="AW1041" s="853"/>
      <c r="AX1041" s="853"/>
    </row>
    <row r="1042" spans="1:81" s="857" customFormat="1" ht="14.25" customHeight="1">
      <c r="A1042" s="976" t="s">
        <v>3878</v>
      </c>
      <c r="B1042" s="976" t="s">
        <v>1200</v>
      </c>
      <c r="C1042" s="977">
        <v>1649100692</v>
      </c>
      <c r="D1042" s="976" t="s">
        <v>2949</v>
      </c>
      <c r="E1042" s="976">
        <v>3959</v>
      </c>
      <c r="F1042" s="976">
        <v>3959</v>
      </c>
      <c r="G1042" s="976">
        <v>2969.25</v>
      </c>
      <c r="H1042" s="976">
        <v>3270.22946</v>
      </c>
      <c r="I1042" s="976"/>
      <c r="J1042" s="976"/>
      <c r="K1042" s="976">
        <v>3270.22946</v>
      </c>
      <c r="L1042" s="978">
        <v>300.97946000000002</v>
      </c>
      <c r="M1042" s="976"/>
      <c r="N1042" s="976">
        <v>4360.3059466666664</v>
      </c>
      <c r="O1042" s="735">
        <f t="shared" si="50"/>
        <v>401.30594666666639</v>
      </c>
      <c r="P1042" s="738">
        <f t="shared" si="48"/>
        <v>4360305.9466666663</v>
      </c>
      <c r="Q1042" s="751">
        <f t="shared" si="49"/>
        <v>4360000</v>
      </c>
      <c r="R1042" s="747"/>
      <c r="S1042" s="747"/>
      <c r="T1042" s="747"/>
      <c r="U1042" s="747"/>
      <c r="V1042" s="988"/>
      <c r="W1042" s="1024"/>
      <c r="X1042" s="747"/>
      <c r="Y1042" s="747"/>
      <c r="Z1042" s="747"/>
      <c r="AA1042" s="747"/>
      <c r="AB1042" s="747"/>
      <c r="AC1042" s="747"/>
      <c r="AD1042" s="747"/>
      <c r="AE1042" s="747"/>
      <c r="AF1042" s="747"/>
      <c r="AG1042" s="747"/>
      <c r="AH1042" s="747"/>
      <c r="AI1042" s="747"/>
      <c r="AJ1042" s="747"/>
      <c r="AK1042" s="747"/>
      <c r="AL1042" s="747"/>
      <c r="AM1042" s="747"/>
      <c r="AN1042" s="747"/>
      <c r="AO1042" s="747"/>
      <c r="AP1042" s="747"/>
      <c r="AQ1042" s="747"/>
      <c r="AR1042" s="747"/>
      <c r="AS1042" s="747"/>
      <c r="AT1042" s="747"/>
      <c r="AU1042" s="747"/>
      <c r="AV1042" s="747"/>
      <c r="AW1042" s="747"/>
      <c r="AX1042" s="747"/>
    </row>
    <row r="1043" spans="1:81" s="747" customFormat="1" ht="14.25" customHeight="1">
      <c r="A1043" s="976" t="s">
        <v>3879</v>
      </c>
      <c r="B1043" s="976" t="s">
        <v>1200</v>
      </c>
      <c r="C1043" s="977">
        <v>1649100693</v>
      </c>
      <c r="D1043" s="976" t="s">
        <v>2950</v>
      </c>
      <c r="E1043" s="976">
        <v>191</v>
      </c>
      <c r="F1043" s="976">
        <v>191</v>
      </c>
      <c r="G1043" s="976">
        <v>143.25</v>
      </c>
      <c r="H1043" s="976">
        <v>944.84231999999997</v>
      </c>
      <c r="I1043" s="976"/>
      <c r="J1043" s="976"/>
      <c r="K1043" s="976">
        <v>944.84231999999997</v>
      </c>
      <c r="L1043" s="978">
        <v>801.59231999999997</v>
      </c>
      <c r="M1043" s="976"/>
      <c r="N1043" s="976">
        <v>1259.7897600000001</v>
      </c>
      <c r="O1043" s="735">
        <f t="shared" si="50"/>
        <v>1068.7897600000001</v>
      </c>
      <c r="P1043" s="738">
        <f t="shared" si="48"/>
        <v>1259789.76</v>
      </c>
      <c r="Q1043" s="751">
        <f t="shared" si="49"/>
        <v>1260000</v>
      </c>
      <c r="V1043" s="988"/>
      <c r="W1043" s="1024"/>
    </row>
    <row r="1044" spans="1:81" s="897" customFormat="1" ht="14.25" customHeight="1">
      <c r="A1044" s="976" t="s">
        <v>3880</v>
      </c>
      <c r="B1044" s="976" t="s">
        <v>1200</v>
      </c>
      <c r="C1044" s="977">
        <v>1649100694</v>
      </c>
      <c r="D1044" s="976" t="s">
        <v>376</v>
      </c>
      <c r="E1044" s="976">
        <v>786</v>
      </c>
      <c r="F1044" s="976">
        <v>786</v>
      </c>
      <c r="G1044" s="976">
        <v>589.5</v>
      </c>
      <c r="H1044" s="976">
        <v>0</v>
      </c>
      <c r="I1044" s="976"/>
      <c r="J1044" s="1041">
        <v>590</v>
      </c>
      <c r="K1044" s="976">
        <v>590</v>
      </c>
      <c r="L1044" s="978">
        <v>0.5</v>
      </c>
      <c r="M1044" s="976"/>
      <c r="N1044" s="976">
        <v>786.66666666666663</v>
      </c>
      <c r="O1044" s="735">
        <f t="shared" si="50"/>
        <v>0.66666666666662877</v>
      </c>
      <c r="P1044" s="738">
        <f t="shared" si="48"/>
        <v>786666.66666666663</v>
      </c>
      <c r="Q1044" s="751">
        <f t="shared" si="49"/>
        <v>787000</v>
      </c>
      <c r="R1044" s="896"/>
      <c r="S1044" s="896"/>
      <c r="T1044" s="896"/>
      <c r="U1044" s="855"/>
      <c r="V1044" s="988"/>
      <c r="W1044" s="1024"/>
      <c r="X1044" s="896"/>
      <c r="Y1044" s="896"/>
      <c r="Z1044" s="896"/>
      <c r="AA1044" s="896"/>
      <c r="AB1044" s="896"/>
      <c r="AC1044" s="896"/>
      <c r="AD1044" s="896"/>
      <c r="AE1044" s="896"/>
      <c r="AF1044" s="896"/>
      <c r="AG1044" s="896"/>
      <c r="AH1044" s="896"/>
      <c r="AI1044" s="896"/>
      <c r="AJ1044" s="896"/>
      <c r="AK1044" s="896"/>
      <c r="AL1044" s="896"/>
      <c r="AM1044" s="896"/>
      <c r="AN1044" s="896"/>
      <c r="AO1044" s="896"/>
      <c r="AP1044" s="896"/>
      <c r="AQ1044" s="896"/>
      <c r="AR1044" s="896"/>
      <c r="AS1044" s="896"/>
      <c r="AT1044" s="896"/>
      <c r="AU1044" s="896"/>
      <c r="AV1044" s="896"/>
      <c r="AW1044" s="896"/>
      <c r="AX1044" s="896"/>
    </row>
    <row r="1045" spans="1:81" s="852" customFormat="1" ht="15" customHeight="1">
      <c r="A1045" s="979" t="s">
        <v>3577</v>
      </c>
      <c r="B1045" s="976" t="s">
        <v>3862</v>
      </c>
      <c r="C1045" s="980" t="s">
        <v>888</v>
      </c>
      <c r="D1045" s="979" t="s">
        <v>1349</v>
      </c>
      <c r="E1045" s="979">
        <v>29623</v>
      </c>
      <c r="F1045" s="979">
        <v>29623</v>
      </c>
      <c r="G1045" s="979">
        <v>22217.25</v>
      </c>
      <c r="H1045" s="979">
        <v>23307.251659999998</v>
      </c>
      <c r="I1045" s="979">
        <v>0</v>
      </c>
      <c r="J1045" s="979">
        <v>0</v>
      </c>
      <c r="K1045" s="979">
        <v>23307.251659999998</v>
      </c>
      <c r="L1045" s="979">
        <v>1090.0016599999997</v>
      </c>
      <c r="M1045" s="979">
        <v>0</v>
      </c>
      <c r="N1045" s="979">
        <v>31076.335546666669</v>
      </c>
      <c r="O1045" s="735">
        <f t="shared" si="50"/>
        <v>1453.335546666669</v>
      </c>
      <c r="P1045" s="738">
        <f t="shared" si="48"/>
        <v>31076335.546666671</v>
      </c>
      <c r="Q1045" s="751">
        <f t="shared" si="49"/>
        <v>31076000</v>
      </c>
      <c r="R1045" s="853"/>
      <c r="S1045" s="853"/>
      <c r="T1045" s="853"/>
      <c r="U1045" s="853"/>
      <c r="V1045" s="988"/>
      <c r="W1045" s="1024"/>
      <c r="X1045" s="853"/>
      <c r="Y1045" s="853"/>
      <c r="Z1045" s="853"/>
      <c r="AA1045" s="853"/>
      <c r="AB1045" s="853"/>
      <c r="AC1045" s="853"/>
      <c r="AD1045" s="853"/>
      <c r="AE1045" s="853"/>
      <c r="AF1045" s="853"/>
      <c r="AG1045" s="853"/>
      <c r="AH1045" s="853"/>
      <c r="AI1045" s="853"/>
      <c r="AJ1045" s="853"/>
      <c r="AK1045" s="853"/>
      <c r="AL1045" s="853"/>
      <c r="AM1045" s="853"/>
      <c r="AN1045" s="853"/>
      <c r="AO1045" s="853"/>
      <c r="AP1045" s="853"/>
      <c r="AQ1045" s="853"/>
      <c r="AR1045" s="853"/>
      <c r="AS1045" s="853"/>
      <c r="AT1045" s="853"/>
      <c r="AU1045" s="853"/>
      <c r="AV1045" s="853"/>
      <c r="AW1045" s="853"/>
      <c r="AX1045" s="853"/>
    </row>
    <row r="1046" spans="1:81" s="852" customFormat="1" ht="15" customHeight="1">
      <c r="A1046" s="981" t="s">
        <v>1079</v>
      </c>
      <c r="B1046" s="976" t="s">
        <v>1079</v>
      </c>
      <c r="C1046" s="982"/>
      <c r="D1046" s="981" t="s">
        <v>1347</v>
      </c>
      <c r="E1046" s="981"/>
      <c r="F1046" s="981"/>
      <c r="G1046" s="981"/>
      <c r="H1046" s="981"/>
      <c r="I1046" s="981"/>
      <c r="J1046" s="976"/>
      <c r="K1046" s="981"/>
      <c r="L1046" s="981"/>
      <c r="M1046" s="981"/>
      <c r="N1046" s="981"/>
      <c r="O1046" s="735">
        <f t="shared" si="50"/>
        <v>0</v>
      </c>
      <c r="P1046" s="738">
        <f t="shared" si="48"/>
        <v>0</v>
      </c>
      <c r="Q1046" s="751">
        <f t="shared" si="49"/>
        <v>0</v>
      </c>
      <c r="R1046" s="853"/>
      <c r="S1046" s="853"/>
      <c r="T1046" s="853"/>
      <c r="U1046" s="853"/>
      <c r="V1046" s="988"/>
      <c r="W1046" s="1024"/>
      <c r="X1046" s="853"/>
      <c r="Y1046" s="853"/>
      <c r="Z1046" s="853"/>
      <c r="AA1046" s="853"/>
      <c r="AB1046" s="853"/>
      <c r="AC1046" s="853"/>
      <c r="AD1046" s="853"/>
      <c r="AE1046" s="853"/>
      <c r="AF1046" s="853"/>
      <c r="AG1046" s="853"/>
      <c r="AH1046" s="853"/>
      <c r="AI1046" s="853"/>
      <c r="AJ1046" s="853"/>
      <c r="AK1046" s="853"/>
      <c r="AL1046" s="853"/>
      <c r="AM1046" s="853"/>
      <c r="AN1046" s="853"/>
      <c r="AO1046" s="853"/>
      <c r="AP1046" s="853"/>
      <c r="AQ1046" s="853"/>
      <c r="AR1046" s="853"/>
      <c r="AS1046" s="853"/>
      <c r="AT1046" s="853"/>
      <c r="AU1046" s="853"/>
      <c r="AV1046" s="853"/>
      <c r="AW1046" s="853"/>
      <c r="AX1046" s="853"/>
    </row>
    <row r="1047" spans="1:81" s="852" customFormat="1" ht="15" customHeight="1">
      <c r="A1047" s="976" t="s">
        <v>3873</v>
      </c>
      <c r="B1047" s="976" t="s">
        <v>1197</v>
      </c>
      <c r="C1047" s="977">
        <v>1631000610</v>
      </c>
      <c r="D1047" s="976" t="s">
        <v>3439</v>
      </c>
      <c r="E1047" s="976">
        <v>550</v>
      </c>
      <c r="F1047" s="976">
        <v>550</v>
      </c>
      <c r="G1047" s="976">
        <v>412.5</v>
      </c>
      <c r="H1047" s="976">
        <v>494.51299999999998</v>
      </c>
      <c r="I1047" s="976"/>
      <c r="J1047" s="976"/>
      <c r="K1047" s="976">
        <v>494.51299999999998</v>
      </c>
      <c r="L1047" s="978">
        <v>82.012999999999977</v>
      </c>
      <c r="M1047" s="976"/>
      <c r="N1047" s="976">
        <v>659.35066666666671</v>
      </c>
      <c r="O1047" s="735">
        <f t="shared" si="50"/>
        <v>109.35066666666671</v>
      </c>
      <c r="P1047" s="738">
        <f t="shared" si="48"/>
        <v>659350.66666666674</v>
      </c>
      <c r="Q1047" s="751">
        <f t="shared" si="49"/>
        <v>659000</v>
      </c>
      <c r="R1047" s="853"/>
      <c r="S1047" s="853"/>
      <c r="T1047" s="853"/>
      <c r="U1047" s="853"/>
      <c r="V1047" s="988"/>
      <c r="W1047" s="1024"/>
      <c r="X1047" s="853"/>
      <c r="Y1047" s="853"/>
      <c r="Z1047" s="853"/>
      <c r="AA1047" s="853"/>
      <c r="AB1047" s="853"/>
      <c r="AC1047" s="853"/>
      <c r="AD1047" s="853"/>
      <c r="AE1047" s="853"/>
      <c r="AF1047" s="853"/>
      <c r="AG1047" s="853"/>
      <c r="AH1047" s="853"/>
      <c r="AI1047" s="853"/>
      <c r="AJ1047" s="853"/>
      <c r="AK1047" s="853"/>
      <c r="AL1047" s="853"/>
      <c r="AM1047" s="853"/>
      <c r="AN1047" s="853"/>
      <c r="AO1047" s="853"/>
      <c r="AP1047" s="853"/>
      <c r="AQ1047" s="853"/>
      <c r="AR1047" s="853"/>
      <c r="AS1047" s="853"/>
      <c r="AT1047" s="853"/>
      <c r="AU1047" s="853"/>
      <c r="AV1047" s="853"/>
      <c r="AW1047" s="853"/>
      <c r="AX1047" s="853"/>
    </row>
    <row r="1048" spans="1:81" s="857" customFormat="1" ht="14.25" customHeight="1">
      <c r="A1048" s="976" t="s">
        <v>3958</v>
      </c>
      <c r="B1048" s="976" t="s">
        <v>1197</v>
      </c>
      <c r="C1048" s="977">
        <v>1631100620</v>
      </c>
      <c r="D1048" s="976" t="s">
        <v>364</v>
      </c>
      <c r="E1048" s="976">
        <v>900</v>
      </c>
      <c r="F1048" s="976">
        <v>900</v>
      </c>
      <c r="G1048" s="976">
        <v>675</v>
      </c>
      <c r="H1048" s="976">
        <v>787.87770999999998</v>
      </c>
      <c r="I1048" s="976"/>
      <c r="J1048" s="976"/>
      <c r="K1048" s="976">
        <v>787.87770999999998</v>
      </c>
      <c r="L1048" s="978">
        <v>112.87770999999998</v>
      </c>
      <c r="M1048" s="976"/>
      <c r="N1048" s="976">
        <v>1050.5036133333333</v>
      </c>
      <c r="O1048" s="735">
        <f t="shared" si="50"/>
        <v>150.50361333333331</v>
      </c>
      <c r="P1048" s="738">
        <f t="shared" si="48"/>
        <v>1050503.6133333333</v>
      </c>
      <c r="Q1048" s="751">
        <f t="shared" si="49"/>
        <v>1051000</v>
      </c>
      <c r="R1048" s="747"/>
      <c r="S1048" s="747"/>
      <c r="T1048" s="747"/>
      <c r="U1048" s="747"/>
      <c r="V1048" s="988"/>
      <c r="W1048" s="1024"/>
      <c r="X1048" s="747"/>
      <c r="Y1048" s="747"/>
      <c r="Z1048" s="747"/>
      <c r="AA1048" s="747"/>
      <c r="AB1048" s="747"/>
      <c r="AC1048" s="747"/>
      <c r="AD1048" s="747"/>
      <c r="AE1048" s="747"/>
      <c r="AF1048" s="747"/>
      <c r="AG1048" s="747"/>
      <c r="AH1048" s="747"/>
      <c r="AI1048" s="747"/>
      <c r="AJ1048" s="747"/>
      <c r="AK1048" s="747"/>
      <c r="AL1048" s="747"/>
      <c r="AM1048" s="747"/>
      <c r="AN1048" s="747"/>
      <c r="AO1048" s="747"/>
      <c r="AP1048" s="747"/>
      <c r="AQ1048" s="747"/>
      <c r="AR1048" s="747"/>
      <c r="AS1048" s="747"/>
      <c r="AT1048" s="747"/>
      <c r="AU1048" s="747"/>
      <c r="AV1048" s="747"/>
      <c r="AW1048" s="747"/>
      <c r="AX1048" s="747"/>
    </row>
    <row r="1049" spans="1:81" s="856" customFormat="1" ht="15" customHeight="1">
      <c r="A1049" s="976" t="s">
        <v>3958</v>
      </c>
      <c r="B1049" s="976" t="s">
        <v>1197</v>
      </c>
      <c r="C1049" s="977">
        <v>1632000620</v>
      </c>
      <c r="D1049" s="976" t="s">
        <v>3440</v>
      </c>
      <c r="E1049" s="976">
        <v>200</v>
      </c>
      <c r="F1049" s="976">
        <v>200</v>
      </c>
      <c r="G1049" s="976">
        <v>150</v>
      </c>
      <c r="H1049" s="976">
        <v>204.41410000000002</v>
      </c>
      <c r="I1049" s="976"/>
      <c r="J1049" s="1032">
        <v>-54</v>
      </c>
      <c r="K1049" s="976">
        <v>150.41410000000002</v>
      </c>
      <c r="L1049" s="978">
        <v>0.41410000000001901</v>
      </c>
      <c r="M1049" s="976"/>
      <c r="N1049" s="976">
        <v>200.55213333333336</v>
      </c>
      <c r="O1049" s="735">
        <f t="shared" si="50"/>
        <v>0.55213333333335868</v>
      </c>
      <c r="P1049" s="738">
        <f t="shared" si="48"/>
        <v>200552.13333333336</v>
      </c>
      <c r="Q1049" s="751">
        <f t="shared" si="49"/>
        <v>201000</v>
      </c>
      <c r="R1049" s="854"/>
      <c r="S1049" s="854"/>
      <c r="T1049" s="854"/>
      <c r="U1049" s="855"/>
      <c r="V1049" s="988"/>
      <c r="W1049" s="1024"/>
      <c r="X1049" s="854"/>
      <c r="Y1049" s="854"/>
      <c r="Z1049" s="854"/>
      <c r="AA1049" s="854"/>
      <c r="AB1049" s="854"/>
      <c r="AC1049" s="854"/>
      <c r="AD1049" s="854"/>
      <c r="AE1049" s="854"/>
      <c r="AF1049" s="854"/>
      <c r="AG1049" s="854"/>
      <c r="AH1049" s="854"/>
      <c r="AI1049" s="854"/>
      <c r="AJ1049" s="854"/>
      <c r="AK1049" s="854"/>
      <c r="AL1049" s="854"/>
      <c r="AM1049" s="854"/>
      <c r="AN1049" s="854"/>
      <c r="AO1049" s="854"/>
      <c r="AP1049" s="854"/>
      <c r="AQ1049" s="854"/>
      <c r="AR1049" s="854"/>
      <c r="AS1049" s="854"/>
      <c r="AT1049" s="854"/>
      <c r="AU1049" s="854"/>
      <c r="AV1049" s="854"/>
      <c r="AW1049" s="854"/>
      <c r="AX1049" s="854"/>
    </row>
    <row r="1050" spans="1:81" s="895" customFormat="1">
      <c r="A1050" s="979" t="s">
        <v>3577</v>
      </c>
      <c r="B1050" s="976" t="s">
        <v>3862</v>
      </c>
      <c r="C1050" s="980" t="s">
        <v>888</v>
      </c>
      <c r="D1050" s="979" t="s">
        <v>1347</v>
      </c>
      <c r="E1050" s="979">
        <v>1650</v>
      </c>
      <c r="F1050" s="979">
        <v>1650</v>
      </c>
      <c r="G1050" s="979">
        <v>1237.5</v>
      </c>
      <c r="H1050" s="979">
        <v>1486.8048099999999</v>
      </c>
      <c r="I1050" s="979">
        <v>0</v>
      </c>
      <c r="J1050" s="979">
        <v>-54</v>
      </c>
      <c r="K1050" s="979">
        <v>1432.8048099999999</v>
      </c>
      <c r="L1050" s="979">
        <v>195.30480999999997</v>
      </c>
      <c r="M1050" s="979">
        <v>0</v>
      </c>
      <c r="N1050" s="979">
        <v>1910.4064133333334</v>
      </c>
      <c r="O1050" s="735">
        <f t="shared" si="50"/>
        <v>260.40641333333338</v>
      </c>
      <c r="P1050" s="738">
        <f t="shared" si="48"/>
        <v>1910406.4133333333</v>
      </c>
      <c r="Q1050" s="751">
        <f t="shared" si="49"/>
        <v>1910000</v>
      </c>
      <c r="R1050" s="853"/>
      <c r="S1050" s="853"/>
      <c r="T1050" s="853"/>
      <c r="U1050" s="853"/>
      <c r="V1050" s="988"/>
      <c r="W1050" s="1024"/>
      <c r="X1050" s="853"/>
      <c r="Y1050" s="853"/>
      <c r="Z1050" s="853"/>
      <c r="AA1050" s="853"/>
      <c r="AB1050" s="853"/>
      <c r="AC1050" s="853"/>
      <c r="AD1050" s="853"/>
      <c r="AE1050" s="853"/>
      <c r="AF1050" s="853"/>
      <c r="AG1050" s="853"/>
      <c r="AH1050" s="853"/>
      <c r="AI1050" s="853"/>
      <c r="AJ1050" s="853"/>
      <c r="AK1050" s="853"/>
      <c r="AL1050" s="853"/>
      <c r="AM1050" s="853"/>
      <c r="AN1050" s="853"/>
      <c r="AO1050" s="853"/>
      <c r="AP1050" s="853"/>
      <c r="AQ1050" s="853"/>
      <c r="AR1050" s="853"/>
      <c r="AS1050" s="853"/>
      <c r="AT1050" s="853"/>
      <c r="AU1050" s="853"/>
      <c r="AV1050" s="853"/>
      <c r="AW1050" s="853"/>
      <c r="AX1050" s="853"/>
    </row>
    <row r="1051" spans="1:81" s="895" customFormat="1">
      <c r="A1051" s="976" t="s">
        <v>3901</v>
      </c>
      <c r="B1051" s="976" t="s">
        <v>1299</v>
      </c>
      <c r="C1051" s="977">
        <v>1999999980</v>
      </c>
      <c r="D1051" s="976" t="s">
        <v>3441</v>
      </c>
      <c r="E1051" s="976">
        <v>0</v>
      </c>
      <c r="F1051" s="976">
        <v>0</v>
      </c>
      <c r="G1051" s="976">
        <v>0</v>
      </c>
      <c r="H1051" s="976">
        <v>0</v>
      </c>
      <c r="I1051" s="976"/>
      <c r="J1051" s="976"/>
      <c r="K1051" s="976">
        <v>0</v>
      </c>
      <c r="L1051" s="978">
        <v>0</v>
      </c>
      <c r="M1051" s="976"/>
      <c r="N1051" s="976">
        <v>0</v>
      </c>
      <c r="O1051" s="735">
        <f t="shared" si="50"/>
        <v>0</v>
      </c>
      <c r="P1051" s="738">
        <f t="shared" si="48"/>
        <v>0</v>
      </c>
      <c r="Q1051" s="751">
        <f t="shared" si="49"/>
        <v>0</v>
      </c>
      <c r="R1051" s="853"/>
      <c r="S1051" s="853"/>
      <c r="T1051" s="853"/>
      <c r="U1051" s="853"/>
      <c r="V1051" s="988"/>
      <c r="W1051" s="1024"/>
      <c r="X1051" s="853"/>
      <c r="Y1051" s="853"/>
      <c r="Z1051" s="853"/>
      <c r="AA1051" s="853"/>
      <c r="AB1051" s="853"/>
      <c r="AC1051" s="853"/>
      <c r="AD1051" s="853"/>
      <c r="AE1051" s="853"/>
      <c r="AF1051" s="853"/>
      <c r="AG1051" s="853"/>
      <c r="AH1051" s="853"/>
      <c r="AI1051" s="853"/>
      <c r="AJ1051" s="853"/>
      <c r="AK1051" s="853"/>
      <c r="AL1051" s="853"/>
      <c r="AM1051" s="853"/>
      <c r="AN1051" s="853"/>
      <c r="AO1051" s="853"/>
      <c r="AP1051" s="853"/>
      <c r="AQ1051" s="853"/>
      <c r="AR1051" s="853"/>
      <c r="AS1051" s="853"/>
      <c r="AT1051" s="853"/>
      <c r="AU1051" s="853"/>
      <c r="AV1051" s="853"/>
      <c r="AW1051" s="853"/>
      <c r="AX1051" s="853"/>
      <c r="AY1051" s="853"/>
      <c r="AZ1051" s="853"/>
      <c r="BA1051" s="853"/>
      <c r="BB1051" s="853"/>
      <c r="BC1051" s="853"/>
      <c r="BD1051" s="853"/>
      <c r="BE1051" s="853"/>
      <c r="BF1051" s="853"/>
      <c r="BG1051" s="853"/>
      <c r="BH1051" s="853"/>
      <c r="BI1051" s="853"/>
      <c r="BJ1051" s="853"/>
      <c r="BK1051" s="853"/>
      <c r="BL1051" s="853"/>
      <c r="BM1051" s="853"/>
      <c r="BN1051" s="853"/>
      <c r="BO1051" s="853"/>
      <c r="BP1051" s="853"/>
      <c r="BQ1051" s="853"/>
      <c r="BR1051" s="853"/>
      <c r="BS1051" s="853"/>
      <c r="BT1051" s="853"/>
      <c r="BU1051" s="853"/>
      <c r="BV1051" s="853"/>
      <c r="BW1051" s="853"/>
      <c r="BX1051" s="853"/>
      <c r="BY1051" s="853"/>
      <c r="BZ1051" s="853"/>
      <c r="CA1051" s="853"/>
      <c r="CB1051" s="853"/>
      <c r="CC1051" s="853"/>
    </row>
    <row r="1052" spans="1:81" s="895" customFormat="1">
      <c r="A1052" s="976" t="s">
        <v>3959</v>
      </c>
      <c r="B1052" s="976" t="s">
        <v>1299</v>
      </c>
      <c r="C1052" s="977">
        <v>1999999997</v>
      </c>
      <c r="D1052" s="976" t="s">
        <v>858</v>
      </c>
      <c r="E1052" s="976">
        <v>250</v>
      </c>
      <c r="F1052" s="976">
        <v>250</v>
      </c>
      <c r="G1052" s="976">
        <v>187.5</v>
      </c>
      <c r="H1052" s="976">
        <v>103.28795</v>
      </c>
      <c r="I1052" s="976"/>
      <c r="J1052" s="1041">
        <v>84</v>
      </c>
      <c r="K1052" s="976">
        <v>187.28795</v>
      </c>
      <c r="L1052" s="978">
        <v>-0.21205000000000496</v>
      </c>
      <c r="M1052" s="976"/>
      <c r="N1052" s="976">
        <v>249.71726666666666</v>
      </c>
      <c r="O1052" s="735">
        <f t="shared" si="50"/>
        <v>-0.28273333333333994</v>
      </c>
      <c r="P1052" s="738">
        <f t="shared" si="48"/>
        <v>249717.26666666666</v>
      </c>
      <c r="Q1052" s="751">
        <f t="shared" si="49"/>
        <v>250000</v>
      </c>
      <c r="R1052" s="853"/>
      <c r="S1052" s="853"/>
      <c r="T1052" s="853"/>
      <c r="U1052" s="853"/>
      <c r="V1052" s="988"/>
      <c r="W1052" s="1024"/>
      <c r="X1052" s="853"/>
      <c r="Y1052" s="853"/>
      <c r="Z1052" s="853"/>
      <c r="AA1052" s="853"/>
      <c r="AB1052" s="853"/>
      <c r="AC1052" s="853"/>
      <c r="AD1052" s="853"/>
      <c r="AE1052" s="853"/>
      <c r="AF1052" s="853"/>
      <c r="AG1052" s="853"/>
      <c r="AH1052" s="853"/>
      <c r="AI1052" s="853"/>
      <c r="AJ1052" s="853"/>
      <c r="AK1052" s="853"/>
      <c r="AL1052" s="853"/>
      <c r="AM1052" s="853"/>
      <c r="AN1052" s="853"/>
      <c r="AO1052" s="853"/>
      <c r="AP1052" s="853"/>
      <c r="AQ1052" s="853"/>
      <c r="AR1052" s="853"/>
      <c r="AS1052" s="853"/>
      <c r="AT1052" s="853"/>
      <c r="AU1052" s="853"/>
      <c r="AV1052" s="853"/>
      <c r="AW1052" s="853"/>
      <c r="AX1052" s="853"/>
    </row>
    <row r="1053" spans="1:81" s="857" customFormat="1" ht="14.25" customHeight="1">
      <c r="A1053" s="976" t="s">
        <v>3960</v>
      </c>
      <c r="B1053" s="976" t="s">
        <v>1299</v>
      </c>
      <c r="C1053" s="977">
        <v>1999999999</v>
      </c>
      <c r="D1053" s="976" t="s">
        <v>3442</v>
      </c>
      <c r="E1053" s="976">
        <v>0</v>
      </c>
      <c r="F1053" s="976">
        <v>0</v>
      </c>
      <c r="G1053" s="976">
        <v>0</v>
      </c>
      <c r="H1053" s="976">
        <v>0</v>
      </c>
      <c r="I1053" s="976"/>
      <c r="J1053" s="976"/>
      <c r="K1053" s="976">
        <v>0</v>
      </c>
      <c r="L1053" s="978">
        <v>0</v>
      </c>
      <c r="M1053" s="976"/>
      <c r="N1053" s="976">
        <v>0</v>
      </c>
      <c r="O1053" s="735">
        <f t="shared" si="50"/>
        <v>0</v>
      </c>
      <c r="P1053" s="738">
        <f t="shared" si="48"/>
        <v>0</v>
      </c>
      <c r="Q1053" s="751">
        <f t="shared" si="49"/>
        <v>0</v>
      </c>
      <c r="R1053" s="747"/>
      <c r="S1053" s="747"/>
      <c r="T1053" s="747"/>
      <c r="U1053" s="747"/>
      <c r="V1053" s="988"/>
      <c r="W1053" s="1024"/>
      <c r="X1053" s="747"/>
      <c r="Y1053" s="747"/>
      <c r="Z1053" s="747"/>
      <c r="AA1053" s="747"/>
      <c r="AB1053" s="747"/>
      <c r="AC1053" s="747"/>
      <c r="AD1053" s="747"/>
      <c r="AE1053" s="747"/>
      <c r="AF1053" s="747"/>
      <c r="AG1053" s="747"/>
      <c r="AH1053" s="747"/>
      <c r="AI1053" s="747"/>
      <c r="AJ1053" s="747"/>
      <c r="AK1053" s="747"/>
      <c r="AL1053" s="747"/>
      <c r="AM1053" s="747"/>
      <c r="AN1053" s="747"/>
      <c r="AO1053" s="747"/>
      <c r="AP1053" s="747"/>
      <c r="AQ1053" s="747"/>
      <c r="AR1053" s="747"/>
      <c r="AS1053" s="747"/>
      <c r="AT1053" s="747"/>
      <c r="AU1053" s="747"/>
      <c r="AV1053" s="747"/>
      <c r="AW1053" s="747"/>
      <c r="AX1053" s="747"/>
    </row>
    <row r="1054" spans="1:81" s="856" customFormat="1" ht="15" customHeight="1">
      <c r="A1054" s="1002" t="s">
        <v>1079</v>
      </c>
      <c r="B1054" s="976" t="s">
        <v>1079</v>
      </c>
      <c r="C1054" s="1003"/>
      <c r="D1054" s="1002" t="s">
        <v>3443</v>
      </c>
      <c r="E1054" s="1002"/>
      <c r="F1054" s="1002"/>
      <c r="G1054" s="1002"/>
      <c r="H1054" s="1002"/>
      <c r="I1054" s="1002"/>
      <c r="J1054" s="1002"/>
      <c r="K1054" s="1002"/>
      <c r="L1054" s="1004"/>
      <c r="M1054" s="1002"/>
      <c r="N1054" s="976"/>
      <c r="O1054" s="735">
        <f t="shared" si="50"/>
        <v>0</v>
      </c>
      <c r="P1054" s="738">
        <f t="shared" si="48"/>
        <v>0</v>
      </c>
      <c r="Q1054" s="751">
        <f t="shared" si="49"/>
        <v>0</v>
      </c>
      <c r="R1054" s="854"/>
      <c r="S1054" s="854"/>
      <c r="T1054" s="854"/>
      <c r="U1054" s="855"/>
      <c r="V1054" s="988"/>
      <c r="W1054" s="1024"/>
      <c r="X1054" s="854"/>
      <c r="Y1054" s="854"/>
      <c r="Z1054" s="854"/>
      <c r="AA1054" s="854"/>
      <c r="AB1054" s="854"/>
      <c r="AC1054" s="854"/>
      <c r="AD1054" s="854"/>
      <c r="AE1054" s="854"/>
      <c r="AF1054" s="854"/>
      <c r="AG1054" s="854"/>
      <c r="AH1054" s="854"/>
      <c r="AI1054" s="854"/>
      <c r="AJ1054" s="854"/>
      <c r="AK1054" s="854"/>
      <c r="AL1054" s="854"/>
      <c r="AM1054" s="854"/>
      <c r="AN1054" s="854"/>
      <c r="AO1054" s="854"/>
      <c r="AP1054" s="854"/>
      <c r="AQ1054" s="854"/>
      <c r="AR1054" s="854"/>
      <c r="AS1054" s="854"/>
      <c r="AT1054" s="854"/>
      <c r="AU1054" s="854"/>
      <c r="AV1054" s="854"/>
      <c r="AW1054" s="854"/>
      <c r="AX1054" s="854"/>
    </row>
    <row r="1055" spans="1:81" s="852" customFormat="1" ht="18" customHeight="1">
      <c r="A1055" s="979" t="s">
        <v>3577</v>
      </c>
      <c r="B1055" s="976" t="s">
        <v>3862</v>
      </c>
      <c r="C1055" s="980" t="s">
        <v>2673</v>
      </c>
      <c r="D1055" s="979" t="s">
        <v>3444</v>
      </c>
      <c r="E1055" s="979">
        <v>250</v>
      </c>
      <c r="F1055" s="979">
        <v>250</v>
      </c>
      <c r="G1055" s="979">
        <v>187.5</v>
      </c>
      <c r="H1055" s="979">
        <v>103.28795</v>
      </c>
      <c r="I1055" s="979">
        <v>0</v>
      </c>
      <c r="J1055" s="979">
        <v>84</v>
      </c>
      <c r="K1055" s="979">
        <v>187.28795</v>
      </c>
      <c r="L1055" s="979">
        <v>-0.21205000000000496</v>
      </c>
      <c r="M1055" s="979">
        <v>0</v>
      </c>
      <c r="N1055" s="979">
        <v>249.71726666666666</v>
      </c>
      <c r="O1055" s="735">
        <f t="shared" si="50"/>
        <v>-0.28273333333333994</v>
      </c>
      <c r="P1055" s="738">
        <f t="shared" si="48"/>
        <v>249717.26666666666</v>
      </c>
      <c r="Q1055" s="751">
        <f t="shared" si="49"/>
        <v>250000</v>
      </c>
      <c r="R1055" s="853"/>
      <c r="S1055" s="853"/>
      <c r="T1055" s="853"/>
      <c r="U1055" s="853"/>
      <c r="V1055" s="988"/>
      <c r="W1055" s="1024"/>
      <c r="X1055" s="853"/>
      <c r="Y1055" s="853"/>
      <c r="Z1055" s="853"/>
      <c r="AA1055" s="853"/>
      <c r="AB1055" s="853"/>
      <c r="AC1055" s="853"/>
      <c r="AD1055" s="853"/>
      <c r="AE1055" s="853"/>
      <c r="AF1055" s="853"/>
      <c r="AG1055" s="853"/>
      <c r="AH1055" s="853"/>
      <c r="AI1055" s="853"/>
      <c r="AJ1055" s="853"/>
      <c r="AK1055" s="853"/>
      <c r="AL1055" s="853"/>
      <c r="AM1055" s="853"/>
      <c r="AN1055" s="853"/>
      <c r="AO1055" s="853"/>
      <c r="AP1055" s="853"/>
      <c r="AQ1055" s="853"/>
      <c r="AR1055" s="853"/>
      <c r="AS1055" s="853"/>
      <c r="AT1055" s="853"/>
      <c r="AU1055" s="853"/>
      <c r="AV1055" s="853"/>
      <c r="AW1055" s="853"/>
      <c r="AX1055" s="853"/>
    </row>
    <row r="1056" spans="1:81" s="857" customFormat="1" ht="14.25" customHeight="1">
      <c r="A1056" s="981" t="s">
        <v>1079</v>
      </c>
      <c r="B1056" s="976" t="s">
        <v>1079</v>
      </c>
      <c r="C1056" s="982"/>
      <c r="D1056" s="981" t="s">
        <v>1476</v>
      </c>
      <c r="E1056" s="981"/>
      <c r="F1056" s="981"/>
      <c r="G1056" s="981"/>
      <c r="H1056" s="981"/>
      <c r="I1056" s="981"/>
      <c r="J1056" s="981"/>
      <c r="K1056" s="981"/>
      <c r="L1056" s="983"/>
      <c r="M1056" s="981"/>
      <c r="N1056" s="981"/>
      <c r="O1056" s="735">
        <f t="shared" si="50"/>
        <v>0</v>
      </c>
      <c r="P1056" s="738">
        <f t="shared" si="48"/>
        <v>0</v>
      </c>
      <c r="Q1056" s="751">
        <f t="shared" si="49"/>
        <v>0</v>
      </c>
      <c r="R1056" s="747"/>
      <c r="S1056" s="747"/>
      <c r="T1056" s="747"/>
      <c r="U1056" s="747"/>
      <c r="V1056" s="988"/>
      <c r="W1056" s="1024"/>
      <c r="X1056" s="747"/>
      <c r="Y1056" s="747"/>
      <c r="Z1056" s="747"/>
      <c r="AA1056" s="747"/>
      <c r="AB1056" s="747"/>
      <c r="AC1056" s="747"/>
      <c r="AD1056" s="747"/>
      <c r="AE1056" s="747"/>
      <c r="AF1056" s="747"/>
      <c r="AG1056" s="747"/>
      <c r="AH1056" s="747"/>
      <c r="AI1056" s="747"/>
      <c r="AJ1056" s="747"/>
      <c r="AK1056" s="747"/>
      <c r="AL1056" s="747"/>
      <c r="AM1056" s="747"/>
      <c r="AN1056" s="747"/>
      <c r="AO1056" s="747"/>
      <c r="AP1056" s="747"/>
      <c r="AQ1056" s="747"/>
      <c r="AR1056" s="747"/>
      <c r="AS1056" s="747"/>
      <c r="AT1056" s="747"/>
      <c r="AU1056" s="747"/>
      <c r="AV1056" s="747"/>
      <c r="AW1056" s="747"/>
      <c r="AX1056" s="747"/>
      <c r="AY1056" s="747"/>
      <c r="AZ1056" s="747"/>
      <c r="BA1056" s="747"/>
      <c r="BB1056" s="747"/>
      <c r="BC1056" s="747"/>
      <c r="BD1056" s="747"/>
      <c r="BE1056" s="747"/>
      <c r="BF1056" s="747"/>
      <c r="BG1056" s="747"/>
      <c r="BH1056" s="747"/>
      <c r="BI1056" s="747"/>
      <c r="BJ1056" s="747"/>
      <c r="BK1056" s="747"/>
      <c r="BL1056" s="747"/>
      <c r="BM1056" s="747"/>
      <c r="BN1056" s="747"/>
      <c r="BO1056" s="747"/>
      <c r="BP1056" s="747"/>
      <c r="BQ1056" s="747"/>
      <c r="BR1056" s="747"/>
      <c r="BS1056" s="747"/>
      <c r="BT1056" s="747"/>
      <c r="BU1056" s="747"/>
      <c r="BV1056" s="747"/>
      <c r="BW1056" s="747"/>
      <c r="BX1056" s="747"/>
      <c r="BY1056" s="747"/>
      <c r="BZ1056" s="747"/>
      <c r="CA1056" s="747"/>
      <c r="CB1056" s="747"/>
      <c r="CC1056" s="747"/>
    </row>
    <row r="1057" spans="1:81" s="747" customFormat="1" ht="14.25" customHeight="1">
      <c r="A1057" s="976" t="s">
        <v>3961</v>
      </c>
      <c r="B1057" s="976" t="s">
        <v>1299</v>
      </c>
      <c r="C1057" s="977">
        <v>1995000860</v>
      </c>
      <c r="D1057" s="976" t="s">
        <v>3445</v>
      </c>
      <c r="E1057" s="976">
        <v>61000</v>
      </c>
      <c r="F1057" s="976">
        <v>61000</v>
      </c>
      <c r="G1057" s="976">
        <v>45750</v>
      </c>
      <c r="H1057" s="976">
        <v>0</v>
      </c>
      <c r="I1057" s="976"/>
      <c r="J1057" s="1041">
        <v>45750</v>
      </c>
      <c r="K1057" s="976">
        <v>45750</v>
      </c>
      <c r="L1057" s="978">
        <v>0</v>
      </c>
      <c r="M1057" s="976"/>
      <c r="N1057" s="976">
        <v>61000</v>
      </c>
      <c r="O1057" s="735">
        <f t="shared" si="50"/>
        <v>0</v>
      </c>
      <c r="P1057" s="738">
        <f t="shared" si="48"/>
        <v>61000000</v>
      </c>
      <c r="Q1057" s="751">
        <f t="shared" si="49"/>
        <v>61000000</v>
      </c>
      <c r="V1057" s="988"/>
      <c r="W1057" s="1024"/>
    </row>
    <row r="1058" spans="1:81" s="856" customFormat="1" ht="15" customHeight="1">
      <c r="A1058" s="976" t="s">
        <v>3962</v>
      </c>
      <c r="B1058" s="976" t="s">
        <v>1197</v>
      </c>
      <c r="C1058" s="977">
        <v>1633000630</v>
      </c>
      <c r="D1058" s="976" t="s">
        <v>3446</v>
      </c>
      <c r="E1058" s="976">
        <v>0</v>
      </c>
      <c r="F1058" s="976">
        <v>0</v>
      </c>
      <c r="G1058" s="976">
        <v>0</v>
      </c>
      <c r="H1058" s="976">
        <v>0</v>
      </c>
      <c r="I1058" s="976"/>
      <c r="J1058" s="976"/>
      <c r="K1058" s="976">
        <v>0</v>
      </c>
      <c r="L1058" s="978">
        <v>0</v>
      </c>
      <c r="M1058" s="976"/>
      <c r="N1058" s="976">
        <v>0</v>
      </c>
      <c r="O1058" s="735">
        <f t="shared" si="50"/>
        <v>0</v>
      </c>
      <c r="P1058" s="738">
        <f t="shared" si="48"/>
        <v>0</v>
      </c>
      <c r="Q1058" s="751">
        <f t="shared" si="49"/>
        <v>0</v>
      </c>
      <c r="R1058" s="854"/>
      <c r="S1058" s="854"/>
      <c r="T1058" s="854"/>
      <c r="U1058" s="855"/>
      <c r="V1058" s="988"/>
      <c r="W1058" s="1024"/>
      <c r="X1058" s="854"/>
      <c r="Y1058" s="854"/>
      <c r="Z1058" s="854"/>
      <c r="AA1058" s="854"/>
      <c r="AB1058" s="854"/>
      <c r="AC1058" s="854"/>
      <c r="AD1058" s="854"/>
      <c r="AE1058" s="854"/>
      <c r="AF1058" s="854"/>
      <c r="AG1058" s="854"/>
      <c r="AH1058" s="854"/>
      <c r="AI1058" s="854"/>
      <c r="AJ1058" s="854"/>
      <c r="AK1058" s="854"/>
      <c r="AL1058" s="854"/>
      <c r="AM1058" s="854"/>
      <c r="AN1058" s="854"/>
      <c r="AO1058" s="854"/>
      <c r="AP1058" s="854"/>
      <c r="AQ1058" s="854"/>
      <c r="AR1058" s="854"/>
      <c r="AS1058" s="854"/>
      <c r="AT1058" s="854"/>
      <c r="AU1058" s="854"/>
      <c r="AV1058" s="854"/>
      <c r="AW1058" s="854"/>
      <c r="AX1058" s="854"/>
    </row>
    <row r="1059" spans="1:81" s="906" customFormat="1" ht="18.75" customHeight="1">
      <c r="A1059" s="979" t="s">
        <v>3577</v>
      </c>
      <c r="B1059" s="976" t="s">
        <v>3862</v>
      </c>
      <c r="C1059" s="980" t="s">
        <v>888</v>
      </c>
      <c r="D1059" s="979" t="s">
        <v>1476</v>
      </c>
      <c r="E1059" s="979">
        <v>61000</v>
      </c>
      <c r="F1059" s="979">
        <v>61000</v>
      </c>
      <c r="G1059" s="979">
        <v>45750</v>
      </c>
      <c r="H1059" s="979">
        <v>0</v>
      </c>
      <c r="I1059" s="979">
        <v>0</v>
      </c>
      <c r="J1059" s="979">
        <v>45750</v>
      </c>
      <c r="K1059" s="979">
        <v>45750</v>
      </c>
      <c r="L1059" s="979">
        <v>0</v>
      </c>
      <c r="M1059" s="979">
        <v>0</v>
      </c>
      <c r="N1059" s="979">
        <v>61000</v>
      </c>
      <c r="O1059" s="735">
        <f t="shared" si="50"/>
        <v>0</v>
      </c>
      <c r="P1059" s="738">
        <f t="shared" si="48"/>
        <v>61000000</v>
      </c>
      <c r="Q1059" s="751">
        <f t="shared" si="49"/>
        <v>61000000</v>
      </c>
      <c r="R1059" s="905"/>
      <c r="S1059" s="905"/>
      <c r="T1059" s="905"/>
      <c r="U1059" s="905"/>
      <c r="V1059" s="988"/>
      <c r="W1059" s="1024"/>
      <c r="X1059" s="905"/>
      <c r="Y1059" s="905"/>
      <c r="Z1059" s="905"/>
      <c r="AA1059" s="905"/>
      <c r="AB1059" s="905"/>
      <c r="AC1059" s="905"/>
      <c r="AD1059" s="905"/>
      <c r="AE1059" s="905"/>
      <c r="AF1059" s="905"/>
      <c r="AG1059" s="905"/>
      <c r="AH1059" s="905"/>
      <c r="AI1059" s="905"/>
      <c r="AJ1059" s="905"/>
      <c r="AK1059" s="905"/>
      <c r="AL1059" s="905"/>
      <c r="AM1059" s="905"/>
      <c r="AN1059" s="905"/>
      <c r="AO1059" s="905"/>
      <c r="AP1059" s="905"/>
      <c r="AQ1059" s="905"/>
      <c r="AR1059" s="905"/>
      <c r="AS1059" s="905"/>
      <c r="AT1059" s="905"/>
      <c r="AU1059" s="905"/>
      <c r="AV1059" s="905"/>
      <c r="AW1059" s="905"/>
      <c r="AX1059" s="905"/>
    </row>
    <row r="1060" spans="1:81" ht="15" customHeight="1" thickBot="1">
      <c r="A1060" s="1007" t="s">
        <v>3577</v>
      </c>
      <c r="B1060" s="976" t="s">
        <v>3862</v>
      </c>
      <c r="C1060" s="1008" t="s">
        <v>888</v>
      </c>
      <c r="D1060" s="1007" t="s">
        <v>1481</v>
      </c>
      <c r="E1060" s="1007">
        <v>790047</v>
      </c>
      <c r="F1060" s="1007">
        <v>793132</v>
      </c>
      <c r="G1060" s="1007">
        <v>592535.25</v>
      </c>
      <c r="H1060" s="1007">
        <v>517768.87892000005</v>
      </c>
      <c r="I1060" s="1007">
        <v>0</v>
      </c>
      <c r="J1060" s="1007">
        <v>73804.045836999983</v>
      </c>
      <c r="K1060" s="1007">
        <v>591572.92475699994</v>
      </c>
      <c r="L1060" s="1007">
        <v>-962.32524300001592</v>
      </c>
      <c r="M1060" s="1007">
        <v>0</v>
      </c>
      <c r="N1060" s="1007">
        <v>788763.899676</v>
      </c>
      <c r="O1060" s="863"/>
      <c r="P1060" s="738">
        <f t="shared" si="48"/>
        <v>788763899.676</v>
      </c>
      <c r="Q1060" s="751">
        <f t="shared" si="49"/>
        <v>788764000</v>
      </c>
      <c r="U1060" s="747"/>
      <c r="V1060" s="988"/>
      <c r="W1060" s="1024"/>
      <c r="AY1060" s="845"/>
      <c r="AZ1060" s="845"/>
      <c r="BA1060" s="845"/>
      <c r="BB1060" s="845"/>
      <c r="BC1060" s="845"/>
      <c r="BD1060" s="845"/>
      <c r="BE1060" s="845"/>
      <c r="BF1060" s="845"/>
      <c r="BG1060" s="845"/>
      <c r="BH1060" s="845"/>
      <c r="BI1060" s="845"/>
      <c r="BJ1060" s="845"/>
      <c r="BK1060" s="845"/>
      <c r="BL1060" s="845"/>
      <c r="BM1060" s="845"/>
      <c r="BN1060" s="845"/>
      <c r="BO1060" s="845"/>
      <c r="BP1060" s="845"/>
      <c r="BQ1060" s="845"/>
      <c r="BR1060" s="845"/>
      <c r="BS1060" s="845"/>
      <c r="BT1060" s="845"/>
      <c r="BU1060" s="845"/>
      <c r="BV1060" s="845"/>
      <c r="BW1060" s="845"/>
      <c r="BX1060" s="845"/>
      <c r="BY1060" s="845"/>
      <c r="BZ1060" s="845"/>
      <c r="CA1060" s="845"/>
      <c r="CB1060" s="845"/>
      <c r="CC1060" s="845"/>
    </row>
    <row r="1061" spans="1:81" ht="17.100000000000001" customHeight="1" thickTop="1">
      <c r="A1061" s="736"/>
      <c r="B1061" s="738" t="s">
        <v>1079</v>
      </c>
      <c r="C1061" s="750"/>
      <c r="D1061" s="751"/>
      <c r="E1061" s="751"/>
      <c r="F1061" s="751"/>
      <c r="G1061" s="751"/>
      <c r="H1061" s="751"/>
      <c r="I1061" s="751"/>
      <c r="J1061" s="751"/>
      <c r="K1061" s="751"/>
      <c r="L1061" s="832"/>
      <c r="M1061" s="751"/>
      <c r="N1061" s="751"/>
      <c r="O1061" s="863"/>
      <c r="P1061" s="738">
        <f t="shared" si="48"/>
        <v>0</v>
      </c>
      <c r="Q1061" s="751">
        <f t="shared" si="49"/>
        <v>0</v>
      </c>
      <c r="U1061" s="747"/>
      <c r="V1061" s="988"/>
      <c r="W1061" s="1024"/>
    </row>
    <row r="1062" spans="1:81" ht="17.100000000000001" customHeight="1">
      <c r="A1062" s="736"/>
      <c r="B1062" s="738" t="s">
        <v>1079</v>
      </c>
      <c r="C1062" s="736"/>
      <c r="D1062" s="747"/>
      <c r="E1062" s="735">
        <v>0</v>
      </c>
      <c r="F1062" s="735">
        <v>0</v>
      </c>
      <c r="H1062" s="735">
        <v>40761.101979999919</v>
      </c>
      <c r="J1062" s="735">
        <v>-40861.778047374988</v>
      </c>
      <c r="K1062" s="735">
        <v>-100.67606737499591</v>
      </c>
      <c r="M1062" s="833" t="s">
        <v>1500</v>
      </c>
      <c r="N1062" s="922">
        <v>-134.23475649999455</v>
      </c>
      <c r="O1062" s="863"/>
      <c r="P1062" s="738">
        <f t="shared" si="48"/>
        <v>-134234.75649999455</v>
      </c>
      <c r="Q1062" s="751">
        <f t="shared" si="49"/>
        <v>-134000</v>
      </c>
      <c r="U1062" s="747"/>
      <c r="V1062" s="988"/>
      <c r="W1062" s="1024"/>
      <c r="AY1062" s="845"/>
      <c r="AZ1062" s="845"/>
      <c r="BA1062" s="845"/>
      <c r="BB1062" s="845"/>
      <c r="BC1062" s="845"/>
      <c r="BD1062" s="845"/>
      <c r="BE1062" s="845"/>
      <c r="BF1062" s="845"/>
      <c r="BG1062" s="845"/>
      <c r="BH1062" s="845"/>
      <c r="BI1062" s="845"/>
      <c r="BJ1062" s="845"/>
      <c r="BK1062" s="845"/>
      <c r="BL1062" s="845"/>
      <c r="BM1062" s="845"/>
      <c r="BN1062" s="845"/>
      <c r="BO1062" s="845"/>
      <c r="BP1062" s="845"/>
      <c r="BQ1062" s="845"/>
      <c r="BR1062" s="845"/>
      <c r="BS1062" s="845"/>
      <c r="BT1062" s="845"/>
      <c r="BU1062" s="845"/>
      <c r="BV1062" s="845"/>
      <c r="BW1062" s="845"/>
      <c r="BX1062" s="845"/>
      <c r="BY1062" s="845"/>
      <c r="BZ1062" s="845"/>
      <c r="CA1062" s="845"/>
      <c r="CB1062" s="845"/>
      <c r="CC1062" s="845"/>
    </row>
    <row r="1063" spans="1:81" ht="17.100000000000001" customHeight="1">
      <c r="A1063" s="736"/>
      <c r="B1063" s="738" t="str">
        <f t="shared" ref="B1063:B1071" si="51">MID(C1063,2,2)</f>
        <v/>
      </c>
      <c r="C1063" s="736"/>
      <c r="D1063" s="747"/>
      <c r="L1063" s="834"/>
      <c r="M1063" s="834"/>
      <c r="N1063" s="907"/>
      <c r="O1063" s="907"/>
      <c r="P1063" s="738">
        <f t="shared" si="48"/>
        <v>0</v>
      </c>
      <c r="Q1063" s="751">
        <f t="shared" si="49"/>
        <v>0</v>
      </c>
      <c r="U1063" s="747"/>
      <c r="V1063" s="988"/>
      <c r="W1063" s="1024"/>
      <c r="AY1063" s="845"/>
      <c r="AZ1063" s="845"/>
      <c r="BA1063" s="845"/>
      <c r="BB1063" s="845"/>
      <c r="BC1063" s="845"/>
      <c r="BD1063" s="845"/>
      <c r="BE1063" s="845"/>
      <c r="BF1063" s="845"/>
      <c r="BG1063" s="845"/>
      <c r="BH1063" s="845"/>
      <c r="BI1063" s="845"/>
      <c r="BJ1063" s="845"/>
      <c r="BK1063" s="845"/>
      <c r="BL1063" s="845"/>
      <c r="BM1063" s="845"/>
      <c r="BN1063" s="845"/>
      <c r="BO1063" s="845"/>
      <c r="BP1063" s="845"/>
      <c r="BQ1063" s="845"/>
      <c r="BR1063" s="845"/>
      <c r="BS1063" s="845"/>
      <c r="BT1063" s="845"/>
      <c r="BU1063" s="845"/>
      <c r="BV1063" s="845"/>
      <c r="BW1063" s="845"/>
      <c r="BX1063" s="845"/>
      <c r="BY1063" s="845"/>
      <c r="BZ1063" s="845"/>
      <c r="CA1063" s="845"/>
      <c r="CB1063" s="845"/>
      <c r="CC1063" s="845"/>
    </row>
    <row r="1064" spans="1:81" ht="17.100000000000001" customHeight="1">
      <c r="A1064" s="923"/>
      <c r="B1064" s="738"/>
      <c r="C1064" s="736"/>
      <c r="D1064" s="736"/>
      <c r="E1064" s="736"/>
      <c r="F1064" s="753"/>
      <c r="G1064" s="753"/>
      <c r="H1064" s="753"/>
      <c r="I1064" s="753"/>
      <c r="O1064" s="908" t="e">
        <f>+M1087-N1087</f>
        <v>#VALUE!</v>
      </c>
      <c r="P1064" s="738">
        <f t="shared" si="48"/>
        <v>0</v>
      </c>
      <c r="Q1064" s="751">
        <f t="shared" si="49"/>
        <v>0</v>
      </c>
      <c r="U1064" s="747"/>
      <c r="V1064" s="988"/>
      <c r="W1064" s="1024"/>
    </row>
    <row r="1065" spans="1:81" ht="17.100000000000001" customHeight="1">
      <c r="A1065" s="923"/>
      <c r="B1065" s="738"/>
      <c r="C1065" s="736"/>
      <c r="D1065" s="736"/>
      <c r="H1065" s="736" t="s">
        <v>3697</v>
      </c>
      <c r="I1065" s="736"/>
      <c r="J1065" s="748">
        <v>20997.267789624999</v>
      </c>
      <c r="K1065" s="748"/>
      <c r="O1065" s="908">
        <f>+M1088-N1088</f>
        <v>2967.9667200000258</v>
      </c>
      <c r="P1065" s="738">
        <f t="shared" si="48"/>
        <v>0</v>
      </c>
      <c r="Q1065" s="751">
        <f t="shared" si="49"/>
        <v>0</v>
      </c>
      <c r="U1065" s="747"/>
      <c r="V1065" s="988"/>
      <c r="W1065" s="1024"/>
    </row>
    <row r="1066" spans="1:81" ht="17.100000000000001" customHeight="1">
      <c r="A1066" s="923"/>
      <c r="B1066" s="738"/>
      <c r="C1066" s="736"/>
      <c r="D1066" s="736"/>
      <c r="H1066" s="736" t="s">
        <v>3698</v>
      </c>
      <c r="I1066" s="736"/>
      <c r="J1066" s="966">
        <v>-51321</v>
      </c>
      <c r="K1066" s="966" t="s">
        <v>3699</v>
      </c>
      <c r="O1066" s="909"/>
      <c r="P1066" s="738">
        <f t="shared" si="48"/>
        <v>0</v>
      </c>
      <c r="Q1066" s="751">
        <f t="shared" si="49"/>
        <v>0</v>
      </c>
      <c r="U1066" s="747"/>
      <c r="V1066" s="988"/>
      <c r="W1066" s="1024"/>
    </row>
    <row r="1067" spans="1:81" ht="17.100000000000001" customHeight="1">
      <c r="A1067" s="923"/>
      <c r="B1067" s="738"/>
      <c r="C1067" s="736"/>
      <c r="D1067" s="736"/>
      <c r="H1067" s="736" t="s">
        <v>3700</v>
      </c>
      <c r="I1067" s="736"/>
      <c r="J1067" s="884">
        <v>63266</v>
      </c>
      <c r="K1067" s="884" t="s">
        <v>3701</v>
      </c>
      <c r="O1067" s="754"/>
      <c r="P1067" s="738">
        <f t="shared" si="48"/>
        <v>0</v>
      </c>
      <c r="Q1067" s="751">
        <f t="shared" si="49"/>
        <v>0</v>
      </c>
      <c r="U1067" s="747"/>
      <c r="V1067" s="988"/>
      <c r="W1067" s="1024"/>
    </row>
    <row r="1068" spans="1:81" ht="17.100000000000001" customHeight="1">
      <c r="A1068" s="923"/>
      <c r="B1068" s="738" t="str">
        <f t="shared" si="51"/>
        <v/>
      </c>
      <c r="C1068" s="736"/>
      <c r="D1068" s="736"/>
      <c r="H1068" s="736" t="s">
        <v>3702</v>
      </c>
      <c r="I1068" s="736"/>
      <c r="J1068" s="836">
        <v>15212</v>
      </c>
      <c r="K1068" s="836" t="s">
        <v>3703</v>
      </c>
      <c r="O1068" s="754"/>
      <c r="P1068" s="738">
        <f t="shared" si="48"/>
        <v>0</v>
      </c>
      <c r="Q1068" s="751">
        <f t="shared" si="49"/>
        <v>0</v>
      </c>
      <c r="U1068" s="747"/>
      <c r="V1068" s="988"/>
      <c r="W1068" s="1024"/>
    </row>
    <row r="1069" spans="1:81" ht="17.100000000000001" customHeight="1">
      <c r="A1069" s="736"/>
      <c r="B1069" s="738" t="str">
        <f t="shared" si="51"/>
        <v/>
      </c>
      <c r="C1069" s="736"/>
      <c r="D1069" s="736"/>
      <c r="H1069" s="736" t="s">
        <v>3704</v>
      </c>
      <c r="I1069" s="736"/>
      <c r="J1069" s="967">
        <v>-89016</v>
      </c>
      <c r="K1069" s="967" t="s">
        <v>3705</v>
      </c>
      <c r="L1069" s="735"/>
      <c r="M1069" s="837"/>
      <c r="N1069" s="837"/>
      <c r="O1069" s="863"/>
      <c r="P1069" s="738">
        <f t="shared" si="48"/>
        <v>0</v>
      </c>
      <c r="Q1069" s="751">
        <f t="shared" si="49"/>
        <v>0</v>
      </c>
      <c r="U1069" s="747"/>
      <c r="V1069" s="988"/>
      <c r="W1069" s="1024"/>
    </row>
    <row r="1070" spans="1:81" ht="17.100000000000001" customHeight="1">
      <c r="A1070" s="736"/>
      <c r="B1070" s="738" t="str">
        <f t="shared" si="51"/>
        <v/>
      </c>
      <c r="C1070" s="736"/>
      <c r="D1070" s="736"/>
      <c r="E1070" s="736"/>
      <c r="G1070" s="838"/>
      <c r="H1070" s="736"/>
      <c r="I1070" s="736"/>
      <c r="J1070" s="838">
        <v>-40861.732210375005</v>
      </c>
      <c r="K1070" s="753"/>
      <c r="L1070" s="754"/>
      <c r="M1070" s="753"/>
      <c r="N1070" s="736"/>
      <c r="O1070" s="863"/>
      <c r="P1070" s="738">
        <f t="shared" si="48"/>
        <v>0</v>
      </c>
      <c r="Q1070" s="751">
        <f t="shared" si="49"/>
        <v>0</v>
      </c>
      <c r="U1070" s="747"/>
      <c r="V1070" s="988"/>
      <c r="W1070" s="1024"/>
      <c r="AY1070" s="845"/>
      <c r="AZ1070" s="845"/>
      <c r="BA1070" s="845"/>
      <c r="BB1070" s="845"/>
      <c r="BC1070" s="845"/>
      <c r="BD1070" s="845"/>
      <c r="BE1070" s="845"/>
      <c r="BF1070" s="845"/>
      <c r="BG1070" s="845"/>
      <c r="BH1070" s="845"/>
      <c r="BI1070" s="845"/>
      <c r="BJ1070" s="845"/>
      <c r="BK1070" s="845"/>
      <c r="BL1070" s="845"/>
      <c r="BM1070" s="845"/>
      <c r="BN1070" s="845"/>
      <c r="BO1070" s="845"/>
      <c r="BP1070" s="845"/>
      <c r="BQ1070" s="845"/>
      <c r="BR1070" s="845"/>
      <c r="BS1070" s="845"/>
      <c r="BT1070" s="845"/>
      <c r="BU1070" s="845"/>
      <c r="BV1070" s="845"/>
      <c r="BW1070" s="845"/>
      <c r="BX1070" s="845"/>
      <c r="BY1070" s="845"/>
      <c r="BZ1070" s="845"/>
      <c r="CA1070" s="845"/>
      <c r="CB1070" s="845"/>
      <c r="CC1070" s="845"/>
    </row>
    <row r="1071" spans="1:81">
      <c r="B1071" s="738" t="str">
        <f t="shared" si="51"/>
        <v/>
      </c>
      <c r="C1071" s="736"/>
      <c r="D1071" s="736"/>
      <c r="E1071" s="736"/>
      <c r="F1071" s="838"/>
      <c r="G1071" s="838"/>
      <c r="H1071" s="736"/>
      <c r="I1071" s="736"/>
      <c r="J1071" s="838"/>
      <c r="K1071" s="753"/>
      <c r="L1071" s="754"/>
      <c r="M1071" s="753"/>
      <c r="N1071" s="753"/>
      <c r="O1071" s="863"/>
      <c r="P1071" s="738">
        <f t="shared" si="48"/>
        <v>0</v>
      </c>
      <c r="Q1071" s="751">
        <f t="shared" si="49"/>
        <v>0</v>
      </c>
      <c r="U1071" s="747"/>
      <c r="V1071" s="988"/>
      <c r="W1071" s="1024"/>
      <c r="AY1071" s="845"/>
      <c r="AZ1071" s="845"/>
      <c r="BA1071" s="845"/>
      <c r="BB1071" s="845"/>
      <c r="BC1071" s="845"/>
      <c r="BD1071" s="845"/>
      <c r="BE1071" s="845"/>
      <c r="BF1071" s="845"/>
      <c r="BG1071" s="845"/>
      <c r="BH1071" s="845"/>
      <c r="BI1071" s="845"/>
      <c r="BJ1071" s="845"/>
      <c r="BK1071" s="845"/>
      <c r="BL1071" s="845"/>
      <c r="BM1071" s="845"/>
      <c r="BN1071" s="845"/>
      <c r="BO1071" s="845"/>
      <c r="BP1071" s="845"/>
      <c r="BQ1071" s="845"/>
      <c r="BR1071" s="845"/>
      <c r="BS1071" s="845"/>
      <c r="BT1071" s="845"/>
      <c r="BU1071" s="845"/>
      <c r="BV1071" s="845"/>
      <c r="BW1071" s="845"/>
      <c r="BX1071" s="845"/>
      <c r="BY1071" s="845"/>
      <c r="BZ1071" s="845"/>
      <c r="CA1071" s="845"/>
      <c r="CB1071" s="845"/>
      <c r="CC1071" s="845"/>
    </row>
    <row r="1072" spans="1:81">
      <c r="C1072" s="736"/>
      <c r="D1072" s="736"/>
      <c r="J1072" s="735">
        <v>4.5836999983293936E-2</v>
      </c>
      <c r="P1072" s="738">
        <f t="shared" si="48"/>
        <v>0</v>
      </c>
      <c r="Q1072" s="751">
        <f t="shared" si="49"/>
        <v>0</v>
      </c>
      <c r="U1072" s="747"/>
      <c r="V1072" s="988"/>
      <c r="W1072" s="1024"/>
      <c r="AY1072" s="845"/>
      <c r="AZ1072" s="845"/>
      <c r="BA1072" s="845"/>
      <c r="BB1072" s="845"/>
      <c r="BC1072" s="845"/>
      <c r="BD1072" s="845"/>
      <c r="BE1072" s="845"/>
      <c r="BF1072" s="845"/>
      <c r="BG1072" s="845"/>
      <c r="BH1072" s="845"/>
      <c r="BI1072" s="845"/>
      <c r="BJ1072" s="845"/>
      <c r="BK1072" s="845"/>
      <c r="BL1072" s="845"/>
      <c r="BM1072" s="845"/>
      <c r="BN1072" s="845"/>
      <c r="BO1072" s="845"/>
      <c r="BP1072" s="845"/>
      <c r="BQ1072" s="845"/>
      <c r="BR1072" s="845"/>
      <c r="BS1072" s="845"/>
      <c r="BT1072" s="845"/>
      <c r="BU1072" s="845"/>
      <c r="BV1072" s="845"/>
      <c r="BW1072" s="845"/>
      <c r="BX1072" s="845"/>
      <c r="BY1072" s="845"/>
      <c r="BZ1072" s="845"/>
      <c r="CA1072" s="845"/>
      <c r="CB1072" s="845"/>
      <c r="CC1072" s="845"/>
    </row>
    <row r="1073" spans="4:81">
      <c r="E1073" s="735">
        <v>4641283.3669999987</v>
      </c>
      <c r="N1073" s="735">
        <v>4644460.7671473408</v>
      </c>
      <c r="P1073" s="738">
        <f t="shared" si="48"/>
        <v>4644460767.1473408</v>
      </c>
      <c r="Q1073" s="751">
        <f t="shared" si="49"/>
        <v>4644461000</v>
      </c>
      <c r="U1073" s="747"/>
      <c r="V1073" s="988"/>
      <c r="W1073" s="1024"/>
      <c r="AY1073" s="845"/>
      <c r="AZ1073" s="845"/>
      <c r="BA1073" s="845"/>
      <c r="BB1073" s="845"/>
      <c r="BC1073" s="845"/>
      <c r="BD1073" s="845"/>
      <c r="BE1073" s="845"/>
      <c r="BF1073" s="845"/>
      <c r="BG1073" s="845"/>
      <c r="BH1073" s="845"/>
      <c r="BI1073" s="845"/>
      <c r="BJ1073" s="845"/>
      <c r="BK1073" s="845"/>
      <c r="BL1073" s="845"/>
      <c r="BM1073" s="845"/>
      <c r="BN1073" s="845"/>
      <c r="BO1073" s="845"/>
      <c r="BP1073" s="845"/>
      <c r="BQ1073" s="845"/>
      <c r="BR1073" s="845"/>
      <c r="BS1073" s="845"/>
      <c r="BT1073" s="845"/>
      <c r="BU1073" s="845"/>
      <c r="BV1073" s="845"/>
      <c r="BW1073" s="845"/>
      <c r="BX1073" s="845"/>
      <c r="BY1073" s="845"/>
      <c r="BZ1073" s="845"/>
      <c r="CA1073" s="845"/>
      <c r="CB1073" s="845"/>
      <c r="CC1073" s="845"/>
    </row>
    <row r="1074" spans="4:81">
      <c r="N1074" s="735">
        <v>304358</v>
      </c>
      <c r="P1074" s="738">
        <f t="shared" si="48"/>
        <v>304358000</v>
      </c>
      <c r="Q1074" s="751">
        <f t="shared" si="49"/>
        <v>304358000</v>
      </c>
      <c r="U1074" s="747"/>
      <c r="V1074" s="988"/>
      <c r="W1074" s="1024"/>
      <c r="AY1074" s="845"/>
      <c r="AZ1074" s="845"/>
      <c r="BA1074" s="845"/>
      <c r="BB1074" s="845"/>
      <c r="BC1074" s="845"/>
      <c r="BD1074" s="845"/>
      <c r="BE1074" s="845"/>
      <c r="BF1074" s="845"/>
      <c r="BG1074" s="845"/>
      <c r="BH1074" s="845"/>
      <c r="BI1074" s="845"/>
      <c r="BJ1074" s="845"/>
      <c r="BK1074" s="845"/>
      <c r="BL1074" s="845"/>
      <c r="BM1074" s="845"/>
      <c r="BN1074" s="845"/>
      <c r="BO1074" s="845"/>
      <c r="BP1074" s="845"/>
      <c r="BQ1074" s="845"/>
      <c r="BR1074" s="845"/>
      <c r="BS1074" s="845"/>
      <c r="BT1074" s="845"/>
      <c r="BU1074" s="845"/>
      <c r="BV1074" s="845"/>
      <c r="BW1074" s="845"/>
      <c r="BX1074" s="845"/>
      <c r="BY1074" s="845"/>
      <c r="BZ1074" s="845"/>
      <c r="CA1074" s="845"/>
      <c r="CB1074" s="845"/>
      <c r="CC1074" s="845"/>
    </row>
    <row r="1075" spans="4:81">
      <c r="N1075" s="735">
        <v>-4340102.7671473408</v>
      </c>
      <c r="P1075" s="738">
        <f t="shared" si="48"/>
        <v>-4340102767.1473408</v>
      </c>
      <c r="Q1075" s="751">
        <f t="shared" si="49"/>
        <v>-4340103000</v>
      </c>
      <c r="U1075" s="747"/>
      <c r="V1075" s="988"/>
      <c r="W1075" s="1024"/>
      <c r="AY1075" s="845"/>
      <c r="AZ1075" s="845"/>
      <c r="BA1075" s="845"/>
      <c r="BB1075" s="845"/>
      <c r="BC1075" s="845"/>
      <c r="BD1075" s="845"/>
      <c r="BE1075" s="845"/>
      <c r="BF1075" s="845"/>
      <c r="BG1075" s="845"/>
      <c r="BH1075" s="845"/>
      <c r="BI1075" s="845"/>
      <c r="BJ1075" s="845"/>
      <c r="BK1075" s="845"/>
      <c r="BL1075" s="845"/>
      <c r="BM1075" s="845"/>
      <c r="BN1075" s="845"/>
      <c r="BO1075" s="845"/>
      <c r="BP1075" s="845"/>
      <c r="BQ1075" s="845"/>
      <c r="BR1075" s="845"/>
      <c r="BS1075" s="845"/>
      <c r="BT1075" s="845"/>
      <c r="BU1075" s="845"/>
      <c r="BV1075" s="845"/>
      <c r="BW1075" s="845"/>
      <c r="BX1075" s="845"/>
      <c r="BY1075" s="845"/>
      <c r="BZ1075" s="845"/>
      <c r="CA1075" s="845"/>
      <c r="CB1075" s="845"/>
      <c r="CC1075" s="845"/>
    </row>
    <row r="1076" spans="4:81">
      <c r="N1076" s="735">
        <v>-1085025.6917868352</v>
      </c>
      <c r="O1076" s="735">
        <f>SUBTOTAL(9,O58:O898)</f>
        <v>-37913.023106000182</v>
      </c>
    </row>
    <row r="1077" spans="4:81">
      <c r="F1077" s="735">
        <v>3222582.3669999996</v>
      </c>
      <c r="H1077" s="735">
        <v>2194560.1734099989</v>
      </c>
      <c r="J1077" s="735">
        <v>253895.70866949996</v>
      </c>
      <c r="N1077" s="735">
        <v>3172329.3438939997</v>
      </c>
    </row>
    <row r="1078" spans="4:81">
      <c r="D1078" s="751"/>
      <c r="E1078" s="751"/>
      <c r="F1078" s="751"/>
      <c r="G1078" s="751"/>
      <c r="H1078" s="751"/>
      <c r="I1078" s="751"/>
      <c r="J1078" s="751"/>
      <c r="K1078" s="751"/>
      <c r="L1078" s="839"/>
    </row>
    <row r="1079" spans="4:81">
      <c r="D1079" s="751"/>
      <c r="E1079" s="751"/>
      <c r="F1079" s="751"/>
      <c r="G1079" s="751"/>
      <c r="H1079" s="751"/>
      <c r="I1079" s="751"/>
      <c r="J1079" s="751"/>
      <c r="K1079" s="751"/>
      <c r="L1079" s="832"/>
    </row>
    <row r="1080" spans="4:81">
      <c r="D1080" s="755"/>
      <c r="E1080" s="751">
        <v>98897.785000000003</v>
      </c>
      <c r="F1080" s="751">
        <v>95929.818279999978</v>
      </c>
      <c r="G1080" s="751">
        <v>-2967.9667200000258</v>
      </c>
      <c r="H1080" s="751"/>
      <c r="I1080" s="751"/>
      <c r="J1080" s="751"/>
      <c r="K1080" s="751"/>
      <c r="L1080" s="832"/>
    </row>
    <row r="1081" spans="4:81">
      <c r="D1081" s="751"/>
      <c r="E1081" s="751">
        <v>135923.4</v>
      </c>
      <c r="F1081" s="751">
        <v>131891.5657193333</v>
      </c>
      <c r="G1081" s="751">
        <v>-4031.8342806666915</v>
      </c>
      <c r="H1081" s="751"/>
      <c r="I1081" s="751"/>
      <c r="J1081" s="751"/>
      <c r="K1081" s="751"/>
      <c r="L1081" s="832"/>
    </row>
    <row r="1084" spans="4:81">
      <c r="E1084" s="735">
        <v>239.78500000000008</v>
      </c>
      <c r="N1084" s="735">
        <v>-986989.7352933333</v>
      </c>
    </row>
    <row r="1086" spans="4:81">
      <c r="P1086" s="840"/>
    </row>
    <row r="1087" spans="4:81">
      <c r="L1087" s="735"/>
      <c r="M1087" s="840" t="s">
        <v>3706</v>
      </c>
      <c r="N1087" s="840" t="s">
        <v>3707</v>
      </c>
      <c r="P1087" s="842"/>
    </row>
    <row r="1088" spans="4:81">
      <c r="L1088" s="841" t="s">
        <v>2996</v>
      </c>
      <c r="M1088" s="842">
        <v>98897.785000000003</v>
      </c>
      <c r="N1088" s="842">
        <v>95929.818279999978</v>
      </c>
      <c r="P1088" s="843"/>
    </row>
    <row r="1089" spans="12:16">
      <c r="L1089" s="841" t="s">
        <v>1481</v>
      </c>
      <c r="M1089" s="843">
        <v>135923.4</v>
      </c>
      <c r="N1089" s="843">
        <v>131891.5657193333</v>
      </c>
    </row>
    <row r="1090" spans="12:16">
      <c r="L1090" s="735"/>
      <c r="M1090" s="735">
        <v>37025.614999999991</v>
      </c>
      <c r="N1090" s="735">
        <v>35961.747439333325</v>
      </c>
      <c r="P1090" s="837"/>
    </row>
    <row r="1091" spans="12:16">
      <c r="L1091" s="735"/>
      <c r="M1091" s="837">
        <v>0.72759940525325295</v>
      </c>
      <c r="N1091" s="837">
        <v>0.72733853568877693</v>
      </c>
    </row>
  </sheetData>
  <autoFilter ref="A5:IF1075"/>
  <pageMargins left="0.23622047244094491" right="0.23622047244094491" top="0.74803149606299213" bottom="0.74803149606299213" header="0.31496062992125984" footer="0.31496062992125984"/>
  <pageSetup paperSize="9" scale="10" orientation="landscape" r:id="rId1"/>
  <headerFooter>
    <oddHeader>עמוד &amp;P</oddHeader>
  </headerFooter>
  <rowBreaks count="10" manualBreakCount="10">
    <brk id="80" max="16383" man="1"/>
    <brk id="269" max="13" man="1"/>
    <brk id="323" max="13" man="1"/>
    <brk id="370" max="13" man="1"/>
    <brk id="635" max="13" man="1"/>
    <brk id="720" max="13" man="1"/>
    <brk id="847" max="13" man="1"/>
    <brk id="936" max="13" man="1"/>
    <brk id="994" max="16383" man="1"/>
    <brk id="1037" max="13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I343"/>
  <sheetViews>
    <sheetView rightToLeft="1" view="pageBreakPreview" topLeftCell="A309" zoomScaleNormal="100" zoomScaleSheetLayoutView="100" workbookViewId="0">
      <selection activeCell="J344" sqref="J344"/>
    </sheetView>
  </sheetViews>
  <sheetFormatPr defaultRowHeight="14.25"/>
  <cols>
    <col min="1" max="1" width="9" style="566"/>
    <col min="2" max="2" width="13.625" style="566" bestFit="1" customWidth="1"/>
    <col min="3" max="3" width="9" style="566"/>
    <col min="4" max="4" width="9" style="162"/>
  </cols>
  <sheetData>
    <row r="1" spans="1:9" s="566" customFormat="1" ht="18">
      <c r="B1" s="1120" t="s">
        <v>2179</v>
      </c>
      <c r="C1" s="1120"/>
      <c r="D1" s="1120"/>
      <c r="E1" s="1120"/>
      <c r="F1" s="1120"/>
      <c r="G1" s="1120"/>
      <c r="H1" s="1120"/>
    </row>
    <row r="2" spans="1:9">
      <c r="A2"/>
      <c r="B2"/>
      <c r="C2"/>
      <c r="D2"/>
    </row>
    <row r="3" spans="1:9" s="566" customFormat="1">
      <c r="D3" s="162"/>
    </row>
    <row r="4" spans="1:9" ht="15">
      <c r="A4" s="949" t="s">
        <v>3466</v>
      </c>
      <c r="B4" s="949" t="s">
        <v>1545</v>
      </c>
      <c r="C4" s="949" t="s">
        <v>1546</v>
      </c>
      <c r="D4" s="949" t="s">
        <v>1547</v>
      </c>
      <c r="F4" s="949" t="s">
        <v>3466</v>
      </c>
      <c r="G4" s="949" t="s">
        <v>1545</v>
      </c>
      <c r="H4" s="949" t="s">
        <v>1546</v>
      </c>
      <c r="I4" s="949" t="s">
        <v>1547</v>
      </c>
    </row>
    <row r="5" spans="1:9">
      <c r="A5" s="947">
        <v>1</v>
      </c>
      <c r="B5" s="948" t="s">
        <v>2169</v>
      </c>
      <c r="C5" s="948" t="s">
        <v>2170</v>
      </c>
      <c r="D5" s="947">
        <v>61.58</v>
      </c>
      <c r="F5" s="947">
        <v>321</v>
      </c>
      <c r="G5" s="948" t="s">
        <v>2077</v>
      </c>
      <c r="H5" s="948" t="s">
        <v>2078</v>
      </c>
      <c r="I5" s="947">
        <v>53.3</v>
      </c>
    </row>
    <row r="6" spans="1:9">
      <c r="A6" s="947">
        <v>2</v>
      </c>
      <c r="B6" s="948" t="s">
        <v>1640</v>
      </c>
      <c r="C6" s="948" t="s">
        <v>1551</v>
      </c>
      <c r="D6" s="947">
        <v>40.200000000000003</v>
      </c>
      <c r="F6" s="947">
        <v>322</v>
      </c>
      <c r="G6" s="948" t="s">
        <v>1685</v>
      </c>
      <c r="H6" s="948" t="s">
        <v>2023</v>
      </c>
      <c r="I6" s="947">
        <v>36.369999999999997</v>
      </c>
    </row>
    <row r="7" spans="1:9">
      <c r="A7" s="947">
        <v>3</v>
      </c>
      <c r="B7" s="948" t="s">
        <v>1640</v>
      </c>
      <c r="C7" s="948" t="s">
        <v>1858</v>
      </c>
      <c r="D7" s="947">
        <v>59.11</v>
      </c>
      <c r="F7" s="947">
        <v>323</v>
      </c>
      <c r="G7" s="948" t="s">
        <v>1947</v>
      </c>
      <c r="H7" s="948" t="s">
        <v>1920</v>
      </c>
      <c r="I7" s="947">
        <v>62.99</v>
      </c>
    </row>
    <row r="8" spans="1:9">
      <c r="A8" s="947">
        <v>4</v>
      </c>
      <c r="B8" s="948" t="s">
        <v>2374</v>
      </c>
      <c r="C8" s="948" t="s">
        <v>1606</v>
      </c>
      <c r="D8" s="947">
        <v>70</v>
      </c>
      <c r="F8" s="947">
        <v>324</v>
      </c>
      <c r="G8" s="948" t="s">
        <v>1956</v>
      </c>
      <c r="H8" s="948" t="s">
        <v>1806</v>
      </c>
      <c r="I8" s="947">
        <v>54.17</v>
      </c>
    </row>
    <row r="9" spans="1:9">
      <c r="A9" s="947">
        <v>5</v>
      </c>
      <c r="B9" s="948" t="s">
        <v>2030</v>
      </c>
      <c r="C9" s="948" t="s">
        <v>1584</v>
      </c>
      <c r="D9" s="947">
        <v>70</v>
      </c>
      <c r="F9" s="947">
        <v>325</v>
      </c>
      <c r="G9" s="948" t="s">
        <v>2018</v>
      </c>
      <c r="H9" s="948" t="s">
        <v>1862</v>
      </c>
      <c r="I9" s="947">
        <v>39.85</v>
      </c>
    </row>
    <row r="10" spans="1:9">
      <c r="A10" s="947">
        <v>6</v>
      </c>
      <c r="B10" s="948" t="s">
        <v>2030</v>
      </c>
      <c r="C10" s="948" t="s">
        <v>2081</v>
      </c>
      <c r="D10" s="947">
        <v>53</v>
      </c>
      <c r="F10" s="947">
        <v>326</v>
      </c>
      <c r="G10" s="948" t="s">
        <v>1404</v>
      </c>
      <c r="H10" s="948" t="s">
        <v>2136</v>
      </c>
      <c r="I10" s="947">
        <v>65</v>
      </c>
    </row>
    <row r="11" spans="1:9">
      <c r="A11" s="947">
        <v>7</v>
      </c>
      <c r="B11" s="948" t="s">
        <v>2375</v>
      </c>
      <c r="C11" s="948" t="s">
        <v>2376</v>
      </c>
      <c r="D11" s="947">
        <v>70</v>
      </c>
      <c r="F11" s="947">
        <v>327</v>
      </c>
      <c r="G11" s="948" t="s">
        <v>1975</v>
      </c>
      <c r="H11" s="948" t="s">
        <v>1976</v>
      </c>
      <c r="I11" s="947">
        <v>70</v>
      </c>
    </row>
    <row r="12" spans="1:9">
      <c r="A12" s="947">
        <v>8</v>
      </c>
      <c r="B12" s="948" t="s">
        <v>2086</v>
      </c>
      <c r="C12" s="948" t="s">
        <v>2087</v>
      </c>
      <c r="D12" s="947">
        <v>67</v>
      </c>
      <c r="F12" s="947">
        <v>328</v>
      </c>
      <c r="G12" s="948" t="s">
        <v>1696</v>
      </c>
      <c r="H12" s="948" t="s">
        <v>1697</v>
      </c>
      <c r="I12" s="947">
        <v>30.34</v>
      </c>
    </row>
    <row r="13" spans="1:9">
      <c r="A13" s="947">
        <v>9</v>
      </c>
      <c r="B13" s="948" t="s">
        <v>2096</v>
      </c>
      <c r="C13" s="948" t="s">
        <v>2097</v>
      </c>
      <c r="D13" s="947">
        <v>70</v>
      </c>
      <c r="F13" s="947">
        <v>329</v>
      </c>
      <c r="G13" s="948" t="s">
        <v>1696</v>
      </c>
      <c r="H13" s="948" t="s">
        <v>1862</v>
      </c>
      <c r="I13" s="947">
        <v>47.33</v>
      </c>
    </row>
    <row r="14" spans="1:9">
      <c r="A14" s="947">
        <v>10</v>
      </c>
      <c r="B14" s="948" t="s">
        <v>2075</v>
      </c>
      <c r="C14" s="948" t="s">
        <v>2076</v>
      </c>
      <c r="D14" s="947">
        <v>50.67</v>
      </c>
      <c r="F14" s="947">
        <v>330</v>
      </c>
      <c r="G14" s="948" t="s">
        <v>1696</v>
      </c>
      <c r="H14" s="948" t="s">
        <v>1865</v>
      </c>
      <c r="I14" s="947">
        <v>41.69</v>
      </c>
    </row>
    <row r="15" spans="1:9">
      <c r="A15" s="947">
        <v>11</v>
      </c>
      <c r="B15" s="948" t="s">
        <v>1566</v>
      </c>
      <c r="C15" s="948" t="s">
        <v>1741</v>
      </c>
      <c r="D15" s="947">
        <v>39.700000000000003</v>
      </c>
      <c r="F15" s="947">
        <v>331</v>
      </c>
      <c r="G15" s="948" t="s">
        <v>1584</v>
      </c>
      <c r="H15" s="948" t="s">
        <v>1767</v>
      </c>
      <c r="I15" s="947">
        <v>65.569999999999993</v>
      </c>
    </row>
    <row r="16" spans="1:9">
      <c r="A16" s="947">
        <v>12</v>
      </c>
      <c r="B16" s="948" t="s">
        <v>1566</v>
      </c>
      <c r="C16" s="948" t="s">
        <v>1720</v>
      </c>
      <c r="D16" s="947">
        <v>62.81</v>
      </c>
      <c r="F16" s="947">
        <v>332</v>
      </c>
      <c r="G16" s="948" t="s">
        <v>1584</v>
      </c>
      <c r="H16" s="948" t="s">
        <v>1687</v>
      </c>
      <c r="I16" s="947">
        <v>49.8</v>
      </c>
    </row>
    <row r="17" spans="1:9">
      <c r="A17" s="947">
        <v>13</v>
      </c>
      <c r="B17" s="948" t="s">
        <v>1566</v>
      </c>
      <c r="C17" s="948" t="s">
        <v>1981</v>
      </c>
      <c r="D17" s="947">
        <v>50.07</v>
      </c>
      <c r="F17" s="947">
        <v>333</v>
      </c>
      <c r="G17" s="948" t="s">
        <v>1584</v>
      </c>
      <c r="H17" s="948" t="s">
        <v>2103</v>
      </c>
      <c r="I17" s="947">
        <v>46.33</v>
      </c>
    </row>
    <row r="18" spans="1:9">
      <c r="A18" s="947">
        <v>14</v>
      </c>
      <c r="B18" s="948" t="s">
        <v>2377</v>
      </c>
      <c r="C18" s="948" t="s">
        <v>2022</v>
      </c>
      <c r="D18" s="947">
        <v>9.67</v>
      </c>
      <c r="F18" s="947">
        <v>334</v>
      </c>
      <c r="G18" s="948" t="s">
        <v>1612</v>
      </c>
      <c r="H18" s="948" t="s">
        <v>1613</v>
      </c>
      <c r="I18" s="947">
        <v>61.33</v>
      </c>
    </row>
    <row r="19" spans="1:9">
      <c r="A19" s="947">
        <v>15</v>
      </c>
      <c r="B19" s="948" t="s">
        <v>2171</v>
      </c>
      <c r="C19" s="948" t="s">
        <v>1859</v>
      </c>
      <c r="D19" s="947">
        <v>34.4</v>
      </c>
      <c r="F19" s="947">
        <v>335</v>
      </c>
      <c r="G19" s="948" t="s">
        <v>1612</v>
      </c>
      <c r="H19" s="948" t="s">
        <v>1584</v>
      </c>
      <c r="I19" s="947">
        <v>58.04</v>
      </c>
    </row>
    <row r="20" spans="1:9">
      <c r="A20" s="947">
        <v>16</v>
      </c>
      <c r="B20" s="948" t="s">
        <v>1816</v>
      </c>
      <c r="C20" s="948" t="s">
        <v>1683</v>
      </c>
      <c r="D20" s="947">
        <v>61.32</v>
      </c>
      <c r="F20" s="947">
        <v>336</v>
      </c>
      <c r="G20" s="948" t="s">
        <v>2110</v>
      </c>
      <c r="H20" s="948" t="s">
        <v>2111</v>
      </c>
      <c r="I20" s="947">
        <v>60</v>
      </c>
    </row>
    <row r="21" spans="1:9">
      <c r="A21" s="947">
        <v>17</v>
      </c>
      <c r="B21" s="948" t="s">
        <v>2009</v>
      </c>
      <c r="C21" s="948" t="s">
        <v>1739</v>
      </c>
      <c r="D21" s="947">
        <v>15.73</v>
      </c>
      <c r="F21" s="947">
        <v>337</v>
      </c>
      <c r="G21" s="948" t="s">
        <v>2389</v>
      </c>
      <c r="H21" s="948" t="s">
        <v>1592</v>
      </c>
      <c r="I21" s="947">
        <v>52.84</v>
      </c>
    </row>
    <row r="22" spans="1:9">
      <c r="A22" s="947">
        <v>18</v>
      </c>
      <c r="B22" s="948" t="s">
        <v>1760</v>
      </c>
      <c r="C22" s="948" t="s">
        <v>1761</v>
      </c>
      <c r="D22" s="947">
        <v>44.31</v>
      </c>
      <c r="F22" s="947">
        <v>338</v>
      </c>
      <c r="G22" s="948" t="s">
        <v>2017</v>
      </c>
      <c r="H22" s="948" t="s">
        <v>1617</v>
      </c>
      <c r="I22" s="947">
        <v>18</v>
      </c>
    </row>
    <row r="23" spans="1:9">
      <c r="A23" s="947">
        <v>19</v>
      </c>
      <c r="B23" s="948" t="s">
        <v>1792</v>
      </c>
      <c r="C23" s="948" t="s">
        <v>1678</v>
      </c>
      <c r="D23" s="947">
        <v>43</v>
      </c>
      <c r="F23" s="947">
        <v>339</v>
      </c>
      <c r="G23" s="948" t="s">
        <v>2017</v>
      </c>
      <c r="H23" s="948" t="s">
        <v>1617</v>
      </c>
      <c r="I23" s="947">
        <v>18.489999999999998</v>
      </c>
    </row>
    <row r="24" spans="1:9">
      <c r="A24" s="947">
        <v>20</v>
      </c>
      <c r="B24" s="948" t="s">
        <v>1667</v>
      </c>
      <c r="C24" s="948" t="s">
        <v>1717</v>
      </c>
      <c r="D24" s="947">
        <v>57.67</v>
      </c>
      <c r="F24" s="947">
        <v>340</v>
      </c>
      <c r="G24" s="948" t="s">
        <v>2017</v>
      </c>
      <c r="H24" s="948" t="s">
        <v>1617</v>
      </c>
      <c r="I24" s="947">
        <v>100</v>
      </c>
    </row>
    <row r="25" spans="1:9">
      <c r="A25" s="947">
        <v>21</v>
      </c>
      <c r="B25" s="948" t="s">
        <v>2109</v>
      </c>
      <c r="C25" s="948" t="s">
        <v>1848</v>
      </c>
      <c r="D25" s="947">
        <v>17</v>
      </c>
      <c r="F25" s="947">
        <v>341</v>
      </c>
      <c r="G25" s="948" t="s">
        <v>1898</v>
      </c>
      <c r="H25" s="948" t="s">
        <v>1899</v>
      </c>
      <c r="I25" s="947">
        <v>40</v>
      </c>
    </row>
    <row r="26" spans="1:9">
      <c r="A26" s="947">
        <v>22</v>
      </c>
      <c r="B26" s="948" t="s">
        <v>2109</v>
      </c>
      <c r="C26" s="948" t="s">
        <v>2126</v>
      </c>
      <c r="D26" s="947">
        <v>70</v>
      </c>
      <c r="F26" s="947">
        <v>342</v>
      </c>
      <c r="G26" s="948" t="s">
        <v>1675</v>
      </c>
      <c r="H26" s="948" t="s">
        <v>1676</v>
      </c>
      <c r="I26" s="947">
        <v>58</v>
      </c>
    </row>
    <row r="27" spans="1:9">
      <c r="A27" s="947">
        <v>23</v>
      </c>
      <c r="B27" s="948" t="s">
        <v>1684</v>
      </c>
      <c r="C27" s="948" t="s">
        <v>1568</v>
      </c>
      <c r="D27" s="947">
        <v>53.4</v>
      </c>
      <c r="F27" s="947">
        <v>343</v>
      </c>
      <c r="G27" s="948" t="s">
        <v>1675</v>
      </c>
      <c r="H27" s="948" t="s">
        <v>1625</v>
      </c>
      <c r="I27" s="947">
        <v>29.66</v>
      </c>
    </row>
    <row r="28" spans="1:9">
      <c r="A28" s="947">
        <v>24</v>
      </c>
      <c r="B28" s="948" t="s">
        <v>1684</v>
      </c>
      <c r="C28" s="948" t="s">
        <v>2041</v>
      </c>
      <c r="D28" s="947">
        <v>55.83</v>
      </c>
      <c r="F28" s="947">
        <v>344</v>
      </c>
      <c r="G28" s="948" t="s">
        <v>1942</v>
      </c>
      <c r="H28" s="948" t="s">
        <v>1913</v>
      </c>
      <c r="I28" s="947">
        <v>70</v>
      </c>
    </row>
    <row r="29" spans="1:9">
      <c r="A29" s="947">
        <v>25</v>
      </c>
      <c r="B29" s="948" t="s">
        <v>1665</v>
      </c>
      <c r="C29" s="948" t="s">
        <v>1666</v>
      </c>
      <c r="D29" s="947">
        <v>70</v>
      </c>
      <c r="F29" s="947">
        <v>345</v>
      </c>
      <c r="G29" s="948" t="s">
        <v>1598</v>
      </c>
      <c r="H29" s="948" t="s">
        <v>1686</v>
      </c>
      <c r="I29" s="947">
        <v>61.6</v>
      </c>
    </row>
    <row r="30" spans="1:9">
      <c r="A30" s="947">
        <v>26</v>
      </c>
      <c r="B30" s="948" t="s">
        <v>1966</v>
      </c>
      <c r="C30" s="948" t="s">
        <v>1715</v>
      </c>
      <c r="D30" s="947">
        <v>60.5</v>
      </c>
      <c r="F30" s="947">
        <v>346</v>
      </c>
      <c r="G30" s="948" t="s">
        <v>1598</v>
      </c>
      <c r="H30" s="948" t="s">
        <v>1703</v>
      </c>
      <c r="I30" s="947">
        <v>48.01</v>
      </c>
    </row>
    <row r="31" spans="1:9">
      <c r="A31" s="947">
        <v>27</v>
      </c>
      <c r="B31" s="948" t="s">
        <v>1866</v>
      </c>
      <c r="C31" s="948" t="s">
        <v>1554</v>
      </c>
      <c r="D31" s="947">
        <v>38.6</v>
      </c>
      <c r="F31" s="947">
        <v>347</v>
      </c>
      <c r="G31" s="948" t="s">
        <v>1598</v>
      </c>
      <c r="H31" s="948" t="s">
        <v>1552</v>
      </c>
      <c r="I31" s="947">
        <v>36.1</v>
      </c>
    </row>
    <row r="32" spans="1:9">
      <c r="A32" s="947">
        <v>28</v>
      </c>
      <c r="B32" s="948" t="s">
        <v>1866</v>
      </c>
      <c r="C32" s="948" t="s">
        <v>1874</v>
      </c>
      <c r="D32" s="947">
        <v>70</v>
      </c>
      <c r="F32" s="947">
        <v>348</v>
      </c>
      <c r="G32" s="948" t="s">
        <v>1598</v>
      </c>
      <c r="H32" s="948" t="s">
        <v>1745</v>
      </c>
      <c r="I32" s="947">
        <v>40</v>
      </c>
    </row>
    <row r="33" spans="1:9">
      <c r="A33" s="947">
        <v>29</v>
      </c>
      <c r="B33" s="948" t="s">
        <v>1904</v>
      </c>
      <c r="C33" s="948" t="s">
        <v>1905</v>
      </c>
      <c r="D33" s="947">
        <v>38</v>
      </c>
      <c r="F33" s="947">
        <v>349</v>
      </c>
      <c r="G33" s="948" t="s">
        <v>1598</v>
      </c>
      <c r="H33" s="948" t="s">
        <v>1590</v>
      </c>
      <c r="I33" s="947">
        <v>64.900000000000006</v>
      </c>
    </row>
    <row r="34" spans="1:9">
      <c r="A34" s="947">
        <v>30</v>
      </c>
      <c r="B34" s="948" t="s">
        <v>1904</v>
      </c>
      <c r="C34" s="948" t="s">
        <v>1744</v>
      </c>
      <c r="D34" s="947">
        <v>54.5</v>
      </c>
      <c r="F34" s="947">
        <v>350</v>
      </c>
      <c r="G34" s="948" t="s">
        <v>1598</v>
      </c>
      <c r="H34" s="948" t="s">
        <v>1572</v>
      </c>
      <c r="I34" s="947">
        <v>47.43</v>
      </c>
    </row>
    <row r="35" spans="1:9">
      <c r="A35" s="947">
        <v>31</v>
      </c>
      <c r="B35" s="948" t="s">
        <v>2073</v>
      </c>
      <c r="C35" s="948" t="s">
        <v>1744</v>
      </c>
      <c r="D35" s="947">
        <v>65</v>
      </c>
      <c r="F35" s="947">
        <v>351</v>
      </c>
      <c r="G35" s="948" t="s">
        <v>1598</v>
      </c>
      <c r="H35" s="948" t="s">
        <v>1590</v>
      </c>
      <c r="I35" s="947">
        <v>69.040000000000006</v>
      </c>
    </row>
    <row r="36" spans="1:9">
      <c r="A36" s="947">
        <v>32</v>
      </c>
      <c r="B36" s="948" t="s">
        <v>2073</v>
      </c>
      <c r="C36" s="948" t="s">
        <v>2029</v>
      </c>
      <c r="D36" s="947">
        <v>32.67</v>
      </c>
      <c r="F36" s="947">
        <v>352</v>
      </c>
      <c r="G36" s="948" t="s">
        <v>1748</v>
      </c>
      <c r="H36" s="948" t="s">
        <v>1584</v>
      </c>
      <c r="I36" s="947">
        <v>45.33</v>
      </c>
    </row>
    <row r="37" spans="1:9">
      <c r="A37" s="947">
        <v>33</v>
      </c>
      <c r="B37" s="948" t="s">
        <v>2116</v>
      </c>
      <c r="C37" s="948" t="s">
        <v>1935</v>
      </c>
      <c r="D37" s="947">
        <v>45</v>
      </c>
      <c r="F37" s="947">
        <v>353</v>
      </c>
      <c r="G37" s="948" t="s">
        <v>2159</v>
      </c>
      <c r="H37" s="948" t="s">
        <v>1802</v>
      </c>
      <c r="I37" s="947">
        <v>42.5</v>
      </c>
    </row>
    <row r="38" spans="1:9">
      <c r="A38" s="947">
        <v>34</v>
      </c>
      <c r="B38" s="948" t="s">
        <v>2040</v>
      </c>
      <c r="C38" s="948" t="s">
        <v>1985</v>
      </c>
      <c r="D38" s="947">
        <v>37.630000000000003</v>
      </c>
      <c r="F38" s="947">
        <v>354</v>
      </c>
      <c r="G38" s="948" t="s">
        <v>3821</v>
      </c>
      <c r="H38" s="948" t="s">
        <v>1564</v>
      </c>
      <c r="I38" s="947">
        <v>57.11</v>
      </c>
    </row>
    <row r="39" spans="1:9">
      <c r="A39" s="947">
        <v>35</v>
      </c>
      <c r="B39" s="948" t="s">
        <v>1712</v>
      </c>
      <c r="C39" s="948" t="s">
        <v>1713</v>
      </c>
      <c r="D39" s="947">
        <v>52.17</v>
      </c>
      <c r="F39" s="947">
        <v>355</v>
      </c>
      <c r="G39" s="948" t="s">
        <v>1642</v>
      </c>
      <c r="H39" s="948" t="s">
        <v>2117</v>
      </c>
      <c r="I39" s="947">
        <v>70</v>
      </c>
    </row>
    <row r="40" spans="1:9">
      <c r="A40" s="947">
        <v>36</v>
      </c>
      <c r="B40" s="948" t="s">
        <v>1712</v>
      </c>
      <c r="C40" s="948" t="s">
        <v>1715</v>
      </c>
      <c r="D40" s="947">
        <v>70</v>
      </c>
      <c r="F40" s="947">
        <v>356</v>
      </c>
      <c r="G40" s="948" t="s">
        <v>2162</v>
      </c>
      <c r="H40" s="948" t="s">
        <v>1862</v>
      </c>
      <c r="I40" s="947">
        <v>43</v>
      </c>
    </row>
    <row r="41" spans="1:9">
      <c r="A41" s="947">
        <v>37</v>
      </c>
      <c r="B41" s="948" t="s">
        <v>1712</v>
      </c>
      <c r="C41" s="948" t="s">
        <v>1959</v>
      </c>
      <c r="D41" s="947">
        <v>36.700000000000003</v>
      </c>
      <c r="F41" s="947">
        <v>357</v>
      </c>
      <c r="G41" s="948" t="s">
        <v>1735</v>
      </c>
      <c r="H41" s="948" t="s">
        <v>1617</v>
      </c>
      <c r="I41" s="947">
        <v>69.66</v>
      </c>
    </row>
    <row r="42" spans="1:9">
      <c r="A42" s="947">
        <v>38</v>
      </c>
      <c r="B42" s="948" t="s">
        <v>1770</v>
      </c>
      <c r="C42" s="948" t="s">
        <v>1771</v>
      </c>
      <c r="D42" s="947">
        <v>42.5</v>
      </c>
      <c r="F42" s="947">
        <v>358</v>
      </c>
      <c r="G42" s="948" t="s">
        <v>1551</v>
      </c>
      <c r="H42" s="948" t="s">
        <v>1694</v>
      </c>
      <c r="I42" s="947">
        <v>70</v>
      </c>
    </row>
    <row r="43" spans="1:9">
      <c r="A43" s="947">
        <v>39</v>
      </c>
      <c r="B43" s="948" t="s">
        <v>1567</v>
      </c>
      <c r="C43" s="948" t="s">
        <v>1568</v>
      </c>
      <c r="D43" s="947">
        <v>53</v>
      </c>
      <c r="F43" s="947">
        <v>359</v>
      </c>
      <c r="G43" s="948" t="s">
        <v>1670</v>
      </c>
      <c r="H43" s="948" t="s">
        <v>1568</v>
      </c>
      <c r="I43" s="947">
        <v>45.31</v>
      </c>
    </row>
    <row r="44" spans="1:9">
      <c r="A44" s="947">
        <v>40</v>
      </c>
      <c r="B44" s="948" t="s">
        <v>1567</v>
      </c>
      <c r="C44" s="948" t="s">
        <v>1552</v>
      </c>
      <c r="D44" s="947">
        <v>48</v>
      </c>
      <c r="F44" s="947">
        <v>360</v>
      </c>
      <c r="G44" s="948" t="s">
        <v>1944</v>
      </c>
      <c r="H44" s="948" t="s">
        <v>1945</v>
      </c>
      <c r="I44" s="947">
        <v>42.9</v>
      </c>
    </row>
    <row r="45" spans="1:9">
      <c r="A45" s="947">
        <v>41</v>
      </c>
      <c r="B45" s="948" t="s">
        <v>1567</v>
      </c>
      <c r="C45" s="948" t="s">
        <v>1731</v>
      </c>
      <c r="D45" s="947">
        <v>60.63</v>
      </c>
      <c r="F45" s="947">
        <v>361</v>
      </c>
      <c r="G45" s="948" t="s">
        <v>1605</v>
      </c>
      <c r="H45" s="948" t="s">
        <v>1592</v>
      </c>
      <c r="I45" s="947">
        <v>57</v>
      </c>
    </row>
    <row r="46" spans="1:9">
      <c r="A46" s="947">
        <v>42</v>
      </c>
      <c r="B46" s="948" t="s">
        <v>1835</v>
      </c>
      <c r="C46" s="948" t="s">
        <v>1592</v>
      </c>
      <c r="D46" s="947">
        <v>50.66</v>
      </c>
      <c r="F46" s="947">
        <v>362</v>
      </c>
      <c r="G46" s="948" t="s">
        <v>1605</v>
      </c>
      <c r="H46" s="948" t="s">
        <v>1720</v>
      </c>
      <c r="I46" s="947">
        <v>60.33</v>
      </c>
    </row>
    <row r="47" spans="1:9">
      <c r="A47" s="947">
        <v>43</v>
      </c>
      <c r="B47" s="948" t="s">
        <v>1835</v>
      </c>
      <c r="C47" s="948" t="s">
        <v>2100</v>
      </c>
      <c r="D47" s="947">
        <v>60</v>
      </c>
      <c r="F47" s="947">
        <v>363</v>
      </c>
      <c r="G47" s="948" t="s">
        <v>1605</v>
      </c>
      <c r="H47" s="948" t="s">
        <v>1584</v>
      </c>
      <c r="I47" s="947">
        <v>49.49</v>
      </c>
    </row>
    <row r="48" spans="1:9">
      <c r="A48" s="947">
        <v>44</v>
      </c>
      <c r="B48" s="948" t="s">
        <v>1876</v>
      </c>
      <c r="C48" s="948" t="s">
        <v>1551</v>
      </c>
      <c r="D48" s="947">
        <v>42.5</v>
      </c>
      <c r="F48" s="947">
        <v>364</v>
      </c>
      <c r="G48" s="948" t="s">
        <v>1575</v>
      </c>
      <c r="H48" s="948" t="s">
        <v>1576</v>
      </c>
      <c r="I48" s="947">
        <v>26.97</v>
      </c>
    </row>
    <row r="49" spans="1:9">
      <c r="A49" s="947">
        <v>45</v>
      </c>
      <c r="B49" s="948" t="s">
        <v>1876</v>
      </c>
      <c r="C49" s="948" t="s">
        <v>1786</v>
      </c>
      <c r="D49" s="947">
        <v>40</v>
      </c>
      <c r="F49" s="947">
        <v>365</v>
      </c>
      <c r="G49" s="948" t="s">
        <v>2036</v>
      </c>
      <c r="H49" s="948" t="s">
        <v>1566</v>
      </c>
      <c r="I49" s="947">
        <v>41</v>
      </c>
    </row>
    <row r="50" spans="1:9">
      <c r="A50" s="947">
        <v>46</v>
      </c>
      <c r="B50" s="948" t="s">
        <v>1926</v>
      </c>
      <c r="C50" s="948" t="s">
        <v>1927</v>
      </c>
      <c r="D50" s="947">
        <v>53.63</v>
      </c>
      <c r="F50" s="947">
        <v>366</v>
      </c>
      <c r="G50" s="948" t="s">
        <v>1986</v>
      </c>
      <c r="H50" s="948" t="s">
        <v>1987</v>
      </c>
      <c r="I50" s="947">
        <v>35.58</v>
      </c>
    </row>
    <row r="51" spans="1:9">
      <c r="A51" s="947">
        <v>47</v>
      </c>
      <c r="B51" s="948" t="s">
        <v>1594</v>
      </c>
      <c r="C51" s="948" t="s">
        <v>1595</v>
      </c>
      <c r="D51" s="947">
        <v>32</v>
      </c>
      <c r="F51" s="947">
        <v>367</v>
      </c>
      <c r="G51" s="948" t="s">
        <v>1790</v>
      </c>
      <c r="H51" s="948" t="s">
        <v>1791</v>
      </c>
      <c r="I51" s="947">
        <v>70</v>
      </c>
    </row>
    <row r="52" spans="1:9">
      <c r="A52" s="947">
        <v>48</v>
      </c>
      <c r="B52" s="948" t="s">
        <v>1594</v>
      </c>
      <c r="C52" s="948" t="s">
        <v>2388</v>
      </c>
      <c r="D52" s="947">
        <v>57.01</v>
      </c>
      <c r="F52" s="947">
        <v>368</v>
      </c>
      <c r="G52" s="948" t="s">
        <v>2059</v>
      </c>
      <c r="H52" s="948" t="s">
        <v>2060</v>
      </c>
      <c r="I52" s="947">
        <v>48.9</v>
      </c>
    </row>
    <row r="53" spans="1:9">
      <c r="A53" s="947">
        <v>49</v>
      </c>
      <c r="B53" s="948" t="s">
        <v>2031</v>
      </c>
      <c r="C53" s="948" t="s">
        <v>1595</v>
      </c>
      <c r="D53" s="947">
        <v>59.27</v>
      </c>
      <c r="F53" s="947">
        <v>369</v>
      </c>
      <c r="G53" s="948" t="s">
        <v>1859</v>
      </c>
      <c r="H53" s="948" t="s">
        <v>1860</v>
      </c>
      <c r="I53" s="947">
        <v>49.03</v>
      </c>
    </row>
    <row r="54" spans="1:9">
      <c r="A54" s="947">
        <v>50</v>
      </c>
      <c r="B54" s="948" t="s">
        <v>1787</v>
      </c>
      <c r="C54" s="948" t="s">
        <v>1717</v>
      </c>
      <c r="D54" s="947">
        <v>70</v>
      </c>
      <c r="F54" s="947">
        <v>370</v>
      </c>
      <c r="G54" s="948" t="s">
        <v>1919</v>
      </c>
      <c r="H54" s="948" t="s">
        <v>1590</v>
      </c>
      <c r="I54" s="947">
        <v>70</v>
      </c>
    </row>
    <row r="55" spans="1:9">
      <c r="A55" s="947">
        <v>51</v>
      </c>
      <c r="B55" s="948" t="s">
        <v>1948</v>
      </c>
      <c r="C55" s="948" t="s">
        <v>1949</v>
      </c>
      <c r="D55" s="947">
        <v>37.07</v>
      </c>
      <c r="F55" s="947">
        <v>371</v>
      </c>
      <c r="G55" s="948" t="s">
        <v>1746</v>
      </c>
      <c r="H55" s="948" t="s">
        <v>1747</v>
      </c>
      <c r="I55" s="947">
        <v>70</v>
      </c>
    </row>
    <row r="56" spans="1:9">
      <c r="A56" s="947">
        <v>52</v>
      </c>
      <c r="B56" s="948" t="s">
        <v>3805</v>
      </c>
      <c r="C56" s="948" t="s">
        <v>1957</v>
      </c>
      <c r="D56" s="947">
        <v>24.28</v>
      </c>
      <c r="F56" s="947">
        <v>372</v>
      </c>
      <c r="G56" s="948" t="s">
        <v>2010</v>
      </c>
      <c r="H56" s="948" t="s">
        <v>2011</v>
      </c>
      <c r="I56" s="947">
        <v>14.6</v>
      </c>
    </row>
    <row r="57" spans="1:9" s="566" customFormat="1">
      <c r="A57" s="947"/>
      <c r="B57" s="948"/>
      <c r="C57" s="948"/>
      <c r="D57" s="947"/>
      <c r="F57" s="947"/>
      <c r="G57" s="948"/>
      <c r="H57" s="948"/>
      <c r="I57" s="947"/>
    </row>
    <row r="58" spans="1:9" s="566" customFormat="1">
      <c r="A58" s="947"/>
      <c r="B58" s="948"/>
      <c r="C58" s="948"/>
      <c r="D58" s="947"/>
      <c r="F58" s="947"/>
      <c r="G58" s="948"/>
      <c r="H58" s="948"/>
      <c r="I58" s="947"/>
    </row>
    <row r="59" spans="1:9" s="566" customFormat="1" ht="15">
      <c r="A59" s="949" t="s">
        <v>3466</v>
      </c>
      <c r="B59" s="949" t="s">
        <v>1545</v>
      </c>
      <c r="C59" s="949" t="s">
        <v>1546</v>
      </c>
      <c r="D59" s="949" t="s">
        <v>1547</v>
      </c>
      <c r="F59" s="949" t="s">
        <v>3466</v>
      </c>
      <c r="G59" s="949" t="s">
        <v>1545</v>
      </c>
      <c r="H59" s="949" t="s">
        <v>1546</v>
      </c>
      <c r="I59" s="949" t="s">
        <v>1547</v>
      </c>
    </row>
    <row r="60" spans="1:9">
      <c r="A60" s="947">
        <v>53</v>
      </c>
      <c r="B60" s="948" t="s">
        <v>1593</v>
      </c>
      <c r="C60" s="948" t="s">
        <v>1570</v>
      </c>
      <c r="D60" s="947">
        <v>29.1</v>
      </c>
      <c r="F60" s="947">
        <v>373</v>
      </c>
      <c r="G60" s="948" t="s">
        <v>1829</v>
      </c>
      <c r="H60" s="948" t="s">
        <v>1570</v>
      </c>
      <c r="I60" s="947">
        <v>70</v>
      </c>
    </row>
    <row r="61" spans="1:9">
      <c r="A61" s="947">
        <v>54</v>
      </c>
      <c r="B61" s="948" t="s">
        <v>3806</v>
      </c>
      <c r="C61" s="948" t="s">
        <v>2126</v>
      </c>
      <c r="D61" s="947">
        <v>48.05</v>
      </c>
      <c r="F61" s="947">
        <v>374</v>
      </c>
      <c r="G61" s="948" t="s">
        <v>1915</v>
      </c>
      <c r="H61" s="948" t="s">
        <v>1916</v>
      </c>
      <c r="I61" s="947">
        <v>50</v>
      </c>
    </row>
    <row r="62" spans="1:9">
      <c r="A62" s="947">
        <v>55</v>
      </c>
      <c r="B62" s="948" t="s">
        <v>1573</v>
      </c>
      <c r="C62" s="948" t="s">
        <v>1574</v>
      </c>
      <c r="D62" s="947">
        <v>50.04</v>
      </c>
      <c r="F62" s="947">
        <v>375</v>
      </c>
      <c r="G62" s="948" t="s">
        <v>1915</v>
      </c>
      <c r="H62" s="948" t="s">
        <v>1907</v>
      </c>
      <c r="I62" s="947">
        <v>55.3</v>
      </c>
    </row>
    <row r="63" spans="1:9">
      <c r="A63" s="947">
        <v>56</v>
      </c>
      <c r="B63" s="948" t="s">
        <v>1573</v>
      </c>
      <c r="C63" s="948" t="s">
        <v>1704</v>
      </c>
      <c r="D63" s="947">
        <v>70</v>
      </c>
      <c r="F63" s="947">
        <v>376</v>
      </c>
      <c r="G63" s="948" t="s">
        <v>1915</v>
      </c>
      <c r="H63" s="948" t="s">
        <v>1572</v>
      </c>
      <c r="I63" s="947">
        <v>56.73</v>
      </c>
    </row>
    <row r="64" spans="1:9">
      <c r="A64" s="947">
        <v>57</v>
      </c>
      <c r="B64" s="948" t="s">
        <v>1573</v>
      </c>
      <c r="C64" s="948" t="s">
        <v>1595</v>
      </c>
      <c r="D64" s="947">
        <v>43.83</v>
      </c>
      <c r="F64" s="947">
        <v>377</v>
      </c>
      <c r="G64" s="948" t="s">
        <v>1571</v>
      </c>
      <c r="H64" s="948" t="s">
        <v>1572</v>
      </c>
      <c r="I64" s="947">
        <v>35.299999999999997</v>
      </c>
    </row>
    <row r="65" spans="1:9">
      <c r="A65" s="947">
        <v>58</v>
      </c>
      <c r="B65" s="948" t="s">
        <v>2000</v>
      </c>
      <c r="C65" s="948" t="s">
        <v>2127</v>
      </c>
      <c r="D65" s="947">
        <v>69</v>
      </c>
      <c r="F65" s="947">
        <v>378</v>
      </c>
      <c r="G65" s="948" t="s">
        <v>2155</v>
      </c>
      <c r="H65" s="948" t="s">
        <v>2156</v>
      </c>
      <c r="I65" s="947">
        <v>46.83</v>
      </c>
    </row>
    <row r="66" spans="1:9">
      <c r="A66" s="947">
        <v>59</v>
      </c>
      <c r="B66" s="948" t="s">
        <v>1826</v>
      </c>
      <c r="C66" s="948" t="s">
        <v>1827</v>
      </c>
      <c r="D66" s="947">
        <v>30</v>
      </c>
      <c r="F66" s="947">
        <v>379</v>
      </c>
      <c r="G66" s="948" t="s">
        <v>1906</v>
      </c>
      <c r="H66" s="948" t="s">
        <v>1907</v>
      </c>
      <c r="I66" s="947">
        <v>47</v>
      </c>
    </row>
    <row r="67" spans="1:9">
      <c r="A67" s="947">
        <v>60</v>
      </c>
      <c r="B67" s="948" t="s">
        <v>2005</v>
      </c>
      <c r="C67" s="948" t="s">
        <v>2006</v>
      </c>
      <c r="D67" s="947">
        <v>70</v>
      </c>
      <c r="F67" s="947">
        <v>380</v>
      </c>
      <c r="G67" s="948" t="s">
        <v>1906</v>
      </c>
      <c r="H67" s="948" t="s">
        <v>3822</v>
      </c>
      <c r="I67" s="947">
        <v>58.82</v>
      </c>
    </row>
    <row r="68" spans="1:9">
      <c r="A68" s="947">
        <v>61</v>
      </c>
      <c r="B68" s="948" t="s">
        <v>2137</v>
      </c>
      <c r="C68" s="948" t="s">
        <v>1595</v>
      </c>
      <c r="D68" s="947">
        <v>26.82</v>
      </c>
      <c r="F68" s="947">
        <v>381</v>
      </c>
      <c r="G68" s="948" t="s">
        <v>1902</v>
      </c>
      <c r="H68" s="948" t="s">
        <v>1552</v>
      </c>
      <c r="I68" s="947">
        <v>42</v>
      </c>
    </row>
    <row r="69" spans="1:9">
      <c r="A69" s="947">
        <v>62</v>
      </c>
      <c r="B69" s="948" t="s">
        <v>3807</v>
      </c>
      <c r="C69" s="948" t="s">
        <v>1745</v>
      </c>
      <c r="D69" s="947">
        <v>70</v>
      </c>
      <c r="F69" s="947">
        <v>382</v>
      </c>
      <c r="G69" s="948" t="s">
        <v>1902</v>
      </c>
      <c r="H69" s="948" t="s">
        <v>2102</v>
      </c>
      <c r="I69" s="947">
        <v>46.17</v>
      </c>
    </row>
    <row r="70" spans="1:9">
      <c r="A70" s="947">
        <v>63</v>
      </c>
      <c r="B70" s="948" t="s">
        <v>1809</v>
      </c>
      <c r="C70" s="948" t="s">
        <v>1744</v>
      </c>
      <c r="D70" s="947">
        <v>52.24</v>
      </c>
      <c r="F70" s="947">
        <v>383</v>
      </c>
      <c r="G70" s="948" t="s">
        <v>2099</v>
      </c>
      <c r="H70" s="948" t="s">
        <v>1637</v>
      </c>
      <c r="I70" s="947">
        <v>45</v>
      </c>
    </row>
    <row r="71" spans="1:9">
      <c r="A71" s="947">
        <v>64</v>
      </c>
      <c r="B71" s="948" t="s">
        <v>1809</v>
      </c>
      <c r="C71" s="948" t="s">
        <v>1882</v>
      </c>
      <c r="D71" s="947">
        <v>23.45</v>
      </c>
      <c r="F71" s="947">
        <v>384</v>
      </c>
      <c r="G71" s="948" t="s">
        <v>2120</v>
      </c>
      <c r="H71" s="948" t="s">
        <v>2097</v>
      </c>
      <c r="I71" s="947">
        <v>44.04</v>
      </c>
    </row>
    <row r="72" spans="1:9">
      <c r="A72" s="947">
        <v>65</v>
      </c>
      <c r="B72" s="948" t="s">
        <v>1989</v>
      </c>
      <c r="C72" s="948" t="s">
        <v>1745</v>
      </c>
      <c r="D72" s="947">
        <v>70</v>
      </c>
      <c r="F72" s="947">
        <v>385</v>
      </c>
      <c r="G72" s="948" t="s">
        <v>2027</v>
      </c>
      <c r="H72" s="948" t="s">
        <v>1985</v>
      </c>
      <c r="I72" s="947">
        <v>40</v>
      </c>
    </row>
    <row r="73" spans="1:9">
      <c r="A73" s="947">
        <v>66</v>
      </c>
      <c r="B73" s="948" t="s">
        <v>2118</v>
      </c>
      <c r="C73" s="948" t="s">
        <v>1701</v>
      </c>
      <c r="D73" s="947">
        <v>65.819999999999993</v>
      </c>
      <c r="F73" s="947">
        <v>386</v>
      </c>
      <c r="G73" s="948" t="s">
        <v>1963</v>
      </c>
      <c r="H73" s="948" t="s">
        <v>1620</v>
      </c>
      <c r="I73" s="947">
        <v>60.33</v>
      </c>
    </row>
    <row r="74" spans="1:9">
      <c r="A74" s="947">
        <v>67</v>
      </c>
      <c r="B74" s="948" t="s">
        <v>1750</v>
      </c>
      <c r="C74" s="948" t="s">
        <v>1751</v>
      </c>
      <c r="D74" s="947">
        <v>62.1</v>
      </c>
      <c r="F74" s="947">
        <v>387</v>
      </c>
      <c r="G74" s="948" t="s">
        <v>2071</v>
      </c>
      <c r="H74" s="948" t="s">
        <v>1568</v>
      </c>
      <c r="I74" s="947">
        <v>32.5</v>
      </c>
    </row>
    <row r="75" spans="1:9">
      <c r="A75" s="947">
        <v>68</v>
      </c>
      <c r="B75" s="948" t="s">
        <v>1636</v>
      </c>
      <c r="C75" s="948" t="s">
        <v>1637</v>
      </c>
      <c r="D75" s="947">
        <v>48.31</v>
      </c>
      <c r="F75" s="947">
        <v>388</v>
      </c>
      <c r="G75" s="948" t="s">
        <v>1878</v>
      </c>
      <c r="H75" s="948" t="s">
        <v>1701</v>
      </c>
      <c r="I75" s="947">
        <v>29.8</v>
      </c>
    </row>
    <row r="76" spans="1:9">
      <c r="A76" s="947">
        <v>69</v>
      </c>
      <c r="B76" s="948" t="s">
        <v>1723</v>
      </c>
      <c r="C76" s="948" t="s">
        <v>1724</v>
      </c>
      <c r="D76" s="947">
        <v>63</v>
      </c>
      <c r="F76" s="947">
        <v>389</v>
      </c>
      <c r="G76" s="948" t="s">
        <v>1871</v>
      </c>
      <c r="H76" s="948" t="s">
        <v>1625</v>
      </c>
      <c r="I76" s="947">
        <v>49</v>
      </c>
    </row>
    <row r="77" spans="1:9">
      <c r="A77" s="947">
        <v>70</v>
      </c>
      <c r="B77" s="948" t="s">
        <v>1555</v>
      </c>
      <c r="C77" s="948" t="s">
        <v>1556</v>
      </c>
      <c r="D77" s="947">
        <v>70</v>
      </c>
      <c r="F77" s="947">
        <v>390</v>
      </c>
      <c r="G77" s="948" t="s">
        <v>1871</v>
      </c>
      <c r="H77" s="948" t="s">
        <v>1653</v>
      </c>
      <c r="I77" s="947">
        <v>38.17</v>
      </c>
    </row>
    <row r="78" spans="1:9">
      <c r="A78" s="947">
        <v>71</v>
      </c>
      <c r="B78" s="948" t="s">
        <v>1555</v>
      </c>
      <c r="C78" s="948" t="s">
        <v>1720</v>
      </c>
      <c r="D78" s="947">
        <v>70</v>
      </c>
      <c r="F78" s="947">
        <v>391</v>
      </c>
      <c r="G78" s="948" t="s">
        <v>1871</v>
      </c>
      <c r="H78" s="948" t="s">
        <v>1687</v>
      </c>
      <c r="I78" s="947">
        <v>46</v>
      </c>
    </row>
    <row r="79" spans="1:9">
      <c r="A79" s="947">
        <v>72</v>
      </c>
      <c r="B79" s="948" t="s">
        <v>1555</v>
      </c>
      <c r="C79" s="948" t="s">
        <v>1572</v>
      </c>
      <c r="D79" s="947">
        <v>60.83</v>
      </c>
      <c r="F79" s="947">
        <v>392</v>
      </c>
      <c r="G79" s="948" t="s">
        <v>3823</v>
      </c>
      <c r="H79" s="948" t="s">
        <v>1687</v>
      </c>
      <c r="I79" s="947">
        <v>67.989999999999995</v>
      </c>
    </row>
    <row r="80" spans="1:9">
      <c r="A80" s="947">
        <v>73</v>
      </c>
      <c r="B80" s="948" t="s">
        <v>1555</v>
      </c>
      <c r="C80" s="948" t="s">
        <v>1625</v>
      </c>
      <c r="D80" s="947">
        <v>44.03</v>
      </c>
      <c r="F80" s="947">
        <v>393</v>
      </c>
      <c r="G80" s="948" t="s">
        <v>1995</v>
      </c>
      <c r="H80" s="948" t="s">
        <v>1996</v>
      </c>
      <c r="I80" s="947">
        <v>25.2</v>
      </c>
    </row>
    <row r="81" spans="1:9">
      <c r="A81" s="947">
        <v>74</v>
      </c>
      <c r="B81" s="948" t="s">
        <v>1555</v>
      </c>
      <c r="C81" s="948" t="s">
        <v>1666</v>
      </c>
      <c r="D81" s="947">
        <v>35</v>
      </c>
      <c r="F81" s="947">
        <v>394</v>
      </c>
      <c r="G81" s="948" t="s">
        <v>2128</v>
      </c>
      <c r="H81" s="948" t="s">
        <v>2039</v>
      </c>
      <c r="I81" s="947">
        <v>50.8</v>
      </c>
    </row>
    <row r="82" spans="1:9">
      <c r="A82" s="947">
        <v>75</v>
      </c>
      <c r="B82" s="948" t="s">
        <v>1555</v>
      </c>
      <c r="C82" s="948" t="s">
        <v>1572</v>
      </c>
      <c r="D82" s="947">
        <v>70</v>
      </c>
      <c r="F82" s="947">
        <v>395</v>
      </c>
      <c r="G82" s="948" t="s">
        <v>1961</v>
      </c>
      <c r="H82" s="948" t="s">
        <v>1962</v>
      </c>
      <c r="I82" s="947">
        <v>40.53</v>
      </c>
    </row>
    <row r="83" spans="1:9">
      <c r="A83" s="947">
        <v>76</v>
      </c>
      <c r="B83" s="948" t="s">
        <v>1555</v>
      </c>
      <c r="C83" s="948" t="s">
        <v>2114</v>
      </c>
      <c r="D83" s="947">
        <v>45.87</v>
      </c>
      <c r="F83" s="947">
        <v>396</v>
      </c>
      <c r="G83" s="948" t="s">
        <v>1707</v>
      </c>
      <c r="H83" s="948" t="s">
        <v>1606</v>
      </c>
      <c r="I83" s="947">
        <v>42.47</v>
      </c>
    </row>
    <row r="84" spans="1:9">
      <c r="A84" s="947">
        <v>77</v>
      </c>
      <c r="B84" s="948" t="s">
        <v>1785</v>
      </c>
      <c r="C84" s="948" t="s">
        <v>1786</v>
      </c>
      <c r="D84" s="947">
        <v>46</v>
      </c>
      <c r="F84" s="947">
        <v>397</v>
      </c>
      <c r="G84" s="948" t="s">
        <v>2032</v>
      </c>
      <c r="H84" s="948" t="s">
        <v>1676</v>
      </c>
      <c r="I84" s="947">
        <v>57.69</v>
      </c>
    </row>
    <row r="85" spans="1:9">
      <c r="A85" s="947">
        <v>78</v>
      </c>
      <c r="B85" s="948" t="s">
        <v>1867</v>
      </c>
      <c r="C85" s="948" t="s">
        <v>1552</v>
      </c>
      <c r="D85" s="947">
        <v>70</v>
      </c>
      <c r="F85" s="947">
        <v>398</v>
      </c>
      <c r="G85" s="948" t="s">
        <v>1958</v>
      </c>
      <c r="H85" s="948" t="s">
        <v>1959</v>
      </c>
      <c r="I85" s="947">
        <v>55.4</v>
      </c>
    </row>
    <row r="86" spans="1:9">
      <c r="A86" s="947">
        <v>79</v>
      </c>
      <c r="B86" s="948" t="s">
        <v>1965</v>
      </c>
      <c r="C86" s="948" t="s">
        <v>1611</v>
      </c>
      <c r="D86" s="947">
        <v>55.12</v>
      </c>
      <c r="F86" s="947">
        <v>399</v>
      </c>
      <c r="G86" s="948" t="s">
        <v>1900</v>
      </c>
      <c r="H86" s="948" t="s">
        <v>1653</v>
      </c>
      <c r="I86" s="947">
        <v>47</v>
      </c>
    </row>
    <row r="87" spans="1:9">
      <c r="A87" s="947">
        <v>80</v>
      </c>
      <c r="B87" s="948" t="s">
        <v>1596</v>
      </c>
      <c r="C87" s="948" t="s">
        <v>1554</v>
      </c>
      <c r="D87" s="947">
        <v>70</v>
      </c>
      <c r="F87" s="947">
        <v>400</v>
      </c>
      <c r="G87" s="948" t="s">
        <v>1999</v>
      </c>
      <c r="H87" s="948" t="s">
        <v>2000</v>
      </c>
      <c r="I87" s="947">
        <v>63.83</v>
      </c>
    </row>
    <row r="88" spans="1:9">
      <c r="A88" s="947">
        <v>81</v>
      </c>
      <c r="B88" s="948" t="s">
        <v>1596</v>
      </c>
      <c r="C88" s="948" t="s">
        <v>1679</v>
      </c>
      <c r="D88" s="947">
        <v>70</v>
      </c>
      <c r="F88" s="947">
        <v>401</v>
      </c>
      <c r="G88" s="948" t="s">
        <v>2012</v>
      </c>
      <c r="H88" s="948" t="s">
        <v>2013</v>
      </c>
      <c r="I88" s="947">
        <v>25.65</v>
      </c>
    </row>
    <row r="89" spans="1:9">
      <c r="A89" s="947">
        <v>82</v>
      </c>
      <c r="B89" s="948" t="s">
        <v>1596</v>
      </c>
      <c r="C89" s="948" t="s">
        <v>1717</v>
      </c>
      <c r="D89" s="947">
        <v>44.8</v>
      </c>
      <c r="F89" s="947">
        <v>402</v>
      </c>
      <c r="G89" s="948" t="s">
        <v>2003</v>
      </c>
      <c r="H89" s="948" t="s">
        <v>1808</v>
      </c>
      <c r="I89" s="947">
        <v>60.89</v>
      </c>
    </row>
    <row r="90" spans="1:9">
      <c r="A90" s="947">
        <v>83</v>
      </c>
      <c r="B90" s="948" t="s">
        <v>1596</v>
      </c>
      <c r="C90" s="948" t="s">
        <v>1631</v>
      </c>
      <c r="D90" s="947">
        <v>66</v>
      </c>
      <c r="F90" s="947">
        <v>403</v>
      </c>
      <c r="G90" s="948" t="s">
        <v>1903</v>
      </c>
      <c r="H90" s="948" t="s">
        <v>1606</v>
      </c>
      <c r="I90" s="947">
        <v>53.7</v>
      </c>
    </row>
    <row r="91" spans="1:9">
      <c r="A91" s="947">
        <v>84</v>
      </c>
      <c r="B91" s="948" t="s">
        <v>1698</v>
      </c>
      <c r="C91" s="948" t="s">
        <v>1604</v>
      </c>
      <c r="D91" s="947">
        <v>64.25</v>
      </c>
      <c r="F91" s="947">
        <v>404</v>
      </c>
      <c r="G91" s="948" t="s">
        <v>3824</v>
      </c>
      <c r="H91" s="948" t="s">
        <v>3825</v>
      </c>
      <c r="I91" s="947">
        <v>70</v>
      </c>
    </row>
    <row r="92" spans="1:9">
      <c r="A92" s="947">
        <v>85</v>
      </c>
      <c r="B92" s="948" t="s">
        <v>1740</v>
      </c>
      <c r="C92" s="948" t="s">
        <v>1595</v>
      </c>
      <c r="D92" s="947">
        <v>49.83</v>
      </c>
      <c r="F92" s="947">
        <v>405</v>
      </c>
      <c r="G92" s="948" t="s">
        <v>2145</v>
      </c>
      <c r="H92" s="948" t="s">
        <v>2146</v>
      </c>
      <c r="I92" s="947">
        <v>53.89</v>
      </c>
    </row>
    <row r="93" spans="1:9">
      <c r="A93" s="947">
        <v>86</v>
      </c>
      <c r="B93" s="948" t="s">
        <v>1563</v>
      </c>
      <c r="C93" s="948" t="s">
        <v>1887</v>
      </c>
      <c r="D93" s="947">
        <v>43.3</v>
      </c>
      <c r="F93" s="947">
        <v>406</v>
      </c>
      <c r="G93" s="948" t="s">
        <v>1726</v>
      </c>
      <c r="H93" s="948" t="s">
        <v>1625</v>
      </c>
      <c r="I93" s="947">
        <v>62.3</v>
      </c>
    </row>
    <row r="94" spans="1:9">
      <c r="A94" s="947">
        <v>87</v>
      </c>
      <c r="B94" s="948" t="s">
        <v>2046</v>
      </c>
      <c r="C94" s="948" t="s">
        <v>1592</v>
      </c>
      <c r="D94" s="947">
        <v>46.26</v>
      </c>
      <c r="F94" s="947">
        <v>407</v>
      </c>
      <c r="G94" s="948" t="s">
        <v>2054</v>
      </c>
      <c r="H94" s="948" t="s">
        <v>1920</v>
      </c>
      <c r="I94" s="947">
        <v>35.65</v>
      </c>
    </row>
    <row r="95" spans="1:9">
      <c r="A95" s="947">
        <v>88</v>
      </c>
      <c r="B95" s="948" t="s">
        <v>2015</v>
      </c>
      <c r="C95" s="948" t="s">
        <v>1568</v>
      </c>
      <c r="D95" s="947">
        <v>65.680000000000007</v>
      </c>
      <c r="F95" s="947">
        <v>408</v>
      </c>
      <c r="G95" s="948" t="s">
        <v>2147</v>
      </c>
      <c r="H95" s="948" t="s">
        <v>2148</v>
      </c>
      <c r="I95" s="947">
        <v>43.59</v>
      </c>
    </row>
    <row r="96" spans="1:9">
      <c r="A96" s="947">
        <v>89</v>
      </c>
      <c r="B96" s="948" t="s">
        <v>1758</v>
      </c>
      <c r="C96" s="948" t="s">
        <v>1759</v>
      </c>
      <c r="D96" s="947">
        <v>52.83</v>
      </c>
      <c r="F96" s="947">
        <v>409</v>
      </c>
      <c r="G96" s="948" t="s">
        <v>1706</v>
      </c>
      <c r="H96" s="948" t="s">
        <v>1554</v>
      </c>
      <c r="I96" s="947">
        <v>70</v>
      </c>
    </row>
    <row r="97" spans="1:9">
      <c r="A97" s="947">
        <v>90</v>
      </c>
      <c r="B97" s="948" t="s">
        <v>2113</v>
      </c>
      <c r="C97" s="948" t="s">
        <v>1568</v>
      </c>
      <c r="D97" s="947">
        <v>41.31</v>
      </c>
      <c r="F97" s="947">
        <v>410</v>
      </c>
      <c r="G97" s="948" t="s">
        <v>2390</v>
      </c>
      <c r="H97" s="948" t="s">
        <v>1592</v>
      </c>
      <c r="I97" s="947">
        <v>70</v>
      </c>
    </row>
    <row r="98" spans="1:9">
      <c r="A98" s="947">
        <v>91</v>
      </c>
      <c r="B98" s="948" t="s">
        <v>1979</v>
      </c>
      <c r="C98" s="948" t="s">
        <v>1554</v>
      </c>
      <c r="D98" s="947">
        <v>70</v>
      </c>
      <c r="F98" s="947">
        <v>411</v>
      </c>
      <c r="G98" s="948" t="s">
        <v>2390</v>
      </c>
      <c r="H98" s="948" t="s">
        <v>2391</v>
      </c>
      <c r="I98" s="947">
        <v>51.09</v>
      </c>
    </row>
    <row r="99" spans="1:9">
      <c r="A99" s="947">
        <v>92</v>
      </c>
      <c r="B99" s="948" t="s">
        <v>1822</v>
      </c>
      <c r="C99" s="948" t="s">
        <v>2029</v>
      </c>
      <c r="D99" s="947">
        <v>47.74</v>
      </c>
      <c r="F99" s="947">
        <v>412</v>
      </c>
      <c r="G99" s="948" t="s">
        <v>1601</v>
      </c>
      <c r="H99" s="948" t="s">
        <v>1551</v>
      </c>
      <c r="I99" s="947">
        <v>59.1</v>
      </c>
    </row>
    <row r="100" spans="1:9">
      <c r="A100" s="947">
        <v>93</v>
      </c>
      <c r="B100" s="948" t="s">
        <v>1822</v>
      </c>
      <c r="C100" s="948" t="s">
        <v>2378</v>
      </c>
      <c r="D100" s="947">
        <v>56.57</v>
      </c>
      <c r="F100" s="947">
        <v>413</v>
      </c>
      <c r="G100" s="948" t="s">
        <v>2392</v>
      </c>
      <c r="H100" s="948" t="s">
        <v>2393</v>
      </c>
      <c r="I100" s="947">
        <v>44.35</v>
      </c>
    </row>
    <row r="101" spans="1:9">
      <c r="A101" s="947">
        <v>94</v>
      </c>
      <c r="B101" s="948" t="s">
        <v>1822</v>
      </c>
      <c r="C101" s="948" t="s">
        <v>2000</v>
      </c>
      <c r="D101" s="947">
        <v>55.1</v>
      </c>
      <c r="F101" s="947">
        <v>414</v>
      </c>
      <c r="G101" s="948" t="s">
        <v>2133</v>
      </c>
      <c r="H101" s="948" t="s">
        <v>1739</v>
      </c>
      <c r="I101" s="947">
        <v>63</v>
      </c>
    </row>
    <row r="102" spans="1:9">
      <c r="A102" s="947">
        <v>95</v>
      </c>
      <c r="B102" s="948" t="s">
        <v>1822</v>
      </c>
      <c r="C102" s="948" t="s">
        <v>2108</v>
      </c>
      <c r="D102" s="947">
        <v>62.2</v>
      </c>
      <c r="F102" s="947">
        <v>415</v>
      </c>
      <c r="G102" s="948" t="s">
        <v>1849</v>
      </c>
      <c r="H102" s="948" t="s">
        <v>1745</v>
      </c>
      <c r="I102" s="947">
        <v>58.1</v>
      </c>
    </row>
    <row r="103" spans="1:9">
      <c r="A103" s="947">
        <v>96</v>
      </c>
      <c r="B103" s="948" t="s">
        <v>2379</v>
      </c>
      <c r="C103" s="948" t="s">
        <v>1617</v>
      </c>
      <c r="D103" s="947">
        <v>56.11</v>
      </c>
      <c r="F103" s="947">
        <v>416</v>
      </c>
      <c r="G103" s="948" t="s">
        <v>2033</v>
      </c>
      <c r="H103" s="948" t="s">
        <v>1687</v>
      </c>
      <c r="I103" s="947">
        <v>58.73</v>
      </c>
    </row>
    <row r="104" spans="1:9">
      <c r="A104" s="947">
        <v>97</v>
      </c>
      <c r="B104" s="948" t="s">
        <v>1797</v>
      </c>
      <c r="C104" s="948" t="s">
        <v>1678</v>
      </c>
      <c r="D104" s="947">
        <v>60</v>
      </c>
      <c r="F104" s="947">
        <v>417</v>
      </c>
      <c r="G104" s="948" t="s">
        <v>2033</v>
      </c>
      <c r="H104" s="948" t="s">
        <v>1959</v>
      </c>
      <c r="I104" s="947">
        <v>57.75</v>
      </c>
    </row>
    <row r="105" spans="1:9">
      <c r="A105" s="947">
        <v>98</v>
      </c>
      <c r="B105" s="948" t="s">
        <v>1763</v>
      </c>
      <c r="C105" s="948" t="s">
        <v>1566</v>
      </c>
      <c r="D105" s="947">
        <v>25.67</v>
      </c>
      <c r="F105" s="947">
        <v>418</v>
      </c>
      <c r="G105" s="948" t="s">
        <v>2033</v>
      </c>
      <c r="H105" s="948" t="s">
        <v>1808</v>
      </c>
      <c r="I105" s="947">
        <v>24.06</v>
      </c>
    </row>
    <row r="106" spans="1:9">
      <c r="A106" s="947">
        <v>99</v>
      </c>
      <c r="B106" s="948" t="s">
        <v>1763</v>
      </c>
      <c r="C106" s="948" t="s">
        <v>1566</v>
      </c>
      <c r="D106" s="947">
        <v>3.17</v>
      </c>
      <c r="F106" s="947">
        <v>419</v>
      </c>
      <c r="G106" s="948" t="s">
        <v>2033</v>
      </c>
      <c r="H106" s="948" t="s">
        <v>3826</v>
      </c>
      <c r="I106" s="947">
        <v>50.16</v>
      </c>
    </row>
    <row r="107" spans="1:9">
      <c r="A107" s="947">
        <v>100</v>
      </c>
      <c r="B107" s="948" t="s">
        <v>1763</v>
      </c>
      <c r="C107" s="948" t="s">
        <v>1592</v>
      </c>
      <c r="D107" s="947">
        <v>30.89</v>
      </c>
      <c r="F107" s="947">
        <v>420</v>
      </c>
      <c r="G107" s="948" t="s">
        <v>2033</v>
      </c>
      <c r="H107" s="948" t="s">
        <v>1572</v>
      </c>
      <c r="I107" s="947">
        <v>40</v>
      </c>
    </row>
    <row r="108" spans="1:9">
      <c r="A108" s="947">
        <v>101</v>
      </c>
      <c r="B108" s="948" t="s">
        <v>1766</v>
      </c>
      <c r="C108" s="948" t="s">
        <v>1590</v>
      </c>
      <c r="D108" s="947">
        <v>54.6</v>
      </c>
      <c r="F108" s="947">
        <v>421</v>
      </c>
      <c r="G108" s="948" t="s">
        <v>2033</v>
      </c>
      <c r="H108" s="948" t="s">
        <v>2132</v>
      </c>
      <c r="I108" s="947">
        <v>48.4</v>
      </c>
    </row>
    <row r="109" spans="1:9">
      <c r="A109" s="947">
        <v>102</v>
      </c>
      <c r="B109" s="948" t="s">
        <v>2042</v>
      </c>
      <c r="C109" s="948" t="s">
        <v>2043</v>
      </c>
      <c r="D109" s="947">
        <v>49.87</v>
      </c>
      <c r="F109" s="947">
        <v>422</v>
      </c>
      <c r="G109" s="948" t="s">
        <v>2033</v>
      </c>
      <c r="H109" s="948" t="s">
        <v>1678</v>
      </c>
      <c r="I109" s="947">
        <v>48.3</v>
      </c>
    </row>
    <row r="110" spans="1:9">
      <c r="A110" s="947">
        <v>103</v>
      </c>
      <c r="B110" s="948" t="s">
        <v>2092</v>
      </c>
      <c r="C110" s="948" t="s">
        <v>1717</v>
      </c>
      <c r="D110" s="947">
        <v>34.700000000000003</v>
      </c>
      <c r="F110" s="947">
        <v>423</v>
      </c>
      <c r="G110" s="948" t="s">
        <v>2044</v>
      </c>
      <c r="H110" s="948" t="s">
        <v>2045</v>
      </c>
      <c r="I110" s="947">
        <v>47.68</v>
      </c>
    </row>
    <row r="111" spans="1:9">
      <c r="A111" s="947">
        <v>104</v>
      </c>
      <c r="B111" s="948" t="s">
        <v>1632</v>
      </c>
      <c r="C111" s="948" t="s">
        <v>1633</v>
      </c>
      <c r="D111" s="947">
        <v>70</v>
      </c>
      <c r="F111" s="947">
        <v>424</v>
      </c>
      <c r="G111" s="948" t="s">
        <v>2016</v>
      </c>
      <c r="H111" s="948" t="s">
        <v>1687</v>
      </c>
      <c r="I111" s="947">
        <v>35</v>
      </c>
    </row>
    <row r="112" spans="1:9">
      <c r="A112" s="947">
        <v>105</v>
      </c>
      <c r="B112" s="948" t="s">
        <v>1988</v>
      </c>
      <c r="C112" s="948" t="s">
        <v>1716</v>
      </c>
      <c r="D112" s="947">
        <v>51.97</v>
      </c>
      <c r="F112" s="947">
        <v>425</v>
      </c>
      <c r="G112" s="948" t="s">
        <v>2016</v>
      </c>
      <c r="H112" s="948" t="s">
        <v>1622</v>
      </c>
      <c r="I112" s="947">
        <v>70</v>
      </c>
    </row>
    <row r="113" spans="1:9">
      <c r="A113" s="947">
        <v>106</v>
      </c>
      <c r="B113" s="948" t="s">
        <v>1968</v>
      </c>
      <c r="C113" s="948" t="s">
        <v>1739</v>
      </c>
      <c r="D113" s="947">
        <v>43.96</v>
      </c>
      <c r="F113" s="947">
        <v>426</v>
      </c>
      <c r="G113" s="948" t="s">
        <v>1863</v>
      </c>
      <c r="H113" s="948" t="s">
        <v>1848</v>
      </c>
      <c r="I113" s="947">
        <v>37.58</v>
      </c>
    </row>
    <row r="114" spans="1:9" s="566" customFormat="1">
      <c r="A114" s="947"/>
      <c r="B114" s="948"/>
      <c r="C114" s="948"/>
      <c r="D114" s="947"/>
      <c r="F114" s="947"/>
      <c r="G114" s="948"/>
      <c r="H114" s="948"/>
      <c r="I114" s="947"/>
    </row>
    <row r="115" spans="1:9" s="566" customFormat="1" ht="15">
      <c r="A115" s="949" t="s">
        <v>3466</v>
      </c>
      <c r="B115" s="949" t="s">
        <v>1545</v>
      </c>
      <c r="C115" s="949" t="s">
        <v>1546</v>
      </c>
      <c r="D115" s="949" t="s">
        <v>1547</v>
      </c>
      <c r="F115" s="949" t="s">
        <v>3466</v>
      </c>
      <c r="G115" s="949" t="s">
        <v>1545</v>
      </c>
      <c r="H115" s="949" t="s">
        <v>1546</v>
      </c>
      <c r="I115" s="949" t="s">
        <v>1547</v>
      </c>
    </row>
    <row r="116" spans="1:9">
      <c r="A116" s="947">
        <v>107</v>
      </c>
      <c r="B116" s="948" t="s">
        <v>1838</v>
      </c>
      <c r="C116" s="948" t="s">
        <v>1900</v>
      </c>
      <c r="D116" s="947">
        <v>44</v>
      </c>
      <c r="F116" s="947">
        <v>427</v>
      </c>
      <c r="G116" s="948" t="s">
        <v>1648</v>
      </c>
      <c r="H116" s="948" t="s">
        <v>1638</v>
      </c>
      <c r="I116" s="947">
        <v>62</v>
      </c>
    </row>
    <row r="117" spans="1:9">
      <c r="A117" s="947">
        <v>108</v>
      </c>
      <c r="B117" s="948" t="s">
        <v>1838</v>
      </c>
      <c r="C117" s="948" t="s">
        <v>2029</v>
      </c>
      <c r="D117" s="947">
        <v>62.85</v>
      </c>
      <c r="F117" s="947">
        <v>428</v>
      </c>
      <c r="G117" s="948" t="s">
        <v>1950</v>
      </c>
      <c r="H117" s="948" t="s">
        <v>1554</v>
      </c>
      <c r="I117" s="947">
        <v>70</v>
      </c>
    </row>
    <row r="118" spans="1:9">
      <c r="A118" s="947">
        <v>109</v>
      </c>
      <c r="B118" s="948" t="s">
        <v>1805</v>
      </c>
      <c r="C118" s="948" t="s">
        <v>1806</v>
      </c>
      <c r="D118" s="947">
        <v>37.67</v>
      </c>
      <c r="F118" s="947">
        <v>429</v>
      </c>
      <c r="G118" s="948" t="s">
        <v>1579</v>
      </c>
      <c r="H118" s="948" t="s">
        <v>1580</v>
      </c>
      <c r="I118" s="947">
        <v>45.5</v>
      </c>
    </row>
    <row r="119" spans="1:9">
      <c r="A119" s="947">
        <v>110</v>
      </c>
      <c r="B119" s="948" t="s">
        <v>1873</v>
      </c>
      <c r="C119" s="948" t="s">
        <v>1731</v>
      </c>
      <c r="D119" s="947">
        <v>24.67</v>
      </c>
      <c r="F119" s="947">
        <v>430</v>
      </c>
      <c r="G119" s="948" t="s">
        <v>1850</v>
      </c>
      <c r="H119" s="948" t="s">
        <v>1615</v>
      </c>
      <c r="I119" s="947">
        <v>70</v>
      </c>
    </row>
    <row r="120" spans="1:9">
      <c r="A120" s="947">
        <v>111</v>
      </c>
      <c r="B120" s="948" t="s">
        <v>1955</v>
      </c>
      <c r="C120" s="948" t="s">
        <v>1559</v>
      </c>
      <c r="D120" s="947">
        <v>70</v>
      </c>
      <c r="F120" s="947">
        <v>431</v>
      </c>
      <c r="G120" s="948" t="s">
        <v>1851</v>
      </c>
      <c r="H120" s="948" t="s">
        <v>1552</v>
      </c>
      <c r="I120" s="947">
        <v>70</v>
      </c>
    </row>
    <row r="121" spans="1:9">
      <c r="A121" s="947">
        <v>112</v>
      </c>
      <c r="B121" s="948" t="s">
        <v>1973</v>
      </c>
      <c r="C121" s="948" t="s">
        <v>1974</v>
      </c>
      <c r="D121" s="947">
        <v>47.83</v>
      </c>
      <c r="F121" s="947">
        <v>432</v>
      </c>
      <c r="G121" s="948" t="s">
        <v>1851</v>
      </c>
      <c r="H121" s="948" t="s">
        <v>1590</v>
      </c>
      <c r="I121" s="947">
        <v>62.2</v>
      </c>
    </row>
    <row r="122" spans="1:9">
      <c r="A122" s="947">
        <v>113</v>
      </c>
      <c r="B122" s="948" t="s">
        <v>2067</v>
      </c>
      <c r="C122" s="948" t="s">
        <v>2068</v>
      </c>
      <c r="D122" s="947">
        <v>33</v>
      </c>
      <c r="F122" s="947">
        <v>433</v>
      </c>
      <c r="G122" s="948" t="s">
        <v>2121</v>
      </c>
      <c r="H122" s="948" t="s">
        <v>2122</v>
      </c>
      <c r="I122" s="947">
        <v>24.98</v>
      </c>
    </row>
    <row r="123" spans="1:9">
      <c r="A123" s="947">
        <v>114</v>
      </c>
      <c r="B123" s="948" t="s">
        <v>2098</v>
      </c>
      <c r="C123" s="948" t="s">
        <v>1625</v>
      </c>
      <c r="D123" s="947">
        <v>37.99</v>
      </c>
      <c r="F123" s="947">
        <v>434</v>
      </c>
      <c r="G123" s="948" t="s">
        <v>1628</v>
      </c>
      <c r="H123" s="948" t="s">
        <v>1629</v>
      </c>
      <c r="I123" s="947">
        <v>67.33</v>
      </c>
    </row>
    <row r="124" spans="1:9">
      <c r="A124" s="947">
        <v>115</v>
      </c>
      <c r="B124" s="948" t="s">
        <v>1693</v>
      </c>
      <c r="C124" s="948" t="s">
        <v>1694</v>
      </c>
      <c r="D124" s="947">
        <v>62</v>
      </c>
      <c r="F124" s="947">
        <v>435</v>
      </c>
      <c r="G124" s="948" t="s">
        <v>1583</v>
      </c>
      <c r="H124" s="948" t="s">
        <v>1584</v>
      </c>
      <c r="I124" s="947">
        <v>38.200000000000003</v>
      </c>
    </row>
    <row r="125" spans="1:9">
      <c r="A125" s="947">
        <v>116</v>
      </c>
      <c r="B125" s="948" t="s">
        <v>1652</v>
      </c>
      <c r="C125" s="948" t="s">
        <v>1653</v>
      </c>
      <c r="D125" s="947">
        <v>70</v>
      </c>
      <c r="F125" s="947">
        <v>436</v>
      </c>
      <c r="G125" s="948" t="s">
        <v>2093</v>
      </c>
      <c r="H125" s="948" t="s">
        <v>2094</v>
      </c>
      <c r="I125" s="947">
        <v>50.83</v>
      </c>
    </row>
    <row r="126" spans="1:9">
      <c r="A126" s="947">
        <v>117</v>
      </c>
      <c r="B126" s="948" t="s">
        <v>2101</v>
      </c>
      <c r="C126" s="948" t="s">
        <v>1930</v>
      </c>
      <c r="D126" s="947">
        <v>51.2</v>
      </c>
      <c r="F126" s="947">
        <v>437</v>
      </c>
      <c r="G126" s="948" t="s">
        <v>1721</v>
      </c>
      <c r="H126" s="948" t="s">
        <v>1722</v>
      </c>
      <c r="I126" s="947">
        <v>66.2</v>
      </c>
    </row>
    <row r="127" spans="1:9">
      <c r="A127" s="947">
        <v>118</v>
      </c>
      <c r="B127" s="948" t="s">
        <v>1709</v>
      </c>
      <c r="C127" s="948" t="s">
        <v>1568</v>
      </c>
      <c r="D127" s="947">
        <v>41.2</v>
      </c>
      <c r="F127" s="947">
        <v>438</v>
      </c>
      <c r="G127" s="948" t="s">
        <v>1736</v>
      </c>
      <c r="H127" s="948" t="s">
        <v>1554</v>
      </c>
      <c r="I127" s="947">
        <v>49</v>
      </c>
    </row>
    <row r="128" spans="1:9">
      <c r="A128" s="947">
        <v>119</v>
      </c>
      <c r="B128" s="948" t="s">
        <v>1709</v>
      </c>
      <c r="C128" s="948" t="s">
        <v>1574</v>
      </c>
      <c r="D128" s="947">
        <v>70</v>
      </c>
      <c r="F128" s="947">
        <v>439</v>
      </c>
      <c r="G128" s="948" t="s">
        <v>2028</v>
      </c>
      <c r="H128" s="948" t="s">
        <v>1578</v>
      </c>
      <c r="I128" s="947">
        <v>31.78</v>
      </c>
    </row>
    <row r="129" spans="1:9">
      <c r="A129" s="947">
        <v>120</v>
      </c>
      <c r="B129" s="948" t="s">
        <v>1893</v>
      </c>
      <c r="C129" s="948" t="s">
        <v>1894</v>
      </c>
      <c r="D129" s="947">
        <v>60.5</v>
      </c>
      <c r="F129" s="947">
        <v>440</v>
      </c>
      <c r="G129" s="948" t="s">
        <v>2028</v>
      </c>
      <c r="H129" s="948" t="s">
        <v>1741</v>
      </c>
      <c r="I129" s="947">
        <v>20.25</v>
      </c>
    </row>
    <row r="130" spans="1:9">
      <c r="A130" s="947">
        <v>121</v>
      </c>
      <c r="B130" s="948" t="s">
        <v>1710</v>
      </c>
      <c r="C130" s="948" t="s">
        <v>1590</v>
      </c>
      <c r="D130" s="947">
        <v>35.6</v>
      </c>
      <c r="F130" s="947">
        <v>441</v>
      </c>
      <c r="G130" s="948" t="s">
        <v>1782</v>
      </c>
      <c r="H130" s="948" t="s">
        <v>1783</v>
      </c>
      <c r="I130" s="947">
        <v>25.5</v>
      </c>
    </row>
    <row r="131" spans="1:9">
      <c r="A131" s="947">
        <v>122</v>
      </c>
      <c r="B131" s="948" t="s">
        <v>1548</v>
      </c>
      <c r="C131" s="948" t="s">
        <v>1549</v>
      </c>
      <c r="D131" s="947">
        <v>50.4</v>
      </c>
      <c r="F131" s="947">
        <v>442</v>
      </c>
      <c r="G131" s="948" t="s">
        <v>2047</v>
      </c>
      <c r="H131" s="948" t="s">
        <v>1631</v>
      </c>
      <c r="I131" s="947">
        <v>58</v>
      </c>
    </row>
    <row r="132" spans="1:9">
      <c r="A132" s="947">
        <v>123</v>
      </c>
      <c r="B132" s="948" t="s">
        <v>2095</v>
      </c>
      <c r="C132" s="948" t="s">
        <v>1741</v>
      </c>
      <c r="D132" s="947">
        <v>48.17</v>
      </c>
      <c r="F132" s="947">
        <v>443</v>
      </c>
      <c r="G132" s="948" t="s">
        <v>1769</v>
      </c>
      <c r="H132" s="948" t="s">
        <v>1570</v>
      </c>
      <c r="I132" s="947">
        <v>43.1</v>
      </c>
    </row>
    <row r="133" spans="1:9">
      <c r="A133" s="947">
        <v>124</v>
      </c>
      <c r="B133" s="948" t="s">
        <v>2380</v>
      </c>
      <c r="C133" s="948" t="s">
        <v>2022</v>
      </c>
      <c r="D133" s="947">
        <v>59.04</v>
      </c>
      <c r="F133" s="947">
        <v>444</v>
      </c>
      <c r="G133" s="948" t="s">
        <v>1839</v>
      </c>
      <c r="H133" s="948" t="s">
        <v>1840</v>
      </c>
      <c r="I133" s="947">
        <v>62.81</v>
      </c>
    </row>
    <row r="134" spans="1:9">
      <c r="A134" s="947">
        <v>125</v>
      </c>
      <c r="B134" s="948" t="s">
        <v>1836</v>
      </c>
      <c r="C134" s="948" t="s">
        <v>1837</v>
      </c>
      <c r="D134" s="947">
        <v>41.42</v>
      </c>
      <c r="F134" s="947">
        <v>445</v>
      </c>
      <c r="G134" s="948" t="s">
        <v>2082</v>
      </c>
      <c r="H134" s="948" t="s">
        <v>2083</v>
      </c>
      <c r="I134" s="947">
        <v>66.09</v>
      </c>
    </row>
    <row r="135" spans="1:9">
      <c r="A135" s="947">
        <v>126</v>
      </c>
      <c r="B135" s="948" t="s">
        <v>1836</v>
      </c>
      <c r="C135" s="948" t="s">
        <v>1595</v>
      </c>
      <c r="D135" s="947">
        <v>48.67</v>
      </c>
      <c r="F135" s="947">
        <v>446</v>
      </c>
      <c r="G135" s="948" t="s">
        <v>1969</v>
      </c>
      <c r="H135" s="948" t="s">
        <v>1568</v>
      </c>
      <c r="I135" s="947">
        <v>35.979999999999997</v>
      </c>
    </row>
    <row r="136" spans="1:9">
      <c r="A136" s="947">
        <v>127</v>
      </c>
      <c r="B136" s="948" t="s">
        <v>3808</v>
      </c>
      <c r="C136" s="948" t="s">
        <v>1930</v>
      </c>
      <c r="D136" s="947">
        <v>53.66</v>
      </c>
      <c r="F136" s="947">
        <v>447</v>
      </c>
      <c r="G136" s="948" t="s">
        <v>1969</v>
      </c>
      <c r="H136" s="948" t="s">
        <v>1568</v>
      </c>
      <c r="I136" s="947">
        <v>70</v>
      </c>
    </row>
    <row r="137" spans="1:9">
      <c r="A137" s="947">
        <v>128</v>
      </c>
      <c r="B137" s="948" t="s">
        <v>1830</v>
      </c>
      <c r="C137" s="948" t="s">
        <v>1831</v>
      </c>
      <c r="D137" s="947">
        <v>70</v>
      </c>
      <c r="F137" s="947">
        <v>448</v>
      </c>
      <c r="G137" s="948" t="s">
        <v>2165</v>
      </c>
      <c r="H137" s="948" t="s">
        <v>2166</v>
      </c>
      <c r="I137" s="947">
        <v>52.33</v>
      </c>
    </row>
    <row r="138" spans="1:9">
      <c r="A138" s="947">
        <v>129</v>
      </c>
      <c r="B138" s="948" t="s">
        <v>2381</v>
      </c>
      <c r="C138" s="948" t="s">
        <v>1717</v>
      </c>
      <c r="D138" s="947">
        <v>55.99</v>
      </c>
      <c r="F138" s="947">
        <v>449</v>
      </c>
      <c r="G138" s="948" t="s">
        <v>3827</v>
      </c>
      <c r="H138" s="948" t="s">
        <v>1759</v>
      </c>
      <c r="I138" s="947">
        <v>59.31</v>
      </c>
    </row>
    <row r="139" spans="1:9">
      <c r="A139" s="947">
        <v>130</v>
      </c>
      <c r="B139" s="948" t="s">
        <v>3809</v>
      </c>
      <c r="C139" s="948" t="s">
        <v>1728</v>
      </c>
      <c r="D139" s="947">
        <v>60.68</v>
      </c>
      <c r="F139" s="947">
        <v>450</v>
      </c>
      <c r="G139" s="948" t="s">
        <v>2394</v>
      </c>
      <c r="H139" s="948" t="s">
        <v>1717</v>
      </c>
      <c r="I139" s="947">
        <v>44.93</v>
      </c>
    </row>
    <row r="140" spans="1:9">
      <c r="A140" s="947">
        <v>131</v>
      </c>
      <c r="B140" s="948" t="s">
        <v>1616</v>
      </c>
      <c r="C140" s="948" t="s">
        <v>1617</v>
      </c>
      <c r="D140" s="947">
        <v>26</v>
      </c>
      <c r="F140" s="947">
        <v>451</v>
      </c>
      <c r="G140" s="948" t="s">
        <v>1795</v>
      </c>
      <c r="H140" s="948" t="s">
        <v>1796</v>
      </c>
      <c r="I140" s="947">
        <v>54.42</v>
      </c>
    </row>
    <row r="141" spans="1:9">
      <c r="A141" s="947">
        <v>132</v>
      </c>
      <c r="B141" s="948" t="s">
        <v>1616</v>
      </c>
      <c r="C141" s="948" t="s">
        <v>1625</v>
      </c>
      <c r="D141" s="947">
        <v>70</v>
      </c>
      <c r="F141" s="947">
        <v>452</v>
      </c>
      <c r="G141" s="948" t="s">
        <v>1977</v>
      </c>
      <c r="H141" s="948" t="s">
        <v>1985</v>
      </c>
      <c r="I141" s="947">
        <v>36.159999999999997</v>
      </c>
    </row>
    <row r="142" spans="1:9">
      <c r="A142" s="947">
        <v>133</v>
      </c>
      <c r="B142" s="948" t="s">
        <v>1890</v>
      </c>
      <c r="C142" s="948" t="s">
        <v>1557</v>
      </c>
      <c r="D142" s="947">
        <v>63.4</v>
      </c>
      <c r="F142" s="947">
        <v>453</v>
      </c>
      <c r="G142" s="948" t="s">
        <v>3828</v>
      </c>
      <c r="H142" s="948" t="s">
        <v>3829</v>
      </c>
      <c r="I142" s="947">
        <v>46.33</v>
      </c>
    </row>
    <row r="143" spans="1:9">
      <c r="A143" s="947">
        <v>134</v>
      </c>
      <c r="B143" s="948" t="s">
        <v>1890</v>
      </c>
      <c r="C143" s="948" t="s">
        <v>1715</v>
      </c>
      <c r="D143" s="947">
        <v>50.24</v>
      </c>
      <c r="F143" s="947">
        <v>454</v>
      </c>
      <c r="G143" s="948" t="s">
        <v>1801</v>
      </c>
      <c r="H143" s="948" t="s">
        <v>1802</v>
      </c>
      <c r="I143" s="947">
        <v>31.4</v>
      </c>
    </row>
    <row r="144" spans="1:9">
      <c r="A144" s="947">
        <v>135</v>
      </c>
      <c r="B144" s="948" t="s">
        <v>2104</v>
      </c>
      <c r="C144" s="948" t="s">
        <v>1606</v>
      </c>
      <c r="D144" s="947">
        <v>57.33</v>
      </c>
      <c r="F144" s="947">
        <v>455</v>
      </c>
      <c r="G144" s="948" t="s">
        <v>1813</v>
      </c>
      <c r="H144" s="948" t="s">
        <v>1678</v>
      </c>
      <c r="I144" s="947">
        <v>42.83</v>
      </c>
    </row>
    <row r="145" spans="1:9">
      <c r="A145" s="947">
        <v>136</v>
      </c>
      <c r="B145" s="948" t="s">
        <v>1824</v>
      </c>
      <c r="C145" s="948" t="s">
        <v>1825</v>
      </c>
      <c r="D145" s="947">
        <v>50.65</v>
      </c>
      <c r="F145" s="947">
        <v>456</v>
      </c>
      <c r="G145" s="948" t="s">
        <v>1813</v>
      </c>
      <c r="H145" s="948" t="s">
        <v>1549</v>
      </c>
      <c r="I145" s="947">
        <v>62.57</v>
      </c>
    </row>
    <row r="146" spans="1:9">
      <c r="A146" s="947">
        <v>137</v>
      </c>
      <c r="B146" s="948" t="s">
        <v>1589</v>
      </c>
      <c r="C146" s="948" t="s">
        <v>1590</v>
      </c>
      <c r="D146" s="947">
        <v>43.33</v>
      </c>
      <c r="F146" s="947">
        <v>457</v>
      </c>
      <c r="G146" s="948" t="s">
        <v>1980</v>
      </c>
      <c r="H146" s="948" t="s">
        <v>1981</v>
      </c>
      <c r="I146" s="947">
        <v>47</v>
      </c>
    </row>
    <row r="147" spans="1:9">
      <c r="A147" s="947">
        <v>138</v>
      </c>
      <c r="B147" s="948" t="s">
        <v>1883</v>
      </c>
      <c r="C147" s="948" t="s">
        <v>1884</v>
      </c>
      <c r="D147" s="947">
        <v>50.3</v>
      </c>
      <c r="F147" s="947">
        <v>458</v>
      </c>
      <c r="G147" s="948" t="s">
        <v>1921</v>
      </c>
      <c r="H147" s="948" t="s">
        <v>1922</v>
      </c>
      <c r="I147" s="947">
        <v>70</v>
      </c>
    </row>
    <row r="148" spans="1:9">
      <c r="A148" s="947">
        <v>139</v>
      </c>
      <c r="B148" s="948" t="s">
        <v>2038</v>
      </c>
      <c r="C148" s="948" t="s">
        <v>3810</v>
      </c>
      <c r="D148" s="947">
        <v>51.38</v>
      </c>
      <c r="F148" s="947">
        <v>459</v>
      </c>
      <c r="G148" s="948" t="s">
        <v>2014</v>
      </c>
      <c r="H148" s="948" t="s">
        <v>1907</v>
      </c>
      <c r="I148" s="947">
        <v>35</v>
      </c>
    </row>
    <row r="149" spans="1:9">
      <c r="A149" s="947">
        <v>140</v>
      </c>
      <c r="B149" s="948" t="s">
        <v>1569</v>
      </c>
      <c r="C149" s="948" t="s">
        <v>1570</v>
      </c>
      <c r="D149" s="947">
        <v>31.4</v>
      </c>
      <c r="F149" s="947">
        <v>460</v>
      </c>
      <c r="G149" s="948" t="s">
        <v>1729</v>
      </c>
      <c r="H149" s="948" t="s">
        <v>1703</v>
      </c>
      <c r="I149" s="947">
        <v>65.5</v>
      </c>
    </row>
    <row r="150" spans="1:9">
      <c r="A150" s="947">
        <v>141</v>
      </c>
      <c r="B150" s="948" t="s">
        <v>1732</v>
      </c>
      <c r="C150" s="948" t="s">
        <v>1606</v>
      </c>
      <c r="D150" s="947">
        <v>43.1</v>
      </c>
      <c r="F150" s="947">
        <v>461</v>
      </c>
      <c r="G150" s="948" t="s">
        <v>2055</v>
      </c>
      <c r="H150" s="948" t="s">
        <v>1633</v>
      </c>
      <c r="I150" s="947">
        <v>67.52</v>
      </c>
    </row>
    <row r="151" spans="1:9">
      <c r="A151" s="947">
        <v>142</v>
      </c>
      <c r="B151" s="948" t="s">
        <v>1711</v>
      </c>
      <c r="C151" s="948" t="s">
        <v>1568</v>
      </c>
      <c r="D151" s="947">
        <v>58</v>
      </c>
      <c r="F151" s="947">
        <v>462</v>
      </c>
      <c r="G151" s="948" t="s">
        <v>2057</v>
      </c>
      <c r="H151" s="948" t="s">
        <v>1566</v>
      </c>
      <c r="I151" s="947">
        <v>43.7</v>
      </c>
    </row>
    <row r="152" spans="1:9">
      <c r="A152" s="947">
        <v>143</v>
      </c>
      <c r="B152" s="948" t="s">
        <v>1938</v>
      </c>
      <c r="C152" s="948" t="s">
        <v>1894</v>
      </c>
      <c r="D152" s="947">
        <v>15</v>
      </c>
      <c r="F152" s="947">
        <v>463</v>
      </c>
      <c r="G152" s="948" t="s">
        <v>2395</v>
      </c>
      <c r="H152" s="948" t="s">
        <v>2396</v>
      </c>
      <c r="I152" s="947">
        <v>56.83</v>
      </c>
    </row>
    <row r="153" spans="1:9">
      <c r="A153" s="947">
        <v>144</v>
      </c>
      <c r="B153" s="948" t="s">
        <v>1938</v>
      </c>
      <c r="C153" s="948" t="s">
        <v>1957</v>
      </c>
      <c r="D153" s="947">
        <v>48.29</v>
      </c>
      <c r="F153" s="947">
        <v>464</v>
      </c>
      <c r="G153" s="948" t="s">
        <v>2062</v>
      </c>
      <c r="H153" s="948" t="s">
        <v>1595</v>
      </c>
      <c r="I153" s="947">
        <v>65.48</v>
      </c>
    </row>
    <row r="154" spans="1:9">
      <c r="A154" s="947">
        <v>145</v>
      </c>
      <c r="B154" s="948" t="s">
        <v>1938</v>
      </c>
      <c r="C154" s="948" t="s">
        <v>1592</v>
      </c>
      <c r="D154" s="947">
        <v>70</v>
      </c>
      <c r="F154" s="947">
        <v>465</v>
      </c>
      <c r="G154" s="948" t="s">
        <v>2134</v>
      </c>
      <c r="H154" s="948" t="s">
        <v>1900</v>
      </c>
      <c r="I154" s="947">
        <v>35</v>
      </c>
    </row>
    <row r="155" spans="1:9">
      <c r="A155" s="947">
        <v>146</v>
      </c>
      <c r="B155" s="948" t="s">
        <v>2001</v>
      </c>
      <c r="C155" s="948" t="s">
        <v>1554</v>
      </c>
      <c r="D155" s="947">
        <v>67.11</v>
      </c>
      <c r="F155" s="947">
        <v>466</v>
      </c>
      <c r="G155" s="948" t="s">
        <v>1889</v>
      </c>
      <c r="H155" s="948" t="s">
        <v>1559</v>
      </c>
      <c r="I155" s="947">
        <v>30.9</v>
      </c>
    </row>
    <row r="156" spans="1:9">
      <c r="A156" s="947">
        <v>147</v>
      </c>
      <c r="B156" s="948" t="s">
        <v>2007</v>
      </c>
      <c r="C156" s="948" t="s">
        <v>2008</v>
      </c>
      <c r="D156" s="947">
        <v>48.6</v>
      </c>
      <c r="F156" s="947">
        <v>467</v>
      </c>
      <c r="G156" s="948" t="s">
        <v>1889</v>
      </c>
      <c r="H156" s="948" t="s">
        <v>1584</v>
      </c>
      <c r="I156" s="947">
        <v>57.02</v>
      </c>
    </row>
    <row r="157" spans="1:9">
      <c r="A157" s="947">
        <v>148</v>
      </c>
      <c r="B157" s="948" t="s">
        <v>1879</v>
      </c>
      <c r="C157" s="948" t="s">
        <v>1625</v>
      </c>
      <c r="D157" s="947">
        <v>70</v>
      </c>
      <c r="F157" s="947">
        <v>468</v>
      </c>
      <c r="G157" s="948" t="s">
        <v>3830</v>
      </c>
      <c r="H157" s="948" t="s">
        <v>3831</v>
      </c>
      <c r="I157" s="947">
        <v>56.66</v>
      </c>
    </row>
    <row r="158" spans="1:9">
      <c r="A158" s="947">
        <v>149</v>
      </c>
      <c r="B158" s="948" t="s">
        <v>2119</v>
      </c>
      <c r="C158" s="948" t="s">
        <v>1572</v>
      </c>
      <c r="D158" s="947">
        <v>69.489999999999995</v>
      </c>
      <c r="F158" s="947">
        <v>469</v>
      </c>
      <c r="G158" s="948" t="s">
        <v>2025</v>
      </c>
      <c r="H158" s="948" t="s">
        <v>1570</v>
      </c>
      <c r="I158" s="947">
        <v>44.38</v>
      </c>
    </row>
    <row r="159" spans="1:9">
      <c r="A159" s="947">
        <v>150</v>
      </c>
      <c r="B159" s="948" t="s">
        <v>1983</v>
      </c>
      <c r="C159" s="948" t="s">
        <v>1984</v>
      </c>
      <c r="D159" s="947">
        <v>31.94</v>
      </c>
      <c r="F159" s="947">
        <v>470</v>
      </c>
      <c r="G159" s="948" t="s">
        <v>1737</v>
      </c>
      <c r="H159" s="948" t="s">
        <v>1555</v>
      </c>
      <c r="I159" s="947">
        <v>55</v>
      </c>
    </row>
    <row r="160" spans="1:9">
      <c r="A160" s="947">
        <v>151</v>
      </c>
      <c r="B160" s="948" t="s">
        <v>1983</v>
      </c>
      <c r="C160" s="948" t="s">
        <v>1767</v>
      </c>
      <c r="D160" s="947">
        <v>58.21</v>
      </c>
      <c r="F160" s="947">
        <v>471</v>
      </c>
      <c r="G160" s="948" t="s">
        <v>3832</v>
      </c>
      <c r="H160" s="948" t="s">
        <v>3833</v>
      </c>
      <c r="I160" s="947">
        <v>55.15</v>
      </c>
    </row>
    <row r="161" spans="1:9">
      <c r="A161" s="947">
        <v>152</v>
      </c>
      <c r="B161" s="948" t="s">
        <v>1983</v>
      </c>
      <c r="C161" s="948" t="s">
        <v>1959</v>
      </c>
      <c r="D161" s="947">
        <v>36.47</v>
      </c>
      <c r="F161" s="947">
        <v>472</v>
      </c>
      <c r="G161" s="948" t="s">
        <v>1908</v>
      </c>
      <c r="H161" s="948" t="s">
        <v>1781</v>
      </c>
      <c r="I161" s="947">
        <v>63</v>
      </c>
    </row>
    <row r="162" spans="1:9">
      <c r="A162" s="947">
        <v>153</v>
      </c>
      <c r="B162" s="948" t="s">
        <v>2151</v>
      </c>
      <c r="C162" s="948" t="s">
        <v>2152</v>
      </c>
      <c r="D162" s="947">
        <v>28.3</v>
      </c>
      <c r="F162" s="947">
        <v>473</v>
      </c>
      <c r="G162" s="948" t="s">
        <v>1817</v>
      </c>
      <c r="H162" s="948" t="s">
        <v>1818</v>
      </c>
      <c r="I162" s="947">
        <v>32.65</v>
      </c>
    </row>
    <row r="163" spans="1:9">
      <c r="A163" s="947">
        <v>154</v>
      </c>
      <c r="B163" s="948" t="s">
        <v>2089</v>
      </c>
      <c r="C163" s="948" t="s">
        <v>1590</v>
      </c>
      <c r="D163" s="947">
        <v>42.82</v>
      </c>
      <c r="F163" s="947">
        <v>474</v>
      </c>
      <c r="G163" s="948" t="s">
        <v>1810</v>
      </c>
      <c r="H163" s="948" t="s">
        <v>1570</v>
      </c>
      <c r="I163" s="947">
        <v>32</v>
      </c>
    </row>
    <row r="164" spans="1:9">
      <c r="A164" s="947">
        <v>155</v>
      </c>
      <c r="B164" s="948" t="s">
        <v>2172</v>
      </c>
      <c r="C164" s="948" t="s">
        <v>1840</v>
      </c>
      <c r="D164" s="947">
        <v>36.67</v>
      </c>
      <c r="F164" s="947">
        <v>475</v>
      </c>
      <c r="G164" s="948" t="s">
        <v>1647</v>
      </c>
      <c r="H164" s="948" t="s">
        <v>1572</v>
      </c>
      <c r="I164" s="947">
        <v>68.86</v>
      </c>
    </row>
    <row r="165" spans="1:9">
      <c r="A165" s="947">
        <v>156</v>
      </c>
      <c r="B165" s="948" t="s">
        <v>2157</v>
      </c>
      <c r="C165" s="948" t="s">
        <v>2158</v>
      </c>
      <c r="D165" s="947">
        <v>20.079999999999998</v>
      </c>
      <c r="F165" s="947">
        <v>476</v>
      </c>
      <c r="G165" s="948" t="s">
        <v>1680</v>
      </c>
      <c r="H165" s="948" t="s">
        <v>1681</v>
      </c>
      <c r="I165" s="947">
        <v>44</v>
      </c>
    </row>
    <row r="166" spans="1:9">
      <c r="A166" s="947">
        <v>157</v>
      </c>
      <c r="B166" s="948" t="s">
        <v>1855</v>
      </c>
      <c r="C166" s="948" t="s">
        <v>1638</v>
      </c>
      <c r="D166" s="947">
        <v>31</v>
      </c>
      <c r="F166" s="947">
        <v>477</v>
      </c>
      <c r="G166" s="948" t="s">
        <v>1641</v>
      </c>
      <c r="H166" s="948" t="s">
        <v>1642</v>
      </c>
      <c r="I166" s="947">
        <v>27</v>
      </c>
    </row>
    <row r="167" spans="1:9">
      <c r="A167" s="947">
        <v>158</v>
      </c>
      <c r="B167" s="948" t="s">
        <v>1807</v>
      </c>
      <c r="C167" s="948" t="s">
        <v>1617</v>
      </c>
      <c r="D167" s="947">
        <v>59.67</v>
      </c>
      <c r="F167" s="947">
        <v>478</v>
      </c>
      <c r="G167" s="948" t="s">
        <v>1552</v>
      </c>
      <c r="H167" s="948" t="s">
        <v>1985</v>
      </c>
      <c r="I167" s="947">
        <v>40.67</v>
      </c>
    </row>
    <row r="168" spans="1:9">
      <c r="A168" s="947">
        <v>159</v>
      </c>
      <c r="B168" s="948" t="s">
        <v>1834</v>
      </c>
      <c r="C168" s="948" t="s">
        <v>1653</v>
      </c>
      <c r="D168" s="947">
        <v>28.2</v>
      </c>
      <c r="F168" s="947">
        <v>479</v>
      </c>
      <c r="G168" s="948" t="s">
        <v>1852</v>
      </c>
      <c r="H168" s="948" t="s">
        <v>1572</v>
      </c>
      <c r="I168" s="947">
        <v>40</v>
      </c>
    </row>
    <row r="169" spans="1:9">
      <c r="A169" s="947">
        <v>160</v>
      </c>
      <c r="B169" s="948" t="s">
        <v>1673</v>
      </c>
      <c r="C169" s="948" t="s">
        <v>1674</v>
      </c>
      <c r="D169" s="947">
        <v>60.12</v>
      </c>
      <c r="F169" s="947">
        <v>480</v>
      </c>
      <c r="G169" s="948" t="s">
        <v>1852</v>
      </c>
      <c r="H169" s="948" t="s">
        <v>1615</v>
      </c>
      <c r="I169" s="947">
        <v>55.24</v>
      </c>
    </row>
    <row r="170" spans="1:9">
      <c r="A170" s="947">
        <v>161</v>
      </c>
      <c r="B170" s="948" t="s">
        <v>2149</v>
      </c>
      <c r="C170" s="948" t="s">
        <v>2150</v>
      </c>
      <c r="D170" s="947">
        <v>33</v>
      </c>
      <c r="F170" s="947">
        <v>481</v>
      </c>
      <c r="G170" s="948" t="s">
        <v>1852</v>
      </c>
      <c r="H170" s="948" t="s">
        <v>1676</v>
      </c>
      <c r="I170" s="947">
        <v>44.04</v>
      </c>
    </row>
    <row r="171" spans="1:9" s="566" customFormat="1">
      <c r="A171" s="947"/>
      <c r="B171" s="948"/>
      <c r="C171" s="948"/>
      <c r="D171" s="947"/>
      <c r="F171" s="947"/>
      <c r="G171" s="948"/>
      <c r="H171" s="948"/>
      <c r="I171" s="947"/>
    </row>
    <row r="172" spans="1:9" s="566" customFormat="1" ht="15">
      <c r="A172" s="949" t="s">
        <v>3466</v>
      </c>
      <c r="B172" s="949" t="s">
        <v>1545</v>
      </c>
      <c r="C172" s="949" t="s">
        <v>1546</v>
      </c>
      <c r="D172" s="949" t="s">
        <v>1547</v>
      </c>
      <c r="F172" s="949" t="s">
        <v>3466</v>
      </c>
      <c r="G172" s="949" t="s">
        <v>1545</v>
      </c>
      <c r="H172" s="949" t="s">
        <v>1546</v>
      </c>
      <c r="I172" s="949" t="s">
        <v>1547</v>
      </c>
    </row>
    <row r="173" spans="1:9">
      <c r="A173" s="947">
        <v>162</v>
      </c>
      <c r="B173" s="948" t="s">
        <v>2051</v>
      </c>
      <c r="C173" s="948" t="s">
        <v>2052</v>
      </c>
      <c r="D173" s="947">
        <v>43.6</v>
      </c>
      <c r="F173" s="947">
        <v>482</v>
      </c>
      <c r="G173" s="948" t="s">
        <v>2397</v>
      </c>
      <c r="H173" s="948" t="s">
        <v>2398</v>
      </c>
      <c r="I173" s="947">
        <v>32.840000000000003</v>
      </c>
    </row>
    <row r="174" spans="1:9">
      <c r="A174" s="947">
        <v>163</v>
      </c>
      <c r="B174" s="948" t="s">
        <v>1875</v>
      </c>
      <c r="C174" s="948" t="s">
        <v>1739</v>
      </c>
      <c r="D174" s="947">
        <v>22.57</v>
      </c>
      <c r="F174" s="947">
        <v>483</v>
      </c>
      <c r="G174" s="948" t="s">
        <v>1565</v>
      </c>
      <c r="H174" s="948" t="s">
        <v>1566</v>
      </c>
      <c r="I174" s="947">
        <v>43.82</v>
      </c>
    </row>
    <row r="175" spans="1:9">
      <c r="A175" s="947">
        <v>164</v>
      </c>
      <c r="B175" s="948" t="s">
        <v>1875</v>
      </c>
      <c r="C175" s="948" t="s">
        <v>1637</v>
      </c>
      <c r="D175" s="947">
        <v>49</v>
      </c>
      <c r="F175" s="947">
        <v>484</v>
      </c>
      <c r="G175" s="948" t="s">
        <v>1565</v>
      </c>
      <c r="H175" s="948" t="s">
        <v>1604</v>
      </c>
      <c r="I175" s="947">
        <v>45</v>
      </c>
    </row>
    <row r="176" spans="1:9">
      <c r="A176" s="947">
        <v>165</v>
      </c>
      <c r="B176" s="948" t="s">
        <v>1847</v>
      </c>
      <c r="C176" s="948" t="s">
        <v>1848</v>
      </c>
      <c r="D176" s="947">
        <v>20.399999999999999</v>
      </c>
      <c r="F176" s="947">
        <v>485</v>
      </c>
      <c r="G176" s="948" t="s">
        <v>1565</v>
      </c>
      <c r="H176" s="948" t="s">
        <v>1704</v>
      </c>
      <c r="I176" s="947">
        <v>46.67</v>
      </c>
    </row>
    <row r="177" spans="1:9">
      <c r="A177" s="947">
        <v>166</v>
      </c>
      <c r="B177" s="948" t="s">
        <v>1847</v>
      </c>
      <c r="C177" s="948" t="s">
        <v>1776</v>
      </c>
      <c r="D177" s="947">
        <v>46.3</v>
      </c>
      <c r="F177" s="947">
        <v>486</v>
      </c>
      <c r="G177" s="948" t="s">
        <v>1972</v>
      </c>
      <c r="H177" s="948" t="s">
        <v>1584</v>
      </c>
      <c r="I177" s="947">
        <v>63.78</v>
      </c>
    </row>
    <row r="178" spans="1:9">
      <c r="A178" s="947">
        <v>167</v>
      </c>
      <c r="B178" s="948" t="s">
        <v>2037</v>
      </c>
      <c r="C178" s="948" t="s">
        <v>1584</v>
      </c>
      <c r="D178" s="947">
        <v>59.55</v>
      </c>
      <c r="F178" s="947">
        <v>487</v>
      </c>
      <c r="G178" s="948" t="s">
        <v>1820</v>
      </c>
      <c r="H178" s="948" t="s">
        <v>1821</v>
      </c>
      <c r="I178" s="947">
        <v>36.299999999999997</v>
      </c>
    </row>
    <row r="179" spans="1:9">
      <c r="A179" s="947">
        <v>168</v>
      </c>
      <c r="B179" s="948" t="s">
        <v>3811</v>
      </c>
      <c r="C179" s="948" t="s">
        <v>3812</v>
      </c>
      <c r="D179" s="947">
        <v>70</v>
      </c>
      <c r="F179" s="947">
        <v>488</v>
      </c>
      <c r="G179" s="948" t="s">
        <v>1943</v>
      </c>
      <c r="H179" s="948" t="s">
        <v>1611</v>
      </c>
      <c r="I179" s="947">
        <v>70</v>
      </c>
    </row>
    <row r="180" spans="1:9">
      <c r="A180" s="947">
        <v>169</v>
      </c>
      <c r="B180" s="948" t="s">
        <v>1595</v>
      </c>
      <c r="C180" s="948" t="s">
        <v>1590</v>
      </c>
      <c r="D180" s="947">
        <v>60.64</v>
      </c>
      <c r="F180" s="947">
        <v>489</v>
      </c>
      <c r="G180" s="948" t="s">
        <v>3834</v>
      </c>
      <c r="H180" s="948" t="s">
        <v>2066</v>
      </c>
      <c r="I180" s="947">
        <v>70</v>
      </c>
    </row>
    <row r="181" spans="1:9">
      <c r="A181" s="947">
        <v>170</v>
      </c>
      <c r="B181" s="948" t="s">
        <v>1595</v>
      </c>
      <c r="C181" s="948" t="s">
        <v>1985</v>
      </c>
      <c r="D181" s="947">
        <v>33.869999999999997</v>
      </c>
      <c r="F181" s="947">
        <v>490</v>
      </c>
      <c r="G181" s="948" t="s">
        <v>1654</v>
      </c>
      <c r="H181" s="948" t="s">
        <v>1572</v>
      </c>
      <c r="I181" s="947">
        <v>30.3</v>
      </c>
    </row>
    <row r="182" spans="1:9">
      <c r="A182" s="947">
        <v>171</v>
      </c>
      <c r="B182" s="948" t="s">
        <v>1595</v>
      </c>
      <c r="C182" s="948" t="s">
        <v>1570</v>
      </c>
      <c r="D182" s="947">
        <v>58.94</v>
      </c>
      <c r="F182" s="947">
        <v>491</v>
      </c>
      <c r="G182" s="948" t="s">
        <v>1654</v>
      </c>
      <c r="H182" s="948" t="s">
        <v>2399</v>
      </c>
      <c r="I182" s="947">
        <v>70</v>
      </c>
    </row>
    <row r="183" spans="1:9">
      <c r="A183" s="947">
        <v>172</v>
      </c>
      <c r="B183" s="948" t="s">
        <v>1992</v>
      </c>
      <c r="C183" s="948" t="s">
        <v>1848</v>
      </c>
      <c r="D183" s="947">
        <v>61.5</v>
      </c>
      <c r="F183" s="947">
        <v>492</v>
      </c>
      <c r="G183" s="948" t="s">
        <v>2160</v>
      </c>
      <c r="H183" s="948" t="s">
        <v>2161</v>
      </c>
      <c r="I183" s="947">
        <v>35</v>
      </c>
    </row>
    <row r="184" spans="1:9">
      <c r="A184" s="947">
        <v>173</v>
      </c>
      <c r="B184" s="948" t="s">
        <v>1868</v>
      </c>
      <c r="C184" s="948" t="s">
        <v>1848</v>
      </c>
      <c r="D184" s="947">
        <v>30</v>
      </c>
      <c r="F184" s="947">
        <v>493</v>
      </c>
      <c r="G184" s="948" t="s">
        <v>1929</v>
      </c>
      <c r="H184" s="948" t="s">
        <v>1930</v>
      </c>
      <c r="I184" s="947">
        <v>41.7</v>
      </c>
    </row>
    <row r="185" spans="1:9">
      <c r="A185" s="947">
        <v>174</v>
      </c>
      <c r="B185" s="948" t="s">
        <v>1891</v>
      </c>
      <c r="C185" s="948" t="s">
        <v>1892</v>
      </c>
      <c r="D185" s="947">
        <v>40.799999999999997</v>
      </c>
      <c r="F185" s="947">
        <v>494</v>
      </c>
      <c r="G185" s="948" t="s">
        <v>1756</v>
      </c>
      <c r="H185" s="948" t="s">
        <v>1757</v>
      </c>
      <c r="I185" s="947">
        <v>45.99</v>
      </c>
    </row>
    <row r="186" spans="1:9">
      <c r="A186" s="947">
        <v>175</v>
      </c>
      <c r="B186" s="948" t="s">
        <v>1856</v>
      </c>
      <c r="C186" s="948" t="s">
        <v>1653</v>
      </c>
      <c r="D186" s="947">
        <v>24.58</v>
      </c>
      <c r="F186" s="947">
        <v>495</v>
      </c>
      <c r="G186" s="948" t="s">
        <v>3835</v>
      </c>
      <c r="H186" s="948" t="s">
        <v>3836</v>
      </c>
      <c r="I186" s="947">
        <v>51.76</v>
      </c>
    </row>
    <row r="187" spans="1:9">
      <c r="A187" s="947">
        <v>176</v>
      </c>
      <c r="B187" s="948" t="s">
        <v>1856</v>
      </c>
      <c r="C187" s="948" t="s">
        <v>1568</v>
      </c>
      <c r="D187" s="947">
        <v>45</v>
      </c>
      <c r="F187" s="947">
        <v>496</v>
      </c>
      <c r="G187" s="948" t="s">
        <v>1990</v>
      </c>
      <c r="H187" s="948" t="s">
        <v>1678</v>
      </c>
      <c r="I187" s="947">
        <v>7</v>
      </c>
    </row>
    <row r="188" spans="1:9">
      <c r="A188" s="947">
        <v>177</v>
      </c>
      <c r="B188" s="948" t="s">
        <v>1994</v>
      </c>
      <c r="C188" s="948" t="s">
        <v>1557</v>
      </c>
      <c r="D188" s="947">
        <v>40</v>
      </c>
      <c r="F188" s="947">
        <v>497</v>
      </c>
      <c r="G188" s="948" t="s">
        <v>1990</v>
      </c>
      <c r="H188" s="948" t="s">
        <v>1678</v>
      </c>
      <c r="I188" s="947">
        <v>32.4</v>
      </c>
    </row>
    <row r="189" spans="1:9">
      <c r="A189" s="947">
        <v>178</v>
      </c>
      <c r="B189" s="948" t="s">
        <v>1610</v>
      </c>
      <c r="C189" s="948" t="s">
        <v>1572</v>
      </c>
      <c r="D189" s="947">
        <v>63.08</v>
      </c>
      <c r="F189" s="947">
        <v>498</v>
      </c>
      <c r="G189" s="948" t="s">
        <v>1990</v>
      </c>
      <c r="H189" s="948" t="s">
        <v>1584</v>
      </c>
      <c r="I189" s="947">
        <v>21.85</v>
      </c>
    </row>
    <row r="190" spans="1:9">
      <c r="A190" s="947">
        <v>179</v>
      </c>
      <c r="B190" s="948" t="s">
        <v>1610</v>
      </c>
      <c r="C190" s="948" t="s">
        <v>1625</v>
      </c>
      <c r="D190" s="947">
        <v>42.02</v>
      </c>
      <c r="F190" s="947">
        <v>499</v>
      </c>
      <c r="G190" s="948" t="s">
        <v>3837</v>
      </c>
      <c r="H190" s="948" t="s">
        <v>1767</v>
      </c>
      <c r="I190" s="947">
        <v>61.25</v>
      </c>
    </row>
    <row r="191" spans="1:9">
      <c r="A191" s="947">
        <v>180</v>
      </c>
      <c r="B191" s="948" t="s">
        <v>1610</v>
      </c>
      <c r="C191" s="948" t="s">
        <v>1568</v>
      </c>
      <c r="D191" s="947">
        <v>43</v>
      </c>
      <c r="F191" s="947">
        <v>500</v>
      </c>
      <c r="G191" s="948" t="s">
        <v>3838</v>
      </c>
      <c r="H191" s="948" t="s">
        <v>3839</v>
      </c>
      <c r="I191" s="947">
        <v>67.86</v>
      </c>
    </row>
    <row r="192" spans="1:9">
      <c r="A192" s="947">
        <v>181</v>
      </c>
      <c r="B192" s="948" t="s">
        <v>1610</v>
      </c>
      <c r="C192" s="948" t="s">
        <v>1572</v>
      </c>
      <c r="D192" s="947">
        <v>40.5</v>
      </c>
      <c r="F192" s="947">
        <v>501</v>
      </c>
      <c r="G192" s="948" t="s">
        <v>1702</v>
      </c>
      <c r="H192" s="948" t="s">
        <v>1703</v>
      </c>
      <c r="I192" s="947">
        <v>21.7</v>
      </c>
    </row>
    <row r="193" spans="1:9">
      <c r="A193" s="947">
        <v>182</v>
      </c>
      <c r="B193" s="948" t="s">
        <v>1634</v>
      </c>
      <c r="C193" s="948" t="s">
        <v>1635</v>
      </c>
      <c r="D193" s="947">
        <v>62</v>
      </c>
      <c r="F193" s="947">
        <v>502</v>
      </c>
      <c r="G193" s="948" t="s">
        <v>1702</v>
      </c>
      <c r="H193" s="948" t="s">
        <v>1676</v>
      </c>
      <c r="I193" s="947">
        <v>43.71</v>
      </c>
    </row>
    <row r="194" spans="1:9">
      <c r="A194" s="947">
        <v>183</v>
      </c>
      <c r="B194" s="948" t="s">
        <v>2384</v>
      </c>
      <c r="C194" s="948" t="s">
        <v>2385</v>
      </c>
      <c r="D194" s="947">
        <v>54.33</v>
      </c>
      <c r="F194" s="947">
        <v>503</v>
      </c>
      <c r="G194" s="948" t="s">
        <v>1702</v>
      </c>
      <c r="H194" s="948" t="s">
        <v>1568</v>
      </c>
      <c r="I194" s="947">
        <v>24.7</v>
      </c>
    </row>
    <row r="195" spans="1:9">
      <c r="A195" s="947">
        <v>184</v>
      </c>
      <c r="B195" s="948" t="s">
        <v>1699</v>
      </c>
      <c r="C195" s="948" t="s">
        <v>1700</v>
      </c>
      <c r="D195" s="947">
        <v>42.13</v>
      </c>
      <c r="F195" s="947">
        <v>504</v>
      </c>
      <c r="G195" s="948" t="s">
        <v>1660</v>
      </c>
      <c r="H195" s="948" t="s">
        <v>1661</v>
      </c>
      <c r="I195" s="947">
        <v>21</v>
      </c>
    </row>
    <row r="196" spans="1:9">
      <c r="A196" s="947">
        <v>185</v>
      </c>
      <c r="B196" s="948" t="s">
        <v>1888</v>
      </c>
      <c r="C196" s="948" t="s">
        <v>1592</v>
      </c>
      <c r="D196" s="947">
        <v>62</v>
      </c>
      <c r="F196" s="947">
        <v>505</v>
      </c>
      <c r="G196" s="948" t="s">
        <v>2400</v>
      </c>
      <c r="H196" s="948" t="s">
        <v>1745</v>
      </c>
      <c r="I196" s="947">
        <v>70</v>
      </c>
    </row>
    <row r="197" spans="1:9">
      <c r="A197" s="947">
        <v>186</v>
      </c>
      <c r="B197" s="948" t="s">
        <v>1931</v>
      </c>
      <c r="C197" s="948" t="s">
        <v>1625</v>
      </c>
      <c r="D197" s="947">
        <v>32</v>
      </c>
      <c r="F197" s="947">
        <v>506</v>
      </c>
      <c r="G197" s="948" t="s">
        <v>1550</v>
      </c>
      <c r="H197" s="948" t="s">
        <v>1551</v>
      </c>
      <c r="I197" s="947">
        <v>65</v>
      </c>
    </row>
    <row r="198" spans="1:9">
      <c r="A198" s="947">
        <v>187</v>
      </c>
      <c r="B198" s="948" t="s">
        <v>1970</v>
      </c>
      <c r="C198" s="948" t="s">
        <v>1957</v>
      </c>
      <c r="D198" s="947">
        <v>45.67</v>
      </c>
      <c r="F198" s="947">
        <v>507</v>
      </c>
      <c r="G198" s="948" t="s">
        <v>1550</v>
      </c>
      <c r="H198" s="948" t="s">
        <v>1552</v>
      </c>
      <c r="I198" s="947">
        <v>14.27</v>
      </c>
    </row>
    <row r="199" spans="1:9">
      <c r="A199" s="947">
        <v>188</v>
      </c>
      <c r="B199" s="948" t="s">
        <v>1998</v>
      </c>
      <c r="C199" s="948" t="s">
        <v>1848</v>
      </c>
      <c r="D199" s="947">
        <v>55.5</v>
      </c>
      <c r="F199" s="947">
        <v>508</v>
      </c>
      <c r="G199" s="948" t="s">
        <v>1550</v>
      </c>
      <c r="H199" s="948" t="s">
        <v>1557</v>
      </c>
      <c r="I199" s="947">
        <v>63.8</v>
      </c>
    </row>
    <row r="200" spans="1:9">
      <c r="A200" s="947">
        <v>189</v>
      </c>
      <c r="B200" s="948" t="s">
        <v>1991</v>
      </c>
      <c r="C200" s="948" t="s">
        <v>1584</v>
      </c>
      <c r="D200" s="947">
        <v>53.83</v>
      </c>
      <c r="F200" s="947">
        <v>509</v>
      </c>
      <c r="G200" s="948" t="s">
        <v>1550</v>
      </c>
      <c r="H200" s="948" t="s">
        <v>1846</v>
      </c>
      <c r="I200" s="947">
        <v>61.25</v>
      </c>
    </row>
    <row r="201" spans="1:9">
      <c r="A201" s="947">
        <v>190</v>
      </c>
      <c r="B201" s="948" t="s">
        <v>1649</v>
      </c>
      <c r="C201" s="948" t="s">
        <v>1570</v>
      </c>
      <c r="D201" s="947">
        <v>47.32</v>
      </c>
      <c r="F201" s="947">
        <v>510</v>
      </c>
      <c r="G201" s="948" t="s">
        <v>1550</v>
      </c>
      <c r="H201" s="948" t="s">
        <v>1606</v>
      </c>
      <c r="I201" s="947">
        <v>46.6</v>
      </c>
    </row>
    <row r="202" spans="1:9">
      <c r="A202" s="947">
        <v>191</v>
      </c>
      <c r="B202" s="948" t="s">
        <v>2063</v>
      </c>
      <c r="C202" s="948" t="s">
        <v>1644</v>
      </c>
      <c r="D202" s="947">
        <v>69.81</v>
      </c>
      <c r="F202" s="947">
        <v>511</v>
      </c>
      <c r="G202" s="948" t="s">
        <v>1872</v>
      </c>
      <c r="H202" s="948" t="s">
        <v>1554</v>
      </c>
      <c r="I202" s="947">
        <v>70</v>
      </c>
    </row>
    <row r="203" spans="1:9">
      <c r="A203" s="947">
        <v>192</v>
      </c>
      <c r="B203" s="948" t="s">
        <v>1946</v>
      </c>
      <c r="C203" s="948" t="s">
        <v>1606</v>
      </c>
      <c r="D203" s="947">
        <v>44.49</v>
      </c>
      <c r="F203" s="947">
        <v>512</v>
      </c>
      <c r="G203" s="948" t="s">
        <v>1872</v>
      </c>
      <c r="H203" s="948" t="s">
        <v>1859</v>
      </c>
      <c r="I203" s="947">
        <v>59.5</v>
      </c>
    </row>
    <row r="204" spans="1:9">
      <c r="A204" s="947">
        <v>193</v>
      </c>
      <c r="B204" s="948" t="s">
        <v>1643</v>
      </c>
      <c r="C204" s="948" t="s">
        <v>1644</v>
      </c>
      <c r="D204" s="947">
        <v>28</v>
      </c>
      <c r="F204" s="947">
        <v>513</v>
      </c>
      <c r="G204" s="948" t="s">
        <v>1872</v>
      </c>
      <c r="H204" s="948" t="s">
        <v>2050</v>
      </c>
      <c r="I204" s="947">
        <v>46</v>
      </c>
    </row>
    <row r="205" spans="1:9">
      <c r="A205" s="947">
        <v>194</v>
      </c>
      <c r="B205" s="948" t="s">
        <v>1719</v>
      </c>
      <c r="C205" s="948" t="s">
        <v>1717</v>
      </c>
      <c r="D205" s="947">
        <v>70</v>
      </c>
      <c r="F205" s="947">
        <v>514</v>
      </c>
      <c r="G205" s="948" t="s">
        <v>1912</v>
      </c>
      <c r="H205" s="948" t="s">
        <v>1913</v>
      </c>
      <c r="I205" s="947">
        <v>65.209999999999994</v>
      </c>
    </row>
    <row r="206" spans="1:9">
      <c r="A206" s="947">
        <v>195</v>
      </c>
      <c r="B206" s="948" t="s">
        <v>1719</v>
      </c>
      <c r="C206" s="948" t="s">
        <v>1564</v>
      </c>
      <c r="D206" s="947">
        <v>30.9</v>
      </c>
      <c r="F206" s="947">
        <v>515</v>
      </c>
      <c r="G206" s="948" t="s">
        <v>1688</v>
      </c>
      <c r="H206" s="948" t="s">
        <v>1615</v>
      </c>
      <c r="I206" s="947">
        <v>60.1</v>
      </c>
    </row>
    <row r="207" spans="1:9">
      <c r="A207" s="947">
        <v>196</v>
      </c>
      <c r="B207" s="948" t="s">
        <v>1971</v>
      </c>
      <c r="C207" s="948" t="s">
        <v>1739</v>
      </c>
      <c r="D207" s="947">
        <v>68</v>
      </c>
      <c r="F207" s="947">
        <v>516</v>
      </c>
      <c r="G207" s="948" t="s">
        <v>1688</v>
      </c>
      <c r="H207" s="948" t="s">
        <v>1894</v>
      </c>
      <c r="I207" s="947">
        <v>40.67</v>
      </c>
    </row>
    <row r="208" spans="1:9">
      <c r="A208" s="947">
        <v>197</v>
      </c>
      <c r="B208" s="948" t="s">
        <v>1971</v>
      </c>
      <c r="C208" s="948" t="s">
        <v>1692</v>
      </c>
      <c r="D208" s="947">
        <v>44.25</v>
      </c>
      <c r="F208" s="947">
        <v>517</v>
      </c>
      <c r="G208" s="948" t="s">
        <v>1688</v>
      </c>
      <c r="H208" s="948" t="s">
        <v>1676</v>
      </c>
      <c r="I208" s="947">
        <v>44</v>
      </c>
    </row>
    <row r="209" spans="1:9">
      <c r="A209" s="947">
        <v>198</v>
      </c>
      <c r="B209" s="948" t="s">
        <v>1881</v>
      </c>
      <c r="C209" s="948" t="s">
        <v>1882</v>
      </c>
      <c r="D209" s="947">
        <v>56.5</v>
      </c>
      <c r="F209" s="947">
        <v>518</v>
      </c>
      <c r="G209" s="948" t="s">
        <v>1669</v>
      </c>
      <c r="H209" s="948" t="s">
        <v>1670</v>
      </c>
      <c r="I209" s="947">
        <v>23</v>
      </c>
    </row>
    <row r="210" spans="1:9">
      <c r="A210" s="947">
        <v>199</v>
      </c>
      <c r="B210" s="948" t="s">
        <v>1645</v>
      </c>
      <c r="C210" s="948" t="s">
        <v>1646</v>
      </c>
      <c r="D210" s="947">
        <v>52.6</v>
      </c>
      <c r="F210" s="947">
        <v>519</v>
      </c>
      <c r="G210" s="948" t="s">
        <v>1667</v>
      </c>
      <c r="H210" s="948" t="s">
        <v>1668</v>
      </c>
      <c r="I210" s="947">
        <v>27.6</v>
      </c>
    </row>
    <row r="211" spans="1:9">
      <c r="A211" s="947">
        <v>200</v>
      </c>
      <c r="B211" s="948" t="s">
        <v>1645</v>
      </c>
      <c r="C211" s="948" t="s">
        <v>1749</v>
      </c>
      <c r="D211" s="947">
        <v>70</v>
      </c>
      <c r="F211" s="947">
        <v>520</v>
      </c>
      <c r="G211" s="948" t="s">
        <v>1665</v>
      </c>
      <c r="H211" s="948" t="s">
        <v>1666</v>
      </c>
      <c r="I211" s="947">
        <v>39</v>
      </c>
    </row>
    <row r="212" spans="1:9">
      <c r="A212" s="947">
        <v>201</v>
      </c>
      <c r="B212" s="948" t="s">
        <v>1630</v>
      </c>
      <c r="C212" s="948" t="s">
        <v>1631</v>
      </c>
      <c r="D212" s="947">
        <v>70</v>
      </c>
      <c r="F212" s="947">
        <v>521</v>
      </c>
      <c r="G212" s="948" t="s">
        <v>1904</v>
      </c>
      <c r="H212" s="948" t="s">
        <v>1595</v>
      </c>
      <c r="I212" s="947">
        <v>40</v>
      </c>
    </row>
    <row r="213" spans="1:9">
      <c r="A213" s="947">
        <v>202</v>
      </c>
      <c r="B213" s="948" t="s">
        <v>1777</v>
      </c>
      <c r="C213" s="948" t="s">
        <v>1767</v>
      </c>
      <c r="D213" s="947">
        <v>60.14</v>
      </c>
      <c r="F213" s="947">
        <v>522</v>
      </c>
      <c r="G213" s="948" t="s">
        <v>1560</v>
      </c>
      <c r="H213" s="948" t="s">
        <v>1561</v>
      </c>
      <c r="I213" s="947">
        <v>30</v>
      </c>
    </row>
    <row r="214" spans="1:9">
      <c r="A214" s="947">
        <v>203</v>
      </c>
      <c r="B214" s="948" t="s">
        <v>1691</v>
      </c>
      <c r="C214" s="948" t="s">
        <v>1692</v>
      </c>
      <c r="D214" s="947">
        <v>27.8</v>
      </c>
      <c r="F214" s="947">
        <v>523</v>
      </c>
      <c r="G214" s="948" t="s">
        <v>2061</v>
      </c>
      <c r="H214" s="948" t="s">
        <v>1653</v>
      </c>
      <c r="I214" s="947">
        <v>40</v>
      </c>
    </row>
    <row r="215" spans="1:9">
      <c r="A215" s="947">
        <v>204</v>
      </c>
      <c r="B215" s="948" t="s">
        <v>1691</v>
      </c>
      <c r="C215" s="948" t="s">
        <v>1692</v>
      </c>
      <c r="D215" s="947">
        <v>31.17</v>
      </c>
      <c r="F215" s="947">
        <v>524</v>
      </c>
      <c r="G215" s="948" t="s">
        <v>1770</v>
      </c>
      <c r="H215" s="948" t="s">
        <v>1771</v>
      </c>
      <c r="I215" s="947">
        <v>32.700000000000003</v>
      </c>
    </row>
    <row r="216" spans="1:9">
      <c r="A216" s="947">
        <v>205</v>
      </c>
      <c r="B216" s="948" t="s">
        <v>1773</v>
      </c>
      <c r="C216" s="948" t="s">
        <v>1774</v>
      </c>
      <c r="D216" s="947">
        <v>16.829999999999998</v>
      </c>
      <c r="F216" s="947">
        <v>525</v>
      </c>
      <c r="G216" s="948" t="s">
        <v>1567</v>
      </c>
      <c r="H216" s="948" t="s">
        <v>1552</v>
      </c>
      <c r="I216" s="947">
        <v>22.02</v>
      </c>
    </row>
    <row r="217" spans="1:9">
      <c r="A217" s="947">
        <v>206</v>
      </c>
      <c r="B217" s="948" t="s">
        <v>2088</v>
      </c>
      <c r="C217" s="948" t="s">
        <v>1572</v>
      </c>
      <c r="D217" s="947">
        <v>33</v>
      </c>
      <c r="F217" s="947">
        <v>526</v>
      </c>
      <c r="G217" s="948" t="s">
        <v>1567</v>
      </c>
      <c r="H217" s="948" t="s">
        <v>1566</v>
      </c>
      <c r="I217" s="947">
        <v>30</v>
      </c>
    </row>
    <row r="218" spans="1:9">
      <c r="A218" s="947">
        <v>207</v>
      </c>
      <c r="B218" s="948" t="s">
        <v>2084</v>
      </c>
      <c r="C218" s="948" t="s">
        <v>2085</v>
      </c>
      <c r="D218" s="947">
        <v>70</v>
      </c>
      <c r="F218" s="947">
        <v>527</v>
      </c>
      <c r="G218" s="948" t="s">
        <v>1835</v>
      </c>
      <c r="H218" s="948" t="s">
        <v>1776</v>
      </c>
      <c r="I218" s="947">
        <v>40</v>
      </c>
    </row>
    <row r="219" spans="1:9">
      <c r="A219" s="947">
        <v>208</v>
      </c>
      <c r="B219" s="948" t="s">
        <v>2004</v>
      </c>
      <c r="C219" s="948" t="s">
        <v>1590</v>
      </c>
      <c r="D219" s="947">
        <v>48.48</v>
      </c>
      <c r="F219" s="947">
        <v>528</v>
      </c>
      <c r="G219" s="948" t="s">
        <v>1835</v>
      </c>
      <c r="H219" s="948" t="s">
        <v>1910</v>
      </c>
      <c r="I219" s="947">
        <v>30.6</v>
      </c>
    </row>
    <row r="220" spans="1:9">
      <c r="A220" s="947">
        <v>209</v>
      </c>
      <c r="B220" s="948" t="s">
        <v>2004</v>
      </c>
      <c r="C220" s="948" t="s">
        <v>1981</v>
      </c>
      <c r="D220" s="947">
        <v>57.45</v>
      </c>
      <c r="F220" s="947">
        <v>529</v>
      </c>
      <c r="G220" s="948" t="s">
        <v>1876</v>
      </c>
      <c r="H220" s="948" t="s">
        <v>1564</v>
      </c>
      <c r="I220" s="947">
        <v>40</v>
      </c>
    </row>
    <row r="221" spans="1:9">
      <c r="A221" s="947">
        <v>210</v>
      </c>
      <c r="B221" s="948" t="s">
        <v>2019</v>
      </c>
      <c r="C221" s="948" t="s">
        <v>1949</v>
      </c>
      <c r="D221" s="947">
        <v>33.83</v>
      </c>
      <c r="F221" s="947">
        <v>530</v>
      </c>
      <c r="G221" s="948" t="s">
        <v>1926</v>
      </c>
      <c r="H221" s="948" t="s">
        <v>1927</v>
      </c>
      <c r="I221" s="947">
        <v>25.45</v>
      </c>
    </row>
    <row r="222" spans="1:9">
      <c r="A222" s="947">
        <v>211</v>
      </c>
      <c r="B222" s="948" t="s">
        <v>1951</v>
      </c>
      <c r="C222" s="948" t="s">
        <v>1952</v>
      </c>
      <c r="D222" s="947">
        <v>50.17</v>
      </c>
      <c r="F222" s="947">
        <v>531</v>
      </c>
      <c r="G222" s="948" t="s">
        <v>1844</v>
      </c>
      <c r="H222" s="948" t="s">
        <v>1845</v>
      </c>
      <c r="I222" s="947">
        <v>28.09</v>
      </c>
    </row>
    <row r="223" spans="1:9">
      <c r="A223" s="947">
        <v>212</v>
      </c>
      <c r="B223" s="948" t="s">
        <v>1951</v>
      </c>
      <c r="C223" s="948" t="s">
        <v>1568</v>
      </c>
      <c r="D223" s="947">
        <v>62.83</v>
      </c>
      <c r="F223" s="947">
        <v>532</v>
      </c>
      <c r="G223" s="948" t="s">
        <v>1573</v>
      </c>
      <c r="H223" s="948" t="s">
        <v>1933</v>
      </c>
      <c r="I223" s="947">
        <v>20.7</v>
      </c>
    </row>
    <row r="224" spans="1:9">
      <c r="A224" s="947">
        <v>213</v>
      </c>
      <c r="B224" s="948" t="s">
        <v>1581</v>
      </c>
      <c r="C224" s="948" t="s">
        <v>1582</v>
      </c>
      <c r="D224" s="947">
        <v>37.67</v>
      </c>
      <c r="F224" s="947">
        <v>533</v>
      </c>
      <c r="G224" s="948" t="s">
        <v>1555</v>
      </c>
      <c r="H224" s="948" t="s">
        <v>1570</v>
      </c>
      <c r="I224" s="947">
        <v>40</v>
      </c>
    </row>
    <row r="225" spans="1:9">
      <c r="A225" s="947">
        <v>214</v>
      </c>
      <c r="B225" s="948" t="s">
        <v>1864</v>
      </c>
      <c r="C225" s="948" t="s">
        <v>1551</v>
      </c>
      <c r="D225" s="947">
        <v>40</v>
      </c>
      <c r="F225" s="947">
        <v>534</v>
      </c>
      <c r="G225" s="948" t="s">
        <v>1555</v>
      </c>
      <c r="H225" s="948" t="s">
        <v>1743</v>
      </c>
      <c r="I225" s="947">
        <v>32.19</v>
      </c>
    </row>
    <row r="226" spans="1:9">
      <c r="A226" s="947">
        <v>215</v>
      </c>
      <c r="B226" s="948" t="s">
        <v>1864</v>
      </c>
      <c r="C226" s="948" t="s">
        <v>1625</v>
      </c>
      <c r="D226" s="947">
        <v>49.16</v>
      </c>
      <c r="F226" s="947">
        <v>535</v>
      </c>
      <c r="G226" s="948" t="s">
        <v>1555</v>
      </c>
      <c r="H226" s="948" t="s">
        <v>1572</v>
      </c>
      <c r="I226" s="947">
        <v>32.909999999999997</v>
      </c>
    </row>
    <row r="227" spans="1:9">
      <c r="A227" s="947">
        <v>216</v>
      </c>
      <c r="B227" s="948" t="s">
        <v>1877</v>
      </c>
      <c r="C227" s="948" t="s">
        <v>1615</v>
      </c>
      <c r="D227" s="947">
        <v>40</v>
      </c>
      <c r="F227" s="947">
        <v>536</v>
      </c>
      <c r="G227" s="948" t="s">
        <v>1752</v>
      </c>
      <c r="H227" s="948" t="s">
        <v>1753</v>
      </c>
      <c r="I227" s="947">
        <v>21.9</v>
      </c>
    </row>
    <row r="228" spans="1:9" s="566" customFormat="1">
      <c r="A228" s="947"/>
      <c r="B228" s="948"/>
      <c r="C228" s="948"/>
      <c r="D228" s="947"/>
      <c r="F228" s="947"/>
      <c r="G228" s="948"/>
      <c r="H228" s="948"/>
      <c r="I228" s="947"/>
    </row>
    <row r="229" spans="1:9" s="566" customFormat="1" ht="15">
      <c r="A229" s="949" t="s">
        <v>3466</v>
      </c>
      <c r="B229" s="949" t="s">
        <v>1545</v>
      </c>
      <c r="C229" s="949" t="s">
        <v>1546</v>
      </c>
      <c r="D229" s="949" t="s">
        <v>1547</v>
      </c>
      <c r="F229" s="949" t="s">
        <v>3466</v>
      </c>
      <c r="G229" s="949" t="s">
        <v>1545</v>
      </c>
      <c r="H229" s="949" t="s">
        <v>1546</v>
      </c>
      <c r="I229" s="949" t="s">
        <v>1547</v>
      </c>
    </row>
    <row r="230" spans="1:9">
      <c r="A230" s="947">
        <v>217</v>
      </c>
      <c r="B230" s="948" t="s">
        <v>1877</v>
      </c>
      <c r="C230" s="948" t="s">
        <v>1615</v>
      </c>
      <c r="D230" s="947">
        <v>4.5999999999999996</v>
      </c>
      <c r="F230" s="947">
        <v>537</v>
      </c>
      <c r="G230" s="948" t="s">
        <v>1596</v>
      </c>
      <c r="H230" s="948" t="s">
        <v>1554</v>
      </c>
      <c r="I230" s="947">
        <v>40</v>
      </c>
    </row>
    <row r="231" spans="1:9">
      <c r="A231" s="947">
        <v>218</v>
      </c>
      <c r="B231" s="948" t="s">
        <v>1869</v>
      </c>
      <c r="C231" s="948" t="s">
        <v>1870</v>
      </c>
      <c r="D231" s="947">
        <v>33.32</v>
      </c>
      <c r="F231" s="947">
        <v>538</v>
      </c>
      <c r="G231" s="948" t="s">
        <v>1596</v>
      </c>
      <c r="H231" s="948" t="s">
        <v>1808</v>
      </c>
      <c r="I231" s="947">
        <v>40</v>
      </c>
    </row>
    <row r="232" spans="1:9">
      <c r="A232" s="947">
        <v>219</v>
      </c>
      <c r="B232" s="948" t="s">
        <v>1925</v>
      </c>
      <c r="C232" s="948" t="s">
        <v>1590</v>
      </c>
      <c r="D232" s="947">
        <v>33</v>
      </c>
      <c r="F232" s="947">
        <v>539</v>
      </c>
      <c r="G232" s="948" t="s">
        <v>2015</v>
      </c>
      <c r="H232" s="948" t="s">
        <v>1595</v>
      </c>
      <c r="I232" s="947">
        <v>38.909999999999997</v>
      </c>
    </row>
    <row r="233" spans="1:9">
      <c r="A233" s="947">
        <v>220</v>
      </c>
      <c r="B233" s="948" t="s">
        <v>1700</v>
      </c>
      <c r="C233" s="948" t="s">
        <v>1568</v>
      </c>
      <c r="D233" s="947">
        <v>34</v>
      </c>
      <c r="F233" s="947">
        <v>540</v>
      </c>
      <c r="G233" s="948" t="s">
        <v>1911</v>
      </c>
      <c r="H233" s="948" t="s">
        <v>1728</v>
      </c>
      <c r="I233" s="947">
        <v>40</v>
      </c>
    </row>
    <row r="234" spans="1:9">
      <c r="A234" s="947">
        <v>221</v>
      </c>
      <c r="B234" s="948" t="s">
        <v>2069</v>
      </c>
      <c r="C234" s="948" t="s">
        <v>2070</v>
      </c>
      <c r="D234" s="947">
        <v>60</v>
      </c>
      <c r="F234" s="947">
        <v>541</v>
      </c>
      <c r="G234" s="948" t="s">
        <v>2177</v>
      </c>
      <c r="H234" s="948" t="s">
        <v>2178</v>
      </c>
      <c r="I234" s="947">
        <v>23.76</v>
      </c>
    </row>
    <row r="235" spans="1:9">
      <c r="A235" s="947">
        <v>222</v>
      </c>
      <c r="B235" s="948" t="s">
        <v>1602</v>
      </c>
      <c r="C235" s="948" t="s">
        <v>1603</v>
      </c>
      <c r="D235" s="947">
        <v>68.25</v>
      </c>
      <c r="F235" s="947">
        <v>542</v>
      </c>
      <c r="G235" s="948" t="s">
        <v>1822</v>
      </c>
      <c r="H235" s="948" t="s">
        <v>1823</v>
      </c>
      <c r="I235" s="947">
        <v>30</v>
      </c>
    </row>
    <row r="236" spans="1:9">
      <c r="A236" s="947">
        <v>223</v>
      </c>
      <c r="B236" s="948" t="s">
        <v>1819</v>
      </c>
      <c r="C236" s="948" t="s">
        <v>1687</v>
      </c>
      <c r="D236" s="947">
        <v>39.200000000000003</v>
      </c>
      <c r="F236" s="947">
        <v>543</v>
      </c>
      <c r="G236" s="948" t="s">
        <v>1766</v>
      </c>
      <c r="H236" s="948" t="s">
        <v>1767</v>
      </c>
      <c r="I236" s="947">
        <v>29.7</v>
      </c>
    </row>
    <row r="237" spans="1:9">
      <c r="A237" s="947">
        <v>224</v>
      </c>
      <c r="B237" s="948" t="s">
        <v>1730</v>
      </c>
      <c r="C237" s="948" t="s">
        <v>1731</v>
      </c>
      <c r="D237" s="947">
        <v>56</v>
      </c>
      <c r="F237" s="947">
        <v>544</v>
      </c>
      <c r="G237" s="948" t="s">
        <v>1968</v>
      </c>
      <c r="H237" s="948" t="s">
        <v>1739</v>
      </c>
      <c r="I237" s="947">
        <v>11.2</v>
      </c>
    </row>
    <row r="238" spans="1:9">
      <c r="A238" s="947">
        <v>225</v>
      </c>
      <c r="B238" s="948" t="s">
        <v>1618</v>
      </c>
      <c r="C238" s="948" t="s">
        <v>1619</v>
      </c>
      <c r="D238" s="947">
        <v>42.1</v>
      </c>
      <c r="F238" s="947">
        <v>545</v>
      </c>
      <c r="G238" s="948" t="s">
        <v>2140</v>
      </c>
      <c r="H238" s="948" t="s">
        <v>1930</v>
      </c>
      <c r="I238" s="947">
        <v>40</v>
      </c>
    </row>
    <row r="239" spans="1:9">
      <c r="A239" s="947">
        <v>226</v>
      </c>
      <c r="B239" s="948" t="s">
        <v>1664</v>
      </c>
      <c r="C239" s="948" t="s">
        <v>1806</v>
      </c>
      <c r="D239" s="947">
        <v>48.91</v>
      </c>
      <c r="F239" s="947">
        <v>546</v>
      </c>
      <c r="G239" s="948" t="s">
        <v>1709</v>
      </c>
      <c r="H239" s="948" t="s">
        <v>1574</v>
      </c>
      <c r="I239" s="947">
        <v>40</v>
      </c>
    </row>
    <row r="240" spans="1:9">
      <c r="A240" s="947">
        <v>227</v>
      </c>
      <c r="B240" s="948" t="s">
        <v>1664</v>
      </c>
      <c r="C240" s="948" t="s">
        <v>1701</v>
      </c>
      <c r="D240" s="947">
        <v>51.74</v>
      </c>
      <c r="F240" s="947">
        <v>547</v>
      </c>
      <c r="G240" s="948" t="s">
        <v>2401</v>
      </c>
      <c r="H240" s="948" t="s">
        <v>1592</v>
      </c>
      <c r="I240" s="947">
        <v>29.36</v>
      </c>
    </row>
    <row r="241" spans="1:9">
      <c r="A241" s="947">
        <v>228</v>
      </c>
      <c r="B241" s="948" t="s">
        <v>2080</v>
      </c>
      <c r="C241" s="948" t="s">
        <v>1744</v>
      </c>
      <c r="D241" s="947">
        <v>15.6</v>
      </c>
      <c r="F241" s="947">
        <v>548</v>
      </c>
      <c r="G241" s="948" t="s">
        <v>3840</v>
      </c>
      <c r="H241" s="948" t="s">
        <v>1886</v>
      </c>
      <c r="I241" s="947">
        <v>60</v>
      </c>
    </row>
    <row r="242" spans="1:9">
      <c r="A242" s="947">
        <v>229</v>
      </c>
      <c r="B242" s="948" t="s">
        <v>3813</v>
      </c>
      <c r="C242" s="948" t="s">
        <v>2029</v>
      </c>
      <c r="D242" s="947">
        <v>45.99</v>
      </c>
      <c r="F242" s="947">
        <v>549</v>
      </c>
      <c r="G242" s="948" t="s">
        <v>2382</v>
      </c>
      <c r="H242" s="948" t="s">
        <v>1554</v>
      </c>
      <c r="I242" s="947">
        <v>41.76</v>
      </c>
    </row>
    <row r="243" spans="1:9">
      <c r="A243" s="947">
        <v>230</v>
      </c>
      <c r="B243" s="948" t="s">
        <v>1914</v>
      </c>
      <c r="C243" s="948" t="s">
        <v>1564</v>
      </c>
      <c r="D243" s="947">
        <v>18.77</v>
      </c>
      <c r="F243" s="947">
        <v>550</v>
      </c>
      <c r="G243" s="948" t="s">
        <v>2115</v>
      </c>
      <c r="H243" s="948" t="s">
        <v>1687</v>
      </c>
      <c r="I243" s="947">
        <v>24</v>
      </c>
    </row>
    <row r="244" spans="1:9">
      <c r="A244" s="947">
        <v>231</v>
      </c>
      <c r="B244" s="948" t="s">
        <v>2105</v>
      </c>
      <c r="C244" s="948" t="s">
        <v>1717</v>
      </c>
      <c r="D244" s="947">
        <v>66.55</v>
      </c>
      <c r="F244" s="947">
        <v>551</v>
      </c>
      <c r="G244" s="948" t="s">
        <v>2038</v>
      </c>
      <c r="H244" s="948" t="s">
        <v>1617</v>
      </c>
      <c r="I244" s="947">
        <v>11.76</v>
      </c>
    </row>
    <row r="245" spans="1:9">
      <c r="A245" s="947">
        <v>232</v>
      </c>
      <c r="B245" s="948" t="s">
        <v>3814</v>
      </c>
      <c r="C245" s="948" t="s">
        <v>1848</v>
      </c>
      <c r="D245" s="947">
        <v>64.5</v>
      </c>
      <c r="F245" s="947">
        <v>552</v>
      </c>
      <c r="G245" s="948" t="s">
        <v>1727</v>
      </c>
      <c r="H245" s="948" t="s">
        <v>1590</v>
      </c>
      <c r="I245" s="947">
        <v>40</v>
      </c>
    </row>
    <row r="246" spans="1:9">
      <c r="A246" s="947">
        <v>233</v>
      </c>
      <c r="B246" s="948" t="s">
        <v>1677</v>
      </c>
      <c r="C246" s="948" t="s">
        <v>1678</v>
      </c>
      <c r="D246" s="947">
        <v>39.200000000000003</v>
      </c>
      <c r="F246" s="947">
        <v>553</v>
      </c>
      <c r="G246" s="948" t="s">
        <v>1727</v>
      </c>
      <c r="H246" s="948" t="s">
        <v>1978</v>
      </c>
      <c r="I246" s="947">
        <v>13.5</v>
      </c>
    </row>
    <row r="247" spans="1:9">
      <c r="A247" s="947">
        <v>234</v>
      </c>
      <c r="B247" s="948" t="s">
        <v>1934</v>
      </c>
      <c r="C247" s="948" t="s">
        <v>1745</v>
      </c>
      <c r="D247" s="947">
        <v>16.3</v>
      </c>
      <c r="F247" s="947">
        <v>554</v>
      </c>
      <c r="G247" s="948" t="s">
        <v>1983</v>
      </c>
      <c r="H247" s="948" t="s">
        <v>1984</v>
      </c>
      <c r="I247" s="947">
        <v>30</v>
      </c>
    </row>
    <row r="248" spans="1:9">
      <c r="A248" s="947">
        <v>235</v>
      </c>
      <c r="B248" s="948" t="s">
        <v>2153</v>
      </c>
      <c r="C248" s="948" t="s">
        <v>2154</v>
      </c>
      <c r="D248" s="947">
        <v>38</v>
      </c>
      <c r="F248" s="947">
        <v>555</v>
      </c>
      <c r="G248" s="948" t="s">
        <v>1807</v>
      </c>
      <c r="H248" s="948" t="s">
        <v>1808</v>
      </c>
      <c r="I248" s="947">
        <v>55</v>
      </c>
    </row>
    <row r="249" spans="1:9">
      <c r="A249" s="947">
        <v>236</v>
      </c>
      <c r="B249" s="948" t="s">
        <v>2048</v>
      </c>
      <c r="C249" s="948" t="s">
        <v>2049</v>
      </c>
      <c r="D249" s="947">
        <v>30</v>
      </c>
      <c r="F249" s="947">
        <v>556</v>
      </c>
      <c r="G249" s="948" t="s">
        <v>1798</v>
      </c>
      <c r="H249" s="948" t="s">
        <v>1781</v>
      </c>
      <c r="I249" s="947">
        <v>31.98</v>
      </c>
    </row>
    <row r="250" spans="1:9">
      <c r="A250" s="947">
        <v>237</v>
      </c>
      <c r="B250" s="948" t="s">
        <v>1941</v>
      </c>
      <c r="C250" s="948" t="s">
        <v>1859</v>
      </c>
      <c r="D250" s="947">
        <v>26.82</v>
      </c>
      <c r="F250" s="947">
        <v>557</v>
      </c>
      <c r="G250" s="948" t="s">
        <v>1595</v>
      </c>
      <c r="H250" s="948" t="s">
        <v>1570</v>
      </c>
      <c r="I250" s="947">
        <v>40</v>
      </c>
    </row>
    <row r="251" spans="1:9">
      <c r="A251" s="947">
        <v>238</v>
      </c>
      <c r="B251" s="948" t="s">
        <v>2123</v>
      </c>
      <c r="C251" s="948" t="s">
        <v>2124</v>
      </c>
      <c r="D251" s="947">
        <v>68</v>
      </c>
      <c r="F251" s="947">
        <v>558</v>
      </c>
      <c r="G251" s="948" t="s">
        <v>1793</v>
      </c>
      <c r="H251" s="948" t="s">
        <v>1794</v>
      </c>
      <c r="I251" s="947">
        <v>22.3</v>
      </c>
    </row>
    <row r="252" spans="1:9">
      <c r="A252" s="947">
        <v>239</v>
      </c>
      <c r="B252" s="948" t="s">
        <v>3815</v>
      </c>
      <c r="C252" s="948" t="s">
        <v>1572</v>
      </c>
      <c r="D252" s="947">
        <v>55.92</v>
      </c>
      <c r="F252" s="947">
        <v>559</v>
      </c>
      <c r="G252" s="948" t="s">
        <v>2135</v>
      </c>
      <c r="H252" s="948" t="s">
        <v>1937</v>
      </c>
      <c r="I252" s="947">
        <v>30.42</v>
      </c>
    </row>
    <row r="253" spans="1:9">
      <c r="A253" s="947">
        <v>240</v>
      </c>
      <c r="B253" s="948" t="s">
        <v>2173</v>
      </c>
      <c r="C253" s="948" t="s">
        <v>2174</v>
      </c>
      <c r="D253" s="947">
        <v>43.17</v>
      </c>
      <c r="F253" s="947">
        <v>560</v>
      </c>
      <c r="G253" s="948" t="s">
        <v>2064</v>
      </c>
      <c r="H253" s="948" t="s">
        <v>2065</v>
      </c>
      <c r="I253" s="947">
        <v>40</v>
      </c>
    </row>
    <row r="254" spans="1:9">
      <c r="A254" s="947">
        <v>241</v>
      </c>
      <c r="B254" s="948" t="s">
        <v>1923</v>
      </c>
      <c r="C254" s="948" t="s">
        <v>1625</v>
      </c>
      <c r="D254" s="947">
        <v>30</v>
      </c>
      <c r="F254" s="947">
        <v>561</v>
      </c>
      <c r="G254" s="948" t="s">
        <v>1591</v>
      </c>
      <c r="H254" s="948" t="s">
        <v>1592</v>
      </c>
      <c r="I254" s="947">
        <v>25.2</v>
      </c>
    </row>
    <row r="255" spans="1:9">
      <c r="A255" s="947">
        <v>242</v>
      </c>
      <c r="B255" s="948" t="s">
        <v>1895</v>
      </c>
      <c r="C255" s="948" t="s">
        <v>1896</v>
      </c>
      <c r="D255" s="947">
        <v>50</v>
      </c>
      <c r="F255" s="947">
        <v>562</v>
      </c>
      <c r="G255" s="948" t="s">
        <v>1891</v>
      </c>
      <c r="H255" s="948" t="s">
        <v>1892</v>
      </c>
      <c r="I255" s="947">
        <v>40</v>
      </c>
    </row>
    <row r="256" spans="1:9">
      <c r="A256" s="947">
        <v>243</v>
      </c>
      <c r="B256" s="948" t="s">
        <v>2167</v>
      </c>
      <c r="C256" s="948" t="s">
        <v>2039</v>
      </c>
      <c r="D256" s="947">
        <v>46.17</v>
      </c>
      <c r="F256" s="947">
        <v>563</v>
      </c>
      <c r="G256" s="948" t="s">
        <v>1610</v>
      </c>
      <c r="H256" s="948" t="s">
        <v>1551</v>
      </c>
      <c r="I256" s="947">
        <v>24.84</v>
      </c>
    </row>
    <row r="257" spans="1:9">
      <c r="A257" s="947">
        <v>244</v>
      </c>
      <c r="B257" s="948" t="s">
        <v>2034</v>
      </c>
      <c r="C257" s="948" t="s">
        <v>1625</v>
      </c>
      <c r="D257" s="947">
        <v>49.67</v>
      </c>
      <c r="F257" s="947">
        <v>564</v>
      </c>
      <c r="G257" s="948" t="s">
        <v>1610</v>
      </c>
      <c r="H257" s="948" t="s">
        <v>1572</v>
      </c>
      <c r="I257" s="947">
        <v>40</v>
      </c>
    </row>
    <row r="258" spans="1:9">
      <c r="A258" s="947">
        <v>245</v>
      </c>
      <c r="B258" s="948" t="s">
        <v>1561</v>
      </c>
      <c r="C258" s="948" t="s">
        <v>1728</v>
      </c>
      <c r="D258" s="947">
        <v>47</v>
      </c>
      <c r="F258" s="947">
        <v>565</v>
      </c>
      <c r="G258" s="948" t="s">
        <v>1719</v>
      </c>
      <c r="H258" s="948" t="s">
        <v>1564</v>
      </c>
      <c r="I258" s="947">
        <v>32.4</v>
      </c>
    </row>
    <row r="259" spans="1:9">
      <c r="A259" s="947">
        <v>246</v>
      </c>
      <c r="B259" s="948" t="s">
        <v>1622</v>
      </c>
      <c r="C259" s="948" t="s">
        <v>1623</v>
      </c>
      <c r="D259" s="947">
        <v>63.7</v>
      </c>
      <c r="F259" s="947">
        <v>566</v>
      </c>
      <c r="G259" s="948" t="s">
        <v>1718</v>
      </c>
      <c r="H259" s="948" t="s">
        <v>1604</v>
      </c>
      <c r="I259" s="947">
        <v>40</v>
      </c>
    </row>
    <row r="260" spans="1:9">
      <c r="A260" s="947">
        <v>247</v>
      </c>
      <c r="B260" s="948" t="s">
        <v>1622</v>
      </c>
      <c r="C260" s="948" t="s">
        <v>1861</v>
      </c>
      <c r="D260" s="947">
        <v>47</v>
      </c>
      <c r="F260" s="947">
        <v>567</v>
      </c>
      <c r="G260" s="948" t="s">
        <v>1811</v>
      </c>
      <c r="H260" s="948" t="s">
        <v>1812</v>
      </c>
      <c r="I260" s="947">
        <v>72.08</v>
      </c>
    </row>
    <row r="261" spans="1:9">
      <c r="A261" s="947">
        <v>248</v>
      </c>
      <c r="B261" s="948" t="s">
        <v>1982</v>
      </c>
      <c r="C261" s="948" t="s">
        <v>1907</v>
      </c>
      <c r="D261" s="947">
        <v>47.7</v>
      </c>
      <c r="F261" s="947">
        <v>568</v>
      </c>
      <c r="G261" s="948" t="s">
        <v>1881</v>
      </c>
      <c r="H261" s="948" t="s">
        <v>1882</v>
      </c>
      <c r="I261" s="947">
        <v>39.6</v>
      </c>
    </row>
    <row r="262" spans="1:9">
      <c r="A262" s="947">
        <v>249</v>
      </c>
      <c r="B262" s="948" t="s">
        <v>1853</v>
      </c>
      <c r="C262" s="948" t="s">
        <v>1637</v>
      </c>
      <c r="D262" s="947">
        <v>11.3</v>
      </c>
      <c r="F262" s="947">
        <v>569</v>
      </c>
      <c r="G262" s="948" t="s">
        <v>1695</v>
      </c>
      <c r="H262" s="948" t="s">
        <v>1584</v>
      </c>
      <c r="I262" s="947">
        <v>40</v>
      </c>
    </row>
    <row r="263" spans="1:9">
      <c r="A263" s="947">
        <v>250</v>
      </c>
      <c r="B263" s="948" t="s">
        <v>1857</v>
      </c>
      <c r="C263" s="948" t="s">
        <v>1858</v>
      </c>
      <c r="D263" s="947">
        <v>66.099999999999994</v>
      </c>
      <c r="F263" s="947">
        <v>570</v>
      </c>
      <c r="G263" s="948" t="s">
        <v>1832</v>
      </c>
      <c r="H263" s="948" t="s">
        <v>1833</v>
      </c>
      <c r="I263" s="947">
        <v>13.08</v>
      </c>
    </row>
    <row r="264" spans="1:9">
      <c r="A264" s="947">
        <v>251</v>
      </c>
      <c r="B264" s="948" t="s">
        <v>2168</v>
      </c>
      <c r="C264" s="948" t="s">
        <v>2164</v>
      </c>
      <c r="D264" s="947">
        <v>25</v>
      </c>
      <c r="F264" s="947">
        <v>571</v>
      </c>
      <c r="G264" s="948" t="s">
        <v>2141</v>
      </c>
      <c r="H264" s="948" t="s">
        <v>2142</v>
      </c>
      <c r="I264" s="947">
        <v>30.33</v>
      </c>
    </row>
    <row r="265" spans="1:9">
      <c r="A265" s="947">
        <v>252</v>
      </c>
      <c r="B265" s="948" t="s">
        <v>1653</v>
      </c>
      <c r="C265" s="948" t="s">
        <v>2039</v>
      </c>
      <c r="D265" s="947">
        <v>62.57</v>
      </c>
      <c r="F265" s="947">
        <v>572</v>
      </c>
      <c r="G265" s="948" t="s">
        <v>2004</v>
      </c>
      <c r="H265" s="948" t="s">
        <v>1653</v>
      </c>
      <c r="I265" s="947">
        <v>21.36</v>
      </c>
    </row>
    <row r="266" spans="1:9">
      <c r="A266" s="947">
        <v>253</v>
      </c>
      <c r="B266" s="948" t="s">
        <v>2143</v>
      </c>
      <c r="C266" s="948" t="s">
        <v>2144</v>
      </c>
      <c r="D266" s="947">
        <v>16.21</v>
      </c>
      <c r="F266" s="947">
        <v>573</v>
      </c>
      <c r="G266" s="948" t="s">
        <v>2004</v>
      </c>
      <c r="H266" s="948" t="s">
        <v>3841</v>
      </c>
      <c r="I266" s="947">
        <v>38.340000000000003</v>
      </c>
    </row>
    <row r="267" spans="1:9">
      <c r="A267" s="947">
        <v>254</v>
      </c>
      <c r="B267" s="948" t="s">
        <v>2024</v>
      </c>
      <c r="C267" s="948" t="s">
        <v>1617</v>
      </c>
      <c r="D267" s="947">
        <v>43.67</v>
      </c>
      <c r="F267" s="947">
        <v>574</v>
      </c>
      <c r="G267" s="948" t="s">
        <v>2069</v>
      </c>
      <c r="H267" s="948" t="s">
        <v>2070</v>
      </c>
      <c r="I267" s="947">
        <v>24</v>
      </c>
    </row>
    <row r="268" spans="1:9">
      <c r="A268" s="947">
        <v>255</v>
      </c>
      <c r="B268" s="948" t="s">
        <v>2024</v>
      </c>
      <c r="C268" s="948" t="s">
        <v>1570</v>
      </c>
      <c r="D268" s="947">
        <v>49.39</v>
      </c>
      <c r="F268" s="947">
        <v>575</v>
      </c>
      <c r="G268" s="948" t="s">
        <v>1664</v>
      </c>
      <c r="H268" s="948" t="s">
        <v>1606</v>
      </c>
      <c r="I268" s="947">
        <v>13.94</v>
      </c>
    </row>
    <row r="269" spans="1:9">
      <c r="A269" s="947">
        <v>256</v>
      </c>
      <c r="B269" s="948" t="s">
        <v>1767</v>
      </c>
      <c r="C269" s="948" t="s">
        <v>2035</v>
      </c>
      <c r="D269" s="947">
        <v>27.54</v>
      </c>
      <c r="F269" s="947">
        <v>576</v>
      </c>
      <c r="G269" s="948" t="s">
        <v>1917</v>
      </c>
      <c r="H269" s="948" t="s">
        <v>1918</v>
      </c>
      <c r="I269" s="947">
        <v>4.2</v>
      </c>
    </row>
    <row r="270" spans="1:9">
      <c r="A270" s="947">
        <v>257</v>
      </c>
      <c r="B270" s="948" t="s">
        <v>1738</v>
      </c>
      <c r="C270" s="948" t="s">
        <v>1739</v>
      </c>
      <c r="D270" s="947">
        <v>35</v>
      </c>
      <c r="F270" s="947">
        <v>577</v>
      </c>
      <c r="G270" s="948" t="s">
        <v>1917</v>
      </c>
      <c r="H270" s="948" t="s">
        <v>1935</v>
      </c>
      <c r="I270" s="947">
        <v>40</v>
      </c>
    </row>
    <row r="271" spans="1:9">
      <c r="A271" s="947">
        <v>258</v>
      </c>
      <c r="B271" s="948" t="s">
        <v>1738</v>
      </c>
      <c r="C271" s="948" t="s">
        <v>1622</v>
      </c>
      <c r="D271" s="947">
        <v>70</v>
      </c>
      <c r="F271" s="947">
        <v>578</v>
      </c>
      <c r="G271" s="948" t="s">
        <v>1624</v>
      </c>
      <c r="H271" s="948" t="s">
        <v>1625</v>
      </c>
      <c r="I271" s="947">
        <v>40</v>
      </c>
    </row>
    <row r="272" spans="1:9">
      <c r="A272" s="947">
        <v>259</v>
      </c>
      <c r="B272" s="948" t="s">
        <v>2130</v>
      </c>
      <c r="C272" s="948" t="s">
        <v>1625</v>
      </c>
      <c r="D272" s="947">
        <v>52.6</v>
      </c>
      <c r="F272" s="947">
        <v>579</v>
      </c>
      <c r="G272" s="948" t="s">
        <v>1800</v>
      </c>
      <c r="H272" s="948" t="s">
        <v>1625</v>
      </c>
      <c r="I272" s="947">
        <v>40</v>
      </c>
    </row>
    <row r="273" spans="1:9">
      <c r="A273" s="947">
        <v>260</v>
      </c>
      <c r="B273" s="948" t="s">
        <v>1733</v>
      </c>
      <c r="C273" s="948" t="s">
        <v>1644</v>
      </c>
      <c r="D273" s="947">
        <v>70</v>
      </c>
      <c r="F273" s="947">
        <v>580</v>
      </c>
      <c r="G273" s="948" t="s">
        <v>1778</v>
      </c>
      <c r="H273" s="948" t="s">
        <v>1779</v>
      </c>
      <c r="I273" s="947">
        <v>26.1</v>
      </c>
    </row>
    <row r="274" spans="1:9">
      <c r="A274" s="947">
        <v>261</v>
      </c>
      <c r="B274" s="948" t="s">
        <v>1733</v>
      </c>
      <c r="C274" s="948" t="s">
        <v>2022</v>
      </c>
      <c r="D274" s="947">
        <v>46.1</v>
      </c>
      <c r="F274" s="947">
        <v>581</v>
      </c>
      <c r="G274" s="948" t="s">
        <v>2163</v>
      </c>
      <c r="H274" s="948" t="s">
        <v>3842</v>
      </c>
      <c r="I274" s="947">
        <v>30</v>
      </c>
    </row>
    <row r="275" spans="1:9">
      <c r="A275" s="947">
        <v>262</v>
      </c>
      <c r="B275" s="948" t="s">
        <v>1788</v>
      </c>
      <c r="C275" s="948" t="s">
        <v>1789</v>
      </c>
      <c r="D275" s="947">
        <v>39.33</v>
      </c>
      <c r="F275" s="947">
        <v>582</v>
      </c>
      <c r="G275" s="948" t="s">
        <v>2138</v>
      </c>
      <c r="H275" s="948" t="s">
        <v>1625</v>
      </c>
      <c r="I275" s="947">
        <v>22.68</v>
      </c>
    </row>
    <row r="276" spans="1:9">
      <c r="A276" s="947">
        <v>263</v>
      </c>
      <c r="B276" s="948" t="s">
        <v>3816</v>
      </c>
      <c r="C276" s="948" t="s">
        <v>1592</v>
      </c>
      <c r="D276" s="947">
        <v>70</v>
      </c>
      <c r="F276" s="947">
        <v>583</v>
      </c>
      <c r="G276" s="948" t="s">
        <v>1609</v>
      </c>
      <c r="H276" s="948" t="s">
        <v>1687</v>
      </c>
      <c r="I276" s="947">
        <v>40</v>
      </c>
    </row>
    <row r="277" spans="1:9">
      <c r="A277" s="947">
        <v>264</v>
      </c>
      <c r="B277" s="948" t="s">
        <v>1609</v>
      </c>
      <c r="C277" s="948" t="s">
        <v>1572</v>
      </c>
      <c r="D277" s="947">
        <v>50</v>
      </c>
      <c r="F277" s="947">
        <v>584</v>
      </c>
      <c r="G277" s="948" t="s">
        <v>1609</v>
      </c>
      <c r="H277" s="948" t="s">
        <v>1574</v>
      </c>
      <c r="I277" s="947">
        <v>40</v>
      </c>
    </row>
    <row r="278" spans="1:9">
      <c r="A278" s="947">
        <v>265</v>
      </c>
      <c r="B278" s="948" t="s">
        <v>1609</v>
      </c>
      <c r="C278" s="948" t="s">
        <v>1620</v>
      </c>
      <c r="D278" s="947">
        <v>30.95</v>
      </c>
      <c r="F278" s="947">
        <v>585</v>
      </c>
      <c r="G278" s="948" t="s">
        <v>1609</v>
      </c>
      <c r="H278" s="948" t="s">
        <v>1606</v>
      </c>
      <c r="I278" s="947">
        <v>23.5</v>
      </c>
    </row>
    <row r="279" spans="1:9">
      <c r="A279" s="947">
        <v>266</v>
      </c>
      <c r="B279" s="948" t="s">
        <v>1609</v>
      </c>
      <c r="C279" s="948" t="s">
        <v>1638</v>
      </c>
      <c r="D279" s="947">
        <v>30.5</v>
      </c>
      <c r="F279" s="947">
        <v>586</v>
      </c>
      <c r="G279" s="948" t="s">
        <v>1609</v>
      </c>
      <c r="H279" s="948" t="s">
        <v>1964</v>
      </c>
      <c r="I279" s="947">
        <v>40</v>
      </c>
    </row>
    <row r="280" spans="1:9">
      <c r="A280" s="947">
        <v>267</v>
      </c>
      <c r="B280" s="948" t="s">
        <v>1609</v>
      </c>
      <c r="C280" s="948" t="s">
        <v>1574</v>
      </c>
      <c r="D280" s="947">
        <v>62</v>
      </c>
      <c r="F280" s="947">
        <v>587</v>
      </c>
      <c r="G280" s="948" t="s">
        <v>1609</v>
      </c>
      <c r="H280" s="948" t="s">
        <v>1906</v>
      </c>
      <c r="I280" s="947">
        <v>15.6</v>
      </c>
    </row>
    <row r="281" spans="1:9">
      <c r="A281" s="947">
        <v>268</v>
      </c>
      <c r="B281" s="948" t="s">
        <v>1609</v>
      </c>
      <c r="C281" s="948" t="s">
        <v>1625</v>
      </c>
      <c r="D281" s="947">
        <v>48.7</v>
      </c>
      <c r="F281" s="947">
        <v>588</v>
      </c>
      <c r="G281" s="948" t="s">
        <v>1609</v>
      </c>
      <c r="H281" s="948" t="s">
        <v>2072</v>
      </c>
      <c r="I281" s="947">
        <v>28.5</v>
      </c>
    </row>
    <row r="282" spans="1:9">
      <c r="A282" s="947">
        <v>269</v>
      </c>
      <c r="B282" s="948" t="s">
        <v>1609</v>
      </c>
      <c r="C282" s="948" t="s">
        <v>1743</v>
      </c>
      <c r="D282" s="947">
        <v>70</v>
      </c>
      <c r="F282" s="947">
        <v>589</v>
      </c>
      <c r="G282" s="948" t="s">
        <v>1607</v>
      </c>
      <c r="H282" s="948" t="s">
        <v>1728</v>
      </c>
      <c r="I282" s="947">
        <v>40</v>
      </c>
    </row>
    <row r="283" spans="1:9">
      <c r="A283" s="947">
        <v>270</v>
      </c>
      <c r="B283" s="948" t="s">
        <v>1609</v>
      </c>
      <c r="C283" s="948" t="s">
        <v>1715</v>
      </c>
      <c r="D283" s="947">
        <v>21.15</v>
      </c>
      <c r="F283" s="947">
        <v>590</v>
      </c>
      <c r="G283" s="948" t="s">
        <v>1607</v>
      </c>
      <c r="H283" s="948" t="s">
        <v>1742</v>
      </c>
      <c r="I283" s="947">
        <v>24</v>
      </c>
    </row>
    <row r="284" spans="1:9">
      <c r="A284" s="947">
        <v>271</v>
      </c>
      <c r="B284" s="948" t="s">
        <v>1609</v>
      </c>
      <c r="C284" s="948" t="s">
        <v>1715</v>
      </c>
      <c r="D284" s="947">
        <v>48</v>
      </c>
      <c r="F284" s="947">
        <v>591</v>
      </c>
      <c r="G284" s="948" t="s">
        <v>1607</v>
      </c>
      <c r="H284" s="948" t="s">
        <v>1572</v>
      </c>
      <c r="I284" s="947">
        <v>30</v>
      </c>
    </row>
    <row r="285" spans="1:9" s="566" customFormat="1">
      <c r="A285" s="947"/>
      <c r="B285" s="948"/>
      <c r="C285" s="948"/>
      <c r="D285" s="947"/>
      <c r="F285" s="947"/>
      <c r="G285" s="948"/>
      <c r="H285" s="948"/>
      <c r="I285" s="947"/>
    </row>
    <row r="286" spans="1:9" s="566" customFormat="1" ht="15">
      <c r="A286" s="949" t="s">
        <v>3466</v>
      </c>
      <c r="B286" s="949" t="s">
        <v>1545</v>
      </c>
      <c r="C286" s="949" t="s">
        <v>1546</v>
      </c>
      <c r="D286" s="949" t="s">
        <v>1547</v>
      </c>
      <c r="F286" s="949" t="s">
        <v>3466</v>
      </c>
      <c r="G286" s="949" t="s">
        <v>1545</v>
      </c>
      <c r="H286" s="949" t="s">
        <v>1546</v>
      </c>
      <c r="I286" s="949" t="s">
        <v>1547</v>
      </c>
    </row>
    <row r="287" spans="1:9">
      <c r="A287" s="947">
        <v>272</v>
      </c>
      <c r="B287" s="948" t="s">
        <v>1609</v>
      </c>
      <c r="C287" s="948" t="s">
        <v>1939</v>
      </c>
      <c r="D287" s="947">
        <v>39.659999999999997</v>
      </c>
      <c r="F287" s="947">
        <v>598</v>
      </c>
      <c r="G287" s="948" t="s">
        <v>1940</v>
      </c>
      <c r="H287" s="948" t="s">
        <v>1625</v>
      </c>
      <c r="I287" s="947">
        <v>40</v>
      </c>
    </row>
    <row r="288" spans="1:9">
      <c r="A288" s="947">
        <v>273</v>
      </c>
      <c r="B288" s="948" t="s">
        <v>1609</v>
      </c>
      <c r="C288" s="948" t="s">
        <v>1964</v>
      </c>
      <c r="D288" s="947">
        <v>48.72</v>
      </c>
      <c r="F288" s="947">
        <v>599</v>
      </c>
      <c r="G288" s="948" t="s">
        <v>1901</v>
      </c>
      <c r="H288" s="948" t="s">
        <v>2127</v>
      </c>
      <c r="I288" s="947">
        <v>23.7</v>
      </c>
    </row>
    <row r="289" spans="1:9">
      <c r="A289" s="947">
        <v>274</v>
      </c>
      <c r="B289" s="948" t="s">
        <v>1609</v>
      </c>
      <c r="C289" s="948" t="s">
        <v>1990</v>
      </c>
      <c r="D289" s="947">
        <v>70</v>
      </c>
      <c r="F289" s="947">
        <v>600</v>
      </c>
      <c r="G289" s="948" t="s">
        <v>1685</v>
      </c>
      <c r="H289" s="948" t="s">
        <v>1572</v>
      </c>
      <c r="I289" s="947">
        <v>37.799999999999997</v>
      </c>
    </row>
    <row r="290" spans="1:9">
      <c r="A290" s="947">
        <v>275</v>
      </c>
      <c r="B290" s="948" t="s">
        <v>1609</v>
      </c>
      <c r="C290" s="948" t="s">
        <v>1741</v>
      </c>
      <c r="D290" s="947">
        <v>70</v>
      </c>
      <c r="F290" s="947">
        <v>601</v>
      </c>
      <c r="G290" s="948" t="s">
        <v>1885</v>
      </c>
      <c r="H290" s="948" t="s">
        <v>1886</v>
      </c>
      <c r="I290" s="947">
        <v>40</v>
      </c>
    </row>
    <row r="291" spans="1:9">
      <c r="A291" s="947">
        <v>276</v>
      </c>
      <c r="B291" s="948" t="s">
        <v>1609</v>
      </c>
      <c r="C291" s="948" t="s">
        <v>1590</v>
      </c>
      <c r="D291" s="947">
        <v>63.16</v>
      </c>
      <c r="F291" s="947">
        <v>602</v>
      </c>
      <c r="G291" s="948" t="s">
        <v>1764</v>
      </c>
      <c r="H291" s="948" t="s">
        <v>1765</v>
      </c>
      <c r="I291" s="947">
        <v>25.62</v>
      </c>
    </row>
    <row r="292" spans="1:9">
      <c r="A292" s="947">
        <v>277</v>
      </c>
      <c r="B292" s="948" t="s">
        <v>1609</v>
      </c>
      <c r="C292" s="948" t="s">
        <v>1570</v>
      </c>
      <c r="D292" s="947">
        <v>45.43</v>
      </c>
      <c r="F292" s="947">
        <v>603</v>
      </c>
      <c r="G292" s="948" t="s">
        <v>1584</v>
      </c>
      <c r="H292" s="948" t="s">
        <v>1725</v>
      </c>
      <c r="I292" s="947">
        <v>34.799999999999997</v>
      </c>
    </row>
    <row r="293" spans="1:9">
      <c r="A293" s="947">
        <v>278</v>
      </c>
      <c r="B293" s="948" t="s">
        <v>1609</v>
      </c>
      <c r="C293" s="948" t="s">
        <v>2072</v>
      </c>
      <c r="D293" s="947">
        <v>59.49</v>
      </c>
      <c r="F293" s="947">
        <v>604</v>
      </c>
      <c r="G293" s="948" t="s">
        <v>1584</v>
      </c>
      <c r="H293" s="948" t="s">
        <v>1620</v>
      </c>
      <c r="I293" s="947">
        <v>39.200000000000003</v>
      </c>
    </row>
    <row r="294" spans="1:9">
      <c r="A294" s="947">
        <v>279</v>
      </c>
      <c r="B294" s="948" t="s">
        <v>1609</v>
      </c>
      <c r="C294" s="948" t="s">
        <v>1858</v>
      </c>
      <c r="D294" s="947">
        <v>70</v>
      </c>
      <c r="F294" s="947">
        <v>605</v>
      </c>
      <c r="G294" s="948" t="s">
        <v>1584</v>
      </c>
      <c r="H294" s="948" t="s">
        <v>1806</v>
      </c>
      <c r="I294" s="947">
        <v>38.82</v>
      </c>
    </row>
    <row r="295" spans="1:9">
      <c r="A295" s="947">
        <v>280</v>
      </c>
      <c r="B295" s="948" t="s">
        <v>1609</v>
      </c>
      <c r="C295" s="948" t="s">
        <v>2139</v>
      </c>
      <c r="D295" s="947">
        <v>70</v>
      </c>
      <c r="F295" s="947">
        <v>606</v>
      </c>
      <c r="G295" s="948" t="s">
        <v>1584</v>
      </c>
      <c r="H295" s="948" t="s">
        <v>1637</v>
      </c>
      <c r="I295" s="947">
        <v>27.3</v>
      </c>
    </row>
    <row r="296" spans="1:9">
      <c r="A296" s="947">
        <v>281</v>
      </c>
      <c r="B296" s="948" t="s">
        <v>2020</v>
      </c>
      <c r="C296" s="948" t="s">
        <v>2021</v>
      </c>
      <c r="D296" s="947">
        <v>50</v>
      </c>
      <c r="F296" s="947">
        <v>607</v>
      </c>
      <c r="G296" s="948" t="s">
        <v>1772</v>
      </c>
      <c r="H296" s="948" t="s">
        <v>2402</v>
      </c>
      <c r="I296" s="947">
        <v>34.92</v>
      </c>
    </row>
    <row r="297" spans="1:9">
      <c r="A297" s="947">
        <v>282</v>
      </c>
      <c r="B297" s="948" t="s">
        <v>1967</v>
      </c>
      <c r="C297" s="948" t="s">
        <v>1592</v>
      </c>
      <c r="D297" s="947">
        <v>70</v>
      </c>
      <c r="F297" s="947">
        <v>608</v>
      </c>
      <c r="G297" s="948" t="s">
        <v>1598</v>
      </c>
      <c r="H297" s="948" t="s">
        <v>1572</v>
      </c>
      <c r="I297" s="947">
        <v>40</v>
      </c>
    </row>
    <row r="298" spans="1:9">
      <c r="A298" s="947">
        <v>283</v>
      </c>
      <c r="B298" s="948" t="s">
        <v>1928</v>
      </c>
      <c r="C298" s="948" t="s">
        <v>1552</v>
      </c>
      <c r="D298" s="947">
        <v>18.3</v>
      </c>
      <c r="F298" s="947">
        <v>609</v>
      </c>
      <c r="G298" s="948" t="s">
        <v>1598</v>
      </c>
      <c r="H298" s="948" t="s">
        <v>1590</v>
      </c>
      <c r="I298" s="947">
        <v>40</v>
      </c>
    </row>
    <row r="299" spans="1:9">
      <c r="A299" s="947">
        <v>284</v>
      </c>
      <c r="B299" s="948" t="s">
        <v>1928</v>
      </c>
      <c r="C299" s="948" t="s">
        <v>1633</v>
      </c>
      <c r="D299" s="947">
        <v>57.91</v>
      </c>
      <c r="F299" s="947">
        <v>610</v>
      </c>
      <c r="G299" s="948" t="s">
        <v>1748</v>
      </c>
      <c r="H299" s="948" t="s">
        <v>1584</v>
      </c>
      <c r="I299" s="947">
        <v>40</v>
      </c>
    </row>
    <row r="300" spans="1:9">
      <c r="A300" s="947">
        <v>285</v>
      </c>
      <c r="B300" s="948" t="s">
        <v>2386</v>
      </c>
      <c r="C300" s="948" t="s">
        <v>1687</v>
      </c>
      <c r="D300" s="947">
        <v>70</v>
      </c>
      <c r="F300" s="947">
        <v>611</v>
      </c>
      <c r="G300" s="948" t="s">
        <v>1814</v>
      </c>
      <c r="H300" s="948" t="s">
        <v>1815</v>
      </c>
      <c r="I300" s="947">
        <v>31.3</v>
      </c>
    </row>
    <row r="301" spans="1:9">
      <c r="A301" s="947">
        <v>286</v>
      </c>
      <c r="B301" s="948" t="s">
        <v>1657</v>
      </c>
      <c r="C301" s="948" t="s">
        <v>1658</v>
      </c>
      <c r="D301" s="947">
        <v>70</v>
      </c>
      <c r="F301" s="947">
        <v>612</v>
      </c>
      <c r="G301" s="948" t="s">
        <v>1556</v>
      </c>
      <c r="H301" s="948" t="s">
        <v>1572</v>
      </c>
      <c r="I301" s="947">
        <v>40</v>
      </c>
    </row>
    <row r="302" spans="1:9">
      <c r="A302" s="947">
        <v>287</v>
      </c>
      <c r="B302" s="948" t="s">
        <v>1657</v>
      </c>
      <c r="C302" s="948" t="s">
        <v>1767</v>
      </c>
      <c r="D302" s="947">
        <v>44.32</v>
      </c>
      <c r="F302" s="947">
        <v>613</v>
      </c>
      <c r="G302" s="948" t="s">
        <v>1897</v>
      </c>
      <c r="H302" s="948" t="s">
        <v>1572</v>
      </c>
      <c r="I302" s="947">
        <v>34.92</v>
      </c>
    </row>
    <row r="303" spans="1:9">
      <c r="A303" s="947">
        <v>288</v>
      </c>
      <c r="B303" s="948" t="s">
        <v>3817</v>
      </c>
      <c r="C303" s="948" t="s">
        <v>3818</v>
      </c>
      <c r="D303" s="947">
        <v>52.08</v>
      </c>
      <c r="F303" s="947">
        <v>614</v>
      </c>
      <c r="G303" s="948" t="s">
        <v>1670</v>
      </c>
      <c r="H303" s="948" t="s">
        <v>1741</v>
      </c>
      <c r="I303" s="947">
        <v>21</v>
      </c>
    </row>
    <row r="304" spans="1:9">
      <c r="A304" s="947">
        <v>289</v>
      </c>
      <c r="B304" s="948" t="s">
        <v>1909</v>
      </c>
      <c r="C304" s="948" t="s">
        <v>1572</v>
      </c>
      <c r="D304" s="947">
        <v>42</v>
      </c>
      <c r="F304" s="947">
        <v>615</v>
      </c>
      <c r="G304" s="948" t="s">
        <v>1605</v>
      </c>
      <c r="H304" s="948" t="s">
        <v>1606</v>
      </c>
      <c r="I304" s="947">
        <v>40</v>
      </c>
    </row>
    <row r="305" spans="1:9">
      <c r="A305" s="947">
        <v>290</v>
      </c>
      <c r="B305" s="948" t="s">
        <v>3819</v>
      </c>
      <c r="C305" s="948" t="s">
        <v>3820</v>
      </c>
      <c r="D305" s="947">
        <v>54.91</v>
      </c>
      <c r="F305" s="947">
        <v>616</v>
      </c>
      <c r="G305" s="948" t="s">
        <v>1919</v>
      </c>
      <c r="H305" s="948" t="s">
        <v>1920</v>
      </c>
      <c r="I305" s="947">
        <v>33</v>
      </c>
    </row>
    <row r="306" spans="1:9">
      <c r="A306" s="947">
        <v>291</v>
      </c>
      <c r="B306" s="948" t="s">
        <v>1993</v>
      </c>
      <c r="C306" s="948" t="s">
        <v>1592</v>
      </c>
      <c r="D306" s="947">
        <v>70</v>
      </c>
      <c r="F306" s="947">
        <v>617</v>
      </c>
      <c r="G306" s="948" t="s">
        <v>2403</v>
      </c>
      <c r="H306" s="948" t="s">
        <v>1625</v>
      </c>
      <c r="I306" s="947">
        <v>70</v>
      </c>
    </row>
    <row r="307" spans="1:9">
      <c r="A307" s="947">
        <v>292</v>
      </c>
      <c r="B307" s="948" t="s">
        <v>1993</v>
      </c>
      <c r="C307" s="948" t="s">
        <v>2029</v>
      </c>
      <c r="D307" s="947">
        <v>54.11</v>
      </c>
      <c r="F307" s="947">
        <v>618</v>
      </c>
      <c r="G307" s="948" t="s">
        <v>1803</v>
      </c>
      <c r="H307" s="948" t="s">
        <v>1804</v>
      </c>
      <c r="I307" s="947">
        <v>38.5</v>
      </c>
    </row>
    <row r="308" spans="1:9">
      <c r="A308" s="947">
        <v>293</v>
      </c>
      <c r="B308" s="948" t="s">
        <v>1650</v>
      </c>
      <c r="C308" s="948" t="s">
        <v>1651</v>
      </c>
      <c r="D308" s="947">
        <v>38.6</v>
      </c>
      <c r="F308" s="947">
        <v>619</v>
      </c>
      <c r="G308" s="948" t="s">
        <v>3843</v>
      </c>
      <c r="H308" s="948" t="s">
        <v>1551</v>
      </c>
      <c r="I308" s="947">
        <v>30.84</v>
      </c>
    </row>
    <row r="309" spans="1:9">
      <c r="A309" s="947">
        <v>294</v>
      </c>
      <c r="B309" s="948" t="s">
        <v>1607</v>
      </c>
      <c r="C309" s="948" t="s">
        <v>1608</v>
      </c>
      <c r="D309" s="947">
        <v>51.9</v>
      </c>
      <c r="F309" s="947">
        <v>620</v>
      </c>
      <c r="G309" s="948" t="s">
        <v>1878</v>
      </c>
      <c r="H309" s="948" t="s">
        <v>1701</v>
      </c>
      <c r="I309" s="947">
        <v>40</v>
      </c>
    </row>
    <row r="310" spans="1:9">
      <c r="A310" s="947">
        <v>295</v>
      </c>
      <c r="B310" s="948" t="s">
        <v>1607</v>
      </c>
      <c r="C310" s="948" t="s">
        <v>1572</v>
      </c>
      <c r="D310" s="947">
        <v>65.8</v>
      </c>
      <c r="F310" s="947">
        <v>621</v>
      </c>
      <c r="G310" s="948" t="s">
        <v>1639</v>
      </c>
      <c r="H310" s="948" t="s">
        <v>1606</v>
      </c>
      <c r="I310" s="947">
        <v>28.8</v>
      </c>
    </row>
    <row r="311" spans="1:9">
      <c r="A311" s="947">
        <v>296</v>
      </c>
      <c r="B311" s="948" t="s">
        <v>1607</v>
      </c>
      <c r="C311" s="948" t="s">
        <v>1572</v>
      </c>
      <c r="D311" s="947">
        <v>32.43</v>
      </c>
      <c r="F311" s="947">
        <v>622</v>
      </c>
      <c r="G311" s="948" t="s">
        <v>1880</v>
      </c>
      <c r="H311" s="948" t="s">
        <v>1570</v>
      </c>
      <c r="I311" s="947">
        <v>28.62</v>
      </c>
    </row>
    <row r="312" spans="1:9">
      <c r="A312" s="947">
        <v>297</v>
      </c>
      <c r="B312" s="948" t="s">
        <v>1607</v>
      </c>
      <c r="C312" s="948" t="s">
        <v>1588</v>
      </c>
      <c r="D312" s="947">
        <v>56.7</v>
      </c>
      <c r="F312" s="947">
        <v>623</v>
      </c>
      <c r="G312" s="948" t="s">
        <v>2012</v>
      </c>
      <c r="H312" s="948" t="s">
        <v>1786</v>
      </c>
      <c r="I312" s="947">
        <v>30.04</v>
      </c>
    </row>
    <row r="313" spans="1:9">
      <c r="A313" s="947">
        <v>298</v>
      </c>
      <c r="B313" s="948" t="s">
        <v>1607</v>
      </c>
      <c r="C313" s="948" t="s">
        <v>1936</v>
      </c>
      <c r="D313" s="947">
        <v>60.78</v>
      </c>
      <c r="F313" s="947">
        <v>624</v>
      </c>
      <c r="G313" s="948" t="s">
        <v>1597</v>
      </c>
      <c r="H313" s="948" t="s">
        <v>1590</v>
      </c>
      <c r="I313" s="947">
        <v>70</v>
      </c>
    </row>
    <row r="314" spans="1:9">
      <c r="A314" s="947">
        <v>299</v>
      </c>
      <c r="B314" s="948" t="s">
        <v>1607</v>
      </c>
      <c r="C314" s="948" t="s">
        <v>1937</v>
      </c>
      <c r="D314" s="947">
        <v>44.77</v>
      </c>
      <c r="F314" s="947">
        <v>625</v>
      </c>
      <c r="G314" s="948" t="s">
        <v>1558</v>
      </c>
      <c r="H314" s="948" t="s">
        <v>1559</v>
      </c>
      <c r="I314" s="947">
        <v>31.02</v>
      </c>
    </row>
    <row r="315" spans="1:9">
      <c r="A315" s="947">
        <v>300</v>
      </c>
      <c r="B315" s="948" t="s">
        <v>1607</v>
      </c>
      <c r="C315" s="948" t="s">
        <v>1572</v>
      </c>
      <c r="D315" s="947">
        <v>70</v>
      </c>
      <c r="F315" s="947">
        <v>626</v>
      </c>
      <c r="G315" s="948" t="s">
        <v>1842</v>
      </c>
      <c r="H315" s="948" t="s">
        <v>1843</v>
      </c>
      <c r="I315" s="947">
        <v>36</v>
      </c>
    </row>
    <row r="316" spans="1:9">
      <c r="A316" s="947">
        <v>301</v>
      </c>
      <c r="B316" s="948" t="s">
        <v>1607</v>
      </c>
      <c r="C316" s="948" t="s">
        <v>1703</v>
      </c>
      <c r="D316" s="947">
        <v>51.92</v>
      </c>
      <c r="F316" s="947">
        <v>627</v>
      </c>
      <c r="G316" s="948" t="s">
        <v>1762</v>
      </c>
      <c r="H316" s="948" t="s">
        <v>1631</v>
      </c>
      <c r="I316" s="947">
        <v>34.979999999999997</v>
      </c>
    </row>
    <row r="317" spans="1:9">
      <c r="A317" s="947">
        <v>302</v>
      </c>
      <c r="B317" s="948" t="s">
        <v>1607</v>
      </c>
      <c r="C317" s="948" t="s">
        <v>2053</v>
      </c>
      <c r="D317" s="947">
        <v>59.2</v>
      </c>
      <c r="F317" s="947">
        <v>628</v>
      </c>
      <c r="G317" s="948" t="s">
        <v>2058</v>
      </c>
      <c r="H317" s="948" t="s">
        <v>1554</v>
      </c>
      <c r="I317" s="947">
        <v>20</v>
      </c>
    </row>
    <row r="318" spans="1:9">
      <c r="A318" s="947">
        <v>303</v>
      </c>
      <c r="B318" s="948" t="s">
        <v>1708</v>
      </c>
      <c r="C318" s="948" t="s">
        <v>1615</v>
      </c>
      <c r="D318" s="947">
        <v>15.5</v>
      </c>
      <c r="F318" s="947">
        <v>629</v>
      </c>
      <c r="G318" s="948" t="s">
        <v>2033</v>
      </c>
      <c r="H318" s="948" t="s">
        <v>2132</v>
      </c>
      <c r="I318" s="947">
        <v>25.2</v>
      </c>
    </row>
    <row r="319" spans="1:9">
      <c r="A319" s="947">
        <v>304</v>
      </c>
      <c r="B319" s="948" t="s">
        <v>2112</v>
      </c>
      <c r="C319" s="948" t="s">
        <v>1615</v>
      </c>
      <c r="D319" s="947">
        <v>61.2</v>
      </c>
      <c r="F319" s="947">
        <v>630</v>
      </c>
      <c r="G319" s="948" t="s">
        <v>1932</v>
      </c>
      <c r="H319" s="948" t="s">
        <v>2036</v>
      </c>
      <c r="I319" s="947">
        <v>13.5</v>
      </c>
    </row>
    <row r="320" spans="1:9">
      <c r="A320" s="947">
        <v>305</v>
      </c>
      <c r="B320" s="948" t="s">
        <v>2026</v>
      </c>
      <c r="C320" s="948" t="s">
        <v>1749</v>
      </c>
      <c r="D320" s="947">
        <v>24.25</v>
      </c>
      <c r="F320" s="947">
        <v>631</v>
      </c>
      <c r="G320" s="948" t="s">
        <v>1775</v>
      </c>
      <c r="H320" s="948" t="s">
        <v>1776</v>
      </c>
      <c r="I320" s="947">
        <v>40</v>
      </c>
    </row>
    <row r="321" spans="1:9">
      <c r="A321" s="947">
        <v>306</v>
      </c>
      <c r="B321" s="948" t="s">
        <v>1960</v>
      </c>
      <c r="C321" s="948" t="s">
        <v>1920</v>
      </c>
      <c r="D321" s="947">
        <v>70</v>
      </c>
      <c r="F321" s="947">
        <v>632</v>
      </c>
      <c r="G321" s="948" t="s">
        <v>1977</v>
      </c>
      <c r="H321" s="948" t="s">
        <v>1767</v>
      </c>
      <c r="I321" s="947">
        <v>40</v>
      </c>
    </row>
    <row r="322" spans="1:9">
      <c r="A322" s="947">
        <v>307</v>
      </c>
      <c r="B322" s="948" t="s">
        <v>1577</v>
      </c>
      <c r="C322" s="948" t="s">
        <v>1578</v>
      </c>
      <c r="D322" s="947">
        <v>31.5</v>
      </c>
      <c r="F322" s="947">
        <v>633</v>
      </c>
      <c r="G322" s="948" t="s">
        <v>1980</v>
      </c>
      <c r="H322" s="948" t="s">
        <v>1981</v>
      </c>
      <c r="I322" s="947">
        <v>40</v>
      </c>
    </row>
    <row r="323" spans="1:9">
      <c r="A323" s="947">
        <v>308</v>
      </c>
      <c r="B323" s="948" t="s">
        <v>1841</v>
      </c>
      <c r="C323" s="948" t="s">
        <v>1625</v>
      </c>
      <c r="D323" s="947">
        <v>40</v>
      </c>
      <c r="F323" s="947">
        <v>634</v>
      </c>
      <c r="G323" s="948" t="s">
        <v>2106</v>
      </c>
      <c r="H323" s="948" t="s">
        <v>2107</v>
      </c>
      <c r="I323" s="947">
        <v>33.6</v>
      </c>
    </row>
    <row r="324" spans="1:9">
      <c r="A324" s="947">
        <v>309</v>
      </c>
      <c r="B324" s="948" t="s">
        <v>1587</v>
      </c>
      <c r="C324" s="948" t="s">
        <v>1588</v>
      </c>
      <c r="D324" s="947">
        <v>23</v>
      </c>
      <c r="F324" s="947">
        <v>635</v>
      </c>
      <c r="G324" s="948" t="s">
        <v>1854</v>
      </c>
      <c r="H324" s="948" t="s">
        <v>1590</v>
      </c>
      <c r="I324" s="947">
        <v>40</v>
      </c>
    </row>
    <row r="325" spans="1:9">
      <c r="A325" s="947">
        <v>310</v>
      </c>
      <c r="B325" s="948" t="s">
        <v>2074</v>
      </c>
      <c r="C325" s="948" t="s">
        <v>1744</v>
      </c>
      <c r="D325" s="947">
        <v>70</v>
      </c>
      <c r="F325" s="947">
        <v>636</v>
      </c>
      <c r="G325" s="948" t="s">
        <v>1671</v>
      </c>
      <c r="H325" s="948" t="s">
        <v>1672</v>
      </c>
      <c r="I325" s="947">
        <v>40</v>
      </c>
    </row>
    <row r="326" spans="1:9">
      <c r="A326" s="947">
        <v>311</v>
      </c>
      <c r="B326" s="948" t="s">
        <v>1784</v>
      </c>
      <c r="C326" s="948" t="s">
        <v>1776</v>
      </c>
      <c r="D326" s="947">
        <v>19.07</v>
      </c>
      <c r="F326" s="947">
        <v>637</v>
      </c>
      <c r="G326" s="948" t="s">
        <v>1621</v>
      </c>
      <c r="H326" s="948" t="s">
        <v>1557</v>
      </c>
      <c r="I326" s="947">
        <v>40</v>
      </c>
    </row>
    <row r="327" spans="1:9">
      <c r="A327" s="947">
        <v>312</v>
      </c>
      <c r="B327" s="948" t="s">
        <v>1754</v>
      </c>
      <c r="C327" s="948" t="s">
        <v>1755</v>
      </c>
      <c r="D327" s="947">
        <v>55.14</v>
      </c>
      <c r="F327" s="947">
        <v>638</v>
      </c>
      <c r="G327" s="948" t="s">
        <v>1889</v>
      </c>
      <c r="H327" s="948" t="s">
        <v>3844</v>
      </c>
      <c r="I327" s="947">
        <v>37.5</v>
      </c>
    </row>
    <row r="328" spans="1:9">
      <c r="A328" s="947">
        <v>313</v>
      </c>
      <c r="B328" s="948" t="s">
        <v>2387</v>
      </c>
      <c r="C328" s="948" t="s">
        <v>2388</v>
      </c>
      <c r="D328" s="947">
        <v>35.950000000000003</v>
      </c>
      <c r="F328" s="947">
        <v>639</v>
      </c>
      <c r="G328" s="948" t="s">
        <v>1889</v>
      </c>
      <c r="H328" s="948" t="s">
        <v>1590</v>
      </c>
      <c r="I328" s="947">
        <v>10.38</v>
      </c>
    </row>
    <row r="329" spans="1:9">
      <c r="A329" s="947">
        <v>314</v>
      </c>
      <c r="B329" s="948" t="s">
        <v>1562</v>
      </c>
      <c r="C329" s="948" t="s">
        <v>1559</v>
      </c>
      <c r="D329" s="947">
        <v>36.299999999999997</v>
      </c>
      <c r="F329" s="947">
        <v>640</v>
      </c>
      <c r="G329" s="948" t="s">
        <v>1953</v>
      </c>
      <c r="H329" s="948" t="s">
        <v>1717</v>
      </c>
      <c r="I329" s="947">
        <v>25.2</v>
      </c>
    </row>
    <row r="330" spans="1:9">
      <c r="A330" s="947">
        <v>315</v>
      </c>
      <c r="B330" s="948" t="s">
        <v>1705</v>
      </c>
      <c r="C330" s="948" t="s">
        <v>1611</v>
      </c>
      <c r="D330" s="947">
        <v>67.849999999999994</v>
      </c>
      <c r="F330" s="947">
        <v>641</v>
      </c>
      <c r="G330" s="948" t="s">
        <v>1810</v>
      </c>
      <c r="H330" s="948" t="s">
        <v>1724</v>
      </c>
      <c r="I330" s="947">
        <v>55</v>
      </c>
    </row>
    <row r="331" spans="1:9">
      <c r="A331" s="947">
        <v>316</v>
      </c>
      <c r="B331" s="948" t="s">
        <v>1553</v>
      </c>
      <c r="C331" s="948" t="s">
        <v>1554</v>
      </c>
      <c r="D331" s="947">
        <v>54</v>
      </c>
      <c r="F331" s="947">
        <v>642</v>
      </c>
      <c r="G331" s="948" t="s">
        <v>1810</v>
      </c>
      <c r="H331" s="948" t="s">
        <v>1570</v>
      </c>
      <c r="I331" s="947">
        <v>33</v>
      </c>
    </row>
    <row r="332" spans="1:9">
      <c r="A332" s="947">
        <v>317</v>
      </c>
      <c r="B332" s="948" t="s">
        <v>1553</v>
      </c>
      <c r="C332" s="948" t="s">
        <v>1656</v>
      </c>
      <c r="D332" s="947">
        <v>34</v>
      </c>
      <c r="F332" s="947">
        <v>643</v>
      </c>
      <c r="G332" s="948" t="s">
        <v>1662</v>
      </c>
      <c r="H332" s="948" t="s">
        <v>1663</v>
      </c>
      <c r="I332" s="947">
        <v>30</v>
      </c>
    </row>
    <row r="333" spans="1:9">
      <c r="A333" s="947">
        <v>318</v>
      </c>
      <c r="B333" s="948" t="s">
        <v>1553</v>
      </c>
      <c r="C333" s="948" t="s">
        <v>1701</v>
      </c>
      <c r="D333" s="947">
        <v>30.3</v>
      </c>
      <c r="F333" s="947">
        <v>644</v>
      </c>
      <c r="G333" s="948" t="s">
        <v>1828</v>
      </c>
      <c r="H333" s="948" t="s">
        <v>1808</v>
      </c>
      <c r="I333" s="947">
        <v>21.3</v>
      </c>
    </row>
    <row r="334" spans="1:9">
      <c r="A334" s="947">
        <v>319</v>
      </c>
      <c r="B334" s="948" t="s">
        <v>1553</v>
      </c>
      <c r="C334" s="948" t="s">
        <v>1714</v>
      </c>
      <c r="D334" s="947">
        <v>30.03</v>
      </c>
      <c r="F334" s="947">
        <v>645</v>
      </c>
      <c r="G334" s="948" t="s">
        <v>1768</v>
      </c>
      <c r="H334" s="948" t="s">
        <v>1572</v>
      </c>
      <c r="I334" s="947">
        <v>27</v>
      </c>
    </row>
    <row r="335" spans="1:9">
      <c r="A335" s="947">
        <v>320</v>
      </c>
      <c r="B335" s="948" t="s">
        <v>1997</v>
      </c>
      <c r="C335" s="948" t="s">
        <v>1625</v>
      </c>
      <c r="D335" s="947">
        <v>32.99</v>
      </c>
      <c r="F335" s="947">
        <v>646</v>
      </c>
      <c r="G335" s="948" t="s">
        <v>1565</v>
      </c>
      <c r="H335" s="948" t="s">
        <v>1924</v>
      </c>
      <c r="I335" s="947">
        <v>40</v>
      </c>
    </row>
    <row r="336" spans="1:9">
      <c r="A336" s="947">
        <v>592</v>
      </c>
      <c r="B336" s="948" t="s">
        <v>1607</v>
      </c>
      <c r="C336" s="948" t="s">
        <v>1692</v>
      </c>
      <c r="D336" s="947">
        <v>39</v>
      </c>
      <c r="F336" s="947">
        <v>647</v>
      </c>
      <c r="G336" s="948" t="s">
        <v>1565</v>
      </c>
      <c r="H336" s="948" t="s">
        <v>1704</v>
      </c>
      <c r="I336" s="947">
        <v>29.94</v>
      </c>
    </row>
    <row r="337" spans="1:9">
      <c r="A337" s="947">
        <v>593</v>
      </c>
      <c r="B337" s="948" t="s">
        <v>1607</v>
      </c>
      <c r="C337" s="948" t="s">
        <v>1936</v>
      </c>
      <c r="D337" s="947">
        <v>40</v>
      </c>
      <c r="F337" s="947">
        <v>648</v>
      </c>
      <c r="G337" s="948" t="s">
        <v>1654</v>
      </c>
      <c r="H337" s="948" t="s">
        <v>1655</v>
      </c>
      <c r="I337" s="947">
        <v>40</v>
      </c>
    </row>
    <row r="338" spans="1:9">
      <c r="A338" s="947">
        <v>594</v>
      </c>
      <c r="B338" s="948" t="s">
        <v>1607</v>
      </c>
      <c r="C338" s="948" t="s">
        <v>2066</v>
      </c>
      <c r="D338" s="947">
        <v>30.72</v>
      </c>
      <c r="F338" s="947">
        <v>649</v>
      </c>
      <c r="G338" s="948" t="s">
        <v>1702</v>
      </c>
      <c r="H338" s="948" t="s">
        <v>1568</v>
      </c>
      <c r="I338" s="947">
        <v>40</v>
      </c>
    </row>
    <row r="339" spans="1:9">
      <c r="A339" s="947">
        <v>595</v>
      </c>
      <c r="B339" s="948" t="s">
        <v>1607</v>
      </c>
      <c r="C339" s="948" t="s">
        <v>2091</v>
      </c>
      <c r="D339" s="947">
        <v>40</v>
      </c>
      <c r="F339" s="947">
        <v>650</v>
      </c>
      <c r="G339" s="948" t="s">
        <v>2175</v>
      </c>
      <c r="H339" s="948" t="s">
        <v>2176</v>
      </c>
      <c r="I339" s="947">
        <v>40</v>
      </c>
    </row>
    <row r="340" spans="1:9">
      <c r="A340" s="947">
        <v>596</v>
      </c>
      <c r="B340" s="948" t="s">
        <v>1626</v>
      </c>
      <c r="C340" s="948" t="s">
        <v>1627</v>
      </c>
      <c r="D340" s="947">
        <v>40</v>
      </c>
      <c r="F340" s="947">
        <v>651</v>
      </c>
      <c r="G340" s="948" t="s">
        <v>1872</v>
      </c>
      <c r="H340" s="948" t="s">
        <v>1595</v>
      </c>
      <c r="I340" s="947">
        <v>40</v>
      </c>
    </row>
    <row r="341" spans="1:9">
      <c r="A341" s="947">
        <v>597</v>
      </c>
      <c r="B341" s="948" t="s">
        <v>1553</v>
      </c>
      <c r="C341" s="948" t="s">
        <v>1554</v>
      </c>
      <c r="D341" s="947">
        <v>40</v>
      </c>
    </row>
    <row r="343" spans="1:9">
      <c r="D343" s="162">
        <f>SUM(D5:D342)</f>
        <v>15883.339999999998</v>
      </c>
      <c r="I343" s="162"/>
    </row>
  </sheetData>
  <mergeCells count="1">
    <mergeCell ref="B1:H1"/>
  </mergeCells>
  <pageMargins left="0.7" right="0.7" top="0.75" bottom="0.75" header="0.3" footer="0.3"/>
  <pageSetup paperSize="9" scale="9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rightToLeft="1" workbookViewId="0">
      <selection activeCell="A18" sqref="A18"/>
    </sheetView>
  </sheetViews>
  <sheetFormatPr defaultColWidth="9" defaultRowHeight="15"/>
  <cols>
    <col min="1" max="1" width="15" style="756" bestFit="1" customWidth="1"/>
    <col min="2" max="2" width="44" style="757" bestFit="1" customWidth="1"/>
    <col min="3" max="3" width="16.25" style="756" bestFit="1" customWidth="1"/>
    <col min="4" max="4" width="13.5" style="756" bestFit="1" customWidth="1"/>
    <col min="5" max="5" width="18" style="756" bestFit="1" customWidth="1"/>
    <col min="6" max="6" width="9" style="756"/>
    <col min="7" max="7" width="9.625" style="756" bestFit="1" customWidth="1"/>
    <col min="8" max="8" width="12.375" style="757" bestFit="1" customWidth="1"/>
    <col min="9" max="16384" width="9" style="756"/>
  </cols>
  <sheetData>
    <row r="1" spans="1:9">
      <c r="A1" s="756" t="s">
        <v>3447</v>
      </c>
      <c r="C1" s="756" t="s">
        <v>3448</v>
      </c>
      <c r="G1" s="756" t="s">
        <v>3450</v>
      </c>
    </row>
    <row r="2" spans="1:9">
      <c r="A2" s="756">
        <v>1615000751</v>
      </c>
      <c r="B2" s="757">
        <v>1000000</v>
      </c>
      <c r="G2" s="756">
        <v>1811000780</v>
      </c>
      <c r="H2" s="757">
        <v>100000</v>
      </c>
    </row>
    <row r="3" spans="1:9">
      <c r="A3" s="756">
        <v>1746000750</v>
      </c>
      <c r="B3" s="757">
        <v>2000000</v>
      </c>
      <c r="H3" s="757">
        <v>200000</v>
      </c>
      <c r="I3" s="756" t="s">
        <v>3456</v>
      </c>
    </row>
    <row r="4" spans="1:9">
      <c r="A4" s="756">
        <v>1712200750</v>
      </c>
      <c r="B4" s="757">
        <v>1000000</v>
      </c>
      <c r="G4" s="756">
        <v>1812200980</v>
      </c>
      <c r="H4" s="757">
        <v>200000</v>
      </c>
    </row>
    <row r="5" spans="1:9">
      <c r="A5" s="756">
        <v>1826000810</v>
      </c>
      <c r="B5" s="757">
        <v>1500000</v>
      </c>
      <c r="G5" s="756">
        <v>1813200980</v>
      </c>
      <c r="H5" s="757">
        <v>300000</v>
      </c>
    </row>
    <row r="6" spans="1:9">
      <c r="A6" s="756">
        <v>1822000810</v>
      </c>
      <c r="B6" s="757">
        <v>1000000</v>
      </c>
      <c r="D6" s="756" t="s">
        <v>3449</v>
      </c>
      <c r="G6" s="756">
        <v>1813400810</v>
      </c>
      <c r="H6" s="757">
        <v>300000</v>
      </c>
    </row>
    <row r="7" spans="1:9">
      <c r="A7" s="756">
        <v>1829300812</v>
      </c>
      <c r="B7" s="757">
        <v>500000</v>
      </c>
      <c r="G7" s="756">
        <v>1815200980</v>
      </c>
      <c r="H7" s="757">
        <v>300000</v>
      </c>
    </row>
    <row r="8" spans="1:9">
      <c r="A8" s="756">
        <v>1813400810</v>
      </c>
      <c r="B8" s="757">
        <v>1000000</v>
      </c>
      <c r="G8" s="756">
        <v>1822000816</v>
      </c>
      <c r="H8" s="757">
        <v>200000</v>
      </c>
    </row>
    <row r="9" spans="1:9">
      <c r="G9" s="756">
        <v>1823000780</v>
      </c>
      <c r="H9" s="757">
        <v>50000</v>
      </c>
    </row>
    <row r="11" spans="1:9">
      <c r="B11" s="757">
        <f>SUM(B2:B10)</f>
        <v>8000000</v>
      </c>
    </row>
    <row r="16" spans="1:9" ht="15.75" thickBot="1"/>
    <row r="17" spans="1:5" ht="19.5" thickBot="1">
      <c r="A17" s="758" t="s">
        <v>2509</v>
      </c>
      <c r="B17" s="759" t="s">
        <v>271</v>
      </c>
      <c r="C17" s="760" t="s">
        <v>2512</v>
      </c>
      <c r="D17" s="760" t="s">
        <v>2510</v>
      </c>
      <c r="E17" s="761" t="s">
        <v>2511</v>
      </c>
    </row>
    <row r="18" spans="1:5" ht="18">
      <c r="A18" s="762">
        <v>1613000750</v>
      </c>
      <c r="B18" s="763" t="s">
        <v>2513</v>
      </c>
      <c r="C18" s="764">
        <v>400000</v>
      </c>
      <c r="D18" s="764">
        <v>200000</v>
      </c>
      <c r="E18" s="764">
        <f>+C18-D18</f>
        <v>200000</v>
      </c>
    </row>
    <row r="19" spans="1:5" ht="18">
      <c r="A19" s="765">
        <v>1712200750</v>
      </c>
      <c r="B19" s="766" t="s">
        <v>2506</v>
      </c>
      <c r="C19" s="767">
        <v>17500000</v>
      </c>
      <c r="D19" s="767">
        <v>200000</v>
      </c>
      <c r="E19" s="767">
        <f t="shared" ref="E19:E37" si="0">+C19-D19</f>
        <v>17300000</v>
      </c>
    </row>
    <row r="20" spans="1:5" ht="18">
      <c r="A20" s="765">
        <v>1712300750</v>
      </c>
      <c r="B20" s="766" t="s">
        <v>2507</v>
      </c>
      <c r="C20" s="767">
        <v>47000000</v>
      </c>
      <c r="D20" s="767">
        <v>300000</v>
      </c>
      <c r="E20" s="767">
        <f t="shared" si="0"/>
        <v>46700000</v>
      </c>
    </row>
    <row r="21" spans="1:5" ht="18">
      <c r="A21" s="765">
        <v>1742000750</v>
      </c>
      <c r="B21" s="766" t="s">
        <v>2488</v>
      </c>
      <c r="C21" s="767">
        <v>500000</v>
      </c>
      <c r="D21" s="767">
        <v>100000</v>
      </c>
      <c r="E21" s="767">
        <f t="shared" si="0"/>
        <v>400000</v>
      </c>
    </row>
    <row r="22" spans="1:5" ht="18">
      <c r="A22" s="765">
        <v>1746000750</v>
      </c>
      <c r="B22" s="766" t="s">
        <v>2489</v>
      </c>
      <c r="C22" s="767">
        <v>6300000</v>
      </c>
      <c r="D22" s="767">
        <v>200000</v>
      </c>
      <c r="E22" s="767">
        <f t="shared" si="0"/>
        <v>6100000</v>
      </c>
    </row>
    <row r="23" spans="1:5" ht="18">
      <c r="A23" s="765">
        <v>1747000751</v>
      </c>
      <c r="B23" s="768" t="s">
        <v>2369</v>
      </c>
      <c r="C23" s="767">
        <v>700000</v>
      </c>
      <c r="D23" s="767">
        <v>100000</v>
      </c>
      <c r="E23" s="767">
        <f t="shared" si="0"/>
        <v>600000</v>
      </c>
    </row>
    <row r="24" spans="1:5" ht="18">
      <c r="A24" s="769">
        <v>1752000780</v>
      </c>
      <c r="B24" s="768" t="s">
        <v>2491</v>
      </c>
      <c r="C24" s="767">
        <v>200000</v>
      </c>
      <c r="D24" s="767">
        <v>50000</v>
      </c>
      <c r="E24" s="767">
        <f t="shared" si="0"/>
        <v>150000</v>
      </c>
    </row>
    <row r="25" spans="1:5" ht="18">
      <c r="A25" s="769">
        <v>1771000550</v>
      </c>
      <c r="B25" s="768" t="s">
        <v>2406</v>
      </c>
      <c r="C25" s="767">
        <v>700000</v>
      </c>
      <c r="D25" s="767">
        <v>200000</v>
      </c>
      <c r="E25" s="767">
        <f t="shared" si="0"/>
        <v>500000</v>
      </c>
    </row>
    <row r="26" spans="1:5" ht="18">
      <c r="A26" s="765">
        <v>1771000780</v>
      </c>
      <c r="B26" s="766" t="s">
        <v>2487</v>
      </c>
      <c r="C26" s="767">
        <v>1850000</v>
      </c>
      <c r="D26" s="767">
        <v>360000</v>
      </c>
      <c r="E26" s="767">
        <f t="shared" si="0"/>
        <v>1490000</v>
      </c>
    </row>
    <row r="27" spans="1:5" ht="18">
      <c r="A27" s="765">
        <v>1780000780</v>
      </c>
      <c r="B27" s="768" t="s">
        <v>2493</v>
      </c>
      <c r="C27" s="767">
        <v>350000</v>
      </c>
      <c r="D27" s="767">
        <v>50000</v>
      </c>
      <c r="E27" s="767">
        <f t="shared" si="0"/>
        <v>300000</v>
      </c>
    </row>
    <row r="28" spans="1:5" ht="18">
      <c r="A28" s="769">
        <v>1800000753</v>
      </c>
      <c r="B28" s="768" t="s">
        <v>2465</v>
      </c>
      <c r="C28" s="767">
        <v>850000</v>
      </c>
      <c r="D28" s="767">
        <v>100000</v>
      </c>
      <c r="E28" s="767">
        <f t="shared" si="0"/>
        <v>750000</v>
      </c>
    </row>
    <row r="29" spans="1:5" ht="18">
      <c r="A29" s="769">
        <v>1811000750</v>
      </c>
      <c r="B29" s="768" t="s">
        <v>2495</v>
      </c>
      <c r="C29" s="767">
        <v>300000</v>
      </c>
      <c r="D29" s="767">
        <v>100000</v>
      </c>
      <c r="E29" s="767">
        <f t="shared" si="0"/>
        <v>200000</v>
      </c>
    </row>
    <row r="30" spans="1:5" ht="18">
      <c r="A30" s="769">
        <v>1813200743</v>
      </c>
      <c r="B30" s="768" t="s">
        <v>2496</v>
      </c>
      <c r="C30" s="767">
        <v>200000</v>
      </c>
      <c r="D30" s="767">
        <v>50000</v>
      </c>
      <c r="E30" s="767">
        <f t="shared" si="0"/>
        <v>150000</v>
      </c>
    </row>
    <row r="31" spans="1:5" ht="18">
      <c r="A31" s="769">
        <v>1813200980</v>
      </c>
      <c r="B31" s="768" t="s">
        <v>2498</v>
      </c>
      <c r="C31" s="767">
        <v>3000000</v>
      </c>
      <c r="D31" s="767">
        <v>200000</v>
      </c>
      <c r="E31" s="767">
        <f t="shared" si="0"/>
        <v>2800000</v>
      </c>
    </row>
    <row r="32" spans="1:5" ht="18">
      <c r="A32" s="765">
        <v>1814000810</v>
      </c>
      <c r="B32" s="766" t="s">
        <v>607</v>
      </c>
      <c r="C32" s="767">
        <v>4200000</v>
      </c>
      <c r="D32" s="767">
        <v>400000</v>
      </c>
      <c r="E32" s="767">
        <f t="shared" si="0"/>
        <v>3800000</v>
      </c>
    </row>
    <row r="33" spans="1:5" ht="18">
      <c r="A33" s="765">
        <v>1815200980</v>
      </c>
      <c r="B33" s="768" t="s">
        <v>2500</v>
      </c>
      <c r="C33" s="767">
        <v>2000000</v>
      </c>
      <c r="D33" s="767">
        <v>150000</v>
      </c>
      <c r="E33" s="767">
        <f t="shared" si="0"/>
        <v>1850000</v>
      </c>
    </row>
    <row r="34" spans="1:5" ht="18">
      <c r="A34" s="765">
        <v>1823000780</v>
      </c>
      <c r="B34" s="768" t="s">
        <v>2502</v>
      </c>
      <c r="C34" s="767">
        <v>140000</v>
      </c>
      <c r="D34" s="767">
        <v>50000</v>
      </c>
      <c r="E34" s="767">
        <f t="shared" si="0"/>
        <v>90000</v>
      </c>
    </row>
    <row r="35" spans="1:5" ht="18">
      <c r="A35" s="765">
        <v>1826000810</v>
      </c>
      <c r="B35" s="768" t="s">
        <v>514</v>
      </c>
      <c r="C35" s="767">
        <v>3040000</v>
      </c>
      <c r="D35" s="767">
        <v>200000</v>
      </c>
      <c r="E35" s="767">
        <f t="shared" si="0"/>
        <v>2840000</v>
      </c>
    </row>
    <row r="36" spans="1:5" ht="18">
      <c r="A36" s="769">
        <v>1828100780</v>
      </c>
      <c r="B36" s="768" t="s">
        <v>2504</v>
      </c>
      <c r="C36" s="767">
        <v>500000</v>
      </c>
      <c r="D36" s="767">
        <v>50000</v>
      </c>
      <c r="E36" s="767">
        <f t="shared" si="0"/>
        <v>450000</v>
      </c>
    </row>
    <row r="37" spans="1:5" ht="18.75" thickBot="1">
      <c r="A37" s="769">
        <v>1870000750</v>
      </c>
      <c r="B37" s="768" t="s">
        <v>2505</v>
      </c>
      <c r="C37" s="767">
        <v>120000</v>
      </c>
      <c r="D37" s="767">
        <v>25000</v>
      </c>
      <c r="E37" s="767">
        <f t="shared" si="0"/>
        <v>95000</v>
      </c>
    </row>
    <row r="38" spans="1:5" ht="19.5" thickBot="1">
      <c r="A38" s="126" t="s">
        <v>888</v>
      </c>
      <c r="B38" s="770"/>
      <c r="C38" s="771" t="s">
        <v>4</v>
      </c>
      <c r="D38" s="771">
        <f>SUM(D18:D37)</f>
        <v>3085000</v>
      </c>
      <c r="E38" s="771" t="s">
        <v>4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Q468"/>
  <sheetViews>
    <sheetView rightToLeft="1" topLeftCell="C374" workbookViewId="0">
      <selection activeCell="H304" sqref="H304"/>
    </sheetView>
  </sheetViews>
  <sheetFormatPr defaultColWidth="9" defaultRowHeight="15"/>
  <cols>
    <col min="1" max="1" width="24.375" style="623" customWidth="1"/>
    <col min="2" max="2" width="17.375" style="623" customWidth="1"/>
    <col min="3" max="3" width="6" style="623" bestFit="1" customWidth="1"/>
    <col min="4" max="4" width="9.25" style="623" customWidth="1"/>
    <col min="5" max="5" width="9" style="623" customWidth="1"/>
    <col min="6" max="6" width="17" style="623" bestFit="1" customWidth="1"/>
    <col min="7" max="7" width="17" style="623" customWidth="1"/>
    <col min="8" max="8" width="16.125" style="623" bestFit="1" customWidth="1"/>
    <col min="9" max="9" width="31.375" style="625" customWidth="1"/>
    <col min="10" max="11" width="0" style="623" hidden="1" customWidth="1"/>
    <col min="12" max="12" width="15.375" style="626" bestFit="1" customWidth="1"/>
    <col min="13" max="13" width="12.75" style="623" bestFit="1" customWidth="1"/>
    <col min="14" max="14" width="12.5" style="623" bestFit="1" customWidth="1"/>
    <col min="15" max="16" width="14.125" style="623" bestFit="1" customWidth="1"/>
    <col min="17" max="16384" width="9" style="623"/>
  </cols>
  <sheetData>
    <row r="1" spans="1:13" ht="26.25">
      <c r="E1" s="624" t="s">
        <v>2995</v>
      </c>
    </row>
    <row r="2" spans="1:13" ht="18">
      <c r="A2" s="627" t="s">
        <v>2996</v>
      </c>
      <c r="B2" s="627"/>
    </row>
    <row r="3" spans="1:13" ht="47.25">
      <c r="A3" s="628" t="s">
        <v>1</v>
      </c>
      <c r="B3" s="629" t="s">
        <v>2997</v>
      </c>
      <c r="C3" s="628" t="s">
        <v>2</v>
      </c>
      <c r="D3" s="628" t="s">
        <v>4</v>
      </c>
      <c r="E3" s="628" t="s">
        <v>271</v>
      </c>
      <c r="F3" s="630" t="s">
        <v>2187</v>
      </c>
      <c r="G3" s="631" t="s">
        <v>2998</v>
      </c>
      <c r="H3" s="630" t="s">
        <v>2999</v>
      </c>
      <c r="I3" s="630" t="s">
        <v>5</v>
      </c>
    </row>
    <row r="4" spans="1:13" s="637" customFormat="1">
      <c r="A4" s="632" t="s">
        <v>109</v>
      </c>
      <c r="B4" s="632"/>
      <c r="C4" s="632">
        <v>490</v>
      </c>
      <c r="D4" s="632">
        <v>341000</v>
      </c>
      <c r="E4" s="633" t="s">
        <v>110</v>
      </c>
      <c r="F4" s="634">
        <v>30000</v>
      </c>
      <c r="G4" s="634">
        <v>30000</v>
      </c>
      <c r="H4" s="635">
        <v>30000</v>
      </c>
      <c r="I4" s="636"/>
      <c r="L4" s="638">
        <v>1341000490</v>
      </c>
    </row>
    <row r="5" spans="1:13" s="637" customFormat="1">
      <c r="A5" s="632" t="s">
        <v>4</v>
      </c>
      <c r="B5" s="632"/>
      <c r="C5" s="632">
        <v>930</v>
      </c>
      <c r="D5" s="632">
        <v>341000</v>
      </c>
      <c r="E5" s="633" t="s">
        <v>111</v>
      </c>
      <c r="F5" s="634">
        <v>12148000.210000001</v>
      </c>
      <c r="G5" s="634">
        <v>12037885</v>
      </c>
      <c r="H5" s="639">
        <f>+F5/[1]הוצאות!F4*[1]הוצאות!H4</f>
        <v>13210032.604522519</v>
      </c>
      <c r="I5" s="636" t="s">
        <v>3000</v>
      </c>
      <c r="J5" s="640">
        <f>+F5/[1]הוצאות!F4</f>
        <v>0.53583874597503423</v>
      </c>
      <c r="K5" s="640">
        <f>+H5/[1]הוצאות!H4</f>
        <v>0.53583874597503423</v>
      </c>
      <c r="L5" s="638">
        <v>1341000930</v>
      </c>
      <c r="M5" s="637" t="s">
        <v>3001</v>
      </c>
    </row>
    <row r="6" spans="1:13" s="637" customFormat="1">
      <c r="A6" s="632"/>
      <c r="B6" s="632"/>
      <c r="C6" s="632"/>
      <c r="D6" s="632"/>
      <c r="E6" s="641" t="s">
        <v>2365</v>
      </c>
      <c r="F6" s="634">
        <v>338000</v>
      </c>
      <c r="G6" s="634">
        <v>0</v>
      </c>
      <c r="H6" s="642">
        <f>+'[1]פירוט תקציב מוגנות'!B12</f>
        <v>436446.58262500004</v>
      </c>
      <c r="I6" s="636"/>
      <c r="J6" s="640"/>
      <c r="K6" s="640"/>
      <c r="L6" s="638"/>
    </row>
    <row r="7" spans="1:13" s="637" customFormat="1" ht="15.75">
      <c r="A7" s="643" t="s">
        <v>112</v>
      </c>
      <c r="B7" s="643"/>
      <c r="C7" s="643">
        <v>999</v>
      </c>
      <c r="D7" s="643">
        <v>341000</v>
      </c>
      <c r="E7" s="643"/>
      <c r="F7" s="644">
        <f>SUM(F4:F6)</f>
        <v>12516000.210000001</v>
      </c>
      <c r="G7" s="644">
        <f>SUM(G4:G6)</f>
        <v>12067885</v>
      </c>
      <c r="H7" s="644">
        <f>SUM(H4:H6)</f>
        <v>13676479.187147519</v>
      </c>
      <c r="I7" s="645"/>
      <c r="L7" s="638"/>
    </row>
    <row r="8" spans="1:13" s="637" customFormat="1">
      <c r="A8" s="632" t="s">
        <v>113</v>
      </c>
      <c r="B8" s="632"/>
      <c r="C8" s="632">
        <v>490</v>
      </c>
      <c r="D8" s="632">
        <v>342000</v>
      </c>
      <c r="E8" s="633" t="s">
        <v>114</v>
      </c>
      <c r="F8" s="634">
        <v>254000</v>
      </c>
      <c r="G8" s="634">
        <v>254000</v>
      </c>
      <c r="H8" s="642">
        <f>269/8*12*1000</f>
        <v>403500</v>
      </c>
      <c r="I8" s="636" t="s">
        <v>3002</v>
      </c>
      <c r="L8" s="638">
        <v>1342000490</v>
      </c>
    </row>
    <row r="9" spans="1:13" s="637" customFormat="1">
      <c r="A9" s="632"/>
      <c r="B9" s="632"/>
      <c r="C9" s="632">
        <v>933</v>
      </c>
      <c r="D9" s="632">
        <v>342200</v>
      </c>
      <c r="E9" s="646" t="s">
        <v>115</v>
      </c>
      <c r="F9" s="634">
        <v>260000</v>
      </c>
      <c r="G9" s="634">
        <v>260000</v>
      </c>
      <c r="H9" s="642">
        <f>[1]הוצאות!H18</f>
        <v>256842.66666666666</v>
      </c>
      <c r="I9" s="636"/>
      <c r="L9" s="638">
        <v>1342200933</v>
      </c>
    </row>
    <row r="10" spans="1:13" s="637" customFormat="1">
      <c r="A10" s="632"/>
      <c r="B10" s="632"/>
      <c r="C10" s="632">
        <v>930</v>
      </c>
      <c r="D10" s="632">
        <v>342400</v>
      </c>
      <c r="E10" s="647" t="s">
        <v>117</v>
      </c>
      <c r="F10" s="634">
        <v>723000</v>
      </c>
      <c r="G10" s="634">
        <v>723000</v>
      </c>
      <c r="H10" s="642">
        <v>740000</v>
      </c>
      <c r="I10" s="636"/>
      <c r="L10" s="638">
        <v>1342400930</v>
      </c>
    </row>
    <row r="11" spans="1:13" s="637" customFormat="1">
      <c r="A11" s="632"/>
      <c r="B11" s="632"/>
      <c r="C11" s="632">
        <v>931</v>
      </c>
      <c r="D11" s="632">
        <v>342400</v>
      </c>
      <c r="E11" s="633" t="s">
        <v>119</v>
      </c>
      <c r="F11" s="634">
        <v>268000</v>
      </c>
      <c r="G11" s="634">
        <v>268000</v>
      </c>
      <c r="H11" s="642">
        <f>(15*278*12+53*293*12)*0.75+17*457*12+5*1482*12*0.75+5*1739*12+20000*0.75</f>
        <v>456549</v>
      </c>
      <c r="I11" s="636"/>
      <c r="L11" s="638">
        <v>1342400931</v>
      </c>
    </row>
    <row r="12" spans="1:13" s="637" customFormat="1">
      <c r="A12" s="632"/>
      <c r="B12" s="632"/>
      <c r="C12" s="632">
        <v>939</v>
      </c>
      <c r="D12" s="632">
        <v>347300</v>
      </c>
      <c r="E12" s="633" t="s">
        <v>120</v>
      </c>
      <c r="F12" s="634">
        <v>167000</v>
      </c>
      <c r="G12" s="634">
        <v>167000</v>
      </c>
      <c r="H12" s="642">
        <v>0</v>
      </c>
      <c r="I12" s="636"/>
      <c r="L12" s="638">
        <v>1347300939</v>
      </c>
    </row>
    <row r="13" spans="1:13" s="637" customFormat="1">
      <c r="A13" s="632"/>
      <c r="B13" s="632"/>
      <c r="C13" s="632">
        <v>932</v>
      </c>
      <c r="D13" s="632">
        <v>342400</v>
      </c>
      <c r="E13" s="647" t="s">
        <v>121</v>
      </c>
      <c r="F13" s="634">
        <v>330000</v>
      </c>
      <c r="G13" s="634">
        <v>330000</v>
      </c>
      <c r="H13" s="642">
        <f>+[1]הוצאות!H15*0.75+500</f>
        <v>188000</v>
      </c>
      <c r="I13" s="636"/>
      <c r="L13" s="638">
        <v>1342400932</v>
      </c>
    </row>
    <row r="14" spans="1:13" s="637" customFormat="1">
      <c r="A14" s="632"/>
      <c r="B14" s="632"/>
      <c r="C14" s="632">
        <v>934</v>
      </c>
      <c r="D14" s="632">
        <v>342400</v>
      </c>
      <c r="E14" s="647" t="s">
        <v>122</v>
      </c>
      <c r="F14" s="634">
        <v>81000</v>
      </c>
      <c r="G14" s="634">
        <v>81000</v>
      </c>
      <c r="H14" s="642">
        <f>[1]הוצאות!H27*0.75</f>
        <v>624684</v>
      </c>
      <c r="I14" s="636"/>
      <c r="L14" s="638">
        <v>1342400934</v>
      </c>
    </row>
    <row r="15" spans="1:13" s="637" customFormat="1">
      <c r="A15" s="632"/>
      <c r="B15" s="632"/>
      <c r="C15" s="632">
        <v>935</v>
      </c>
      <c r="D15" s="632">
        <v>342400</v>
      </c>
      <c r="E15" s="647" t="s">
        <v>3003</v>
      </c>
      <c r="F15" s="634">
        <v>756000</v>
      </c>
      <c r="G15" s="634">
        <v>756000</v>
      </c>
      <c r="H15" s="642">
        <f>+[1]הוצאות!H16*0.75+[1]הוצאות!H17*0.75</f>
        <v>663000</v>
      </c>
      <c r="I15" s="636"/>
      <c r="L15" s="638">
        <v>1342400935</v>
      </c>
    </row>
    <row r="16" spans="1:13" s="637" customFormat="1">
      <c r="A16" s="632"/>
      <c r="B16" s="632"/>
      <c r="C16" s="632">
        <v>936</v>
      </c>
      <c r="D16" s="632">
        <v>342400</v>
      </c>
      <c r="E16" s="633" t="s">
        <v>124</v>
      </c>
      <c r="F16" s="634">
        <v>314000</v>
      </c>
      <c r="G16" s="634">
        <v>314000</v>
      </c>
      <c r="H16" s="642">
        <f>(12090*12+43218*12+5184*12)*0.75</f>
        <v>544428</v>
      </c>
      <c r="I16" s="636"/>
      <c r="L16" s="638">
        <v>1342400936</v>
      </c>
    </row>
    <row r="17" spans="1:17" s="637" customFormat="1">
      <c r="A17" s="632"/>
      <c r="B17" s="632"/>
      <c r="C17" s="632">
        <v>938</v>
      </c>
      <c r="D17" s="632">
        <v>342410</v>
      </c>
      <c r="E17" s="633" t="s">
        <v>125</v>
      </c>
      <c r="F17" s="634">
        <v>258000</v>
      </c>
      <c r="G17" s="634">
        <v>258000</v>
      </c>
      <c r="H17" s="642">
        <f>([1]הוצאות!H19+[1]הוצאות!H20)*0.75</f>
        <v>260820</v>
      </c>
      <c r="I17" s="636"/>
      <c r="L17" s="638">
        <v>1342410938</v>
      </c>
    </row>
    <row r="18" spans="1:17" s="637" customFormat="1">
      <c r="A18" s="632"/>
      <c r="B18" s="632"/>
      <c r="C18" s="632"/>
      <c r="D18" s="632"/>
      <c r="E18" s="648" t="s">
        <v>3004</v>
      </c>
      <c r="F18" s="634">
        <v>394000</v>
      </c>
      <c r="G18" s="634">
        <v>0</v>
      </c>
      <c r="H18" s="642">
        <f>[1]הוצאות!H21+[1]הוצאות!H22</f>
        <v>409000</v>
      </c>
      <c r="I18" s="636"/>
      <c r="L18" s="638">
        <v>1</v>
      </c>
    </row>
    <row r="19" spans="1:17" s="637" customFormat="1" ht="15.75">
      <c r="A19" s="643" t="s">
        <v>126</v>
      </c>
      <c r="B19" s="643"/>
      <c r="C19" s="643">
        <v>999</v>
      </c>
      <c r="D19" s="643">
        <v>342000</v>
      </c>
      <c r="E19" s="643"/>
      <c r="F19" s="644">
        <f>SUM(F8:F18)</f>
        <v>3805000</v>
      </c>
      <c r="G19" s="644">
        <f>SUM(G8:G18)</f>
        <v>3411000</v>
      </c>
      <c r="H19" s="644">
        <f>SUM(H8:H18)</f>
        <v>4546823.666666666</v>
      </c>
      <c r="I19" s="645"/>
      <c r="L19" s="638">
        <v>1342000999</v>
      </c>
    </row>
    <row r="20" spans="1:17" s="637" customFormat="1">
      <c r="A20" s="632" t="s">
        <v>127</v>
      </c>
      <c r="B20" s="632"/>
      <c r="C20" s="632">
        <v>930</v>
      </c>
      <c r="D20" s="632">
        <v>343500</v>
      </c>
      <c r="E20" s="633" t="s">
        <v>128</v>
      </c>
      <c r="F20" s="649">
        <v>583000</v>
      </c>
      <c r="G20" s="634">
        <v>583000</v>
      </c>
      <c r="H20" s="642">
        <f>+[1]הוצאות!H30*0.75+[1]הוצאות!H31*0.75</f>
        <v>612000</v>
      </c>
      <c r="I20" s="636"/>
      <c r="L20" s="638">
        <v>1343500930</v>
      </c>
    </row>
    <row r="21" spans="1:17" s="637" customFormat="1">
      <c r="A21" s="632"/>
      <c r="B21" s="632"/>
      <c r="C21" s="632">
        <v>931</v>
      </c>
      <c r="D21" s="632">
        <v>343500</v>
      </c>
      <c r="E21" s="633" t="s">
        <v>129</v>
      </c>
      <c r="F21" s="649">
        <v>198000</v>
      </c>
      <c r="G21" s="634">
        <v>198000</v>
      </c>
      <c r="H21" s="642">
        <v>0</v>
      </c>
      <c r="I21" s="636"/>
      <c r="L21" s="638">
        <v>1343500931</v>
      </c>
    </row>
    <row r="22" spans="1:17" s="637" customFormat="1">
      <c r="A22" s="632"/>
      <c r="B22" s="632"/>
      <c r="C22" s="632">
        <v>932</v>
      </c>
      <c r="D22" s="632">
        <v>343500</v>
      </c>
      <c r="E22" s="633" t="s">
        <v>130</v>
      </c>
      <c r="F22" s="649">
        <v>1408000</v>
      </c>
      <c r="G22" s="634">
        <v>1408000</v>
      </c>
      <c r="H22" s="642">
        <f>+[1]הוצאות!H29*0.75+[1]הוצאות!H33*0.75</f>
        <v>1446222.25</v>
      </c>
      <c r="I22" s="636"/>
      <c r="L22" s="638">
        <v>1343500932</v>
      </c>
    </row>
    <row r="23" spans="1:17" s="637" customFormat="1">
      <c r="A23" s="632"/>
      <c r="B23" s="632"/>
      <c r="C23" s="632">
        <v>934</v>
      </c>
      <c r="D23" s="632">
        <v>343500</v>
      </c>
      <c r="E23" s="633" t="s">
        <v>131</v>
      </c>
      <c r="F23" s="649">
        <v>225000</v>
      </c>
      <c r="G23" s="634">
        <v>225000</v>
      </c>
      <c r="H23" s="642">
        <f>+[1]הוצאות!H34*0.75</f>
        <v>0</v>
      </c>
      <c r="I23" s="636"/>
      <c r="L23" s="638">
        <v>1343500934</v>
      </c>
    </row>
    <row r="24" spans="1:17" s="637" customFormat="1">
      <c r="A24" s="632"/>
      <c r="B24" s="632"/>
      <c r="C24" s="632">
        <v>420</v>
      </c>
      <c r="D24" s="632">
        <v>343800</v>
      </c>
      <c r="E24" s="633" t="s">
        <v>132</v>
      </c>
      <c r="F24" s="649">
        <v>700000</v>
      </c>
      <c r="G24" s="634">
        <v>700000</v>
      </c>
      <c r="H24" s="642">
        <v>850000</v>
      </c>
      <c r="I24" s="636"/>
      <c r="L24" s="638">
        <v>1343800420</v>
      </c>
      <c r="O24" s="638">
        <v>1343800930</v>
      </c>
      <c r="P24" s="637">
        <v>1843800820</v>
      </c>
    </row>
    <row r="25" spans="1:17" s="637" customFormat="1">
      <c r="A25" s="632"/>
      <c r="B25" s="632"/>
      <c r="C25" s="632">
        <v>930</v>
      </c>
      <c r="D25" s="632">
        <v>343800</v>
      </c>
      <c r="E25" s="633" t="s">
        <v>133</v>
      </c>
      <c r="F25" s="649">
        <v>12250000.38931331</v>
      </c>
      <c r="G25" s="634">
        <v>12250000</v>
      </c>
      <c r="H25" s="650">
        <f>+O26</f>
        <v>10757581.874638904</v>
      </c>
      <c r="I25" s="636"/>
      <c r="L25" s="638">
        <v>1343800930</v>
      </c>
      <c r="N25" s="637" t="s">
        <v>3005</v>
      </c>
      <c r="O25" s="651">
        <v>9819064</v>
      </c>
      <c r="P25" s="651">
        <v>13262961</v>
      </c>
      <c r="Q25" s="652">
        <f>+O25/P25</f>
        <v>0.74033724445091864</v>
      </c>
    </row>
    <row r="26" spans="1:17" s="637" customFormat="1">
      <c r="A26" s="632"/>
      <c r="B26" s="632"/>
      <c r="C26" s="632">
        <v>931</v>
      </c>
      <c r="D26" s="632">
        <v>343800</v>
      </c>
      <c r="E26" s="633" t="s">
        <v>134</v>
      </c>
      <c r="F26" s="649">
        <v>889000</v>
      </c>
      <c r="G26" s="634">
        <v>889000</v>
      </c>
      <c r="H26" s="642">
        <f>+[1]הוצאות!H38*0.75</f>
        <v>887793</v>
      </c>
      <c r="I26" s="636"/>
      <c r="L26" s="638">
        <v>1343800931</v>
      </c>
      <c r="N26" s="637" t="s">
        <v>2185</v>
      </c>
      <c r="O26" s="651">
        <f>+P26*Q25</f>
        <v>10757581.874638904</v>
      </c>
      <c r="P26" s="653">
        <f>+[1]הוצאות!H37</f>
        <v>14530650.666666666</v>
      </c>
    </row>
    <row r="27" spans="1:17" s="637" customFormat="1">
      <c r="A27" s="632"/>
      <c r="B27" s="632"/>
      <c r="C27" s="632">
        <v>934</v>
      </c>
      <c r="D27" s="632">
        <v>343800</v>
      </c>
      <c r="E27" s="633" t="s">
        <v>3006</v>
      </c>
      <c r="F27" s="649">
        <v>671000</v>
      </c>
      <c r="G27" s="634">
        <v>671000</v>
      </c>
      <c r="H27" s="642">
        <f>+[1]הוצאות!H36+[1]הוצאות!H39</f>
        <v>630725</v>
      </c>
      <c r="I27" s="636"/>
      <c r="L27" s="638">
        <v>1343800934</v>
      </c>
    </row>
    <row r="28" spans="1:17" s="637" customFormat="1">
      <c r="A28" s="632"/>
      <c r="B28" s="632"/>
      <c r="C28" s="632">
        <v>930</v>
      </c>
      <c r="D28" s="632">
        <v>343900</v>
      </c>
      <c r="E28" s="654" t="s">
        <v>136</v>
      </c>
      <c r="F28" s="649">
        <v>2925000</v>
      </c>
      <c r="G28" s="634">
        <v>2925000</v>
      </c>
      <c r="H28" s="642">
        <f>+[1]הוצאות!H41*0.75</f>
        <v>3122134</v>
      </c>
      <c r="I28" s="636"/>
      <c r="L28" s="638">
        <v>1343900930</v>
      </c>
    </row>
    <row r="29" spans="1:17" s="637" customFormat="1">
      <c r="A29" s="632"/>
      <c r="B29" s="632"/>
      <c r="C29" s="632">
        <v>931</v>
      </c>
      <c r="D29" s="632">
        <v>343900</v>
      </c>
      <c r="E29" s="633" t="s">
        <v>137</v>
      </c>
      <c r="F29" s="649">
        <v>50000</v>
      </c>
      <c r="G29" s="634">
        <v>50000</v>
      </c>
      <c r="H29" s="642">
        <f>+'[1]מימון חלקי'!G149</f>
        <v>50000</v>
      </c>
      <c r="I29" s="636"/>
      <c r="L29" s="638">
        <v>1343900931</v>
      </c>
    </row>
    <row r="30" spans="1:17" s="637" customFormat="1">
      <c r="A30" s="632"/>
      <c r="B30" s="632"/>
      <c r="C30" s="632">
        <v>934</v>
      </c>
      <c r="D30" s="632">
        <v>343900</v>
      </c>
      <c r="E30" s="633" t="s">
        <v>138</v>
      </c>
      <c r="F30" s="649">
        <v>113000</v>
      </c>
      <c r="G30" s="634">
        <v>113000</v>
      </c>
      <c r="H30" s="642">
        <f>+([1]הוצאות!H43+[1]הוצאות!H42)*0.75</f>
        <v>154638</v>
      </c>
      <c r="I30" s="636"/>
      <c r="L30" s="638">
        <v>1343900934</v>
      </c>
    </row>
    <row r="31" spans="1:17" s="637" customFormat="1">
      <c r="A31" s="632"/>
      <c r="B31" s="632"/>
      <c r="C31" s="632">
        <v>935</v>
      </c>
      <c r="D31" s="632">
        <v>343900</v>
      </c>
      <c r="E31" s="633" t="s">
        <v>139</v>
      </c>
      <c r="F31" s="649">
        <v>359999.625</v>
      </c>
      <c r="G31" s="634">
        <v>360000</v>
      </c>
      <c r="H31" s="642">
        <f>+[1]הוצאות!H44*0.75</f>
        <v>344459</v>
      </c>
      <c r="I31" s="636"/>
      <c r="L31" s="638">
        <v>1343900935</v>
      </c>
    </row>
    <row r="32" spans="1:17" s="637" customFormat="1" ht="15.75">
      <c r="A32" s="643" t="s">
        <v>140</v>
      </c>
      <c r="B32" s="643"/>
      <c r="C32" s="643">
        <v>999</v>
      </c>
      <c r="D32" s="643">
        <v>343000</v>
      </c>
      <c r="E32" s="643"/>
      <c r="F32" s="644">
        <f>SUM(F20:F31)</f>
        <v>20372000.01431331</v>
      </c>
      <c r="G32" s="644">
        <f>SUM(G20:G31)</f>
        <v>20372000</v>
      </c>
      <c r="H32" s="644">
        <f>SUM(H20:H31)</f>
        <v>18855553.124638904</v>
      </c>
      <c r="I32" s="645"/>
      <c r="L32" s="638">
        <v>1343000999</v>
      </c>
    </row>
    <row r="33" spans="1:13" s="637" customFormat="1">
      <c r="A33" s="632" t="str">
        <f>+[1]הוצאות!A46</f>
        <v>אזרחים ותיקים</v>
      </c>
      <c r="B33" s="474">
        <v>242410</v>
      </c>
      <c r="C33" s="632">
        <v>420</v>
      </c>
      <c r="D33" s="632">
        <v>344000</v>
      </c>
      <c r="E33" s="633" t="s">
        <v>142</v>
      </c>
      <c r="F33" s="634">
        <v>470000.00000000006</v>
      </c>
      <c r="G33" s="634">
        <v>470000</v>
      </c>
      <c r="H33" s="642">
        <f>+G33</f>
        <v>470000</v>
      </c>
      <c r="I33" s="636"/>
      <c r="L33" s="638">
        <v>1344000420</v>
      </c>
    </row>
    <row r="34" spans="1:13" s="637" customFormat="1">
      <c r="A34" s="632"/>
      <c r="B34" s="474">
        <v>242410</v>
      </c>
      <c r="C34" s="632">
        <v>930</v>
      </c>
      <c r="D34" s="632">
        <v>344300</v>
      </c>
      <c r="E34" s="633" t="str">
        <f>+[1]הוצאות!E46</f>
        <v>אחזקה במעונות אזרח ותיק</v>
      </c>
      <c r="F34" s="634">
        <v>3718000</v>
      </c>
      <c r="G34" s="634">
        <v>3718000</v>
      </c>
      <c r="H34" s="650">
        <f>+([1]הוצאות!H46)*0.75</f>
        <v>3900000</v>
      </c>
      <c r="I34" s="636"/>
      <c r="L34" s="638">
        <v>1344300930</v>
      </c>
    </row>
    <row r="35" spans="1:13" s="637" customFormat="1">
      <c r="A35" s="632"/>
      <c r="B35" s="474">
        <v>243414</v>
      </c>
      <c r="C35" s="632">
        <v>931</v>
      </c>
      <c r="D35" s="632">
        <v>344300</v>
      </c>
      <c r="E35" s="633" t="s">
        <v>144</v>
      </c>
      <c r="F35" s="634">
        <v>146000</v>
      </c>
      <c r="G35" s="634">
        <v>146000</v>
      </c>
      <c r="H35" s="642">
        <f>[1]הוצאות!H47*0.75</f>
        <v>0</v>
      </c>
      <c r="I35" s="636"/>
      <c r="L35" s="638">
        <v>1344300931</v>
      </c>
    </row>
    <row r="36" spans="1:13" s="637" customFormat="1">
      <c r="A36" s="632"/>
      <c r="B36" s="474">
        <v>243412</v>
      </c>
      <c r="C36" s="632">
        <v>932</v>
      </c>
      <c r="D36" s="632">
        <v>344300</v>
      </c>
      <c r="E36" s="646" t="s">
        <v>145</v>
      </c>
      <c r="F36" s="634">
        <v>607000</v>
      </c>
      <c r="G36" s="634">
        <v>607000</v>
      </c>
      <c r="H36" s="642">
        <f>+[1]הוצאות!H49</f>
        <v>0</v>
      </c>
      <c r="I36" s="655"/>
      <c r="L36" s="638">
        <v>1344300932</v>
      </c>
    </row>
    <row r="37" spans="1:13" s="637" customFormat="1">
      <c r="A37" s="632"/>
      <c r="B37" s="474">
        <v>243420</v>
      </c>
      <c r="C37" s="632">
        <v>938</v>
      </c>
      <c r="D37" s="632">
        <v>344300</v>
      </c>
      <c r="E37" s="633" t="s">
        <v>749</v>
      </c>
      <c r="F37" s="634">
        <v>121000</v>
      </c>
      <c r="G37" s="634">
        <v>121000</v>
      </c>
      <c r="H37" s="642">
        <f>+[1]הוצאות!H50*0.75</f>
        <v>0</v>
      </c>
      <c r="I37" s="655"/>
      <c r="L37" s="638">
        <v>1344300938</v>
      </c>
    </row>
    <row r="38" spans="1:13" s="637" customFormat="1">
      <c r="A38" s="632"/>
      <c r="B38" s="474">
        <v>243411</v>
      </c>
      <c r="C38" s="632">
        <v>939</v>
      </c>
      <c r="D38" s="632">
        <v>344300</v>
      </c>
      <c r="E38" s="633" t="s">
        <v>149</v>
      </c>
      <c r="F38" s="634">
        <v>455000</v>
      </c>
      <c r="G38" s="634">
        <v>455000</v>
      </c>
      <c r="H38" s="642">
        <f>+[1]הוצאות!H51*0.75</f>
        <v>0</v>
      </c>
      <c r="I38" s="655"/>
      <c r="L38" s="638">
        <v>1344300939</v>
      </c>
    </row>
    <row r="39" spans="1:13" s="637" customFormat="1">
      <c r="A39" s="632"/>
      <c r="B39" s="474">
        <v>243415</v>
      </c>
      <c r="C39" s="632">
        <v>933</v>
      </c>
      <c r="D39" s="632">
        <v>344300</v>
      </c>
      <c r="E39" s="647" t="s">
        <v>3007</v>
      </c>
      <c r="F39" s="634">
        <v>173000</v>
      </c>
      <c r="G39" s="634">
        <v>173000</v>
      </c>
      <c r="H39" s="642">
        <f>[1]הוצאות!H52*0.75</f>
        <v>181500</v>
      </c>
      <c r="I39" s="636"/>
      <c r="L39" s="638">
        <v>1344300933</v>
      </c>
    </row>
    <row r="40" spans="1:13" s="637" customFormat="1">
      <c r="A40" s="632"/>
      <c r="B40" s="474"/>
      <c r="C40" s="632"/>
      <c r="D40" s="632"/>
      <c r="E40" s="647" t="s">
        <v>3008</v>
      </c>
      <c r="F40" s="656">
        <v>344000</v>
      </c>
      <c r="G40" s="656">
        <v>0</v>
      </c>
      <c r="H40" s="642">
        <f>[1]הוצאות!H53*0.75</f>
        <v>214500</v>
      </c>
      <c r="I40" s="636"/>
      <c r="L40" s="638"/>
    </row>
    <row r="41" spans="1:13" s="637" customFormat="1">
      <c r="A41" s="632"/>
      <c r="B41" s="474">
        <v>243410</v>
      </c>
      <c r="C41" s="632">
        <v>935</v>
      </c>
      <c r="D41" s="632">
        <v>344300</v>
      </c>
      <c r="E41" s="647" t="s">
        <v>2366</v>
      </c>
      <c r="F41" s="634">
        <v>750000</v>
      </c>
      <c r="G41" s="634">
        <v>750000</v>
      </c>
      <c r="H41" s="642">
        <f>[1]הוצאות!H56*0.75</f>
        <v>0</v>
      </c>
      <c r="I41" s="636"/>
      <c r="L41" s="638">
        <v>1344300935</v>
      </c>
    </row>
    <row r="42" spans="1:13" s="637" customFormat="1">
      <c r="A42" s="632"/>
      <c r="B42" s="474">
        <v>243417</v>
      </c>
      <c r="C42" s="632">
        <v>936</v>
      </c>
      <c r="D42" s="632">
        <v>344300</v>
      </c>
      <c r="E42" s="633" t="s">
        <v>3009</v>
      </c>
      <c r="F42" s="634">
        <v>30000</v>
      </c>
      <c r="G42" s="634">
        <v>30000</v>
      </c>
      <c r="H42" s="642">
        <f>[1]הוצאות!H48*0.75</f>
        <v>30000</v>
      </c>
      <c r="I42" s="636"/>
      <c r="L42" s="638">
        <v>1344300936</v>
      </c>
    </row>
    <row r="43" spans="1:13" s="637" customFormat="1" ht="30">
      <c r="A43" s="632" t="s">
        <v>4</v>
      </c>
      <c r="B43" s="657" t="s">
        <v>3010</v>
      </c>
      <c r="C43" s="632">
        <v>932</v>
      </c>
      <c r="D43" s="632">
        <v>344400</v>
      </c>
      <c r="E43" s="646" t="s">
        <v>150</v>
      </c>
      <c r="F43" s="634">
        <v>1249000</v>
      </c>
      <c r="G43" s="634">
        <v>1249000</v>
      </c>
      <c r="H43" s="642">
        <f>+[1]הוצאות!H54</f>
        <v>130000</v>
      </c>
      <c r="I43" s="636"/>
      <c r="L43" s="638">
        <v>1344400932</v>
      </c>
      <c r="M43" s="658"/>
    </row>
    <row r="44" spans="1:13" s="637" customFormat="1" ht="30">
      <c r="A44" s="632"/>
      <c r="B44" s="657" t="s">
        <v>3011</v>
      </c>
      <c r="C44" s="632"/>
      <c r="D44" s="632"/>
      <c r="E44" s="648" t="s">
        <v>1515</v>
      </c>
      <c r="F44" s="656">
        <v>276000</v>
      </c>
      <c r="G44" s="656">
        <v>0</v>
      </c>
      <c r="H44" s="642">
        <f>[1]הוצאות!H55</f>
        <v>0</v>
      </c>
      <c r="I44" s="636"/>
      <c r="L44" s="638">
        <v>1</v>
      </c>
      <c r="M44" s="658"/>
    </row>
    <row r="45" spans="1:13" s="637" customFormat="1">
      <c r="A45" s="632"/>
      <c r="B45" s="657"/>
      <c r="C45" s="632"/>
      <c r="D45" s="632"/>
      <c r="E45" s="647" t="s">
        <v>3012</v>
      </c>
      <c r="F45" s="649">
        <f>[1]הוצאות!F56</f>
        <v>1000000</v>
      </c>
      <c r="G45" s="649">
        <f>[1]הוצאות!G56</f>
        <v>1000000</v>
      </c>
      <c r="H45" s="642">
        <f>+[1]הוצאות!H57*0.75</f>
        <v>1370250</v>
      </c>
      <c r="I45" s="636"/>
      <c r="L45" s="638"/>
      <c r="M45" s="658"/>
    </row>
    <row r="46" spans="1:13" s="637" customFormat="1">
      <c r="A46" s="632"/>
      <c r="B46" s="657"/>
      <c r="C46" s="632"/>
      <c r="D46" s="632"/>
      <c r="E46" s="648" t="s">
        <v>3013</v>
      </c>
      <c r="F46" s="649">
        <f>[1]הוצאות!F57</f>
        <v>0</v>
      </c>
      <c r="G46" s="649">
        <f>[1]הוצאות!G57</f>
        <v>0</v>
      </c>
      <c r="H46" s="642">
        <f>+[1]הוצאות!H58</f>
        <v>1596000</v>
      </c>
      <c r="I46" s="636"/>
      <c r="L46" s="638"/>
      <c r="M46" s="658"/>
    </row>
    <row r="47" spans="1:13" s="637" customFormat="1">
      <c r="A47" s="632"/>
      <c r="B47" s="657"/>
      <c r="C47" s="632"/>
      <c r="D47" s="632"/>
      <c r="E47" s="474" t="s">
        <v>3014</v>
      </c>
      <c r="F47" s="649">
        <f>[1]הוצאות!F58</f>
        <v>0</v>
      </c>
      <c r="G47" s="649">
        <f>[1]הוצאות!G58</f>
        <v>0</v>
      </c>
      <c r="H47" s="642">
        <f>320000*0.75+160000+276000+79188*0.75+40000*0.75-188</f>
        <v>765203</v>
      </c>
      <c r="I47" s="636"/>
      <c r="L47" s="638"/>
      <c r="M47" s="658"/>
    </row>
    <row r="48" spans="1:13" s="637" customFormat="1" ht="15.75">
      <c r="A48" s="643" t="str">
        <f>+[1]הוצאות!A60</f>
        <v>סה"כ אזרחים ותיקים</v>
      </c>
      <c r="B48" s="643"/>
      <c r="C48" s="643">
        <v>999</v>
      </c>
      <c r="D48" s="643">
        <v>344000</v>
      </c>
      <c r="E48" s="643"/>
      <c r="F48" s="644">
        <f>SUM(F33:F44)</f>
        <v>8339000</v>
      </c>
      <c r="G48" s="644">
        <f>SUM(G33:G44)</f>
        <v>7719000</v>
      </c>
      <c r="H48" s="644">
        <f>SUM(H33:H47)</f>
        <v>8657453</v>
      </c>
      <c r="I48" s="645"/>
      <c r="L48" s="638">
        <v>1344000999</v>
      </c>
    </row>
    <row r="49" spans="1:13" s="637" customFormat="1">
      <c r="A49" s="632" t="s">
        <v>152</v>
      </c>
      <c r="B49" s="632"/>
      <c r="C49" s="632">
        <v>930</v>
      </c>
      <c r="D49" s="632">
        <v>345100</v>
      </c>
      <c r="E49" s="654" t="s">
        <v>153</v>
      </c>
      <c r="F49" s="634">
        <v>16877000</v>
      </c>
      <c r="G49" s="634">
        <v>16877000</v>
      </c>
      <c r="H49" s="642">
        <f>+[1]הוצאות!H61*0.75</f>
        <v>16485121.5</v>
      </c>
      <c r="I49" s="636"/>
      <c r="L49" s="638">
        <v>1345100930</v>
      </c>
      <c r="M49" s="637">
        <f>L49-'הכנסות '!B158</f>
        <v>0</v>
      </c>
    </row>
    <row r="50" spans="1:13" s="637" customFormat="1">
      <c r="A50" s="632"/>
      <c r="B50" s="632"/>
      <c r="C50" s="632">
        <v>931</v>
      </c>
      <c r="D50" s="632">
        <v>345100</v>
      </c>
      <c r="E50" s="654" t="s">
        <v>154</v>
      </c>
      <c r="F50" s="634">
        <v>3128000.1363636362</v>
      </c>
      <c r="G50" s="634">
        <v>3128000</v>
      </c>
      <c r="H50" s="642">
        <f>+[1]הוצאות!H62*0.75</f>
        <v>2979376</v>
      </c>
      <c r="I50" s="636"/>
      <c r="L50" s="638">
        <v>1345100931</v>
      </c>
      <c r="M50" s="637">
        <f>L50-'הכנסות '!B159</f>
        <v>0</v>
      </c>
    </row>
    <row r="51" spans="1:13" s="637" customFormat="1">
      <c r="A51" s="632"/>
      <c r="B51" s="632"/>
      <c r="C51" s="632">
        <v>932</v>
      </c>
      <c r="D51" s="632">
        <v>345100</v>
      </c>
      <c r="E51" s="654" t="s">
        <v>155</v>
      </c>
      <c r="F51" s="634">
        <v>533000</v>
      </c>
      <c r="G51" s="634">
        <v>533000</v>
      </c>
      <c r="H51" s="642">
        <f>8*2776*12*0.75+10*2776*12+8</f>
        <v>533000</v>
      </c>
      <c r="I51" s="636"/>
      <c r="L51" s="638">
        <v>1345100932</v>
      </c>
      <c r="M51" s="637">
        <f>L51-'הכנסות '!B160</f>
        <v>0</v>
      </c>
    </row>
    <row r="52" spans="1:13" s="637" customFormat="1">
      <c r="A52" s="632"/>
      <c r="B52" s="632"/>
      <c r="C52" s="632">
        <v>933</v>
      </c>
      <c r="D52" s="632">
        <v>345100</v>
      </c>
      <c r="E52" s="633" t="s">
        <v>128</v>
      </c>
      <c r="F52" s="634">
        <v>1057000</v>
      </c>
      <c r="G52" s="634">
        <v>1057000</v>
      </c>
      <c r="H52" s="642">
        <f>+[1]הוצאות!H66*0.75</f>
        <v>524483</v>
      </c>
      <c r="I52" s="636"/>
      <c r="L52" s="638">
        <v>1345100933</v>
      </c>
      <c r="M52" s="637">
        <f>L52-'הכנסות '!B161</f>
        <v>0</v>
      </c>
    </row>
    <row r="53" spans="1:13" s="637" customFormat="1">
      <c r="A53" s="632"/>
      <c r="B53" s="632"/>
      <c r="C53" s="632">
        <v>934</v>
      </c>
      <c r="D53" s="632">
        <v>345100</v>
      </c>
      <c r="E53" s="654" t="s">
        <v>156</v>
      </c>
      <c r="F53" s="634">
        <v>1622000.2727272729</v>
      </c>
      <c r="G53" s="634">
        <v>1622000</v>
      </c>
      <c r="H53" s="642">
        <f>+[1]הוצאות!H67*0.75</f>
        <v>2455437</v>
      </c>
      <c r="I53" s="636"/>
      <c r="L53" s="638">
        <v>1345100934</v>
      </c>
      <c r="M53" s="637">
        <f>L53-'הכנסות '!B162</f>
        <v>0</v>
      </c>
    </row>
    <row r="54" spans="1:13" s="637" customFormat="1">
      <c r="A54" s="632"/>
      <c r="B54" s="632"/>
      <c r="C54" s="632">
        <v>938</v>
      </c>
      <c r="D54" s="632">
        <v>345100</v>
      </c>
      <c r="E54" s="654" t="s">
        <v>158</v>
      </c>
      <c r="F54" s="634">
        <v>20000</v>
      </c>
      <c r="G54" s="634">
        <v>20000</v>
      </c>
      <c r="H54" s="642">
        <f>+[1]הוצאות!H68*0.75</f>
        <v>23251</v>
      </c>
      <c r="I54" s="636"/>
      <c r="L54" s="638">
        <v>1345100938</v>
      </c>
      <c r="M54" s="637">
        <f>L54-'הכנסות '!B163</f>
        <v>3</v>
      </c>
    </row>
    <row r="55" spans="1:13" s="637" customFormat="1">
      <c r="A55" s="632"/>
      <c r="B55" s="632"/>
      <c r="C55" s="632">
        <v>939</v>
      </c>
      <c r="D55" s="632">
        <v>345100</v>
      </c>
      <c r="E55" s="654" t="s">
        <v>159</v>
      </c>
      <c r="F55" s="634">
        <v>59000</v>
      </c>
      <c r="G55" s="634">
        <v>59000</v>
      </c>
      <c r="H55" s="642">
        <f>+[1]הוצאות!H64*0.75</f>
        <v>47035</v>
      </c>
      <c r="I55" s="636"/>
      <c r="L55" s="638">
        <v>1345100939</v>
      </c>
      <c r="M55" s="637">
        <f>L55-'הכנסות '!B164</f>
        <v>1</v>
      </c>
    </row>
    <row r="56" spans="1:13" s="637" customFormat="1">
      <c r="A56" s="632"/>
      <c r="B56" s="632"/>
      <c r="C56" s="632">
        <v>930</v>
      </c>
      <c r="D56" s="632">
        <v>345200</v>
      </c>
      <c r="E56" s="646" t="s">
        <v>160</v>
      </c>
      <c r="F56" s="634">
        <v>8107000</v>
      </c>
      <c r="G56" s="634">
        <v>8107000</v>
      </c>
      <c r="H56" s="642">
        <f>+[1]הוצאות!H63</f>
        <v>8735387</v>
      </c>
      <c r="I56" s="636"/>
      <c r="L56" s="638">
        <v>1345200930</v>
      </c>
      <c r="M56" s="637">
        <f>L56-'הכנסות '!B165</f>
        <v>99991</v>
      </c>
    </row>
    <row r="57" spans="1:13" s="637" customFormat="1">
      <c r="A57" s="632"/>
      <c r="B57" s="632"/>
      <c r="C57" s="632">
        <v>933</v>
      </c>
      <c r="D57" s="632">
        <v>345200</v>
      </c>
      <c r="E57" s="647" t="s">
        <v>3015</v>
      </c>
      <c r="F57" s="634">
        <v>3379999.666666667</v>
      </c>
      <c r="G57" s="634">
        <v>3380000</v>
      </c>
      <c r="H57" s="642">
        <f>+'[1]מע"ש + גל אור'!F23+'[1]מע"ש + גל אור'!F25+73</f>
        <v>3497449</v>
      </c>
      <c r="I57" s="636"/>
      <c r="L57" s="638">
        <v>1345200933</v>
      </c>
      <c r="M57" s="637">
        <f>L57-'הכנסות '!B166</f>
        <v>3</v>
      </c>
    </row>
    <row r="58" spans="1:13" s="637" customFormat="1">
      <c r="A58" s="632"/>
      <c r="B58" s="632"/>
      <c r="C58" s="632">
        <v>934</v>
      </c>
      <c r="D58" s="632">
        <v>345200</v>
      </c>
      <c r="E58" s="647" t="s">
        <v>163</v>
      </c>
      <c r="F58" s="634">
        <v>600000</v>
      </c>
      <c r="G58" s="634">
        <v>600000</v>
      </c>
      <c r="H58" s="642">
        <f>+[1]הוצאות!H69*0.75</f>
        <v>494516</v>
      </c>
      <c r="I58" s="636"/>
      <c r="L58" s="638">
        <v>1345200934</v>
      </c>
      <c r="M58" s="637">
        <f>L58-'הכנסות '!B167</f>
        <v>3</v>
      </c>
    </row>
    <row r="59" spans="1:13" s="637" customFormat="1">
      <c r="A59" s="632"/>
      <c r="B59" s="632"/>
      <c r="C59" s="632">
        <v>935</v>
      </c>
      <c r="D59" s="632">
        <v>345200</v>
      </c>
      <c r="E59" s="647" t="s">
        <v>164</v>
      </c>
      <c r="F59" s="634">
        <v>11000</v>
      </c>
      <c r="G59" s="634">
        <v>11000</v>
      </c>
      <c r="H59" s="642">
        <f>+[1]הוצאות!H70*0.75</f>
        <v>9688</v>
      </c>
      <c r="I59" s="636"/>
      <c r="L59" s="638">
        <v>1345200935</v>
      </c>
      <c r="M59" s="637">
        <f>L59-'הכנסות '!B168</f>
        <v>2</v>
      </c>
    </row>
    <row r="60" spans="1:13" s="637" customFormat="1">
      <c r="A60" s="632"/>
      <c r="B60" s="632"/>
      <c r="C60" s="632">
        <v>936</v>
      </c>
      <c r="D60" s="632">
        <v>345200</v>
      </c>
      <c r="E60" s="647" t="s">
        <v>165</v>
      </c>
      <c r="F60" s="634">
        <v>30000</v>
      </c>
      <c r="G60" s="634">
        <v>30000</v>
      </c>
      <c r="H60" s="642">
        <f>+[1]הוצאות!H71*0.75</f>
        <v>35250</v>
      </c>
      <c r="I60" s="636"/>
      <c r="L60" s="638">
        <v>1345200936</v>
      </c>
      <c r="M60" s="637">
        <f>L60-'הכנסות '!B169</f>
        <v>2</v>
      </c>
    </row>
    <row r="61" spans="1:13" s="637" customFormat="1">
      <c r="A61" s="632"/>
      <c r="B61" s="632"/>
      <c r="C61" s="632"/>
      <c r="D61" s="632"/>
      <c r="E61" s="647" t="s">
        <v>760</v>
      </c>
      <c r="F61" s="656">
        <v>123000.32142857143</v>
      </c>
      <c r="G61" s="656">
        <v>0</v>
      </c>
      <c r="H61" s="642">
        <f>+[1]הוצאות!H72*0.75</f>
        <v>164874</v>
      </c>
      <c r="I61" s="636"/>
      <c r="L61" s="638">
        <v>1</v>
      </c>
      <c r="M61" s="637">
        <f>L61-'הכנסות '!B170</f>
        <v>-1345200934</v>
      </c>
    </row>
    <row r="62" spans="1:13" s="637" customFormat="1">
      <c r="A62" s="632"/>
      <c r="B62" s="632"/>
      <c r="C62" s="632">
        <v>610</v>
      </c>
      <c r="D62" s="632">
        <v>345400</v>
      </c>
      <c r="E62" s="647" t="s">
        <v>167</v>
      </c>
      <c r="F62" s="634">
        <v>388000.33333333331</v>
      </c>
      <c r="G62" s="634">
        <v>388000</v>
      </c>
      <c r="H62" s="642">
        <f>+'[1]מע"ש + גל אור'!F24</f>
        <v>530689.33333333326</v>
      </c>
      <c r="I62" s="636"/>
      <c r="L62" s="638">
        <v>1345400610</v>
      </c>
      <c r="M62" s="637">
        <f>L62-'הכנסות '!B171</f>
        <v>199674</v>
      </c>
    </row>
    <row r="63" spans="1:13" s="637" customFormat="1">
      <c r="A63" s="632" t="s">
        <v>4</v>
      </c>
      <c r="B63" s="632"/>
      <c r="C63" s="632">
        <v>930</v>
      </c>
      <c r="D63" s="632">
        <v>345400</v>
      </c>
      <c r="E63" s="647" t="s">
        <v>168</v>
      </c>
      <c r="F63" s="634">
        <v>230000</v>
      </c>
      <c r="G63" s="634">
        <v>230000</v>
      </c>
      <c r="H63" s="642">
        <f>+[1]הוצאות!H79*0.75</f>
        <v>220500</v>
      </c>
      <c r="I63" s="636"/>
      <c r="L63" s="638">
        <v>1345400930</v>
      </c>
      <c r="M63" s="637">
        <f>L63-'הכנסות '!B172</f>
        <v>199993</v>
      </c>
    </row>
    <row r="64" spans="1:13" s="637" customFormat="1">
      <c r="A64" s="632"/>
      <c r="B64" s="632"/>
      <c r="C64" s="632">
        <v>932</v>
      </c>
      <c r="D64" s="632">
        <v>345400</v>
      </c>
      <c r="E64" s="647" t="s">
        <v>169</v>
      </c>
      <c r="F64" s="634">
        <v>685000.29099999997</v>
      </c>
      <c r="G64" s="634">
        <v>685000</v>
      </c>
      <c r="H64" s="642">
        <f>+[1]הוצאות!H80*0.75-[1]הסעות!C4*0.75-[1]הסעות!C5*0.75</f>
        <v>537567.90720000013</v>
      </c>
      <c r="I64" s="636"/>
      <c r="L64" s="638">
        <v>1345400932</v>
      </c>
      <c r="M64" s="637">
        <f>L64-'הכנסות '!B173</f>
        <v>322</v>
      </c>
    </row>
    <row r="65" spans="1:13" s="637" customFormat="1">
      <c r="A65" s="632"/>
      <c r="B65" s="632"/>
      <c r="C65" s="632">
        <v>933</v>
      </c>
      <c r="D65" s="632">
        <v>345400</v>
      </c>
      <c r="E65" s="633" t="s">
        <v>170</v>
      </c>
      <c r="F65" s="634">
        <v>73000</v>
      </c>
      <c r="G65" s="634">
        <v>73000</v>
      </c>
      <c r="H65" s="642">
        <f>+[1]הוצאות!H81*0.75</f>
        <v>0</v>
      </c>
      <c r="I65" s="636"/>
      <c r="L65" s="638">
        <v>1345400933</v>
      </c>
      <c r="M65" s="637">
        <f>L65-'הכנסות '!B174</f>
        <v>3</v>
      </c>
    </row>
    <row r="66" spans="1:13" s="637" customFormat="1" ht="15.75">
      <c r="A66" s="643" t="s">
        <v>171</v>
      </c>
      <c r="B66" s="643"/>
      <c r="C66" s="643">
        <v>999</v>
      </c>
      <c r="D66" s="643">
        <v>345000</v>
      </c>
      <c r="E66" s="643"/>
      <c r="F66" s="644">
        <f>SUM(F49:F65)</f>
        <v>36923001.02151949</v>
      </c>
      <c r="G66" s="644">
        <f>SUM(G49:G65)</f>
        <v>36800000</v>
      </c>
      <c r="H66" s="644">
        <f>SUM(H49:H65)</f>
        <v>37273624.740533337</v>
      </c>
      <c r="I66" s="645"/>
      <c r="L66" s="638">
        <v>1345000999</v>
      </c>
      <c r="M66" s="637">
        <f>L66-'הכנסות '!B175</f>
        <v>-399933</v>
      </c>
    </row>
    <row r="67" spans="1:13" s="637" customFormat="1">
      <c r="A67" s="632" t="s">
        <v>172</v>
      </c>
      <c r="B67" s="632"/>
      <c r="C67" s="632">
        <v>930</v>
      </c>
      <c r="D67" s="632">
        <v>346100</v>
      </c>
      <c r="E67" s="633" t="s">
        <v>173</v>
      </c>
      <c r="F67" s="634">
        <v>15000</v>
      </c>
      <c r="G67" s="634">
        <v>15000</v>
      </c>
      <c r="H67" s="642">
        <f>+[1]הוצאות!H86*0.75</f>
        <v>15000</v>
      </c>
      <c r="I67" s="636"/>
      <c r="L67" s="638">
        <v>1346100930</v>
      </c>
      <c r="M67" s="637">
        <f>L67-'הכנסות '!B176</f>
        <v>699997</v>
      </c>
    </row>
    <row r="68" spans="1:13" s="637" customFormat="1">
      <c r="A68" s="632"/>
      <c r="B68" s="632"/>
      <c r="C68" s="632">
        <v>932</v>
      </c>
      <c r="D68" s="632">
        <v>346300</v>
      </c>
      <c r="E68" s="633" t="s">
        <v>174</v>
      </c>
      <c r="F68" s="634">
        <v>36000</v>
      </c>
      <c r="G68" s="634">
        <v>36000</v>
      </c>
      <c r="H68" s="642">
        <f>+[1]הוצאות!H84*0.75</f>
        <v>0</v>
      </c>
      <c r="I68" s="636"/>
      <c r="L68" s="638">
        <v>1346300932</v>
      </c>
      <c r="M68" s="637">
        <f>L68-'הכנסות '!B177</f>
        <v>1346300932</v>
      </c>
    </row>
    <row r="69" spans="1:13" s="637" customFormat="1">
      <c r="A69" s="632"/>
      <c r="B69" s="632"/>
      <c r="C69" s="632">
        <v>934</v>
      </c>
      <c r="D69" s="632">
        <v>346300</v>
      </c>
      <c r="E69" s="633" t="s">
        <v>175</v>
      </c>
      <c r="F69" s="634">
        <v>79000</v>
      </c>
      <c r="G69" s="634">
        <v>79000</v>
      </c>
      <c r="H69" s="642">
        <f>+[1]הוצאות!H85*0.75</f>
        <v>96363</v>
      </c>
      <c r="I69" s="636"/>
      <c r="L69" s="638">
        <v>1346300934</v>
      </c>
      <c r="M69" s="637">
        <f>L69-'הכנסות '!B178</f>
        <v>200004</v>
      </c>
    </row>
    <row r="70" spans="1:13" s="637" customFormat="1">
      <c r="A70" s="632"/>
      <c r="B70" s="632"/>
      <c r="C70" s="632">
        <v>937</v>
      </c>
      <c r="D70" s="632">
        <v>346400</v>
      </c>
      <c r="E70" s="633" t="s">
        <v>176</v>
      </c>
      <c r="F70" s="634">
        <v>232000</v>
      </c>
      <c r="G70" s="634">
        <v>232000</v>
      </c>
      <c r="H70" s="642">
        <f>+[1]הוצאות!H87*0.75</f>
        <v>134621</v>
      </c>
      <c r="I70" s="636"/>
      <c r="L70" s="638">
        <v>1346400937</v>
      </c>
      <c r="M70" s="637">
        <f>L70-'הכנסות '!B179</f>
        <v>100005</v>
      </c>
    </row>
    <row r="71" spans="1:13" s="637" customFormat="1">
      <c r="A71" s="632"/>
      <c r="B71" s="632"/>
      <c r="C71" s="632">
        <v>930</v>
      </c>
      <c r="D71" s="632">
        <v>346500</v>
      </c>
      <c r="E71" s="633" t="s">
        <v>177</v>
      </c>
      <c r="F71" s="634">
        <v>161000</v>
      </c>
      <c r="G71" s="634">
        <v>161000</v>
      </c>
      <c r="H71" s="642">
        <f>+[1]הוצאות!H90*0.75</f>
        <v>148558.5</v>
      </c>
      <c r="I71" s="636"/>
      <c r="L71" s="638">
        <v>1346500930</v>
      </c>
      <c r="M71" s="637">
        <f>L71-'הכנסות '!B180</f>
        <v>199996</v>
      </c>
    </row>
    <row r="72" spans="1:13" s="637" customFormat="1">
      <c r="A72" s="632" t="s">
        <v>4</v>
      </c>
      <c r="B72" s="632"/>
      <c r="C72" s="632">
        <v>933</v>
      </c>
      <c r="D72" s="632">
        <v>346500</v>
      </c>
      <c r="E72" s="633" t="s">
        <v>134</v>
      </c>
      <c r="F72" s="634">
        <v>32000</v>
      </c>
      <c r="G72" s="634">
        <v>32000</v>
      </c>
      <c r="H72" s="642">
        <f>+[1]הוצאות!H91*0.75</f>
        <v>31142</v>
      </c>
      <c r="I72" s="636"/>
      <c r="L72" s="638">
        <v>1346500933</v>
      </c>
      <c r="M72" s="637">
        <f>L72-'הכנסות '!B181</f>
        <v>99996</v>
      </c>
    </row>
    <row r="73" spans="1:13" s="637" customFormat="1">
      <c r="A73" s="632"/>
      <c r="B73" s="632"/>
      <c r="C73" s="632">
        <v>937</v>
      </c>
      <c r="D73" s="632">
        <v>346500</v>
      </c>
      <c r="E73" s="633" t="s">
        <v>178</v>
      </c>
      <c r="F73" s="634">
        <v>5191000.0749999993</v>
      </c>
      <c r="G73" s="634">
        <v>5191000</v>
      </c>
      <c r="H73" s="642">
        <f>+[1]הוצאות!H88*0.75</f>
        <v>7047635.5137204845</v>
      </c>
      <c r="I73" s="636"/>
      <c r="L73" s="638">
        <v>1346500937</v>
      </c>
      <c r="M73" s="637">
        <f>L73-'הכנסות '!B182</f>
        <v>7</v>
      </c>
    </row>
    <row r="74" spans="1:13" s="637" customFormat="1">
      <c r="A74" s="632"/>
      <c r="B74" s="632"/>
      <c r="C74" s="632">
        <v>938</v>
      </c>
      <c r="D74" s="632">
        <v>346500</v>
      </c>
      <c r="E74" s="633" t="s">
        <v>179</v>
      </c>
      <c r="F74" s="634">
        <v>115000</v>
      </c>
      <c r="G74" s="634">
        <v>115000</v>
      </c>
      <c r="H74" s="642">
        <f>+[1]הוצאות!H89*0.75</f>
        <v>89064</v>
      </c>
      <c r="I74" s="636"/>
      <c r="L74" s="638">
        <v>1346500938</v>
      </c>
      <c r="M74" s="637">
        <f>L74-'הכנסות '!B183</f>
        <v>5</v>
      </c>
    </row>
    <row r="75" spans="1:13" s="637" customFormat="1">
      <c r="A75" s="632"/>
      <c r="B75" s="632"/>
      <c r="C75" s="632">
        <v>930</v>
      </c>
      <c r="D75" s="632">
        <v>346600</v>
      </c>
      <c r="E75" s="633" t="s">
        <v>180</v>
      </c>
      <c r="F75" s="634">
        <v>157000</v>
      </c>
      <c r="G75" s="634">
        <v>157000</v>
      </c>
      <c r="H75" s="642">
        <f>+[1]הוצאות!H93*0.75</f>
        <v>64834.999999999993</v>
      </c>
      <c r="I75" s="636"/>
      <c r="L75" s="638">
        <v>1346600930</v>
      </c>
      <c r="M75" s="637">
        <f>L75-'הכנסות '!B184</f>
        <v>99993</v>
      </c>
    </row>
    <row r="76" spans="1:13" s="637" customFormat="1">
      <c r="A76" s="632"/>
      <c r="B76" s="632"/>
      <c r="C76" s="632">
        <v>931</v>
      </c>
      <c r="D76" s="632">
        <v>346600</v>
      </c>
      <c r="E76" s="654" t="s">
        <v>181</v>
      </c>
      <c r="F76" s="634">
        <v>674999.7</v>
      </c>
      <c r="G76" s="634">
        <v>675000</v>
      </c>
      <c r="H76" s="642">
        <f>+[1]הוצאות!H94*0.75</f>
        <v>973500.18720000004</v>
      </c>
      <c r="I76" s="636"/>
      <c r="L76" s="638">
        <v>1346600931</v>
      </c>
      <c r="M76" s="637">
        <f>L76-'הכנסות '!B185</f>
        <v>99993</v>
      </c>
    </row>
    <row r="77" spans="1:13" s="637" customFormat="1">
      <c r="A77" s="632"/>
      <c r="B77" s="632"/>
      <c r="C77" s="632">
        <v>932</v>
      </c>
      <c r="D77" s="632">
        <v>346600</v>
      </c>
      <c r="E77" s="654" t="s">
        <v>182</v>
      </c>
      <c r="F77" s="634">
        <v>540000</v>
      </c>
      <c r="G77" s="634">
        <v>540000</v>
      </c>
      <c r="H77" s="642">
        <f>+[1]הוצאות!H95*0.47</f>
        <v>554130</v>
      </c>
      <c r="I77" s="636"/>
      <c r="L77" s="638">
        <v>1346600932</v>
      </c>
      <c r="M77" s="637">
        <f>L77-'הכנסות '!B186</f>
        <v>2</v>
      </c>
    </row>
    <row r="78" spans="1:13" s="637" customFormat="1">
      <c r="A78" s="632"/>
      <c r="B78" s="632"/>
      <c r="C78" s="632">
        <v>933</v>
      </c>
      <c r="D78" s="632">
        <v>346600</v>
      </c>
      <c r="E78" s="633" t="s">
        <v>183</v>
      </c>
      <c r="F78" s="634">
        <v>45000</v>
      </c>
      <c r="G78" s="634">
        <v>45000</v>
      </c>
      <c r="H78" s="642">
        <f>+[1]הוצאות!H96*0.75</f>
        <v>23961</v>
      </c>
      <c r="I78" s="636"/>
      <c r="L78" s="638">
        <v>1346600933</v>
      </c>
      <c r="M78" s="637">
        <f>L78-'הכנסות '!B187</f>
        <v>2</v>
      </c>
    </row>
    <row r="79" spans="1:13" s="637" customFormat="1">
      <c r="A79" s="632"/>
      <c r="B79" s="632"/>
      <c r="C79" s="632">
        <v>936</v>
      </c>
      <c r="D79" s="632">
        <v>346600</v>
      </c>
      <c r="E79" s="654" t="s">
        <v>184</v>
      </c>
      <c r="F79" s="634">
        <v>2250000</v>
      </c>
      <c r="G79" s="634">
        <v>2250000</v>
      </c>
      <c r="H79" s="642">
        <f>+[1]הוצאות!H97*0.75</f>
        <v>1823300</v>
      </c>
      <c r="I79" s="636"/>
      <c r="L79" s="638">
        <v>1346600936</v>
      </c>
      <c r="M79" s="637">
        <f>L79-'הכנסות '!B188</f>
        <v>4</v>
      </c>
    </row>
    <row r="80" spans="1:13" s="637" customFormat="1">
      <c r="A80" s="632"/>
      <c r="B80" s="632"/>
      <c r="C80" s="632">
        <v>937</v>
      </c>
      <c r="D80" s="632">
        <v>346600</v>
      </c>
      <c r="E80" s="633" t="s">
        <v>185</v>
      </c>
      <c r="F80" s="634">
        <v>222000</v>
      </c>
      <c r="G80" s="634">
        <v>222000</v>
      </c>
      <c r="H80" s="642">
        <f>+[1]הוצאות!H98*0.75</f>
        <v>177325</v>
      </c>
      <c r="I80" s="636"/>
      <c r="L80" s="638">
        <v>1346600937</v>
      </c>
      <c r="M80" s="637">
        <f>L80-'הכנסות '!B189</f>
        <v>4</v>
      </c>
    </row>
    <row r="81" spans="1:14" s="637" customFormat="1">
      <c r="A81" s="632"/>
      <c r="B81" s="632"/>
      <c r="C81" s="632">
        <v>939</v>
      </c>
      <c r="D81" s="632">
        <v>346600</v>
      </c>
      <c r="E81" s="633" t="s">
        <v>186</v>
      </c>
      <c r="F81" s="634">
        <v>375000</v>
      </c>
      <c r="G81" s="634">
        <v>375000</v>
      </c>
      <c r="H81" s="642">
        <f>+[1]הוצאות!H92*0.75</f>
        <v>322332</v>
      </c>
      <c r="I81" s="636"/>
      <c r="L81" s="638">
        <v>1346600939</v>
      </c>
      <c r="M81" s="637">
        <f>L81-'הכנסות '!B190</f>
        <v>3</v>
      </c>
    </row>
    <row r="82" spans="1:14" s="637" customFormat="1">
      <c r="A82" s="632"/>
      <c r="B82" s="632"/>
      <c r="C82" s="632">
        <v>930</v>
      </c>
      <c r="D82" s="632">
        <v>346700</v>
      </c>
      <c r="E82" s="633" t="s">
        <v>187</v>
      </c>
      <c r="F82" s="634">
        <v>93000</v>
      </c>
      <c r="G82" s="634">
        <v>93000</v>
      </c>
      <c r="H82" s="642">
        <f>+[1]הוצאות!H100*0.75</f>
        <v>93564</v>
      </c>
      <c r="I82" s="636"/>
      <c r="L82" s="638">
        <v>1346700930</v>
      </c>
      <c r="M82" s="637">
        <f>L82-'הכנסות '!B191</f>
        <v>99993</v>
      </c>
    </row>
    <row r="83" spans="1:14" s="637" customFormat="1">
      <c r="A83" s="632"/>
      <c r="B83" s="632"/>
      <c r="C83" s="632">
        <v>932</v>
      </c>
      <c r="D83" s="632">
        <v>346700</v>
      </c>
      <c r="E83" s="633" t="s">
        <v>188</v>
      </c>
      <c r="F83" s="634">
        <v>206000</v>
      </c>
      <c r="G83" s="634">
        <v>206000</v>
      </c>
      <c r="H83" s="642">
        <f>70*339*12*0.75</f>
        <v>213570</v>
      </c>
      <c r="I83" s="636"/>
      <c r="L83" s="638">
        <v>1346700932</v>
      </c>
      <c r="M83" s="637">
        <f>L83-'הכנסות '!B192</f>
        <v>99993</v>
      </c>
    </row>
    <row r="84" spans="1:14" s="637" customFormat="1">
      <c r="A84" s="632"/>
      <c r="B84" s="632"/>
      <c r="C84" s="632">
        <v>934</v>
      </c>
      <c r="D84" s="632">
        <v>346700</v>
      </c>
      <c r="E84" s="633" t="s">
        <v>189</v>
      </c>
      <c r="F84" s="634">
        <v>137000</v>
      </c>
      <c r="G84" s="634">
        <v>137000</v>
      </c>
      <c r="H84" s="642">
        <f>+([1]הוצאות!H105+[1]הוצאות!H83)*0.75</f>
        <v>187380</v>
      </c>
      <c r="I84" s="636"/>
      <c r="L84" s="638">
        <v>1346700934</v>
      </c>
      <c r="M84" s="637">
        <f>L84-'הכנסות '!B193</f>
        <v>4</v>
      </c>
    </row>
    <row r="85" spans="1:14" s="637" customFormat="1">
      <c r="A85" s="632"/>
      <c r="B85" s="632"/>
      <c r="C85" s="632">
        <v>930</v>
      </c>
      <c r="D85" s="632">
        <v>346800</v>
      </c>
      <c r="E85" s="633" t="s">
        <v>190</v>
      </c>
      <c r="F85" s="634">
        <v>53000</v>
      </c>
      <c r="G85" s="634">
        <v>53000</v>
      </c>
      <c r="H85" s="642">
        <f>+[1]הוצאות!H102*0.75</f>
        <v>53821.000000000007</v>
      </c>
      <c r="I85" s="636"/>
      <c r="L85" s="638">
        <v>1346800930</v>
      </c>
      <c r="M85" s="637">
        <f>L85-'הכנסות '!B194</f>
        <v>99998</v>
      </c>
    </row>
    <row r="86" spans="1:14" s="637" customFormat="1">
      <c r="A86" s="632"/>
      <c r="B86" s="632"/>
      <c r="C86" s="632">
        <v>931</v>
      </c>
      <c r="D86" s="632">
        <v>346800</v>
      </c>
      <c r="E86" s="633" t="s">
        <v>191</v>
      </c>
      <c r="F86" s="634">
        <v>52000</v>
      </c>
      <c r="G86" s="634">
        <v>52000</v>
      </c>
      <c r="H86" s="642">
        <f>+[1]הוצאות!H103*0.75</f>
        <v>69599.982900000003</v>
      </c>
      <c r="I86" s="636"/>
      <c r="L86" s="638">
        <v>1346800931</v>
      </c>
      <c r="M86" s="637">
        <f>L86-'הכנסות '!B195</f>
        <v>99997</v>
      </c>
    </row>
    <row r="87" spans="1:14" s="637" customFormat="1">
      <c r="A87" s="632"/>
      <c r="B87" s="632"/>
      <c r="C87" s="632">
        <v>932</v>
      </c>
      <c r="D87" s="632">
        <v>346800</v>
      </c>
      <c r="E87" s="633" t="s">
        <v>192</v>
      </c>
      <c r="F87" s="634">
        <v>60000</v>
      </c>
      <c r="G87" s="634">
        <v>60000</v>
      </c>
      <c r="H87" s="642">
        <f>+[1]הוצאות!H104*0.75</f>
        <v>37400</v>
      </c>
      <c r="I87" s="636"/>
      <c r="L87" s="638">
        <v>1346800932</v>
      </c>
      <c r="M87" s="637">
        <f>L87-'הכנסות '!B196</f>
        <v>2</v>
      </c>
    </row>
    <row r="88" spans="1:14" s="637" customFormat="1">
      <c r="A88" s="632"/>
      <c r="B88" s="659">
        <v>722670</v>
      </c>
      <c r="C88" s="632">
        <v>936</v>
      </c>
      <c r="D88" s="632">
        <v>346800</v>
      </c>
      <c r="E88" s="633" t="s">
        <v>193</v>
      </c>
      <c r="F88" s="634">
        <v>274000</v>
      </c>
      <c r="G88" s="634">
        <v>274000</v>
      </c>
      <c r="H88" s="642">
        <f>([1]הוצאות!H106+[1]הוצאות!H107)*0.75</f>
        <v>232500</v>
      </c>
      <c r="I88" s="660"/>
      <c r="L88" s="638">
        <v>1346800936</v>
      </c>
      <c r="M88" s="637">
        <f>L88-'הכנסות '!B197</f>
        <v>5</v>
      </c>
    </row>
    <row r="89" spans="1:14" s="637" customFormat="1" ht="15.75">
      <c r="A89" s="643" t="s">
        <v>194</v>
      </c>
      <c r="B89" s="643"/>
      <c r="C89" s="643">
        <v>999</v>
      </c>
      <c r="D89" s="643">
        <v>346000</v>
      </c>
      <c r="E89" s="643"/>
      <c r="F89" s="644">
        <f>SUM(F67:F88)</f>
        <v>10999999.774999999</v>
      </c>
      <c r="G89" s="644">
        <f>SUM(G67:G88)</f>
        <v>11000000</v>
      </c>
      <c r="H89" s="644">
        <f>SUM(H67:H88)</f>
        <v>12389602.183820484</v>
      </c>
      <c r="I89" s="645"/>
      <c r="L89" s="638">
        <v>1346000999</v>
      </c>
      <c r="M89" s="637">
        <f>L89-'הכנסות '!B198</f>
        <v>-799933</v>
      </c>
    </row>
    <row r="90" spans="1:14" s="637" customFormat="1">
      <c r="A90" s="632" t="s">
        <v>796</v>
      </c>
      <c r="B90" s="632"/>
      <c r="C90" s="632">
        <v>931</v>
      </c>
      <c r="D90" s="632">
        <v>347100</v>
      </c>
      <c r="E90" s="633" t="s">
        <v>196</v>
      </c>
      <c r="F90" s="634">
        <v>167000</v>
      </c>
      <c r="G90" s="634">
        <v>167000</v>
      </c>
      <c r="H90" s="650">
        <f>15*1302*12*0.75</f>
        <v>175770</v>
      </c>
      <c r="I90" s="636"/>
      <c r="L90" s="638">
        <v>1347100931</v>
      </c>
      <c r="M90" s="637">
        <f>L90-'הכנסות '!B199</f>
        <v>299995</v>
      </c>
    </row>
    <row r="91" spans="1:14" s="637" customFormat="1">
      <c r="A91" s="632"/>
      <c r="B91" s="632"/>
      <c r="C91" s="632">
        <v>935</v>
      </c>
      <c r="D91" s="632">
        <v>347100</v>
      </c>
      <c r="E91" s="633" t="s">
        <v>197</v>
      </c>
      <c r="F91" s="634">
        <v>1062000</v>
      </c>
      <c r="G91" s="634">
        <v>1062000</v>
      </c>
      <c r="H91" s="650">
        <f>+[1]הוצאות!H111*0.75</f>
        <v>734250</v>
      </c>
      <c r="I91" s="636"/>
      <c r="L91" s="638">
        <v>1347100935</v>
      </c>
      <c r="M91" s="637">
        <f>L91-'הכנסות '!B200</f>
        <v>1347100935</v>
      </c>
    </row>
    <row r="92" spans="1:14" s="637" customFormat="1">
      <c r="A92" s="632"/>
      <c r="B92" s="632"/>
      <c r="C92" s="632">
        <v>936</v>
      </c>
      <c r="D92" s="632">
        <v>347100</v>
      </c>
      <c r="E92" s="633" t="s">
        <v>3016</v>
      </c>
      <c r="F92" s="634">
        <v>64000</v>
      </c>
      <c r="G92" s="634">
        <v>64000</v>
      </c>
      <c r="H92" s="650">
        <f>(+[1]הוצאות!H112+[1]הוצאות!H113)*0.75</f>
        <v>63750</v>
      </c>
      <c r="I92" s="636"/>
      <c r="L92" s="638">
        <v>1347100936</v>
      </c>
      <c r="M92" s="637">
        <f>L92-'הכנסות '!B201</f>
        <v>5</v>
      </c>
    </row>
    <row r="93" spans="1:14" s="637" customFormat="1">
      <c r="A93" s="632"/>
      <c r="B93" s="632"/>
      <c r="C93" s="632">
        <v>920</v>
      </c>
      <c r="D93" s="632">
        <v>347300</v>
      </c>
      <c r="E93" s="633" t="s">
        <v>199</v>
      </c>
      <c r="F93" s="634">
        <v>90000</v>
      </c>
      <c r="G93" s="634">
        <v>90000</v>
      </c>
      <c r="H93" s="650">
        <v>90000</v>
      </c>
      <c r="I93" s="636"/>
      <c r="L93" s="638">
        <v>1347300920</v>
      </c>
      <c r="M93" s="637">
        <f>L93-'הכנסות '!B202</f>
        <v>199985</v>
      </c>
    </row>
    <row r="94" spans="1:14" s="637" customFormat="1" ht="90">
      <c r="A94" s="632"/>
      <c r="B94" s="632"/>
      <c r="C94" s="632">
        <v>935</v>
      </c>
      <c r="D94" s="632">
        <v>347300</v>
      </c>
      <c r="E94" s="661" t="s">
        <v>2214</v>
      </c>
      <c r="F94" s="656">
        <v>180000</v>
      </c>
      <c r="G94" s="656">
        <v>0</v>
      </c>
      <c r="H94" s="650">
        <f>+[1]הוצאות!H115*0.75</f>
        <v>468000</v>
      </c>
      <c r="I94" s="636"/>
      <c r="L94" s="638">
        <v>1347300935</v>
      </c>
    </row>
    <row r="95" spans="1:14" s="637" customFormat="1">
      <c r="A95" s="632"/>
      <c r="B95" s="632"/>
      <c r="C95" s="632">
        <v>938</v>
      </c>
      <c r="D95" s="632">
        <v>347300</v>
      </c>
      <c r="E95" s="633" t="s">
        <v>201</v>
      </c>
      <c r="F95" s="634">
        <v>168000</v>
      </c>
      <c r="G95" s="634">
        <v>168000</v>
      </c>
      <c r="H95" s="650">
        <f>225000*0.75</f>
        <v>168750</v>
      </c>
      <c r="I95" s="636"/>
      <c r="L95" s="638">
        <v>1347300938</v>
      </c>
      <c r="M95" s="662" t="s">
        <v>3017</v>
      </c>
      <c r="N95" s="662"/>
    </row>
    <row r="96" spans="1:14" s="637" customFormat="1">
      <c r="A96" s="632"/>
      <c r="B96" s="632"/>
      <c r="C96" s="632">
        <v>935</v>
      </c>
      <c r="D96" s="632">
        <v>347400</v>
      </c>
      <c r="E96" s="633" t="s">
        <v>202</v>
      </c>
      <c r="F96" s="634">
        <v>206000</v>
      </c>
      <c r="G96" s="634">
        <v>206000</v>
      </c>
      <c r="H96" s="650">
        <f>+([1]הוצאות!H122+[1]הוצאות!H123)*0.75</f>
        <v>217575</v>
      </c>
      <c r="I96" s="636"/>
      <c r="L96" s="638">
        <v>1347400935</v>
      </c>
    </row>
    <row r="97" spans="1:13" s="637" customFormat="1">
      <c r="A97" s="632"/>
      <c r="B97" s="632"/>
      <c r="C97" s="632"/>
      <c r="D97" s="632"/>
      <c r="E97" s="641" t="s">
        <v>3018</v>
      </c>
      <c r="F97" s="656">
        <v>220000</v>
      </c>
      <c r="G97" s="656">
        <v>0</v>
      </c>
      <c r="H97" s="650">
        <f>+[1]הוצאות!H124*0.75+[1]הוצאות!H125*0.75</f>
        <v>220500</v>
      </c>
      <c r="I97" s="636"/>
      <c r="L97" s="638"/>
    </row>
    <row r="98" spans="1:13" s="637" customFormat="1">
      <c r="A98" s="632"/>
      <c r="B98" s="632"/>
      <c r="C98" s="632"/>
      <c r="D98" s="632"/>
      <c r="E98" s="641" t="s">
        <v>3019</v>
      </c>
      <c r="F98" s="656">
        <v>121000</v>
      </c>
      <c r="G98" s="656">
        <v>0</v>
      </c>
      <c r="H98" s="650">
        <v>121000</v>
      </c>
      <c r="I98" s="636"/>
      <c r="L98" s="638"/>
    </row>
    <row r="99" spans="1:13" s="637" customFormat="1">
      <c r="A99" s="632"/>
      <c r="B99" s="632"/>
      <c r="C99" s="632">
        <v>937</v>
      </c>
      <c r="D99" s="632">
        <v>347400</v>
      </c>
      <c r="E99" s="633" t="s">
        <v>203</v>
      </c>
      <c r="F99" s="634">
        <v>23000</v>
      </c>
      <c r="G99" s="634">
        <v>23000</v>
      </c>
      <c r="H99" s="650">
        <f>+[1]הוצאות!H118*0.75</f>
        <v>26007</v>
      </c>
      <c r="I99" s="636"/>
      <c r="L99" s="638">
        <v>1347400937</v>
      </c>
    </row>
    <row r="100" spans="1:13" s="637" customFormat="1">
      <c r="A100" s="632"/>
      <c r="B100" s="632"/>
      <c r="C100" s="632">
        <v>938</v>
      </c>
      <c r="D100" s="632">
        <v>347400</v>
      </c>
      <c r="E100" s="633" t="s">
        <v>3020</v>
      </c>
      <c r="F100" s="634">
        <v>998000</v>
      </c>
      <c r="G100" s="634">
        <v>998000</v>
      </c>
      <c r="H100" s="650">
        <f>+([1]הוצאות!H120+[1]הוצאות!H126)*0.75</f>
        <v>1306845</v>
      </c>
      <c r="I100" s="636"/>
      <c r="L100" s="638">
        <v>1347400938</v>
      </c>
    </row>
    <row r="101" spans="1:13" s="637" customFormat="1">
      <c r="A101" s="632"/>
      <c r="B101" s="632"/>
      <c r="C101" s="632">
        <v>939</v>
      </c>
      <c r="D101" s="632">
        <v>347400</v>
      </c>
      <c r="E101" s="646" t="s">
        <v>3021</v>
      </c>
      <c r="F101" s="634">
        <v>151000</v>
      </c>
      <c r="G101" s="634">
        <v>151000</v>
      </c>
      <c r="H101" s="650">
        <f>+[1]הוצאות!H121</f>
        <v>58614.666666666672</v>
      </c>
      <c r="I101" s="636"/>
      <c r="L101" s="638">
        <v>1347400939</v>
      </c>
    </row>
    <row r="102" spans="1:13" s="637" customFormat="1">
      <c r="A102" s="632"/>
      <c r="B102" s="632"/>
      <c r="C102" s="632"/>
      <c r="D102" s="632"/>
      <c r="E102" s="641" t="s">
        <v>3022</v>
      </c>
      <c r="F102" s="656">
        <v>118000</v>
      </c>
      <c r="G102" s="656">
        <v>0</v>
      </c>
      <c r="H102" s="650">
        <f>+[1]הוצאות!H119*0.75-250</f>
        <v>203000</v>
      </c>
      <c r="I102" s="636"/>
      <c r="L102" s="638"/>
    </row>
    <row r="103" spans="1:13" s="637" customFormat="1">
      <c r="A103" s="632"/>
      <c r="B103" s="632"/>
      <c r="C103" s="632">
        <v>930</v>
      </c>
      <c r="D103" s="632">
        <v>347600</v>
      </c>
      <c r="E103" s="633" t="s">
        <v>206</v>
      </c>
      <c r="F103" s="634">
        <v>582000</v>
      </c>
      <c r="G103" s="634">
        <v>582000</v>
      </c>
      <c r="H103" s="650">
        <f>20*1667*12*0.75+22*1667*12-148</f>
        <v>740000</v>
      </c>
      <c r="I103" s="636"/>
      <c r="L103" s="638">
        <v>1347600930</v>
      </c>
    </row>
    <row r="104" spans="1:13" s="637" customFormat="1">
      <c r="A104" s="632"/>
      <c r="B104" s="632"/>
      <c r="C104" s="632">
        <v>930</v>
      </c>
      <c r="D104" s="632">
        <v>347800</v>
      </c>
      <c r="E104" s="633" t="s">
        <v>207</v>
      </c>
      <c r="F104" s="634">
        <v>167000</v>
      </c>
      <c r="G104" s="634">
        <v>167000</v>
      </c>
      <c r="H104" s="650">
        <f>+([1]הוצאות!H130+[1]הוצאות!H131)*0.75</f>
        <v>175770</v>
      </c>
      <c r="I104" s="636"/>
      <c r="L104" s="638">
        <v>1347800930</v>
      </c>
    </row>
    <row r="105" spans="1:13" s="637" customFormat="1">
      <c r="A105" s="632"/>
      <c r="B105" s="632"/>
      <c r="C105" s="632">
        <v>931</v>
      </c>
      <c r="D105" s="632">
        <v>347900</v>
      </c>
      <c r="E105" s="646" t="s">
        <v>210</v>
      </c>
      <c r="F105" s="656">
        <v>658000</v>
      </c>
      <c r="G105" s="656">
        <v>749000</v>
      </c>
      <c r="H105" s="650">
        <f>[1]הוצאות!H134+[1]הוצאות!H135</f>
        <v>1394200</v>
      </c>
      <c r="I105" s="636"/>
      <c r="L105" s="638">
        <v>1347900931</v>
      </c>
      <c r="M105" s="658"/>
    </row>
    <row r="106" spans="1:13" s="637" customFormat="1">
      <c r="A106" s="632"/>
      <c r="B106" s="632"/>
      <c r="C106" s="632">
        <v>932</v>
      </c>
      <c r="D106" s="632"/>
      <c r="E106" s="647" t="s">
        <v>209</v>
      </c>
      <c r="F106" s="656">
        <v>178000</v>
      </c>
      <c r="G106" s="656">
        <v>0</v>
      </c>
      <c r="H106" s="650">
        <f>+[1]הוצאות!H136*0.75</f>
        <v>307500</v>
      </c>
      <c r="I106" s="636"/>
      <c r="L106" s="638">
        <v>1</v>
      </c>
    </row>
    <row r="107" spans="1:13" s="637" customFormat="1">
      <c r="A107" s="632"/>
      <c r="B107" s="632"/>
      <c r="C107" s="632">
        <v>934</v>
      </c>
      <c r="D107" s="632">
        <v>347900</v>
      </c>
      <c r="E107" s="647" t="s">
        <v>211</v>
      </c>
      <c r="F107" s="634">
        <v>65000</v>
      </c>
      <c r="G107" s="634">
        <v>65000</v>
      </c>
      <c r="H107" s="650">
        <f>+[1]הוצאות!H137*0.75</f>
        <v>36749.75</v>
      </c>
      <c r="I107" s="636"/>
      <c r="L107" s="638">
        <v>1347900934</v>
      </c>
    </row>
    <row r="108" spans="1:13" s="637" customFormat="1">
      <c r="A108" s="632"/>
      <c r="B108" s="632"/>
      <c r="C108" s="632"/>
      <c r="D108" s="632"/>
      <c r="E108" s="647" t="s">
        <v>3023</v>
      </c>
      <c r="F108" s="656">
        <v>113000</v>
      </c>
      <c r="G108" s="656">
        <v>0</v>
      </c>
      <c r="H108" s="650">
        <f>+([1]הוצאות!H138+[1]הוצאות!H139)*0.75</f>
        <v>113250</v>
      </c>
      <c r="I108" s="636"/>
      <c r="L108" s="638">
        <v>1</v>
      </c>
    </row>
    <row r="109" spans="1:13" s="637" customFormat="1">
      <c r="A109" s="632"/>
      <c r="B109" s="632"/>
      <c r="C109" s="632"/>
      <c r="D109" s="632"/>
      <c r="E109" s="663" t="s">
        <v>3024</v>
      </c>
      <c r="F109" s="656"/>
      <c r="G109" s="656"/>
      <c r="H109" s="650">
        <f>+[1]הוצאות!H140*0.75</f>
        <v>161250</v>
      </c>
      <c r="I109" s="636"/>
      <c r="L109" s="638"/>
    </row>
    <row r="110" spans="1:13" s="637" customFormat="1">
      <c r="A110" s="632"/>
      <c r="B110" s="632"/>
      <c r="C110" s="632"/>
      <c r="D110" s="632"/>
      <c r="E110" s="663" t="s">
        <v>3025</v>
      </c>
      <c r="F110" s="656"/>
      <c r="G110" s="656"/>
      <c r="H110" s="650">
        <f>+[1]הוצאות!H141*0.75</f>
        <v>792750</v>
      </c>
      <c r="I110" s="636"/>
      <c r="L110" s="638"/>
    </row>
    <row r="111" spans="1:13" s="637" customFormat="1" ht="15.75">
      <c r="A111" s="643" t="s">
        <v>212</v>
      </c>
      <c r="B111" s="643"/>
      <c r="C111" s="643">
        <v>999</v>
      </c>
      <c r="D111" s="643">
        <v>347100</v>
      </c>
      <c r="E111" s="643"/>
      <c r="F111" s="644">
        <f>SUM(F90:F110)</f>
        <v>5331000</v>
      </c>
      <c r="G111" s="644">
        <f>SUM(G90:G110)</f>
        <v>4492000</v>
      </c>
      <c r="H111" s="644">
        <f>SUM(H90:H110)</f>
        <v>7575531.416666666</v>
      </c>
      <c r="I111" s="645"/>
      <c r="L111" s="638">
        <v>1347100999</v>
      </c>
      <c r="M111" s="658">
        <f>H111-'הכנסות '!I225</f>
        <v>379531.41666666605</v>
      </c>
    </row>
    <row r="112" spans="1:13" s="637" customFormat="1">
      <c r="A112" s="632" t="s">
        <v>213</v>
      </c>
      <c r="B112" s="632"/>
      <c r="C112" s="632">
        <v>930</v>
      </c>
      <c r="D112" s="632">
        <v>348200</v>
      </c>
      <c r="E112" s="633" t="s">
        <v>213</v>
      </c>
      <c r="F112" s="634">
        <v>22000</v>
      </c>
      <c r="G112" s="634">
        <v>22000</v>
      </c>
      <c r="H112" s="664">
        <f>[1]הוצאות!H143*0.75</f>
        <v>22500</v>
      </c>
      <c r="I112" s="636"/>
      <c r="L112" s="638">
        <v>1348200930</v>
      </c>
    </row>
    <row r="113" spans="1:12" s="637" customFormat="1">
      <c r="A113" s="632"/>
      <c r="B113" s="632"/>
      <c r="C113" s="632">
        <v>933</v>
      </c>
      <c r="D113" s="632">
        <v>348300</v>
      </c>
      <c r="E113" s="633" t="s">
        <v>214</v>
      </c>
      <c r="F113" s="634">
        <v>38000</v>
      </c>
      <c r="G113" s="634">
        <v>38000</v>
      </c>
      <c r="H113" s="642">
        <f>[1]הוצאות!H144*0.75</f>
        <v>37500</v>
      </c>
      <c r="I113" s="636"/>
      <c r="L113" s="638">
        <v>1348300933</v>
      </c>
    </row>
    <row r="114" spans="1:12" s="637" customFormat="1">
      <c r="A114" s="632"/>
      <c r="B114" s="632"/>
      <c r="C114" s="632">
        <v>934</v>
      </c>
      <c r="D114" s="632">
        <v>348300</v>
      </c>
      <c r="E114" s="633" t="s">
        <v>215</v>
      </c>
      <c r="F114" s="634">
        <v>11000</v>
      </c>
      <c r="G114" s="634">
        <v>11000</v>
      </c>
      <c r="H114" s="642">
        <f>[1]הוצאות!H145*0.75</f>
        <v>11250</v>
      </c>
      <c r="I114" s="636"/>
      <c r="L114" s="638">
        <v>1348300934</v>
      </c>
    </row>
    <row r="115" spans="1:12" s="637" customFormat="1" ht="15.75">
      <c r="A115" s="643" t="s">
        <v>216</v>
      </c>
      <c r="B115" s="643"/>
      <c r="C115" s="643">
        <v>999</v>
      </c>
      <c r="D115" s="643">
        <v>348000</v>
      </c>
      <c r="E115" s="643"/>
      <c r="F115" s="644">
        <f>SUM(F112:F114)</f>
        <v>71000</v>
      </c>
      <c r="G115" s="644">
        <f>SUM(G112:G114)</f>
        <v>71000</v>
      </c>
      <c r="H115" s="644">
        <f>SUM(H112:H114)</f>
        <v>71250</v>
      </c>
      <c r="I115" s="645"/>
      <c r="L115" s="638">
        <v>1348000999</v>
      </c>
    </row>
    <row r="116" spans="1:12" s="637" customFormat="1">
      <c r="A116" s="632" t="s">
        <v>217</v>
      </c>
      <c r="B116" s="632"/>
      <c r="C116" s="632">
        <v>930</v>
      </c>
      <c r="D116" s="632">
        <v>348500</v>
      </c>
      <c r="E116" s="633" t="s">
        <v>218</v>
      </c>
      <c r="F116" s="634">
        <v>14000</v>
      </c>
      <c r="G116" s="634">
        <v>14000</v>
      </c>
      <c r="H116" s="642">
        <f>[1]הוצאות!H148*0.75</f>
        <v>14250</v>
      </c>
      <c r="I116" s="636"/>
      <c r="L116" s="638">
        <v>1348500930</v>
      </c>
    </row>
    <row r="117" spans="1:12" s="637" customFormat="1">
      <c r="A117" s="632"/>
      <c r="B117" s="632"/>
      <c r="C117" s="632">
        <v>934</v>
      </c>
      <c r="D117" s="632">
        <v>348500</v>
      </c>
      <c r="E117" s="633" t="s">
        <v>219</v>
      </c>
      <c r="F117" s="634">
        <v>30000</v>
      </c>
      <c r="G117" s="634">
        <v>30000</v>
      </c>
      <c r="H117" s="642">
        <f>[1]הוצאות!H147</f>
        <v>30000</v>
      </c>
      <c r="I117" s="636"/>
      <c r="L117" s="638">
        <v>1348500934</v>
      </c>
    </row>
    <row r="118" spans="1:12" s="637" customFormat="1" ht="15.75">
      <c r="A118" s="643" t="s">
        <v>220</v>
      </c>
      <c r="B118" s="643"/>
      <c r="C118" s="643">
        <v>999</v>
      </c>
      <c r="D118" s="643">
        <v>348500</v>
      </c>
      <c r="E118" s="643"/>
      <c r="F118" s="644">
        <f>SUM(F116:F117)</f>
        <v>44000</v>
      </c>
      <c r="G118" s="644">
        <f>SUM(G116:G117)</f>
        <v>44000</v>
      </c>
      <c r="H118" s="644">
        <f>SUM(H116:H117)</f>
        <v>44250</v>
      </c>
      <c r="I118" s="645"/>
      <c r="L118" s="638">
        <v>1348500999</v>
      </c>
    </row>
    <row r="119" spans="1:12" s="637" customFormat="1">
      <c r="A119" s="632" t="s">
        <v>3026</v>
      </c>
      <c r="B119" s="632"/>
      <c r="C119" s="632">
        <v>936</v>
      </c>
      <c r="D119" s="632">
        <v>349000</v>
      </c>
      <c r="E119" s="633" t="s">
        <v>221</v>
      </c>
      <c r="F119" s="634">
        <v>578000</v>
      </c>
      <c r="G119" s="634">
        <v>578000</v>
      </c>
      <c r="H119" s="642">
        <f>+[1]הוצאות!H150*0.75</f>
        <v>921418.00000000012</v>
      </c>
      <c r="I119" s="636"/>
      <c r="L119" s="638">
        <v>1349000936</v>
      </c>
    </row>
    <row r="120" spans="1:12" s="637" customFormat="1">
      <c r="A120" s="632"/>
      <c r="B120" s="632"/>
      <c r="C120" s="632">
        <v>937</v>
      </c>
      <c r="D120" s="632">
        <v>349000</v>
      </c>
      <c r="E120" s="633" t="str">
        <f>+'[1]מימון חלקי'!D126</f>
        <v>טיפול בעולים אזרח ותיק</v>
      </c>
      <c r="F120" s="634">
        <v>22000</v>
      </c>
      <c r="G120" s="634">
        <v>22000</v>
      </c>
      <c r="H120" s="642">
        <f>+[1]הוצאות!H151*0.75</f>
        <v>13500</v>
      </c>
      <c r="I120" s="636"/>
      <c r="L120" s="638">
        <v>1349000937</v>
      </c>
    </row>
    <row r="121" spans="1:12" s="637" customFormat="1">
      <c r="A121" s="632"/>
      <c r="B121" s="632"/>
      <c r="C121" s="632">
        <v>930</v>
      </c>
      <c r="D121" s="632">
        <v>349100</v>
      </c>
      <c r="E121" s="633" t="s">
        <v>223</v>
      </c>
      <c r="F121" s="634">
        <v>26000</v>
      </c>
      <c r="G121" s="634">
        <v>26000</v>
      </c>
      <c r="H121" s="642">
        <f>+[1]הוצאות!H152*0.75</f>
        <v>20789</v>
      </c>
      <c r="I121" s="636"/>
      <c r="L121" s="638">
        <v>1349100930</v>
      </c>
    </row>
    <row r="122" spans="1:12" s="637" customFormat="1" ht="15.75">
      <c r="A122" s="643" t="s">
        <v>224</v>
      </c>
      <c r="B122" s="643"/>
      <c r="C122" s="643">
        <v>999</v>
      </c>
      <c r="D122" s="643">
        <v>349000</v>
      </c>
      <c r="E122" s="643"/>
      <c r="F122" s="644">
        <f>SUM(F119:F121)</f>
        <v>626000</v>
      </c>
      <c r="G122" s="644">
        <f>SUM(G119:G121)</f>
        <v>626000</v>
      </c>
      <c r="H122" s="644">
        <f>SUM(H119:H121)</f>
        <v>955707.00000000012</v>
      </c>
      <c r="I122" s="645"/>
      <c r="L122" s="638">
        <v>1349000999</v>
      </c>
    </row>
    <row r="124" spans="1:12" ht="16.5" thickBot="1">
      <c r="E124" s="665" t="s">
        <v>259</v>
      </c>
      <c r="F124" s="666">
        <f>F7+F19+F32+F48+F66+F89+F111+F115+F118+F122</f>
        <v>99027001.020832807</v>
      </c>
      <c r="G124" s="666">
        <f>G7+G19+G32+G48+G66+G89+G111+G115+G118+G122</f>
        <v>96602885</v>
      </c>
      <c r="H124" s="666">
        <f>H7+H19+H32+H48+H66+H89+H111+H115+H118+H122</f>
        <v>104046274.31947358</v>
      </c>
      <c r="I124" s="667">
        <f>+H124-F124</f>
        <v>5019273.2986407727</v>
      </c>
    </row>
    <row r="125" spans="1:12" ht="16.5" thickTop="1">
      <c r="E125" s="665" t="s">
        <v>3027</v>
      </c>
      <c r="F125" s="668">
        <f>+[1]הוצאות!F156-[1]הכנסות!F124</f>
        <v>37235998.855132133</v>
      </c>
      <c r="G125" s="668">
        <f>+[1]הוצאות!G156-[1]הכנסות!G124</f>
        <v>35457782</v>
      </c>
      <c r="H125" s="668">
        <f>+[1]הוצאות!H156-[1]הכנסות!H124</f>
        <v>39298290.087753728</v>
      </c>
      <c r="I125" s="669">
        <f>+H125-F125</f>
        <v>2062291.2326215953</v>
      </c>
    </row>
    <row r="126" spans="1:12">
      <c r="F126" s="670">
        <f>+F124/[1]הוצאות!F156</f>
        <v>0.72673433808864729</v>
      </c>
      <c r="G126" s="670"/>
      <c r="H126" s="670">
        <f>+H124/[1]הוצאות!H156</f>
        <v>0.72584736470291755</v>
      </c>
    </row>
    <row r="127" spans="1:12">
      <c r="F127" s="670">
        <f>100%-F126</f>
        <v>0.27326566191135271</v>
      </c>
      <c r="G127" s="670"/>
      <c r="H127" s="670">
        <f>100%-H126</f>
        <v>0.27415263529708245</v>
      </c>
      <c r="I127" s="671">
        <f>+H127-F127</f>
        <v>8.8697338572973905E-4</v>
      </c>
    </row>
    <row r="128" spans="1:12">
      <c r="F128" s="668"/>
      <c r="G128" s="668"/>
    </row>
    <row r="129" spans="1:14">
      <c r="F129" s="672"/>
      <c r="G129" s="672"/>
      <c r="H129" s="672"/>
      <c r="I129" s="672"/>
    </row>
    <row r="130" spans="1:14" ht="15.75">
      <c r="F130" s="673"/>
      <c r="G130" s="673"/>
      <c r="H130" s="668"/>
    </row>
    <row r="131" spans="1:14">
      <c r="F131" s="626"/>
      <c r="G131" s="626"/>
      <c r="H131" s="672"/>
    </row>
    <row r="132" spans="1:14">
      <c r="F132" s="626"/>
      <c r="G132" s="626"/>
      <c r="H132" s="672"/>
    </row>
    <row r="133" spans="1:14" ht="26.25">
      <c r="E133" s="624" t="s">
        <v>3028</v>
      </c>
      <c r="J133" s="674"/>
      <c r="K133" s="566"/>
      <c r="L133" s="623"/>
    </row>
    <row r="134" spans="1:14" ht="18">
      <c r="A134" s="627" t="s">
        <v>1481</v>
      </c>
      <c r="B134" s="627"/>
      <c r="J134" s="674"/>
      <c r="L134" s="623"/>
    </row>
    <row r="135" spans="1:14" ht="47.25">
      <c r="A135" s="675" t="s">
        <v>1</v>
      </c>
      <c r="B135" s="629" t="s">
        <v>2997</v>
      </c>
      <c r="C135" s="675" t="s">
        <v>2</v>
      </c>
      <c r="D135" s="675" t="s">
        <v>4</v>
      </c>
      <c r="E135" s="675" t="s">
        <v>271</v>
      </c>
      <c r="F135" s="676" t="s">
        <v>2187</v>
      </c>
      <c r="G135" s="631" t="s">
        <v>2998</v>
      </c>
      <c r="H135" s="676" t="s">
        <v>2999</v>
      </c>
      <c r="I135" s="676" t="s">
        <v>5</v>
      </c>
      <c r="J135" s="677"/>
      <c r="K135" s="678"/>
      <c r="L135" s="679"/>
      <c r="M135" s="679"/>
      <c r="N135" s="679"/>
    </row>
    <row r="136" spans="1:14" ht="30">
      <c r="A136" s="474" t="s">
        <v>109</v>
      </c>
      <c r="B136" s="474"/>
      <c r="C136" s="474">
        <v>110</v>
      </c>
      <c r="D136" s="474">
        <v>841000</v>
      </c>
      <c r="E136" s="474" t="s">
        <v>711</v>
      </c>
      <c r="F136" s="680">
        <v>22671000</v>
      </c>
      <c r="G136" s="680">
        <v>21787167</v>
      </c>
      <c r="H136" s="681">
        <f>+'[1]שכר רווחה'!P469</f>
        <v>0</v>
      </c>
      <c r="I136" s="655" t="s">
        <v>712</v>
      </c>
      <c r="J136" s="474">
        <v>1841000110</v>
      </c>
      <c r="K136" s="682"/>
      <c r="L136" s="474"/>
      <c r="M136" s="474"/>
      <c r="N136" s="474"/>
    </row>
    <row r="137" spans="1:14" ht="30" hidden="1">
      <c r="A137" s="474"/>
      <c r="B137" s="474"/>
      <c r="C137" s="474">
        <v>410</v>
      </c>
      <c r="D137" s="474">
        <v>841000</v>
      </c>
      <c r="E137" s="474" t="s">
        <v>304</v>
      </c>
      <c r="F137" s="680">
        <v>2147000</v>
      </c>
      <c r="G137" s="680">
        <v>2147000</v>
      </c>
      <c r="H137" s="681">
        <f>+'[1]שכ"ד'!G147</f>
        <v>0</v>
      </c>
      <c r="I137" s="683" t="s">
        <v>3029</v>
      </c>
      <c r="J137" s="474">
        <v>1841000410</v>
      </c>
      <c r="K137" s="682"/>
      <c r="L137" s="474"/>
      <c r="M137" s="474"/>
      <c r="N137" s="474"/>
    </row>
    <row r="138" spans="1:14" hidden="1">
      <c r="A138" s="474"/>
      <c r="B138" s="474"/>
      <c r="C138" s="474">
        <v>430</v>
      </c>
      <c r="D138" s="474">
        <v>841000</v>
      </c>
      <c r="E138" s="474" t="s">
        <v>311</v>
      </c>
      <c r="F138" s="680">
        <v>110000</v>
      </c>
      <c r="G138" s="680">
        <v>110000</v>
      </c>
      <c r="H138" s="681">
        <v>112000</v>
      </c>
      <c r="I138" s="655" t="s">
        <v>382</v>
      </c>
      <c r="J138" s="474">
        <v>1841000430</v>
      </c>
      <c r="K138" s="682"/>
      <c r="L138" s="474"/>
      <c r="M138" s="474"/>
      <c r="N138" s="474"/>
    </row>
    <row r="139" spans="1:14" ht="30" hidden="1">
      <c r="A139" s="474"/>
      <c r="B139" s="474"/>
      <c r="C139" s="474">
        <v>530</v>
      </c>
      <c r="D139" s="474">
        <v>841000</v>
      </c>
      <c r="E139" s="474" t="s">
        <v>277</v>
      </c>
      <c r="F139" s="680">
        <v>140000</v>
      </c>
      <c r="G139" s="680">
        <v>140000</v>
      </c>
      <c r="H139" s="681">
        <v>140000</v>
      </c>
      <c r="I139" s="655" t="s">
        <v>3030</v>
      </c>
      <c r="J139" s="474">
        <v>1841000530</v>
      </c>
      <c r="K139" s="682"/>
      <c r="L139" s="684"/>
      <c r="M139" s="684"/>
      <c r="N139" s="684"/>
    </row>
    <row r="140" spans="1:14" hidden="1">
      <c r="A140" s="474"/>
      <c r="B140" s="474"/>
      <c r="C140" s="474">
        <v>540</v>
      </c>
      <c r="D140" s="474">
        <v>841000</v>
      </c>
      <c r="E140" s="474" t="s">
        <v>279</v>
      </c>
      <c r="F140" s="680">
        <v>51000</v>
      </c>
      <c r="G140" s="680">
        <v>51000</v>
      </c>
      <c r="H140" s="681">
        <v>65000</v>
      </c>
      <c r="I140" s="655"/>
      <c r="J140" s="474">
        <v>1841000540</v>
      </c>
      <c r="K140" s="682"/>
      <c r="L140" s="474"/>
      <c r="M140" s="474"/>
      <c r="N140" s="474"/>
    </row>
    <row r="141" spans="1:14" ht="60" hidden="1">
      <c r="A141" s="474"/>
      <c r="B141" s="474"/>
      <c r="C141" s="474">
        <v>780</v>
      </c>
      <c r="D141" s="474">
        <v>841000</v>
      </c>
      <c r="E141" s="474" t="s">
        <v>280</v>
      </c>
      <c r="F141" s="680">
        <v>100000</v>
      </c>
      <c r="G141" s="680">
        <v>100000</v>
      </c>
      <c r="H141" s="681">
        <v>100000</v>
      </c>
      <c r="I141" s="683" t="s">
        <v>3031</v>
      </c>
      <c r="J141" s="474">
        <v>1841000780</v>
      </c>
      <c r="K141" s="682"/>
      <c r="L141" s="474"/>
      <c r="M141" s="474"/>
      <c r="N141" s="474"/>
    </row>
    <row r="142" spans="1:14" ht="45" hidden="1">
      <c r="A142" s="474"/>
      <c r="B142" s="474"/>
      <c r="C142" s="474">
        <v>750</v>
      </c>
      <c r="D142" s="474">
        <v>841000</v>
      </c>
      <c r="E142" s="685" t="s">
        <v>530</v>
      </c>
      <c r="F142" s="680">
        <v>450000</v>
      </c>
      <c r="G142" s="680">
        <v>450000</v>
      </c>
      <c r="H142" s="681">
        <f>118331+291667+40000+2</f>
        <v>450000</v>
      </c>
      <c r="I142" s="686" t="s">
        <v>2200</v>
      </c>
      <c r="J142" s="474">
        <v>1841000750</v>
      </c>
      <c r="K142" s="682"/>
      <c r="L142" s="474"/>
      <c r="M142" s="474"/>
      <c r="N142" s="474"/>
    </row>
    <row r="143" spans="1:14" ht="45" hidden="1">
      <c r="A143" s="474"/>
      <c r="B143" s="474"/>
      <c r="C143" s="474">
        <v>781</v>
      </c>
      <c r="D143" s="474">
        <v>841000</v>
      </c>
      <c r="E143" s="474" t="s">
        <v>714</v>
      </c>
      <c r="F143" s="680">
        <v>215000</v>
      </c>
      <c r="G143" s="680">
        <v>215000</v>
      </c>
      <c r="H143" s="681">
        <v>250000</v>
      </c>
      <c r="I143" s="655" t="s">
        <v>3032</v>
      </c>
      <c r="J143" s="474">
        <v>1841000781</v>
      </c>
      <c r="K143" s="682"/>
      <c r="L143" s="474"/>
      <c r="M143" s="474"/>
      <c r="N143" s="474"/>
    </row>
    <row r="144" spans="1:14" ht="15.75" hidden="1">
      <c r="A144" s="687" t="s">
        <v>112</v>
      </c>
      <c r="B144" s="687"/>
      <c r="C144" s="687">
        <v>999</v>
      </c>
      <c r="D144" s="687">
        <v>841000</v>
      </c>
      <c r="E144" s="687"/>
      <c r="F144" s="688">
        <f>SUM(F136:F143)</f>
        <v>25884000</v>
      </c>
      <c r="G144" s="688">
        <f>SUM(G136:G143)</f>
        <v>25000167</v>
      </c>
      <c r="H144" s="688">
        <f>SUM(H136:H143)</f>
        <v>1117000</v>
      </c>
      <c r="I144" s="689"/>
      <c r="J144" s="659"/>
      <c r="K144" s="682"/>
      <c r="L144" s="474"/>
      <c r="M144" s="474"/>
      <c r="N144" s="474"/>
    </row>
    <row r="145" spans="1:14" ht="60" hidden="1">
      <c r="A145" s="684" t="s">
        <v>122</v>
      </c>
      <c r="B145" s="684" t="s">
        <v>3033</v>
      </c>
      <c r="C145" s="474">
        <v>820</v>
      </c>
      <c r="D145" s="474">
        <v>842200</v>
      </c>
      <c r="E145" s="647" t="s">
        <v>717</v>
      </c>
      <c r="F145" s="680">
        <v>82000</v>
      </c>
      <c r="G145" s="680">
        <v>182000</v>
      </c>
      <c r="H145" s="690">
        <f>15*278*12+53*293*12+17*457*12+5*1482*12+5*1739*12+20000-H146</f>
        <v>542876</v>
      </c>
      <c r="I145" s="691" t="s">
        <v>3034</v>
      </c>
      <c r="J145" s="692">
        <v>1842200820</v>
      </c>
      <c r="K145" s="682"/>
      <c r="L145" s="474"/>
      <c r="M145" s="474"/>
      <c r="N145" s="474"/>
    </row>
    <row r="146" spans="1:14">
      <c r="A146" s="684"/>
      <c r="B146" s="684"/>
      <c r="C146" s="474">
        <v>110</v>
      </c>
      <c r="D146" s="474">
        <v>842200</v>
      </c>
      <c r="E146" s="647" t="s">
        <v>2201</v>
      </c>
      <c r="F146" s="680">
        <v>288000</v>
      </c>
      <c r="G146" s="680">
        <v>188000</v>
      </c>
      <c r="H146" s="681">
        <f>+'[1]שכר רווחה'!P495</f>
        <v>0</v>
      </c>
      <c r="I146" s="655"/>
      <c r="J146" s="474">
        <v>1842200110</v>
      </c>
      <c r="K146" s="682"/>
      <c r="L146" s="474"/>
      <c r="M146" s="474"/>
      <c r="N146" s="474"/>
    </row>
    <row r="147" spans="1:14" ht="60" hidden="1">
      <c r="A147" s="474"/>
      <c r="B147" s="474">
        <v>1039770</v>
      </c>
      <c r="C147" s="474">
        <v>821</v>
      </c>
      <c r="D147" s="474">
        <v>842200</v>
      </c>
      <c r="E147" s="647" t="s">
        <v>121</v>
      </c>
      <c r="F147" s="680">
        <v>440000</v>
      </c>
      <c r="G147" s="680">
        <v>440000</v>
      </c>
      <c r="H147" s="681">
        <v>250000</v>
      </c>
      <c r="I147" s="655" t="s">
        <v>3035</v>
      </c>
      <c r="J147" s="692">
        <v>1842200821</v>
      </c>
      <c r="K147" s="682"/>
      <c r="L147" s="474"/>
      <c r="M147" s="474"/>
      <c r="N147" s="474"/>
    </row>
    <row r="148" spans="1:14" ht="75" hidden="1">
      <c r="A148" s="474" t="s">
        <v>4</v>
      </c>
      <c r="B148" s="474">
        <v>1165530</v>
      </c>
      <c r="C148" s="474">
        <v>824</v>
      </c>
      <c r="D148" s="474">
        <v>842200</v>
      </c>
      <c r="E148" s="647" t="s">
        <v>3036</v>
      </c>
      <c r="F148" s="680">
        <v>833000</v>
      </c>
      <c r="G148" s="680">
        <v>833000</v>
      </c>
      <c r="H148" s="681">
        <f>144000+540000+200000-H149</f>
        <v>884000</v>
      </c>
      <c r="I148" s="693" t="s">
        <v>3037</v>
      </c>
      <c r="J148" s="692">
        <v>1842200824</v>
      </c>
      <c r="K148" s="682"/>
      <c r="L148" s="474"/>
      <c r="M148" s="474"/>
      <c r="N148" s="474"/>
    </row>
    <row r="149" spans="1:14">
      <c r="A149" s="474"/>
      <c r="B149" s="474">
        <v>1165530</v>
      </c>
      <c r="C149" s="474">
        <v>110</v>
      </c>
      <c r="D149" s="474">
        <v>842100</v>
      </c>
      <c r="E149" s="647" t="s">
        <v>716</v>
      </c>
      <c r="F149" s="680">
        <v>175000</v>
      </c>
      <c r="G149" s="680">
        <v>175000</v>
      </c>
      <c r="H149" s="681">
        <f>+'[1]שכר רווחה'!P471</f>
        <v>0</v>
      </c>
      <c r="I149" s="693"/>
      <c r="J149" s="692">
        <v>1842100110</v>
      </c>
      <c r="K149" s="682"/>
      <c r="L149" s="474"/>
      <c r="M149" s="474"/>
      <c r="N149" s="474"/>
    </row>
    <row r="150" spans="1:14" ht="30" hidden="1">
      <c r="A150" s="474"/>
      <c r="B150" s="474">
        <v>1039750</v>
      </c>
      <c r="C150" s="474">
        <v>828</v>
      </c>
      <c r="D150" s="474">
        <v>842200</v>
      </c>
      <c r="E150" s="648" t="s">
        <v>115</v>
      </c>
      <c r="F150" s="680">
        <v>260000</v>
      </c>
      <c r="G150" s="680">
        <v>260000</v>
      </c>
      <c r="H150" s="681">
        <f>[2]גיליון1!$N$82</f>
        <v>256842.66666666666</v>
      </c>
      <c r="I150" s="655" t="s">
        <v>719</v>
      </c>
      <c r="J150" s="692">
        <v>1842200828</v>
      </c>
      <c r="K150" s="682"/>
      <c r="L150" s="684"/>
      <c r="M150" s="684"/>
      <c r="N150" s="684"/>
    </row>
    <row r="151" spans="1:14" hidden="1">
      <c r="A151" s="474"/>
      <c r="B151" s="474" t="s">
        <v>3038</v>
      </c>
      <c r="C151" s="474">
        <v>829</v>
      </c>
      <c r="D151" s="474">
        <v>842200</v>
      </c>
      <c r="E151" s="647" t="s">
        <v>125</v>
      </c>
      <c r="F151" s="680">
        <v>137000</v>
      </c>
      <c r="G151" s="680">
        <v>240500</v>
      </c>
      <c r="H151" s="690">
        <f>414*70*12-H152</f>
        <v>347760</v>
      </c>
      <c r="I151" s="655" t="s">
        <v>720</v>
      </c>
      <c r="J151" s="692">
        <v>1842200829</v>
      </c>
      <c r="K151" s="682"/>
      <c r="L151" s="684"/>
      <c r="M151" s="684"/>
      <c r="N151" s="684"/>
    </row>
    <row r="152" spans="1:14">
      <c r="A152" s="474"/>
      <c r="B152" s="474" t="s">
        <v>3038</v>
      </c>
      <c r="C152" s="474">
        <v>110</v>
      </c>
      <c r="D152" s="474">
        <v>842500</v>
      </c>
      <c r="E152" s="647" t="s">
        <v>724</v>
      </c>
      <c r="F152" s="680">
        <v>207000</v>
      </c>
      <c r="G152" s="680">
        <v>0</v>
      </c>
      <c r="H152" s="681">
        <f>+'[1]שכר רווחה'!P474</f>
        <v>0</v>
      </c>
      <c r="I152" s="694" t="s">
        <v>346</v>
      </c>
      <c r="J152" s="692">
        <v>1842210110</v>
      </c>
      <c r="K152" s="682"/>
      <c r="L152" s="684"/>
      <c r="M152" s="684"/>
      <c r="N152" s="684"/>
    </row>
    <row r="153" spans="1:14" ht="30" hidden="1">
      <c r="A153" s="474"/>
      <c r="B153" s="474">
        <v>1039361</v>
      </c>
      <c r="C153" s="474">
        <v>820</v>
      </c>
      <c r="D153" s="474">
        <v>842600</v>
      </c>
      <c r="E153" s="648" t="s">
        <v>3004</v>
      </c>
      <c r="F153" s="680">
        <v>124000</v>
      </c>
      <c r="G153" s="680">
        <v>124000</v>
      </c>
      <c r="H153" s="681">
        <f>409000-H154</f>
        <v>409000</v>
      </c>
      <c r="I153" s="694" t="s">
        <v>3039</v>
      </c>
      <c r="J153" s="474">
        <v>1842600820</v>
      </c>
      <c r="K153" s="682"/>
      <c r="L153" s="684"/>
      <c r="M153" s="684"/>
      <c r="N153" s="684"/>
    </row>
    <row r="154" spans="1:14">
      <c r="A154" s="474"/>
      <c r="B154" s="474"/>
      <c r="C154" s="474">
        <v>110</v>
      </c>
      <c r="D154" s="474">
        <v>842600</v>
      </c>
      <c r="E154" s="648" t="s">
        <v>2202</v>
      </c>
      <c r="F154" s="680">
        <v>270000</v>
      </c>
      <c r="G154" s="680">
        <v>270000</v>
      </c>
      <c r="H154" s="681">
        <f>+'[1]שכר רווחה'!P498</f>
        <v>0</v>
      </c>
      <c r="I154" s="694"/>
      <c r="J154" s="474">
        <v>1842600110</v>
      </c>
      <c r="K154" s="682"/>
      <c r="L154" s="684"/>
      <c r="M154" s="684"/>
      <c r="N154" s="684"/>
    </row>
    <row r="155" spans="1:14">
      <c r="A155" s="474" t="s">
        <v>4</v>
      </c>
      <c r="B155" s="474">
        <v>1039712</v>
      </c>
      <c r="C155" s="474">
        <v>110</v>
      </c>
      <c r="D155" s="474">
        <v>842300</v>
      </c>
      <c r="E155" s="647" t="s">
        <v>721</v>
      </c>
      <c r="F155" s="680">
        <v>306000</v>
      </c>
      <c r="G155" s="680">
        <v>306000</v>
      </c>
      <c r="H155" s="681">
        <f>'[1]שכר רווחה'!P472</f>
        <v>0</v>
      </c>
      <c r="I155" s="655" t="s">
        <v>274</v>
      </c>
      <c r="J155" s="692">
        <v>1842300110</v>
      </c>
      <c r="K155" s="682"/>
      <c r="L155" s="474"/>
      <c r="M155" s="474"/>
      <c r="N155" s="474"/>
    </row>
    <row r="156" spans="1:14">
      <c r="A156" s="474" t="s">
        <v>3040</v>
      </c>
      <c r="B156" s="474">
        <v>1039730</v>
      </c>
      <c r="C156" s="474">
        <v>110</v>
      </c>
      <c r="D156" s="474">
        <v>842400</v>
      </c>
      <c r="E156" s="647" t="s">
        <v>722</v>
      </c>
      <c r="F156" s="680">
        <v>1015000</v>
      </c>
      <c r="G156" s="680">
        <v>1015000</v>
      </c>
      <c r="H156" s="681">
        <f>+'[1]שכר רווחה'!P473</f>
        <v>0</v>
      </c>
      <c r="I156" s="655" t="s">
        <v>274</v>
      </c>
      <c r="J156" s="692">
        <v>1842400110</v>
      </c>
      <c r="K156" s="682"/>
      <c r="L156" s="474"/>
      <c r="M156" s="474"/>
      <c r="N156" s="474"/>
    </row>
    <row r="157" spans="1:14" ht="45" hidden="1">
      <c r="A157" s="474"/>
      <c r="B157" s="474">
        <v>1039733</v>
      </c>
      <c r="C157" s="474"/>
      <c r="D157" s="474"/>
      <c r="E157" s="647" t="s">
        <v>3041</v>
      </c>
      <c r="F157" s="680">
        <v>0</v>
      </c>
      <c r="G157" s="680">
        <v>0</v>
      </c>
      <c r="H157" s="681">
        <v>226000</v>
      </c>
      <c r="I157" s="655" t="s">
        <v>3042</v>
      </c>
      <c r="J157" s="692"/>
      <c r="K157" s="682"/>
      <c r="L157" s="474"/>
      <c r="M157" s="474"/>
      <c r="N157" s="474"/>
    </row>
    <row r="158" spans="1:14" hidden="1">
      <c r="A158" s="474"/>
      <c r="B158" s="474" t="s">
        <v>3043</v>
      </c>
      <c r="C158" s="474">
        <v>822</v>
      </c>
      <c r="D158" s="474">
        <v>842400</v>
      </c>
      <c r="E158" s="647" t="s">
        <v>723</v>
      </c>
      <c r="F158" s="680">
        <v>419000</v>
      </c>
      <c r="G158" s="680">
        <v>419000</v>
      </c>
      <c r="H158" s="681">
        <f>12090*12+43218*12+5184*12-H155+[1]הכנסות!H140</f>
        <v>725904</v>
      </c>
      <c r="I158" s="655" t="s">
        <v>3044</v>
      </c>
      <c r="J158" s="692">
        <v>1842400822</v>
      </c>
      <c r="K158" s="682"/>
      <c r="L158" s="474"/>
      <c r="M158" s="474"/>
      <c r="N158" s="474"/>
    </row>
    <row r="159" spans="1:14" ht="75" hidden="1">
      <c r="A159" s="474"/>
      <c r="B159" s="474" t="s">
        <v>3045</v>
      </c>
      <c r="C159" s="474">
        <v>823</v>
      </c>
      <c r="D159" s="474">
        <v>842400</v>
      </c>
      <c r="E159" s="647" t="s">
        <v>122</v>
      </c>
      <c r="F159" s="680">
        <v>108000</v>
      </c>
      <c r="G159" s="680">
        <v>108000</v>
      </c>
      <c r="H159" s="681">
        <f>26316*12+30*617*12-H167+359000</f>
        <v>896912</v>
      </c>
      <c r="I159" s="655" t="s">
        <v>3046</v>
      </c>
      <c r="J159" s="692">
        <v>1842400823</v>
      </c>
      <c r="K159" s="682" t="s">
        <v>3047</v>
      </c>
      <c r="L159" s="474"/>
      <c r="M159" s="474"/>
      <c r="N159" s="474"/>
    </row>
    <row r="160" spans="1:14" ht="15.75" hidden="1">
      <c r="A160" s="687" t="s">
        <v>725</v>
      </c>
      <c r="B160" s="687"/>
      <c r="C160" s="687">
        <v>999</v>
      </c>
      <c r="D160" s="687">
        <v>842000</v>
      </c>
      <c r="E160" s="687"/>
      <c r="F160" s="688">
        <f>SUM(F145:F159)</f>
        <v>4664000</v>
      </c>
      <c r="G160" s="688">
        <f>SUM(G145:G159)</f>
        <v>4560500</v>
      </c>
      <c r="H160" s="688">
        <f>SUM(H145:H159)</f>
        <v>4539294.666666667</v>
      </c>
      <c r="I160" s="689"/>
      <c r="J160" s="695"/>
      <c r="K160" s="682"/>
      <c r="L160" s="474"/>
      <c r="M160" s="474"/>
      <c r="N160" s="474"/>
    </row>
    <row r="161" spans="1:14">
      <c r="A161" s="684" t="s">
        <v>726</v>
      </c>
      <c r="B161" s="474">
        <v>1039440</v>
      </c>
      <c r="C161" s="684">
        <v>110</v>
      </c>
      <c r="D161" s="684">
        <v>843400</v>
      </c>
      <c r="E161" s="696" t="s">
        <v>727</v>
      </c>
      <c r="F161" s="680">
        <v>730000</v>
      </c>
      <c r="G161" s="680">
        <v>730000</v>
      </c>
      <c r="H161" s="681">
        <f>+'[1]ילד בקהילה+תוכנית לאומית'!C197</f>
        <v>0</v>
      </c>
      <c r="I161" s="655" t="s">
        <v>274</v>
      </c>
      <c r="J161" s="697">
        <v>1843400110</v>
      </c>
      <c r="K161" s="682"/>
      <c r="L161" s="474"/>
      <c r="M161" s="474"/>
      <c r="N161" s="474"/>
    </row>
    <row r="162" spans="1:14">
      <c r="A162" s="684" t="s">
        <v>4</v>
      </c>
      <c r="B162" s="474">
        <v>1039442</v>
      </c>
      <c r="C162" s="684">
        <v>110</v>
      </c>
      <c r="D162" s="684">
        <v>843500</v>
      </c>
      <c r="E162" s="696" t="s">
        <v>728</v>
      </c>
      <c r="F162" s="680">
        <v>689000</v>
      </c>
      <c r="G162" s="680">
        <v>689000</v>
      </c>
      <c r="H162" s="681">
        <f>+'[1]שכר רווחה'!P476</f>
        <v>0</v>
      </c>
      <c r="I162" s="655" t="s">
        <v>3048</v>
      </c>
      <c r="J162" s="697">
        <v>1843500110</v>
      </c>
      <c r="K162" s="682"/>
      <c r="L162" s="474"/>
      <c r="M162" s="474"/>
      <c r="N162" s="474"/>
    </row>
    <row r="163" spans="1:14" ht="15.75" hidden="1">
      <c r="A163" s="474"/>
      <c r="B163" s="474">
        <v>1039442</v>
      </c>
      <c r="C163" s="474">
        <v>821</v>
      </c>
      <c r="D163" s="474">
        <v>843500</v>
      </c>
      <c r="E163" s="696" t="s">
        <v>128</v>
      </c>
      <c r="F163" s="680">
        <v>88000</v>
      </c>
      <c r="G163" s="680">
        <v>88000</v>
      </c>
      <c r="H163" s="681">
        <f>100*638*12+50000-H162+400</f>
        <v>816000</v>
      </c>
      <c r="I163" s="655" t="s">
        <v>729</v>
      </c>
      <c r="J163" s="697">
        <v>1843500821</v>
      </c>
      <c r="K163" s="682" t="s">
        <v>3049</v>
      </c>
      <c r="L163" s="698" t="s">
        <v>3050</v>
      </c>
      <c r="M163" s="699"/>
      <c r="N163" s="699"/>
    </row>
    <row r="164" spans="1:14" ht="15.75" hidden="1">
      <c r="A164" s="474"/>
      <c r="B164" s="474"/>
      <c r="C164" s="474">
        <v>822</v>
      </c>
      <c r="D164" s="474">
        <v>843500</v>
      </c>
      <c r="E164" s="647" t="s">
        <v>730</v>
      </c>
      <c r="F164" s="680">
        <v>148000</v>
      </c>
      <c r="G164" s="680">
        <v>148000</v>
      </c>
      <c r="H164" s="681">
        <v>0</v>
      </c>
      <c r="I164" s="655" t="s">
        <v>3051</v>
      </c>
      <c r="J164" s="697">
        <v>1843500822</v>
      </c>
      <c r="K164" s="682"/>
      <c r="L164" s="699"/>
      <c r="M164" s="699"/>
      <c r="N164" s="699"/>
    </row>
    <row r="165" spans="1:14" ht="30" hidden="1">
      <c r="A165" s="474"/>
      <c r="B165" s="474">
        <v>1039440</v>
      </c>
      <c r="C165" s="474">
        <v>823</v>
      </c>
      <c r="D165" s="474">
        <v>843500</v>
      </c>
      <c r="E165" s="647" t="s">
        <v>130</v>
      </c>
      <c r="F165" s="680">
        <v>1147000</v>
      </c>
      <c r="G165" s="680">
        <v>1147000</v>
      </c>
      <c r="H165" s="681">
        <f>+'[1]ילד בקהילה+תוכנית לאומית'!C198+50000</f>
        <v>50000</v>
      </c>
      <c r="I165" s="655" t="s">
        <v>732</v>
      </c>
      <c r="J165" s="697">
        <v>1843500823</v>
      </c>
      <c r="K165" s="682"/>
      <c r="L165" s="474"/>
      <c r="M165" s="474"/>
      <c r="N165" s="474"/>
    </row>
    <row r="166" spans="1:14" hidden="1">
      <c r="A166" s="474"/>
      <c r="B166" s="474"/>
      <c r="C166" s="474">
        <v>825</v>
      </c>
      <c r="D166" s="474">
        <v>843500</v>
      </c>
      <c r="E166" s="647" t="s">
        <v>733</v>
      </c>
      <c r="F166" s="680">
        <v>300000</v>
      </c>
      <c r="G166" s="680">
        <v>300000</v>
      </c>
      <c r="H166" s="681">
        <v>0</v>
      </c>
      <c r="I166" s="655" t="s">
        <v>3051</v>
      </c>
      <c r="J166" s="697">
        <v>1843500825</v>
      </c>
      <c r="K166" s="682"/>
      <c r="L166" s="474"/>
      <c r="M166" s="474"/>
      <c r="N166" s="474"/>
    </row>
    <row r="167" spans="1:14">
      <c r="A167" s="474"/>
      <c r="B167" s="474">
        <v>1039800</v>
      </c>
      <c r="C167" s="474">
        <v>110</v>
      </c>
      <c r="D167" s="474">
        <v>843600</v>
      </c>
      <c r="E167" s="647" t="s">
        <v>735</v>
      </c>
      <c r="F167" s="680">
        <v>90000</v>
      </c>
      <c r="G167" s="680">
        <v>90000</v>
      </c>
      <c r="H167" s="681">
        <f>+'[1]שכר רווחה'!P477</f>
        <v>0</v>
      </c>
      <c r="I167" s="655" t="s">
        <v>274</v>
      </c>
      <c r="J167" s="697">
        <v>1843600110</v>
      </c>
      <c r="K167" s="682"/>
      <c r="L167" s="474"/>
      <c r="M167" s="474"/>
      <c r="N167" s="474"/>
    </row>
    <row r="168" spans="1:14">
      <c r="A168" s="474"/>
      <c r="B168" s="474">
        <v>1038400</v>
      </c>
      <c r="C168" s="474">
        <v>110</v>
      </c>
      <c r="D168" s="474">
        <v>843800</v>
      </c>
      <c r="E168" s="648" t="s">
        <v>737</v>
      </c>
      <c r="F168" s="680">
        <v>399000</v>
      </c>
      <c r="G168" s="680">
        <v>399000</v>
      </c>
      <c r="H168" s="681">
        <f>+'[1]ילד בקהילה+תוכנית לאומית'!B197</f>
        <v>0</v>
      </c>
      <c r="I168" s="655" t="s">
        <v>274</v>
      </c>
      <c r="J168" s="697">
        <v>1843800110</v>
      </c>
      <c r="K168" s="682"/>
      <c r="L168" s="474"/>
      <c r="M168" s="474"/>
      <c r="N168" s="474"/>
    </row>
    <row r="169" spans="1:14" hidden="1">
      <c r="A169" s="474"/>
      <c r="B169" s="474">
        <v>1038410</v>
      </c>
      <c r="C169" s="474">
        <v>820</v>
      </c>
      <c r="D169" s="474">
        <v>843800</v>
      </c>
      <c r="E169" s="647" t="s">
        <v>738</v>
      </c>
      <c r="F169" s="680">
        <v>16547000.007272307</v>
      </c>
      <c r="G169" s="680">
        <v>16120000</v>
      </c>
      <c r="H169" s="681">
        <f>[2]גיליון1!$N$62</f>
        <v>14530650.666666666</v>
      </c>
      <c r="I169" s="655" t="s">
        <v>3052</v>
      </c>
      <c r="J169" s="697">
        <v>1843800820</v>
      </c>
      <c r="K169" s="682"/>
      <c r="L169" s="474"/>
      <c r="M169" s="474"/>
      <c r="N169" s="474"/>
    </row>
    <row r="170" spans="1:14" hidden="1">
      <c r="A170" s="474"/>
      <c r="B170" s="474">
        <v>1038413</v>
      </c>
      <c r="C170" s="474">
        <v>821</v>
      </c>
      <c r="D170" s="474">
        <v>843800</v>
      </c>
      <c r="E170" s="647" t="s">
        <v>739</v>
      </c>
      <c r="F170" s="680">
        <v>1185000</v>
      </c>
      <c r="G170" s="680">
        <v>1185000</v>
      </c>
      <c r="H170" s="681">
        <f>[2]גיליון1!$N$64</f>
        <v>1183724</v>
      </c>
      <c r="I170" s="655" t="s">
        <v>3053</v>
      </c>
      <c r="J170" s="697">
        <v>1843800821</v>
      </c>
      <c r="K170" s="682"/>
      <c r="L170" s="474"/>
      <c r="M170" s="474"/>
      <c r="N170" s="474"/>
    </row>
    <row r="171" spans="1:14" hidden="1">
      <c r="A171" s="474"/>
      <c r="B171" s="474">
        <v>1038400</v>
      </c>
      <c r="C171" s="474">
        <v>823</v>
      </c>
      <c r="D171" s="474">
        <v>843800</v>
      </c>
      <c r="E171" s="648" t="s">
        <v>135</v>
      </c>
      <c r="F171" s="680">
        <v>272000</v>
      </c>
      <c r="G171" s="680">
        <v>272000</v>
      </c>
      <c r="H171" s="681">
        <f>+'[1]ילד בקהילה+תוכנית לאומית'!B198</f>
        <v>0</v>
      </c>
      <c r="I171" s="700" t="s">
        <v>3054</v>
      </c>
      <c r="J171" s="697">
        <v>1843800823</v>
      </c>
      <c r="K171" s="682"/>
      <c r="L171" s="474"/>
      <c r="M171" s="474"/>
      <c r="N171" s="474"/>
    </row>
    <row r="172" spans="1:14">
      <c r="A172" s="474"/>
      <c r="B172" s="474">
        <v>1038404</v>
      </c>
      <c r="C172" s="474">
        <v>110</v>
      </c>
      <c r="D172" s="474">
        <v>843900</v>
      </c>
      <c r="E172" s="647" t="s">
        <v>137</v>
      </c>
      <c r="F172" s="680">
        <v>70000</v>
      </c>
      <c r="G172" s="680">
        <v>70000</v>
      </c>
      <c r="H172" s="681">
        <f>'[1]שכר רווחה'!P479</f>
        <v>0</v>
      </c>
      <c r="I172" s="655" t="s">
        <v>274</v>
      </c>
      <c r="J172" s="697">
        <v>1843900110</v>
      </c>
      <c r="K172" s="682"/>
      <c r="L172" s="474"/>
      <c r="M172" s="474"/>
      <c r="N172" s="474"/>
    </row>
    <row r="173" spans="1:14" ht="15.75" hidden="1">
      <c r="A173" s="474"/>
      <c r="B173" s="474">
        <v>1039010</v>
      </c>
      <c r="C173" s="474">
        <v>820</v>
      </c>
      <c r="D173" s="474">
        <v>843900</v>
      </c>
      <c r="E173" s="701" t="s">
        <v>136</v>
      </c>
      <c r="F173" s="680">
        <v>3900000</v>
      </c>
      <c r="G173" s="680">
        <v>3900000</v>
      </c>
      <c r="H173" s="681">
        <f>[2]גיליון1!$N$65</f>
        <v>4162845.333333333</v>
      </c>
      <c r="I173" s="702" t="s">
        <v>3055</v>
      </c>
      <c r="J173" s="697">
        <v>1843900820</v>
      </c>
      <c r="K173" s="682"/>
      <c r="L173" s="474"/>
      <c r="M173" s="474"/>
      <c r="N173" s="474"/>
    </row>
    <row r="174" spans="1:14" ht="15.75" hidden="1">
      <c r="A174" s="474"/>
      <c r="B174" s="474" t="s">
        <v>3056</v>
      </c>
      <c r="C174" s="474">
        <v>822</v>
      </c>
      <c r="D174" s="474">
        <v>843900</v>
      </c>
      <c r="E174" s="647" t="s">
        <v>138</v>
      </c>
      <c r="F174" s="680">
        <v>151000</v>
      </c>
      <c r="G174" s="680">
        <v>0</v>
      </c>
      <c r="H174" s="681">
        <f>[2]גיליון1!$N$102-H175</f>
        <v>206184</v>
      </c>
      <c r="I174" s="700" t="s">
        <v>736</v>
      </c>
      <c r="J174" s="697">
        <v>1843900822</v>
      </c>
      <c r="K174" s="682"/>
      <c r="L174" s="699"/>
      <c r="M174" s="699"/>
      <c r="N174" s="699"/>
    </row>
    <row r="175" spans="1:14" ht="15.75">
      <c r="A175" s="474"/>
      <c r="B175" s="474" t="s">
        <v>3056</v>
      </c>
      <c r="C175" s="474">
        <v>110</v>
      </c>
      <c r="D175" s="474">
        <v>843700</v>
      </c>
      <c r="E175" s="647" t="s">
        <v>2992</v>
      </c>
      <c r="F175" s="680">
        <v>0</v>
      </c>
      <c r="G175" s="680">
        <v>0</v>
      </c>
      <c r="H175" s="681">
        <f>+'[1]שכר רווחה'!P499</f>
        <v>0</v>
      </c>
      <c r="I175" s="700"/>
      <c r="J175" s="697">
        <v>1843700110</v>
      </c>
      <c r="K175" s="685" t="s">
        <v>3057</v>
      </c>
      <c r="L175" s="699"/>
      <c r="M175" s="699"/>
      <c r="N175" s="699"/>
    </row>
    <row r="176" spans="1:14" ht="30.75" hidden="1">
      <c r="A176" s="474"/>
      <c r="B176" s="474">
        <v>1039483</v>
      </c>
      <c r="C176" s="474">
        <v>823</v>
      </c>
      <c r="D176" s="474">
        <v>843900</v>
      </c>
      <c r="E176" s="647" t="s">
        <v>139</v>
      </c>
      <c r="F176" s="680">
        <v>479999.5</v>
      </c>
      <c r="G176" s="680">
        <v>480000</v>
      </c>
      <c r="H176" s="681">
        <f>[2]גיליון1!$N$77</f>
        <v>459278.66666666663</v>
      </c>
      <c r="I176" s="700" t="s">
        <v>3058</v>
      </c>
      <c r="J176" s="697">
        <v>1843900823</v>
      </c>
      <c r="K176" s="474"/>
      <c r="L176" s="699"/>
      <c r="M176" s="699"/>
      <c r="N176" s="699"/>
    </row>
    <row r="177" spans="1:14" ht="15.75" hidden="1">
      <c r="A177" s="687" t="s">
        <v>742</v>
      </c>
      <c r="B177" s="687"/>
      <c r="C177" s="687">
        <v>999</v>
      </c>
      <c r="D177" s="687">
        <v>843000</v>
      </c>
      <c r="E177" s="687" t="s">
        <v>4</v>
      </c>
      <c r="F177" s="688">
        <f>SUM(F161:F176)</f>
        <v>26195999.507272307</v>
      </c>
      <c r="G177" s="688">
        <f>SUM(G161:G176)</f>
        <v>25618000</v>
      </c>
      <c r="H177" s="688">
        <f>SUM(H161:H176)</f>
        <v>21408682.666666668</v>
      </c>
      <c r="I177" s="689"/>
      <c r="J177" s="695"/>
      <c r="K177" s="567"/>
      <c r="L177" s="474"/>
      <c r="M177" s="474"/>
      <c r="N177" s="474"/>
    </row>
    <row r="178" spans="1:14" hidden="1">
      <c r="A178" s="474" t="s">
        <v>3059</v>
      </c>
      <c r="B178" s="474">
        <v>242410</v>
      </c>
      <c r="C178" s="474">
        <v>820</v>
      </c>
      <c r="D178" s="474">
        <v>844300</v>
      </c>
      <c r="E178" s="647" t="s">
        <v>3060</v>
      </c>
      <c r="F178" s="680">
        <v>5428000</v>
      </c>
      <c r="G178" s="680">
        <v>5428000</v>
      </c>
      <c r="H178" s="681">
        <v>5200000</v>
      </c>
      <c r="I178" s="655" t="s">
        <v>3061</v>
      </c>
      <c r="J178" s="703">
        <v>1844300820</v>
      </c>
      <c r="K178" s="682"/>
      <c r="L178" s="474"/>
      <c r="M178" s="474"/>
      <c r="N178" s="474"/>
    </row>
    <row r="179" spans="1:14" ht="30" hidden="1">
      <c r="A179" s="474"/>
      <c r="B179" s="474">
        <v>243414</v>
      </c>
      <c r="C179" s="474">
        <v>821</v>
      </c>
      <c r="D179" s="474">
        <v>844300</v>
      </c>
      <c r="E179" s="647" t="s">
        <v>144</v>
      </c>
      <c r="F179" s="680">
        <v>194000</v>
      </c>
      <c r="G179" s="680">
        <v>194000</v>
      </c>
      <c r="H179" s="681">
        <v>0</v>
      </c>
      <c r="I179" s="655" t="s">
        <v>3062</v>
      </c>
      <c r="J179" s="703">
        <v>1844300821</v>
      </c>
      <c r="K179" s="682"/>
      <c r="L179" s="474"/>
      <c r="M179" s="474"/>
      <c r="N179" s="474"/>
    </row>
    <row r="180" spans="1:14" hidden="1">
      <c r="A180" s="474"/>
      <c r="B180" s="474">
        <v>243417</v>
      </c>
      <c r="C180" s="474">
        <v>822</v>
      </c>
      <c r="D180" s="474">
        <v>844300</v>
      </c>
      <c r="E180" s="647" t="s">
        <v>3009</v>
      </c>
      <c r="F180" s="680">
        <v>40000</v>
      </c>
      <c r="G180" s="680">
        <v>40000</v>
      </c>
      <c r="H180" s="681">
        <f>+'[1]מימון חלקי'!G201</f>
        <v>0</v>
      </c>
      <c r="I180" s="691" t="s">
        <v>720</v>
      </c>
      <c r="J180" s="703">
        <v>1844300822</v>
      </c>
      <c r="K180" s="682"/>
      <c r="L180" s="474"/>
      <c r="M180" s="474"/>
      <c r="N180" s="474"/>
    </row>
    <row r="181" spans="1:14" ht="30" hidden="1">
      <c r="A181" s="474"/>
      <c r="B181" s="474">
        <v>243412</v>
      </c>
      <c r="C181" s="474">
        <v>820</v>
      </c>
      <c r="D181" s="474">
        <v>844400</v>
      </c>
      <c r="E181" s="704" t="s">
        <v>145</v>
      </c>
      <c r="F181" s="680">
        <v>607000</v>
      </c>
      <c r="G181" s="680">
        <v>0</v>
      </c>
      <c r="H181" s="681">
        <v>0</v>
      </c>
      <c r="I181" s="655" t="s">
        <v>3063</v>
      </c>
      <c r="J181" s="705" t="s">
        <v>3064</v>
      </c>
      <c r="K181" s="682"/>
      <c r="L181" s="474"/>
      <c r="M181" s="474"/>
      <c r="N181" s="474"/>
    </row>
    <row r="182" spans="1:14" hidden="1">
      <c r="A182" s="474"/>
      <c r="B182" s="474">
        <v>243420</v>
      </c>
      <c r="C182" s="474">
        <v>825</v>
      </c>
      <c r="D182" s="474">
        <v>844400</v>
      </c>
      <c r="E182" s="647" t="s">
        <v>749</v>
      </c>
      <c r="F182" s="680">
        <v>162000</v>
      </c>
      <c r="G182" s="680">
        <v>162000</v>
      </c>
      <c r="H182" s="681">
        <v>0</v>
      </c>
      <c r="I182" s="655" t="s">
        <v>3065</v>
      </c>
      <c r="J182" s="703">
        <v>1844400825</v>
      </c>
      <c r="K182" s="682"/>
      <c r="L182" s="474"/>
      <c r="M182" s="474"/>
      <c r="N182" s="474"/>
    </row>
    <row r="183" spans="1:14" ht="30" hidden="1">
      <c r="A183" s="474"/>
      <c r="B183" s="474">
        <v>243411</v>
      </c>
      <c r="C183" s="474">
        <v>826</v>
      </c>
      <c r="D183" s="474">
        <v>844400</v>
      </c>
      <c r="E183" s="647" t="s">
        <v>149</v>
      </c>
      <c r="F183" s="680">
        <v>607000</v>
      </c>
      <c r="G183" s="680">
        <v>0</v>
      </c>
      <c r="H183" s="681">
        <v>0</v>
      </c>
      <c r="I183" s="655" t="s">
        <v>3062</v>
      </c>
      <c r="J183" s="705">
        <v>1844400826</v>
      </c>
      <c r="K183" s="682"/>
      <c r="L183" s="474"/>
      <c r="M183" s="474"/>
      <c r="N183" s="474"/>
    </row>
    <row r="184" spans="1:14" ht="30" hidden="1">
      <c r="A184" s="474"/>
      <c r="B184" s="474">
        <v>243415</v>
      </c>
      <c r="C184" s="474">
        <v>821</v>
      </c>
      <c r="D184" s="474">
        <v>844400</v>
      </c>
      <c r="E184" s="647" t="s">
        <v>3007</v>
      </c>
      <c r="F184" s="680">
        <v>231000</v>
      </c>
      <c r="G184" s="680">
        <v>0</v>
      </c>
      <c r="H184" s="681">
        <f>171698+70486-184</f>
        <v>242000</v>
      </c>
      <c r="I184" s="655" t="s">
        <v>3066</v>
      </c>
      <c r="J184" s="705" t="s">
        <v>3067</v>
      </c>
      <c r="K184" s="682"/>
      <c r="L184" s="474"/>
      <c r="M184" s="474"/>
      <c r="N184" s="474"/>
    </row>
    <row r="185" spans="1:14" ht="30" hidden="1">
      <c r="A185" s="474"/>
      <c r="B185" s="657" t="s">
        <v>3068</v>
      </c>
      <c r="C185" s="474">
        <v>822</v>
      </c>
      <c r="D185" s="474">
        <v>844400</v>
      </c>
      <c r="E185" s="647" t="s">
        <v>3069</v>
      </c>
      <c r="F185" s="680">
        <v>458000</v>
      </c>
      <c r="G185" s="680">
        <v>458000</v>
      </c>
      <c r="H185" s="681">
        <v>286000</v>
      </c>
      <c r="I185" s="655" t="s">
        <v>3070</v>
      </c>
      <c r="J185" s="474">
        <v>1844400822</v>
      </c>
      <c r="K185" s="682"/>
      <c r="L185" s="474"/>
      <c r="M185" s="474"/>
      <c r="N185" s="474"/>
    </row>
    <row r="186" spans="1:14" ht="45" hidden="1">
      <c r="A186" s="474" t="s">
        <v>4</v>
      </c>
      <c r="B186" s="657">
        <v>243430</v>
      </c>
      <c r="C186" s="474">
        <v>823</v>
      </c>
      <c r="D186" s="474">
        <v>844400</v>
      </c>
      <c r="E186" s="648" t="s">
        <v>150</v>
      </c>
      <c r="F186" s="680">
        <v>1249000</v>
      </c>
      <c r="G186" s="680">
        <v>0</v>
      </c>
      <c r="H186" s="681">
        <v>130000</v>
      </c>
      <c r="I186" s="691" t="s">
        <v>3071</v>
      </c>
      <c r="J186" s="705" t="s">
        <v>3072</v>
      </c>
      <c r="K186" s="682"/>
      <c r="L186" s="474"/>
      <c r="M186" s="474"/>
      <c r="N186" s="474"/>
    </row>
    <row r="187" spans="1:14" ht="30" hidden="1">
      <c r="A187" s="474"/>
      <c r="B187" s="657" t="s">
        <v>3011</v>
      </c>
      <c r="C187" s="474">
        <v>827</v>
      </c>
      <c r="D187" s="474">
        <v>844400</v>
      </c>
      <c r="E187" s="648" t="s">
        <v>1515</v>
      </c>
      <c r="F187" s="680">
        <v>276000</v>
      </c>
      <c r="G187" s="680">
        <v>0</v>
      </c>
      <c r="H187" s="681">
        <v>0</v>
      </c>
      <c r="I187" s="691" t="s">
        <v>3073</v>
      </c>
      <c r="J187" s="705" t="s">
        <v>3074</v>
      </c>
      <c r="K187" s="682"/>
      <c r="L187" s="474"/>
      <c r="M187" s="474"/>
      <c r="N187" s="474"/>
    </row>
    <row r="188" spans="1:14" ht="30" hidden="1">
      <c r="A188" s="474" t="s">
        <v>4</v>
      </c>
      <c r="B188" s="474">
        <v>243410</v>
      </c>
      <c r="C188" s="474">
        <v>810</v>
      </c>
      <c r="D188" s="474">
        <v>844500</v>
      </c>
      <c r="E188" s="474" t="s">
        <v>2366</v>
      </c>
      <c r="F188" s="680">
        <v>1000000</v>
      </c>
      <c r="G188" s="680">
        <v>1000000</v>
      </c>
      <c r="H188" s="681">
        <v>0</v>
      </c>
      <c r="I188" s="655" t="s">
        <v>3062</v>
      </c>
      <c r="J188" s="706">
        <v>1844500810</v>
      </c>
      <c r="K188" s="682"/>
      <c r="L188" s="474"/>
      <c r="M188" s="474"/>
      <c r="N188" s="474"/>
    </row>
    <row r="189" spans="1:14" ht="45" hidden="1">
      <c r="A189" s="474"/>
      <c r="B189" s="474">
        <v>243419</v>
      </c>
      <c r="C189" s="474"/>
      <c r="D189" s="474"/>
      <c r="E189" s="647" t="s">
        <v>3012</v>
      </c>
      <c r="F189" s="680">
        <v>0</v>
      </c>
      <c r="G189" s="680">
        <v>0</v>
      </c>
      <c r="H189" s="681">
        <f>23000*12+105*745*12+51000*12+300</f>
        <v>1827000</v>
      </c>
      <c r="I189" s="655" t="s">
        <v>3075</v>
      </c>
      <c r="J189" s="706"/>
      <c r="K189" s="682"/>
      <c r="L189" s="474"/>
      <c r="M189" s="474"/>
      <c r="N189" s="474"/>
    </row>
    <row r="190" spans="1:14" ht="30" hidden="1">
      <c r="A190" s="474"/>
      <c r="B190" s="474">
        <v>243438</v>
      </c>
      <c r="C190" s="474"/>
      <c r="D190" s="474"/>
      <c r="E190" s="648" t="s">
        <v>3013</v>
      </c>
      <c r="F190" s="680">
        <v>0</v>
      </c>
      <c r="G190" s="680">
        <v>0</v>
      </c>
      <c r="H190" s="681">
        <f>133000*12</f>
        <v>1596000</v>
      </c>
      <c r="I190" s="655" t="s">
        <v>3076</v>
      </c>
      <c r="J190" s="706"/>
      <c r="K190" s="682"/>
      <c r="L190" s="474"/>
      <c r="M190" s="474"/>
      <c r="N190" s="474"/>
    </row>
    <row r="191" spans="1:14" ht="60" hidden="1">
      <c r="A191" s="474"/>
      <c r="B191" s="474"/>
      <c r="C191" s="474"/>
      <c r="D191" s="474"/>
      <c r="E191" s="474" t="s">
        <v>3014</v>
      </c>
      <c r="F191" s="680"/>
      <c r="G191" s="680"/>
      <c r="H191" s="681">
        <f>480000+276000+79188+40000-188</f>
        <v>875000</v>
      </c>
      <c r="I191" s="655" t="s">
        <v>3077</v>
      </c>
      <c r="J191" s="706"/>
      <c r="K191" s="682"/>
      <c r="L191" s="474"/>
      <c r="M191" s="474"/>
      <c r="N191" s="474"/>
    </row>
    <row r="192" spans="1:14" ht="15.75" hidden="1">
      <c r="A192" s="687" t="s">
        <v>3078</v>
      </c>
      <c r="B192" s="687"/>
      <c r="C192" s="687">
        <v>999</v>
      </c>
      <c r="D192" s="687">
        <v>844000</v>
      </c>
      <c r="E192" s="687"/>
      <c r="F192" s="688">
        <f>SUM(F178:F190)</f>
        <v>10252000</v>
      </c>
      <c r="G192" s="688">
        <f>SUM(G178:G190)</f>
        <v>7282000</v>
      </c>
      <c r="H192" s="688">
        <f>SUM(H178:H191)</f>
        <v>10156000</v>
      </c>
      <c r="I192" s="689"/>
      <c r="J192" s="707"/>
      <c r="K192" s="567"/>
      <c r="L192" s="474"/>
      <c r="M192" s="474"/>
      <c r="N192" s="474"/>
    </row>
    <row r="193" spans="1:14" hidden="1">
      <c r="A193" s="474" t="s">
        <v>754</v>
      </c>
      <c r="B193" s="474">
        <v>721030</v>
      </c>
      <c r="C193" s="474">
        <v>820</v>
      </c>
      <c r="D193" s="474">
        <v>845100</v>
      </c>
      <c r="E193" s="701" t="s">
        <v>153</v>
      </c>
      <c r="F193" s="680">
        <v>22502000</v>
      </c>
      <c r="G193" s="680">
        <v>22502000</v>
      </c>
      <c r="H193" s="681">
        <v>21980162</v>
      </c>
      <c r="I193" s="693"/>
      <c r="J193" s="474">
        <v>1845100820</v>
      </c>
      <c r="K193" s="685" t="s">
        <v>3079</v>
      </c>
      <c r="L193" s="474"/>
      <c r="M193" s="474"/>
      <c r="N193" s="474"/>
    </row>
    <row r="194" spans="1:14" ht="30" hidden="1">
      <c r="A194" s="474"/>
      <c r="B194" s="474">
        <v>721060</v>
      </c>
      <c r="C194" s="474">
        <v>821</v>
      </c>
      <c r="D194" s="474">
        <v>845100</v>
      </c>
      <c r="E194" s="701" t="s">
        <v>154</v>
      </c>
      <c r="F194" s="680">
        <v>4170000.1818181816</v>
      </c>
      <c r="G194" s="680">
        <v>4170000</v>
      </c>
      <c r="H194" s="681">
        <f>[2]גיליון1!$N$29</f>
        <v>3972501.333333333</v>
      </c>
      <c r="I194" s="655" t="s">
        <v>755</v>
      </c>
      <c r="J194" s="697">
        <v>1845100821</v>
      </c>
      <c r="K194" s="474"/>
      <c r="L194" s="474"/>
      <c r="M194" s="474"/>
      <c r="N194" s="474"/>
    </row>
    <row r="195" spans="1:14" hidden="1">
      <c r="A195" s="474"/>
      <c r="B195" s="474">
        <v>721020</v>
      </c>
      <c r="C195" s="474">
        <v>821</v>
      </c>
      <c r="D195" s="474">
        <v>845101</v>
      </c>
      <c r="E195" s="648" t="s">
        <v>160</v>
      </c>
      <c r="F195" s="680">
        <v>8107000</v>
      </c>
      <c r="G195" s="680">
        <v>8107000</v>
      </c>
      <c r="H195" s="681">
        <f>[2]גיליון1!$N$24</f>
        <v>8735387</v>
      </c>
      <c r="I195" s="691" t="s">
        <v>3080</v>
      </c>
      <c r="J195" s="697">
        <v>1845101821</v>
      </c>
      <c r="K195" s="474"/>
      <c r="L195" s="474"/>
      <c r="M195" s="474"/>
      <c r="N195" s="474"/>
    </row>
    <row r="196" spans="1:14" hidden="1">
      <c r="A196" s="474"/>
      <c r="B196" s="474">
        <v>721040</v>
      </c>
      <c r="C196" s="474">
        <v>822</v>
      </c>
      <c r="D196" s="474">
        <v>845101</v>
      </c>
      <c r="E196" s="701" t="s">
        <v>159</v>
      </c>
      <c r="F196" s="680">
        <v>79000</v>
      </c>
      <c r="G196" s="680">
        <v>79000</v>
      </c>
      <c r="H196" s="681">
        <f>[2]גיליון1!$N$26</f>
        <v>62713.333333333336</v>
      </c>
      <c r="I196" s="655" t="s">
        <v>3081</v>
      </c>
      <c r="J196" s="697">
        <v>1845101822</v>
      </c>
      <c r="K196" s="474"/>
      <c r="L196" s="474"/>
      <c r="M196" s="474"/>
      <c r="N196" s="474"/>
    </row>
    <row r="197" spans="1:14" ht="30" hidden="1">
      <c r="A197" s="474"/>
      <c r="B197" s="474">
        <v>722041</v>
      </c>
      <c r="C197" s="474">
        <v>820</v>
      </c>
      <c r="D197" s="474">
        <v>845200</v>
      </c>
      <c r="E197" s="701" t="s">
        <v>155</v>
      </c>
      <c r="F197" s="680">
        <v>600000</v>
      </c>
      <c r="G197" s="680">
        <v>600000</v>
      </c>
      <c r="H197" s="681">
        <f>18*2776*12+384</f>
        <v>600000</v>
      </c>
      <c r="I197" s="655" t="s">
        <v>756</v>
      </c>
      <c r="J197" s="697">
        <v>1845200820</v>
      </c>
      <c r="K197" s="474"/>
      <c r="L197" s="474"/>
      <c r="M197" s="474"/>
      <c r="N197" s="474"/>
    </row>
    <row r="198" spans="1:14" ht="180.75" hidden="1">
      <c r="A198" s="474"/>
      <c r="B198" s="474">
        <v>722014</v>
      </c>
      <c r="C198" s="474">
        <v>821</v>
      </c>
      <c r="D198" s="474">
        <v>845200</v>
      </c>
      <c r="E198" s="701" t="s">
        <v>757</v>
      </c>
      <c r="F198" s="680">
        <v>1409000</v>
      </c>
      <c r="G198" s="680">
        <v>1409000</v>
      </c>
      <c r="H198" s="681">
        <f>[2]גיליון1!$P$31+[2]גיליון1!$P$35</f>
        <v>699310.66666666674</v>
      </c>
      <c r="I198" s="655" t="s">
        <v>3082</v>
      </c>
      <c r="J198" s="697">
        <v>1845200821</v>
      </c>
      <c r="K198" s="708" t="s">
        <v>3083</v>
      </c>
      <c r="L198" s="699"/>
      <c r="M198" s="699"/>
      <c r="N198" s="699"/>
    </row>
    <row r="199" spans="1:14" ht="30" hidden="1">
      <c r="A199" s="474"/>
      <c r="B199" s="474">
        <v>722041</v>
      </c>
      <c r="C199" s="474">
        <v>822</v>
      </c>
      <c r="D199" s="474">
        <v>845200</v>
      </c>
      <c r="E199" s="701" t="s">
        <v>156</v>
      </c>
      <c r="F199" s="680">
        <v>2162000.3636363638</v>
      </c>
      <c r="G199" s="680">
        <v>2162000</v>
      </c>
      <c r="H199" s="681">
        <f>[2]גיליון1!$N$38</f>
        <v>3273916</v>
      </c>
      <c r="I199" s="709" t="s">
        <v>3084</v>
      </c>
      <c r="J199" s="697">
        <v>1845200822</v>
      </c>
      <c r="K199" s="685" t="s">
        <v>3085</v>
      </c>
      <c r="L199" s="474"/>
      <c r="M199" s="474"/>
      <c r="N199" s="474"/>
    </row>
    <row r="200" spans="1:14" hidden="1">
      <c r="A200" s="474"/>
      <c r="B200" s="474">
        <v>722040</v>
      </c>
      <c r="C200" s="474">
        <v>824</v>
      </c>
      <c r="D200" s="474">
        <v>845200</v>
      </c>
      <c r="E200" s="701" t="s">
        <v>758</v>
      </c>
      <c r="F200" s="680">
        <v>27000</v>
      </c>
      <c r="G200" s="680">
        <v>27000</v>
      </c>
      <c r="H200" s="681">
        <f>[2]גיליון1!$P$37</f>
        <v>31001.333333333332</v>
      </c>
      <c r="I200" s="655" t="s">
        <v>4</v>
      </c>
      <c r="J200" s="697">
        <v>1845200824</v>
      </c>
      <c r="K200" s="685" t="s">
        <v>3086</v>
      </c>
      <c r="L200" s="474"/>
      <c r="M200" s="474"/>
      <c r="N200" s="474"/>
    </row>
    <row r="201" spans="1:14" hidden="1">
      <c r="A201" s="474"/>
      <c r="B201" s="474">
        <v>722225</v>
      </c>
      <c r="C201" s="474">
        <v>825</v>
      </c>
      <c r="D201" s="474">
        <v>845200</v>
      </c>
      <c r="E201" s="647" t="s">
        <v>163</v>
      </c>
      <c r="F201" s="680">
        <v>800000</v>
      </c>
      <c r="G201" s="680">
        <v>800000</v>
      </c>
      <c r="H201" s="681">
        <f>[2]גיליון1!$P$54</f>
        <v>659354.66666666663</v>
      </c>
      <c r="I201" s="655" t="s">
        <v>4</v>
      </c>
      <c r="J201" s="697">
        <v>1845200825</v>
      </c>
      <c r="K201" s="685" t="s">
        <v>3087</v>
      </c>
      <c r="L201" s="474"/>
      <c r="M201" s="474"/>
      <c r="N201" s="474"/>
    </row>
    <row r="202" spans="1:14" hidden="1">
      <c r="A202" s="474"/>
      <c r="B202" s="474">
        <v>722061</v>
      </c>
      <c r="C202" s="474">
        <v>826</v>
      </c>
      <c r="D202" s="474">
        <v>845200</v>
      </c>
      <c r="E202" s="647" t="s">
        <v>2183</v>
      </c>
      <c r="F202" s="680">
        <v>15000</v>
      </c>
      <c r="G202" s="680">
        <v>15000</v>
      </c>
      <c r="H202" s="681">
        <f>[2]גיליון1!$P$41</f>
        <v>12917.333333333332</v>
      </c>
      <c r="I202" s="655"/>
      <c r="J202" s="697">
        <v>1845200826</v>
      </c>
      <c r="K202" s="685" t="s">
        <v>3088</v>
      </c>
      <c r="L202" s="474"/>
      <c r="M202" s="474"/>
      <c r="N202" s="474"/>
    </row>
    <row r="203" spans="1:14" hidden="1">
      <c r="A203" s="474"/>
      <c r="B203" s="474">
        <v>722217</v>
      </c>
      <c r="C203" s="474">
        <v>828</v>
      </c>
      <c r="D203" s="474">
        <v>845200</v>
      </c>
      <c r="E203" s="647" t="s">
        <v>165</v>
      </c>
      <c r="F203" s="680">
        <v>40000</v>
      </c>
      <c r="G203" s="680">
        <v>40000</v>
      </c>
      <c r="H203" s="681">
        <f>350*11*12+800</f>
        <v>47000</v>
      </c>
      <c r="I203" s="655"/>
      <c r="J203" s="697">
        <v>1845200828</v>
      </c>
      <c r="K203" s="685" t="s">
        <v>3089</v>
      </c>
      <c r="L203" s="474"/>
      <c r="M203" s="474"/>
      <c r="N203" s="474"/>
    </row>
    <row r="204" spans="1:14" hidden="1">
      <c r="A204" s="474"/>
      <c r="B204" s="474">
        <v>722216</v>
      </c>
      <c r="C204" s="474">
        <v>829</v>
      </c>
      <c r="D204" s="474">
        <v>845200</v>
      </c>
      <c r="E204" s="647" t="s">
        <v>760</v>
      </c>
      <c r="F204" s="680">
        <v>164000.42857142858</v>
      </c>
      <c r="G204" s="680">
        <v>164000</v>
      </c>
      <c r="H204" s="681">
        <f>[2]גיליון1!$P$48</f>
        <v>219832</v>
      </c>
      <c r="I204" s="655"/>
      <c r="J204" s="697">
        <v>1845200829</v>
      </c>
      <c r="K204" s="474"/>
      <c r="L204" s="474"/>
      <c r="M204" s="474"/>
      <c r="N204" s="474"/>
    </row>
    <row r="205" spans="1:14">
      <c r="A205" s="474" t="s">
        <v>761</v>
      </c>
      <c r="B205" s="474"/>
      <c r="C205" s="474">
        <v>110</v>
      </c>
      <c r="D205" s="474">
        <v>845400</v>
      </c>
      <c r="E205" s="647" t="s">
        <v>762</v>
      </c>
      <c r="F205" s="680">
        <v>2126000</v>
      </c>
      <c r="G205" s="680">
        <v>2126000</v>
      </c>
      <c r="H205" s="681">
        <f>+'[1]שכר רווחה'!P480</f>
        <v>0</v>
      </c>
      <c r="I205" s="655" t="s">
        <v>274</v>
      </c>
      <c r="J205" s="697">
        <v>1845400110</v>
      </c>
      <c r="K205" s="474"/>
      <c r="L205" s="474"/>
      <c r="M205" s="474"/>
      <c r="N205" s="474"/>
    </row>
    <row r="206" spans="1:14" hidden="1">
      <c r="A206" s="474"/>
      <c r="B206" s="710"/>
      <c r="C206" s="474">
        <v>420</v>
      </c>
      <c r="D206" s="474">
        <v>845400</v>
      </c>
      <c r="E206" s="647" t="s">
        <v>763</v>
      </c>
      <c r="F206" s="680">
        <v>45000</v>
      </c>
      <c r="G206" s="680">
        <v>45000</v>
      </c>
      <c r="H206" s="681">
        <f>+'[1]מע"ש + גל אור'!F147</f>
        <v>0</v>
      </c>
      <c r="I206" s="655" t="s">
        <v>764</v>
      </c>
      <c r="J206" s="697">
        <v>1845400420</v>
      </c>
      <c r="K206" s="474"/>
      <c r="L206" s="474"/>
      <c r="M206" s="474"/>
      <c r="N206" s="474"/>
    </row>
    <row r="207" spans="1:14" hidden="1">
      <c r="A207" s="474"/>
      <c r="B207" s="710"/>
      <c r="C207" s="474">
        <v>530</v>
      </c>
      <c r="D207" s="474">
        <v>845400</v>
      </c>
      <c r="E207" s="647" t="s">
        <v>277</v>
      </c>
      <c r="F207" s="680">
        <v>70000</v>
      </c>
      <c r="G207" s="680">
        <v>70000</v>
      </c>
      <c r="H207" s="681">
        <f>+'[1]מע"ש + גל אור'!F148</f>
        <v>0</v>
      </c>
      <c r="I207" s="655" t="s">
        <v>3090</v>
      </c>
      <c r="J207" s="697">
        <v>1845400530</v>
      </c>
      <c r="K207" s="684"/>
      <c r="L207" s="684"/>
      <c r="M207" s="684"/>
      <c r="N207" s="684"/>
    </row>
    <row r="208" spans="1:14" hidden="1">
      <c r="A208" s="711"/>
      <c r="B208" s="710"/>
      <c r="C208" s="474">
        <v>720</v>
      </c>
      <c r="D208" s="474">
        <v>845400</v>
      </c>
      <c r="E208" s="647" t="s">
        <v>400</v>
      </c>
      <c r="F208" s="680">
        <v>100000</v>
      </c>
      <c r="G208" s="680">
        <v>100000</v>
      </c>
      <c r="H208" s="681">
        <f>+'[1]מע"ש + גל אור'!F149</f>
        <v>0</v>
      </c>
      <c r="I208" s="655" t="s">
        <v>765</v>
      </c>
      <c r="J208" s="697">
        <v>1845400720</v>
      </c>
      <c r="K208" s="474"/>
      <c r="L208" s="474"/>
      <c r="M208" s="474"/>
      <c r="N208" s="474"/>
    </row>
    <row r="209" spans="1:14" hidden="1">
      <c r="A209" s="474"/>
      <c r="B209" s="710">
        <v>722041</v>
      </c>
      <c r="C209" s="474">
        <v>780</v>
      </c>
      <c r="D209" s="474">
        <v>845400</v>
      </c>
      <c r="E209" s="647" t="s">
        <v>280</v>
      </c>
      <c r="F209" s="680">
        <v>1729999.666666667</v>
      </c>
      <c r="G209" s="680">
        <v>1730000</v>
      </c>
      <c r="H209" s="681">
        <f>+'[1]מע"ש + גל אור'!F150+447</f>
        <v>447</v>
      </c>
      <c r="I209" s="655" t="s">
        <v>766</v>
      </c>
      <c r="J209" s="697">
        <v>1845400780</v>
      </c>
      <c r="K209" s="711"/>
      <c r="L209" s="474"/>
      <c r="M209" s="474"/>
      <c r="N209" s="474"/>
    </row>
    <row r="210" spans="1:14" hidden="1">
      <c r="A210" s="474"/>
      <c r="B210" s="710"/>
      <c r="C210" s="474">
        <v>781</v>
      </c>
      <c r="D210" s="474">
        <v>845400</v>
      </c>
      <c r="E210" s="647" t="s">
        <v>767</v>
      </c>
      <c r="F210" s="680">
        <v>400000</v>
      </c>
      <c r="G210" s="680">
        <v>400000</v>
      </c>
      <c r="H210" s="681">
        <f>+'[1]מע"ש + גל אור'!F151</f>
        <v>0</v>
      </c>
      <c r="I210" s="655" t="s">
        <v>768</v>
      </c>
      <c r="J210" s="697">
        <v>1845400781</v>
      </c>
      <c r="K210" s="474"/>
      <c r="L210" s="474"/>
      <c r="M210" s="474"/>
      <c r="N210" s="474"/>
    </row>
    <row r="211" spans="1:14" hidden="1">
      <c r="A211" s="474" t="s">
        <v>4</v>
      </c>
      <c r="B211" s="710">
        <v>722042</v>
      </c>
      <c r="C211" s="474">
        <v>820</v>
      </c>
      <c r="D211" s="474">
        <v>845400</v>
      </c>
      <c r="E211" s="647" t="s">
        <v>769</v>
      </c>
      <c r="F211" s="680">
        <v>307000</v>
      </c>
      <c r="G211" s="680">
        <v>307000</v>
      </c>
      <c r="H211" s="681">
        <f>+'[1]מע"ש + גל אור'!F152-360</f>
        <v>-360</v>
      </c>
      <c r="I211" s="655" t="s">
        <v>4</v>
      </c>
      <c r="J211" s="697">
        <v>1845400820</v>
      </c>
      <c r="K211" s="474"/>
      <c r="L211" s="474"/>
      <c r="M211" s="474"/>
      <c r="N211" s="474"/>
    </row>
    <row r="212" spans="1:14" ht="30" hidden="1">
      <c r="A212" s="474"/>
      <c r="B212" s="710">
        <v>722215</v>
      </c>
      <c r="C212" s="474">
        <v>822</v>
      </c>
      <c r="D212" s="474">
        <v>845400</v>
      </c>
      <c r="E212" s="647" t="s">
        <v>169</v>
      </c>
      <c r="F212" s="680">
        <v>913000.38799999992</v>
      </c>
      <c r="G212" s="680">
        <v>913000</v>
      </c>
      <c r="H212" s="681">
        <f>+[1]הסעות!C145-194</f>
        <v>-194</v>
      </c>
      <c r="I212" s="655" t="s">
        <v>3091</v>
      </c>
      <c r="J212" s="697">
        <v>1845400822</v>
      </c>
      <c r="K212" s="474"/>
      <c r="L212" s="474"/>
      <c r="M212" s="474"/>
      <c r="N212" s="474"/>
    </row>
    <row r="213" spans="1:14" ht="30" hidden="1">
      <c r="A213" s="474"/>
      <c r="B213" s="710">
        <v>722212</v>
      </c>
      <c r="C213" s="474">
        <v>823</v>
      </c>
      <c r="D213" s="474">
        <v>845400</v>
      </c>
      <c r="E213" s="647" t="s">
        <v>771</v>
      </c>
      <c r="F213" s="680">
        <v>97000</v>
      </c>
      <c r="G213" s="680">
        <v>97000</v>
      </c>
      <c r="H213" s="681">
        <v>0</v>
      </c>
      <c r="I213" s="655" t="s">
        <v>3092</v>
      </c>
      <c r="J213" s="697">
        <v>1845400823</v>
      </c>
      <c r="K213" s="474"/>
      <c r="L213" s="474"/>
      <c r="M213" s="474"/>
      <c r="N213" s="474"/>
    </row>
    <row r="214" spans="1:14" ht="15.75" hidden="1">
      <c r="A214" s="687" t="s">
        <v>772</v>
      </c>
      <c r="B214" s="687"/>
      <c r="C214" s="687">
        <v>999</v>
      </c>
      <c r="D214" s="687">
        <v>845000</v>
      </c>
      <c r="E214" s="687" t="s">
        <v>4</v>
      </c>
      <c r="F214" s="688">
        <f>SUM(F193:F213)</f>
        <v>45863001.028692633</v>
      </c>
      <c r="G214" s="688">
        <f>SUM(G193:G213)</f>
        <v>45863000</v>
      </c>
      <c r="H214" s="688">
        <f>SUM(H193:H213)-1</f>
        <v>40293987.666666664</v>
      </c>
      <c r="I214" s="689"/>
      <c r="J214" s="474"/>
      <c r="K214" s="567"/>
      <c r="L214" s="474"/>
      <c r="M214" s="474"/>
      <c r="N214" s="474"/>
    </row>
    <row r="215" spans="1:14">
      <c r="A215" s="474" t="s">
        <v>773</v>
      </c>
      <c r="B215" s="474"/>
      <c r="C215" s="474">
        <v>110</v>
      </c>
      <c r="D215" s="474">
        <v>846300</v>
      </c>
      <c r="E215" s="647" t="s">
        <v>774</v>
      </c>
      <c r="F215" s="680">
        <v>70000</v>
      </c>
      <c r="G215" s="680">
        <v>70000</v>
      </c>
      <c r="H215" s="681">
        <f>+'[1]שכר רווחה'!P491</f>
        <v>0</v>
      </c>
      <c r="I215" s="655" t="s">
        <v>274</v>
      </c>
      <c r="J215" s="697">
        <v>1846300110</v>
      </c>
      <c r="K215" s="474"/>
      <c r="L215" s="474"/>
      <c r="M215" s="474"/>
      <c r="N215" s="474"/>
    </row>
    <row r="216" spans="1:14" ht="30" hidden="1">
      <c r="A216" s="474"/>
      <c r="B216" s="474"/>
      <c r="C216" s="474">
        <v>820</v>
      </c>
      <c r="D216" s="474">
        <v>846300</v>
      </c>
      <c r="E216" s="647" t="s">
        <v>174</v>
      </c>
      <c r="F216" s="680">
        <v>48000</v>
      </c>
      <c r="G216" s="680">
        <v>48000</v>
      </c>
      <c r="H216" s="681">
        <v>0</v>
      </c>
      <c r="I216" s="655" t="s">
        <v>3093</v>
      </c>
      <c r="J216" s="697">
        <v>1846300820</v>
      </c>
      <c r="K216" s="474"/>
      <c r="L216" s="474"/>
      <c r="M216" s="474"/>
      <c r="N216" s="474"/>
    </row>
    <row r="217" spans="1:14" hidden="1">
      <c r="A217" s="474"/>
      <c r="B217" s="474">
        <v>722710</v>
      </c>
      <c r="C217" s="474">
        <v>822</v>
      </c>
      <c r="D217" s="474">
        <v>846300</v>
      </c>
      <c r="E217" s="647" t="s">
        <v>175</v>
      </c>
      <c r="F217" s="680">
        <v>105000</v>
      </c>
      <c r="G217" s="680">
        <v>105000</v>
      </c>
      <c r="H217" s="681">
        <f>[2]גיליון1!$P$57</f>
        <v>128484</v>
      </c>
      <c r="I217" s="655" t="s">
        <v>776</v>
      </c>
      <c r="J217" s="697">
        <v>1846300822</v>
      </c>
      <c r="K217" s="685" t="s">
        <v>3094</v>
      </c>
      <c r="L217" s="474"/>
      <c r="M217" s="474"/>
      <c r="N217" s="474"/>
    </row>
    <row r="218" spans="1:14" hidden="1">
      <c r="A218" s="474"/>
      <c r="B218" s="474">
        <v>722013</v>
      </c>
      <c r="C218" s="474">
        <v>823</v>
      </c>
      <c r="D218" s="474">
        <v>846300</v>
      </c>
      <c r="E218" s="647" t="s">
        <v>777</v>
      </c>
      <c r="F218" s="680">
        <v>20000</v>
      </c>
      <c r="G218" s="680">
        <v>20000</v>
      </c>
      <c r="H218" s="681">
        <v>20000</v>
      </c>
      <c r="I218" s="655"/>
      <c r="J218" s="697">
        <v>1846300823</v>
      </c>
      <c r="K218" s="685" t="s">
        <v>3095</v>
      </c>
      <c r="L218" s="474"/>
      <c r="M218" s="474"/>
      <c r="N218" s="474"/>
    </row>
    <row r="219" spans="1:14" hidden="1">
      <c r="A219" s="474"/>
      <c r="B219" s="474">
        <v>722221</v>
      </c>
      <c r="C219" s="474">
        <v>822</v>
      </c>
      <c r="D219" s="474">
        <v>846400</v>
      </c>
      <c r="E219" s="647" t="s">
        <v>176</v>
      </c>
      <c r="F219" s="680">
        <v>310000</v>
      </c>
      <c r="G219" s="680">
        <v>310000</v>
      </c>
      <c r="H219" s="681">
        <f>[2]גיליון1!$P$51</f>
        <v>179494.66666666666</v>
      </c>
      <c r="I219" s="655" t="s">
        <v>778</v>
      </c>
      <c r="J219" s="697">
        <v>1846400822</v>
      </c>
      <c r="K219" s="474"/>
      <c r="L219" s="474"/>
      <c r="M219" s="474"/>
      <c r="N219" s="474"/>
    </row>
    <row r="220" spans="1:14" ht="45" hidden="1">
      <c r="A220" s="474"/>
      <c r="B220" s="474" t="s">
        <v>3096</v>
      </c>
      <c r="C220" s="474">
        <v>820</v>
      </c>
      <c r="D220" s="474">
        <v>846500</v>
      </c>
      <c r="E220" s="647" t="s">
        <v>178</v>
      </c>
      <c r="F220" s="680">
        <v>6921000.0999999996</v>
      </c>
      <c r="G220" s="680">
        <v>7521000</v>
      </c>
      <c r="H220" s="681">
        <f>+G220+612386/47.01*12*12</f>
        <v>9396847.3516273126</v>
      </c>
      <c r="I220" s="693" t="s">
        <v>3097</v>
      </c>
      <c r="J220" s="697">
        <v>1846500820</v>
      </c>
      <c r="K220" s="712" t="s">
        <v>3098</v>
      </c>
      <c r="L220" s="474"/>
      <c r="M220" s="474"/>
      <c r="N220" s="474"/>
    </row>
    <row r="221" spans="1:14" hidden="1">
      <c r="A221" s="474"/>
      <c r="B221" s="474">
        <v>721050</v>
      </c>
      <c r="C221" s="474">
        <v>821</v>
      </c>
      <c r="D221" s="474">
        <v>846500</v>
      </c>
      <c r="E221" s="647" t="s">
        <v>179</v>
      </c>
      <c r="F221" s="680">
        <v>153000</v>
      </c>
      <c r="G221" s="680">
        <v>153000</v>
      </c>
      <c r="H221" s="681">
        <f>[2]גיליון1!$P$28</f>
        <v>118752</v>
      </c>
      <c r="I221" s="655" t="s">
        <v>779</v>
      </c>
      <c r="J221" s="697">
        <v>1846500821</v>
      </c>
      <c r="K221" s="685" t="s">
        <v>3099</v>
      </c>
      <c r="L221" s="474"/>
      <c r="M221" s="474"/>
      <c r="N221" s="474"/>
    </row>
    <row r="222" spans="1:14" hidden="1">
      <c r="A222" s="474"/>
      <c r="B222" s="474">
        <v>721011</v>
      </c>
      <c r="C222" s="474">
        <v>822</v>
      </c>
      <c r="D222" s="474">
        <v>846500</v>
      </c>
      <c r="E222" s="647" t="s">
        <v>177</v>
      </c>
      <c r="F222" s="680">
        <v>215000</v>
      </c>
      <c r="G222" s="680">
        <v>215000</v>
      </c>
      <c r="H222" s="681">
        <f>[2]גיליון1!$P$22</f>
        <v>198078</v>
      </c>
      <c r="I222" s="655" t="s">
        <v>780</v>
      </c>
      <c r="J222" s="697">
        <v>1846500822</v>
      </c>
      <c r="K222" s="685" t="s">
        <v>3100</v>
      </c>
      <c r="L222" s="474"/>
      <c r="M222" s="474"/>
      <c r="N222" s="474"/>
    </row>
    <row r="223" spans="1:14" hidden="1">
      <c r="A223" s="474" t="s">
        <v>4</v>
      </c>
      <c r="B223" s="474">
        <v>721041</v>
      </c>
      <c r="C223" s="474">
        <v>825</v>
      </c>
      <c r="D223" s="474">
        <v>846500</v>
      </c>
      <c r="E223" s="647" t="s">
        <v>739</v>
      </c>
      <c r="F223" s="680">
        <v>43000</v>
      </c>
      <c r="G223" s="680">
        <v>43000</v>
      </c>
      <c r="H223" s="681">
        <f>[2]גיליון1!$P$27</f>
        <v>41522.666666666664</v>
      </c>
      <c r="I223" s="655" t="s">
        <v>781</v>
      </c>
      <c r="J223" s="697">
        <v>1846500825</v>
      </c>
      <c r="K223" s="474"/>
      <c r="L223" s="474"/>
      <c r="M223" s="474"/>
      <c r="N223" s="474"/>
    </row>
    <row r="224" spans="1:14" ht="30.75" hidden="1">
      <c r="A224" s="474"/>
      <c r="B224" s="474">
        <v>722220</v>
      </c>
      <c r="C224" s="474">
        <v>820</v>
      </c>
      <c r="D224" s="474">
        <v>846600</v>
      </c>
      <c r="E224" s="647" t="s">
        <v>186</v>
      </c>
      <c r="F224" s="680">
        <v>500000</v>
      </c>
      <c r="G224" s="680">
        <v>500000</v>
      </c>
      <c r="H224" s="681">
        <f>[2]גיליון1!$P$50</f>
        <v>429776</v>
      </c>
      <c r="I224" s="655" t="s">
        <v>3101</v>
      </c>
      <c r="J224" s="697">
        <v>1846600820</v>
      </c>
      <c r="K224" s="685" t="s">
        <v>3102</v>
      </c>
      <c r="L224" s="699"/>
      <c r="M224" s="699"/>
      <c r="N224" s="699"/>
    </row>
    <row r="225" spans="1:14" ht="30" hidden="1">
      <c r="A225" s="474"/>
      <c r="B225" s="474">
        <v>722030</v>
      </c>
      <c r="C225" s="474">
        <v>821</v>
      </c>
      <c r="D225" s="474">
        <v>846600</v>
      </c>
      <c r="E225" s="647" t="s">
        <v>782</v>
      </c>
      <c r="F225" s="680">
        <v>210000</v>
      </c>
      <c r="G225" s="680">
        <v>210000</v>
      </c>
      <c r="H225" s="681">
        <f>[2]גיליון1!$P$36</f>
        <v>86446.666666666657</v>
      </c>
      <c r="I225" s="713" t="s">
        <v>3103</v>
      </c>
      <c r="J225" s="697">
        <v>1846600821</v>
      </c>
      <c r="K225" s="474"/>
      <c r="L225" s="474"/>
      <c r="M225" s="474"/>
      <c r="N225" s="474"/>
    </row>
    <row r="226" spans="1:14" ht="15.75" hidden="1">
      <c r="A226" s="474"/>
      <c r="B226" s="474">
        <v>722021</v>
      </c>
      <c r="C226" s="474">
        <v>822</v>
      </c>
      <c r="D226" s="474">
        <v>846600</v>
      </c>
      <c r="E226" s="701" t="s">
        <v>181</v>
      </c>
      <c r="F226" s="680">
        <v>899999.59999999986</v>
      </c>
      <c r="G226" s="680">
        <v>900000</v>
      </c>
      <c r="H226" s="681">
        <f>+[1]הסעות!C165-355</f>
        <v>-355</v>
      </c>
      <c r="I226" s="702" t="s">
        <v>784</v>
      </c>
      <c r="J226" s="697">
        <v>1846600822</v>
      </c>
      <c r="K226" s="474"/>
      <c r="L226" s="474"/>
      <c r="M226" s="474"/>
      <c r="N226" s="474"/>
    </row>
    <row r="227" spans="1:14" ht="15.75">
      <c r="A227" s="474"/>
      <c r="B227" s="474">
        <v>722022</v>
      </c>
      <c r="C227" s="474">
        <v>110</v>
      </c>
      <c r="D227" s="474">
        <v>846600</v>
      </c>
      <c r="E227" s="654" t="s">
        <v>182</v>
      </c>
      <c r="F227" s="680">
        <v>1149000</v>
      </c>
      <c r="G227" s="680">
        <v>1149000</v>
      </c>
      <c r="H227" s="681">
        <f>+'[1]שכר רווחה'!P481</f>
        <v>0</v>
      </c>
      <c r="I227" s="702" t="s">
        <v>3104</v>
      </c>
      <c r="J227" s="697">
        <v>1846600110</v>
      </c>
      <c r="K227" s="474"/>
      <c r="L227" s="474"/>
      <c r="M227" s="474"/>
      <c r="N227" s="474"/>
    </row>
    <row r="228" spans="1:14" hidden="1">
      <c r="A228" s="474"/>
      <c r="B228" s="474">
        <v>722060</v>
      </c>
      <c r="C228" s="474">
        <v>824</v>
      </c>
      <c r="D228" s="474">
        <v>846600</v>
      </c>
      <c r="E228" s="647" t="s">
        <v>3105</v>
      </c>
      <c r="F228" s="680">
        <v>60000</v>
      </c>
      <c r="G228" s="680">
        <v>60000</v>
      </c>
      <c r="H228" s="681">
        <f>[2]גיליון1!$P$40</f>
        <v>31948</v>
      </c>
      <c r="I228" s="655" t="s">
        <v>3106</v>
      </c>
      <c r="J228" s="697">
        <v>1846600824</v>
      </c>
      <c r="K228" s="474"/>
      <c r="L228" s="474"/>
      <c r="M228" s="474"/>
      <c r="N228" s="474"/>
    </row>
    <row r="229" spans="1:14" hidden="1">
      <c r="A229" s="474"/>
      <c r="B229" s="474">
        <v>722020</v>
      </c>
      <c r="C229" s="474">
        <v>826</v>
      </c>
      <c r="D229" s="474">
        <v>846600</v>
      </c>
      <c r="E229" s="701" t="s">
        <v>785</v>
      </c>
      <c r="F229" s="680">
        <v>3000000</v>
      </c>
      <c r="G229" s="680">
        <v>3000000</v>
      </c>
      <c r="H229" s="681">
        <f>[2]גיליון1!$P$32</f>
        <v>2431066.6666666665</v>
      </c>
      <c r="I229" s="655" t="s">
        <v>3107</v>
      </c>
      <c r="J229" s="697">
        <v>1846600826</v>
      </c>
      <c r="K229" s="474"/>
      <c r="L229" s="474"/>
      <c r="M229" s="474"/>
      <c r="N229" s="474"/>
    </row>
    <row r="230" spans="1:14" hidden="1">
      <c r="A230" s="474"/>
      <c r="B230" s="474">
        <v>722224</v>
      </c>
      <c r="C230" s="474">
        <v>827</v>
      </c>
      <c r="D230" s="474">
        <v>846600</v>
      </c>
      <c r="E230" s="647" t="s">
        <v>185</v>
      </c>
      <c r="F230" s="680">
        <v>297000</v>
      </c>
      <c r="G230" s="680">
        <v>297000</v>
      </c>
      <c r="H230" s="681">
        <f>[2]גיליון1!$P$53</f>
        <v>236433.33333333331</v>
      </c>
      <c r="I230" s="691" t="s">
        <v>3108</v>
      </c>
      <c r="J230" s="697">
        <v>1846600827</v>
      </c>
      <c r="K230" s="685" t="s">
        <v>3109</v>
      </c>
      <c r="L230" s="474"/>
      <c r="M230" s="474"/>
      <c r="N230" s="474"/>
    </row>
    <row r="231" spans="1:14">
      <c r="A231" s="474"/>
      <c r="B231" s="474"/>
      <c r="C231" s="474">
        <v>110</v>
      </c>
      <c r="D231" s="474">
        <v>846700</v>
      </c>
      <c r="E231" s="647" t="s">
        <v>787</v>
      </c>
      <c r="F231" s="680">
        <v>337000</v>
      </c>
      <c r="G231" s="680">
        <v>337000</v>
      </c>
      <c r="H231" s="681">
        <f>'[1]שכר רווחה'!P482</f>
        <v>0</v>
      </c>
      <c r="I231" s="655" t="s">
        <v>274</v>
      </c>
      <c r="J231" s="697">
        <v>1846700110</v>
      </c>
      <c r="K231" s="474"/>
      <c r="L231" s="474"/>
      <c r="M231" s="474"/>
      <c r="N231" s="474"/>
    </row>
    <row r="232" spans="1:14" ht="45" hidden="1">
      <c r="A232" s="474"/>
      <c r="B232" s="474">
        <v>722010</v>
      </c>
      <c r="C232" s="474">
        <v>820</v>
      </c>
      <c r="D232" s="474">
        <v>846700</v>
      </c>
      <c r="E232" s="701" t="s">
        <v>187</v>
      </c>
      <c r="F232" s="680">
        <v>124000</v>
      </c>
      <c r="G232" s="680">
        <v>124000</v>
      </c>
      <c r="H232" s="681">
        <f>[2]גיליון1!$P$30</f>
        <v>124752</v>
      </c>
      <c r="I232" s="655" t="s">
        <v>3110</v>
      </c>
      <c r="J232" s="697">
        <v>1846700820</v>
      </c>
      <c r="K232" s="474"/>
      <c r="L232" s="474"/>
      <c r="M232" s="474"/>
      <c r="N232" s="474"/>
    </row>
    <row r="233" spans="1:14" hidden="1">
      <c r="A233" s="474"/>
      <c r="B233" s="474">
        <v>722211</v>
      </c>
      <c r="C233" s="474">
        <v>822</v>
      </c>
      <c r="D233" s="474">
        <v>846700</v>
      </c>
      <c r="E233" s="647" t="s">
        <v>188</v>
      </c>
      <c r="F233" s="680">
        <v>45000</v>
      </c>
      <c r="G233" s="680">
        <v>45000</v>
      </c>
      <c r="H233" s="681">
        <f>+G233</f>
        <v>45000</v>
      </c>
      <c r="I233" s="714" t="s">
        <v>789</v>
      </c>
      <c r="J233" s="697">
        <v>1846700822</v>
      </c>
      <c r="K233" s="474"/>
      <c r="L233" s="474"/>
      <c r="M233" s="474"/>
      <c r="N233" s="474"/>
    </row>
    <row r="234" spans="1:14" hidden="1">
      <c r="A234" s="474"/>
      <c r="B234" s="474">
        <v>722223</v>
      </c>
      <c r="C234" s="474">
        <v>820</v>
      </c>
      <c r="D234" s="474">
        <v>846800</v>
      </c>
      <c r="E234" s="647" t="s">
        <v>190</v>
      </c>
      <c r="F234" s="680">
        <v>70000</v>
      </c>
      <c r="G234" s="680">
        <v>70000</v>
      </c>
      <c r="H234" s="681">
        <f>[2]גיליון1!$P$52+30000</f>
        <v>71761.333333333343</v>
      </c>
      <c r="I234" s="655" t="s">
        <v>790</v>
      </c>
      <c r="J234" s="697">
        <v>1846800820</v>
      </c>
      <c r="K234" s="685" t="s">
        <v>3111</v>
      </c>
      <c r="L234" s="474"/>
      <c r="M234" s="474"/>
      <c r="N234" s="474"/>
    </row>
    <row r="235" spans="1:14" ht="45.75" hidden="1">
      <c r="A235" s="474"/>
      <c r="B235" s="474" t="s">
        <v>3112</v>
      </c>
      <c r="C235" s="474">
        <v>821</v>
      </c>
      <c r="D235" s="474">
        <v>846800</v>
      </c>
      <c r="E235" s="647" t="s">
        <v>3113</v>
      </c>
      <c r="F235" s="680">
        <v>70000</v>
      </c>
      <c r="G235" s="680">
        <v>70000</v>
      </c>
      <c r="H235" s="681">
        <f>70000+[1]הסעות!C167</f>
        <v>70000</v>
      </c>
      <c r="I235" s="655" t="s">
        <v>3114</v>
      </c>
      <c r="J235" s="697">
        <v>1846800821</v>
      </c>
      <c r="K235" s="685" t="s">
        <v>3115</v>
      </c>
      <c r="L235" s="699"/>
      <c r="M235" s="699"/>
      <c r="N235" s="699"/>
    </row>
    <row r="236" spans="1:14" ht="15.75" hidden="1">
      <c r="A236" s="474"/>
      <c r="B236" s="474">
        <v>722214</v>
      </c>
      <c r="C236" s="474">
        <v>822</v>
      </c>
      <c r="D236" s="474">
        <v>846800</v>
      </c>
      <c r="E236" s="647" t="s">
        <v>192</v>
      </c>
      <c r="F236" s="680">
        <v>80000</v>
      </c>
      <c r="G236" s="680">
        <v>80000</v>
      </c>
      <c r="H236" s="681">
        <f>[2]גיליון1!$P$46</f>
        <v>49866.666666666672</v>
      </c>
      <c r="I236" s="655" t="s">
        <v>792</v>
      </c>
      <c r="J236" s="697">
        <v>1846800822</v>
      </c>
      <c r="K236" s="474"/>
      <c r="L236" s="699"/>
      <c r="M236" s="699"/>
      <c r="N236" s="699"/>
    </row>
    <row r="237" spans="1:14" ht="45.75" hidden="1">
      <c r="A237" s="474"/>
      <c r="B237" s="474" t="s">
        <v>3112</v>
      </c>
      <c r="C237" s="474">
        <v>824</v>
      </c>
      <c r="D237" s="474">
        <v>846800</v>
      </c>
      <c r="E237" s="647" t="s">
        <v>793</v>
      </c>
      <c r="F237" s="680">
        <v>113000</v>
      </c>
      <c r="G237" s="680">
        <v>113000</v>
      </c>
      <c r="H237" s="681">
        <f>(20*271+350*29+15*350)*12-H215</f>
        <v>249840</v>
      </c>
      <c r="I237" s="714" t="s">
        <v>3116</v>
      </c>
      <c r="J237" s="697">
        <v>1846800824</v>
      </c>
      <c r="K237" s="685" t="s">
        <v>3117</v>
      </c>
      <c r="L237" s="699"/>
      <c r="M237" s="699"/>
      <c r="N237" s="699"/>
    </row>
    <row r="238" spans="1:14" ht="30.75" hidden="1">
      <c r="A238" s="711"/>
      <c r="B238" s="659">
        <v>722670</v>
      </c>
      <c r="C238" s="474">
        <v>825</v>
      </c>
      <c r="D238" s="474">
        <v>846800</v>
      </c>
      <c r="E238" s="647" t="s">
        <v>3118</v>
      </c>
      <c r="F238" s="680">
        <v>215000</v>
      </c>
      <c r="G238" s="680">
        <v>215000</v>
      </c>
      <c r="H238" s="681">
        <f>60*431*12-H239-320</f>
        <v>310000</v>
      </c>
      <c r="I238" s="714" t="s">
        <v>3119</v>
      </c>
      <c r="J238" s="697">
        <v>1846800825</v>
      </c>
      <c r="K238" s="474"/>
      <c r="L238" s="699"/>
      <c r="M238" s="699"/>
      <c r="N238" s="699"/>
    </row>
    <row r="239" spans="1:14" ht="15.75">
      <c r="A239" s="474"/>
      <c r="B239" s="659">
        <v>722670</v>
      </c>
      <c r="C239" s="474">
        <v>110</v>
      </c>
      <c r="D239" s="474">
        <v>846800</v>
      </c>
      <c r="E239" s="647" t="s">
        <v>794</v>
      </c>
      <c r="F239" s="680">
        <v>150000</v>
      </c>
      <c r="G239" s="680">
        <v>150000</v>
      </c>
      <c r="H239" s="681">
        <f>+'[1]שכר רווחה'!P470</f>
        <v>0</v>
      </c>
      <c r="I239" s="714" t="s">
        <v>3120</v>
      </c>
      <c r="J239" s="697">
        <v>1846800110</v>
      </c>
      <c r="K239" s="474"/>
      <c r="L239" s="699"/>
      <c r="M239" s="699"/>
      <c r="N239" s="699"/>
    </row>
    <row r="240" spans="1:14" ht="15.75" hidden="1">
      <c r="A240" s="687" t="s">
        <v>795</v>
      </c>
      <c r="B240" s="687"/>
      <c r="C240" s="687">
        <v>999</v>
      </c>
      <c r="D240" s="687">
        <v>846000</v>
      </c>
      <c r="E240" s="687" t="s">
        <v>4</v>
      </c>
      <c r="F240" s="688">
        <f>SUM(F215:F239)</f>
        <v>15204999.699999999</v>
      </c>
      <c r="G240" s="688">
        <f>SUM(G215:G239)</f>
        <v>15805000</v>
      </c>
      <c r="H240" s="688">
        <f>SUM(H215:H239)+1</f>
        <v>14219715.351627311</v>
      </c>
      <c r="I240" s="689"/>
      <c r="J240" s="659"/>
      <c r="K240" s="567"/>
      <c r="L240" s="474"/>
      <c r="M240" s="474"/>
      <c r="N240" s="474"/>
    </row>
    <row r="241" spans="1:14">
      <c r="A241" s="474" t="s">
        <v>796</v>
      </c>
      <c r="B241" s="474">
        <v>1175324</v>
      </c>
      <c r="C241" s="474">
        <v>110</v>
      </c>
      <c r="D241" s="474">
        <v>847100</v>
      </c>
      <c r="E241" s="647" t="s">
        <v>797</v>
      </c>
      <c r="F241" s="680">
        <v>228000</v>
      </c>
      <c r="G241" s="680">
        <v>197000</v>
      </c>
      <c r="H241" s="681">
        <f>+'[1]שכר רווחה'!P483</f>
        <v>0</v>
      </c>
      <c r="I241" s="655" t="s">
        <v>274</v>
      </c>
      <c r="J241" s="659">
        <v>1847100110</v>
      </c>
      <c r="K241" s="474"/>
      <c r="L241" s="474"/>
      <c r="M241" s="474"/>
      <c r="N241" s="474"/>
    </row>
    <row r="242" spans="1:14" ht="45" hidden="1">
      <c r="A242" s="474" t="s">
        <v>4</v>
      </c>
      <c r="B242" s="474">
        <v>1175324</v>
      </c>
      <c r="C242" s="474">
        <v>821</v>
      </c>
      <c r="D242" s="474">
        <v>847100</v>
      </c>
      <c r="E242" s="647" t="s">
        <v>196</v>
      </c>
      <c r="F242" s="680">
        <v>21000</v>
      </c>
      <c r="G242" s="680">
        <v>52000</v>
      </c>
      <c r="H242" s="681">
        <f>15*1302*12+9*938*12-H241-H172+336</f>
        <v>336000</v>
      </c>
      <c r="I242" s="655" t="s">
        <v>3121</v>
      </c>
      <c r="J242" s="659">
        <v>1847100821</v>
      </c>
      <c r="K242" s="474"/>
      <c r="L242" s="474"/>
      <c r="M242" s="474"/>
      <c r="N242" s="474"/>
    </row>
    <row r="243" spans="1:14" ht="30" hidden="1">
      <c r="A243" s="711"/>
      <c r="B243" s="474">
        <v>1038100</v>
      </c>
      <c r="C243" s="474">
        <v>825</v>
      </c>
      <c r="D243" s="474">
        <v>847100</v>
      </c>
      <c r="E243" s="647" t="s">
        <v>197</v>
      </c>
      <c r="F243" s="680">
        <v>1416000</v>
      </c>
      <c r="G243" s="680">
        <v>1416000</v>
      </c>
      <c r="H243" s="681">
        <f>[2]גיליון1!$P$58-108</f>
        <v>979000</v>
      </c>
      <c r="I243" s="655" t="s">
        <v>798</v>
      </c>
      <c r="J243" s="659">
        <v>1847100825</v>
      </c>
      <c r="K243" s="474"/>
      <c r="L243" s="474"/>
      <c r="M243" s="474"/>
      <c r="N243" s="474"/>
    </row>
    <row r="244" spans="1:14" hidden="1">
      <c r="A244" s="474"/>
      <c r="B244" s="474">
        <v>1175321</v>
      </c>
      <c r="C244" s="474">
        <v>826</v>
      </c>
      <c r="D244" s="474">
        <v>847100</v>
      </c>
      <c r="E244" s="647" t="s">
        <v>3122</v>
      </c>
      <c r="F244" s="680">
        <v>60000</v>
      </c>
      <c r="G244" s="680">
        <v>60000</v>
      </c>
      <c r="H244" s="681">
        <f>+F244</f>
        <v>60000</v>
      </c>
      <c r="I244" s="655" t="s">
        <v>3123</v>
      </c>
      <c r="J244" s="659">
        <v>1847100826</v>
      </c>
      <c r="K244" s="474"/>
      <c r="L244" s="474"/>
      <c r="M244" s="474"/>
      <c r="N244" s="474"/>
    </row>
    <row r="245" spans="1:14" hidden="1">
      <c r="A245" s="474"/>
      <c r="B245" s="474">
        <v>1175320</v>
      </c>
      <c r="C245" s="474">
        <v>822</v>
      </c>
      <c r="D245" s="474">
        <v>847100</v>
      </c>
      <c r="E245" s="647" t="s">
        <v>3124</v>
      </c>
      <c r="F245" s="680">
        <v>25000</v>
      </c>
      <c r="G245" s="680">
        <v>0</v>
      </c>
      <c r="H245" s="681">
        <f>+F245</f>
        <v>25000</v>
      </c>
      <c r="I245" s="655" t="s">
        <v>3125</v>
      </c>
      <c r="J245" s="659"/>
      <c r="K245" s="474"/>
      <c r="L245" s="474"/>
      <c r="M245" s="474"/>
      <c r="N245" s="474"/>
    </row>
    <row r="246" spans="1:14">
      <c r="A246" s="684"/>
      <c r="B246" s="684"/>
      <c r="C246" s="474">
        <v>110</v>
      </c>
      <c r="D246" s="474">
        <v>847200</v>
      </c>
      <c r="E246" s="647" t="s">
        <v>199</v>
      </c>
      <c r="F246" s="680">
        <v>164000</v>
      </c>
      <c r="G246" s="680">
        <v>164000</v>
      </c>
      <c r="H246" s="681">
        <f>'[1]שכר רווחה'!P484</f>
        <v>0</v>
      </c>
      <c r="I246" s="655" t="s">
        <v>274</v>
      </c>
      <c r="J246" s="659">
        <v>1847200110</v>
      </c>
      <c r="K246" s="474"/>
      <c r="L246" s="474"/>
      <c r="M246" s="474"/>
      <c r="N246" s="474"/>
    </row>
    <row r="247" spans="1:14" ht="90" hidden="1">
      <c r="A247" s="474"/>
      <c r="B247" s="474">
        <v>1175062</v>
      </c>
      <c r="C247" s="474">
        <v>814</v>
      </c>
      <c r="D247" s="474">
        <v>847300</v>
      </c>
      <c r="E247" s="715" t="s">
        <v>2214</v>
      </c>
      <c r="F247" s="680">
        <v>240000</v>
      </c>
      <c r="G247" s="680">
        <v>0</v>
      </c>
      <c r="H247" s="681">
        <f>144000+192000+288000</f>
        <v>624000</v>
      </c>
      <c r="I247" s="691" t="s">
        <v>3126</v>
      </c>
      <c r="J247" s="659">
        <v>1847300814</v>
      </c>
      <c r="K247" s="474"/>
      <c r="L247" s="474"/>
      <c r="M247" s="474"/>
      <c r="N247" s="474"/>
    </row>
    <row r="248" spans="1:14" hidden="1">
      <c r="A248" s="474"/>
      <c r="B248" s="474" t="s">
        <v>3127</v>
      </c>
      <c r="C248" s="474">
        <v>813</v>
      </c>
      <c r="D248" s="474">
        <v>847300</v>
      </c>
      <c r="E248" s="647" t="s">
        <v>799</v>
      </c>
      <c r="F248" s="680">
        <v>123000</v>
      </c>
      <c r="G248" s="680">
        <v>123000</v>
      </c>
      <c r="H248" s="681">
        <v>0</v>
      </c>
      <c r="I248" s="655" t="s">
        <v>3128</v>
      </c>
      <c r="J248" s="659">
        <v>1847300813</v>
      </c>
      <c r="K248" s="474"/>
      <c r="L248" s="474"/>
      <c r="M248" s="474"/>
      <c r="N248" s="474"/>
    </row>
    <row r="249" spans="1:14">
      <c r="A249" s="474"/>
      <c r="B249" s="474"/>
      <c r="C249" s="474">
        <v>110</v>
      </c>
      <c r="D249" s="474">
        <v>847300</v>
      </c>
      <c r="E249" s="647" t="s">
        <v>2213</v>
      </c>
      <c r="F249" s="680">
        <v>65000</v>
      </c>
      <c r="G249" s="680">
        <v>0</v>
      </c>
      <c r="H249" s="681">
        <f>+'[1]שכר רווחה'!P378</f>
        <v>0</v>
      </c>
      <c r="I249" s="655" t="s">
        <v>3128</v>
      </c>
      <c r="J249" s="659"/>
      <c r="K249" s="474"/>
      <c r="L249" s="474"/>
      <c r="M249" s="474"/>
      <c r="N249" s="474"/>
    </row>
    <row r="250" spans="1:14" hidden="1">
      <c r="A250" s="474"/>
      <c r="B250" s="474">
        <v>1175410</v>
      </c>
      <c r="C250" s="474">
        <v>822</v>
      </c>
      <c r="D250" s="474">
        <v>847300</v>
      </c>
      <c r="E250" s="647" t="s">
        <v>803</v>
      </c>
      <c r="F250" s="680">
        <v>30000</v>
      </c>
      <c r="G250" s="680">
        <v>30000</v>
      </c>
      <c r="H250" s="681">
        <f>[2]גיליון1!$P$107</f>
        <v>34676</v>
      </c>
      <c r="I250" s="655" t="s">
        <v>3129</v>
      </c>
      <c r="J250" s="659">
        <v>1847300822</v>
      </c>
      <c r="K250" s="474"/>
      <c r="L250" s="474"/>
      <c r="M250" s="474"/>
      <c r="N250" s="474"/>
    </row>
    <row r="251" spans="1:14">
      <c r="A251" s="474"/>
      <c r="B251" s="474">
        <v>1175323</v>
      </c>
      <c r="C251" s="474">
        <v>110</v>
      </c>
      <c r="D251" s="474">
        <v>847400</v>
      </c>
      <c r="E251" s="647" t="s">
        <v>3130</v>
      </c>
      <c r="F251" s="680">
        <v>148000</v>
      </c>
      <c r="G251" s="680">
        <v>148000</v>
      </c>
      <c r="H251" s="681">
        <f>'[1]שכר רווחה'!P485</f>
        <v>0</v>
      </c>
      <c r="I251" s="655" t="s">
        <v>3131</v>
      </c>
      <c r="J251" s="659">
        <v>1847400110</v>
      </c>
      <c r="K251" s="685" t="s">
        <v>3132</v>
      </c>
      <c r="L251" s="474"/>
      <c r="M251" s="474"/>
      <c r="N251" s="474"/>
    </row>
    <row r="252" spans="1:14" hidden="1">
      <c r="A252" s="474"/>
      <c r="B252" s="474">
        <v>1175411</v>
      </c>
      <c r="C252" s="474">
        <v>821</v>
      </c>
      <c r="D252" s="474">
        <v>847400</v>
      </c>
      <c r="E252" s="647">
        <f>+'[1]מימון חלקי'!D212</f>
        <v>0</v>
      </c>
      <c r="F252" s="680">
        <v>322000</v>
      </c>
      <c r="G252" s="680">
        <v>362000</v>
      </c>
      <c r="H252" s="681">
        <f>65*2157*12-H258+60000</f>
        <v>1742460</v>
      </c>
      <c r="I252" s="714" t="s">
        <v>3133</v>
      </c>
      <c r="J252" s="659">
        <v>1847400821</v>
      </c>
      <c r="K252" s="474"/>
      <c r="L252" s="474"/>
      <c r="M252" s="474"/>
      <c r="N252" s="474"/>
    </row>
    <row r="253" spans="1:14" ht="30" hidden="1">
      <c r="A253" s="474"/>
      <c r="B253" s="474">
        <v>1175200</v>
      </c>
      <c r="C253" s="474">
        <v>822</v>
      </c>
      <c r="D253" s="474">
        <v>847400</v>
      </c>
      <c r="E253" s="648" t="s">
        <v>205</v>
      </c>
      <c r="F253" s="680">
        <v>151000</v>
      </c>
      <c r="G253" s="680">
        <v>151000</v>
      </c>
      <c r="H253" s="681">
        <f>[2]גיליון1!$P$96</f>
        <v>58614.666666666672</v>
      </c>
      <c r="I253" s="691" t="s">
        <v>3134</v>
      </c>
      <c r="J253" s="659">
        <v>1847400822</v>
      </c>
      <c r="K253" s="474"/>
      <c r="L253" s="474"/>
      <c r="M253" s="474"/>
      <c r="N253" s="474"/>
    </row>
    <row r="254" spans="1:14" hidden="1">
      <c r="A254" s="474"/>
      <c r="B254" s="474">
        <v>1175340</v>
      </c>
      <c r="C254" s="474">
        <v>823</v>
      </c>
      <c r="D254" s="474">
        <v>847400</v>
      </c>
      <c r="E254" s="647" t="s">
        <v>202</v>
      </c>
      <c r="F254" s="680">
        <v>74000</v>
      </c>
      <c r="G254" s="680">
        <v>74000</v>
      </c>
      <c r="H254" s="681">
        <f>25*967*12-H255</f>
        <v>290100</v>
      </c>
      <c r="I254" s="655"/>
      <c r="J254" s="659">
        <v>1847400823</v>
      </c>
      <c r="K254" s="474"/>
      <c r="L254" s="474"/>
      <c r="M254" s="474"/>
      <c r="N254" s="474"/>
    </row>
    <row r="255" spans="1:14">
      <c r="A255" s="474"/>
      <c r="B255" s="474">
        <v>1175340</v>
      </c>
      <c r="C255" s="474">
        <v>110</v>
      </c>
      <c r="D255" s="474">
        <v>847420</v>
      </c>
      <c r="E255" s="647" t="s">
        <v>806</v>
      </c>
      <c r="F255" s="680">
        <v>201000</v>
      </c>
      <c r="G255" s="680">
        <v>201000</v>
      </c>
      <c r="H255" s="681">
        <f>'[1]שכר רווחה'!P492</f>
        <v>0</v>
      </c>
      <c r="I255" s="655"/>
      <c r="J255" s="659">
        <v>1847420110</v>
      </c>
      <c r="K255" s="474"/>
      <c r="L255" s="474"/>
      <c r="M255" s="474"/>
      <c r="N255" s="474"/>
    </row>
    <row r="256" spans="1:14">
      <c r="A256" s="474"/>
      <c r="B256" s="474"/>
      <c r="C256" s="474">
        <v>110</v>
      </c>
      <c r="D256" s="474">
        <v>847700</v>
      </c>
      <c r="E256" s="647" t="s">
        <v>3135</v>
      </c>
      <c r="F256" s="680">
        <v>74000</v>
      </c>
      <c r="G256" s="680">
        <v>0</v>
      </c>
      <c r="H256" s="681">
        <f>+'[1]שכר רווחה'!P494</f>
        <v>0</v>
      </c>
      <c r="I256" s="655"/>
      <c r="J256" s="659"/>
      <c r="K256" s="474"/>
      <c r="L256" s="474"/>
      <c r="M256" s="474"/>
      <c r="N256" s="474"/>
    </row>
    <row r="257" spans="1:14" hidden="1">
      <c r="A257" s="474"/>
      <c r="B257" s="474"/>
      <c r="C257" s="474">
        <v>810</v>
      </c>
      <c r="D257" s="474">
        <v>847700</v>
      </c>
      <c r="E257" s="647" t="s">
        <v>3018</v>
      </c>
      <c r="F257" s="680">
        <v>220000</v>
      </c>
      <c r="G257" s="680">
        <v>0</v>
      </c>
      <c r="H257" s="681">
        <f>25*980*12-H256</f>
        <v>294000</v>
      </c>
      <c r="I257" s="680">
        <f>+'[1]שכר רווחה'!P494</f>
        <v>0</v>
      </c>
      <c r="J257" s="659"/>
      <c r="K257" s="474"/>
      <c r="L257" s="474"/>
      <c r="M257" s="474"/>
      <c r="N257" s="474"/>
    </row>
    <row r="258" spans="1:14">
      <c r="A258" s="474"/>
      <c r="B258" s="474">
        <v>1175411</v>
      </c>
      <c r="C258" s="474">
        <v>110</v>
      </c>
      <c r="D258" s="474">
        <v>847410</v>
      </c>
      <c r="E258" s="647">
        <f>+'[1]מימון חלקי'!D213</f>
        <v>0</v>
      </c>
      <c r="F258" s="680">
        <v>1009000</v>
      </c>
      <c r="G258" s="680">
        <v>969000</v>
      </c>
      <c r="H258" s="681">
        <f>+'[1]שכר רווחה'!P488</f>
        <v>0</v>
      </c>
      <c r="I258" s="655" t="s">
        <v>274</v>
      </c>
      <c r="J258" s="659">
        <v>1847410110</v>
      </c>
      <c r="K258" s="474">
        <f>1530*6</f>
        <v>9180</v>
      </c>
      <c r="L258" s="474"/>
      <c r="M258" s="474"/>
      <c r="N258" s="474"/>
    </row>
    <row r="259" spans="1:14">
      <c r="A259" s="474"/>
      <c r="B259" s="474"/>
      <c r="C259" s="474">
        <v>110</v>
      </c>
      <c r="D259" s="474">
        <v>847500</v>
      </c>
      <c r="E259" s="647" t="s">
        <v>3136</v>
      </c>
      <c r="F259" s="680">
        <v>293999.64</v>
      </c>
      <c r="G259" s="680">
        <v>294000</v>
      </c>
      <c r="H259" s="681">
        <f>'[1]שכר רווחה'!P486</f>
        <v>0</v>
      </c>
      <c r="I259" s="655" t="s">
        <v>3137</v>
      </c>
      <c r="J259" s="659">
        <v>1847500110</v>
      </c>
      <c r="K259" s="474">
        <f>105/0.5*0.4</f>
        <v>84</v>
      </c>
      <c r="L259" s="474"/>
      <c r="M259" s="474"/>
      <c r="N259" s="474"/>
    </row>
    <row r="260" spans="1:14">
      <c r="A260" s="474"/>
      <c r="B260" s="474">
        <v>1039734</v>
      </c>
      <c r="C260" s="474">
        <v>110</v>
      </c>
      <c r="D260" s="474">
        <v>847600</v>
      </c>
      <c r="E260" s="647" t="s">
        <v>807</v>
      </c>
      <c r="F260" s="680">
        <v>766000</v>
      </c>
      <c r="G260" s="680">
        <v>766000</v>
      </c>
      <c r="H260" s="681">
        <f>+'[1]שכר רווחה'!P487</f>
        <v>0</v>
      </c>
      <c r="I260" s="655" t="s">
        <v>274</v>
      </c>
      <c r="J260" s="659">
        <v>1847600110</v>
      </c>
      <c r="K260" s="474">
        <f>108-K259</f>
        <v>24</v>
      </c>
      <c r="L260" s="474"/>
      <c r="M260" s="474"/>
      <c r="N260" s="474"/>
    </row>
    <row r="261" spans="1:14" hidden="1">
      <c r="A261" s="474"/>
      <c r="B261" s="474">
        <v>1039734</v>
      </c>
      <c r="C261" s="474">
        <v>830</v>
      </c>
      <c r="D261" s="474">
        <v>847600</v>
      </c>
      <c r="E261" s="647" t="s">
        <v>206</v>
      </c>
      <c r="F261" s="680">
        <v>72000</v>
      </c>
      <c r="G261" s="680">
        <v>72000</v>
      </c>
      <c r="H261" s="681">
        <f>42*1503*12-H260+80000+488</f>
        <v>838000</v>
      </c>
      <c r="I261" s="655"/>
      <c r="J261" s="659">
        <v>1847600830</v>
      </c>
      <c r="K261" s="474"/>
      <c r="L261" s="474"/>
      <c r="M261" s="474"/>
      <c r="N261" s="474"/>
    </row>
    <row r="262" spans="1:14">
      <c r="A262" s="474"/>
      <c r="B262" s="474">
        <v>1175321</v>
      </c>
      <c r="C262" s="474">
        <v>110</v>
      </c>
      <c r="D262" s="474">
        <v>847800</v>
      </c>
      <c r="E262" s="647" t="s">
        <v>809</v>
      </c>
      <c r="F262" s="680">
        <v>179000</v>
      </c>
      <c r="G262" s="680">
        <v>179000</v>
      </c>
      <c r="H262" s="690">
        <f>+'[1]שכר רווחה'!P489</f>
        <v>0</v>
      </c>
      <c r="I262" s="655" t="s">
        <v>274</v>
      </c>
      <c r="J262" s="659">
        <v>1847800110</v>
      </c>
      <c r="K262" s="474"/>
      <c r="L262" s="474"/>
      <c r="M262" s="474"/>
      <c r="N262" s="474"/>
    </row>
    <row r="263" spans="1:14" hidden="1">
      <c r="A263" s="474"/>
      <c r="B263" s="474">
        <v>1175321</v>
      </c>
      <c r="C263" s="474">
        <v>810</v>
      </c>
      <c r="D263" s="474">
        <v>847800</v>
      </c>
      <c r="E263" s="647" t="s">
        <v>810</v>
      </c>
      <c r="F263" s="680">
        <v>43000</v>
      </c>
      <c r="G263" s="680">
        <v>43000</v>
      </c>
      <c r="H263" s="690">
        <f>15*1302*12-H262</f>
        <v>234360</v>
      </c>
      <c r="I263" s="655" t="s">
        <v>811</v>
      </c>
      <c r="J263" s="659">
        <v>1847800810</v>
      </c>
      <c r="K263" s="474"/>
      <c r="L263" s="474"/>
      <c r="M263" s="474"/>
      <c r="N263" s="474"/>
    </row>
    <row r="264" spans="1:14">
      <c r="A264" s="474"/>
      <c r="B264" s="474"/>
      <c r="C264" s="474">
        <v>110</v>
      </c>
      <c r="D264" s="474">
        <v>847110</v>
      </c>
      <c r="E264" s="647" t="s">
        <v>2478</v>
      </c>
      <c r="F264" s="680">
        <v>155000</v>
      </c>
      <c r="G264" s="680">
        <v>0</v>
      </c>
      <c r="H264" s="690">
        <f>+'[1]שכר רווחה'!P493</f>
        <v>0</v>
      </c>
      <c r="I264" s="655"/>
      <c r="J264" s="659"/>
      <c r="K264" s="474"/>
      <c r="L264" s="474"/>
      <c r="M264" s="474"/>
      <c r="N264" s="474"/>
    </row>
    <row r="265" spans="1:14" hidden="1">
      <c r="A265" s="474"/>
      <c r="B265" s="474"/>
      <c r="C265" s="474">
        <v>820</v>
      </c>
      <c r="D265" s="474">
        <v>847110</v>
      </c>
      <c r="E265" s="647" t="s">
        <v>2479</v>
      </c>
      <c r="F265" s="680">
        <v>6000</v>
      </c>
      <c r="G265" s="680">
        <v>0</v>
      </c>
      <c r="H265" s="681">
        <v>6000</v>
      </c>
      <c r="I265" s="655"/>
      <c r="J265" s="659"/>
      <c r="K265" s="474"/>
      <c r="L265" s="474"/>
      <c r="M265" s="474"/>
      <c r="N265" s="474"/>
    </row>
    <row r="266" spans="1:14">
      <c r="A266" s="474"/>
      <c r="B266" s="474"/>
      <c r="C266" s="474">
        <v>110</v>
      </c>
      <c r="D266" s="474">
        <v>847900</v>
      </c>
      <c r="E266" s="648" t="s">
        <v>814</v>
      </c>
      <c r="F266" s="680">
        <v>460000</v>
      </c>
      <c r="G266" s="680">
        <v>460000</v>
      </c>
      <c r="H266" s="681">
        <f>'[1]שכר רווחה'!P490</f>
        <v>0</v>
      </c>
      <c r="I266" s="655" t="s">
        <v>116</v>
      </c>
      <c r="J266" s="659">
        <v>1847900110</v>
      </c>
      <c r="K266" s="474"/>
      <c r="L266" s="474"/>
      <c r="M266" s="474"/>
      <c r="N266" s="474"/>
    </row>
    <row r="267" spans="1:14" ht="30" hidden="1">
      <c r="A267" s="711"/>
      <c r="B267" s="474">
        <v>1175370</v>
      </c>
      <c r="C267" s="474">
        <v>820</v>
      </c>
      <c r="D267" s="474">
        <v>847900</v>
      </c>
      <c r="E267" s="648" t="s">
        <v>815</v>
      </c>
      <c r="F267" s="680">
        <v>198000</v>
      </c>
      <c r="G267" s="680">
        <v>289000</v>
      </c>
      <c r="H267" s="681">
        <f>(50*2157*12)-H266+100000</f>
        <v>1394200</v>
      </c>
      <c r="I267" s="655" t="s">
        <v>3138</v>
      </c>
      <c r="J267" s="659">
        <v>1847900820</v>
      </c>
      <c r="K267" s="474"/>
      <c r="L267" s="474"/>
      <c r="M267" s="474"/>
      <c r="N267" s="474"/>
    </row>
    <row r="268" spans="1:14" ht="45" hidden="1">
      <c r="A268" s="474"/>
      <c r="B268" s="657" t="s">
        <v>3139</v>
      </c>
      <c r="C268" s="474">
        <v>820</v>
      </c>
      <c r="D268" s="474">
        <v>847810</v>
      </c>
      <c r="E268" s="647" t="s">
        <v>209</v>
      </c>
      <c r="F268" s="680">
        <v>238000</v>
      </c>
      <c r="G268" s="680">
        <v>238000</v>
      </c>
      <c r="H268" s="681">
        <f>12*2844*12+464</f>
        <v>410000</v>
      </c>
      <c r="I268" s="686" t="s">
        <v>3140</v>
      </c>
      <c r="J268" s="659">
        <v>1847810820</v>
      </c>
      <c r="K268" s="474"/>
      <c r="L268" s="474"/>
      <c r="M268" s="474"/>
      <c r="N268" s="474"/>
    </row>
    <row r="269" spans="1:14" hidden="1">
      <c r="A269" s="474"/>
      <c r="B269" s="474">
        <v>1175331</v>
      </c>
      <c r="C269" s="474">
        <v>822</v>
      </c>
      <c r="D269" s="474">
        <v>847900</v>
      </c>
      <c r="E269" s="647" t="s">
        <v>211</v>
      </c>
      <c r="F269" s="680">
        <v>87000</v>
      </c>
      <c r="G269" s="680">
        <v>87000</v>
      </c>
      <c r="H269" s="681">
        <f>[2]גיליון1!$P$103-131</f>
        <v>48999.666666666664</v>
      </c>
      <c r="I269" s="655" t="s">
        <v>3141</v>
      </c>
      <c r="J269" s="659">
        <v>1847900822</v>
      </c>
      <c r="K269" s="474"/>
      <c r="L269" s="474"/>
      <c r="M269" s="474"/>
      <c r="N269" s="474"/>
    </row>
    <row r="270" spans="1:14" ht="15.75" hidden="1">
      <c r="A270" s="474"/>
      <c r="B270" s="474">
        <v>1175332</v>
      </c>
      <c r="C270" s="474">
        <v>810</v>
      </c>
      <c r="D270" s="474">
        <v>847810</v>
      </c>
      <c r="E270" s="647" t="s">
        <v>3142</v>
      </c>
      <c r="F270" s="680">
        <v>70000</v>
      </c>
      <c r="G270" s="680">
        <v>70000</v>
      </c>
      <c r="H270" s="681">
        <f>151000-H271</f>
        <v>151000</v>
      </c>
      <c r="I270" s="716"/>
      <c r="J270" s="659">
        <v>1847810810</v>
      </c>
      <c r="K270" s="474"/>
      <c r="L270" s="474"/>
      <c r="M270" s="474"/>
      <c r="N270" s="474"/>
    </row>
    <row r="271" spans="1:14" ht="15.75">
      <c r="A271" s="474"/>
      <c r="B271" s="474">
        <v>1175332</v>
      </c>
      <c r="C271" s="474">
        <v>110</v>
      </c>
      <c r="D271" s="474">
        <v>847810</v>
      </c>
      <c r="E271" s="647" t="s">
        <v>3143</v>
      </c>
      <c r="F271" s="680">
        <v>81000</v>
      </c>
      <c r="G271" s="680">
        <v>81000</v>
      </c>
      <c r="H271" s="681">
        <f>+'[1]שכר רווחה'!P497</f>
        <v>0</v>
      </c>
      <c r="I271" s="716"/>
      <c r="J271" s="659">
        <v>1847810110</v>
      </c>
      <c r="K271" s="474"/>
      <c r="L271" s="474"/>
      <c r="M271" s="474"/>
      <c r="N271" s="474"/>
    </row>
    <row r="272" spans="1:14" ht="47.25">
      <c r="A272" s="474"/>
      <c r="B272" s="474"/>
      <c r="C272" s="474">
        <v>110</v>
      </c>
      <c r="D272" s="474"/>
      <c r="E272" s="663" t="s">
        <v>3144</v>
      </c>
      <c r="F272" s="680"/>
      <c r="G272" s="680"/>
      <c r="H272" s="681">
        <f>+'[1]שכר רווחה'!P500</f>
        <v>0</v>
      </c>
      <c r="I272" s="716" t="s">
        <v>3145</v>
      </c>
      <c r="J272" s="659"/>
      <c r="K272" s="474" t="s">
        <v>3146</v>
      </c>
      <c r="L272" s="474"/>
      <c r="M272" s="474"/>
      <c r="N272" s="474"/>
    </row>
    <row r="273" spans="1:14" ht="31.5" hidden="1">
      <c r="A273" s="474"/>
      <c r="B273" s="474" t="s">
        <v>3147</v>
      </c>
      <c r="C273" s="474"/>
      <c r="D273" s="474"/>
      <c r="E273" s="663" t="s">
        <v>3148</v>
      </c>
      <c r="F273" s="680"/>
      <c r="G273" s="680"/>
      <c r="H273" s="681">
        <f>[2]גיליון1!$P$91+[2]גיליון1!$P$92-344</f>
        <v>1057000</v>
      </c>
      <c r="I273" s="716" t="s">
        <v>3149</v>
      </c>
      <c r="J273" s="659"/>
      <c r="K273" s="474"/>
      <c r="L273" s="474"/>
      <c r="M273" s="474"/>
      <c r="N273" s="474"/>
    </row>
    <row r="274" spans="1:14" ht="15.75" hidden="1">
      <c r="A274" s="687" t="s">
        <v>816</v>
      </c>
      <c r="B274" s="687"/>
      <c r="C274" s="687">
        <v>999</v>
      </c>
      <c r="D274" s="687">
        <v>847000</v>
      </c>
      <c r="E274" s="687" t="s">
        <v>4</v>
      </c>
      <c r="F274" s="688">
        <f>SUM(F241:F273)</f>
        <v>7219999.6399999997</v>
      </c>
      <c r="G274" s="688">
        <f>SUM(G241:G273)</f>
        <v>6526000</v>
      </c>
      <c r="H274" s="688">
        <f>SUM(H241:H273)</f>
        <v>8583410.3333333321</v>
      </c>
      <c r="I274" s="689"/>
      <c r="J274" s="659"/>
      <c r="K274" s="567"/>
      <c r="L274" s="474"/>
      <c r="M274" s="474"/>
      <c r="N274" s="474"/>
    </row>
    <row r="275" spans="1:14" ht="30" hidden="1">
      <c r="A275" s="474" t="s">
        <v>817</v>
      </c>
      <c r="B275" s="474">
        <v>1039320</v>
      </c>
      <c r="C275" s="474">
        <v>820</v>
      </c>
      <c r="D275" s="474">
        <v>848200</v>
      </c>
      <c r="E275" s="647" t="s">
        <v>213</v>
      </c>
      <c r="F275" s="680">
        <v>30000</v>
      </c>
      <c r="G275" s="680">
        <v>30000</v>
      </c>
      <c r="H275" s="681">
        <f>+'[1]מימון חלקי'!G137</f>
        <v>11250</v>
      </c>
      <c r="I275" s="655" t="s">
        <v>818</v>
      </c>
      <c r="J275" s="659">
        <v>1848200820</v>
      </c>
      <c r="K275" s="474"/>
      <c r="L275" s="474"/>
      <c r="M275" s="474"/>
      <c r="N275" s="474"/>
    </row>
    <row r="276" spans="1:14" ht="30" hidden="1">
      <c r="A276" s="474"/>
      <c r="B276" s="474">
        <v>1039100</v>
      </c>
      <c r="C276" s="474">
        <v>820</v>
      </c>
      <c r="D276" s="474">
        <v>848300</v>
      </c>
      <c r="E276" s="647" t="s">
        <v>819</v>
      </c>
      <c r="F276" s="680">
        <v>50000</v>
      </c>
      <c r="G276" s="680">
        <v>50000</v>
      </c>
      <c r="H276" s="681">
        <f>+'[1]מימון חלקי'!G138</f>
        <v>360000</v>
      </c>
      <c r="I276" s="655" t="s">
        <v>820</v>
      </c>
      <c r="J276" s="659">
        <v>1848300820</v>
      </c>
      <c r="K276" s="474"/>
      <c r="L276" s="474"/>
      <c r="M276" s="474"/>
      <c r="N276" s="474"/>
    </row>
    <row r="277" spans="1:14" hidden="1">
      <c r="A277" s="474"/>
      <c r="B277" s="474">
        <v>1039102</v>
      </c>
      <c r="C277" s="474">
        <v>750</v>
      </c>
      <c r="D277" s="474">
        <v>848400</v>
      </c>
      <c r="E277" s="647" t="s">
        <v>821</v>
      </c>
      <c r="F277" s="680">
        <v>15000</v>
      </c>
      <c r="G277" s="680">
        <v>15000</v>
      </c>
      <c r="H277" s="681">
        <f>+G277</f>
        <v>15000</v>
      </c>
      <c r="I277" s="655" t="s">
        <v>822</v>
      </c>
      <c r="J277" s="659">
        <v>1848400750</v>
      </c>
      <c r="K277" s="474"/>
      <c r="L277" s="474"/>
      <c r="M277" s="474"/>
      <c r="N277" s="474"/>
    </row>
    <row r="278" spans="1:14" ht="15.75" hidden="1">
      <c r="A278" s="687" t="s">
        <v>823</v>
      </c>
      <c r="B278" s="687"/>
      <c r="C278" s="687">
        <v>999</v>
      </c>
      <c r="D278" s="687">
        <v>848000</v>
      </c>
      <c r="E278" s="687" t="s">
        <v>4</v>
      </c>
      <c r="F278" s="688">
        <f>SUM(F275:F277)</f>
        <v>95000</v>
      </c>
      <c r="G278" s="688">
        <f>SUM(G275:G277)</f>
        <v>95000</v>
      </c>
      <c r="H278" s="688">
        <f>SUM(H275:H277)</f>
        <v>386250</v>
      </c>
      <c r="I278" s="689"/>
      <c r="J278" s="659"/>
      <c r="K278" s="474"/>
      <c r="L278" s="474"/>
      <c r="M278" s="474"/>
      <c r="N278" s="474"/>
    </row>
    <row r="279" spans="1:14" hidden="1">
      <c r="A279" s="474"/>
      <c r="B279" s="474"/>
      <c r="C279" s="474">
        <v>780</v>
      </c>
      <c r="D279" s="474">
        <v>848500</v>
      </c>
      <c r="E279" s="647" t="s">
        <v>824</v>
      </c>
      <c r="F279" s="680">
        <v>30000</v>
      </c>
      <c r="G279" s="680">
        <v>30000</v>
      </c>
      <c r="H279" s="681">
        <f>+'[1]מימון חלקי'!G140</f>
        <v>165000</v>
      </c>
      <c r="I279" s="684" t="s">
        <v>2360</v>
      </c>
      <c r="J279" s="659">
        <v>1848500780</v>
      </c>
      <c r="K279" s="474"/>
      <c r="L279" s="474"/>
      <c r="M279" s="474"/>
      <c r="N279" s="474"/>
    </row>
    <row r="280" spans="1:14" ht="15.75" hidden="1">
      <c r="A280" s="474"/>
      <c r="B280" s="474">
        <v>1039311</v>
      </c>
      <c r="C280" s="474">
        <v>820</v>
      </c>
      <c r="D280" s="474">
        <v>848500</v>
      </c>
      <c r="E280" s="647" t="s">
        <v>825</v>
      </c>
      <c r="F280" s="680">
        <v>19000</v>
      </c>
      <c r="G280" s="680">
        <v>19000</v>
      </c>
      <c r="H280" s="681">
        <f>+G280</f>
        <v>19000</v>
      </c>
      <c r="I280" s="655" t="s">
        <v>3150</v>
      </c>
      <c r="J280" s="659">
        <v>1848500820</v>
      </c>
      <c r="K280" s="474"/>
      <c r="L280" s="699"/>
      <c r="M280" s="699"/>
      <c r="N280" s="699"/>
    </row>
    <row r="281" spans="1:14" ht="15.75" hidden="1">
      <c r="A281" s="687" t="s">
        <v>826</v>
      </c>
      <c r="B281" s="687"/>
      <c r="C281" s="687">
        <v>999</v>
      </c>
      <c r="D281" s="687">
        <v>848500</v>
      </c>
      <c r="E281" s="687"/>
      <c r="F281" s="688">
        <f>SUM(F279:F280)</f>
        <v>49000</v>
      </c>
      <c r="G281" s="688">
        <f>SUM(G279:G280)</f>
        <v>49000</v>
      </c>
      <c r="H281" s="688">
        <f>SUM(H279:H280)</f>
        <v>184000</v>
      </c>
      <c r="I281" s="689"/>
      <c r="J281" s="659"/>
      <c r="K281" s="474"/>
      <c r="L281" s="474"/>
      <c r="M281" s="474"/>
      <c r="N281" s="474"/>
    </row>
    <row r="282" spans="1:14" hidden="1">
      <c r="A282" s="474" t="s">
        <v>3026</v>
      </c>
      <c r="B282" s="474">
        <v>1038411</v>
      </c>
      <c r="C282" s="474">
        <v>829</v>
      </c>
      <c r="D282" s="474">
        <v>849000</v>
      </c>
      <c r="E282" s="647" t="s">
        <v>221</v>
      </c>
      <c r="F282" s="680">
        <f>+'[3]בקשה לוויסותים'!$E$12</f>
        <v>770000</v>
      </c>
      <c r="G282" s="680">
        <v>1197000</v>
      </c>
      <c r="H282" s="681">
        <f>[2]גיליון1!$P$63</f>
        <v>1228557.3333333335</v>
      </c>
      <c r="I282" s="655" t="s">
        <v>4</v>
      </c>
      <c r="J282" s="659">
        <v>1849000829</v>
      </c>
      <c r="K282" s="474"/>
      <c r="L282" s="474"/>
      <c r="M282" s="474"/>
      <c r="N282" s="474"/>
    </row>
    <row r="283" spans="1:14" ht="30" hidden="1">
      <c r="A283" s="474"/>
      <c r="B283" s="474">
        <v>243416</v>
      </c>
      <c r="C283" s="474">
        <v>830</v>
      </c>
      <c r="D283" s="474">
        <v>849000</v>
      </c>
      <c r="E283" s="647" t="str">
        <f>+'[1]מימון חלקי'!D166</f>
        <v>טיפול באזרח ותיק בסיכון</v>
      </c>
      <c r="F283" s="680" t="e">
        <f>+'[4]מימון חלקי'!E166</f>
        <v>#REF!</v>
      </c>
      <c r="G283" s="680">
        <v>30000</v>
      </c>
      <c r="H283" s="681">
        <v>18000</v>
      </c>
      <c r="I283" s="655" t="s">
        <v>827</v>
      </c>
      <c r="J283" s="659">
        <v>1849000830</v>
      </c>
      <c r="K283" s="474"/>
      <c r="L283" s="474"/>
      <c r="M283" s="474"/>
      <c r="N283" s="474"/>
    </row>
    <row r="284" spans="1:14" ht="30" hidden="1">
      <c r="A284" s="474"/>
      <c r="B284" s="474">
        <v>1039771</v>
      </c>
      <c r="C284" s="474">
        <v>833</v>
      </c>
      <c r="D284" s="474">
        <v>849000</v>
      </c>
      <c r="E284" s="647" t="s">
        <v>828</v>
      </c>
      <c r="F284" s="680">
        <v>35000</v>
      </c>
      <c r="G284" s="680">
        <v>35000</v>
      </c>
      <c r="H284" s="681">
        <f>[2]גיליון1!$P$84</f>
        <v>27718.666666666664</v>
      </c>
      <c r="I284" s="655" t="s">
        <v>829</v>
      </c>
      <c r="J284" s="659">
        <v>1849000833</v>
      </c>
      <c r="K284" s="474"/>
      <c r="L284" s="474"/>
      <c r="M284" s="474"/>
      <c r="N284" s="474"/>
    </row>
    <row r="285" spans="1:14" ht="15.75" hidden="1">
      <c r="A285" s="687" t="s">
        <v>224</v>
      </c>
      <c r="B285" s="687"/>
      <c r="C285" s="687">
        <v>999</v>
      </c>
      <c r="D285" s="687">
        <v>849000</v>
      </c>
      <c r="E285" s="687" t="s">
        <v>4</v>
      </c>
      <c r="F285" s="688" t="e">
        <f>SUM(F282:F284)</f>
        <v>#REF!</v>
      </c>
      <c r="G285" s="688">
        <f>SUM(G282:G284)</f>
        <v>1262000</v>
      </c>
      <c r="H285" s="688">
        <f>SUM(H282:H284)</f>
        <v>1274276.0000000002</v>
      </c>
      <c r="I285" s="689"/>
      <c r="J285" s="659"/>
      <c r="K285" s="474"/>
      <c r="L285" s="474"/>
      <c r="M285" s="474"/>
      <c r="N285" s="474"/>
    </row>
    <row r="286" spans="1:14">
      <c r="A286" s="566"/>
      <c r="B286" s="566"/>
      <c r="C286" s="566"/>
      <c r="D286" s="566"/>
      <c r="E286" s="566"/>
      <c r="F286" s="566"/>
      <c r="G286" s="566"/>
      <c r="H286" s="566"/>
      <c r="I286" s="566"/>
      <c r="J286" s="717"/>
      <c r="K286" s="566"/>
      <c r="L286" s="566"/>
      <c r="M286" s="566"/>
      <c r="N286" s="566"/>
    </row>
    <row r="287" spans="1:14">
      <c r="A287" s="566"/>
      <c r="B287" s="566"/>
      <c r="C287" s="566"/>
      <c r="D287" s="566"/>
      <c r="E287" s="566"/>
      <c r="F287" s="566"/>
      <c r="G287" s="566"/>
      <c r="H287" s="566"/>
      <c r="I287" s="566"/>
      <c r="J287" s="717"/>
      <c r="K287" s="566"/>
      <c r="L287" s="566"/>
      <c r="M287" s="566"/>
      <c r="N287" s="566"/>
    </row>
    <row r="288" spans="1:14" ht="16.5" thickBot="1">
      <c r="A288" s="566"/>
      <c r="B288" s="566"/>
      <c r="C288" s="566"/>
      <c r="D288" s="566"/>
      <c r="E288" s="568" t="s">
        <v>860</v>
      </c>
      <c r="F288" s="718" t="e">
        <f>+F285+F281+F278+F274+F240+F214+F192+F177+F160+F144</f>
        <v>#REF!</v>
      </c>
      <c r="G288" s="718">
        <f>+G285+G281+G278+G274+G240+G214+G192+G177+G160+G144</f>
        <v>132060667</v>
      </c>
      <c r="H288" s="718">
        <f>+H285+H281+H278+H274+H240+H214+H192+H177+H160+H144</f>
        <v>102162616.68496065</v>
      </c>
      <c r="I288" s="229">
        <f>+H288-G288</f>
        <v>-29898050.315039352</v>
      </c>
      <c r="J288" s="719"/>
      <c r="K288" s="566"/>
      <c r="L288" s="566"/>
      <c r="M288" s="566"/>
      <c r="N288" s="566"/>
    </row>
    <row r="289" spans="1:14" ht="15.75" thickTop="1">
      <c r="A289" s="566"/>
      <c r="B289" s="566"/>
      <c r="C289" s="566"/>
      <c r="D289" s="566"/>
      <c r="E289" s="566"/>
      <c r="F289" s="566"/>
      <c r="G289" s="566"/>
      <c r="H289" s="566"/>
      <c r="I289" s="566"/>
      <c r="J289" s="717"/>
      <c r="K289" s="566"/>
      <c r="L289" s="566"/>
      <c r="M289" s="566"/>
      <c r="N289" s="566"/>
    </row>
    <row r="290" spans="1:14">
      <c r="A290" s="566"/>
      <c r="B290" s="566"/>
      <c r="C290" s="566"/>
      <c r="D290" s="566"/>
      <c r="E290" s="566" t="s">
        <v>1338</v>
      </c>
      <c r="F290" s="680">
        <v>34711999.640000001</v>
      </c>
      <c r="G290" s="680"/>
      <c r="H290" s="680">
        <f>+'[1]שכר רווחה'!P501</f>
        <v>0</v>
      </c>
      <c r="I290" s="229"/>
      <c r="J290" s="717"/>
      <c r="K290" s="566"/>
      <c r="L290" s="566"/>
      <c r="M290" s="566"/>
      <c r="N290" s="566"/>
    </row>
    <row r="291" spans="1:14">
      <c r="A291" s="566"/>
      <c r="B291" s="566"/>
      <c r="C291" s="566"/>
      <c r="D291" s="566"/>
      <c r="E291" s="566" t="s">
        <v>1339</v>
      </c>
      <c r="F291" s="680">
        <v>101551001.23596494</v>
      </c>
      <c r="G291" s="680"/>
      <c r="H291" s="680">
        <f>+H288-H290+1</f>
        <v>102162617.68496065</v>
      </c>
      <c r="I291" s="229"/>
      <c r="J291" s="717"/>
      <c r="K291" s="566"/>
      <c r="L291" s="566"/>
      <c r="M291" s="566"/>
      <c r="N291" s="566"/>
    </row>
    <row r="292" spans="1:14" ht="16.5" thickBot="1">
      <c r="A292" s="566"/>
      <c r="B292" s="566"/>
      <c r="C292" s="566"/>
      <c r="D292" s="566"/>
      <c r="E292" s="566"/>
      <c r="F292" s="718" t="e">
        <f>F288</f>
        <v>#REF!</v>
      </c>
      <c r="G292" s="718"/>
      <c r="H292" s="718">
        <f>SUM(H290:H291)</f>
        <v>102162617.68496065</v>
      </c>
      <c r="I292" s="566"/>
      <c r="J292" s="717"/>
      <c r="K292" s="566"/>
      <c r="L292" s="566"/>
      <c r="M292" s="566"/>
      <c r="N292" s="566"/>
    </row>
    <row r="293" spans="1:14" ht="15.75" thickTop="1">
      <c r="A293" s="566"/>
      <c r="B293" s="566"/>
      <c r="C293" s="566"/>
      <c r="D293" s="566"/>
      <c r="E293" s="566"/>
      <c r="F293" s="229"/>
      <c r="G293" s="229"/>
      <c r="H293" s="566"/>
      <c r="I293" s="566"/>
      <c r="J293" s="717"/>
      <c r="K293" s="566"/>
      <c r="L293" s="566"/>
      <c r="M293" s="566"/>
      <c r="N293" s="566"/>
    </row>
    <row r="302" spans="1:14" ht="46.5">
      <c r="A302" s="552" t="s">
        <v>1</v>
      </c>
      <c r="B302" s="558"/>
      <c r="C302" s="553" t="s">
        <v>2</v>
      </c>
      <c r="D302" s="553" t="s">
        <v>4</v>
      </c>
      <c r="E302" s="553"/>
      <c r="F302" s="554" t="s">
        <v>271</v>
      </c>
      <c r="G302" s="271" t="s">
        <v>2185</v>
      </c>
      <c r="H302" s="272" t="s">
        <v>2522</v>
      </c>
    </row>
    <row r="303" spans="1:14">
      <c r="A303" s="550" t="s">
        <v>109</v>
      </c>
      <c r="B303" s="518">
        <v>1841000110</v>
      </c>
      <c r="C303" s="548">
        <v>110</v>
      </c>
      <c r="D303" s="548">
        <v>841000</v>
      </c>
      <c r="E303" s="480">
        <v>1</v>
      </c>
      <c r="F303" s="548" t="s">
        <v>711</v>
      </c>
      <c r="G303" s="67">
        <v>21787167</v>
      </c>
      <c r="H303" s="724">
        <v>24653000</v>
      </c>
    </row>
    <row r="304" spans="1:14">
      <c r="A304" s="550"/>
      <c r="B304" s="559">
        <v>1841000410</v>
      </c>
      <c r="C304" s="548">
        <v>410</v>
      </c>
      <c r="D304" s="548">
        <v>841000</v>
      </c>
      <c r="E304" s="548">
        <v>1</v>
      </c>
      <c r="F304" s="548" t="s">
        <v>304</v>
      </c>
      <c r="G304" s="67">
        <v>2146999.6</v>
      </c>
      <c r="H304" s="724">
        <v>3480000.4192000004</v>
      </c>
    </row>
    <row r="305" spans="1:9">
      <c r="A305" s="550"/>
      <c r="B305" s="559">
        <v>1841000430</v>
      </c>
      <c r="C305" s="548">
        <v>430</v>
      </c>
      <c r="D305" s="548">
        <v>841000</v>
      </c>
      <c r="E305" s="548">
        <v>1</v>
      </c>
      <c r="F305" s="548" t="s">
        <v>311</v>
      </c>
      <c r="G305" s="67">
        <v>110000</v>
      </c>
      <c r="H305" s="724">
        <v>112000</v>
      </c>
    </row>
    <row r="306" spans="1:9">
      <c r="A306" s="550"/>
      <c r="B306" s="559">
        <v>1841000530</v>
      </c>
      <c r="C306" s="548">
        <v>530</v>
      </c>
      <c r="D306" s="548">
        <v>841000</v>
      </c>
      <c r="E306" s="548">
        <v>1</v>
      </c>
      <c r="F306" s="548" t="s">
        <v>277</v>
      </c>
      <c r="G306" s="67">
        <v>140000</v>
      </c>
      <c r="H306" s="724">
        <v>140000</v>
      </c>
    </row>
    <row r="307" spans="1:9">
      <c r="A307" s="550"/>
      <c r="B307" s="559">
        <v>1841000540</v>
      </c>
      <c r="C307" s="548">
        <v>540</v>
      </c>
      <c r="D307" s="548">
        <v>841000</v>
      </c>
      <c r="E307" s="548">
        <v>1</v>
      </c>
      <c r="F307" s="548" t="s">
        <v>279</v>
      </c>
      <c r="G307" s="67">
        <v>51000</v>
      </c>
      <c r="H307" s="724">
        <v>65000</v>
      </c>
    </row>
    <row r="308" spans="1:9">
      <c r="A308" s="550"/>
      <c r="B308" s="559">
        <v>1841000750</v>
      </c>
      <c r="C308" s="548">
        <v>750</v>
      </c>
      <c r="D308" s="548">
        <v>841000</v>
      </c>
      <c r="E308" s="548">
        <v>1</v>
      </c>
      <c r="F308" s="548" t="s">
        <v>288</v>
      </c>
      <c r="G308" s="67">
        <v>450000</v>
      </c>
      <c r="H308" s="724">
        <v>450000</v>
      </c>
    </row>
    <row r="309" spans="1:9">
      <c r="A309" s="550"/>
      <c r="B309" s="559">
        <v>1841000780</v>
      </c>
      <c r="C309" s="548">
        <v>780</v>
      </c>
      <c r="D309" s="548">
        <v>841000</v>
      </c>
      <c r="E309" s="548">
        <v>1</v>
      </c>
      <c r="F309" s="548" t="s">
        <v>280</v>
      </c>
      <c r="G309" s="67">
        <v>100000</v>
      </c>
      <c r="H309" s="724">
        <v>100000</v>
      </c>
    </row>
    <row r="310" spans="1:9">
      <c r="A310" s="550"/>
      <c r="B310" s="559">
        <v>1841000781</v>
      </c>
      <c r="C310" s="548">
        <v>781</v>
      </c>
      <c r="D310" s="548">
        <v>841000</v>
      </c>
      <c r="E310" s="548">
        <v>1</v>
      </c>
      <c r="F310" s="548" t="s">
        <v>714</v>
      </c>
      <c r="G310" s="67">
        <v>215000</v>
      </c>
      <c r="H310" s="724">
        <v>250000</v>
      </c>
    </row>
    <row r="311" spans="1:9">
      <c r="A311" s="550"/>
      <c r="B311" s="559">
        <v>1841000782</v>
      </c>
      <c r="C311" s="548">
        <v>782</v>
      </c>
      <c r="D311" s="548">
        <v>841000</v>
      </c>
      <c r="E311" s="548">
        <v>1</v>
      </c>
      <c r="F311" s="548" t="s">
        <v>715</v>
      </c>
      <c r="G311" s="67"/>
      <c r="H311" s="724">
        <v>0</v>
      </c>
    </row>
    <row r="312" spans="1:9">
      <c r="A312" s="550"/>
      <c r="B312" s="559">
        <v>1841000783</v>
      </c>
      <c r="C312" s="548">
        <v>783</v>
      </c>
      <c r="D312" s="548">
        <v>841000</v>
      </c>
      <c r="E312" s="548">
        <v>1</v>
      </c>
      <c r="F312" s="548" t="s">
        <v>2516</v>
      </c>
      <c r="G312" s="67"/>
      <c r="H312" s="724">
        <v>0</v>
      </c>
    </row>
    <row r="313" spans="1:9" ht="15.75">
      <c r="A313" s="195" t="s">
        <v>112</v>
      </c>
      <c r="B313" s="277"/>
      <c r="C313" s="68">
        <v>999</v>
      </c>
      <c r="D313" s="68">
        <v>841000</v>
      </c>
      <c r="E313" s="548">
        <v>1</v>
      </c>
      <c r="F313" s="68"/>
      <c r="G313" s="69">
        <v>25000166.600000001</v>
      </c>
      <c r="H313" s="69">
        <v>29250000.419199999</v>
      </c>
    </row>
    <row r="314" spans="1:9">
      <c r="A314" s="550" t="s">
        <v>122</v>
      </c>
      <c r="B314" s="518">
        <v>1842100110</v>
      </c>
      <c r="C314" s="548">
        <v>110</v>
      </c>
      <c r="D314" s="548">
        <v>842100</v>
      </c>
      <c r="E314" s="480">
        <v>1</v>
      </c>
      <c r="F314" s="548" t="s">
        <v>716</v>
      </c>
      <c r="G314" s="67">
        <v>175000</v>
      </c>
      <c r="H314" s="724">
        <v>186000</v>
      </c>
      <c r="I314" s="625">
        <f>B314-'הוצאות '!B513</f>
        <v>0</v>
      </c>
    </row>
    <row r="315" spans="1:9">
      <c r="A315" s="550"/>
      <c r="B315" s="518">
        <v>1842200110</v>
      </c>
      <c r="C315" s="548">
        <v>110</v>
      </c>
      <c r="D315" s="548">
        <v>842200</v>
      </c>
      <c r="E315" s="480">
        <v>1</v>
      </c>
      <c r="F315" s="548" t="s">
        <v>2201</v>
      </c>
      <c r="G315" s="67">
        <v>188000</v>
      </c>
      <c r="H315" s="724">
        <v>195000</v>
      </c>
      <c r="I315" s="625">
        <f>B315-'הוצאות '!B514</f>
        <v>0</v>
      </c>
    </row>
    <row r="316" spans="1:9">
      <c r="A316" s="550"/>
      <c r="B316" s="559">
        <v>1842200820</v>
      </c>
      <c r="C316" s="548">
        <v>820</v>
      </c>
      <c r="D316" s="548">
        <v>842200</v>
      </c>
      <c r="E316" s="548">
        <v>1</v>
      </c>
      <c r="F316" s="548" t="s">
        <v>717</v>
      </c>
      <c r="G316" s="67">
        <v>182000</v>
      </c>
      <c r="H316" s="724">
        <v>348000</v>
      </c>
      <c r="I316" s="625">
        <f>B316-'הוצאות '!B515</f>
        <v>0</v>
      </c>
    </row>
    <row r="317" spans="1:9">
      <c r="A317" s="550"/>
      <c r="B317" s="559">
        <v>1842200821</v>
      </c>
      <c r="C317" s="548">
        <v>821</v>
      </c>
      <c r="D317" s="548">
        <v>842200</v>
      </c>
      <c r="E317" s="548">
        <v>1</v>
      </c>
      <c r="F317" s="548" t="s">
        <v>121</v>
      </c>
      <c r="G317" s="67">
        <v>440000</v>
      </c>
      <c r="H317" s="724">
        <v>250000</v>
      </c>
      <c r="I317" s="625">
        <f>B317-'הוצאות '!B516</f>
        <v>0</v>
      </c>
    </row>
    <row r="318" spans="1:9">
      <c r="A318" s="550"/>
      <c r="B318" s="559">
        <v>1842200822</v>
      </c>
      <c r="C318" s="548">
        <v>822</v>
      </c>
      <c r="D318" s="548">
        <v>842200</v>
      </c>
      <c r="E318" s="548">
        <v>1</v>
      </c>
      <c r="F318" s="548" t="s">
        <v>2517</v>
      </c>
      <c r="G318" s="67"/>
      <c r="H318" s="724">
        <v>0</v>
      </c>
      <c r="I318" s="625" t="e">
        <f>B318-'הוצאות '!#REF!</f>
        <v>#REF!</v>
      </c>
    </row>
    <row r="319" spans="1:9">
      <c r="A319" s="550" t="s">
        <v>4</v>
      </c>
      <c r="B319" s="559">
        <v>1842200824</v>
      </c>
      <c r="C319" s="548">
        <v>824</v>
      </c>
      <c r="D319" s="548">
        <v>842200</v>
      </c>
      <c r="E319" s="548">
        <v>1</v>
      </c>
      <c r="F319" s="548" t="s">
        <v>123</v>
      </c>
      <c r="G319" s="67">
        <v>833000</v>
      </c>
      <c r="H319" s="724">
        <v>698000</v>
      </c>
      <c r="I319" s="625">
        <f>B319-'הוצאות '!B517</f>
        <v>0</v>
      </c>
    </row>
    <row r="320" spans="1:9">
      <c r="A320" s="550"/>
      <c r="B320" s="559">
        <v>1842200828</v>
      </c>
      <c r="C320" s="548">
        <v>828</v>
      </c>
      <c r="D320" s="548">
        <v>842200</v>
      </c>
      <c r="E320" s="548">
        <v>1</v>
      </c>
      <c r="F320" s="548" t="s">
        <v>115</v>
      </c>
      <c r="G320" s="67">
        <v>260000</v>
      </c>
      <c r="H320" s="724">
        <v>256999.66666666666</v>
      </c>
      <c r="I320" s="625">
        <f>B320-'הוצאות '!B518</f>
        <v>0</v>
      </c>
    </row>
    <row r="321" spans="1:9">
      <c r="A321" s="550"/>
      <c r="B321" s="559">
        <v>1842200829</v>
      </c>
      <c r="C321" s="548">
        <v>829</v>
      </c>
      <c r="D321" s="548">
        <v>842200</v>
      </c>
      <c r="E321" s="548">
        <v>1</v>
      </c>
      <c r="F321" s="548" t="s">
        <v>125</v>
      </c>
      <c r="G321" s="67">
        <v>240500</v>
      </c>
      <c r="H321" s="724">
        <v>245000</v>
      </c>
      <c r="I321" s="625">
        <f>B321-'הוצאות '!B519</f>
        <v>0</v>
      </c>
    </row>
    <row r="322" spans="1:9">
      <c r="A322" s="520"/>
      <c r="B322" s="521">
        <v>1842210110</v>
      </c>
      <c r="C322" s="522"/>
      <c r="D322" s="522"/>
      <c r="E322" s="522"/>
      <c r="F322" s="522" t="s">
        <v>724</v>
      </c>
      <c r="G322" s="286">
        <v>0</v>
      </c>
      <c r="H322" s="725">
        <v>103000</v>
      </c>
      <c r="I322" s="625">
        <f>B322-'הוצאות '!B520</f>
        <v>-90000</v>
      </c>
    </row>
    <row r="323" spans="1:9">
      <c r="A323" s="550" t="s">
        <v>4</v>
      </c>
      <c r="B323" s="518">
        <v>1842300110</v>
      </c>
      <c r="C323" s="548">
        <v>110</v>
      </c>
      <c r="D323" s="548">
        <v>842300</v>
      </c>
      <c r="E323" s="480">
        <v>1</v>
      </c>
      <c r="F323" s="548" t="s">
        <v>721</v>
      </c>
      <c r="G323" s="67">
        <v>306000</v>
      </c>
      <c r="H323" s="724">
        <v>488000</v>
      </c>
      <c r="I323" s="625">
        <f>B323-'הוצאות '!B521</f>
        <v>-100000</v>
      </c>
    </row>
    <row r="324" spans="1:9">
      <c r="A324" s="550" t="s">
        <v>4</v>
      </c>
      <c r="B324" s="518">
        <v>1842400110</v>
      </c>
      <c r="C324" s="548">
        <v>110</v>
      </c>
      <c r="D324" s="548">
        <v>842400</v>
      </c>
      <c r="E324" s="480">
        <v>1</v>
      </c>
      <c r="F324" s="548" t="s">
        <v>722</v>
      </c>
      <c r="G324" s="67">
        <v>1015000</v>
      </c>
      <c r="H324" s="724">
        <v>1060000</v>
      </c>
      <c r="I324" s="625">
        <f>B324-'הוצאות '!B523</f>
        <v>-712</v>
      </c>
    </row>
    <row r="325" spans="1:9">
      <c r="A325" s="520"/>
      <c r="B325" s="354"/>
      <c r="C325" s="522"/>
      <c r="D325" s="522"/>
      <c r="E325" s="544"/>
      <c r="F325" s="522" t="s">
        <v>3041</v>
      </c>
      <c r="G325" s="286"/>
      <c r="H325" s="725">
        <v>226000</v>
      </c>
      <c r="I325" s="625">
        <f>B325-'הוצאות '!B524</f>
        <v>-1842400823</v>
      </c>
    </row>
    <row r="326" spans="1:9">
      <c r="A326" s="550"/>
      <c r="B326" s="559">
        <v>1842400822</v>
      </c>
      <c r="C326" s="548">
        <v>822</v>
      </c>
      <c r="D326" s="548">
        <v>842400</v>
      </c>
      <c r="E326" s="548">
        <v>1</v>
      </c>
      <c r="F326" s="548" t="s">
        <v>723</v>
      </c>
      <c r="G326" s="67">
        <v>419000</v>
      </c>
      <c r="H326" s="724">
        <v>641000</v>
      </c>
      <c r="I326" s="625">
        <f>B326-'הוצאות '!B525</f>
        <v>-99288</v>
      </c>
    </row>
    <row r="327" spans="1:9">
      <c r="A327" s="550"/>
      <c r="B327" s="559">
        <v>1842400823</v>
      </c>
      <c r="C327" s="548">
        <v>823</v>
      </c>
      <c r="D327" s="548">
        <v>842400</v>
      </c>
      <c r="E327" s="548">
        <v>1</v>
      </c>
      <c r="F327" s="548" t="s">
        <v>122</v>
      </c>
      <c r="G327" s="67">
        <v>108000</v>
      </c>
      <c r="H327" s="724">
        <v>833000</v>
      </c>
      <c r="I327" s="625">
        <f>B327-'הוצאות '!B526</f>
        <v>-199287</v>
      </c>
    </row>
    <row r="328" spans="1:9">
      <c r="A328" s="550"/>
      <c r="B328" s="518">
        <v>1842500110</v>
      </c>
      <c r="C328" s="548">
        <v>110</v>
      </c>
      <c r="D328" s="548">
        <v>842500</v>
      </c>
      <c r="E328" s="480">
        <v>1</v>
      </c>
      <c r="F328" s="548" t="s">
        <v>724</v>
      </c>
      <c r="G328" s="67">
        <v>103500</v>
      </c>
      <c r="H328" s="724">
        <v>0</v>
      </c>
      <c r="I328" s="625">
        <f>B328-'הוצאות '!B527</f>
        <v>-100710</v>
      </c>
    </row>
    <row r="329" spans="1:9">
      <c r="A329" s="550"/>
      <c r="B329" s="518">
        <v>1842600110</v>
      </c>
      <c r="C329" s="548">
        <v>110</v>
      </c>
      <c r="D329" s="548">
        <v>842600</v>
      </c>
      <c r="E329" s="480">
        <v>1</v>
      </c>
      <c r="F329" s="548" t="s">
        <v>2202</v>
      </c>
      <c r="G329" s="67">
        <v>270000</v>
      </c>
      <c r="H329" s="724">
        <v>306000</v>
      </c>
      <c r="I329" s="625">
        <f>B329-'הוצאות '!B529</f>
        <v>1842600110</v>
      </c>
    </row>
    <row r="330" spans="1:9">
      <c r="A330" s="193"/>
      <c r="B330" s="559">
        <v>1842600820</v>
      </c>
      <c r="C330" s="480">
        <v>820</v>
      </c>
      <c r="D330" s="548">
        <v>842600</v>
      </c>
      <c r="E330" s="548">
        <v>1</v>
      </c>
      <c r="F330" s="480" t="s">
        <v>1543</v>
      </c>
      <c r="G330" s="58">
        <v>124000</v>
      </c>
      <c r="H330" s="724">
        <v>103000</v>
      </c>
      <c r="I330" s="625">
        <f>B330-'הוצאות '!B530</f>
        <v>-799290</v>
      </c>
    </row>
    <row r="331" spans="1:9" ht="15.75">
      <c r="A331" s="195" t="s">
        <v>725</v>
      </c>
      <c r="B331" s="277"/>
      <c r="C331" s="68">
        <v>999</v>
      </c>
      <c r="D331" s="68">
        <v>842000</v>
      </c>
      <c r="E331" s="548">
        <v>1</v>
      </c>
      <c r="F331" s="68"/>
      <c r="G331" s="69">
        <v>4664000</v>
      </c>
      <c r="H331" s="69">
        <v>5938999.666666667</v>
      </c>
    </row>
    <row r="332" spans="1:9">
      <c r="A332" s="550" t="s">
        <v>726</v>
      </c>
      <c r="B332" s="518">
        <v>1843400110</v>
      </c>
      <c r="C332" s="548">
        <v>110</v>
      </c>
      <c r="D332" s="548">
        <v>843400</v>
      </c>
      <c r="E332" s="480">
        <v>1</v>
      </c>
      <c r="F332" s="548" t="s">
        <v>727</v>
      </c>
      <c r="G332" s="67">
        <v>730000</v>
      </c>
      <c r="H332" s="724">
        <v>790000</v>
      </c>
      <c r="I332" s="625">
        <f>B332-'הוצאות '!B530</f>
        <v>0</v>
      </c>
    </row>
    <row r="333" spans="1:9">
      <c r="A333" s="550" t="s">
        <v>4</v>
      </c>
      <c r="B333" s="518">
        <v>1843500110</v>
      </c>
      <c r="C333" s="548">
        <v>110</v>
      </c>
      <c r="D333" s="548">
        <v>843500</v>
      </c>
      <c r="E333" s="480">
        <v>1</v>
      </c>
      <c r="F333" s="548" t="s">
        <v>728</v>
      </c>
      <c r="G333" s="67">
        <v>689000</v>
      </c>
      <c r="H333" s="724">
        <v>757000</v>
      </c>
      <c r="I333" s="625">
        <f>B333-'הוצאות '!B531</f>
        <v>0</v>
      </c>
    </row>
    <row r="334" spans="1:9">
      <c r="A334" s="550"/>
      <c r="B334" s="559">
        <v>1843500821</v>
      </c>
      <c r="C334" s="548">
        <v>821</v>
      </c>
      <c r="D334" s="548">
        <v>843500</v>
      </c>
      <c r="E334" s="548">
        <v>1</v>
      </c>
      <c r="F334" s="548" t="s">
        <v>128</v>
      </c>
      <c r="G334" s="67">
        <v>88000</v>
      </c>
      <c r="H334" s="724">
        <v>59000</v>
      </c>
      <c r="I334" s="625">
        <f>B334-'הוצאות '!B532</f>
        <v>0</v>
      </c>
    </row>
    <row r="335" spans="1:9">
      <c r="A335" s="550"/>
      <c r="B335" s="559">
        <v>1843500822</v>
      </c>
      <c r="C335" s="548">
        <v>822</v>
      </c>
      <c r="D335" s="548">
        <v>843500</v>
      </c>
      <c r="E335" s="548">
        <v>1</v>
      </c>
      <c r="F335" s="548" t="s">
        <v>730</v>
      </c>
      <c r="G335" s="67">
        <v>148000</v>
      </c>
      <c r="H335" s="724">
        <v>0</v>
      </c>
      <c r="I335" s="625">
        <f>B335-'הוצאות '!B533</f>
        <v>0</v>
      </c>
    </row>
    <row r="336" spans="1:9">
      <c r="A336" s="550"/>
      <c r="B336" s="559">
        <v>1843500823</v>
      </c>
      <c r="C336" s="548">
        <v>823</v>
      </c>
      <c r="D336" s="548">
        <v>843500</v>
      </c>
      <c r="E336" s="548">
        <v>1</v>
      </c>
      <c r="F336" s="548" t="s">
        <v>130</v>
      </c>
      <c r="G336" s="67">
        <v>1147000</v>
      </c>
      <c r="H336" s="724">
        <v>1138000.3333333335</v>
      </c>
      <c r="I336" s="625">
        <f>B336-'הוצאות '!B534</f>
        <v>0</v>
      </c>
    </row>
    <row r="337" spans="1:9">
      <c r="A337" s="550"/>
      <c r="B337" s="559">
        <v>1843500825</v>
      </c>
      <c r="C337" s="548">
        <v>825</v>
      </c>
      <c r="D337" s="548">
        <v>843500</v>
      </c>
      <c r="E337" s="548">
        <v>1</v>
      </c>
      <c r="F337" s="548" t="s">
        <v>733</v>
      </c>
      <c r="G337" s="67">
        <v>300000</v>
      </c>
      <c r="H337" s="724">
        <v>0</v>
      </c>
      <c r="I337" s="625">
        <f>B337-'הוצאות '!B535</f>
        <v>0</v>
      </c>
    </row>
    <row r="338" spans="1:9">
      <c r="A338" s="550"/>
      <c r="B338" s="518">
        <v>1843600110</v>
      </c>
      <c r="C338" s="548">
        <v>110</v>
      </c>
      <c r="D338" s="548">
        <v>843600</v>
      </c>
      <c r="E338" s="480">
        <v>1</v>
      </c>
      <c r="F338" s="548" t="s">
        <v>735</v>
      </c>
      <c r="G338" s="67">
        <v>90000</v>
      </c>
      <c r="H338" s="724">
        <v>64000</v>
      </c>
      <c r="I338" s="625">
        <f>B338-'הוצאות '!B536</f>
        <v>0</v>
      </c>
    </row>
    <row r="339" spans="1:9">
      <c r="A339" s="550"/>
      <c r="B339" s="559">
        <v>1843700822</v>
      </c>
      <c r="C339" s="548">
        <v>822</v>
      </c>
      <c r="D339" s="548">
        <v>843700</v>
      </c>
      <c r="E339" s="548">
        <v>1</v>
      </c>
      <c r="F339" s="548" t="s">
        <v>138</v>
      </c>
      <c r="G339" s="67">
        <v>151000</v>
      </c>
      <c r="H339" s="724">
        <v>0</v>
      </c>
      <c r="I339" s="625">
        <f>B339-'הוצאות '!B537</f>
        <v>712</v>
      </c>
    </row>
    <row r="340" spans="1:9">
      <c r="A340" s="550"/>
      <c r="B340" s="518">
        <v>1843800110</v>
      </c>
      <c r="C340" s="548">
        <v>110</v>
      </c>
      <c r="D340" s="548">
        <v>843800</v>
      </c>
      <c r="E340" s="480">
        <v>1</v>
      </c>
      <c r="F340" s="548" t="s">
        <v>737</v>
      </c>
      <c r="G340" s="67">
        <v>399000</v>
      </c>
      <c r="H340" s="724">
        <v>378000</v>
      </c>
      <c r="I340" s="625">
        <f>B340-'הוצאות '!B538</f>
        <v>99288</v>
      </c>
    </row>
    <row r="341" spans="1:9">
      <c r="A341" s="550"/>
      <c r="B341" s="559">
        <v>1843800820</v>
      </c>
      <c r="C341" s="548">
        <v>820</v>
      </c>
      <c r="D341" s="548">
        <v>843800</v>
      </c>
      <c r="E341" s="548">
        <v>1</v>
      </c>
      <c r="F341" s="548" t="s">
        <v>738</v>
      </c>
      <c r="G341" s="67">
        <v>16120000</v>
      </c>
      <c r="H341" s="724">
        <v>14530999.666666666</v>
      </c>
      <c r="I341" s="625">
        <f>B341-'הוצאות '!B539</f>
        <v>710</v>
      </c>
    </row>
    <row r="342" spans="1:9">
      <c r="A342" s="550"/>
      <c r="B342" s="559">
        <v>1843800821</v>
      </c>
      <c r="C342" s="548">
        <v>821</v>
      </c>
      <c r="D342" s="548">
        <v>843800</v>
      </c>
      <c r="E342" s="548">
        <v>1</v>
      </c>
      <c r="F342" s="548" t="s">
        <v>739</v>
      </c>
      <c r="G342" s="67">
        <v>1185000</v>
      </c>
      <c r="H342" s="724">
        <v>1184000</v>
      </c>
      <c r="I342" s="625">
        <f>B342-'הוצאות '!B540</f>
        <v>1</v>
      </c>
    </row>
    <row r="343" spans="1:9">
      <c r="A343" s="550"/>
      <c r="B343" s="559">
        <v>1843800823</v>
      </c>
      <c r="C343" s="548">
        <v>823</v>
      </c>
      <c r="D343" s="548">
        <v>843800</v>
      </c>
      <c r="E343" s="548">
        <v>1</v>
      </c>
      <c r="F343" s="548" t="s">
        <v>135</v>
      </c>
      <c r="G343" s="67">
        <v>272000</v>
      </c>
      <c r="H343" s="724">
        <v>253000</v>
      </c>
      <c r="I343" s="625">
        <f>B343-'הוצאות '!B541</f>
        <v>2</v>
      </c>
    </row>
    <row r="344" spans="1:9">
      <c r="A344" s="550"/>
      <c r="B344" s="518">
        <v>1843900110</v>
      </c>
      <c r="C344" s="548">
        <v>110</v>
      </c>
      <c r="D344" s="548">
        <v>843900</v>
      </c>
      <c r="E344" s="480">
        <v>1</v>
      </c>
      <c r="F344" s="548" t="s">
        <v>137</v>
      </c>
      <c r="G344" s="67">
        <v>70000</v>
      </c>
      <c r="H344" s="724">
        <v>73000</v>
      </c>
      <c r="I344" s="625">
        <f>B344-'הוצאות '!B542</f>
        <v>99287</v>
      </c>
    </row>
    <row r="345" spans="1:9">
      <c r="A345" s="550"/>
      <c r="B345" s="559">
        <v>1843900820</v>
      </c>
      <c r="C345" s="548">
        <v>820</v>
      </c>
      <c r="D345" s="548">
        <v>843900</v>
      </c>
      <c r="E345" s="548">
        <v>1</v>
      </c>
      <c r="F345" s="548" t="s">
        <v>136</v>
      </c>
      <c r="G345" s="67">
        <v>3900000</v>
      </c>
      <c r="H345" s="724">
        <v>4163000.333333333</v>
      </c>
      <c r="I345" s="625">
        <f>B345-'הוצאות '!B543</f>
        <v>710</v>
      </c>
    </row>
    <row r="346" spans="1:9">
      <c r="A346" s="520"/>
      <c r="B346" s="521">
        <v>1843900822</v>
      </c>
      <c r="C346" s="522"/>
      <c r="D346" s="522"/>
      <c r="E346" s="522"/>
      <c r="F346" s="522" t="s">
        <v>138</v>
      </c>
      <c r="G346" s="286"/>
      <c r="H346" s="725">
        <v>81000</v>
      </c>
      <c r="I346" s="625">
        <f>B346-'הוצאות '!B544</f>
        <v>2</v>
      </c>
    </row>
    <row r="347" spans="1:9">
      <c r="A347" s="520"/>
      <c r="B347" s="521">
        <v>1843700110</v>
      </c>
      <c r="C347" s="522"/>
      <c r="D347" s="522"/>
      <c r="E347" s="522"/>
      <c r="F347" s="522" t="s">
        <v>2992</v>
      </c>
      <c r="G347" s="286"/>
      <c r="H347" s="725">
        <v>125000</v>
      </c>
      <c r="I347" s="625">
        <f>B347-'הוצאות '!B546</f>
        <v>-200713</v>
      </c>
    </row>
    <row r="348" spans="1:9">
      <c r="A348" s="550"/>
      <c r="B348" s="559">
        <v>1843900823</v>
      </c>
      <c r="C348" s="548">
        <v>823</v>
      </c>
      <c r="D348" s="548">
        <v>843900</v>
      </c>
      <c r="E348" s="548">
        <v>1</v>
      </c>
      <c r="F348" s="548" t="s">
        <v>139</v>
      </c>
      <c r="G348" s="67">
        <v>480000</v>
      </c>
      <c r="H348" s="724">
        <v>458999.66666666663</v>
      </c>
      <c r="I348" s="625">
        <f>B348-'הוצאות '!B547</f>
        <v>1843900823</v>
      </c>
    </row>
    <row r="349" spans="1:9" ht="15.75">
      <c r="A349" s="195" t="s">
        <v>742</v>
      </c>
      <c r="B349" s="277"/>
      <c r="C349" s="68">
        <v>999</v>
      </c>
      <c r="D349" s="68">
        <v>843000</v>
      </c>
      <c r="E349" s="548">
        <v>1</v>
      </c>
      <c r="F349" s="68" t="s">
        <v>4</v>
      </c>
      <c r="G349" s="69">
        <v>25769000</v>
      </c>
      <c r="H349" s="69">
        <v>24055000</v>
      </c>
      <c r="I349" s="625">
        <f>B349-'הוצאות '!B548</f>
        <v>-1844300820</v>
      </c>
    </row>
    <row r="350" spans="1:9">
      <c r="A350" s="550" t="s">
        <v>743</v>
      </c>
      <c r="B350" s="559">
        <v>1844300820</v>
      </c>
      <c r="C350" s="548">
        <v>820</v>
      </c>
      <c r="D350" s="548">
        <v>844300</v>
      </c>
      <c r="E350" s="548">
        <v>1</v>
      </c>
      <c r="F350" s="548" t="s">
        <v>143</v>
      </c>
      <c r="G350" s="67">
        <v>5428000</v>
      </c>
      <c r="H350" s="724">
        <v>5200000</v>
      </c>
      <c r="I350" s="625">
        <f>B350-'הוצאות '!B548</f>
        <v>0</v>
      </c>
    </row>
    <row r="351" spans="1:9">
      <c r="A351" s="550"/>
      <c r="B351" s="559">
        <v>1844300821</v>
      </c>
      <c r="C351" s="548">
        <v>821</v>
      </c>
      <c r="D351" s="548">
        <v>844300</v>
      </c>
      <c r="E351" s="548">
        <v>1</v>
      </c>
      <c r="F351" s="548" t="s">
        <v>144</v>
      </c>
      <c r="G351" s="67">
        <v>194000</v>
      </c>
      <c r="H351" s="724">
        <v>0</v>
      </c>
      <c r="I351" s="625">
        <f>B351-'הוצאות '!B549</f>
        <v>0</v>
      </c>
    </row>
    <row r="352" spans="1:9">
      <c r="A352" s="550"/>
      <c r="B352" s="559">
        <v>1844300822</v>
      </c>
      <c r="C352" s="548">
        <v>822</v>
      </c>
      <c r="D352" s="548">
        <v>844300</v>
      </c>
      <c r="E352" s="548">
        <v>1</v>
      </c>
      <c r="F352" s="548" t="s">
        <v>147</v>
      </c>
      <c r="G352" s="67">
        <v>40000</v>
      </c>
      <c r="H352" s="724">
        <v>40000</v>
      </c>
      <c r="I352" s="625">
        <f>B352-'הוצאות '!B550</f>
        <v>0</v>
      </c>
    </row>
    <row r="353" spans="1:9">
      <c r="A353" s="550"/>
      <c r="B353" s="559">
        <v>1844400820</v>
      </c>
      <c r="C353" s="548">
        <v>820</v>
      </c>
      <c r="D353" s="548">
        <v>844400</v>
      </c>
      <c r="E353" s="548">
        <v>1</v>
      </c>
      <c r="F353" s="548" t="s">
        <v>145</v>
      </c>
      <c r="G353" s="67">
        <v>607000</v>
      </c>
      <c r="H353" s="724">
        <v>0</v>
      </c>
      <c r="I353" s="625">
        <f>B353-'הוצאות '!B551</f>
        <v>0</v>
      </c>
    </row>
    <row r="354" spans="1:9">
      <c r="A354" s="550"/>
      <c r="B354" s="559">
        <v>1844400821</v>
      </c>
      <c r="C354" s="548">
        <v>821</v>
      </c>
      <c r="D354" s="548">
        <v>844400</v>
      </c>
      <c r="E354" s="548">
        <v>1</v>
      </c>
      <c r="F354" s="548" t="s">
        <v>746</v>
      </c>
      <c r="G354" s="67">
        <v>231000</v>
      </c>
      <c r="H354" s="724">
        <v>242000</v>
      </c>
      <c r="I354" s="625">
        <f>B354-'הוצאות '!B552</f>
        <v>0</v>
      </c>
    </row>
    <row r="355" spans="1:9">
      <c r="A355" s="550"/>
      <c r="B355" s="559">
        <v>1844400822</v>
      </c>
      <c r="C355" s="548">
        <v>822</v>
      </c>
      <c r="D355" s="548">
        <v>844400</v>
      </c>
      <c r="E355" s="548">
        <v>1</v>
      </c>
      <c r="F355" s="548" t="s">
        <v>2204</v>
      </c>
      <c r="G355" s="67">
        <v>458000</v>
      </c>
      <c r="H355" s="724">
        <v>286000</v>
      </c>
      <c r="I355" s="625">
        <f>B355-'הוצאות '!B553</f>
        <v>0</v>
      </c>
    </row>
    <row r="356" spans="1:9">
      <c r="A356" s="550" t="s">
        <v>4</v>
      </c>
      <c r="B356" s="559">
        <v>1844400823</v>
      </c>
      <c r="C356" s="548">
        <v>823</v>
      </c>
      <c r="D356" s="548">
        <v>844400</v>
      </c>
      <c r="E356" s="548">
        <v>1</v>
      </c>
      <c r="F356" s="548" t="s">
        <v>150</v>
      </c>
      <c r="G356" s="67">
        <v>1249000</v>
      </c>
      <c r="H356" s="724">
        <v>130000</v>
      </c>
      <c r="I356" s="625">
        <f>B356-'הוצאות '!B554</f>
        <v>0</v>
      </c>
    </row>
    <row r="357" spans="1:9">
      <c r="A357" s="520"/>
      <c r="B357" s="521"/>
      <c r="C357" s="522"/>
      <c r="D357" s="522"/>
      <c r="E357" s="522"/>
      <c r="F357" s="522" t="s">
        <v>3012</v>
      </c>
      <c r="G357" s="286"/>
      <c r="H357" s="725">
        <v>1827000</v>
      </c>
      <c r="I357" s="625">
        <f>B357-'הוצאות '!B556</f>
        <v>-1844400825</v>
      </c>
    </row>
    <row r="358" spans="1:9">
      <c r="A358" s="520"/>
      <c r="B358" s="521"/>
      <c r="C358" s="522"/>
      <c r="D358" s="522"/>
      <c r="E358" s="522"/>
      <c r="F358" s="522" t="s">
        <v>3013</v>
      </c>
      <c r="G358" s="286"/>
      <c r="H358" s="725">
        <v>1596000</v>
      </c>
      <c r="I358" s="625">
        <f>B358-'הוצאות '!B557</f>
        <v>-1844400826</v>
      </c>
    </row>
    <row r="359" spans="1:9">
      <c r="A359" s="520"/>
      <c r="B359" s="521"/>
      <c r="C359" s="522"/>
      <c r="D359" s="522"/>
      <c r="E359" s="522"/>
      <c r="F359" s="720" t="s">
        <v>3014</v>
      </c>
      <c r="G359" s="286"/>
      <c r="H359" s="725">
        <v>875000</v>
      </c>
      <c r="I359" s="625">
        <f>B359-'הוצאות '!B558</f>
        <v>-1844400827</v>
      </c>
    </row>
    <row r="360" spans="1:9">
      <c r="A360" s="550"/>
      <c r="B360" s="559">
        <v>1844400825</v>
      </c>
      <c r="C360" s="548">
        <v>825</v>
      </c>
      <c r="D360" s="548">
        <v>844400</v>
      </c>
      <c r="E360" s="548">
        <v>1</v>
      </c>
      <c r="F360" s="548" t="s">
        <v>749</v>
      </c>
      <c r="G360" s="67">
        <v>162000</v>
      </c>
      <c r="H360" s="724">
        <v>0</v>
      </c>
      <c r="I360" s="625">
        <f>B360-'הוצאות '!B561</f>
        <v>-99985</v>
      </c>
    </row>
    <row r="361" spans="1:9">
      <c r="A361" s="550"/>
      <c r="B361" s="559">
        <v>1844400826</v>
      </c>
      <c r="C361" s="548">
        <v>826</v>
      </c>
      <c r="D361" s="548">
        <v>844400</v>
      </c>
      <c r="E361" s="548">
        <v>1</v>
      </c>
      <c r="F361" s="548" t="s">
        <v>149</v>
      </c>
      <c r="G361" s="67">
        <v>607000</v>
      </c>
      <c r="H361" s="724">
        <v>0</v>
      </c>
      <c r="I361" s="625">
        <f>B361-'הוצאות '!B562</f>
        <v>1844400826</v>
      </c>
    </row>
    <row r="362" spans="1:9">
      <c r="A362" s="550"/>
      <c r="B362" s="559">
        <v>1844400827</v>
      </c>
      <c r="C362" s="548">
        <v>827</v>
      </c>
      <c r="D362" s="548">
        <v>844400</v>
      </c>
      <c r="E362" s="548">
        <v>1</v>
      </c>
      <c r="F362" s="548" t="s">
        <v>1515</v>
      </c>
      <c r="G362" s="67">
        <v>276000</v>
      </c>
      <c r="H362" s="724">
        <v>0</v>
      </c>
      <c r="I362" s="625">
        <f>B362-'הוצאות '!B563</f>
        <v>-699993</v>
      </c>
    </row>
    <row r="363" spans="1:9">
      <c r="A363" s="550" t="s">
        <v>4</v>
      </c>
      <c r="B363" s="559">
        <v>1844500810</v>
      </c>
      <c r="C363" s="548">
        <v>810</v>
      </c>
      <c r="D363" s="548">
        <v>844500</v>
      </c>
      <c r="E363" s="548">
        <v>1</v>
      </c>
      <c r="F363" s="548" t="s">
        <v>751</v>
      </c>
      <c r="G363" s="67">
        <v>1000000</v>
      </c>
      <c r="H363" s="724">
        <v>0</v>
      </c>
      <c r="I363" s="625">
        <f>B363-'הוצאות '!B564</f>
        <v>-600011</v>
      </c>
    </row>
    <row r="364" spans="1:9" ht="15.75">
      <c r="A364" s="195" t="s">
        <v>753</v>
      </c>
      <c r="B364" s="277"/>
      <c r="C364" s="68">
        <v>999</v>
      </c>
      <c r="D364" s="68">
        <v>844000</v>
      </c>
      <c r="E364" s="548">
        <v>1</v>
      </c>
      <c r="F364" s="68"/>
      <c r="G364" s="69">
        <v>10252000</v>
      </c>
      <c r="H364" s="69">
        <v>10196000</v>
      </c>
      <c r="I364" s="625">
        <f>B364-'הוצאות '!B565</f>
        <v>-1845101821</v>
      </c>
    </row>
    <row r="365" spans="1:9">
      <c r="A365" s="550" t="s">
        <v>754</v>
      </c>
      <c r="B365" s="559">
        <v>1845100820</v>
      </c>
      <c r="C365" s="548">
        <v>820</v>
      </c>
      <c r="D365" s="548">
        <v>845100</v>
      </c>
      <c r="E365" s="548">
        <v>1</v>
      </c>
      <c r="F365" s="548" t="s">
        <v>153</v>
      </c>
      <c r="G365" s="67">
        <v>22502000</v>
      </c>
      <c r="H365" s="724">
        <v>21980000</v>
      </c>
      <c r="I365" s="625">
        <f>B365-'הוצאות '!B563</f>
        <v>0</v>
      </c>
    </row>
    <row r="366" spans="1:9">
      <c r="A366" s="550"/>
      <c r="B366" s="559">
        <v>1845100821</v>
      </c>
      <c r="C366" s="548">
        <v>821</v>
      </c>
      <c r="D366" s="548">
        <v>845100</v>
      </c>
      <c r="E366" s="548">
        <v>1</v>
      </c>
      <c r="F366" s="548" t="s">
        <v>154</v>
      </c>
      <c r="G366" s="67">
        <v>4170000</v>
      </c>
      <c r="H366" s="724">
        <v>3972000.333333333</v>
      </c>
      <c r="I366" s="625">
        <f>B366-'הוצאות '!B564</f>
        <v>0</v>
      </c>
    </row>
    <row r="367" spans="1:9">
      <c r="A367" s="550"/>
      <c r="B367" s="559">
        <v>1845101821</v>
      </c>
      <c r="C367" s="548">
        <v>821</v>
      </c>
      <c r="D367" s="548">
        <v>845101</v>
      </c>
      <c r="E367" s="548">
        <v>1</v>
      </c>
      <c r="F367" s="548" t="s">
        <v>160</v>
      </c>
      <c r="G367" s="67">
        <v>8107000</v>
      </c>
      <c r="H367" s="724">
        <v>8735000</v>
      </c>
      <c r="I367" s="625">
        <f>B367-'הוצאות '!B565</f>
        <v>0</v>
      </c>
    </row>
    <row r="368" spans="1:9">
      <c r="A368" s="550"/>
      <c r="B368" s="559">
        <v>1845101822</v>
      </c>
      <c r="C368" s="548">
        <v>822</v>
      </c>
      <c r="D368" s="548">
        <v>845101</v>
      </c>
      <c r="E368" s="548">
        <v>1</v>
      </c>
      <c r="F368" s="548" t="s">
        <v>159</v>
      </c>
      <c r="G368" s="67">
        <v>79000</v>
      </c>
      <c r="H368" s="724">
        <v>63000.333333333336</v>
      </c>
      <c r="I368" s="625">
        <f>B368-'הוצאות '!B566</f>
        <v>0</v>
      </c>
    </row>
    <row r="369" spans="1:9">
      <c r="A369" s="550"/>
      <c r="B369" s="559">
        <v>1845200820</v>
      </c>
      <c r="C369" s="548">
        <v>820</v>
      </c>
      <c r="D369" s="548">
        <v>845200</v>
      </c>
      <c r="E369" s="548">
        <v>1</v>
      </c>
      <c r="F369" s="548" t="s">
        <v>155</v>
      </c>
      <c r="G369" s="67">
        <v>600000</v>
      </c>
      <c r="H369" s="724">
        <v>600000</v>
      </c>
      <c r="I369" s="625">
        <f>B369-'הוצאות '!B567</f>
        <v>0</v>
      </c>
    </row>
    <row r="370" spans="1:9">
      <c r="A370" s="550"/>
      <c r="B370" s="559">
        <v>1845200821</v>
      </c>
      <c r="C370" s="548">
        <v>821</v>
      </c>
      <c r="D370" s="548">
        <v>845200</v>
      </c>
      <c r="E370" s="548">
        <v>1</v>
      </c>
      <c r="F370" s="548" t="s">
        <v>757</v>
      </c>
      <c r="G370" s="67">
        <v>1409000</v>
      </c>
      <c r="H370" s="724">
        <v>699999.66666666674</v>
      </c>
      <c r="I370" s="625">
        <f>B370-'הוצאות '!B568</f>
        <v>0</v>
      </c>
    </row>
    <row r="371" spans="1:9">
      <c r="A371" s="550"/>
      <c r="B371" s="559">
        <v>1845200822</v>
      </c>
      <c r="C371" s="548">
        <v>822</v>
      </c>
      <c r="D371" s="548">
        <v>845200</v>
      </c>
      <c r="E371" s="548">
        <v>1</v>
      </c>
      <c r="F371" s="548" t="s">
        <v>156</v>
      </c>
      <c r="G371" s="67">
        <v>2162000</v>
      </c>
      <c r="H371" s="724">
        <v>3274000</v>
      </c>
      <c r="I371" s="625">
        <f>B371-'הוצאות '!B569</f>
        <v>0</v>
      </c>
    </row>
    <row r="372" spans="1:9">
      <c r="A372" s="550"/>
      <c r="B372" s="559">
        <v>1845200824</v>
      </c>
      <c r="C372" s="548">
        <v>824</v>
      </c>
      <c r="D372" s="548">
        <v>845200</v>
      </c>
      <c r="E372" s="548">
        <v>1</v>
      </c>
      <c r="F372" s="548" t="s">
        <v>758</v>
      </c>
      <c r="G372" s="67">
        <v>27000</v>
      </c>
      <c r="H372" s="724">
        <v>31000.333333333332</v>
      </c>
      <c r="I372" s="625">
        <f>B372-'הוצאות '!B570</f>
        <v>0</v>
      </c>
    </row>
    <row r="373" spans="1:9">
      <c r="A373" s="550"/>
      <c r="B373" s="559">
        <v>1845200825</v>
      </c>
      <c r="C373" s="548">
        <v>825</v>
      </c>
      <c r="D373" s="548">
        <v>845200</v>
      </c>
      <c r="E373" s="548">
        <v>1</v>
      </c>
      <c r="F373" s="548" t="s">
        <v>163</v>
      </c>
      <c r="G373" s="67">
        <v>800000</v>
      </c>
      <c r="H373" s="724">
        <v>659999.66666666663</v>
      </c>
      <c r="I373" s="625">
        <f>B373-'הוצאות '!B571</f>
        <v>0</v>
      </c>
    </row>
    <row r="374" spans="1:9">
      <c r="A374" s="550"/>
      <c r="B374" s="559">
        <v>1845200826</v>
      </c>
      <c r="C374" s="548">
        <v>826</v>
      </c>
      <c r="D374" s="548">
        <v>845200</v>
      </c>
      <c r="E374" s="548">
        <v>1</v>
      </c>
      <c r="F374" s="474" t="s">
        <v>2183</v>
      </c>
      <c r="G374" s="67">
        <v>15000</v>
      </c>
      <c r="H374" s="724">
        <v>13000.333333333332</v>
      </c>
      <c r="I374" s="625">
        <f>B374-'הוצאות '!B572</f>
        <v>0</v>
      </c>
    </row>
    <row r="375" spans="1:9">
      <c r="A375" s="550"/>
      <c r="B375" s="559">
        <v>1845200827</v>
      </c>
      <c r="C375" s="548">
        <v>827</v>
      </c>
      <c r="D375" s="548">
        <v>845200</v>
      </c>
      <c r="E375" s="548">
        <v>1</v>
      </c>
      <c r="F375" s="548" t="s">
        <v>759</v>
      </c>
      <c r="G375" s="67">
        <v>0</v>
      </c>
      <c r="H375" s="724">
        <v>0</v>
      </c>
      <c r="I375" s="625">
        <f>B375-'הוצאות '!B573</f>
        <v>0</v>
      </c>
    </row>
    <row r="376" spans="1:9">
      <c r="A376" s="550"/>
      <c r="B376" s="559">
        <v>1845200828</v>
      </c>
      <c r="C376" s="548">
        <v>828</v>
      </c>
      <c r="D376" s="548">
        <v>845200</v>
      </c>
      <c r="E376" s="548">
        <v>1</v>
      </c>
      <c r="F376" s="548" t="s">
        <v>165</v>
      </c>
      <c r="G376" s="67">
        <v>40000</v>
      </c>
      <c r="H376" s="724">
        <v>47000</v>
      </c>
      <c r="I376" s="625">
        <f>B376-'הוצאות '!B574</f>
        <v>0</v>
      </c>
    </row>
    <row r="377" spans="1:9">
      <c r="A377" s="550"/>
      <c r="B377" s="559">
        <v>1845200829</v>
      </c>
      <c r="C377" s="548">
        <v>829</v>
      </c>
      <c r="D377" s="548">
        <v>845200</v>
      </c>
      <c r="E377" s="548">
        <v>1</v>
      </c>
      <c r="F377" s="548" t="s">
        <v>760</v>
      </c>
      <c r="G377" s="67">
        <v>164000</v>
      </c>
      <c r="H377" s="724">
        <v>220000</v>
      </c>
      <c r="I377" s="625">
        <f>B377-'הוצאות '!B575</f>
        <v>0</v>
      </c>
    </row>
    <row r="378" spans="1:9">
      <c r="A378" s="550"/>
      <c r="B378" s="559">
        <v>1845300820</v>
      </c>
      <c r="C378" s="548">
        <v>820</v>
      </c>
      <c r="D378" s="548">
        <v>845300</v>
      </c>
      <c r="E378" s="548">
        <v>1</v>
      </c>
      <c r="F378" s="548" t="s">
        <v>157</v>
      </c>
      <c r="G378" s="67">
        <v>0</v>
      </c>
      <c r="H378" s="724">
        <v>0</v>
      </c>
      <c r="I378" s="625" t="e">
        <f>B378-'הוצאות '!#REF!</f>
        <v>#REF!</v>
      </c>
    </row>
    <row r="379" spans="1:9">
      <c r="A379" s="550" t="s">
        <v>761</v>
      </c>
      <c r="B379" s="518">
        <v>1845400110</v>
      </c>
      <c r="C379" s="548">
        <v>110</v>
      </c>
      <c r="D379" s="548">
        <v>845400</v>
      </c>
      <c r="E379" s="480">
        <v>1</v>
      </c>
      <c r="F379" s="548" t="s">
        <v>762</v>
      </c>
      <c r="G379" s="67">
        <v>2126000</v>
      </c>
      <c r="H379" s="724">
        <v>2141000</v>
      </c>
      <c r="I379" s="625">
        <f>B379-'הוצאות '!B576</f>
        <v>0</v>
      </c>
    </row>
    <row r="380" spans="1:9">
      <c r="A380" s="550"/>
      <c r="B380" s="559">
        <v>1845400420</v>
      </c>
      <c r="C380" s="548">
        <v>420</v>
      </c>
      <c r="D380" s="548">
        <v>845400</v>
      </c>
      <c r="E380" s="548">
        <v>1</v>
      </c>
      <c r="F380" s="548" t="s">
        <v>763</v>
      </c>
      <c r="G380" s="67">
        <v>45000</v>
      </c>
      <c r="H380" s="724">
        <v>45000</v>
      </c>
      <c r="I380" s="625">
        <f>B380-'הוצאות '!B577</f>
        <v>0</v>
      </c>
    </row>
    <row r="381" spans="1:9">
      <c r="A381" s="550"/>
      <c r="B381" s="559">
        <v>1845400530</v>
      </c>
      <c r="C381" s="548">
        <v>530</v>
      </c>
      <c r="D381" s="548">
        <v>845400</v>
      </c>
      <c r="E381" s="548">
        <v>1</v>
      </c>
      <c r="F381" s="548" t="s">
        <v>277</v>
      </c>
      <c r="G381" s="67">
        <v>70000</v>
      </c>
      <c r="H381" s="724">
        <v>70000</v>
      </c>
      <c r="I381" s="625">
        <f>B381-'הוצאות '!B578</f>
        <v>0</v>
      </c>
    </row>
    <row r="382" spans="1:9">
      <c r="A382" s="550"/>
      <c r="B382" s="559">
        <v>1845400720</v>
      </c>
      <c r="C382" s="548">
        <v>720</v>
      </c>
      <c r="D382" s="548">
        <v>845400</v>
      </c>
      <c r="E382" s="548">
        <v>1</v>
      </c>
      <c r="F382" s="548" t="s">
        <v>400</v>
      </c>
      <c r="G382" s="67">
        <v>100000</v>
      </c>
      <c r="H382" s="724">
        <v>100000</v>
      </c>
      <c r="I382" s="625">
        <f>B382-'הוצאות '!B579</f>
        <v>0</v>
      </c>
    </row>
    <row r="383" spans="1:9">
      <c r="A383" s="550"/>
      <c r="B383" s="559">
        <v>1845400780</v>
      </c>
      <c r="C383" s="548">
        <v>780</v>
      </c>
      <c r="D383" s="548">
        <v>845400</v>
      </c>
      <c r="E383" s="548">
        <v>1</v>
      </c>
      <c r="F383" s="548" t="s">
        <v>280</v>
      </c>
      <c r="G383" s="67">
        <v>1730000</v>
      </c>
      <c r="H383" s="724">
        <v>1772000.333333333</v>
      </c>
      <c r="I383" s="625">
        <f>B383-'הוצאות '!B580</f>
        <v>0</v>
      </c>
    </row>
    <row r="384" spans="1:9">
      <c r="A384" s="550"/>
      <c r="B384" s="559">
        <v>1845400781</v>
      </c>
      <c r="C384" s="548">
        <v>781</v>
      </c>
      <c r="D384" s="548">
        <v>845400</v>
      </c>
      <c r="E384" s="548">
        <v>1</v>
      </c>
      <c r="F384" s="548" t="s">
        <v>767</v>
      </c>
      <c r="G384" s="67">
        <v>400000</v>
      </c>
      <c r="H384" s="724">
        <v>400000</v>
      </c>
      <c r="I384" s="625">
        <f>B384-'הוצאות '!B581</f>
        <v>0</v>
      </c>
    </row>
    <row r="385" spans="1:9">
      <c r="A385" s="550" t="s">
        <v>4</v>
      </c>
      <c r="B385" s="559">
        <v>1845400820</v>
      </c>
      <c r="C385" s="548">
        <v>820</v>
      </c>
      <c r="D385" s="548">
        <v>845400</v>
      </c>
      <c r="E385" s="548">
        <v>1</v>
      </c>
      <c r="F385" s="548" t="s">
        <v>769</v>
      </c>
      <c r="G385" s="67">
        <v>307000</v>
      </c>
      <c r="H385" s="724">
        <v>294000</v>
      </c>
      <c r="I385" s="625">
        <f>B385-'הוצאות '!B582</f>
        <v>0</v>
      </c>
    </row>
    <row r="386" spans="1:9">
      <c r="A386" s="550"/>
      <c r="B386" s="559">
        <v>1845400822</v>
      </c>
      <c r="C386" s="548">
        <v>822</v>
      </c>
      <c r="D386" s="548">
        <v>845400</v>
      </c>
      <c r="E386" s="548">
        <v>1</v>
      </c>
      <c r="F386" s="548" t="s">
        <v>169</v>
      </c>
      <c r="G386" s="67">
        <v>913000</v>
      </c>
      <c r="H386" s="724">
        <v>802000.40960000013</v>
      </c>
      <c r="I386" s="625">
        <f>B386-'הוצאות '!B583</f>
        <v>0</v>
      </c>
    </row>
    <row r="387" spans="1:9">
      <c r="A387" s="550"/>
      <c r="B387" s="559">
        <v>1845400823</v>
      </c>
      <c r="C387" s="548">
        <v>823</v>
      </c>
      <c r="D387" s="548">
        <v>845400</v>
      </c>
      <c r="E387" s="548">
        <v>1</v>
      </c>
      <c r="F387" s="548" t="s">
        <v>771</v>
      </c>
      <c r="G387" s="67">
        <v>97000</v>
      </c>
      <c r="H387" s="724">
        <v>0</v>
      </c>
      <c r="I387" s="625">
        <f>B387-'הוצאות '!B584</f>
        <v>0</v>
      </c>
    </row>
    <row r="388" spans="1:9" ht="15.75">
      <c r="A388" s="195" t="s">
        <v>772</v>
      </c>
      <c r="B388" s="277"/>
      <c r="C388" s="68">
        <v>999</v>
      </c>
      <c r="D388" s="68">
        <v>845000</v>
      </c>
      <c r="E388" s="548">
        <v>1</v>
      </c>
      <c r="F388" s="68" t="s">
        <v>4</v>
      </c>
      <c r="G388" s="69">
        <v>45863000</v>
      </c>
      <c r="H388" s="69">
        <v>45919001.409599997</v>
      </c>
      <c r="I388" s="625">
        <f>B388-'הוצאות '!B585</f>
        <v>0</v>
      </c>
    </row>
    <row r="389" spans="1:9">
      <c r="A389" s="550" t="s">
        <v>773</v>
      </c>
      <c r="B389" s="518">
        <v>1846300110</v>
      </c>
      <c r="C389" s="548">
        <v>110</v>
      </c>
      <c r="D389" s="548">
        <v>846300</v>
      </c>
      <c r="E389" s="480">
        <v>1</v>
      </c>
      <c r="F389" s="548" t="s">
        <v>774</v>
      </c>
      <c r="G389" s="67">
        <v>70000</v>
      </c>
      <c r="H389" s="724">
        <v>70000</v>
      </c>
      <c r="I389" s="625">
        <f>B389-'הוצאות '!B586</f>
        <v>0</v>
      </c>
    </row>
    <row r="390" spans="1:9">
      <c r="A390" s="550"/>
      <c r="B390" s="559">
        <v>1846300820</v>
      </c>
      <c r="C390" s="548">
        <v>820</v>
      </c>
      <c r="D390" s="548">
        <v>846300</v>
      </c>
      <c r="E390" s="548">
        <v>1</v>
      </c>
      <c r="F390" s="548" t="s">
        <v>174</v>
      </c>
      <c r="G390" s="67">
        <v>48000</v>
      </c>
      <c r="H390" s="724">
        <v>0</v>
      </c>
      <c r="I390" s="625">
        <f>B390-'הוצאות '!B587</f>
        <v>0</v>
      </c>
    </row>
    <row r="391" spans="1:9">
      <c r="A391" s="550"/>
      <c r="B391" s="559">
        <v>1846300822</v>
      </c>
      <c r="C391" s="548">
        <v>822</v>
      </c>
      <c r="D391" s="548">
        <v>846300</v>
      </c>
      <c r="E391" s="548">
        <v>1</v>
      </c>
      <c r="F391" s="548" t="s">
        <v>175</v>
      </c>
      <c r="G391" s="67">
        <v>105000</v>
      </c>
      <c r="H391" s="724">
        <v>128000</v>
      </c>
      <c r="I391" s="625">
        <f>B391-'הוצאות '!B588</f>
        <v>0</v>
      </c>
    </row>
    <row r="392" spans="1:9">
      <c r="A392" s="550"/>
      <c r="B392" s="559">
        <v>1846300823</v>
      </c>
      <c r="C392" s="548">
        <v>823</v>
      </c>
      <c r="D392" s="548">
        <v>846300</v>
      </c>
      <c r="E392" s="548">
        <v>1</v>
      </c>
      <c r="F392" s="548" t="s">
        <v>777</v>
      </c>
      <c r="G392" s="67">
        <v>20000</v>
      </c>
      <c r="H392" s="724">
        <v>20000</v>
      </c>
      <c r="I392" s="625">
        <f>B392-'הוצאות '!B589</f>
        <v>0</v>
      </c>
    </row>
    <row r="393" spans="1:9">
      <c r="A393" s="550"/>
      <c r="B393" s="559">
        <v>1846400822</v>
      </c>
      <c r="C393" s="548">
        <v>822</v>
      </c>
      <c r="D393" s="548">
        <v>846400</v>
      </c>
      <c r="E393" s="548">
        <v>1</v>
      </c>
      <c r="F393" s="548" t="s">
        <v>176</v>
      </c>
      <c r="G393" s="67">
        <v>310000</v>
      </c>
      <c r="H393" s="724">
        <v>178999.66666666666</v>
      </c>
      <c r="I393" s="625">
        <f>B393-'הוצאות '!B590</f>
        <v>0</v>
      </c>
    </row>
    <row r="394" spans="1:9">
      <c r="A394" s="550"/>
      <c r="B394" s="559">
        <v>1846500820</v>
      </c>
      <c r="C394" s="548">
        <v>820</v>
      </c>
      <c r="D394" s="548">
        <v>846500</v>
      </c>
      <c r="E394" s="548">
        <v>1</v>
      </c>
      <c r="F394" s="548" t="s">
        <v>178</v>
      </c>
      <c r="G394" s="67">
        <v>7521000</v>
      </c>
      <c r="H394" s="724">
        <v>9397000.3516273126</v>
      </c>
      <c r="I394" s="625">
        <f>B394-'הוצאות '!B591</f>
        <v>0</v>
      </c>
    </row>
    <row r="395" spans="1:9">
      <c r="A395" s="550"/>
      <c r="B395" s="559">
        <v>1846500821</v>
      </c>
      <c r="C395" s="548">
        <v>821</v>
      </c>
      <c r="D395" s="548">
        <v>846500</v>
      </c>
      <c r="E395" s="548">
        <v>1</v>
      </c>
      <c r="F395" s="548" t="s">
        <v>179</v>
      </c>
      <c r="G395" s="67">
        <v>153000</v>
      </c>
      <c r="H395" s="724">
        <v>119000</v>
      </c>
      <c r="I395" s="625">
        <f>B395-'הוצאות '!B592</f>
        <v>0</v>
      </c>
    </row>
    <row r="396" spans="1:9">
      <c r="A396" s="550"/>
      <c r="B396" s="559">
        <v>1846500822</v>
      </c>
      <c r="C396" s="548">
        <v>822</v>
      </c>
      <c r="D396" s="548">
        <v>846500</v>
      </c>
      <c r="E396" s="548">
        <v>1</v>
      </c>
      <c r="F396" s="548" t="s">
        <v>177</v>
      </c>
      <c r="G396" s="67">
        <v>215000</v>
      </c>
      <c r="H396" s="724">
        <v>198000</v>
      </c>
      <c r="I396" s="625">
        <f>B396-'הוצאות '!B593</f>
        <v>0</v>
      </c>
    </row>
    <row r="397" spans="1:9">
      <c r="A397" s="550" t="s">
        <v>4</v>
      </c>
      <c r="B397" s="559">
        <v>1846500825</v>
      </c>
      <c r="C397" s="548">
        <v>825</v>
      </c>
      <c r="D397" s="548">
        <v>846500</v>
      </c>
      <c r="E397" s="548">
        <v>1</v>
      </c>
      <c r="F397" s="548" t="s">
        <v>739</v>
      </c>
      <c r="G397" s="67">
        <v>43000</v>
      </c>
      <c r="H397" s="724">
        <v>41999.666666666664</v>
      </c>
      <c r="I397" s="625">
        <f>B397-'הוצאות '!B594</f>
        <v>0</v>
      </c>
    </row>
    <row r="398" spans="1:9">
      <c r="A398" s="550"/>
      <c r="B398" s="518">
        <v>1846600110</v>
      </c>
      <c r="C398" s="548">
        <v>110</v>
      </c>
      <c r="D398" s="548">
        <v>846600</v>
      </c>
      <c r="E398" s="480">
        <v>1</v>
      </c>
      <c r="F398" s="548" t="s">
        <v>182</v>
      </c>
      <c r="G398" s="67">
        <v>1149000</v>
      </c>
      <c r="H398" s="724">
        <v>1179000</v>
      </c>
      <c r="I398" s="625">
        <f>B398-'הוצאות '!B595</f>
        <v>0</v>
      </c>
    </row>
    <row r="399" spans="1:9">
      <c r="A399" s="550"/>
      <c r="B399" s="559">
        <v>1846600820</v>
      </c>
      <c r="C399" s="548">
        <v>820</v>
      </c>
      <c r="D399" s="548">
        <v>846600</v>
      </c>
      <c r="E399" s="548">
        <v>1</v>
      </c>
      <c r="F399" s="548" t="s">
        <v>186</v>
      </c>
      <c r="G399" s="67">
        <v>500000</v>
      </c>
      <c r="H399" s="724">
        <v>430000</v>
      </c>
      <c r="I399" s="625">
        <f>B399-'הוצאות '!B596</f>
        <v>0</v>
      </c>
    </row>
    <row r="400" spans="1:9">
      <c r="A400" s="550"/>
      <c r="B400" s="559">
        <v>1846600821</v>
      </c>
      <c r="C400" s="548">
        <v>821</v>
      </c>
      <c r="D400" s="548">
        <v>846600</v>
      </c>
      <c r="E400" s="548">
        <v>1</v>
      </c>
      <c r="F400" s="548" t="s">
        <v>782</v>
      </c>
      <c r="G400" s="67">
        <v>210000</v>
      </c>
      <c r="H400" s="724">
        <v>85999.666666666657</v>
      </c>
      <c r="I400" s="625">
        <f>B400-'הוצאות '!B597</f>
        <v>0</v>
      </c>
    </row>
    <row r="401" spans="1:9">
      <c r="A401" s="550"/>
      <c r="B401" s="559">
        <v>1846600822</v>
      </c>
      <c r="C401" s="548">
        <v>822</v>
      </c>
      <c r="D401" s="548">
        <v>846600</v>
      </c>
      <c r="E401" s="548">
        <v>1</v>
      </c>
      <c r="F401" s="548" t="s">
        <v>181</v>
      </c>
      <c r="G401" s="67">
        <v>900000</v>
      </c>
      <c r="H401" s="724">
        <v>1298000.2496</v>
      </c>
      <c r="I401" s="625">
        <f>B401-'הוצאות '!B598</f>
        <v>0</v>
      </c>
    </row>
    <row r="402" spans="1:9">
      <c r="A402" s="550"/>
      <c r="B402" s="559">
        <v>1846600824</v>
      </c>
      <c r="C402" s="548">
        <v>824</v>
      </c>
      <c r="D402" s="548">
        <v>846600</v>
      </c>
      <c r="E402" s="548">
        <v>1</v>
      </c>
      <c r="F402" s="548" t="s">
        <v>183</v>
      </c>
      <c r="G402" s="67">
        <v>60000</v>
      </c>
      <c r="H402" s="724">
        <v>32000</v>
      </c>
      <c r="I402" s="625">
        <f>B402-'הוצאות '!B599</f>
        <v>0</v>
      </c>
    </row>
    <row r="403" spans="1:9">
      <c r="A403" s="550"/>
      <c r="B403" s="559">
        <v>1846600826</v>
      </c>
      <c r="C403" s="548">
        <v>826</v>
      </c>
      <c r="D403" s="548">
        <v>846600</v>
      </c>
      <c r="E403" s="548">
        <v>1</v>
      </c>
      <c r="F403" s="548" t="s">
        <v>785</v>
      </c>
      <c r="G403" s="67">
        <v>3000000</v>
      </c>
      <c r="H403" s="724">
        <v>2430999.6666666665</v>
      </c>
      <c r="I403" s="625">
        <f>B403-'הוצאות '!B600</f>
        <v>0</v>
      </c>
    </row>
    <row r="404" spans="1:9">
      <c r="A404" s="550"/>
      <c r="B404" s="559">
        <v>1846600827</v>
      </c>
      <c r="C404" s="548">
        <v>827</v>
      </c>
      <c r="D404" s="548">
        <v>846600</v>
      </c>
      <c r="E404" s="548">
        <v>1</v>
      </c>
      <c r="F404" s="548" t="s">
        <v>185</v>
      </c>
      <c r="G404" s="67">
        <v>297000</v>
      </c>
      <c r="H404" s="724">
        <v>237000.33333333331</v>
      </c>
      <c r="I404" s="625">
        <f>B404-'הוצאות '!B601</f>
        <v>0</v>
      </c>
    </row>
    <row r="405" spans="1:9">
      <c r="A405" s="550"/>
      <c r="B405" s="518">
        <v>1846700110</v>
      </c>
      <c r="C405" s="548">
        <v>110</v>
      </c>
      <c r="D405" s="548">
        <v>846700</v>
      </c>
      <c r="E405" s="480">
        <v>1</v>
      </c>
      <c r="F405" s="548" t="s">
        <v>787</v>
      </c>
      <c r="G405" s="67">
        <v>337000</v>
      </c>
      <c r="H405" s="724">
        <v>257000</v>
      </c>
      <c r="I405" s="625">
        <f>B405-'הוצאות '!B602</f>
        <v>0</v>
      </c>
    </row>
    <row r="406" spans="1:9">
      <c r="A406" s="550"/>
      <c r="B406" s="559">
        <v>1846700820</v>
      </c>
      <c r="C406" s="548">
        <v>820</v>
      </c>
      <c r="D406" s="548">
        <v>846700</v>
      </c>
      <c r="E406" s="548">
        <v>1</v>
      </c>
      <c r="F406" s="548" t="s">
        <v>187</v>
      </c>
      <c r="G406" s="67">
        <v>124000</v>
      </c>
      <c r="H406" s="724">
        <v>125000</v>
      </c>
      <c r="I406" s="625">
        <f>B406-'הוצאות '!B603</f>
        <v>0</v>
      </c>
    </row>
    <row r="407" spans="1:9">
      <c r="A407" s="550"/>
      <c r="B407" s="559">
        <v>1846700822</v>
      </c>
      <c r="C407" s="548">
        <v>822</v>
      </c>
      <c r="D407" s="548">
        <v>846700</v>
      </c>
      <c r="E407" s="548">
        <v>1</v>
      </c>
      <c r="F407" s="548" t="s">
        <v>188</v>
      </c>
      <c r="G407" s="67">
        <v>45000</v>
      </c>
      <c r="H407" s="724">
        <v>45000</v>
      </c>
      <c r="I407" s="625">
        <f>B407-'הוצאות '!B604</f>
        <v>0</v>
      </c>
    </row>
    <row r="408" spans="1:9">
      <c r="A408" s="550"/>
      <c r="B408" s="559">
        <v>1846800820</v>
      </c>
      <c r="C408" s="548">
        <v>820</v>
      </c>
      <c r="D408" s="548">
        <v>846800</v>
      </c>
      <c r="E408" s="548">
        <v>1</v>
      </c>
      <c r="F408" s="548" t="s">
        <v>190</v>
      </c>
      <c r="G408" s="67">
        <v>70000</v>
      </c>
      <c r="H408" s="724">
        <v>72000.333333333343</v>
      </c>
      <c r="I408" s="625">
        <f>B408-'הוצאות '!B605</f>
        <v>0</v>
      </c>
    </row>
    <row r="409" spans="1:9">
      <c r="A409" s="550"/>
      <c r="B409" s="559">
        <v>1846800821</v>
      </c>
      <c r="C409" s="548">
        <v>821</v>
      </c>
      <c r="D409" s="548">
        <v>846800</v>
      </c>
      <c r="E409" s="548">
        <v>1</v>
      </c>
      <c r="F409" s="548" t="s">
        <v>191</v>
      </c>
      <c r="G409" s="67">
        <v>70000</v>
      </c>
      <c r="H409" s="724">
        <v>92799.977199999994</v>
      </c>
      <c r="I409" s="625">
        <f>B409-'הוצאות '!B606</f>
        <v>0</v>
      </c>
    </row>
    <row r="410" spans="1:9">
      <c r="A410" s="550"/>
      <c r="B410" s="559">
        <v>1846800822</v>
      </c>
      <c r="C410" s="548">
        <v>822</v>
      </c>
      <c r="D410" s="548">
        <v>846800</v>
      </c>
      <c r="E410" s="548">
        <v>1</v>
      </c>
      <c r="F410" s="548" t="s">
        <v>192</v>
      </c>
      <c r="G410" s="67">
        <v>80000</v>
      </c>
      <c r="H410" s="724">
        <v>49999.666666666672</v>
      </c>
      <c r="I410" s="625">
        <f>B410-'הוצאות '!B607</f>
        <v>0</v>
      </c>
    </row>
    <row r="411" spans="1:9">
      <c r="A411" s="550"/>
      <c r="B411" s="559">
        <v>1846800824</v>
      </c>
      <c r="C411" s="548">
        <v>824</v>
      </c>
      <c r="D411" s="548">
        <v>846800</v>
      </c>
      <c r="E411" s="548">
        <v>1</v>
      </c>
      <c r="F411" s="548" t="s">
        <v>793</v>
      </c>
      <c r="G411" s="67">
        <v>113000</v>
      </c>
      <c r="H411" s="724">
        <v>180000</v>
      </c>
      <c r="I411" s="625">
        <f>B411-'הוצאות '!B608</f>
        <v>0</v>
      </c>
    </row>
    <row r="412" spans="1:9">
      <c r="A412" s="550"/>
      <c r="B412" s="518">
        <v>1846800110</v>
      </c>
      <c r="C412" s="548">
        <v>110</v>
      </c>
      <c r="D412" s="548">
        <v>846800</v>
      </c>
      <c r="E412" s="480">
        <v>1</v>
      </c>
      <c r="F412" s="548" t="s">
        <v>794</v>
      </c>
      <c r="G412" s="67">
        <v>150000</v>
      </c>
      <c r="H412" s="724">
        <v>155000</v>
      </c>
      <c r="I412" s="625">
        <f>B412-'הוצאות '!B609</f>
        <v>0</v>
      </c>
    </row>
    <row r="413" spans="1:9">
      <c r="A413" s="550"/>
      <c r="B413" s="559">
        <v>1846800825</v>
      </c>
      <c r="C413" s="548">
        <v>825</v>
      </c>
      <c r="D413" s="548">
        <v>846800</v>
      </c>
      <c r="E413" s="548">
        <v>1</v>
      </c>
      <c r="F413" s="548" t="s">
        <v>193</v>
      </c>
      <c r="G413" s="67">
        <v>215000</v>
      </c>
      <c r="H413" s="724">
        <v>155000</v>
      </c>
      <c r="I413" s="625">
        <f>B413-'הוצאות '!B610</f>
        <v>0</v>
      </c>
    </row>
    <row r="414" spans="1:9" ht="15.75">
      <c r="A414" s="195" t="s">
        <v>795</v>
      </c>
      <c r="B414" s="277"/>
      <c r="C414" s="68">
        <v>999</v>
      </c>
      <c r="D414" s="68">
        <v>846000</v>
      </c>
      <c r="E414" s="548">
        <v>1</v>
      </c>
      <c r="F414" s="68" t="s">
        <v>4</v>
      </c>
      <c r="G414" s="69">
        <v>15805000</v>
      </c>
      <c r="H414" s="69">
        <v>16977799.578427311</v>
      </c>
      <c r="I414" s="625">
        <f>B414-'הוצאות '!B611</f>
        <v>0</v>
      </c>
    </row>
    <row r="415" spans="1:9">
      <c r="A415" s="550" t="s">
        <v>796</v>
      </c>
      <c r="B415" s="518">
        <v>1847100110</v>
      </c>
      <c r="C415" s="548">
        <v>110</v>
      </c>
      <c r="D415" s="548">
        <v>847100</v>
      </c>
      <c r="E415" s="480">
        <v>1</v>
      </c>
      <c r="F415" s="548" t="s">
        <v>797</v>
      </c>
      <c r="G415" s="67">
        <v>197000</v>
      </c>
      <c r="H415" s="724">
        <v>228000</v>
      </c>
      <c r="I415" s="625">
        <f>B415-'הוצאות '!B612</f>
        <v>0</v>
      </c>
    </row>
    <row r="416" spans="1:9">
      <c r="A416" s="550" t="s">
        <v>4</v>
      </c>
      <c r="B416" s="559">
        <v>1847100821</v>
      </c>
      <c r="C416" s="548">
        <v>821</v>
      </c>
      <c r="D416" s="548">
        <v>847100</v>
      </c>
      <c r="E416" s="548">
        <v>1</v>
      </c>
      <c r="F416" s="548" t="s">
        <v>196</v>
      </c>
      <c r="G416" s="67">
        <v>52000</v>
      </c>
      <c r="H416" s="724">
        <v>35000</v>
      </c>
      <c r="I416" s="625">
        <f>B416-'הוצאות '!B613</f>
        <v>0</v>
      </c>
    </row>
    <row r="417" spans="1:9">
      <c r="A417" s="550"/>
      <c r="B417" s="559">
        <v>1847100822</v>
      </c>
      <c r="C417" s="548">
        <v>822</v>
      </c>
      <c r="D417" s="548">
        <v>847100</v>
      </c>
      <c r="E417" s="548">
        <v>1</v>
      </c>
      <c r="F417" s="548" t="s">
        <v>2211</v>
      </c>
      <c r="G417" s="67">
        <v>25000</v>
      </c>
      <c r="H417" s="724">
        <v>0</v>
      </c>
      <c r="I417" s="625">
        <f>B417-'הוצאות '!B614</f>
        <v>0</v>
      </c>
    </row>
    <row r="418" spans="1:9">
      <c r="A418" s="550"/>
      <c r="B418" s="559">
        <v>1847100825</v>
      </c>
      <c r="C418" s="548">
        <v>825</v>
      </c>
      <c r="D418" s="548">
        <v>847100</v>
      </c>
      <c r="E418" s="548">
        <v>1</v>
      </c>
      <c r="F418" s="548" t="s">
        <v>197</v>
      </c>
      <c r="G418" s="67">
        <v>1416000</v>
      </c>
      <c r="H418" s="724">
        <v>979000</v>
      </c>
      <c r="I418" s="625">
        <f>B418-'הוצאות '!B615</f>
        <v>0</v>
      </c>
    </row>
    <row r="419" spans="1:9">
      <c r="A419" s="550"/>
      <c r="B419" s="559">
        <v>1847100826</v>
      </c>
      <c r="C419" s="548">
        <v>826</v>
      </c>
      <c r="D419" s="548">
        <v>847100</v>
      </c>
      <c r="E419" s="548">
        <v>1</v>
      </c>
      <c r="F419" s="548" t="s">
        <v>198</v>
      </c>
      <c r="G419" s="67">
        <v>60000</v>
      </c>
      <c r="H419" s="724">
        <v>60000</v>
      </c>
      <c r="I419" s="625">
        <f>B419-'הוצאות '!B616</f>
        <v>0</v>
      </c>
    </row>
    <row r="420" spans="1:9">
      <c r="A420" s="550"/>
      <c r="B420" s="521"/>
      <c r="C420" s="522"/>
      <c r="D420" s="522"/>
      <c r="E420" s="522"/>
      <c r="F420" s="522" t="s">
        <v>3151</v>
      </c>
      <c r="G420" s="286">
        <v>0</v>
      </c>
      <c r="H420" s="725">
        <v>25000</v>
      </c>
      <c r="I420" s="625">
        <f>B420-'הוצאות '!B618</f>
        <v>-1847110110</v>
      </c>
    </row>
    <row r="421" spans="1:9">
      <c r="A421" s="550"/>
      <c r="B421" s="518">
        <v>1847110110</v>
      </c>
      <c r="C421" s="548">
        <v>110</v>
      </c>
      <c r="D421" s="548">
        <v>847110</v>
      </c>
      <c r="E421" s="480">
        <v>1</v>
      </c>
      <c r="F421" s="548" t="s">
        <v>2478</v>
      </c>
      <c r="G421" s="67">
        <v>105300</v>
      </c>
      <c r="H421" s="724">
        <v>0</v>
      </c>
      <c r="I421" s="625">
        <f>B421-'הוצאות '!B618</f>
        <v>0</v>
      </c>
    </row>
    <row r="422" spans="1:9">
      <c r="A422" s="550"/>
      <c r="B422" s="559">
        <v>1847110810</v>
      </c>
      <c r="C422" s="548">
        <v>810</v>
      </c>
      <c r="D422" s="548">
        <v>847110</v>
      </c>
      <c r="E422" s="548">
        <v>1</v>
      </c>
      <c r="F422" s="548" t="s">
        <v>2479</v>
      </c>
      <c r="G422" s="67">
        <v>4000</v>
      </c>
      <c r="H422" s="724">
        <v>0</v>
      </c>
      <c r="I422" s="625">
        <f>B422-'הוצאות '!B620</f>
        <v>-89300</v>
      </c>
    </row>
    <row r="423" spans="1:9">
      <c r="A423" s="550"/>
      <c r="B423" s="518">
        <v>1847200110</v>
      </c>
      <c r="C423" s="548">
        <v>110</v>
      </c>
      <c r="D423" s="548">
        <v>847200</v>
      </c>
      <c r="E423" s="480">
        <v>1</v>
      </c>
      <c r="F423" s="548" t="s">
        <v>199</v>
      </c>
      <c r="G423" s="67">
        <v>164000</v>
      </c>
      <c r="H423" s="724">
        <v>184000</v>
      </c>
      <c r="I423" s="625">
        <f>B423-'הוצאות '!B620</f>
        <v>0</v>
      </c>
    </row>
    <row r="424" spans="1:9">
      <c r="A424" s="550"/>
      <c r="B424" s="518">
        <v>1847300110</v>
      </c>
      <c r="C424" s="548">
        <v>110</v>
      </c>
      <c r="D424" s="548">
        <v>847300</v>
      </c>
      <c r="E424" s="480">
        <v>1</v>
      </c>
      <c r="F424" s="548" t="s">
        <v>2213</v>
      </c>
      <c r="G424" s="67">
        <v>65000</v>
      </c>
      <c r="H424" s="724">
        <v>0</v>
      </c>
      <c r="I424" s="625">
        <f>B424-'הוצאות '!B621</f>
        <v>0</v>
      </c>
    </row>
    <row r="425" spans="1:9">
      <c r="A425" s="550"/>
      <c r="B425" s="559">
        <v>1847300813</v>
      </c>
      <c r="C425" s="548">
        <v>813</v>
      </c>
      <c r="D425" s="548">
        <v>847300</v>
      </c>
      <c r="E425" s="548">
        <v>1</v>
      </c>
      <c r="F425" s="548" t="s">
        <v>799</v>
      </c>
      <c r="G425" s="67">
        <v>123000</v>
      </c>
      <c r="H425" s="724">
        <v>0</v>
      </c>
      <c r="I425" s="625">
        <f>B425-'הוצאות '!B622</f>
        <v>0</v>
      </c>
    </row>
    <row r="426" spans="1:9">
      <c r="A426" s="550"/>
      <c r="B426" s="559">
        <v>1847300814</v>
      </c>
      <c r="C426" s="548">
        <v>814</v>
      </c>
      <c r="D426" s="548">
        <v>847300</v>
      </c>
      <c r="E426" s="548">
        <v>1</v>
      </c>
      <c r="F426" s="548" t="s">
        <v>2214</v>
      </c>
      <c r="G426" s="67">
        <v>240000</v>
      </c>
      <c r="H426" s="724">
        <v>624000</v>
      </c>
      <c r="I426" s="625">
        <f>B426-'הוצאות '!B623</f>
        <v>0</v>
      </c>
    </row>
    <row r="427" spans="1:9">
      <c r="A427" s="550"/>
      <c r="B427" s="559">
        <v>1847300820</v>
      </c>
      <c r="C427" s="548">
        <v>820</v>
      </c>
      <c r="D427" s="548">
        <v>847300</v>
      </c>
      <c r="E427" s="548">
        <v>1</v>
      </c>
      <c r="F427" s="548" t="s">
        <v>801</v>
      </c>
      <c r="G427" s="67">
        <v>0</v>
      </c>
      <c r="H427" s="724">
        <v>0</v>
      </c>
      <c r="I427" s="625">
        <f>B427-'הוצאות '!B624</f>
        <v>0</v>
      </c>
    </row>
    <row r="428" spans="1:9">
      <c r="A428" s="550"/>
      <c r="B428" s="559">
        <v>1847300822</v>
      </c>
      <c r="C428" s="548">
        <v>822</v>
      </c>
      <c r="D428" s="548">
        <v>847300</v>
      </c>
      <c r="E428" s="548">
        <v>1</v>
      </c>
      <c r="F428" s="548" t="s">
        <v>803</v>
      </c>
      <c r="G428" s="67">
        <v>30000</v>
      </c>
      <c r="H428" s="724">
        <v>35000</v>
      </c>
      <c r="I428" s="625">
        <f>B428-'הוצאות '!B625</f>
        <v>0</v>
      </c>
    </row>
    <row r="429" spans="1:9">
      <c r="A429" s="550"/>
      <c r="B429" s="518">
        <v>1847400110</v>
      </c>
      <c r="C429" s="548">
        <v>110</v>
      </c>
      <c r="D429" s="548">
        <v>847400</v>
      </c>
      <c r="E429" s="480">
        <v>1</v>
      </c>
      <c r="F429" s="548" t="s">
        <v>2215</v>
      </c>
      <c r="G429" s="67">
        <v>148000</v>
      </c>
      <c r="H429" s="724">
        <v>271000</v>
      </c>
      <c r="I429" s="625">
        <f>B429-'הוצאות '!B626</f>
        <v>0</v>
      </c>
    </row>
    <row r="430" spans="1:9">
      <c r="A430" s="550"/>
      <c r="B430" s="559">
        <v>1847400821</v>
      </c>
      <c r="C430" s="548">
        <v>821</v>
      </c>
      <c r="D430" s="548">
        <v>847400</v>
      </c>
      <c r="E430" s="548">
        <v>1</v>
      </c>
      <c r="F430" s="548" t="s">
        <v>804</v>
      </c>
      <c r="G430" s="67">
        <v>362000</v>
      </c>
      <c r="H430" s="724">
        <v>487000</v>
      </c>
      <c r="I430" s="625">
        <f>B430-'הוצאות '!B627</f>
        <v>0</v>
      </c>
    </row>
    <row r="431" spans="1:9">
      <c r="A431" s="550"/>
      <c r="B431" s="559">
        <v>1847400822</v>
      </c>
      <c r="C431" s="548">
        <v>822</v>
      </c>
      <c r="D431" s="548">
        <v>847400</v>
      </c>
      <c r="E431" s="548">
        <v>1</v>
      </c>
      <c r="F431" s="548" t="s">
        <v>205</v>
      </c>
      <c r="G431" s="67">
        <v>151000</v>
      </c>
      <c r="H431" s="724">
        <v>58999.666666666672</v>
      </c>
      <c r="I431" s="625">
        <f>B431-'הוצאות '!B628</f>
        <v>0</v>
      </c>
    </row>
    <row r="432" spans="1:9">
      <c r="A432" s="550"/>
      <c r="B432" s="559">
        <v>1847400823</v>
      </c>
      <c r="C432" s="548">
        <v>823</v>
      </c>
      <c r="D432" s="548">
        <v>847400</v>
      </c>
      <c r="E432" s="548">
        <v>1</v>
      </c>
      <c r="F432" s="548" t="s">
        <v>202</v>
      </c>
      <c r="G432" s="67">
        <v>74000</v>
      </c>
      <c r="H432" s="724">
        <v>90000</v>
      </c>
      <c r="I432" s="625">
        <f>B432-'הוצאות '!B629</f>
        <v>0</v>
      </c>
    </row>
    <row r="433" spans="1:9">
      <c r="A433" s="550"/>
      <c r="B433" s="518">
        <v>1847410110</v>
      </c>
      <c r="C433" s="548">
        <v>110</v>
      </c>
      <c r="D433" s="548">
        <v>847410</v>
      </c>
      <c r="E433" s="480">
        <v>1</v>
      </c>
      <c r="F433" s="548" t="s">
        <v>805</v>
      </c>
      <c r="G433" s="67">
        <v>969000</v>
      </c>
      <c r="H433" s="724">
        <v>1255000</v>
      </c>
      <c r="I433" s="625">
        <f>B433-'הוצאות '!B630</f>
        <v>0</v>
      </c>
    </row>
    <row r="434" spans="1:9">
      <c r="A434" s="550"/>
      <c r="B434" s="518">
        <v>1847420110</v>
      </c>
      <c r="C434" s="548">
        <v>110</v>
      </c>
      <c r="D434" s="548">
        <v>847420</v>
      </c>
      <c r="E434" s="480">
        <v>1</v>
      </c>
      <c r="F434" s="548" t="s">
        <v>806</v>
      </c>
      <c r="G434" s="67">
        <v>201000</v>
      </c>
      <c r="H434" s="724">
        <v>200000</v>
      </c>
      <c r="I434" s="625">
        <f>B434-'הוצאות '!B631</f>
        <v>0</v>
      </c>
    </row>
    <row r="435" spans="1:9">
      <c r="A435" s="550"/>
      <c r="B435" s="518">
        <v>1847500110</v>
      </c>
      <c r="C435" s="548">
        <v>110</v>
      </c>
      <c r="D435" s="548">
        <v>847500</v>
      </c>
      <c r="E435" s="480">
        <v>1</v>
      </c>
      <c r="F435" s="548" t="s">
        <v>201</v>
      </c>
      <c r="G435" s="67">
        <v>294000</v>
      </c>
      <c r="H435" s="724">
        <v>256000</v>
      </c>
      <c r="I435" s="625">
        <f>B435-'הוצאות '!B632</f>
        <v>0</v>
      </c>
    </row>
    <row r="436" spans="1:9">
      <c r="A436" s="550"/>
      <c r="B436" s="518">
        <v>1847600110</v>
      </c>
      <c r="C436" s="548">
        <v>110</v>
      </c>
      <c r="D436" s="548">
        <v>847600</v>
      </c>
      <c r="E436" s="480">
        <v>1</v>
      </c>
      <c r="F436" s="548" t="s">
        <v>807</v>
      </c>
      <c r="G436" s="67">
        <v>766000</v>
      </c>
      <c r="H436" s="724">
        <v>763000</v>
      </c>
      <c r="I436" s="625">
        <f>B436-'הוצאות '!B633</f>
        <v>0</v>
      </c>
    </row>
    <row r="437" spans="1:9">
      <c r="A437" s="550"/>
      <c r="B437" s="559">
        <v>1847600830</v>
      </c>
      <c r="C437" s="548">
        <v>830</v>
      </c>
      <c r="D437" s="548">
        <v>847600</v>
      </c>
      <c r="E437" s="548">
        <v>1</v>
      </c>
      <c r="F437" s="548" t="s">
        <v>206</v>
      </c>
      <c r="G437" s="67">
        <v>72000</v>
      </c>
      <c r="H437" s="724">
        <v>75000</v>
      </c>
      <c r="I437" s="625">
        <f>B437-'הוצאות '!B634</f>
        <v>0</v>
      </c>
    </row>
    <row r="438" spans="1:9">
      <c r="A438" s="550"/>
      <c r="B438" s="518">
        <v>1847700110</v>
      </c>
      <c r="C438" s="548">
        <v>110</v>
      </c>
      <c r="D438" s="548">
        <v>847700</v>
      </c>
      <c r="E438" s="480">
        <v>1</v>
      </c>
      <c r="F438" s="548" t="s">
        <v>2216</v>
      </c>
      <c r="G438" s="67">
        <v>149600</v>
      </c>
      <c r="H438" s="724">
        <v>220000</v>
      </c>
      <c r="I438" s="625">
        <f>B438-'הוצאות '!B635</f>
        <v>0</v>
      </c>
    </row>
    <row r="439" spans="1:9">
      <c r="A439" s="550"/>
      <c r="B439" s="559">
        <v>1847700810</v>
      </c>
      <c r="C439" s="548">
        <v>810</v>
      </c>
      <c r="D439" s="548">
        <v>847700</v>
      </c>
      <c r="E439" s="548">
        <v>1</v>
      </c>
      <c r="F439" s="548" t="s">
        <v>2217</v>
      </c>
      <c r="G439" s="67">
        <v>49333</v>
      </c>
      <c r="H439" s="724">
        <v>74000</v>
      </c>
      <c r="I439" s="625">
        <f>B439-'הוצאות '!B636</f>
        <v>0</v>
      </c>
    </row>
    <row r="440" spans="1:9">
      <c r="A440" s="550"/>
      <c r="B440" s="518">
        <v>1847800110</v>
      </c>
      <c r="C440" s="548">
        <v>110</v>
      </c>
      <c r="D440" s="548">
        <v>847800</v>
      </c>
      <c r="E440" s="480">
        <v>1</v>
      </c>
      <c r="F440" s="548" t="s">
        <v>809</v>
      </c>
      <c r="G440" s="67">
        <v>179000</v>
      </c>
      <c r="H440" s="724">
        <v>156000</v>
      </c>
      <c r="I440" s="625">
        <f>B440-'הוצאות '!B637</f>
        <v>0</v>
      </c>
    </row>
    <row r="441" spans="1:9">
      <c r="A441" s="550"/>
      <c r="B441" s="559">
        <v>1847800810</v>
      </c>
      <c r="C441" s="548">
        <v>810</v>
      </c>
      <c r="D441" s="548">
        <v>847800</v>
      </c>
      <c r="E441" s="548">
        <v>1</v>
      </c>
      <c r="F441" s="548" t="s">
        <v>810</v>
      </c>
      <c r="G441" s="67">
        <v>43000</v>
      </c>
      <c r="H441" s="724">
        <v>78000</v>
      </c>
      <c r="I441" s="625">
        <f>B441-'הוצאות '!B638</f>
        <v>0</v>
      </c>
    </row>
    <row r="442" spans="1:9">
      <c r="A442" s="520"/>
      <c r="B442" s="721"/>
      <c r="C442" s="522"/>
      <c r="D442" s="522"/>
      <c r="E442" s="522"/>
      <c r="F442" s="722" t="s">
        <v>2478</v>
      </c>
      <c r="G442" s="286"/>
      <c r="H442" s="725">
        <v>155000</v>
      </c>
      <c r="I442" s="625">
        <f>B442-'הוצאות '!B639</f>
        <v>-1847810110</v>
      </c>
    </row>
    <row r="443" spans="1:9">
      <c r="A443" s="520"/>
      <c r="B443" s="721"/>
      <c r="C443" s="522"/>
      <c r="D443" s="522"/>
      <c r="E443" s="522"/>
      <c r="F443" s="722" t="s">
        <v>2479</v>
      </c>
      <c r="G443" s="286"/>
      <c r="H443" s="725">
        <v>6000</v>
      </c>
      <c r="I443" s="625">
        <f>B443-'הוצאות '!B640</f>
        <v>-1847810810</v>
      </c>
    </row>
    <row r="444" spans="1:9">
      <c r="A444" s="550"/>
      <c r="B444" s="518">
        <v>1847810110</v>
      </c>
      <c r="C444" s="548">
        <v>110</v>
      </c>
      <c r="D444" s="548">
        <v>847810</v>
      </c>
      <c r="E444" s="480">
        <v>1</v>
      </c>
      <c r="F444" s="548" t="s">
        <v>812</v>
      </c>
      <c r="G444" s="67">
        <v>81000</v>
      </c>
      <c r="H444" s="724">
        <v>78000</v>
      </c>
      <c r="I444" s="625">
        <f>B444-'הוצאות '!B641</f>
        <v>-710</v>
      </c>
    </row>
    <row r="445" spans="1:9">
      <c r="A445" s="520"/>
      <c r="B445" s="354"/>
      <c r="C445" s="522"/>
      <c r="D445" s="522"/>
      <c r="E445" s="544"/>
      <c r="F445" s="723" t="s">
        <v>3144</v>
      </c>
      <c r="G445" s="286"/>
      <c r="H445" s="725">
        <v>215000</v>
      </c>
      <c r="I445" s="625">
        <f>B445-'הוצאות '!B642</f>
        <v>-1847900110</v>
      </c>
    </row>
    <row r="446" spans="1:9">
      <c r="A446" s="520"/>
      <c r="B446" s="354"/>
      <c r="C446" s="522"/>
      <c r="D446" s="522"/>
      <c r="E446" s="544"/>
      <c r="F446" s="723" t="s">
        <v>3148</v>
      </c>
      <c r="G446" s="286"/>
      <c r="H446" s="725">
        <v>1057000</v>
      </c>
      <c r="I446" s="625">
        <f>B446-'הוצאות '!B643</f>
        <v>-1847900820</v>
      </c>
    </row>
    <row r="447" spans="1:9">
      <c r="A447" s="550"/>
      <c r="B447" s="559">
        <v>1847810810</v>
      </c>
      <c r="C447" s="548">
        <v>810</v>
      </c>
      <c r="D447" s="548">
        <v>847810</v>
      </c>
      <c r="E447" s="548">
        <v>1</v>
      </c>
      <c r="F447" s="548" t="s">
        <v>813</v>
      </c>
      <c r="G447" s="67">
        <v>70000</v>
      </c>
      <c r="H447" s="724">
        <v>73000</v>
      </c>
      <c r="I447" s="625">
        <f>B447-'הוצאות '!B644</f>
        <v>-90012</v>
      </c>
    </row>
    <row r="448" spans="1:9">
      <c r="A448" s="550"/>
      <c r="B448" s="559">
        <v>1847810820</v>
      </c>
      <c r="C448" s="548">
        <v>820</v>
      </c>
      <c r="D448" s="548">
        <v>847810</v>
      </c>
      <c r="E448" s="548">
        <v>1</v>
      </c>
      <c r="F448" s="548" t="s">
        <v>209</v>
      </c>
      <c r="G448" s="67">
        <v>238000</v>
      </c>
      <c r="H448" s="724">
        <v>410000</v>
      </c>
      <c r="I448" s="625">
        <f>B448-'הוצאות '!B646</f>
        <v>1847810820</v>
      </c>
    </row>
    <row r="449" spans="1:9">
      <c r="A449" s="550"/>
      <c r="B449" s="518">
        <v>1847900110</v>
      </c>
      <c r="C449" s="548">
        <v>110</v>
      </c>
      <c r="D449" s="548">
        <v>847900</v>
      </c>
      <c r="E449" s="480">
        <v>1</v>
      </c>
      <c r="F449" s="548" t="s">
        <v>814</v>
      </c>
      <c r="G449" s="67">
        <v>460000</v>
      </c>
      <c r="H449" s="724">
        <v>703000</v>
      </c>
      <c r="I449" s="625">
        <f>B449-'הוצאות '!B647</f>
        <v>-300710</v>
      </c>
    </row>
    <row r="450" spans="1:9">
      <c r="A450" s="550"/>
      <c r="B450" s="559">
        <v>1847900820</v>
      </c>
      <c r="C450" s="548">
        <v>820</v>
      </c>
      <c r="D450" s="548">
        <v>847900</v>
      </c>
      <c r="E450" s="548">
        <v>1</v>
      </c>
      <c r="F450" s="548" t="s">
        <v>815</v>
      </c>
      <c r="G450" s="67">
        <v>289000</v>
      </c>
      <c r="H450" s="724">
        <v>691000</v>
      </c>
      <c r="I450" s="625">
        <f>B450-'הוצאות '!B648</f>
        <v>-400000</v>
      </c>
    </row>
    <row r="451" spans="1:9">
      <c r="A451" s="550"/>
      <c r="B451" s="559">
        <v>1847900822</v>
      </c>
      <c r="C451" s="548">
        <v>822</v>
      </c>
      <c r="D451" s="548">
        <v>847900</v>
      </c>
      <c r="E451" s="548">
        <v>1</v>
      </c>
      <c r="F451" s="548" t="s">
        <v>211</v>
      </c>
      <c r="G451" s="67">
        <v>87000</v>
      </c>
      <c r="H451" s="724">
        <v>48999.666666666664</v>
      </c>
      <c r="I451" s="625">
        <f>B451-'הוצאות '!B649</f>
        <v>-499928</v>
      </c>
    </row>
    <row r="452" spans="1:9" ht="15.75">
      <c r="A452" s="195" t="s">
        <v>816</v>
      </c>
      <c r="B452" s="277"/>
      <c r="C452" s="68">
        <v>999</v>
      </c>
      <c r="D452" s="68">
        <v>847000</v>
      </c>
      <c r="E452" s="548">
        <v>1</v>
      </c>
      <c r="F452" s="68" t="s">
        <v>4</v>
      </c>
      <c r="G452" s="69">
        <v>7164233</v>
      </c>
      <c r="H452" s="69">
        <v>9590999.3333333321</v>
      </c>
      <c r="I452" s="625">
        <f>B452-'הוצאות '!B650</f>
        <v>0</v>
      </c>
    </row>
    <row r="453" spans="1:9">
      <c r="A453" s="550" t="s">
        <v>817</v>
      </c>
      <c r="B453" s="559">
        <v>1848200820</v>
      </c>
      <c r="C453" s="548">
        <v>820</v>
      </c>
      <c r="D453" s="548">
        <v>848200</v>
      </c>
      <c r="E453" s="548">
        <v>1</v>
      </c>
      <c r="F453" s="548" t="s">
        <v>213</v>
      </c>
      <c r="G453" s="67">
        <v>30000</v>
      </c>
      <c r="H453" s="724">
        <v>30000</v>
      </c>
      <c r="I453" s="625">
        <f>B453-'הוצאות '!B651</f>
        <v>-299960</v>
      </c>
    </row>
    <row r="454" spans="1:9">
      <c r="A454" s="550"/>
      <c r="B454" s="559">
        <v>1848300820</v>
      </c>
      <c r="C454" s="548">
        <v>820</v>
      </c>
      <c r="D454" s="548">
        <v>848300</v>
      </c>
      <c r="E454" s="548">
        <v>1</v>
      </c>
      <c r="F454" s="548" t="s">
        <v>819</v>
      </c>
      <c r="G454" s="67">
        <v>50000</v>
      </c>
      <c r="H454" s="724">
        <v>50000</v>
      </c>
      <c r="I454" s="625">
        <f>B454-'הוצאות '!B652</f>
        <v>-200000</v>
      </c>
    </row>
    <row r="455" spans="1:9">
      <c r="A455" s="550"/>
      <c r="B455" s="559">
        <v>1848400750</v>
      </c>
      <c r="C455" s="548">
        <v>750</v>
      </c>
      <c r="D455" s="548">
        <v>848400</v>
      </c>
      <c r="E455" s="548">
        <v>1</v>
      </c>
      <c r="F455" s="548" t="s">
        <v>821</v>
      </c>
      <c r="G455" s="67">
        <v>15000</v>
      </c>
      <c r="H455" s="724">
        <v>15000</v>
      </c>
      <c r="I455" s="625">
        <f>B455-'הוצאות '!B653</f>
        <v>1848400750</v>
      </c>
    </row>
    <row r="456" spans="1:9" ht="15.75">
      <c r="A456" s="195" t="s">
        <v>823</v>
      </c>
      <c r="B456" s="277"/>
      <c r="C456" s="68">
        <v>999</v>
      </c>
      <c r="D456" s="68">
        <v>848000</v>
      </c>
      <c r="E456" s="548">
        <v>1</v>
      </c>
      <c r="F456" s="68" t="s">
        <v>4</v>
      </c>
      <c r="G456" s="69">
        <v>95000</v>
      </c>
      <c r="H456" s="69">
        <v>95000</v>
      </c>
      <c r="I456" s="625">
        <f>B456-'הוצאות '!B654</f>
        <v>-1849000829</v>
      </c>
    </row>
    <row r="457" spans="1:9">
      <c r="A457" s="550"/>
      <c r="B457" s="559">
        <v>1848500780</v>
      </c>
      <c r="C457" s="548">
        <v>780</v>
      </c>
      <c r="D457" s="548">
        <v>848500</v>
      </c>
      <c r="E457" s="548">
        <v>1</v>
      </c>
      <c r="F457" s="548" t="s">
        <v>824</v>
      </c>
      <c r="G457" s="67">
        <v>30000</v>
      </c>
      <c r="H457" s="724">
        <v>30000</v>
      </c>
      <c r="I457" s="625">
        <f>B457-'הוצאות '!B655</f>
        <v>-500050</v>
      </c>
    </row>
    <row r="458" spans="1:9">
      <c r="A458" s="550"/>
      <c r="B458" s="559">
        <v>1848500820</v>
      </c>
      <c r="C458" s="548">
        <v>820</v>
      </c>
      <c r="D458" s="548">
        <v>848500</v>
      </c>
      <c r="E458" s="548">
        <v>1</v>
      </c>
      <c r="F458" s="548" t="s">
        <v>825</v>
      </c>
      <c r="G458" s="67">
        <v>19000</v>
      </c>
      <c r="H458" s="724">
        <v>19000</v>
      </c>
      <c r="I458" s="625">
        <f>B458-'הוצאות '!B656</f>
        <v>-500013</v>
      </c>
    </row>
    <row r="459" spans="1:9" ht="15.75">
      <c r="A459" s="195" t="s">
        <v>826</v>
      </c>
      <c r="B459" s="277"/>
      <c r="C459" s="68">
        <v>999</v>
      </c>
      <c r="D459" s="68">
        <v>848500</v>
      </c>
      <c r="E459" s="548">
        <v>1</v>
      </c>
      <c r="F459" s="68"/>
      <c r="G459" s="69">
        <v>49000</v>
      </c>
      <c r="H459" s="69">
        <v>49000</v>
      </c>
      <c r="I459" s="625">
        <f>B459-'הוצאות '!B657</f>
        <v>0</v>
      </c>
    </row>
    <row r="460" spans="1:9">
      <c r="A460" s="550"/>
      <c r="B460" s="559">
        <v>1849000829</v>
      </c>
      <c r="C460" s="548">
        <v>829</v>
      </c>
      <c r="D460" s="548">
        <v>849000</v>
      </c>
      <c r="E460" s="548">
        <v>1</v>
      </c>
      <c r="F460" s="548" t="s">
        <v>221</v>
      </c>
      <c r="G460" s="67">
        <v>1197000</v>
      </c>
      <c r="H460" s="724">
        <v>1229000.3333333335</v>
      </c>
      <c r="I460" s="625">
        <f>B460-'הוצאות '!B658</f>
        <v>-1999981</v>
      </c>
    </row>
    <row r="461" spans="1:9">
      <c r="A461" s="550"/>
      <c r="B461" s="559">
        <v>1849000830</v>
      </c>
      <c r="C461" s="548">
        <v>830</v>
      </c>
      <c r="D461" s="548">
        <v>849000</v>
      </c>
      <c r="E461" s="548">
        <v>1</v>
      </c>
      <c r="F461" s="548" t="s">
        <v>222</v>
      </c>
      <c r="G461" s="67">
        <v>30000</v>
      </c>
      <c r="H461" s="724">
        <v>18000</v>
      </c>
      <c r="I461" s="625">
        <f>B461-'הוצאות '!B659</f>
        <v>1849000830</v>
      </c>
    </row>
    <row r="462" spans="1:9">
      <c r="A462" s="550"/>
      <c r="B462" s="559">
        <v>1849000833</v>
      </c>
      <c r="C462" s="548">
        <v>833</v>
      </c>
      <c r="D462" s="548">
        <v>849000</v>
      </c>
      <c r="E462" s="548">
        <v>1</v>
      </c>
      <c r="F462" s="548" t="s">
        <v>828</v>
      </c>
      <c r="G462" s="67">
        <v>35000</v>
      </c>
      <c r="H462" s="724">
        <v>27999.666666666664</v>
      </c>
      <c r="I462" s="625">
        <f>B462-'הוצאות '!B660</f>
        <v>-10999277</v>
      </c>
    </row>
    <row r="463" spans="1:9" ht="15.75">
      <c r="A463" s="195" t="s">
        <v>224</v>
      </c>
      <c r="B463" s="277"/>
      <c r="C463" s="68">
        <v>999</v>
      </c>
      <c r="D463" s="68">
        <v>849000</v>
      </c>
      <c r="E463" s="548">
        <v>1</v>
      </c>
      <c r="F463" s="68" t="s">
        <v>4</v>
      </c>
      <c r="G463" s="69">
        <v>1262000</v>
      </c>
      <c r="H463" s="69">
        <v>1275000.0000000002</v>
      </c>
      <c r="I463" s="625">
        <f>B463-'הוצאות '!B661</f>
        <v>-1860000410</v>
      </c>
    </row>
    <row r="467" spans="8:8">
      <c r="H467" s="668">
        <f>SUM(H303:H466)</f>
        <v>286693600.81445456</v>
      </c>
    </row>
    <row r="468" spans="8:8">
      <c r="H468" s="726"/>
    </row>
  </sheetData>
  <autoFilter ref="A135:Q285">
    <filterColumn colId="2">
      <filters>
        <filter val="110"/>
      </filters>
    </filterColumn>
  </autoFilter>
  <pageMargins left="0.7" right="0.7" top="0.75" bottom="0.75" header="0.3" footer="0.3"/>
  <drawing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rightToLeft="1" workbookViewId="0">
      <selection activeCell="D18" sqref="D18"/>
    </sheetView>
  </sheetViews>
  <sheetFormatPr defaultRowHeight="14.25"/>
  <sheetData>
    <row r="1" spans="1:1">
      <c r="A1" s="569" t="s">
        <v>2904</v>
      </c>
    </row>
    <row r="2" spans="1:1">
      <c r="A2" s="569"/>
    </row>
    <row r="3" spans="1:1">
      <c r="A3" s="570" t="s">
        <v>2905</v>
      </c>
    </row>
    <row r="4" spans="1:1">
      <c r="A4" s="570" t="s">
        <v>2906</v>
      </c>
    </row>
    <row r="5" spans="1:1">
      <c r="A5" s="570" t="s">
        <v>2907</v>
      </c>
    </row>
    <row r="6" spans="1:1" ht="15">
      <c r="A6" s="570" t="s">
        <v>2908</v>
      </c>
    </row>
    <row r="7" spans="1:1" ht="15">
      <c r="A7" s="571"/>
    </row>
    <row r="8" spans="1:1" ht="15">
      <c r="A8" s="571"/>
    </row>
    <row r="9" spans="1:1" ht="15.75">
      <c r="A9" s="572" t="s">
        <v>2909</v>
      </c>
    </row>
    <row r="10" spans="1:1" ht="15.75">
      <c r="A10" s="572" t="s">
        <v>2910</v>
      </c>
    </row>
    <row r="11" spans="1:1" ht="15.75">
      <c r="A11" s="572" t="s">
        <v>2911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rightToLeft="1" workbookViewId="0">
      <selection activeCell="A10" sqref="A10"/>
    </sheetView>
  </sheetViews>
  <sheetFormatPr defaultRowHeight="14.25"/>
  <cols>
    <col min="1" max="1" width="10.875" bestFit="1" customWidth="1"/>
    <col min="3" max="4" width="0" hidden="1" customWidth="1"/>
    <col min="5" max="5" width="20.125" bestFit="1" customWidth="1"/>
    <col min="6" max="6" width="15.625" bestFit="1" customWidth="1"/>
    <col min="7" max="7" width="17.625" bestFit="1" customWidth="1"/>
    <col min="8" max="8" width="92.375" bestFit="1" customWidth="1"/>
  </cols>
  <sheetData>
    <row r="1" spans="1:16" ht="43.5" customHeight="1">
      <c r="A1" s="558"/>
      <c r="B1" s="553" t="s">
        <v>2</v>
      </c>
      <c r="C1" s="553" t="s">
        <v>4</v>
      </c>
      <c r="D1" s="553"/>
      <c r="E1" s="554" t="s">
        <v>271</v>
      </c>
      <c r="F1" s="271" t="s">
        <v>2185</v>
      </c>
      <c r="G1" s="272" t="s">
        <v>2522</v>
      </c>
      <c r="H1" s="272" t="s">
        <v>2519</v>
      </c>
      <c r="I1" s="267"/>
      <c r="J1" s="267"/>
      <c r="K1" s="267"/>
      <c r="L1" s="267"/>
      <c r="M1" s="267"/>
      <c r="N1" s="267"/>
      <c r="O1" s="267"/>
      <c r="P1" s="267"/>
    </row>
    <row r="2" spans="1:16">
      <c r="A2" s="559">
        <v>1731000410</v>
      </c>
      <c r="B2" s="548">
        <v>410</v>
      </c>
      <c r="C2" s="548">
        <v>731000</v>
      </c>
      <c r="D2" s="548">
        <v>1</v>
      </c>
      <c r="E2" s="548" t="s">
        <v>304</v>
      </c>
      <c r="F2" s="67">
        <v>83000</v>
      </c>
      <c r="G2" s="67">
        <v>100000</v>
      </c>
      <c r="H2" s="566" t="s">
        <v>2895</v>
      </c>
      <c r="I2" s="566"/>
      <c r="J2" s="566"/>
      <c r="K2" s="566"/>
      <c r="L2" s="566"/>
      <c r="M2" s="566"/>
      <c r="N2" s="566"/>
      <c r="O2" s="566"/>
      <c r="P2" s="566"/>
    </row>
    <row r="3" spans="1:16">
      <c r="A3" s="559">
        <v>1731000430</v>
      </c>
      <c r="B3" s="548">
        <v>430</v>
      </c>
      <c r="C3" s="548">
        <v>731000</v>
      </c>
      <c r="D3" s="548">
        <v>1</v>
      </c>
      <c r="E3" s="548" t="s">
        <v>311</v>
      </c>
      <c r="F3" s="67">
        <v>6000</v>
      </c>
      <c r="G3" s="67">
        <v>4000</v>
      </c>
      <c r="H3" s="566"/>
      <c r="I3" s="566"/>
      <c r="J3" s="566"/>
      <c r="K3" s="566"/>
      <c r="L3" s="566"/>
      <c r="M3" s="566"/>
      <c r="N3" s="566"/>
      <c r="O3" s="566"/>
      <c r="P3" s="566"/>
    </row>
    <row r="4" spans="1:16">
      <c r="A4" s="559">
        <v>1731000522</v>
      </c>
      <c r="B4" s="548">
        <v>522</v>
      </c>
      <c r="C4" s="548">
        <v>731000</v>
      </c>
      <c r="D4" s="548">
        <v>1</v>
      </c>
      <c r="E4" s="548" t="s">
        <v>327</v>
      </c>
      <c r="F4" s="67">
        <v>6000</v>
      </c>
      <c r="G4" s="67">
        <v>6000</v>
      </c>
      <c r="H4" s="566"/>
      <c r="I4" s="566"/>
      <c r="J4" s="566"/>
      <c r="K4" s="566"/>
      <c r="L4" s="566"/>
      <c r="M4" s="566"/>
      <c r="N4" s="566"/>
      <c r="O4" s="566"/>
      <c r="P4" s="566"/>
    </row>
    <row r="5" spans="1:16">
      <c r="A5" s="559">
        <v>1731000530</v>
      </c>
      <c r="B5" s="548">
        <v>530</v>
      </c>
      <c r="C5" s="548">
        <v>731000</v>
      </c>
      <c r="D5" s="548">
        <v>1</v>
      </c>
      <c r="E5" s="548" t="s">
        <v>277</v>
      </c>
      <c r="F5" s="67">
        <v>160000</v>
      </c>
      <c r="G5" s="67">
        <v>125000</v>
      </c>
      <c r="H5" s="566" t="s">
        <v>2896</v>
      </c>
      <c r="I5" s="566"/>
      <c r="J5" s="566"/>
      <c r="K5" s="566"/>
      <c r="L5" s="566"/>
      <c r="M5" s="566"/>
      <c r="N5" s="566"/>
      <c r="O5" s="566"/>
      <c r="P5" s="566"/>
    </row>
    <row r="6" spans="1:16">
      <c r="A6" s="559">
        <v>1731000540</v>
      </c>
      <c r="B6" s="548">
        <v>540</v>
      </c>
      <c r="C6" s="548">
        <v>731000</v>
      </c>
      <c r="D6" s="548">
        <v>1</v>
      </c>
      <c r="E6" s="548" t="s">
        <v>279</v>
      </c>
      <c r="F6" s="67">
        <v>6000</v>
      </c>
      <c r="G6" s="67">
        <v>6000</v>
      </c>
      <c r="H6" s="566"/>
      <c r="I6" s="566"/>
      <c r="J6" s="566"/>
      <c r="K6" s="566"/>
      <c r="L6" s="566"/>
      <c r="M6" s="566"/>
      <c r="N6" s="566"/>
      <c r="O6" s="566"/>
      <c r="P6" s="566"/>
    </row>
    <row r="7" spans="1:16">
      <c r="A7" s="559">
        <v>1731000780</v>
      </c>
      <c r="B7" s="548">
        <v>780</v>
      </c>
      <c r="C7" s="548">
        <v>731000</v>
      </c>
      <c r="D7" s="548">
        <v>1</v>
      </c>
      <c r="E7" s="548" t="s">
        <v>280</v>
      </c>
      <c r="F7" s="67">
        <v>642000</v>
      </c>
      <c r="G7" s="67">
        <v>565400</v>
      </c>
      <c r="H7" s="566" t="s">
        <v>2897</v>
      </c>
      <c r="I7" s="566"/>
      <c r="J7" s="566"/>
      <c r="K7" s="566"/>
      <c r="L7" s="566"/>
      <c r="M7" s="566"/>
      <c r="N7" s="566"/>
      <c r="O7" s="566"/>
      <c r="P7" s="566"/>
    </row>
    <row r="8" spans="1:16">
      <c r="A8" s="559">
        <v>1732000750</v>
      </c>
      <c r="B8" s="548">
        <v>750</v>
      </c>
      <c r="C8" s="548">
        <v>732000</v>
      </c>
      <c r="D8" s="548">
        <v>1</v>
      </c>
      <c r="E8" s="548" t="s">
        <v>288</v>
      </c>
      <c r="F8" s="67">
        <v>225000</v>
      </c>
      <c r="G8" s="67">
        <v>325000</v>
      </c>
      <c r="H8" s="566" t="s">
        <v>2898</v>
      </c>
      <c r="I8" s="566"/>
      <c r="J8" s="566"/>
      <c r="K8" s="566"/>
      <c r="L8" s="566"/>
      <c r="M8" s="566"/>
      <c r="N8" s="566"/>
      <c r="O8" s="566"/>
      <c r="P8" s="566"/>
    </row>
    <row r="9" spans="1:16">
      <c r="A9" s="521">
        <v>1732000530</v>
      </c>
      <c r="B9" s="522">
        <v>750</v>
      </c>
      <c r="C9" s="522">
        <v>732000</v>
      </c>
      <c r="D9" s="522"/>
      <c r="E9" s="522"/>
      <c r="F9" s="286"/>
      <c r="G9" s="286">
        <v>75000</v>
      </c>
      <c r="H9" s="564" t="s">
        <v>2899</v>
      </c>
      <c r="I9" s="566"/>
      <c r="J9" s="566"/>
      <c r="K9" s="566"/>
      <c r="L9" s="566"/>
      <c r="M9" s="566"/>
      <c r="N9" s="566"/>
      <c r="O9" s="566"/>
      <c r="P9" s="566"/>
    </row>
    <row r="10" spans="1:16">
      <c r="A10" s="354">
        <v>1733000530</v>
      </c>
      <c r="B10" s="522"/>
      <c r="C10" s="522">
        <v>733000</v>
      </c>
      <c r="D10" s="544"/>
      <c r="E10" s="522" t="s">
        <v>2900</v>
      </c>
      <c r="F10" s="286"/>
      <c r="G10" s="286">
        <v>75000</v>
      </c>
      <c r="H10" s="564" t="s">
        <v>2901</v>
      </c>
      <c r="I10" s="566"/>
      <c r="J10" s="566"/>
      <c r="K10" s="566"/>
      <c r="L10" s="566"/>
      <c r="M10" s="566"/>
      <c r="N10" s="566"/>
      <c r="O10" s="566"/>
      <c r="P10" s="566"/>
    </row>
    <row r="11" spans="1:16">
      <c r="A11" s="559">
        <v>1734000410</v>
      </c>
      <c r="B11" s="548">
        <v>410</v>
      </c>
      <c r="C11" s="548">
        <v>734000</v>
      </c>
      <c r="D11" s="548">
        <v>1</v>
      </c>
      <c r="E11" s="548" t="s">
        <v>304</v>
      </c>
      <c r="F11" s="67">
        <v>490000</v>
      </c>
      <c r="G11" s="67">
        <v>400000</v>
      </c>
      <c r="H11" s="566" t="s">
        <v>2902</v>
      </c>
      <c r="I11" s="566"/>
      <c r="J11" s="566"/>
      <c r="K11" s="566"/>
      <c r="L11" s="566"/>
      <c r="M11" s="566"/>
      <c r="N11" s="566"/>
      <c r="O11" s="566"/>
      <c r="P11" s="566"/>
    </row>
    <row r="12" spans="1:16">
      <c r="A12" s="559">
        <v>1734000530</v>
      </c>
      <c r="B12" s="548">
        <v>530</v>
      </c>
      <c r="C12" s="548">
        <v>734000</v>
      </c>
      <c r="D12" s="548">
        <v>1</v>
      </c>
      <c r="E12" s="548" t="s">
        <v>277</v>
      </c>
      <c r="F12" s="67">
        <v>65000</v>
      </c>
      <c r="G12" s="67">
        <v>75000</v>
      </c>
      <c r="H12" s="566"/>
      <c r="I12" s="566"/>
      <c r="J12" s="566"/>
      <c r="K12" s="566"/>
      <c r="L12" s="566"/>
      <c r="M12" s="566"/>
      <c r="N12" s="566"/>
      <c r="O12" s="566"/>
      <c r="P12" s="566"/>
    </row>
    <row r="13" spans="1:16">
      <c r="A13" s="559">
        <v>1734000750</v>
      </c>
      <c r="B13" s="548">
        <v>750</v>
      </c>
      <c r="C13" s="548">
        <v>734000</v>
      </c>
      <c r="D13" s="548">
        <v>1</v>
      </c>
      <c r="E13" s="548" t="s">
        <v>288</v>
      </c>
      <c r="F13" s="67">
        <v>2278000</v>
      </c>
      <c r="G13" s="67">
        <v>2610000</v>
      </c>
      <c r="H13" s="566" t="s">
        <v>2903</v>
      </c>
      <c r="I13" s="566"/>
      <c r="J13" s="566"/>
      <c r="K13" s="566"/>
      <c r="L13" s="566"/>
      <c r="M13" s="566"/>
      <c r="N13" s="566"/>
      <c r="O13" s="566"/>
      <c r="P13" s="566"/>
    </row>
    <row r="14" spans="1:16">
      <c r="A14" s="559">
        <v>1764000540</v>
      </c>
      <c r="B14" s="548">
        <v>540</v>
      </c>
      <c r="C14" s="548">
        <v>764000</v>
      </c>
      <c r="D14" s="548">
        <v>1</v>
      </c>
      <c r="E14" s="548" t="s">
        <v>279</v>
      </c>
      <c r="F14" s="67">
        <v>3000</v>
      </c>
      <c r="G14" s="67">
        <v>3000</v>
      </c>
      <c r="H14" s="566"/>
      <c r="I14" s="566"/>
      <c r="J14" s="566"/>
      <c r="K14" s="566"/>
      <c r="L14" s="566"/>
      <c r="M14" s="566"/>
      <c r="N14" s="566"/>
      <c r="O14" s="566"/>
      <c r="P14" s="566"/>
    </row>
    <row r="15" spans="1:16">
      <c r="A15" s="559">
        <v>1764000780</v>
      </c>
      <c r="B15" s="548">
        <v>780</v>
      </c>
      <c r="C15" s="548">
        <v>764000</v>
      </c>
      <c r="D15" s="548">
        <v>1</v>
      </c>
      <c r="E15" s="548" t="s">
        <v>280</v>
      </c>
      <c r="F15" s="67">
        <v>5000</v>
      </c>
      <c r="G15" s="67">
        <v>12000</v>
      </c>
      <c r="H15" s="566"/>
      <c r="I15" s="566"/>
      <c r="J15" s="566"/>
      <c r="K15" s="566"/>
      <c r="L15" s="566"/>
      <c r="M15" s="566"/>
      <c r="N15" s="566"/>
      <c r="O15" s="566"/>
      <c r="P15" s="566"/>
    </row>
  </sheetData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039"/>
  <sheetViews>
    <sheetView rightToLeft="1" workbookViewId="0">
      <pane ySplit="1" topLeftCell="A479" activePane="bottomLeft" state="frozen"/>
      <selection pane="bottomLeft" activeCell="K494" sqref="K494"/>
    </sheetView>
  </sheetViews>
  <sheetFormatPr defaultRowHeight="14.25"/>
  <cols>
    <col min="6" max="6" width="13.5" style="41" bestFit="1" customWidth="1"/>
    <col min="7" max="8" width="12.375" style="41" bestFit="1" customWidth="1"/>
    <col min="9" max="9" width="11.25" style="41" bestFit="1" customWidth="1"/>
    <col min="10" max="10" width="9.125" style="41" bestFit="1" customWidth="1"/>
    <col min="11" max="11" width="13.5" style="41" bestFit="1" customWidth="1"/>
    <col min="20" max="20" width="13.5" style="41" bestFit="1" customWidth="1"/>
  </cols>
  <sheetData>
    <row r="1" spans="1:12" ht="15">
      <c r="A1" s="563" t="s">
        <v>2708</v>
      </c>
      <c r="B1" s="563" t="s">
        <v>2709</v>
      </c>
      <c r="C1" s="563" t="s">
        <v>2710</v>
      </c>
      <c r="D1" s="563" t="s">
        <v>2711</v>
      </c>
      <c r="E1" s="563" t="s">
        <v>2712</v>
      </c>
      <c r="F1" s="561" t="s">
        <v>2713</v>
      </c>
      <c r="G1" s="561" t="s">
        <v>2714</v>
      </c>
      <c r="H1" s="561" t="s">
        <v>2715</v>
      </c>
      <c r="I1" s="561" t="s">
        <v>2716</v>
      </c>
      <c r="J1" s="561" t="s">
        <v>2717</v>
      </c>
      <c r="K1" s="561" t="s">
        <v>2718</v>
      </c>
      <c r="L1" s="563" t="s">
        <v>2719</v>
      </c>
    </row>
    <row r="2" spans="1:12">
      <c r="A2" s="562">
        <v>10953</v>
      </c>
      <c r="B2" s="562">
        <v>427813</v>
      </c>
      <c r="C2" s="562">
        <v>10007792</v>
      </c>
      <c r="D2" s="562" t="s">
        <v>2720</v>
      </c>
      <c r="E2" s="562"/>
      <c r="F2" s="41">
        <v>62211.73</v>
      </c>
      <c r="G2" s="41">
        <v>0.12</v>
      </c>
      <c r="H2" s="41">
        <v>1733.15</v>
      </c>
      <c r="I2" s="41">
        <v>0</v>
      </c>
      <c r="K2" s="41">
        <v>63945</v>
      </c>
      <c r="L2" s="562"/>
    </row>
    <row r="3" spans="1:12">
      <c r="A3" s="562">
        <v>10953</v>
      </c>
      <c r="B3" s="562">
        <v>427813</v>
      </c>
      <c r="C3" s="562">
        <v>10007792</v>
      </c>
      <c r="D3" s="562" t="s">
        <v>2721</v>
      </c>
      <c r="E3" s="562"/>
      <c r="F3" s="41">
        <v>62639.44</v>
      </c>
      <c r="G3" s="41">
        <v>0.12</v>
      </c>
      <c r="H3" s="41">
        <v>1305.44</v>
      </c>
      <c r="I3" s="41">
        <v>0</v>
      </c>
      <c r="K3" s="41">
        <v>63945</v>
      </c>
      <c r="L3" s="562"/>
    </row>
    <row r="4" spans="1:12">
      <c r="A4" s="562">
        <v>10953</v>
      </c>
      <c r="B4" s="562">
        <v>427813</v>
      </c>
      <c r="C4" s="562">
        <v>10007792</v>
      </c>
      <c r="D4" s="562" t="s">
        <v>2722</v>
      </c>
      <c r="E4" s="562"/>
      <c r="F4" s="41">
        <v>63070.080000000002</v>
      </c>
      <c r="G4" s="41">
        <v>0.13</v>
      </c>
      <c r="H4" s="41">
        <v>874.8</v>
      </c>
      <c r="I4" s="41">
        <v>0</v>
      </c>
      <c r="K4" s="41">
        <v>63945.01</v>
      </c>
      <c r="L4" s="562"/>
    </row>
    <row r="5" spans="1:12">
      <c r="A5" s="562">
        <v>10953</v>
      </c>
      <c r="B5" s="562">
        <v>427813</v>
      </c>
      <c r="C5" s="562">
        <v>10007792</v>
      </c>
      <c r="D5" s="562" t="s">
        <v>2723</v>
      </c>
      <c r="E5" s="562"/>
      <c r="F5" s="41">
        <v>63503.77</v>
      </c>
      <c r="G5" s="41">
        <v>0.13</v>
      </c>
      <c r="H5" s="41">
        <v>441.11</v>
      </c>
      <c r="I5" s="41">
        <v>0</v>
      </c>
      <c r="K5" s="41">
        <v>63945.01</v>
      </c>
      <c r="L5" s="562"/>
    </row>
    <row r="6" spans="1:12">
      <c r="A6" s="562">
        <v>10953</v>
      </c>
      <c r="B6" s="562">
        <v>427821</v>
      </c>
      <c r="C6" s="562">
        <v>10007793</v>
      </c>
      <c r="D6" s="562" t="s">
        <v>2724</v>
      </c>
      <c r="E6" s="562"/>
      <c r="F6" s="41">
        <v>127118.88</v>
      </c>
      <c r="G6" s="41">
        <v>0.26</v>
      </c>
      <c r="H6" s="41">
        <v>4077.83</v>
      </c>
      <c r="I6" s="41">
        <v>0.01</v>
      </c>
      <c r="K6" s="41">
        <v>131196.98000000001</v>
      </c>
      <c r="L6" s="562"/>
    </row>
    <row r="7" spans="1:12">
      <c r="A7" s="562">
        <v>10953</v>
      </c>
      <c r="B7" s="562">
        <v>427821</v>
      </c>
      <c r="C7" s="562">
        <v>10007793</v>
      </c>
      <c r="D7" s="562" t="s">
        <v>2725</v>
      </c>
      <c r="E7" s="562"/>
      <c r="F7" s="41">
        <v>128126.3</v>
      </c>
      <c r="G7" s="41">
        <v>0.26</v>
      </c>
      <c r="H7" s="41">
        <v>3070.41</v>
      </c>
      <c r="I7" s="41">
        <v>0.01</v>
      </c>
      <c r="K7" s="41">
        <v>131196.98000000001</v>
      </c>
      <c r="L7" s="562"/>
    </row>
    <row r="8" spans="1:12">
      <c r="A8" s="562">
        <v>10953</v>
      </c>
      <c r="B8" s="562">
        <v>427821</v>
      </c>
      <c r="C8" s="562">
        <v>10007793</v>
      </c>
      <c r="D8" s="562" t="s">
        <v>2726</v>
      </c>
      <c r="E8" s="562"/>
      <c r="F8" s="41">
        <v>129141.7</v>
      </c>
      <c r="G8" s="41">
        <v>0.26</v>
      </c>
      <c r="H8" s="41">
        <v>2055.0100000000002</v>
      </c>
      <c r="I8" s="41">
        <v>0</v>
      </c>
      <c r="K8" s="41">
        <v>131196.97</v>
      </c>
      <c r="L8" s="562"/>
    </row>
    <row r="9" spans="1:12">
      <c r="A9" s="562">
        <v>10953</v>
      </c>
      <c r="B9" s="562">
        <v>427821</v>
      </c>
      <c r="C9" s="562">
        <v>10007793</v>
      </c>
      <c r="D9" s="562" t="s">
        <v>2727</v>
      </c>
      <c r="E9" s="562"/>
      <c r="F9" s="41">
        <v>130165.48</v>
      </c>
      <c r="G9" s="41">
        <v>0.27</v>
      </c>
      <c r="H9" s="41">
        <v>1031.23</v>
      </c>
      <c r="I9" s="41">
        <v>0</v>
      </c>
      <c r="K9" s="41">
        <v>131196.98000000001</v>
      </c>
      <c r="L9" s="562"/>
    </row>
    <row r="10" spans="1:12">
      <c r="A10" s="562">
        <v>10953</v>
      </c>
      <c r="B10" s="562">
        <v>427839</v>
      </c>
      <c r="C10" s="562">
        <v>10007794</v>
      </c>
      <c r="D10" s="562" t="s">
        <v>2720</v>
      </c>
      <c r="E10" s="562"/>
      <c r="F10" s="41">
        <v>24238.13</v>
      </c>
      <c r="G10" s="41">
        <v>0</v>
      </c>
      <c r="H10" s="41">
        <v>4271</v>
      </c>
      <c r="I10" s="41">
        <v>0</v>
      </c>
      <c r="K10" s="41">
        <v>28509.13</v>
      </c>
      <c r="L10" s="562"/>
    </row>
    <row r="11" spans="1:12">
      <c r="A11" s="562">
        <v>10953</v>
      </c>
      <c r="B11" s="562">
        <v>427839</v>
      </c>
      <c r="C11" s="562">
        <v>10007794</v>
      </c>
      <c r="D11" s="562" t="s">
        <v>2728</v>
      </c>
      <c r="E11" s="562"/>
      <c r="F11" s="41">
        <v>24298.73</v>
      </c>
      <c r="G11" s="41">
        <v>0</v>
      </c>
      <c r="H11" s="41">
        <v>4210.3999999999996</v>
      </c>
      <c r="I11" s="41">
        <v>0</v>
      </c>
      <c r="K11" s="41">
        <v>28509.13</v>
      </c>
      <c r="L11" s="562"/>
    </row>
    <row r="12" spans="1:12">
      <c r="A12" s="562">
        <v>10953</v>
      </c>
      <c r="B12" s="562">
        <v>427839</v>
      </c>
      <c r="C12" s="562">
        <v>10007794</v>
      </c>
      <c r="D12" s="562" t="s">
        <v>2724</v>
      </c>
      <c r="E12" s="562"/>
      <c r="F12" s="41">
        <v>24359.48</v>
      </c>
      <c r="G12" s="41">
        <v>0</v>
      </c>
      <c r="H12" s="41">
        <v>4149.6499999999996</v>
      </c>
      <c r="I12" s="41">
        <v>0</v>
      </c>
      <c r="K12" s="41">
        <v>28509.13</v>
      </c>
      <c r="L12" s="562"/>
    </row>
    <row r="13" spans="1:12">
      <c r="A13" s="562">
        <v>10953</v>
      </c>
      <c r="B13" s="562">
        <v>427839</v>
      </c>
      <c r="C13" s="562">
        <v>10007794</v>
      </c>
      <c r="D13" s="562" t="s">
        <v>2721</v>
      </c>
      <c r="E13" s="562"/>
      <c r="F13" s="41">
        <v>24420.38</v>
      </c>
      <c r="G13" s="41">
        <v>0</v>
      </c>
      <c r="H13" s="41">
        <v>4088.75</v>
      </c>
      <c r="I13" s="41">
        <v>0</v>
      </c>
      <c r="K13" s="41">
        <v>28509.13</v>
      </c>
      <c r="L13" s="562"/>
    </row>
    <row r="14" spans="1:12">
      <c r="A14" s="562">
        <v>10953</v>
      </c>
      <c r="B14" s="562">
        <v>427839</v>
      </c>
      <c r="C14" s="562">
        <v>10007794</v>
      </c>
      <c r="D14" s="562" t="s">
        <v>2729</v>
      </c>
      <c r="E14" s="562"/>
      <c r="F14" s="41">
        <v>24481.43</v>
      </c>
      <c r="G14" s="41">
        <v>0</v>
      </c>
      <c r="H14" s="41">
        <v>4027.7</v>
      </c>
      <c r="I14" s="41">
        <v>0</v>
      </c>
      <c r="K14" s="41">
        <v>28509.13</v>
      </c>
      <c r="L14" s="562"/>
    </row>
    <row r="15" spans="1:12">
      <c r="A15" s="562">
        <v>10953</v>
      </c>
      <c r="B15" s="562">
        <v>427839</v>
      </c>
      <c r="C15" s="562">
        <v>10007794</v>
      </c>
      <c r="D15" s="562" t="s">
        <v>2725</v>
      </c>
      <c r="E15" s="562"/>
      <c r="F15" s="41">
        <v>24542.63</v>
      </c>
      <c r="G15" s="41">
        <v>0</v>
      </c>
      <c r="H15" s="41">
        <v>3966.5</v>
      </c>
      <c r="I15" s="41">
        <v>0</v>
      </c>
      <c r="K15" s="41">
        <v>28509.13</v>
      </c>
      <c r="L15" s="562"/>
    </row>
    <row r="16" spans="1:12">
      <c r="A16" s="562">
        <v>10953</v>
      </c>
      <c r="B16" s="562">
        <v>427839</v>
      </c>
      <c r="C16" s="562">
        <v>10007794</v>
      </c>
      <c r="D16" s="562" t="s">
        <v>2722</v>
      </c>
      <c r="E16" s="562"/>
      <c r="F16" s="41">
        <v>24603.99</v>
      </c>
      <c r="G16" s="41">
        <v>0</v>
      </c>
      <c r="H16" s="41">
        <v>3905.14</v>
      </c>
      <c r="I16" s="41">
        <v>0</v>
      </c>
      <c r="K16" s="41">
        <v>28509.13</v>
      </c>
      <c r="L16" s="562"/>
    </row>
    <row r="17" spans="1:11">
      <c r="A17" s="562">
        <v>10953</v>
      </c>
      <c r="B17" s="562">
        <v>427839</v>
      </c>
      <c r="C17" s="562">
        <v>10007794</v>
      </c>
      <c r="D17" s="562" t="s">
        <v>2730</v>
      </c>
      <c r="E17" s="562"/>
      <c r="F17" s="41">
        <v>24665.5</v>
      </c>
      <c r="G17" s="41">
        <v>0</v>
      </c>
      <c r="H17" s="41">
        <v>3843.63</v>
      </c>
      <c r="I17" s="41">
        <v>0</v>
      </c>
      <c r="K17" s="41">
        <v>28509.13</v>
      </c>
    </row>
    <row r="18" spans="1:11">
      <c r="A18" s="562">
        <v>10953</v>
      </c>
      <c r="B18" s="562">
        <v>427839</v>
      </c>
      <c r="C18" s="562">
        <v>10007794</v>
      </c>
      <c r="D18" s="562" t="s">
        <v>2726</v>
      </c>
      <c r="E18" s="562"/>
      <c r="F18" s="41">
        <v>24727.16</v>
      </c>
      <c r="G18" s="41">
        <v>0</v>
      </c>
      <c r="H18" s="41">
        <v>3781.97</v>
      </c>
      <c r="I18" s="41">
        <v>0</v>
      </c>
      <c r="K18" s="41">
        <v>28509.13</v>
      </c>
    </row>
    <row r="19" spans="1:11">
      <c r="A19" s="562">
        <v>10953</v>
      </c>
      <c r="B19" s="562">
        <v>427839</v>
      </c>
      <c r="C19" s="562">
        <v>10007794</v>
      </c>
      <c r="D19" s="562" t="s">
        <v>2723</v>
      </c>
      <c r="E19" s="562"/>
      <c r="F19" s="41">
        <v>24788.98</v>
      </c>
      <c r="G19" s="41">
        <v>0</v>
      </c>
      <c r="H19" s="41">
        <v>3720.15</v>
      </c>
      <c r="I19" s="41">
        <v>0</v>
      </c>
      <c r="K19" s="41">
        <v>28509.13</v>
      </c>
    </row>
    <row r="20" spans="1:11">
      <c r="A20" s="562">
        <v>10953</v>
      </c>
      <c r="B20" s="562">
        <v>427839</v>
      </c>
      <c r="C20" s="562">
        <v>10007794</v>
      </c>
      <c r="D20" s="562" t="s">
        <v>2731</v>
      </c>
      <c r="E20" s="562"/>
      <c r="F20" s="41">
        <v>24850.95</v>
      </c>
      <c r="G20" s="41">
        <v>0</v>
      </c>
      <c r="H20" s="41">
        <v>3658.18</v>
      </c>
      <c r="I20" s="41">
        <v>0</v>
      </c>
      <c r="K20" s="41">
        <v>28509.13</v>
      </c>
    </row>
    <row r="21" spans="1:11">
      <c r="A21" s="562">
        <v>10953</v>
      </c>
      <c r="B21" s="562">
        <v>427839</v>
      </c>
      <c r="C21" s="562">
        <v>10007794</v>
      </c>
      <c r="D21" s="562" t="s">
        <v>2727</v>
      </c>
      <c r="E21" s="562"/>
      <c r="F21" s="41">
        <v>24913.08</v>
      </c>
      <c r="G21" s="41">
        <v>0</v>
      </c>
      <c r="H21" s="41">
        <v>3596.05</v>
      </c>
      <c r="I21" s="41">
        <v>0</v>
      </c>
      <c r="K21" s="41">
        <v>28509.13</v>
      </c>
    </row>
    <row r="22" spans="1:11">
      <c r="A22" s="562">
        <v>10953</v>
      </c>
      <c r="B22" s="562">
        <v>209029</v>
      </c>
      <c r="C22" s="562">
        <v>10007795</v>
      </c>
      <c r="D22" s="562" t="s">
        <v>2732</v>
      </c>
      <c r="E22" s="562"/>
      <c r="F22" s="41">
        <v>78888.89</v>
      </c>
      <c r="G22" s="41">
        <v>0</v>
      </c>
      <c r="H22" s="41">
        <v>13980.29</v>
      </c>
      <c r="I22" s="41">
        <v>0</v>
      </c>
      <c r="K22" s="41">
        <v>92869.18</v>
      </c>
    </row>
    <row r="23" spans="1:11">
      <c r="A23" s="562">
        <v>10953</v>
      </c>
      <c r="B23" s="562">
        <v>209029</v>
      </c>
      <c r="C23" s="562">
        <v>10007795</v>
      </c>
      <c r="D23" s="562" t="s">
        <v>2733</v>
      </c>
      <c r="E23" s="562"/>
      <c r="F23" s="41">
        <v>78888.89</v>
      </c>
      <c r="G23" s="41">
        <v>0</v>
      </c>
      <c r="H23" s="41">
        <v>13878.99</v>
      </c>
      <c r="I23" s="41">
        <v>0</v>
      </c>
      <c r="K23" s="41">
        <v>92767.88</v>
      </c>
    </row>
    <row r="24" spans="1:11">
      <c r="A24" s="562">
        <v>10953</v>
      </c>
      <c r="B24" s="562">
        <v>209029</v>
      </c>
      <c r="C24" s="562">
        <v>10007795</v>
      </c>
      <c r="D24" s="562" t="s">
        <v>2734</v>
      </c>
      <c r="E24" s="562"/>
      <c r="F24" s="41">
        <v>78888.89</v>
      </c>
      <c r="G24" s="41">
        <v>0</v>
      </c>
      <c r="H24" s="41">
        <v>13777.68</v>
      </c>
      <c r="I24" s="41">
        <v>0</v>
      </c>
      <c r="K24" s="41">
        <v>92666.57</v>
      </c>
    </row>
    <row r="25" spans="1:11">
      <c r="A25" s="562">
        <v>10953</v>
      </c>
      <c r="B25" s="562">
        <v>209029</v>
      </c>
      <c r="C25" s="562">
        <v>10007795</v>
      </c>
      <c r="D25" s="562" t="s">
        <v>2735</v>
      </c>
      <c r="E25" s="562"/>
      <c r="F25" s="41">
        <v>78888.89</v>
      </c>
      <c r="G25" s="41">
        <v>0</v>
      </c>
      <c r="H25" s="41">
        <v>13676.37</v>
      </c>
      <c r="I25" s="41">
        <v>0</v>
      </c>
      <c r="K25" s="41">
        <v>92565.26</v>
      </c>
    </row>
    <row r="26" spans="1:11">
      <c r="A26" s="562">
        <v>10953</v>
      </c>
      <c r="B26" s="562">
        <v>209029</v>
      </c>
      <c r="C26" s="562">
        <v>10007795</v>
      </c>
      <c r="D26" s="562" t="s">
        <v>2736</v>
      </c>
      <c r="E26" s="562"/>
      <c r="F26" s="41">
        <v>78888.89</v>
      </c>
      <c r="G26" s="41">
        <v>0</v>
      </c>
      <c r="H26" s="41">
        <v>13575.07</v>
      </c>
      <c r="I26" s="41">
        <v>0</v>
      </c>
      <c r="K26" s="41">
        <v>92463.96</v>
      </c>
    </row>
    <row r="27" spans="1:11">
      <c r="A27" s="562">
        <v>10953</v>
      </c>
      <c r="B27" s="562">
        <v>209029</v>
      </c>
      <c r="C27" s="562">
        <v>10007795</v>
      </c>
      <c r="D27" s="562" t="s">
        <v>2737</v>
      </c>
      <c r="E27" s="562"/>
      <c r="F27" s="41">
        <v>78888.89</v>
      </c>
      <c r="G27" s="41">
        <v>0</v>
      </c>
      <c r="H27" s="41">
        <v>13473.76</v>
      </c>
      <c r="I27" s="41">
        <v>0</v>
      </c>
      <c r="K27" s="41">
        <v>92362.65</v>
      </c>
    </row>
    <row r="28" spans="1:11">
      <c r="A28" s="562">
        <v>10953</v>
      </c>
      <c r="B28" s="562">
        <v>209029</v>
      </c>
      <c r="C28" s="562">
        <v>10007795</v>
      </c>
      <c r="D28" s="562" t="s">
        <v>2738</v>
      </c>
      <c r="E28" s="562"/>
      <c r="F28" s="41">
        <v>78888.89</v>
      </c>
      <c r="G28" s="41">
        <v>0</v>
      </c>
      <c r="H28" s="41">
        <v>13372.46</v>
      </c>
      <c r="I28" s="41">
        <v>0</v>
      </c>
      <c r="K28" s="41">
        <v>92261.35</v>
      </c>
    </row>
    <row r="29" spans="1:11">
      <c r="A29" s="562">
        <v>10953</v>
      </c>
      <c r="B29" s="562">
        <v>209029</v>
      </c>
      <c r="C29" s="562">
        <v>10007795</v>
      </c>
      <c r="D29" s="562" t="s">
        <v>2739</v>
      </c>
      <c r="E29" s="562"/>
      <c r="F29" s="41">
        <v>78888.89</v>
      </c>
      <c r="G29" s="41">
        <v>0</v>
      </c>
      <c r="H29" s="41">
        <v>13271.15</v>
      </c>
      <c r="I29" s="41">
        <v>0</v>
      </c>
      <c r="K29" s="41">
        <v>92160.04</v>
      </c>
    </row>
    <row r="30" spans="1:11">
      <c r="A30" s="562">
        <v>10953</v>
      </c>
      <c r="B30" s="562">
        <v>209029</v>
      </c>
      <c r="C30" s="562">
        <v>10007795</v>
      </c>
      <c r="D30" s="562" t="s">
        <v>2740</v>
      </c>
      <c r="E30" s="562"/>
      <c r="F30" s="41">
        <v>78888.89</v>
      </c>
      <c r="G30" s="41">
        <v>0</v>
      </c>
      <c r="H30" s="41">
        <v>13169.84</v>
      </c>
      <c r="I30" s="41">
        <v>0</v>
      </c>
      <c r="K30" s="41">
        <v>92058.73</v>
      </c>
    </row>
    <row r="31" spans="1:11">
      <c r="A31" s="562">
        <v>10953</v>
      </c>
      <c r="B31" s="562">
        <v>209029</v>
      </c>
      <c r="C31" s="562">
        <v>10007795</v>
      </c>
      <c r="D31" s="562" t="s">
        <v>2741</v>
      </c>
      <c r="E31" s="562"/>
      <c r="F31" s="41">
        <v>78888.89</v>
      </c>
      <c r="G31" s="41">
        <v>0</v>
      </c>
      <c r="H31" s="41">
        <v>13068.54</v>
      </c>
      <c r="I31" s="41">
        <v>0</v>
      </c>
      <c r="K31" s="41">
        <v>91957.43</v>
      </c>
    </row>
    <row r="32" spans="1:11">
      <c r="A32" s="562">
        <v>10953</v>
      </c>
      <c r="B32" s="562">
        <v>209029</v>
      </c>
      <c r="C32" s="562">
        <v>10007795</v>
      </c>
      <c r="D32" s="562" t="s">
        <v>2742</v>
      </c>
      <c r="E32" s="562"/>
      <c r="F32" s="41">
        <v>78888.89</v>
      </c>
      <c r="G32" s="41">
        <v>0</v>
      </c>
      <c r="H32" s="41">
        <v>12967.23</v>
      </c>
      <c r="I32" s="41">
        <v>0</v>
      </c>
      <c r="K32" s="41">
        <v>91856.12</v>
      </c>
    </row>
    <row r="33" spans="1:11">
      <c r="A33" s="562">
        <v>10953</v>
      </c>
      <c r="B33" s="562">
        <v>209029</v>
      </c>
      <c r="C33" s="562">
        <v>10007795</v>
      </c>
      <c r="D33" s="562" t="s">
        <v>2743</v>
      </c>
      <c r="E33" s="562"/>
      <c r="F33" s="41">
        <v>78888.89</v>
      </c>
      <c r="G33" s="41">
        <v>0</v>
      </c>
      <c r="H33" s="41">
        <v>12865.92</v>
      </c>
      <c r="I33" s="41">
        <v>0</v>
      </c>
      <c r="K33" s="41">
        <v>91754.81</v>
      </c>
    </row>
    <row r="34" spans="1:11">
      <c r="A34" s="562">
        <v>10953</v>
      </c>
      <c r="B34" s="562">
        <v>209011</v>
      </c>
      <c r="C34" s="562">
        <v>10007796</v>
      </c>
      <c r="D34" s="562" t="s">
        <v>2732</v>
      </c>
      <c r="E34" s="562"/>
      <c r="F34" s="41">
        <v>171783.44</v>
      </c>
      <c r="G34" s="41">
        <v>0</v>
      </c>
      <c r="H34" s="41">
        <v>31240.25</v>
      </c>
      <c r="I34" s="41">
        <v>0</v>
      </c>
      <c r="K34" s="41">
        <v>203023.69</v>
      </c>
    </row>
    <row r="35" spans="1:11">
      <c r="A35" s="562">
        <v>10953</v>
      </c>
      <c r="B35" s="562">
        <v>209011</v>
      </c>
      <c r="C35" s="562">
        <v>10007796</v>
      </c>
      <c r="D35" s="562" t="s">
        <v>2733</v>
      </c>
      <c r="E35" s="562"/>
      <c r="F35" s="41">
        <v>171783.44</v>
      </c>
      <c r="G35" s="41">
        <v>0</v>
      </c>
      <c r="H35" s="41">
        <v>31015.5</v>
      </c>
      <c r="I35" s="41">
        <v>0</v>
      </c>
      <c r="K35" s="41">
        <v>202798.94</v>
      </c>
    </row>
    <row r="36" spans="1:11">
      <c r="A36" s="562">
        <v>10953</v>
      </c>
      <c r="B36" s="562">
        <v>209011</v>
      </c>
      <c r="C36" s="562">
        <v>10007796</v>
      </c>
      <c r="D36" s="562" t="s">
        <v>2734</v>
      </c>
      <c r="E36" s="562"/>
      <c r="F36" s="41">
        <v>171783.44</v>
      </c>
      <c r="G36" s="41">
        <v>0</v>
      </c>
      <c r="H36" s="41">
        <v>30790.75</v>
      </c>
      <c r="I36" s="41">
        <v>0</v>
      </c>
      <c r="K36" s="41">
        <v>202574.19</v>
      </c>
    </row>
    <row r="37" spans="1:11">
      <c r="A37" s="562">
        <v>10953</v>
      </c>
      <c r="B37" s="562">
        <v>209011</v>
      </c>
      <c r="C37" s="562">
        <v>10007796</v>
      </c>
      <c r="D37" s="562" t="s">
        <v>2735</v>
      </c>
      <c r="E37" s="562"/>
      <c r="F37" s="41">
        <v>171783.44</v>
      </c>
      <c r="G37" s="41">
        <v>0</v>
      </c>
      <c r="H37" s="41">
        <v>30566</v>
      </c>
      <c r="I37" s="41">
        <v>0</v>
      </c>
      <c r="K37" s="41">
        <v>202349.44</v>
      </c>
    </row>
    <row r="38" spans="1:11">
      <c r="A38" s="562">
        <v>10953</v>
      </c>
      <c r="B38" s="562">
        <v>209011</v>
      </c>
      <c r="C38" s="562">
        <v>10007796</v>
      </c>
      <c r="D38" s="562" t="s">
        <v>2736</v>
      </c>
      <c r="E38" s="562"/>
      <c r="F38" s="41">
        <v>171783.44</v>
      </c>
      <c r="G38" s="41">
        <v>0</v>
      </c>
      <c r="H38" s="41">
        <v>30341.25</v>
      </c>
      <c r="I38" s="41">
        <v>0</v>
      </c>
      <c r="K38" s="41">
        <v>202124.69</v>
      </c>
    </row>
    <row r="39" spans="1:11">
      <c r="A39" s="562">
        <v>10953</v>
      </c>
      <c r="B39" s="562">
        <v>209011</v>
      </c>
      <c r="C39" s="562">
        <v>10007796</v>
      </c>
      <c r="D39" s="562" t="s">
        <v>2737</v>
      </c>
      <c r="E39" s="562"/>
      <c r="F39" s="41">
        <v>171783.44</v>
      </c>
      <c r="G39" s="41">
        <v>0</v>
      </c>
      <c r="H39" s="41">
        <v>30116.5</v>
      </c>
      <c r="I39" s="41">
        <v>0</v>
      </c>
      <c r="K39" s="41">
        <v>201899.94</v>
      </c>
    </row>
    <row r="40" spans="1:11">
      <c r="A40" s="562">
        <v>10953</v>
      </c>
      <c r="B40" s="562">
        <v>209011</v>
      </c>
      <c r="C40" s="562">
        <v>10007796</v>
      </c>
      <c r="D40" s="562" t="s">
        <v>2738</v>
      </c>
      <c r="E40" s="562"/>
      <c r="F40" s="41">
        <v>171783.44</v>
      </c>
      <c r="G40" s="41">
        <v>0</v>
      </c>
      <c r="H40" s="41">
        <v>29891.75</v>
      </c>
      <c r="I40" s="41">
        <v>0</v>
      </c>
      <c r="K40" s="41">
        <v>201675.19</v>
      </c>
    </row>
    <row r="41" spans="1:11">
      <c r="A41" s="562">
        <v>10953</v>
      </c>
      <c r="B41" s="562">
        <v>209011</v>
      </c>
      <c r="C41" s="562">
        <v>10007796</v>
      </c>
      <c r="D41" s="562" t="s">
        <v>2739</v>
      </c>
      <c r="E41" s="562"/>
      <c r="F41" s="41">
        <v>171783.44</v>
      </c>
      <c r="G41" s="41">
        <v>0</v>
      </c>
      <c r="H41" s="41">
        <v>29667</v>
      </c>
      <c r="I41" s="41">
        <v>0</v>
      </c>
      <c r="K41" s="41">
        <v>201450.44</v>
      </c>
    </row>
    <row r="42" spans="1:11">
      <c r="A42" s="562">
        <v>10953</v>
      </c>
      <c r="B42" s="562">
        <v>209011</v>
      </c>
      <c r="C42" s="562">
        <v>10007796</v>
      </c>
      <c r="D42" s="562" t="s">
        <v>2740</v>
      </c>
      <c r="E42" s="562"/>
      <c r="F42" s="41">
        <v>171783.44</v>
      </c>
      <c r="G42" s="41">
        <v>0</v>
      </c>
      <c r="H42" s="41">
        <v>29442.25</v>
      </c>
      <c r="I42" s="41">
        <v>0</v>
      </c>
      <c r="K42" s="41">
        <v>201225.69</v>
      </c>
    </row>
    <row r="43" spans="1:11">
      <c r="A43" s="562">
        <v>10953</v>
      </c>
      <c r="B43" s="562">
        <v>209011</v>
      </c>
      <c r="C43" s="562">
        <v>10007796</v>
      </c>
      <c r="D43" s="562" t="s">
        <v>2741</v>
      </c>
      <c r="E43" s="562"/>
      <c r="F43" s="41">
        <v>171783.44</v>
      </c>
      <c r="G43" s="41">
        <v>0</v>
      </c>
      <c r="H43" s="41">
        <v>29217.5</v>
      </c>
      <c r="I43" s="41">
        <v>0</v>
      </c>
      <c r="K43" s="41">
        <v>201000.94</v>
      </c>
    </row>
    <row r="44" spans="1:11">
      <c r="A44" s="562">
        <v>10953</v>
      </c>
      <c r="B44" s="562">
        <v>209011</v>
      </c>
      <c r="C44" s="562">
        <v>10007796</v>
      </c>
      <c r="D44" s="562" t="s">
        <v>2742</v>
      </c>
      <c r="E44" s="562"/>
      <c r="F44" s="41">
        <v>171783.44</v>
      </c>
      <c r="G44" s="41">
        <v>0</v>
      </c>
      <c r="H44" s="41">
        <v>28992.75</v>
      </c>
      <c r="I44" s="41">
        <v>0</v>
      </c>
      <c r="K44" s="41">
        <v>200776.19</v>
      </c>
    </row>
    <row r="45" spans="1:11">
      <c r="A45" s="562">
        <v>10953</v>
      </c>
      <c r="B45" s="562">
        <v>209011</v>
      </c>
      <c r="C45" s="562">
        <v>10007796</v>
      </c>
      <c r="D45" s="562" t="s">
        <v>2743</v>
      </c>
      <c r="E45" s="562"/>
      <c r="F45" s="41">
        <v>171783.44</v>
      </c>
      <c r="G45" s="41">
        <v>0</v>
      </c>
      <c r="H45" s="41">
        <v>28768</v>
      </c>
      <c r="I45" s="41">
        <v>0</v>
      </c>
      <c r="K45" s="41">
        <v>200551.44</v>
      </c>
    </row>
    <row r="46" spans="1:11">
      <c r="A46" s="562">
        <v>12072</v>
      </c>
      <c r="B46" s="562">
        <v>1346111</v>
      </c>
      <c r="C46" s="562">
        <v>12007721</v>
      </c>
      <c r="D46" s="562" t="s">
        <v>2744</v>
      </c>
      <c r="E46" s="562"/>
      <c r="F46" s="41">
        <v>45833</v>
      </c>
      <c r="G46" s="41">
        <v>12453.15</v>
      </c>
      <c r="H46" s="41">
        <v>9199.85</v>
      </c>
      <c r="I46" s="41">
        <v>2499.66</v>
      </c>
      <c r="K46" s="41">
        <v>69985.66</v>
      </c>
    </row>
    <row r="47" spans="1:11">
      <c r="A47" s="562">
        <v>12072</v>
      </c>
      <c r="B47" s="562">
        <v>1346111</v>
      </c>
      <c r="C47" s="562">
        <v>12007721</v>
      </c>
      <c r="D47" s="562" t="s">
        <v>2745</v>
      </c>
      <c r="E47" s="562"/>
      <c r="F47" s="41">
        <v>45833</v>
      </c>
      <c r="G47" s="41">
        <v>12453.15</v>
      </c>
      <c r="H47" s="41">
        <v>8995.51</v>
      </c>
      <c r="I47" s="41">
        <v>2444.14</v>
      </c>
      <c r="K47" s="41">
        <v>69725.8</v>
      </c>
    </row>
    <row r="48" spans="1:11">
      <c r="A48" s="562">
        <v>12072</v>
      </c>
      <c r="B48" s="562">
        <v>1346111</v>
      </c>
      <c r="C48" s="562">
        <v>12007721</v>
      </c>
      <c r="D48" s="562" t="s">
        <v>2746</v>
      </c>
      <c r="E48" s="562"/>
      <c r="F48" s="41">
        <v>45833</v>
      </c>
      <c r="G48" s="41">
        <v>12453.15</v>
      </c>
      <c r="H48" s="41">
        <v>8791.17</v>
      </c>
      <c r="I48" s="41">
        <v>2388.62</v>
      </c>
      <c r="K48" s="41">
        <v>69465.94</v>
      </c>
    </row>
    <row r="49" spans="1:11">
      <c r="A49" s="562">
        <v>12072</v>
      </c>
      <c r="B49" s="562">
        <v>1346111</v>
      </c>
      <c r="C49" s="562">
        <v>12007721</v>
      </c>
      <c r="D49" s="562" t="s">
        <v>2747</v>
      </c>
      <c r="E49" s="562"/>
      <c r="F49" s="41">
        <v>45833</v>
      </c>
      <c r="G49" s="41">
        <v>12453.15</v>
      </c>
      <c r="H49" s="41">
        <v>8586.83</v>
      </c>
      <c r="I49" s="41">
        <v>2333.1</v>
      </c>
      <c r="K49" s="41">
        <v>69206.080000000002</v>
      </c>
    </row>
    <row r="50" spans="1:11">
      <c r="A50" s="562">
        <v>12072</v>
      </c>
      <c r="B50" s="562">
        <v>1346111</v>
      </c>
      <c r="C50" s="562">
        <v>12007721</v>
      </c>
      <c r="D50" s="562" t="s">
        <v>2748</v>
      </c>
      <c r="E50" s="562"/>
      <c r="F50" s="41">
        <v>45833</v>
      </c>
      <c r="G50" s="41">
        <v>12453.15</v>
      </c>
      <c r="H50" s="41">
        <v>8382.49</v>
      </c>
      <c r="I50" s="41">
        <v>2277.58</v>
      </c>
      <c r="K50" s="41">
        <v>68946.22</v>
      </c>
    </row>
    <row r="51" spans="1:11">
      <c r="A51" s="562">
        <v>12072</v>
      </c>
      <c r="B51" s="562">
        <v>1346111</v>
      </c>
      <c r="C51" s="562">
        <v>12007721</v>
      </c>
      <c r="D51" s="562" t="s">
        <v>2749</v>
      </c>
      <c r="E51" s="562"/>
      <c r="F51" s="41">
        <v>45833</v>
      </c>
      <c r="G51" s="41">
        <v>12453.15</v>
      </c>
      <c r="H51" s="41">
        <v>8178.15</v>
      </c>
      <c r="I51" s="41">
        <v>2222.06</v>
      </c>
      <c r="K51" s="41">
        <v>68686.36</v>
      </c>
    </row>
    <row r="52" spans="1:11">
      <c r="A52" s="562">
        <v>12072</v>
      </c>
      <c r="B52" s="562">
        <v>1346111</v>
      </c>
      <c r="C52" s="562">
        <v>12007721</v>
      </c>
      <c r="D52" s="562" t="s">
        <v>2750</v>
      </c>
      <c r="E52" s="562"/>
      <c r="F52" s="41">
        <v>45833</v>
      </c>
      <c r="G52" s="41">
        <v>12453.15</v>
      </c>
      <c r="H52" s="41">
        <v>7973.81</v>
      </c>
      <c r="I52" s="41">
        <v>2166.54</v>
      </c>
      <c r="K52" s="41">
        <v>68426.5</v>
      </c>
    </row>
    <row r="53" spans="1:11">
      <c r="A53" s="562">
        <v>12072</v>
      </c>
      <c r="B53" s="562">
        <v>1346111</v>
      </c>
      <c r="C53" s="562">
        <v>12007721</v>
      </c>
      <c r="D53" s="562" t="s">
        <v>2751</v>
      </c>
      <c r="E53" s="562"/>
      <c r="F53" s="41">
        <v>45833</v>
      </c>
      <c r="G53" s="41">
        <v>12453.15</v>
      </c>
      <c r="H53" s="41">
        <v>7769.47</v>
      </c>
      <c r="I53" s="41">
        <v>2111.02</v>
      </c>
      <c r="K53" s="41">
        <v>68166.64</v>
      </c>
    </row>
    <row r="54" spans="1:11">
      <c r="A54" s="562">
        <v>12072</v>
      </c>
      <c r="B54" s="562">
        <v>1346111</v>
      </c>
      <c r="C54" s="562">
        <v>12007721</v>
      </c>
      <c r="D54" s="562" t="s">
        <v>2752</v>
      </c>
      <c r="E54" s="562"/>
      <c r="F54" s="41">
        <v>45833</v>
      </c>
      <c r="G54" s="41">
        <v>12453.15</v>
      </c>
      <c r="H54" s="41">
        <v>7565.14</v>
      </c>
      <c r="I54" s="41">
        <v>2055.5</v>
      </c>
      <c r="K54" s="41">
        <v>67906.789999999994</v>
      </c>
    </row>
    <row r="55" spans="1:11">
      <c r="A55" s="562">
        <v>12072</v>
      </c>
      <c r="B55" s="562">
        <v>1346111</v>
      </c>
      <c r="C55" s="562">
        <v>12007721</v>
      </c>
      <c r="D55" s="562" t="s">
        <v>2753</v>
      </c>
      <c r="E55" s="562"/>
      <c r="F55" s="41">
        <v>45833</v>
      </c>
      <c r="G55" s="41">
        <v>12453.15</v>
      </c>
      <c r="H55" s="41">
        <v>7360.8</v>
      </c>
      <c r="I55" s="41">
        <v>1999.98</v>
      </c>
      <c r="K55" s="41">
        <v>67646.929999999993</v>
      </c>
    </row>
    <row r="56" spans="1:11">
      <c r="A56" s="562">
        <v>12072</v>
      </c>
      <c r="B56" s="562">
        <v>1346111</v>
      </c>
      <c r="C56" s="562">
        <v>12007721</v>
      </c>
      <c r="D56" s="562" t="s">
        <v>2754</v>
      </c>
      <c r="E56" s="562"/>
      <c r="F56" s="41">
        <v>45833</v>
      </c>
      <c r="G56" s="41">
        <v>12453.15</v>
      </c>
      <c r="H56" s="41">
        <v>7156.46</v>
      </c>
      <c r="I56" s="41">
        <v>1944.46</v>
      </c>
      <c r="K56" s="41">
        <v>67387.070000000007</v>
      </c>
    </row>
    <row r="57" spans="1:11">
      <c r="A57" s="562">
        <v>12072</v>
      </c>
      <c r="B57" s="562">
        <v>1346111</v>
      </c>
      <c r="C57" s="562">
        <v>12007721</v>
      </c>
      <c r="D57" s="562" t="s">
        <v>2755</v>
      </c>
      <c r="E57" s="562"/>
      <c r="F57" s="41">
        <v>45833</v>
      </c>
      <c r="G57" s="41">
        <v>12453.15</v>
      </c>
      <c r="H57" s="41">
        <v>6952.12</v>
      </c>
      <c r="I57" s="41">
        <v>1888.94</v>
      </c>
      <c r="K57" s="41">
        <v>67127.210000000006</v>
      </c>
    </row>
    <row r="58" spans="1:11">
      <c r="A58" s="562">
        <v>12072</v>
      </c>
      <c r="B58" s="562">
        <v>1346112</v>
      </c>
      <c r="C58" s="562">
        <v>12007722</v>
      </c>
      <c r="D58" s="562" t="s">
        <v>2756</v>
      </c>
      <c r="E58" s="562"/>
      <c r="F58" s="41">
        <v>41666</v>
      </c>
      <c r="G58" s="41">
        <v>12247.83</v>
      </c>
      <c r="H58" s="41">
        <v>8837.7900000000009</v>
      </c>
      <c r="I58" s="41">
        <v>2597.89</v>
      </c>
      <c r="K58" s="41">
        <v>65349.51</v>
      </c>
    </row>
    <row r="59" spans="1:11">
      <c r="A59" s="562">
        <v>12072</v>
      </c>
      <c r="B59" s="562">
        <v>1346112</v>
      </c>
      <c r="C59" s="562">
        <v>12007722</v>
      </c>
      <c r="D59" s="562" t="s">
        <v>2728</v>
      </c>
      <c r="E59" s="562"/>
      <c r="F59" s="41">
        <v>41666</v>
      </c>
      <c r="G59" s="41">
        <v>12247.83</v>
      </c>
      <c r="H59" s="41">
        <v>8653.77</v>
      </c>
      <c r="I59" s="41">
        <v>2543.8000000000002</v>
      </c>
      <c r="K59" s="41">
        <v>65111.4</v>
      </c>
    </row>
    <row r="60" spans="1:11">
      <c r="A60" s="562">
        <v>12072</v>
      </c>
      <c r="B60" s="562">
        <v>1346112</v>
      </c>
      <c r="C60" s="562">
        <v>12007722</v>
      </c>
      <c r="D60" s="562" t="s">
        <v>2757</v>
      </c>
      <c r="E60" s="562"/>
      <c r="F60" s="41">
        <v>41666</v>
      </c>
      <c r="G60" s="41">
        <v>12247.83</v>
      </c>
      <c r="H60" s="41">
        <v>8469.74</v>
      </c>
      <c r="I60" s="41">
        <v>2489.6999999999998</v>
      </c>
      <c r="K60" s="41">
        <v>64873.27</v>
      </c>
    </row>
    <row r="61" spans="1:11">
      <c r="A61" s="562">
        <v>12072</v>
      </c>
      <c r="B61" s="562">
        <v>1346112</v>
      </c>
      <c r="C61" s="562">
        <v>12007722</v>
      </c>
      <c r="D61" s="562" t="s">
        <v>2721</v>
      </c>
      <c r="E61" s="562"/>
      <c r="F61" s="41">
        <v>41666</v>
      </c>
      <c r="G61" s="41">
        <v>12247.83</v>
      </c>
      <c r="H61" s="41">
        <v>8285.7199999999993</v>
      </c>
      <c r="I61" s="41">
        <v>2435.61</v>
      </c>
      <c r="K61" s="41">
        <v>64635.16</v>
      </c>
    </row>
    <row r="62" spans="1:11">
      <c r="A62" s="562">
        <v>12072</v>
      </c>
      <c r="B62" s="562">
        <v>1346112</v>
      </c>
      <c r="C62" s="562">
        <v>12007722</v>
      </c>
      <c r="D62" s="562" t="s">
        <v>2758</v>
      </c>
      <c r="E62" s="562"/>
      <c r="F62" s="41">
        <v>41666</v>
      </c>
      <c r="G62" s="41">
        <v>12247.83</v>
      </c>
      <c r="H62" s="41">
        <v>8101.69</v>
      </c>
      <c r="I62" s="41">
        <v>2381.5100000000002</v>
      </c>
      <c r="K62" s="41">
        <v>64397.03</v>
      </c>
    </row>
    <row r="63" spans="1:11">
      <c r="A63" s="562">
        <v>12072</v>
      </c>
      <c r="B63" s="562">
        <v>1346112</v>
      </c>
      <c r="C63" s="562">
        <v>12007722</v>
      </c>
      <c r="D63" s="562" t="s">
        <v>2725</v>
      </c>
      <c r="E63" s="562"/>
      <c r="F63" s="41">
        <v>41666</v>
      </c>
      <c r="G63" s="41">
        <v>12247.83</v>
      </c>
      <c r="H63" s="41">
        <v>7917.67</v>
      </c>
      <c r="I63" s="41">
        <v>2327.42</v>
      </c>
      <c r="K63" s="41">
        <v>64158.92</v>
      </c>
    </row>
    <row r="64" spans="1:11">
      <c r="A64" s="562">
        <v>12072</v>
      </c>
      <c r="B64" s="562">
        <v>1346112</v>
      </c>
      <c r="C64" s="562">
        <v>12007722</v>
      </c>
      <c r="D64" s="562" t="s">
        <v>2759</v>
      </c>
      <c r="E64" s="562"/>
      <c r="F64" s="41">
        <v>41666</v>
      </c>
      <c r="G64" s="41">
        <v>12247.83</v>
      </c>
      <c r="H64" s="41">
        <v>7733.64</v>
      </c>
      <c r="I64" s="41">
        <v>2273.3200000000002</v>
      </c>
      <c r="K64" s="41">
        <v>63920.79</v>
      </c>
    </row>
    <row r="65" spans="1:11">
      <c r="A65" s="562">
        <v>12072</v>
      </c>
      <c r="B65" s="562">
        <v>1346112</v>
      </c>
      <c r="C65" s="562">
        <v>12007722</v>
      </c>
      <c r="D65" s="562" t="s">
        <v>2760</v>
      </c>
      <c r="E65" s="562"/>
      <c r="F65" s="41">
        <v>41666</v>
      </c>
      <c r="G65" s="41">
        <v>12247.83</v>
      </c>
      <c r="H65" s="41">
        <v>7549.62</v>
      </c>
      <c r="I65" s="41">
        <v>2219.23</v>
      </c>
      <c r="K65" s="41">
        <v>63682.68</v>
      </c>
    </row>
    <row r="66" spans="1:11">
      <c r="A66" s="562">
        <v>12072</v>
      </c>
      <c r="B66" s="562">
        <v>1346112</v>
      </c>
      <c r="C66" s="562">
        <v>12007722</v>
      </c>
      <c r="D66" s="562" t="s">
        <v>2726</v>
      </c>
      <c r="E66" s="562"/>
      <c r="F66" s="41">
        <v>41666</v>
      </c>
      <c r="G66" s="41">
        <v>12247.83</v>
      </c>
      <c r="H66" s="41">
        <v>7365.59</v>
      </c>
      <c r="I66" s="41">
        <v>2165.13</v>
      </c>
      <c r="K66" s="41">
        <v>63444.55</v>
      </c>
    </row>
    <row r="67" spans="1:11">
      <c r="A67" s="562">
        <v>12072</v>
      </c>
      <c r="B67" s="562">
        <v>1346112</v>
      </c>
      <c r="C67" s="562">
        <v>12007722</v>
      </c>
      <c r="D67" s="562" t="s">
        <v>2761</v>
      </c>
      <c r="E67" s="562"/>
      <c r="F67" s="41">
        <v>41666</v>
      </c>
      <c r="G67" s="41">
        <v>12247.83</v>
      </c>
      <c r="H67" s="41">
        <v>7181.57</v>
      </c>
      <c r="I67" s="41">
        <v>2111.04</v>
      </c>
      <c r="K67" s="41">
        <v>63206.44</v>
      </c>
    </row>
    <row r="68" spans="1:11">
      <c r="A68" s="562">
        <v>12072</v>
      </c>
      <c r="B68" s="562">
        <v>1346112</v>
      </c>
      <c r="C68" s="562">
        <v>12007722</v>
      </c>
      <c r="D68" s="562" t="s">
        <v>2731</v>
      </c>
      <c r="E68" s="562"/>
      <c r="F68" s="41">
        <v>41666</v>
      </c>
      <c r="G68" s="41">
        <v>12247.83</v>
      </c>
      <c r="H68" s="41">
        <v>6997.54</v>
      </c>
      <c r="I68" s="41">
        <v>2056.9499999999998</v>
      </c>
      <c r="K68" s="41">
        <v>62968.32</v>
      </c>
    </row>
    <row r="69" spans="1:11">
      <c r="A69" s="562">
        <v>12072</v>
      </c>
      <c r="B69" s="562">
        <v>1346112</v>
      </c>
      <c r="C69" s="562">
        <v>12007722</v>
      </c>
      <c r="D69" s="562" t="s">
        <v>2762</v>
      </c>
      <c r="E69" s="562"/>
      <c r="F69" s="41">
        <v>41666</v>
      </c>
      <c r="G69" s="41">
        <v>12247.83</v>
      </c>
      <c r="H69" s="41">
        <v>6813.52</v>
      </c>
      <c r="I69" s="41">
        <v>2002.85</v>
      </c>
      <c r="K69" s="41">
        <v>62730.2</v>
      </c>
    </row>
    <row r="70" spans="1:11">
      <c r="A70" s="562">
        <v>12072</v>
      </c>
      <c r="B70" s="562">
        <v>1346113</v>
      </c>
      <c r="C70" s="562">
        <v>12007723</v>
      </c>
      <c r="D70" s="562" t="s">
        <v>2763</v>
      </c>
      <c r="E70" s="562"/>
      <c r="F70" s="41">
        <v>64935</v>
      </c>
      <c r="G70" s="41">
        <v>19200.650000000001</v>
      </c>
      <c r="H70" s="41">
        <v>13941.45</v>
      </c>
      <c r="I70" s="41">
        <v>4122.3500000000004</v>
      </c>
      <c r="K70" s="41">
        <v>102199.45</v>
      </c>
    </row>
    <row r="71" spans="1:11">
      <c r="A71" s="562">
        <v>12072</v>
      </c>
      <c r="B71" s="562">
        <v>1346113</v>
      </c>
      <c r="C71" s="562">
        <v>12007723</v>
      </c>
      <c r="D71" s="562" t="s">
        <v>2764</v>
      </c>
      <c r="E71" s="562"/>
      <c r="F71" s="41">
        <v>64935</v>
      </c>
      <c r="G71" s="41">
        <v>19200.650000000001</v>
      </c>
      <c r="H71" s="41">
        <v>13668.19</v>
      </c>
      <c r="I71" s="41">
        <v>4041.55</v>
      </c>
      <c r="K71" s="41">
        <v>101845.39</v>
      </c>
    </row>
    <row r="72" spans="1:11">
      <c r="A72" s="562">
        <v>12072</v>
      </c>
      <c r="B72" s="562">
        <v>1346113</v>
      </c>
      <c r="C72" s="562">
        <v>12007723</v>
      </c>
      <c r="D72" s="562" t="s">
        <v>2765</v>
      </c>
      <c r="E72" s="562"/>
      <c r="F72" s="41">
        <v>64935</v>
      </c>
      <c r="G72" s="41">
        <v>19200.650000000001</v>
      </c>
      <c r="H72" s="41">
        <v>13394.92</v>
      </c>
      <c r="I72" s="41">
        <v>3960.75</v>
      </c>
      <c r="K72" s="41">
        <v>101491.32</v>
      </c>
    </row>
    <row r="73" spans="1:11">
      <c r="A73" s="562">
        <v>12072</v>
      </c>
      <c r="B73" s="562">
        <v>1346113</v>
      </c>
      <c r="C73" s="562">
        <v>12007723</v>
      </c>
      <c r="D73" s="562" t="s">
        <v>2766</v>
      </c>
      <c r="E73" s="562"/>
      <c r="F73" s="41">
        <v>64935</v>
      </c>
      <c r="G73" s="41">
        <v>19200.650000000001</v>
      </c>
      <c r="H73" s="41">
        <v>13121.65</v>
      </c>
      <c r="I73" s="41">
        <v>3879.94</v>
      </c>
      <c r="K73" s="41">
        <v>101137.24</v>
      </c>
    </row>
    <row r="74" spans="1:11">
      <c r="A74" s="562">
        <v>12072</v>
      </c>
      <c r="B74" s="562">
        <v>1346113</v>
      </c>
      <c r="C74" s="562">
        <v>12007723</v>
      </c>
      <c r="D74" s="562" t="s">
        <v>2767</v>
      </c>
      <c r="E74" s="562"/>
      <c r="F74" s="41">
        <v>64935</v>
      </c>
      <c r="G74" s="41">
        <v>19200.650000000001</v>
      </c>
      <c r="H74" s="41">
        <v>12848.38</v>
      </c>
      <c r="I74" s="41">
        <v>3799.14</v>
      </c>
      <c r="K74" s="41">
        <v>100783.17</v>
      </c>
    </row>
    <row r="75" spans="1:11">
      <c r="A75" s="562">
        <v>12072</v>
      </c>
      <c r="B75" s="562">
        <v>1346113</v>
      </c>
      <c r="C75" s="562">
        <v>12007723</v>
      </c>
      <c r="D75" s="562" t="s">
        <v>2768</v>
      </c>
      <c r="E75" s="562"/>
      <c r="F75" s="41">
        <v>64935</v>
      </c>
      <c r="G75" s="41">
        <v>19200.650000000001</v>
      </c>
      <c r="H75" s="41">
        <v>12575.11</v>
      </c>
      <c r="I75" s="41">
        <v>3718.34</v>
      </c>
      <c r="K75" s="41">
        <v>100429.1</v>
      </c>
    </row>
    <row r="76" spans="1:11">
      <c r="A76" s="562">
        <v>12072</v>
      </c>
      <c r="B76" s="562">
        <v>1346113</v>
      </c>
      <c r="C76" s="562">
        <v>12007723</v>
      </c>
      <c r="D76" s="562" t="s">
        <v>2769</v>
      </c>
      <c r="E76" s="562"/>
      <c r="F76" s="41">
        <v>64935</v>
      </c>
      <c r="G76" s="41">
        <v>19200.650000000001</v>
      </c>
      <c r="H76" s="41">
        <v>12301.85</v>
      </c>
      <c r="I76" s="41">
        <v>3637.54</v>
      </c>
      <c r="K76" s="41">
        <v>100075.04</v>
      </c>
    </row>
    <row r="77" spans="1:11">
      <c r="A77" s="562">
        <v>12072</v>
      </c>
      <c r="B77" s="562">
        <v>1346113</v>
      </c>
      <c r="C77" s="562">
        <v>12007723</v>
      </c>
      <c r="D77" s="562" t="s">
        <v>2770</v>
      </c>
      <c r="E77" s="562"/>
      <c r="F77" s="41">
        <v>64935</v>
      </c>
      <c r="G77" s="41">
        <v>19200.650000000001</v>
      </c>
      <c r="H77" s="41">
        <v>12028.58</v>
      </c>
      <c r="I77" s="41">
        <v>3556.73</v>
      </c>
      <c r="K77" s="41">
        <v>99720.960000000006</v>
      </c>
    </row>
    <row r="78" spans="1:11">
      <c r="A78" s="562">
        <v>12072</v>
      </c>
      <c r="B78" s="562">
        <v>1346113</v>
      </c>
      <c r="C78" s="562">
        <v>12007723</v>
      </c>
      <c r="D78" s="562" t="s">
        <v>2771</v>
      </c>
      <c r="E78" s="562"/>
      <c r="F78" s="41">
        <v>64935</v>
      </c>
      <c r="G78" s="41">
        <v>19200.650000000001</v>
      </c>
      <c r="H78" s="41">
        <v>11755.31</v>
      </c>
      <c r="I78" s="41">
        <v>3475.93</v>
      </c>
      <c r="K78" s="41">
        <v>99366.89</v>
      </c>
    </row>
    <row r="79" spans="1:11">
      <c r="A79" s="562">
        <v>12072</v>
      </c>
      <c r="B79" s="562">
        <v>1346113</v>
      </c>
      <c r="C79" s="562">
        <v>12007723</v>
      </c>
      <c r="D79" s="562" t="s">
        <v>2772</v>
      </c>
      <c r="E79" s="562"/>
      <c r="F79" s="41">
        <v>64935</v>
      </c>
      <c r="G79" s="41">
        <v>19200.650000000001</v>
      </c>
      <c r="H79" s="41">
        <v>11482.04</v>
      </c>
      <c r="I79" s="41">
        <v>3395.13</v>
      </c>
      <c r="K79" s="41">
        <v>99012.82</v>
      </c>
    </row>
    <row r="80" spans="1:11">
      <c r="A80" s="562">
        <v>12072</v>
      </c>
      <c r="B80" s="562">
        <v>1346113</v>
      </c>
      <c r="C80" s="562">
        <v>12007723</v>
      </c>
      <c r="D80" s="562" t="s">
        <v>2773</v>
      </c>
      <c r="E80" s="562"/>
      <c r="F80" s="41">
        <v>64935</v>
      </c>
      <c r="G80" s="41">
        <v>19200.650000000001</v>
      </c>
      <c r="H80" s="41">
        <v>11208.77</v>
      </c>
      <c r="I80" s="41">
        <v>3314.32</v>
      </c>
      <c r="K80" s="41">
        <v>98658.74</v>
      </c>
    </row>
    <row r="81" spans="1:11">
      <c r="A81" s="562">
        <v>12072</v>
      </c>
      <c r="B81" s="562">
        <v>1346113</v>
      </c>
      <c r="C81" s="562">
        <v>12007723</v>
      </c>
      <c r="D81" s="562" t="s">
        <v>2774</v>
      </c>
      <c r="E81" s="562"/>
      <c r="F81" s="41">
        <v>64935</v>
      </c>
      <c r="G81" s="41">
        <v>19200.650000000001</v>
      </c>
      <c r="H81" s="41">
        <v>10935.51</v>
      </c>
      <c r="I81" s="41">
        <v>3233.52</v>
      </c>
      <c r="K81" s="41">
        <v>98304.68</v>
      </c>
    </row>
    <row r="82" spans="1:11">
      <c r="A82" s="562">
        <v>12072</v>
      </c>
      <c r="B82" s="562">
        <v>1346114</v>
      </c>
      <c r="C82" s="562">
        <v>12007724</v>
      </c>
      <c r="D82" s="562" t="s">
        <v>2775</v>
      </c>
      <c r="E82" s="562"/>
      <c r="F82" s="41">
        <v>34934</v>
      </c>
      <c r="G82" s="41">
        <v>10375.41</v>
      </c>
      <c r="H82" s="41">
        <v>7565.12</v>
      </c>
      <c r="I82" s="41">
        <v>2246.84</v>
      </c>
      <c r="K82" s="41">
        <v>55121.37</v>
      </c>
    </row>
    <row r="83" spans="1:11">
      <c r="A83" s="562">
        <v>12072</v>
      </c>
      <c r="B83" s="562">
        <v>1346114</v>
      </c>
      <c r="C83" s="562">
        <v>12007724</v>
      </c>
      <c r="D83" s="562" t="s">
        <v>2776</v>
      </c>
      <c r="E83" s="562"/>
      <c r="F83" s="41">
        <v>34934</v>
      </c>
      <c r="G83" s="41">
        <v>10375.41</v>
      </c>
      <c r="H83" s="41">
        <v>7422.47</v>
      </c>
      <c r="I83" s="41">
        <v>2204.48</v>
      </c>
      <c r="K83" s="41">
        <v>54936.36</v>
      </c>
    </row>
    <row r="84" spans="1:11">
      <c r="A84" s="562">
        <v>12072</v>
      </c>
      <c r="B84" s="562">
        <v>1346114</v>
      </c>
      <c r="C84" s="562">
        <v>12007724</v>
      </c>
      <c r="D84" s="562" t="s">
        <v>2777</v>
      </c>
      <c r="E84" s="562"/>
      <c r="F84" s="41">
        <v>34934</v>
      </c>
      <c r="G84" s="41">
        <v>10375.41</v>
      </c>
      <c r="H84" s="41">
        <v>7279.83</v>
      </c>
      <c r="I84" s="41">
        <v>2162.11</v>
      </c>
      <c r="K84" s="41">
        <v>54751.35</v>
      </c>
    </row>
    <row r="85" spans="1:11">
      <c r="A85" s="562">
        <v>12072</v>
      </c>
      <c r="B85" s="562">
        <v>1346114</v>
      </c>
      <c r="C85" s="562">
        <v>12007724</v>
      </c>
      <c r="D85" s="562" t="s">
        <v>2778</v>
      </c>
      <c r="E85" s="562"/>
      <c r="F85" s="41">
        <v>34934</v>
      </c>
      <c r="G85" s="41">
        <v>10375.41</v>
      </c>
      <c r="H85" s="41">
        <v>7137.18</v>
      </c>
      <c r="I85" s="41">
        <v>2119.75</v>
      </c>
      <c r="K85" s="41">
        <v>54566.34</v>
      </c>
    </row>
    <row r="86" spans="1:11">
      <c r="A86" s="562">
        <v>12072</v>
      </c>
      <c r="B86" s="562">
        <v>1346114</v>
      </c>
      <c r="C86" s="562">
        <v>12007724</v>
      </c>
      <c r="D86" s="562" t="s">
        <v>2779</v>
      </c>
      <c r="E86" s="562"/>
      <c r="F86" s="41">
        <v>34934</v>
      </c>
      <c r="G86" s="41">
        <v>10375.41</v>
      </c>
      <c r="H86" s="41">
        <v>6994.53</v>
      </c>
      <c r="I86" s="41">
        <v>2077.38</v>
      </c>
      <c r="K86" s="41">
        <v>54381.32</v>
      </c>
    </row>
    <row r="87" spans="1:11">
      <c r="A87" s="562">
        <v>12072</v>
      </c>
      <c r="B87" s="562">
        <v>1346114</v>
      </c>
      <c r="C87" s="562">
        <v>12007724</v>
      </c>
      <c r="D87" s="562" t="s">
        <v>2780</v>
      </c>
      <c r="E87" s="562"/>
      <c r="F87" s="41">
        <v>34934</v>
      </c>
      <c r="G87" s="41">
        <v>10375.41</v>
      </c>
      <c r="H87" s="41">
        <v>6851.88</v>
      </c>
      <c r="I87" s="41">
        <v>2035.01</v>
      </c>
      <c r="K87" s="41">
        <v>54196.3</v>
      </c>
    </row>
    <row r="88" spans="1:11">
      <c r="A88" s="562">
        <v>12072</v>
      </c>
      <c r="B88" s="562">
        <v>1346114</v>
      </c>
      <c r="C88" s="562">
        <v>12007724</v>
      </c>
      <c r="D88" s="562" t="s">
        <v>2781</v>
      </c>
      <c r="E88" s="562"/>
      <c r="F88" s="41">
        <v>34934</v>
      </c>
      <c r="G88" s="41">
        <v>10375.41</v>
      </c>
      <c r="H88" s="41">
        <v>6709.24</v>
      </c>
      <c r="I88" s="41">
        <v>1992.65</v>
      </c>
      <c r="K88" s="41">
        <v>54011.3</v>
      </c>
    </row>
    <row r="89" spans="1:11">
      <c r="A89" s="562">
        <v>12072</v>
      </c>
      <c r="B89" s="562">
        <v>1346114</v>
      </c>
      <c r="C89" s="562">
        <v>12007724</v>
      </c>
      <c r="D89" s="562" t="s">
        <v>2782</v>
      </c>
      <c r="E89" s="562"/>
      <c r="F89" s="41">
        <v>34934</v>
      </c>
      <c r="G89" s="41">
        <v>10375.41</v>
      </c>
      <c r="H89" s="41">
        <v>6566.59</v>
      </c>
      <c r="I89" s="41">
        <v>1950.28</v>
      </c>
      <c r="K89" s="41">
        <v>53826.28</v>
      </c>
    </row>
    <row r="90" spans="1:11">
      <c r="A90" s="562">
        <v>12072</v>
      </c>
      <c r="B90" s="562">
        <v>1346114</v>
      </c>
      <c r="C90" s="562">
        <v>12007724</v>
      </c>
      <c r="D90" s="562" t="s">
        <v>2783</v>
      </c>
      <c r="E90" s="562"/>
      <c r="F90" s="41">
        <v>34934</v>
      </c>
      <c r="G90" s="41">
        <v>10375.41</v>
      </c>
      <c r="H90" s="41">
        <v>6423.94</v>
      </c>
      <c r="I90" s="41">
        <v>1907.91</v>
      </c>
      <c r="K90" s="41">
        <v>53641.26</v>
      </c>
    </row>
    <row r="91" spans="1:11">
      <c r="A91" s="562">
        <v>12072</v>
      </c>
      <c r="B91" s="562">
        <v>1346114</v>
      </c>
      <c r="C91" s="562">
        <v>12007724</v>
      </c>
      <c r="D91" s="562" t="s">
        <v>2784</v>
      </c>
      <c r="E91" s="562"/>
      <c r="F91" s="41">
        <v>34934</v>
      </c>
      <c r="G91" s="41">
        <v>10375.41</v>
      </c>
      <c r="H91" s="41">
        <v>6281.3</v>
      </c>
      <c r="I91" s="41">
        <v>1865.55</v>
      </c>
      <c r="K91" s="41">
        <v>53456.26</v>
      </c>
    </row>
    <row r="92" spans="1:11">
      <c r="A92" s="562">
        <v>12072</v>
      </c>
      <c r="B92" s="562">
        <v>1346114</v>
      </c>
      <c r="C92" s="562">
        <v>12007724</v>
      </c>
      <c r="D92" s="562" t="s">
        <v>2785</v>
      </c>
      <c r="E92" s="562"/>
      <c r="F92" s="41">
        <v>34934</v>
      </c>
      <c r="G92" s="41">
        <v>10375.41</v>
      </c>
      <c r="H92" s="41">
        <v>6138.65</v>
      </c>
      <c r="I92" s="41">
        <v>1823.18</v>
      </c>
      <c r="K92" s="41">
        <v>53271.24</v>
      </c>
    </row>
    <row r="93" spans="1:11">
      <c r="A93" s="562">
        <v>12072</v>
      </c>
      <c r="B93" s="562">
        <v>1346114</v>
      </c>
      <c r="C93" s="562">
        <v>12007724</v>
      </c>
      <c r="D93" s="562" t="s">
        <v>2786</v>
      </c>
      <c r="E93" s="562"/>
      <c r="F93" s="41">
        <v>34934</v>
      </c>
      <c r="G93" s="41">
        <v>10375.41</v>
      </c>
      <c r="H93" s="41">
        <v>5996</v>
      </c>
      <c r="I93" s="41">
        <v>1780.81</v>
      </c>
      <c r="K93" s="41">
        <v>53086.22</v>
      </c>
    </row>
    <row r="94" spans="1:11">
      <c r="A94" s="562">
        <v>12072</v>
      </c>
      <c r="B94" s="562">
        <v>1346116</v>
      </c>
      <c r="C94" s="562">
        <v>12007726</v>
      </c>
      <c r="D94" s="562" t="s">
        <v>2787</v>
      </c>
      <c r="E94" s="562"/>
      <c r="F94" s="41">
        <v>50000</v>
      </c>
      <c r="G94" s="41">
        <v>13251.15</v>
      </c>
      <c r="H94" s="41">
        <v>12050.43</v>
      </c>
      <c r="I94" s="41">
        <v>3193.64</v>
      </c>
      <c r="K94" s="41">
        <v>78495.22</v>
      </c>
    </row>
    <row r="95" spans="1:11">
      <c r="A95" s="562">
        <v>12072</v>
      </c>
      <c r="B95" s="562">
        <v>1346116</v>
      </c>
      <c r="C95" s="562">
        <v>12007726</v>
      </c>
      <c r="D95" s="562" t="s">
        <v>2788</v>
      </c>
      <c r="E95" s="562"/>
      <c r="F95" s="41">
        <v>50000</v>
      </c>
      <c r="G95" s="41">
        <v>13251.15</v>
      </c>
      <c r="H95" s="41">
        <v>11846.27</v>
      </c>
      <c r="I95" s="41">
        <v>3139.53</v>
      </c>
      <c r="K95" s="41">
        <v>78236.95</v>
      </c>
    </row>
    <row r="96" spans="1:11">
      <c r="A96" s="562">
        <v>12072</v>
      </c>
      <c r="B96" s="562">
        <v>1346116</v>
      </c>
      <c r="C96" s="562">
        <v>12007726</v>
      </c>
      <c r="D96" s="562" t="s">
        <v>2789</v>
      </c>
      <c r="E96" s="562"/>
      <c r="F96" s="41">
        <v>50000</v>
      </c>
      <c r="G96" s="41">
        <v>13251.15</v>
      </c>
      <c r="H96" s="41">
        <v>11642.1</v>
      </c>
      <c r="I96" s="41">
        <v>3085.42</v>
      </c>
      <c r="K96" s="41">
        <v>77978.67</v>
      </c>
    </row>
    <row r="97" spans="1:11">
      <c r="A97" s="562">
        <v>12072</v>
      </c>
      <c r="B97" s="562">
        <v>1346116</v>
      </c>
      <c r="C97" s="562">
        <v>12007726</v>
      </c>
      <c r="D97" s="562" t="s">
        <v>2790</v>
      </c>
      <c r="E97" s="562"/>
      <c r="F97" s="41">
        <v>50000</v>
      </c>
      <c r="G97" s="41">
        <v>13251.15</v>
      </c>
      <c r="H97" s="41">
        <v>11437.93</v>
      </c>
      <c r="I97" s="41">
        <v>3031.31</v>
      </c>
      <c r="K97" s="41">
        <v>77720.39</v>
      </c>
    </row>
    <row r="98" spans="1:11">
      <c r="A98" s="562">
        <v>12072</v>
      </c>
      <c r="B98" s="562">
        <v>1346116</v>
      </c>
      <c r="C98" s="562">
        <v>12007726</v>
      </c>
      <c r="D98" s="562" t="s">
        <v>2791</v>
      </c>
      <c r="E98" s="562"/>
      <c r="F98" s="41">
        <v>50000</v>
      </c>
      <c r="G98" s="41">
        <v>13251.15</v>
      </c>
      <c r="H98" s="41">
        <v>11233.77</v>
      </c>
      <c r="I98" s="41">
        <v>2977.21</v>
      </c>
      <c r="K98" s="41">
        <v>77462.13</v>
      </c>
    </row>
    <row r="99" spans="1:11">
      <c r="A99" s="562">
        <v>12072</v>
      </c>
      <c r="B99" s="562">
        <v>1346116</v>
      </c>
      <c r="C99" s="562">
        <v>12007726</v>
      </c>
      <c r="D99" s="562" t="s">
        <v>2792</v>
      </c>
      <c r="E99" s="562"/>
      <c r="F99" s="41">
        <v>50000</v>
      </c>
      <c r="G99" s="41">
        <v>13251.15</v>
      </c>
      <c r="H99" s="41">
        <v>11029.6</v>
      </c>
      <c r="I99" s="41">
        <v>2923.1</v>
      </c>
      <c r="K99" s="41">
        <v>77203.850000000006</v>
      </c>
    </row>
    <row r="100" spans="1:11">
      <c r="A100" s="562">
        <v>12072</v>
      </c>
      <c r="B100" s="562">
        <v>1346116</v>
      </c>
      <c r="C100" s="562">
        <v>12007726</v>
      </c>
      <c r="D100" s="562" t="s">
        <v>2793</v>
      </c>
      <c r="E100" s="562"/>
      <c r="F100" s="41">
        <v>50000</v>
      </c>
      <c r="G100" s="41">
        <v>13251.15</v>
      </c>
      <c r="H100" s="41">
        <v>10825.43</v>
      </c>
      <c r="I100" s="41">
        <v>2868.99</v>
      </c>
      <c r="K100" s="41">
        <v>76945.570000000007</v>
      </c>
    </row>
    <row r="101" spans="1:11">
      <c r="A101" s="562">
        <v>12072</v>
      </c>
      <c r="B101" s="562">
        <v>1346116</v>
      </c>
      <c r="C101" s="562">
        <v>12007726</v>
      </c>
      <c r="D101" s="562" t="s">
        <v>2794</v>
      </c>
      <c r="E101" s="562"/>
      <c r="F101" s="41">
        <v>50000</v>
      </c>
      <c r="G101" s="41">
        <v>13251.15</v>
      </c>
      <c r="H101" s="41">
        <v>10621.27</v>
      </c>
      <c r="I101" s="41">
        <v>2814.88</v>
      </c>
      <c r="K101" s="41">
        <v>76687.3</v>
      </c>
    </row>
    <row r="102" spans="1:11">
      <c r="A102" s="562">
        <v>12072</v>
      </c>
      <c r="B102" s="562">
        <v>1346116</v>
      </c>
      <c r="C102" s="562">
        <v>12007726</v>
      </c>
      <c r="D102" s="562" t="s">
        <v>2795</v>
      </c>
      <c r="E102" s="562"/>
      <c r="F102" s="41">
        <v>50000</v>
      </c>
      <c r="G102" s="41">
        <v>13251.15</v>
      </c>
      <c r="H102" s="41">
        <v>10417.1</v>
      </c>
      <c r="I102" s="41">
        <v>2760.77</v>
      </c>
      <c r="K102" s="41">
        <v>76429.02</v>
      </c>
    </row>
    <row r="103" spans="1:11">
      <c r="A103" s="562">
        <v>12072</v>
      </c>
      <c r="B103" s="562">
        <v>1346116</v>
      </c>
      <c r="C103" s="562">
        <v>12007726</v>
      </c>
      <c r="D103" s="562" t="s">
        <v>2796</v>
      </c>
      <c r="E103" s="562"/>
      <c r="F103" s="41">
        <v>50000</v>
      </c>
      <c r="G103" s="41">
        <v>13251.15</v>
      </c>
      <c r="H103" s="41">
        <v>10212.93</v>
      </c>
      <c r="I103" s="41">
        <v>2706.66</v>
      </c>
      <c r="K103" s="41">
        <v>76170.740000000005</v>
      </c>
    </row>
    <row r="104" spans="1:11">
      <c r="A104" s="562">
        <v>12072</v>
      </c>
      <c r="B104" s="562">
        <v>1346116</v>
      </c>
      <c r="C104" s="562">
        <v>12007726</v>
      </c>
      <c r="D104" s="562" t="s">
        <v>2797</v>
      </c>
      <c r="E104" s="562"/>
      <c r="F104" s="41">
        <v>50000</v>
      </c>
      <c r="G104" s="41">
        <v>13251.15</v>
      </c>
      <c r="H104" s="41">
        <v>10008.77</v>
      </c>
      <c r="I104" s="41">
        <v>2652.55</v>
      </c>
      <c r="K104" s="41">
        <v>75912.47</v>
      </c>
    </row>
    <row r="105" spans="1:11">
      <c r="A105" s="562">
        <v>12072</v>
      </c>
      <c r="B105" s="562">
        <v>1346116</v>
      </c>
      <c r="C105" s="562">
        <v>12007726</v>
      </c>
      <c r="D105" s="562" t="s">
        <v>2798</v>
      </c>
      <c r="E105" s="562"/>
      <c r="F105" s="41">
        <v>50000</v>
      </c>
      <c r="G105" s="41">
        <v>13251.15</v>
      </c>
      <c r="H105" s="41">
        <v>9804.6</v>
      </c>
      <c r="I105" s="41">
        <v>2598.44</v>
      </c>
      <c r="K105" s="41">
        <v>75654.19</v>
      </c>
    </row>
    <row r="106" spans="1:11">
      <c r="A106" s="562">
        <v>12072</v>
      </c>
      <c r="B106" s="562">
        <v>1346117</v>
      </c>
      <c r="C106" s="562">
        <v>12007727</v>
      </c>
      <c r="D106" s="562" t="s">
        <v>2799</v>
      </c>
      <c r="E106" s="562"/>
      <c r="F106" s="41">
        <v>39475</v>
      </c>
      <c r="G106" s="41">
        <v>8841.7000000000007</v>
      </c>
      <c r="H106" s="41">
        <v>10694.34</v>
      </c>
      <c r="I106" s="41">
        <v>2395.34</v>
      </c>
      <c r="K106" s="41">
        <v>61406.38</v>
      </c>
    </row>
    <row r="107" spans="1:11">
      <c r="A107" s="562">
        <v>12072</v>
      </c>
      <c r="B107" s="562">
        <v>1346117</v>
      </c>
      <c r="C107" s="562">
        <v>12007727</v>
      </c>
      <c r="D107" s="562" t="s">
        <v>2800</v>
      </c>
      <c r="E107" s="562"/>
      <c r="F107" s="41">
        <v>39475</v>
      </c>
      <c r="G107" s="41">
        <v>8841.7000000000007</v>
      </c>
      <c r="H107" s="41">
        <v>10534.8</v>
      </c>
      <c r="I107" s="41">
        <v>2359.61</v>
      </c>
      <c r="K107" s="41">
        <v>61211.11</v>
      </c>
    </row>
    <row r="108" spans="1:11">
      <c r="A108" s="562">
        <v>12072</v>
      </c>
      <c r="B108" s="562">
        <v>1346117</v>
      </c>
      <c r="C108" s="562">
        <v>12007727</v>
      </c>
      <c r="D108" s="562" t="s">
        <v>2801</v>
      </c>
      <c r="E108" s="562"/>
      <c r="F108" s="41">
        <v>39475</v>
      </c>
      <c r="G108" s="41">
        <v>8841.7000000000007</v>
      </c>
      <c r="H108" s="41">
        <v>10375.25</v>
      </c>
      <c r="I108" s="41">
        <v>2323.87</v>
      </c>
      <c r="K108" s="41">
        <v>61015.82</v>
      </c>
    </row>
    <row r="109" spans="1:11">
      <c r="A109" s="562">
        <v>12072</v>
      </c>
      <c r="B109" s="562">
        <v>1346117</v>
      </c>
      <c r="C109" s="562">
        <v>12007727</v>
      </c>
      <c r="D109" s="562" t="s">
        <v>2802</v>
      </c>
      <c r="E109" s="562"/>
      <c r="F109" s="41">
        <v>39475</v>
      </c>
      <c r="G109" s="41">
        <v>8841.7000000000007</v>
      </c>
      <c r="H109" s="41">
        <v>10215.709999999999</v>
      </c>
      <c r="I109" s="41">
        <v>2288.14</v>
      </c>
      <c r="K109" s="41">
        <v>60820.55</v>
      </c>
    </row>
    <row r="110" spans="1:11">
      <c r="A110" s="562">
        <v>12072</v>
      </c>
      <c r="B110" s="562">
        <v>1346117</v>
      </c>
      <c r="C110" s="562">
        <v>12007727</v>
      </c>
      <c r="D110" s="562" t="s">
        <v>2803</v>
      </c>
      <c r="E110" s="562"/>
      <c r="F110" s="41">
        <v>39475</v>
      </c>
      <c r="G110" s="41">
        <v>8841.7000000000007</v>
      </c>
      <c r="H110" s="41">
        <v>10056.16</v>
      </c>
      <c r="I110" s="41">
        <v>2252.4</v>
      </c>
      <c r="K110" s="41">
        <v>60625.26</v>
      </c>
    </row>
    <row r="111" spans="1:11">
      <c r="A111" s="562">
        <v>12072</v>
      </c>
      <c r="B111" s="562">
        <v>1346117</v>
      </c>
      <c r="C111" s="562">
        <v>12007727</v>
      </c>
      <c r="D111" s="562" t="s">
        <v>2804</v>
      </c>
      <c r="E111" s="562"/>
      <c r="F111" s="41">
        <v>39475</v>
      </c>
      <c r="G111" s="41">
        <v>8841.7000000000007</v>
      </c>
      <c r="H111" s="41">
        <v>9896.6200000000008</v>
      </c>
      <c r="I111" s="41">
        <v>2216.67</v>
      </c>
      <c r="K111" s="41">
        <v>60429.99</v>
      </c>
    </row>
    <row r="112" spans="1:11">
      <c r="A112" s="562">
        <v>12072</v>
      </c>
      <c r="B112" s="562">
        <v>1346117</v>
      </c>
      <c r="C112" s="562">
        <v>12007727</v>
      </c>
      <c r="D112" s="562" t="s">
        <v>2805</v>
      </c>
      <c r="E112" s="562"/>
      <c r="F112" s="41">
        <v>39475</v>
      </c>
      <c r="G112" s="41">
        <v>8841.7000000000007</v>
      </c>
      <c r="H112" s="41">
        <v>9737.07</v>
      </c>
      <c r="I112" s="41">
        <v>2180.9299999999998</v>
      </c>
      <c r="K112" s="41">
        <v>60234.7</v>
      </c>
    </row>
    <row r="113" spans="1:11">
      <c r="A113" s="562">
        <v>12072</v>
      </c>
      <c r="B113" s="562">
        <v>1346117</v>
      </c>
      <c r="C113" s="562">
        <v>12007727</v>
      </c>
      <c r="D113" s="562" t="s">
        <v>2806</v>
      </c>
      <c r="E113" s="562"/>
      <c r="F113" s="41">
        <v>39475</v>
      </c>
      <c r="G113" s="41">
        <v>8841.7000000000007</v>
      </c>
      <c r="H113" s="41">
        <v>9577.5300000000007</v>
      </c>
      <c r="I113" s="41">
        <v>2145.1999999999998</v>
      </c>
      <c r="K113" s="41">
        <v>60039.43</v>
      </c>
    </row>
    <row r="114" spans="1:11">
      <c r="A114" s="562">
        <v>12072</v>
      </c>
      <c r="B114" s="562">
        <v>1346117</v>
      </c>
      <c r="C114" s="562">
        <v>12007727</v>
      </c>
      <c r="D114" s="562" t="s">
        <v>2807</v>
      </c>
      <c r="E114" s="562"/>
      <c r="F114" s="41">
        <v>39475</v>
      </c>
      <c r="G114" s="41">
        <v>8841.7000000000007</v>
      </c>
      <c r="H114" s="41">
        <v>9417.98</v>
      </c>
      <c r="I114" s="41">
        <v>2109.46</v>
      </c>
      <c r="K114" s="41">
        <v>59844.14</v>
      </c>
    </row>
    <row r="115" spans="1:11">
      <c r="A115" s="562">
        <v>12072</v>
      </c>
      <c r="B115" s="562">
        <v>1346117</v>
      </c>
      <c r="C115" s="562">
        <v>12007727</v>
      </c>
      <c r="D115" s="562" t="s">
        <v>2808</v>
      </c>
      <c r="E115" s="562"/>
      <c r="F115" s="41">
        <v>39475</v>
      </c>
      <c r="G115" s="41">
        <v>8841.7000000000007</v>
      </c>
      <c r="H115" s="41">
        <v>9258.44</v>
      </c>
      <c r="I115" s="41">
        <v>2073.73</v>
      </c>
      <c r="K115" s="41">
        <v>59648.87</v>
      </c>
    </row>
    <row r="116" spans="1:11">
      <c r="A116" s="562">
        <v>12072</v>
      </c>
      <c r="B116" s="562">
        <v>1346117</v>
      </c>
      <c r="C116" s="562">
        <v>12007727</v>
      </c>
      <c r="D116" s="562" t="s">
        <v>2809</v>
      </c>
      <c r="E116" s="562"/>
      <c r="F116" s="41">
        <v>39475</v>
      </c>
      <c r="G116" s="41">
        <v>8841.7000000000007</v>
      </c>
      <c r="H116" s="41">
        <v>9098.89</v>
      </c>
      <c r="I116" s="41">
        <v>2037.99</v>
      </c>
      <c r="K116" s="41">
        <v>59453.58</v>
      </c>
    </row>
    <row r="117" spans="1:11">
      <c r="A117" s="562">
        <v>12072</v>
      </c>
      <c r="B117" s="562">
        <v>1346117</v>
      </c>
      <c r="C117" s="562">
        <v>12007727</v>
      </c>
      <c r="D117" s="562" t="s">
        <v>2810</v>
      </c>
      <c r="E117" s="562"/>
      <c r="F117" s="41">
        <v>39475</v>
      </c>
      <c r="G117" s="41">
        <v>8841.7000000000007</v>
      </c>
      <c r="H117" s="41">
        <v>8939.35</v>
      </c>
      <c r="I117" s="41">
        <v>2002.26</v>
      </c>
      <c r="K117" s="41">
        <v>59258.31</v>
      </c>
    </row>
    <row r="118" spans="1:11">
      <c r="A118" s="562">
        <v>12072</v>
      </c>
      <c r="B118" s="562">
        <v>1346118</v>
      </c>
      <c r="C118" s="562">
        <v>12007728</v>
      </c>
      <c r="D118" s="562" t="s">
        <v>2811</v>
      </c>
      <c r="E118" s="562"/>
      <c r="F118" s="41">
        <v>63290</v>
      </c>
      <c r="G118" s="41">
        <v>0.13</v>
      </c>
      <c r="H118" s="41">
        <v>11080.41</v>
      </c>
      <c r="I118" s="41">
        <v>0.02</v>
      </c>
      <c r="K118" s="41">
        <v>74370.559999999998</v>
      </c>
    </row>
    <row r="119" spans="1:11">
      <c r="A119" s="562">
        <v>12072</v>
      </c>
      <c r="B119" s="562">
        <v>1346118</v>
      </c>
      <c r="C119" s="562">
        <v>12007728</v>
      </c>
      <c r="D119" s="562" t="s">
        <v>2812</v>
      </c>
      <c r="E119" s="562"/>
      <c r="F119" s="41">
        <v>63290</v>
      </c>
      <c r="G119" s="41">
        <v>0.13</v>
      </c>
      <c r="H119" s="41">
        <v>10922.19</v>
      </c>
      <c r="I119" s="41">
        <v>0.02</v>
      </c>
      <c r="K119" s="41">
        <v>74212.34</v>
      </c>
    </row>
    <row r="120" spans="1:11">
      <c r="A120" s="562">
        <v>12072</v>
      </c>
      <c r="B120" s="562">
        <v>1346118</v>
      </c>
      <c r="C120" s="562">
        <v>12007728</v>
      </c>
      <c r="D120" s="562" t="s">
        <v>2813</v>
      </c>
      <c r="E120" s="562"/>
      <c r="F120" s="41">
        <v>63290</v>
      </c>
      <c r="G120" s="41">
        <v>0.13</v>
      </c>
      <c r="H120" s="41">
        <v>10763.96</v>
      </c>
      <c r="I120" s="41">
        <v>0.02</v>
      </c>
      <c r="K120" s="41">
        <v>74054.11</v>
      </c>
    </row>
    <row r="121" spans="1:11">
      <c r="A121" s="562">
        <v>12072</v>
      </c>
      <c r="B121" s="562">
        <v>1346118</v>
      </c>
      <c r="C121" s="562">
        <v>12007728</v>
      </c>
      <c r="D121" s="562" t="s">
        <v>2814</v>
      </c>
      <c r="E121" s="562"/>
      <c r="F121" s="41">
        <v>63290</v>
      </c>
      <c r="G121" s="41">
        <v>0.13</v>
      </c>
      <c r="H121" s="41">
        <v>10605.74</v>
      </c>
      <c r="I121" s="41">
        <v>0.02</v>
      </c>
      <c r="K121" s="41">
        <v>73895.89</v>
      </c>
    </row>
    <row r="122" spans="1:11">
      <c r="A122" s="562">
        <v>12072</v>
      </c>
      <c r="B122" s="562">
        <v>1346118</v>
      </c>
      <c r="C122" s="562">
        <v>12007728</v>
      </c>
      <c r="D122" s="562" t="s">
        <v>2815</v>
      </c>
      <c r="E122" s="562"/>
      <c r="F122" s="41">
        <v>63290</v>
      </c>
      <c r="G122" s="41">
        <v>0.13</v>
      </c>
      <c r="H122" s="41">
        <v>10447.51</v>
      </c>
      <c r="I122" s="41">
        <v>0.02</v>
      </c>
      <c r="K122" s="41">
        <v>73737.66</v>
      </c>
    </row>
    <row r="123" spans="1:11">
      <c r="A123" s="562">
        <v>12072</v>
      </c>
      <c r="B123" s="562">
        <v>1346118</v>
      </c>
      <c r="C123" s="562">
        <v>12007728</v>
      </c>
      <c r="D123" s="562" t="s">
        <v>2816</v>
      </c>
      <c r="E123" s="562"/>
      <c r="F123" s="41">
        <v>63290</v>
      </c>
      <c r="G123" s="41">
        <v>0.13</v>
      </c>
      <c r="H123" s="41">
        <v>10289.290000000001</v>
      </c>
      <c r="I123" s="41">
        <v>0.02</v>
      </c>
      <c r="K123" s="41">
        <v>73579.44</v>
      </c>
    </row>
    <row r="124" spans="1:11">
      <c r="A124" s="562">
        <v>12072</v>
      </c>
      <c r="B124" s="562">
        <v>1346118</v>
      </c>
      <c r="C124" s="562">
        <v>12007728</v>
      </c>
      <c r="D124" s="562" t="s">
        <v>2817</v>
      </c>
      <c r="E124" s="562"/>
      <c r="F124" s="41">
        <v>63290</v>
      </c>
      <c r="G124" s="41">
        <v>0.13</v>
      </c>
      <c r="H124" s="41">
        <v>10131.06</v>
      </c>
      <c r="I124" s="41">
        <v>0.02</v>
      </c>
      <c r="K124" s="41">
        <v>73421.210000000006</v>
      </c>
    </row>
    <row r="125" spans="1:11">
      <c r="A125" s="562">
        <v>12072</v>
      </c>
      <c r="B125" s="562">
        <v>1346118</v>
      </c>
      <c r="C125" s="562">
        <v>12007728</v>
      </c>
      <c r="D125" s="562" t="s">
        <v>2818</v>
      </c>
      <c r="E125" s="562"/>
      <c r="F125" s="41">
        <v>63290</v>
      </c>
      <c r="G125" s="41">
        <v>0.13</v>
      </c>
      <c r="H125" s="41">
        <v>9972.84</v>
      </c>
      <c r="I125" s="41">
        <v>0.02</v>
      </c>
      <c r="K125" s="41">
        <v>73262.990000000005</v>
      </c>
    </row>
    <row r="126" spans="1:11">
      <c r="A126" s="562">
        <v>12072</v>
      </c>
      <c r="B126" s="562">
        <v>1346118</v>
      </c>
      <c r="C126" s="562">
        <v>12007728</v>
      </c>
      <c r="D126" s="562" t="s">
        <v>2819</v>
      </c>
      <c r="E126" s="562"/>
      <c r="F126" s="41">
        <v>63290</v>
      </c>
      <c r="G126" s="41">
        <v>0.13</v>
      </c>
      <c r="H126" s="41">
        <v>9814.61</v>
      </c>
      <c r="I126" s="41">
        <v>0.02</v>
      </c>
      <c r="K126" s="41">
        <v>73104.759999999995</v>
      </c>
    </row>
    <row r="127" spans="1:11">
      <c r="A127" s="562">
        <v>12072</v>
      </c>
      <c r="B127" s="562">
        <v>1346118</v>
      </c>
      <c r="C127" s="562">
        <v>12007728</v>
      </c>
      <c r="D127" s="562" t="s">
        <v>2820</v>
      </c>
      <c r="E127" s="562"/>
      <c r="F127" s="41">
        <v>63290</v>
      </c>
      <c r="G127" s="41">
        <v>0.13</v>
      </c>
      <c r="H127" s="41">
        <v>9656.39</v>
      </c>
      <c r="I127" s="41">
        <v>0.02</v>
      </c>
      <c r="K127" s="41">
        <v>72946.539999999994</v>
      </c>
    </row>
    <row r="128" spans="1:11">
      <c r="A128" s="562">
        <v>12072</v>
      </c>
      <c r="B128" s="562">
        <v>1346118</v>
      </c>
      <c r="C128" s="562">
        <v>12007728</v>
      </c>
      <c r="D128" s="562" t="s">
        <v>2821</v>
      </c>
      <c r="E128" s="562"/>
      <c r="F128" s="41">
        <v>63290</v>
      </c>
      <c r="G128" s="41">
        <v>0.13</v>
      </c>
      <c r="H128" s="41">
        <v>9498.16</v>
      </c>
      <c r="I128" s="41">
        <v>0.02</v>
      </c>
      <c r="K128" s="41">
        <v>72788.31</v>
      </c>
    </row>
    <row r="129" spans="1:11">
      <c r="A129" s="562">
        <v>12072</v>
      </c>
      <c r="B129" s="562">
        <v>1346118</v>
      </c>
      <c r="C129" s="562">
        <v>12007728</v>
      </c>
      <c r="D129" s="562" t="s">
        <v>2822</v>
      </c>
      <c r="E129" s="562"/>
      <c r="F129" s="41">
        <v>63290</v>
      </c>
      <c r="G129" s="41">
        <v>0.13</v>
      </c>
      <c r="H129" s="41">
        <v>9339.94</v>
      </c>
      <c r="I129" s="41">
        <v>0.02</v>
      </c>
      <c r="K129" s="41">
        <v>72630.09</v>
      </c>
    </row>
    <row r="130" spans="1:11">
      <c r="A130" s="562">
        <v>12072</v>
      </c>
      <c r="B130" s="562">
        <v>1745000119</v>
      </c>
      <c r="C130" s="562">
        <v>12007730</v>
      </c>
      <c r="D130" s="562" t="s">
        <v>2811</v>
      </c>
      <c r="E130" s="562"/>
      <c r="F130" s="41">
        <v>22220</v>
      </c>
      <c r="G130" s="41">
        <v>0.04</v>
      </c>
      <c r="H130" s="41">
        <v>1746.28</v>
      </c>
      <c r="I130" s="41">
        <v>0</v>
      </c>
      <c r="J130" s="41">
        <v>4.5999999999999996</v>
      </c>
      <c r="K130" s="41">
        <v>23970.92</v>
      </c>
    </row>
    <row r="131" spans="1:11">
      <c r="A131" s="562">
        <v>12072</v>
      </c>
      <c r="B131" s="562">
        <v>1745000119</v>
      </c>
      <c r="C131" s="562">
        <v>12007730</v>
      </c>
      <c r="D131" s="562" t="s">
        <v>2812</v>
      </c>
      <c r="E131" s="562"/>
      <c r="F131" s="41">
        <v>22220</v>
      </c>
      <c r="G131" s="41">
        <v>0.04</v>
      </c>
      <c r="H131" s="41">
        <v>1686.1</v>
      </c>
      <c r="I131" s="41">
        <v>0</v>
      </c>
      <c r="J131" s="41">
        <v>4.5999999999999996</v>
      </c>
      <c r="K131" s="41">
        <v>23910.74</v>
      </c>
    </row>
    <row r="132" spans="1:11">
      <c r="A132" s="562">
        <v>12072</v>
      </c>
      <c r="B132" s="562">
        <v>1745000119</v>
      </c>
      <c r="C132" s="562">
        <v>12007730</v>
      </c>
      <c r="D132" s="562" t="s">
        <v>2813</v>
      </c>
      <c r="E132" s="562"/>
      <c r="F132" s="41">
        <v>22220</v>
      </c>
      <c r="G132" s="41">
        <v>0.04</v>
      </c>
      <c r="H132" s="41">
        <v>1625.92</v>
      </c>
      <c r="I132" s="41">
        <v>0</v>
      </c>
      <c r="J132" s="41">
        <v>4.5999999999999996</v>
      </c>
      <c r="K132" s="41">
        <v>23850.560000000001</v>
      </c>
    </row>
    <row r="133" spans="1:11">
      <c r="A133" s="562">
        <v>12072</v>
      </c>
      <c r="B133" s="562">
        <v>1745000119</v>
      </c>
      <c r="C133" s="562">
        <v>12007730</v>
      </c>
      <c r="D133" s="562" t="s">
        <v>2814</v>
      </c>
      <c r="E133" s="562"/>
      <c r="F133" s="41">
        <v>22220</v>
      </c>
      <c r="G133" s="41">
        <v>0.04</v>
      </c>
      <c r="H133" s="41">
        <v>1565.74</v>
      </c>
      <c r="I133" s="41">
        <v>0</v>
      </c>
      <c r="J133" s="41">
        <v>4.5999999999999996</v>
      </c>
      <c r="K133" s="41">
        <v>23790.38</v>
      </c>
    </row>
    <row r="134" spans="1:11">
      <c r="A134" s="562">
        <v>12072</v>
      </c>
      <c r="B134" s="562">
        <v>1745000119</v>
      </c>
      <c r="C134" s="562">
        <v>12007730</v>
      </c>
      <c r="D134" s="562" t="s">
        <v>2815</v>
      </c>
      <c r="E134" s="562"/>
      <c r="F134" s="41">
        <v>22220</v>
      </c>
      <c r="G134" s="41">
        <v>0.04</v>
      </c>
      <c r="H134" s="41">
        <v>1505.56</v>
      </c>
      <c r="I134" s="41">
        <v>0</v>
      </c>
      <c r="J134" s="41">
        <v>4.5999999999999996</v>
      </c>
      <c r="K134" s="41">
        <v>23730.2</v>
      </c>
    </row>
    <row r="135" spans="1:11">
      <c r="A135" s="562">
        <v>12072</v>
      </c>
      <c r="B135" s="562">
        <v>1745000119</v>
      </c>
      <c r="C135" s="562">
        <v>12007730</v>
      </c>
      <c r="D135" s="562" t="s">
        <v>2816</v>
      </c>
      <c r="E135" s="562"/>
      <c r="F135" s="41">
        <v>22220</v>
      </c>
      <c r="G135" s="41">
        <v>0.04</v>
      </c>
      <c r="H135" s="41">
        <v>1445.38</v>
      </c>
      <c r="I135" s="41">
        <v>0</v>
      </c>
      <c r="J135" s="41">
        <v>4.5999999999999996</v>
      </c>
      <c r="K135" s="41">
        <v>23670.02</v>
      </c>
    </row>
    <row r="136" spans="1:11">
      <c r="A136" s="562">
        <v>12072</v>
      </c>
      <c r="B136" s="562">
        <v>1745000119</v>
      </c>
      <c r="C136" s="562">
        <v>12007730</v>
      </c>
      <c r="D136" s="562" t="s">
        <v>2817</v>
      </c>
      <c r="E136" s="562"/>
      <c r="F136" s="41">
        <v>22220</v>
      </c>
      <c r="G136" s="41">
        <v>0.04</v>
      </c>
      <c r="H136" s="41">
        <v>1385.2</v>
      </c>
      <c r="I136" s="41">
        <v>0</v>
      </c>
      <c r="J136" s="41">
        <v>4.5999999999999996</v>
      </c>
      <c r="K136" s="41">
        <v>23609.84</v>
      </c>
    </row>
    <row r="137" spans="1:11">
      <c r="A137" s="562">
        <v>12072</v>
      </c>
      <c r="B137" s="562">
        <v>1745000119</v>
      </c>
      <c r="C137" s="562">
        <v>12007730</v>
      </c>
      <c r="D137" s="562" t="s">
        <v>2818</v>
      </c>
      <c r="E137" s="562"/>
      <c r="F137" s="41">
        <v>22220</v>
      </c>
      <c r="G137" s="41">
        <v>0.04</v>
      </c>
      <c r="H137" s="41">
        <v>1325.02</v>
      </c>
      <c r="I137" s="41">
        <v>0</v>
      </c>
      <c r="J137" s="41">
        <v>4.5999999999999996</v>
      </c>
      <c r="K137" s="41">
        <v>23549.66</v>
      </c>
    </row>
    <row r="138" spans="1:11">
      <c r="A138" s="562">
        <v>12072</v>
      </c>
      <c r="B138" s="562">
        <v>1745000119</v>
      </c>
      <c r="C138" s="562">
        <v>12007730</v>
      </c>
      <c r="D138" s="562" t="s">
        <v>2819</v>
      </c>
      <c r="E138" s="562"/>
      <c r="F138" s="41">
        <v>22220</v>
      </c>
      <c r="G138" s="41">
        <v>0.04</v>
      </c>
      <c r="H138" s="41">
        <v>1264.8499999999999</v>
      </c>
      <c r="I138" s="41">
        <v>0</v>
      </c>
      <c r="J138" s="41">
        <v>4.5999999999999996</v>
      </c>
      <c r="K138" s="41">
        <v>23489.49</v>
      </c>
    </row>
    <row r="139" spans="1:11">
      <c r="A139" s="562">
        <v>12072</v>
      </c>
      <c r="B139" s="562">
        <v>1745000119</v>
      </c>
      <c r="C139" s="562">
        <v>12007730</v>
      </c>
      <c r="D139" s="562" t="s">
        <v>2820</v>
      </c>
      <c r="E139" s="562"/>
      <c r="F139" s="41">
        <v>22220</v>
      </c>
      <c r="G139" s="41">
        <v>0.04</v>
      </c>
      <c r="H139" s="41">
        <v>1204.67</v>
      </c>
      <c r="I139" s="41">
        <v>0</v>
      </c>
      <c r="J139" s="41">
        <v>4.5999999999999996</v>
      </c>
      <c r="K139" s="41">
        <v>23429.31</v>
      </c>
    </row>
    <row r="140" spans="1:11">
      <c r="A140" s="562">
        <v>12072</v>
      </c>
      <c r="B140" s="562">
        <v>1745000119</v>
      </c>
      <c r="C140" s="562">
        <v>12007730</v>
      </c>
      <c r="D140" s="562" t="s">
        <v>2821</v>
      </c>
      <c r="E140" s="562"/>
      <c r="F140" s="41">
        <v>22220</v>
      </c>
      <c r="G140" s="41">
        <v>0.04</v>
      </c>
      <c r="H140" s="41">
        <v>1144.49</v>
      </c>
      <c r="I140" s="41">
        <v>0</v>
      </c>
      <c r="J140" s="41">
        <v>4.5999999999999996</v>
      </c>
      <c r="K140" s="41">
        <v>23369.13</v>
      </c>
    </row>
    <row r="141" spans="1:11">
      <c r="A141" s="562">
        <v>12072</v>
      </c>
      <c r="B141" s="562">
        <v>1745000119</v>
      </c>
      <c r="C141" s="562">
        <v>12007730</v>
      </c>
      <c r="D141" s="562" t="s">
        <v>2822</v>
      </c>
      <c r="E141" s="562"/>
      <c r="F141" s="41">
        <v>22220</v>
      </c>
      <c r="G141" s="41">
        <v>0.04</v>
      </c>
      <c r="H141" s="41">
        <v>1084.31</v>
      </c>
      <c r="I141" s="41">
        <v>0</v>
      </c>
      <c r="J141" s="41">
        <v>4.5999999999999996</v>
      </c>
      <c r="K141" s="41">
        <v>23308.95</v>
      </c>
    </row>
    <row r="142" spans="1:11">
      <c r="A142" s="562">
        <v>12072</v>
      </c>
      <c r="B142" s="562">
        <v>1745018</v>
      </c>
      <c r="C142" s="562">
        <v>12007731</v>
      </c>
      <c r="D142" s="562" t="s">
        <v>2823</v>
      </c>
      <c r="E142" s="562"/>
      <c r="F142" s="41">
        <v>45700</v>
      </c>
      <c r="G142" s="41">
        <v>0</v>
      </c>
      <c r="H142" s="41">
        <v>10394.43</v>
      </c>
      <c r="I142" s="41">
        <v>0</v>
      </c>
      <c r="K142" s="41">
        <v>56094.43</v>
      </c>
    </row>
    <row r="143" spans="1:11">
      <c r="A143" s="562">
        <v>12072</v>
      </c>
      <c r="B143" s="562">
        <v>1745018</v>
      </c>
      <c r="C143" s="562">
        <v>12007731</v>
      </c>
      <c r="D143" s="562" t="s">
        <v>2824</v>
      </c>
      <c r="E143" s="562"/>
      <c r="F143" s="41">
        <v>45700</v>
      </c>
      <c r="G143" s="41">
        <v>0</v>
      </c>
      <c r="H143" s="41">
        <v>10234.48</v>
      </c>
      <c r="I143" s="41">
        <v>0</v>
      </c>
      <c r="K143" s="41">
        <v>55934.48</v>
      </c>
    </row>
    <row r="144" spans="1:11">
      <c r="A144" s="562">
        <v>12072</v>
      </c>
      <c r="B144" s="562">
        <v>1745018</v>
      </c>
      <c r="C144" s="562">
        <v>12007731</v>
      </c>
      <c r="D144" s="562" t="s">
        <v>2825</v>
      </c>
      <c r="E144" s="562"/>
      <c r="F144" s="41">
        <v>45700</v>
      </c>
      <c r="G144" s="41">
        <v>0</v>
      </c>
      <c r="H144" s="41">
        <v>10074.530000000001</v>
      </c>
      <c r="I144" s="41">
        <v>0</v>
      </c>
      <c r="K144" s="41">
        <v>55774.53</v>
      </c>
    </row>
    <row r="145" spans="1:11">
      <c r="A145" s="562">
        <v>12072</v>
      </c>
      <c r="B145" s="562">
        <v>1745018</v>
      </c>
      <c r="C145" s="562">
        <v>12007731</v>
      </c>
      <c r="D145" s="562" t="s">
        <v>2826</v>
      </c>
      <c r="E145" s="562"/>
      <c r="F145" s="41">
        <v>45700</v>
      </c>
      <c r="G145" s="41">
        <v>0</v>
      </c>
      <c r="H145" s="41">
        <v>9914.58</v>
      </c>
      <c r="I145" s="41">
        <v>0</v>
      </c>
      <c r="K145" s="41">
        <v>55614.58</v>
      </c>
    </row>
    <row r="146" spans="1:11">
      <c r="A146" s="562">
        <v>12072</v>
      </c>
      <c r="B146" s="562">
        <v>1745018</v>
      </c>
      <c r="C146" s="562">
        <v>12007731</v>
      </c>
      <c r="D146" s="562" t="s">
        <v>2827</v>
      </c>
      <c r="E146" s="562"/>
      <c r="F146" s="41">
        <v>45700</v>
      </c>
      <c r="G146" s="41">
        <v>0</v>
      </c>
      <c r="H146" s="41">
        <v>9754.6299999999992</v>
      </c>
      <c r="I146" s="41">
        <v>0</v>
      </c>
      <c r="K146" s="41">
        <v>55454.63</v>
      </c>
    </row>
    <row r="147" spans="1:11">
      <c r="A147" s="562">
        <v>12072</v>
      </c>
      <c r="B147" s="562">
        <v>1745018</v>
      </c>
      <c r="C147" s="562">
        <v>12007731</v>
      </c>
      <c r="D147" s="562" t="s">
        <v>2828</v>
      </c>
      <c r="E147" s="562"/>
      <c r="F147" s="41">
        <v>45700</v>
      </c>
      <c r="G147" s="41">
        <v>0</v>
      </c>
      <c r="H147" s="41">
        <v>9594.68</v>
      </c>
      <c r="I147" s="41">
        <v>0</v>
      </c>
      <c r="K147" s="41">
        <v>55294.68</v>
      </c>
    </row>
    <row r="148" spans="1:11">
      <c r="A148" s="562">
        <v>12072</v>
      </c>
      <c r="B148" s="562">
        <v>1745018</v>
      </c>
      <c r="C148" s="562">
        <v>12007731</v>
      </c>
      <c r="D148" s="562" t="s">
        <v>2829</v>
      </c>
      <c r="E148" s="562"/>
      <c r="F148" s="41">
        <v>45700</v>
      </c>
      <c r="G148" s="41">
        <v>0</v>
      </c>
      <c r="H148" s="41">
        <v>9434.73</v>
      </c>
      <c r="I148" s="41">
        <v>0</v>
      </c>
      <c r="K148" s="41">
        <v>55134.73</v>
      </c>
    </row>
    <row r="149" spans="1:11">
      <c r="A149" s="562">
        <v>12072</v>
      </c>
      <c r="B149" s="562">
        <v>1745018</v>
      </c>
      <c r="C149" s="562">
        <v>12007731</v>
      </c>
      <c r="D149" s="562" t="s">
        <v>2830</v>
      </c>
      <c r="E149" s="562"/>
      <c r="F149" s="41">
        <v>45700</v>
      </c>
      <c r="G149" s="41">
        <v>0</v>
      </c>
      <c r="H149" s="41">
        <v>9274.7800000000007</v>
      </c>
      <c r="I149" s="41">
        <v>0</v>
      </c>
      <c r="K149" s="41">
        <v>54974.78</v>
      </c>
    </row>
    <row r="150" spans="1:11">
      <c r="A150" s="562">
        <v>12072</v>
      </c>
      <c r="B150" s="562">
        <v>1745018</v>
      </c>
      <c r="C150" s="562">
        <v>12007731</v>
      </c>
      <c r="D150" s="562" t="s">
        <v>2831</v>
      </c>
      <c r="E150" s="562"/>
      <c r="F150" s="41">
        <v>45700</v>
      </c>
      <c r="G150" s="41">
        <v>0</v>
      </c>
      <c r="H150" s="41">
        <v>9114.83</v>
      </c>
      <c r="I150" s="41">
        <v>0</v>
      </c>
      <c r="K150" s="41">
        <v>54814.83</v>
      </c>
    </row>
    <row r="151" spans="1:11">
      <c r="A151" s="562">
        <v>12072</v>
      </c>
      <c r="B151" s="562">
        <v>1745018</v>
      </c>
      <c r="C151" s="562">
        <v>12007731</v>
      </c>
      <c r="D151" s="562" t="s">
        <v>2832</v>
      </c>
      <c r="E151" s="562"/>
      <c r="F151" s="41">
        <v>45700</v>
      </c>
      <c r="G151" s="41">
        <v>0</v>
      </c>
      <c r="H151" s="41">
        <v>8954.8799999999992</v>
      </c>
      <c r="I151" s="41">
        <v>0</v>
      </c>
      <c r="K151" s="41">
        <v>54654.879999999997</v>
      </c>
    </row>
    <row r="152" spans="1:11">
      <c r="A152" s="562">
        <v>12072</v>
      </c>
      <c r="B152" s="562">
        <v>1745018</v>
      </c>
      <c r="C152" s="562">
        <v>12007731</v>
      </c>
      <c r="D152" s="562" t="s">
        <v>2833</v>
      </c>
      <c r="E152" s="562"/>
      <c r="F152" s="41">
        <v>45700</v>
      </c>
      <c r="G152" s="41">
        <v>0</v>
      </c>
      <c r="H152" s="41">
        <v>8794.93</v>
      </c>
      <c r="I152" s="41">
        <v>0</v>
      </c>
      <c r="K152" s="41">
        <v>54494.93</v>
      </c>
    </row>
    <row r="153" spans="1:11">
      <c r="A153" s="562">
        <v>12072</v>
      </c>
      <c r="B153" s="562">
        <v>1745018</v>
      </c>
      <c r="C153" s="562">
        <v>12007731</v>
      </c>
      <c r="D153" s="562" t="s">
        <v>2834</v>
      </c>
      <c r="E153" s="562"/>
      <c r="F153" s="41">
        <v>45700</v>
      </c>
      <c r="G153" s="41">
        <v>0</v>
      </c>
      <c r="H153" s="41">
        <v>8634.98</v>
      </c>
      <c r="I153" s="41">
        <v>0</v>
      </c>
      <c r="K153" s="41">
        <v>54334.98</v>
      </c>
    </row>
    <row r="154" spans="1:11">
      <c r="A154" s="562">
        <v>12072</v>
      </c>
      <c r="B154" s="562">
        <v>17450020</v>
      </c>
      <c r="C154" s="562">
        <v>12007732</v>
      </c>
      <c r="D154" s="562" t="s">
        <v>2835</v>
      </c>
      <c r="E154" s="562"/>
      <c r="F154" s="41">
        <v>29086.71</v>
      </c>
      <c r="G154" s="41">
        <v>0</v>
      </c>
      <c r="H154" s="41">
        <v>4561.6000000000004</v>
      </c>
      <c r="I154" s="41">
        <v>0</v>
      </c>
      <c r="K154" s="41">
        <v>33648.31</v>
      </c>
    </row>
    <row r="155" spans="1:11">
      <c r="A155" s="562">
        <v>12072</v>
      </c>
      <c r="B155" s="562">
        <v>17450020</v>
      </c>
      <c r="C155" s="562">
        <v>12007732</v>
      </c>
      <c r="D155" s="562" t="s">
        <v>2836</v>
      </c>
      <c r="E155" s="562"/>
      <c r="F155" s="41">
        <v>29147.3</v>
      </c>
      <c r="G155" s="41">
        <v>0</v>
      </c>
      <c r="H155" s="41">
        <v>4501.01</v>
      </c>
      <c r="I155" s="41">
        <v>0</v>
      </c>
      <c r="K155" s="41">
        <v>33648.31</v>
      </c>
    </row>
    <row r="156" spans="1:11">
      <c r="A156" s="562">
        <v>12072</v>
      </c>
      <c r="B156" s="562">
        <v>17450020</v>
      </c>
      <c r="C156" s="562">
        <v>12007732</v>
      </c>
      <c r="D156" s="562" t="s">
        <v>2837</v>
      </c>
      <c r="E156" s="562"/>
      <c r="F156" s="41">
        <v>29208.03</v>
      </c>
      <c r="G156" s="41">
        <v>0</v>
      </c>
      <c r="H156" s="41">
        <v>4440.28</v>
      </c>
      <c r="I156" s="41">
        <v>0</v>
      </c>
      <c r="K156" s="41">
        <v>33648.31</v>
      </c>
    </row>
    <row r="157" spans="1:11">
      <c r="A157" s="562">
        <v>12072</v>
      </c>
      <c r="B157" s="562">
        <v>17450020</v>
      </c>
      <c r="C157" s="562">
        <v>12007732</v>
      </c>
      <c r="D157" s="562" t="s">
        <v>2838</v>
      </c>
      <c r="E157" s="562"/>
      <c r="F157" s="41">
        <v>29268.880000000001</v>
      </c>
      <c r="G157" s="41">
        <v>0</v>
      </c>
      <c r="H157" s="41">
        <v>4379.43</v>
      </c>
      <c r="I157" s="41">
        <v>0</v>
      </c>
      <c r="K157" s="41">
        <v>33648.31</v>
      </c>
    </row>
    <row r="158" spans="1:11">
      <c r="A158" s="562">
        <v>12072</v>
      </c>
      <c r="B158" s="562">
        <v>17450020</v>
      </c>
      <c r="C158" s="562">
        <v>12007732</v>
      </c>
      <c r="D158" s="562" t="s">
        <v>2839</v>
      </c>
      <c r="E158" s="562"/>
      <c r="F158" s="41">
        <v>29329.85</v>
      </c>
      <c r="G158" s="41">
        <v>0</v>
      </c>
      <c r="H158" s="41">
        <v>4318.46</v>
      </c>
      <c r="I158" s="41">
        <v>0</v>
      </c>
      <c r="K158" s="41">
        <v>33648.31</v>
      </c>
    </row>
    <row r="159" spans="1:11">
      <c r="A159" s="562">
        <v>12072</v>
      </c>
      <c r="B159" s="562">
        <v>17450020</v>
      </c>
      <c r="C159" s="562">
        <v>12007732</v>
      </c>
      <c r="D159" s="562" t="s">
        <v>2840</v>
      </c>
      <c r="E159" s="562"/>
      <c r="F159" s="41">
        <v>29390.959999999999</v>
      </c>
      <c r="G159" s="41">
        <v>0</v>
      </c>
      <c r="H159" s="41">
        <v>4257.3500000000004</v>
      </c>
      <c r="I159" s="41">
        <v>0</v>
      </c>
      <c r="K159" s="41">
        <v>33648.31</v>
      </c>
    </row>
    <row r="160" spans="1:11">
      <c r="A160" s="562">
        <v>12072</v>
      </c>
      <c r="B160" s="562">
        <v>17450020</v>
      </c>
      <c r="C160" s="562">
        <v>12007732</v>
      </c>
      <c r="D160" s="562" t="s">
        <v>2841</v>
      </c>
      <c r="E160" s="562"/>
      <c r="F160" s="41">
        <v>29452.19</v>
      </c>
      <c r="G160" s="41">
        <v>0</v>
      </c>
      <c r="H160" s="41">
        <v>4196.12</v>
      </c>
      <c r="I160" s="41">
        <v>0</v>
      </c>
      <c r="K160" s="41">
        <v>33648.31</v>
      </c>
    </row>
    <row r="161" spans="1:11">
      <c r="A161" s="562">
        <v>12072</v>
      </c>
      <c r="B161" s="562">
        <v>17450020</v>
      </c>
      <c r="C161" s="562">
        <v>12007732</v>
      </c>
      <c r="D161" s="562" t="s">
        <v>2842</v>
      </c>
      <c r="E161" s="562"/>
      <c r="F161" s="41">
        <v>29513.55</v>
      </c>
      <c r="G161" s="41">
        <v>0</v>
      </c>
      <c r="H161" s="41">
        <v>4134.76</v>
      </c>
      <c r="I161" s="41">
        <v>0</v>
      </c>
      <c r="K161" s="41">
        <v>33648.31</v>
      </c>
    </row>
    <row r="162" spans="1:11">
      <c r="A162" s="562">
        <v>12072</v>
      </c>
      <c r="B162" s="562">
        <v>17450020</v>
      </c>
      <c r="C162" s="562">
        <v>12007732</v>
      </c>
      <c r="D162" s="562" t="s">
        <v>2843</v>
      </c>
      <c r="E162" s="562"/>
      <c r="F162" s="41">
        <v>29575.03</v>
      </c>
      <c r="G162" s="41">
        <v>0</v>
      </c>
      <c r="H162" s="41">
        <v>4073.28</v>
      </c>
      <c r="I162" s="41">
        <v>0</v>
      </c>
      <c r="K162" s="41">
        <v>33648.31</v>
      </c>
    </row>
    <row r="163" spans="1:11">
      <c r="A163" s="562">
        <v>12072</v>
      </c>
      <c r="B163" s="562">
        <v>17450020</v>
      </c>
      <c r="C163" s="562">
        <v>12007732</v>
      </c>
      <c r="D163" s="562" t="s">
        <v>2844</v>
      </c>
      <c r="E163" s="562"/>
      <c r="F163" s="41">
        <v>29636.65</v>
      </c>
      <c r="G163" s="41">
        <v>0</v>
      </c>
      <c r="H163" s="41">
        <v>4011.66</v>
      </c>
      <c r="I163" s="41">
        <v>0</v>
      </c>
      <c r="K163" s="41">
        <v>33648.31</v>
      </c>
    </row>
    <row r="164" spans="1:11">
      <c r="A164" s="562">
        <v>12072</v>
      </c>
      <c r="B164" s="562">
        <v>17450020</v>
      </c>
      <c r="C164" s="562">
        <v>12007732</v>
      </c>
      <c r="D164" s="562" t="s">
        <v>2845</v>
      </c>
      <c r="E164" s="562"/>
      <c r="F164" s="41">
        <v>29698.39</v>
      </c>
      <c r="G164" s="41">
        <v>0</v>
      </c>
      <c r="H164" s="41">
        <v>3949.92</v>
      </c>
      <c r="I164" s="41">
        <v>0</v>
      </c>
      <c r="K164" s="41">
        <v>33648.31</v>
      </c>
    </row>
    <row r="165" spans="1:11">
      <c r="A165" s="562">
        <v>12072</v>
      </c>
      <c r="B165" s="562">
        <v>17450020</v>
      </c>
      <c r="C165" s="562">
        <v>12007732</v>
      </c>
      <c r="D165" s="562" t="s">
        <v>2846</v>
      </c>
      <c r="E165" s="562"/>
      <c r="F165" s="41">
        <v>29760.26</v>
      </c>
      <c r="G165" s="41">
        <v>0</v>
      </c>
      <c r="H165" s="41">
        <v>3888.05</v>
      </c>
      <c r="I165" s="41">
        <v>0</v>
      </c>
      <c r="K165" s="41">
        <v>33648.31</v>
      </c>
    </row>
    <row r="166" spans="1:11">
      <c r="A166" s="562">
        <v>12072</v>
      </c>
      <c r="B166" s="562">
        <v>174500021</v>
      </c>
      <c r="C166" s="562">
        <v>12007733</v>
      </c>
      <c r="D166" s="562" t="s">
        <v>2744</v>
      </c>
      <c r="E166" s="562"/>
      <c r="F166" s="41">
        <v>86673.51</v>
      </c>
      <c r="G166" s="41">
        <v>0</v>
      </c>
      <c r="H166" s="41">
        <v>15701.39</v>
      </c>
      <c r="I166" s="41">
        <v>0</v>
      </c>
      <c r="K166" s="41">
        <v>102374.9</v>
      </c>
    </row>
    <row r="167" spans="1:11">
      <c r="A167" s="562">
        <v>12072</v>
      </c>
      <c r="B167" s="562">
        <v>174500021</v>
      </c>
      <c r="C167" s="562">
        <v>12007733</v>
      </c>
      <c r="D167" s="562" t="s">
        <v>2745</v>
      </c>
      <c r="E167" s="562"/>
      <c r="F167" s="41">
        <v>86854.080000000002</v>
      </c>
      <c r="G167" s="41">
        <v>0</v>
      </c>
      <c r="H167" s="41">
        <v>15520.82</v>
      </c>
      <c r="I167" s="41">
        <v>0</v>
      </c>
      <c r="K167" s="41">
        <v>102374.9</v>
      </c>
    </row>
    <row r="168" spans="1:11">
      <c r="A168" s="562">
        <v>12072</v>
      </c>
      <c r="B168" s="562">
        <v>174500021</v>
      </c>
      <c r="C168" s="562">
        <v>12007733</v>
      </c>
      <c r="D168" s="562" t="s">
        <v>2746</v>
      </c>
      <c r="E168" s="562"/>
      <c r="F168" s="41">
        <v>87035.02</v>
      </c>
      <c r="G168" s="41">
        <v>0</v>
      </c>
      <c r="H168" s="41">
        <v>15339.88</v>
      </c>
      <c r="I168" s="41">
        <v>0</v>
      </c>
      <c r="K168" s="41">
        <v>102374.9</v>
      </c>
    </row>
    <row r="169" spans="1:11">
      <c r="A169" s="562">
        <v>12072</v>
      </c>
      <c r="B169" s="562">
        <v>174500021</v>
      </c>
      <c r="C169" s="562">
        <v>12007733</v>
      </c>
      <c r="D169" s="562" t="s">
        <v>2747</v>
      </c>
      <c r="E169" s="562"/>
      <c r="F169" s="41">
        <v>87216.35</v>
      </c>
      <c r="G169" s="41">
        <v>0</v>
      </c>
      <c r="H169" s="41">
        <v>15158.55</v>
      </c>
      <c r="I169" s="41">
        <v>0</v>
      </c>
      <c r="K169" s="41">
        <v>102374.9</v>
      </c>
    </row>
    <row r="170" spans="1:11">
      <c r="A170" s="562">
        <v>12072</v>
      </c>
      <c r="B170" s="562">
        <v>174500021</v>
      </c>
      <c r="C170" s="562">
        <v>12007733</v>
      </c>
      <c r="D170" s="562" t="s">
        <v>2748</v>
      </c>
      <c r="E170" s="562"/>
      <c r="F170" s="41">
        <v>87398.05</v>
      </c>
      <c r="G170" s="41">
        <v>0</v>
      </c>
      <c r="H170" s="41">
        <v>14976.85</v>
      </c>
      <c r="I170" s="41">
        <v>0</v>
      </c>
      <c r="K170" s="41">
        <v>102374.9</v>
      </c>
    </row>
    <row r="171" spans="1:11">
      <c r="A171" s="562">
        <v>12072</v>
      </c>
      <c r="B171" s="562">
        <v>174500021</v>
      </c>
      <c r="C171" s="562">
        <v>12007733</v>
      </c>
      <c r="D171" s="562" t="s">
        <v>2749</v>
      </c>
      <c r="E171" s="562"/>
      <c r="F171" s="41">
        <v>87580.13</v>
      </c>
      <c r="G171" s="41">
        <v>0</v>
      </c>
      <c r="H171" s="41">
        <v>14794.77</v>
      </c>
      <c r="I171" s="41">
        <v>0</v>
      </c>
      <c r="K171" s="41">
        <v>102374.9</v>
      </c>
    </row>
    <row r="172" spans="1:11">
      <c r="A172" s="562">
        <v>12072</v>
      </c>
      <c r="B172" s="562">
        <v>174500021</v>
      </c>
      <c r="C172" s="562">
        <v>12007733</v>
      </c>
      <c r="D172" s="562" t="s">
        <v>2750</v>
      </c>
      <c r="E172" s="562"/>
      <c r="F172" s="41">
        <v>87762.59</v>
      </c>
      <c r="G172" s="41">
        <v>0</v>
      </c>
      <c r="H172" s="41">
        <v>14612.31</v>
      </c>
      <c r="I172" s="41">
        <v>0</v>
      </c>
      <c r="K172" s="41">
        <v>102374.9</v>
      </c>
    </row>
    <row r="173" spans="1:11">
      <c r="A173" s="562">
        <v>12072</v>
      </c>
      <c r="B173" s="562">
        <v>174500021</v>
      </c>
      <c r="C173" s="562">
        <v>12007733</v>
      </c>
      <c r="D173" s="562" t="s">
        <v>2751</v>
      </c>
      <c r="E173" s="562"/>
      <c r="F173" s="41">
        <v>87945.42</v>
      </c>
      <c r="G173" s="41">
        <v>0</v>
      </c>
      <c r="H173" s="41">
        <v>14429.48</v>
      </c>
      <c r="I173" s="41">
        <v>0</v>
      </c>
      <c r="K173" s="41">
        <v>102374.9</v>
      </c>
    </row>
    <row r="174" spans="1:11">
      <c r="A174" s="562">
        <v>12072</v>
      </c>
      <c r="B174" s="562">
        <v>174500021</v>
      </c>
      <c r="C174" s="562">
        <v>12007733</v>
      </c>
      <c r="D174" s="562" t="s">
        <v>2752</v>
      </c>
      <c r="E174" s="562"/>
      <c r="F174" s="41">
        <v>88128.639999999999</v>
      </c>
      <c r="G174" s="41">
        <v>0</v>
      </c>
      <c r="H174" s="41">
        <v>14246.26</v>
      </c>
      <c r="I174" s="41">
        <v>0</v>
      </c>
      <c r="K174" s="41">
        <v>102374.9</v>
      </c>
    </row>
    <row r="175" spans="1:11">
      <c r="A175" s="562">
        <v>12072</v>
      </c>
      <c r="B175" s="562">
        <v>174500021</v>
      </c>
      <c r="C175" s="562">
        <v>12007733</v>
      </c>
      <c r="D175" s="562" t="s">
        <v>2753</v>
      </c>
      <c r="E175" s="562"/>
      <c r="F175" s="41">
        <v>88312.24</v>
      </c>
      <c r="G175" s="41">
        <v>0</v>
      </c>
      <c r="H175" s="41">
        <v>14062.66</v>
      </c>
      <c r="I175" s="41">
        <v>0</v>
      </c>
      <c r="K175" s="41">
        <v>102374.9</v>
      </c>
    </row>
    <row r="176" spans="1:11">
      <c r="A176" s="562">
        <v>12072</v>
      </c>
      <c r="B176" s="562">
        <v>174500021</v>
      </c>
      <c r="C176" s="562">
        <v>12007733</v>
      </c>
      <c r="D176" s="562" t="s">
        <v>2754</v>
      </c>
      <c r="E176" s="562"/>
      <c r="F176" s="41">
        <v>88496.23</v>
      </c>
      <c r="G176" s="41">
        <v>0</v>
      </c>
      <c r="H176" s="41">
        <v>13878.67</v>
      </c>
      <c r="I176" s="41">
        <v>0</v>
      </c>
      <c r="K176" s="41">
        <v>102374.9</v>
      </c>
    </row>
    <row r="177" spans="1:11">
      <c r="A177" s="562">
        <v>12072</v>
      </c>
      <c r="B177" s="562">
        <v>174500021</v>
      </c>
      <c r="C177" s="562">
        <v>12007733</v>
      </c>
      <c r="D177" s="562" t="s">
        <v>2755</v>
      </c>
      <c r="E177" s="562"/>
      <c r="F177" s="41">
        <v>88680.6</v>
      </c>
      <c r="G177" s="41">
        <v>0</v>
      </c>
      <c r="H177" s="41">
        <v>13694.3</v>
      </c>
      <c r="I177" s="41">
        <v>0</v>
      </c>
      <c r="K177" s="41">
        <v>102374.9</v>
      </c>
    </row>
    <row r="178" spans="1:11">
      <c r="A178" s="562">
        <v>12072</v>
      </c>
      <c r="B178" s="562">
        <v>174500022</v>
      </c>
      <c r="C178" s="562">
        <v>12007734</v>
      </c>
      <c r="D178" s="562" t="s">
        <v>2847</v>
      </c>
      <c r="E178" s="562"/>
      <c r="F178" s="41">
        <v>31616</v>
      </c>
      <c r="G178" s="41">
        <v>0</v>
      </c>
      <c r="H178" s="41">
        <v>14275.27</v>
      </c>
      <c r="I178" s="41">
        <v>0</v>
      </c>
      <c r="K178" s="41">
        <v>45891.27</v>
      </c>
    </row>
    <row r="179" spans="1:11">
      <c r="A179" s="562">
        <v>12072</v>
      </c>
      <c r="B179" s="562">
        <v>174500022</v>
      </c>
      <c r="C179" s="562">
        <v>12007734</v>
      </c>
      <c r="D179" s="562" t="s">
        <v>2848</v>
      </c>
      <c r="E179" s="562"/>
      <c r="F179" s="41">
        <v>31616</v>
      </c>
      <c r="G179" s="41">
        <v>0</v>
      </c>
      <c r="H179" s="41">
        <v>14105.33</v>
      </c>
      <c r="I179" s="41">
        <v>0</v>
      </c>
      <c r="K179" s="41">
        <v>45721.33</v>
      </c>
    </row>
    <row r="180" spans="1:11">
      <c r="A180" s="562">
        <v>12072</v>
      </c>
      <c r="B180" s="562">
        <v>174500022</v>
      </c>
      <c r="C180" s="562">
        <v>12007734</v>
      </c>
      <c r="D180" s="562" t="s">
        <v>2849</v>
      </c>
      <c r="E180" s="562"/>
      <c r="F180" s="41">
        <v>31616</v>
      </c>
      <c r="G180" s="41">
        <v>0</v>
      </c>
      <c r="H180" s="41">
        <v>13935.4</v>
      </c>
      <c r="I180" s="41">
        <v>0</v>
      </c>
      <c r="K180" s="41">
        <v>45551.4</v>
      </c>
    </row>
    <row r="181" spans="1:11">
      <c r="A181" s="562">
        <v>12072</v>
      </c>
      <c r="B181" s="562">
        <v>174500022</v>
      </c>
      <c r="C181" s="562">
        <v>12007734</v>
      </c>
      <c r="D181" s="562" t="s">
        <v>2850</v>
      </c>
      <c r="E181" s="562"/>
      <c r="F181" s="41">
        <v>31616</v>
      </c>
      <c r="G181" s="41">
        <v>0</v>
      </c>
      <c r="H181" s="41">
        <v>13765.46</v>
      </c>
      <c r="I181" s="41">
        <v>0</v>
      </c>
      <c r="K181" s="41">
        <v>45381.46</v>
      </c>
    </row>
    <row r="182" spans="1:11">
      <c r="A182" s="562">
        <v>12072</v>
      </c>
      <c r="B182" s="562">
        <v>174500022</v>
      </c>
      <c r="C182" s="562">
        <v>12007734</v>
      </c>
      <c r="D182" s="562" t="s">
        <v>2851</v>
      </c>
      <c r="E182" s="562"/>
      <c r="F182" s="41">
        <v>31616</v>
      </c>
      <c r="G182" s="41">
        <v>0</v>
      </c>
      <c r="H182" s="41">
        <v>13595.53</v>
      </c>
      <c r="I182" s="41">
        <v>0</v>
      </c>
      <c r="K182" s="41">
        <v>45211.53</v>
      </c>
    </row>
    <row r="183" spans="1:11">
      <c r="A183" s="562">
        <v>12072</v>
      </c>
      <c r="B183" s="562">
        <v>174500022</v>
      </c>
      <c r="C183" s="562">
        <v>12007734</v>
      </c>
      <c r="D183" s="562" t="s">
        <v>2852</v>
      </c>
      <c r="E183" s="562"/>
      <c r="F183" s="41">
        <v>31616</v>
      </c>
      <c r="G183" s="41">
        <v>0</v>
      </c>
      <c r="H183" s="41">
        <v>13425.59</v>
      </c>
      <c r="I183" s="41">
        <v>0</v>
      </c>
      <c r="K183" s="41">
        <v>45041.59</v>
      </c>
    </row>
    <row r="184" spans="1:11">
      <c r="A184" s="562">
        <v>12072</v>
      </c>
      <c r="B184" s="562">
        <v>174500022</v>
      </c>
      <c r="C184" s="562">
        <v>12007734</v>
      </c>
      <c r="D184" s="562" t="s">
        <v>2853</v>
      </c>
      <c r="E184" s="562"/>
      <c r="F184" s="41">
        <v>31616</v>
      </c>
      <c r="G184" s="41">
        <v>0</v>
      </c>
      <c r="H184" s="41">
        <v>13255.65</v>
      </c>
      <c r="I184" s="41">
        <v>0</v>
      </c>
      <c r="K184" s="41">
        <v>44871.65</v>
      </c>
    </row>
    <row r="185" spans="1:11">
      <c r="A185" s="562">
        <v>12072</v>
      </c>
      <c r="B185" s="562">
        <v>174500022</v>
      </c>
      <c r="C185" s="562">
        <v>12007734</v>
      </c>
      <c r="D185" s="562" t="s">
        <v>2854</v>
      </c>
      <c r="E185" s="562"/>
      <c r="F185" s="41">
        <v>31616</v>
      </c>
      <c r="G185" s="41">
        <v>0</v>
      </c>
      <c r="H185" s="41">
        <v>13085.72</v>
      </c>
      <c r="I185" s="41">
        <v>0</v>
      </c>
      <c r="K185" s="41">
        <v>44701.72</v>
      </c>
    </row>
    <row r="186" spans="1:11">
      <c r="A186" s="562">
        <v>12072</v>
      </c>
      <c r="B186" s="562">
        <v>174500022</v>
      </c>
      <c r="C186" s="562">
        <v>12007734</v>
      </c>
      <c r="D186" s="562" t="s">
        <v>2855</v>
      </c>
      <c r="E186" s="562"/>
      <c r="F186" s="41">
        <v>31616</v>
      </c>
      <c r="G186" s="41">
        <v>0</v>
      </c>
      <c r="H186" s="41">
        <v>12915.78</v>
      </c>
      <c r="I186" s="41">
        <v>0</v>
      </c>
      <c r="K186" s="41">
        <v>44531.78</v>
      </c>
    </row>
    <row r="187" spans="1:11">
      <c r="A187" s="562">
        <v>12072</v>
      </c>
      <c r="B187" s="562">
        <v>174500022</v>
      </c>
      <c r="C187" s="562">
        <v>12007734</v>
      </c>
      <c r="D187" s="562" t="s">
        <v>2856</v>
      </c>
      <c r="E187" s="562"/>
      <c r="F187" s="41">
        <v>31616</v>
      </c>
      <c r="G187" s="41">
        <v>0</v>
      </c>
      <c r="H187" s="41">
        <v>12745.85</v>
      </c>
      <c r="I187" s="41">
        <v>0</v>
      </c>
      <c r="K187" s="41">
        <v>44361.85</v>
      </c>
    </row>
    <row r="188" spans="1:11">
      <c r="A188" s="562">
        <v>12072</v>
      </c>
      <c r="B188" s="562">
        <v>174500022</v>
      </c>
      <c r="C188" s="562">
        <v>12007734</v>
      </c>
      <c r="D188" s="562" t="s">
        <v>2857</v>
      </c>
      <c r="E188" s="562"/>
      <c r="F188" s="41">
        <v>31616</v>
      </c>
      <c r="G188" s="41">
        <v>0</v>
      </c>
      <c r="H188" s="41">
        <v>12575.91</v>
      </c>
      <c r="I188" s="41">
        <v>0</v>
      </c>
      <c r="K188" s="41">
        <v>44191.91</v>
      </c>
    </row>
    <row r="189" spans="1:11">
      <c r="A189" s="562">
        <v>12072</v>
      </c>
      <c r="B189" s="562">
        <v>174500022</v>
      </c>
      <c r="C189" s="562">
        <v>12007734</v>
      </c>
      <c r="D189" s="562" t="s">
        <v>2858</v>
      </c>
      <c r="E189" s="562"/>
      <c r="F189" s="41">
        <v>31616</v>
      </c>
      <c r="G189" s="41">
        <v>0</v>
      </c>
      <c r="H189" s="41">
        <v>12405.97</v>
      </c>
      <c r="I189" s="41">
        <v>0</v>
      </c>
      <c r="K189" s="41">
        <v>44021.97</v>
      </c>
    </row>
    <row r="190" spans="1:11">
      <c r="A190" s="562">
        <v>12072</v>
      </c>
      <c r="B190" s="562">
        <v>1345024</v>
      </c>
      <c r="C190" s="562">
        <v>12007735</v>
      </c>
      <c r="D190" s="562" t="s">
        <v>2859</v>
      </c>
      <c r="E190" s="562"/>
      <c r="F190" s="41">
        <v>22620.69</v>
      </c>
      <c r="G190" s="41">
        <v>0</v>
      </c>
      <c r="H190" s="41">
        <v>7118.53</v>
      </c>
      <c r="I190" s="41">
        <v>0</v>
      </c>
      <c r="K190" s="41">
        <v>29739.22</v>
      </c>
    </row>
    <row r="191" spans="1:11">
      <c r="A191" s="562">
        <v>12072</v>
      </c>
      <c r="B191" s="562">
        <v>1345024</v>
      </c>
      <c r="C191" s="562">
        <v>12007735</v>
      </c>
      <c r="D191" s="562" t="s">
        <v>2860</v>
      </c>
      <c r="E191" s="562"/>
      <c r="F191" s="41">
        <v>22620.69</v>
      </c>
      <c r="G191" s="41">
        <v>0</v>
      </c>
      <c r="H191" s="41">
        <v>7040.3</v>
      </c>
      <c r="I191" s="41">
        <v>0</v>
      </c>
      <c r="K191" s="41">
        <v>29660.99</v>
      </c>
    </row>
    <row r="192" spans="1:11">
      <c r="A192" s="562">
        <v>12072</v>
      </c>
      <c r="B192" s="562">
        <v>1345024</v>
      </c>
      <c r="C192" s="562">
        <v>12007735</v>
      </c>
      <c r="D192" s="562" t="s">
        <v>2861</v>
      </c>
      <c r="E192" s="562"/>
      <c r="F192" s="41">
        <v>22620.69</v>
      </c>
      <c r="G192" s="41">
        <v>0</v>
      </c>
      <c r="H192" s="41">
        <v>6962.07</v>
      </c>
      <c r="I192" s="41">
        <v>0</v>
      </c>
      <c r="K192" s="41">
        <v>29582.76</v>
      </c>
    </row>
    <row r="193" spans="1:11">
      <c r="A193" s="562">
        <v>12072</v>
      </c>
      <c r="B193" s="562">
        <v>1345024</v>
      </c>
      <c r="C193" s="562">
        <v>12007735</v>
      </c>
      <c r="D193" s="562" t="s">
        <v>2862</v>
      </c>
      <c r="E193" s="562"/>
      <c r="F193" s="41">
        <v>22620.69</v>
      </c>
      <c r="G193" s="41">
        <v>0</v>
      </c>
      <c r="H193" s="41">
        <v>6883.84</v>
      </c>
      <c r="I193" s="41">
        <v>0</v>
      </c>
      <c r="K193" s="41">
        <v>29504.53</v>
      </c>
    </row>
    <row r="194" spans="1:11">
      <c r="A194" s="562">
        <v>12072</v>
      </c>
      <c r="B194" s="562">
        <v>1345024</v>
      </c>
      <c r="C194" s="562">
        <v>12007735</v>
      </c>
      <c r="D194" s="562" t="s">
        <v>2863</v>
      </c>
      <c r="E194" s="562"/>
      <c r="F194" s="41">
        <v>22620.69</v>
      </c>
      <c r="G194" s="41">
        <v>0</v>
      </c>
      <c r="H194" s="41">
        <v>6805.61</v>
      </c>
      <c r="I194" s="41">
        <v>0</v>
      </c>
      <c r="K194" s="41">
        <v>29426.3</v>
      </c>
    </row>
    <row r="195" spans="1:11">
      <c r="A195" s="562">
        <v>12072</v>
      </c>
      <c r="B195" s="562">
        <v>1345024</v>
      </c>
      <c r="C195" s="562">
        <v>12007735</v>
      </c>
      <c r="D195" s="562" t="s">
        <v>2864</v>
      </c>
      <c r="E195" s="562"/>
      <c r="F195" s="41">
        <v>22620.69</v>
      </c>
      <c r="G195" s="41">
        <v>0</v>
      </c>
      <c r="H195" s="41">
        <v>6727.38</v>
      </c>
      <c r="I195" s="41">
        <v>0</v>
      </c>
      <c r="K195" s="41">
        <v>29348.07</v>
      </c>
    </row>
    <row r="196" spans="1:11">
      <c r="A196" s="562">
        <v>12072</v>
      </c>
      <c r="B196" s="562">
        <v>1345024</v>
      </c>
      <c r="C196" s="562">
        <v>12007735</v>
      </c>
      <c r="D196" s="562" t="s">
        <v>2865</v>
      </c>
      <c r="E196" s="562"/>
      <c r="F196" s="41">
        <v>22620.69</v>
      </c>
      <c r="G196" s="41">
        <v>0</v>
      </c>
      <c r="H196" s="41">
        <v>6649.15</v>
      </c>
      <c r="I196" s="41">
        <v>0</v>
      </c>
      <c r="K196" s="41">
        <v>29269.84</v>
      </c>
    </row>
    <row r="197" spans="1:11">
      <c r="A197" s="562">
        <v>12072</v>
      </c>
      <c r="B197" s="562">
        <v>1345024</v>
      </c>
      <c r="C197" s="562">
        <v>12007735</v>
      </c>
      <c r="D197" s="562" t="s">
        <v>2866</v>
      </c>
      <c r="E197" s="562"/>
      <c r="F197" s="41">
        <v>22620.69</v>
      </c>
      <c r="G197" s="41">
        <v>0</v>
      </c>
      <c r="H197" s="41">
        <v>6570.92</v>
      </c>
      <c r="I197" s="41">
        <v>0</v>
      </c>
      <c r="K197" s="41">
        <v>29191.61</v>
      </c>
    </row>
    <row r="198" spans="1:11">
      <c r="A198" s="562">
        <v>12072</v>
      </c>
      <c r="B198" s="562">
        <v>1345024</v>
      </c>
      <c r="C198" s="562">
        <v>12007735</v>
      </c>
      <c r="D198" s="562" t="s">
        <v>2867</v>
      </c>
      <c r="E198" s="562"/>
      <c r="F198" s="41">
        <v>22620.69</v>
      </c>
      <c r="G198" s="41">
        <v>0</v>
      </c>
      <c r="H198" s="41">
        <v>6492.69</v>
      </c>
      <c r="I198" s="41">
        <v>0</v>
      </c>
      <c r="K198" s="41">
        <v>29113.38</v>
      </c>
    </row>
    <row r="199" spans="1:11">
      <c r="A199" s="562">
        <v>12072</v>
      </c>
      <c r="B199" s="562">
        <v>1345024</v>
      </c>
      <c r="C199" s="562">
        <v>12007735</v>
      </c>
      <c r="D199" s="562" t="s">
        <v>2868</v>
      </c>
      <c r="E199" s="562"/>
      <c r="F199" s="41">
        <v>22620.69</v>
      </c>
      <c r="G199" s="41">
        <v>0</v>
      </c>
      <c r="H199" s="41">
        <v>6414.46</v>
      </c>
      <c r="I199" s="41">
        <v>0</v>
      </c>
      <c r="K199" s="41">
        <v>29035.15</v>
      </c>
    </row>
    <row r="200" spans="1:11">
      <c r="A200" s="562">
        <v>12072</v>
      </c>
      <c r="B200" s="562">
        <v>1345024</v>
      </c>
      <c r="C200" s="562">
        <v>12007735</v>
      </c>
      <c r="D200" s="562" t="s">
        <v>2869</v>
      </c>
      <c r="E200" s="562"/>
      <c r="F200" s="41">
        <v>22620.69</v>
      </c>
      <c r="G200" s="41">
        <v>0</v>
      </c>
      <c r="H200" s="41">
        <v>6336.23</v>
      </c>
      <c r="I200" s="41">
        <v>0</v>
      </c>
      <c r="K200" s="41">
        <v>28956.92</v>
      </c>
    </row>
    <row r="201" spans="1:11">
      <c r="A201" s="562">
        <v>12072</v>
      </c>
      <c r="B201" s="562">
        <v>1345024</v>
      </c>
      <c r="C201" s="562">
        <v>12007735</v>
      </c>
      <c r="D201" s="562" t="s">
        <v>2870</v>
      </c>
      <c r="E201" s="562"/>
      <c r="F201" s="41">
        <v>22620.69</v>
      </c>
      <c r="G201" s="41">
        <v>0</v>
      </c>
      <c r="H201" s="41">
        <v>6258</v>
      </c>
      <c r="I201" s="41">
        <v>0</v>
      </c>
      <c r="K201" s="41">
        <v>28878.69</v>
      </c>
    </row>
    <row r="202" spans="1:11">
      <c r="A202" s="562">
        <v>12072</v>
      </c>
      <c r="B202" s="562">
        <v>1345000</v>
      </c>
      <c r="C202" s="562">
        <v>12007736</v>
      </c>
      <c r="D202" s="562" t="s">
        <v>2871</v>
      </c>
      <c r="E202" s="562"/>
      <c r="F202" s="41">
        <v>138888.89000000001</v>
      </c>
      <c r="G202" s="41">
        <v>0</v>
      </c>
      <c r="H202" s="41">
        <v>50068.91</v>
      </c>
      <c r="I202" s="41">
        <v>0</v>
      </c>
      <c r="K202" s="41">
        <v>188957.8</v>
      </c>
    </row>
    <row r="203" spans="1:11">
      <c r="A203" s="562">
        <v>12072</v>
      </c>
      <c r="B203" s="562">
        <v>1345000</v>
      </c>
      <c r="C203" s="562">
        <v>12007736</v>
      </c>
      <c r="D203" s="562" t="s">
        <v>2872</v>
      </c>
      <c r="E203" s="562"/>
      <c r="F203" s="41">
        <v>138888.89000000001</v>
      </c>
      <c r="G203" s="41">
        <v>0</v>
      </c>
      <c r="H203" s="41">
        <v>49582.8</v>
      </c>
      <c r="I203" s="41">
        <v>0</v>
      </c>
      <c r="K203" s="41">
        <v>188471.69</v>
      </c>
    </row>
    <row r="204" spans="1:11">
      <c r="A204" s="562">
        <v>12072</v>
      </c>
      <c r="B204" s="562">
        <v>1345000</v>
      </c>
      <c r="C204" s="562">
        <v>12007736</v>
      </c>
      <c r="D204" s="562" t="s">
        <v>2873</v>
      </c>
      <c r="E204" s="562"/>
      <c r="F204" s="41">
        <v>138888.89000000001</v>
      </c>
      <c r="G204" s="41">
        <v>0</v>
      </c>
      <c r="H204" s="41">
        <v>49096.69</v>
      </c>
      <c r="I204" s="41">
        <v>0</v>
      </c>
      <c r="K204" s="41">
        <v>187985.58</v>
      </c>
    </row>
    <row r="205" spans="1:11">
      <c r="A205" s="562">
        <v>12072</v>
      </c>
      <c r="B205" s="562">
        <v>1345000</v>
      </c>
      <c r="C205" s="562">
        <v>12007736</v>
      </c>
      <c r="D205" s="562" t="s">
        <v>2874</v>
      </c>
      <c r="E205" s="562"/>
      <c r="F205" s="41">
        <v>138888.89000000001</v>
      </c>
      <c r="G205" s="41">
        <v>0</v>
      </c>
      <c r="H205" s="41">
        <v>48610.58</v>
      </c>
      <c r="I205" s="41">
        <v>0</v>
      </c>
      <c r="K205" s="41">
        <v>187499.47</v>
      </c>
    </row>
    <row r="206" spans="1:11">
      <c r="A206" s="562">
        <v>12072</v>
      </c>
      <c r="B206" s="562">
        <v>1345000</v>
      </c>
      <c r="C206" s="562">
        <v>12007736</v>
      </c>
      <c r="D206" s="562" t="s">
        <v>2875</v>
      </c>
      <c r="E206" s="562"/>
      <c r="F206" s="41">
        <v>138888.89000000001</v>
      </c>
      <c r="G206" s="41">
        <v>0</v>
      </c>
      <c r="H206" s="41">
        <v>48124.46</v>
      </c>
      <c r="I206" s="41">
        <v>0</v>
      </c>
      <c r="K206" s="41">
        <v>187013.35</v>
      </c>
    </row>
    <row r="207" spans="1:11">
      <c r="A207" s="562">
        <v>12072</v>
      </c>
      <c r="B207" s="562">
        <v>1345000</v>
      </c>
      <c r="C207" s="562">
        <v>12007736</v>
      </c>
      <c r="D207" s="562" t="s">
        <v>2876</v>
      </c>
      <c r="E207" s="562"/>
      <c r="F207" s="41">
        <v>138888.89000000001</v>
      </c>
      <c r="G207" s="41">
        <v>0</v>
      </c>
      <c r="H207" s="41">
        <v>47638.35</v>
      </c>
      <c r="I207" s="41">
        <v>0</v>
      </c>
      <c r="K207" s="41">
        <v>186527.24</v>
      </c>
    </row>
    <row r="208" spans="1:11">
      <c r="A208" s="562">
        <v>12072</v>
      </c>
      <c r="B208" s="562">
        <v>1345000</v>
      </c>
      <c r="C208" s="562">
        <v>12007736</v>
      </c>
      <c r="D208" s="562" t="s">
        <v>2877</v>
      </c>
      <c r="E208" s="562"/>
      <c r="F208" s="41">
        <v>138888.89000000001</v>
      </c>
      <c r="G208" s="41">
        <v>0</v>
      </c>
      <c r="H208" s="41">
        <v>47152.24</v>
      </c>
      <c r="I208" s="41">
        <v>0</v>
      </c>
      <c r="K208" s="41">
        <v>186041.13</v>
      </c>
    </row>
    <row r="209" spans="1:11">
      <c r="A209" s="562">
        <v>12072</v>
      </c>
      <c r="B209" s="562">
        <v>1345000</v>
      </c>
      <c r="C209" s="562">
        <v>12007736</v>
      </c>
      <c r="D209" s="562" t="s">
        <v>2878</v>
      </c>
      <c r="E209" s="562"/>
      <c r="F209" s="41">
        <v>138888.89000000001</v>
      </c>
      <c r="G209" s="41">
        <v>0</v>
      </c>
      <c r="H209" s="41">
        <v>46666.13</v>
      </c>
      <c r="I209" s="41">
        <v>0</v>
      </c>
      <c r="K209" s="41">
        <v>185555.02</v>
      </c>
    </row>
    <row r="210" spans="1:11">
      <c r="A210" s="562">
        <v>12072</v>
      </c>
      <c r="B210" s="562">
        <v>1345000</v>
      </c>
      <c r="C210" s="562">
        <v>12007736</v>
      </c>
      <c r="D210" s="562" t="s">
        <v>2879</v>
      </c>
      <c r="E210" s="562"/>
      <c r="F210" s="41">
        <v>138888.89000000001</v>
      </c>
      <c r="G210" s="41">
        <v>0</v>
      </c>
      <c r="H210" s="41">
        <v>46180.02</v>
      </c>
      <c r="I210" s="41">
        <v>0</v>
      </c>
      <c r="K210" s="41">
        <v>185068.91</v>
      </c>
    </row>
    <row r="211" spans="1:11">
      <c r="A211" s="562">
        <v>12072</v>
      </c>
      <c r="B211" s="562">
        <v>1345000</v>
      </c>
      <c r="C211" s="562">
        <v>12007736</v>
      </c>
      <c r="D211" s="562" t="s">
        <v>2880</v>
      </c>
      <c r="E211" s="562"/>
      <c r="F211" s="41">
        <v>138888.89000000001</v>
      </c>
      <c r="G211" s="41">
        <v>0</v>
      </c>
      <c r="H211" s="41">
        <v>45693.91</v>
      </c>
      <c r="I211" s="41">
        <v>0</v>
      </c>
      <c r="K211" s="41">
        <v>184582.8</v>
      </c>
    </row>
    <row r="212" spans="1:11">
      <c r="A212" s="562">
        <v>12072</v>
      </c>
      <c r="B212" s="562">
        <v>1345000</v>
      </c>
      <c r="C212" s="562">
        <v>12007736</v>
      </c>
      <c r="D212" s="562" t="s">
        <v>2881</v>
      </c>
      <c r="E212" s="562"/>
      <c r="F212" s="41">
        <v>138888.89000000001</v>
      </c>
      <c r="G212" s="41">
        <v>0</v>
      </c>
      <c r="H212" s="41">
        <v>45207.8</v>
      </c>
      <c r="I212" s="41">
        <v>0</v>
      </c>
      <c r="K212" s="41">
        <v>184096.69</v>
      </c>
    </row>
    <row r="213" spans="1:11">
      <c r="A213" s="562">
        <v>12072</v>
      </c>
      <c r="B213" s="562">
        <v>1345000</v>
      </c>
      <c r="C213" s="562">
        <v>12007736</v>
      </c>
      <c r="D213" s="562" t="s">
        <v>2882</v>
      </c>
      <c r="E213" s="562"/>
      <c r="F213" s="41">
        <v>138888.89000000001</v>
      </c>
      <c r="G213" s="41">
        <v>0</v>
      </c>
      <c r="H213" s="41">
        <v>44721.69</v>
      </c>
      <c r="I213" s="41">
        <v>0</v>
      </c>
      <c r="K213" s="41">
        <v>183610.58</v>
      </c>
    </row>
    <row r="214" spans="1:11">
      <c r="A214" s="562">
        <v>12620</v>
      </c>
      <c r="B214" s="562"/>
      <c r="C214" s="562">
        <v>12007737</v>
      </c>
      <c r="D214" s="562" t="s">
        <v>2883</v>
      </c>
      <c r="E214" s="562"/>
      <c r="F214" s="41">
        <v>102564.1</v>
      </c>
      <c r="G214" s="41">
        <v>0</v>
      </c>
      <c r="H214" s="41">
        <v>48425.43</v>
      </c>
      <c r="I214" s="41">
        <v>0</v>
      </c>
      <c r="K214" s="41">
        <v>150989.53</v>
      </c>
    </row>
    <row r="215" spans="1:11">
      <c r="A215" s="562">
        <v>12620</v>
      </c>
      <c r="B215" s="562"/>
      <c r="C215" s="562">
        <v>12007737</v>
      </c>
      <c r="D215" s="562" t="s">
        <v>2728</v>
      </c>
      <c r="E215" s="562"/>
      <c r="F215" s="41">
        <v>102564.1</v>
      </c>
      <c r="G215" s="41">
        <v>0</v>
      </c>
      <c r="H215" s="41">
        <v>48058.94</v>
      </c>
      <c r="I215" s="41">
        <v>0</v>
      </c>
      <c r="K215" s="41">
        <v>150623.04000000001</v>
      </c>
    </row>
    <row r="216" spans="1:11">
      <c r="A216" s="562">
        <v>12620</v>
      </c>
      <c r="B216" s="562"/>
      <c r="C216" s="562">
        <v>12007737</v>
      </c>
      <c r="D216" s="562" t="s">
        <v>2884</v>
      </c>
      <c r="E216" s="562"/>
      <c r="F216" s="41">
        <v>102564.1</v>
      </c>
      <c r="G216" s="41">
        <v>0</v>
      </c>
      <c r="H216" s="41">
        <v>43069.61</v>
      </c>
      <c r="I216" s="41">
        <v>0</v>
      </c>
      <c r="K216" s="41">
        <v>145633.71</v>
      </c>
    </row>
    <row r="217" spans="1:11">
      <c r="A217" s="562">
        <v>12620</v>
      </c>
      <c r="B217" s="562"/>
      <c r="C217" s="562">
        <v>12007737</v>
      </c>
      <c r="D217" s="562" t="s">
        <v>2885</v>
      </c>
      <c r="E217" s="562"/>
      <c r="F217" s="41">
        <v>102564.1</v>
      </c>
      <c r="G217" s="41">
        <v>0</v>
      </c>
      <c r="H217" s="41">
        <v>47325.96</v>
      </c>
      <c r="I217" s="41">
        <v>0</v>
      </c>
      <c r="K217" s="41">
        <v>149890.06</v>
      </c>
    </row>
    <row r="218" spans="1:11">
      <c r="A218" s="562">
        <v>12620</v>
      </c>
      <c r="B218" s="562"/>
      <c r="C218" s="562">
        <v>12007737</v>
      </c>
      <c r="D218" s="562" t="s">
        <v>2886</v>
      </c>
      <c r="E218" s="562"/>
      <c r="F218" s="41">
        <v>102564.1</v>
      </c>
      <c r="G218" s="41">
        <v>0</v>
      </c>
      <c r="H218" s="41">
        <v>45442.03</v>
      </c>
      <c r="I218" s="41">
        <v>0</v>
      </c>
      <c r="K218" s="41">
        <v>148006.13</v>
      </c>
    </row>
    <row r="219" spans="1:11">
      <c r="A219" s="562">
        <v>12620</v>
      </c>
      <c r="B219" s="562"/>
      <c r="C219" s="562">
        <v>12007737</v>
      </c>
      <c r="D219" s="562" t="s">
        <v>2887</v>
      </c>
      <c r="E219" s="562"/>
      <c r="F219" s="41">
        <v>102564.1</v>
      </c>
      <c r="G219" s="41">
        <v>0</v>
      </c>
      <c r="H219" s="41">
        <v>46592.97</v>
      </c>
      <c r="I219" s="41">
        <v>0</v>
      </c>
      <c r="K219" s="41">
        <v>149157.07</v>
      </c>
    </row>
    <row r="220" spans="1:11">
      <c r="A220" s="562">
        <v>12620</v>
      </c>
      <c r="B220" s="562"/>
      <c r="C220" s="562">
        <v>12007737</v>
      </c>
      <c r="D220" s="562" t="s">
        <v>2888</v>
      </c>
      <c r="E220" s="562"/>
      <c r="F220" s="41">
        <v>102564.1</v>
      </c>
      <c r="G220" s="41">
        <v>0</v>
      </c>
      <c r="H220" s="41">
        <v>44732.73</v>
      </c>
      <c r="I220" s="41">
        <v>0</v>
      </c>
      <c r="K220" s="41">
        <v>147296.82999999999</v>
      </c>
    </row>
    <row r="221" spans="1:11">
      <c r="A221" s="562">
        <v>12620</v>
      </c>
      <c r="B221" s="562"/>
      <c r="C221" s="562">
        <v>12007737</v>
      </c>
      <c r="D221" s="562" t="s">
        <v>2889</v>
      </c>
      <c r="E221" s="562"/>
      <c r="F221" s="41">
        <v>102564.1</v>
      </c>
      <c r="G221" s="41">
        <v>0</v>
      </c>
      <c r="H221" s="41">
        <v>45859.99</v>
      </c>
      <c r="I221" s="41">
        <v>0</v>
      </c>
      <c r="K221" s="41">
        <v>148424.09</v>
      </c>
    </row>
    <row r="222" spans="1:11">
      <c r="A222" s="562">
        <v>12620</v>
      </c>
      <c r="B222" s="562"/>
      <c r="C222" s="562">
        <v>12007737</v>
      </c>
      <c r="D222" s="562" t="s">
        <v>2890</v>
      </c>
      <c r="E222" s="562"/>
      <c r="F222" s="41">
        <v>102564.1</v>
      </c>
      <c r="G222" s="41">
        <v>0</v>
      </c>
      <c r="H222" s="41">
        <v>45493.5</v>
      </c>
      <c r="I222" s="41">
        <v>0</v>
      </c>
      <c r="K222" s="41">
        <v>148057.60000000001</v>
      </c>
    </row>
    <row r="223" spans="1:11">
      <c r="A223" s="562">
        <v>12620</v>
      </c>
      <c r="B223" s="562"/>
      <c r="C223" s="562">
        <v>12007737</v>
      </c>
      <c r="D223" s="562" t="s">
        <v>2891</v>
      </c>
      <c r="E223" s="562"/>
      <c r="F223" s="41">
        <v>102564.1</v>
      </c>
      <c r="G223" s="41">
        <v>0</v>
      </c>
      <c r="H223" s="41">
        <v>43668.79</v>
      </c>
      <c r="I223" s="41">
        <v>0</v>
      </c>
      <c r="K223" s="41">
        <v>146232.89000000001</v>
      </c>
    </row>
    <row r="224" spans="1:11">
      <c r="A224" s="562">
        <v>12620</v>
      </c>
      <c r="B224" s="562"/>
      <c r="C224" s="562">
        <v>12007737</v>
      </c>
      <c r="D224" s="562" t="s">
        <v>2892</v>
      </c>
      <c r="E224" s="562"/>
      <c r="F224" s="41">
        <v>102564.1</v>
      </c>
      <c r="G224" s="41">
        <v>0</v>
      </c>
      <c r="H224" s="41">
        <v>44760.52</v>
      </c>
      <c r="I224" s="41">
        <v>0</v>
      </c>
      <c r="K224" s="41">
        <v>147324.62</v>
      </c>
    </row>
    <row r="225" spans="1:11">
      <c r="A225" s="562">
        <v>12620</v>
      </c>
      <c r="B225" s="562"/>
      <c r="C225" s="562">
        <v>12007737</v>
      </c>
      <c r="D225" s="562" t="s">
        <v>2893</v>
      </c>
      <c r="E225" s="562"/>
      <c r="F225" s="41">
        <v>102564.1</v>
      </c>
      <c r="G225" s="41">
        <v>0</v>
      </c>
      <c r="H225" s="41">
        <v>42959.49</v>
      </c>
      <c r="I225" s="41">
        <v>0</v>
      </c>
      <c r="K225" s="41">
        <v>145523.59</v>
      </c>
    </row>
    <row r="226" spans="1:11">
      <c r="A226" s="562">
        <v>12620</v>
      </c>
      <c r="B226" s="562"/>
      <c r="C226" s="562">
        <v>12007738</v>
      </c>
      <c r="D226" s="562" t="s">
        <v>2883</v>
      </c>
      <c r="E226" s="562"/>
      <c r="F226" s="41">
        <v>31645.57</v>
      </c>
      <c r="G226" s="41">
        <v>0</v>
      </c>
      <c r="H226" s="41">
        <v>15498.41</v>
      </c>
      <c r="I226" s="41">
        <v>0</v>
      </c>
      <c r="K226" s="41">
        <v>47143.98</v>
      </c>
    </row>
    <row r="227" spans="1:11">
      <c r="A227" s="562">
        <v>12620</v>
      </c>
      <c r="B227" s="562"/>
      <c r="C227" s="562">
        <v>12007738</v>
      </c>
      <c r="D227" s="562" t="s">
        <v>2728</v>
      </c>
      <c r="E227" s="562"/>
      <c r="F227" s="41">
        <v>31645.57</v>
      </c>
      <c r="G227" s="41">
        <v>0</v>
      </c>
      <c r="H227" s="41">
        <v>15382.63</v>
      </c>
      <c r="I227" s="41">
        <v>0</v>
      </c>
      <c r="K227" s="41">
        <v>47028.2</v>
      </c>
    </row>
    <row r="228" spans="1:11">
      <c r="A228" s="562">
        <v>12620</v>
      </c>
      <c r="B228" s="562"/>
      <c r="C228" s="562">
        <v>12007738</v>
      </c>
      <c r="D228" s="562" t="s">
        <v>2884</v>
      </c>
      <c r="E228" s="562"/>
      <c r="F228" s="41">
        <v>31645.57</v>
      </c>
      <c r="G228" s="41">
        <v>0</v>
      </c>
      <c r="H228" s="41">
        <v>13786.98</v>
      </c>
      <c r="I228" s="41">
        <v>0</v>
      </c>
      <c r="K228" s="41">
        <v>45432.55</v>
      </c>
    </row>
    <row r="229" spans="1:11">
      <c r="A229" s="562">
        <v>12620</v>
      </c>
      <c r="B229" s="562"/>
      <c r="C229" s="562">
        <v>12007738</v>
      </c>
      <c r="D229" s="562" t="s">
        <v>2885</v>
      </c>
      <c r="E229" s="562"/>
      <c r="F229" s="41">
        <v>31645.57</v>
      </c>
      <c r="G229" s="41">
        <v>0</v>
      </c>
      <c r="H229" s="41">
        <v>15151.08</v>
      </c>
      <c r="I229" s="41">
        <v>0</v>
      </c>
      <c r="K229" s="41">
        <v>46796.65</v>
      </c>
    </row>
    <row r="230" spans="1:11">
      <c r="A230" s="562">
        <v>12620</v>
      </c>
      <c r="B230" s="562"/>
      <c r="C230" s="562">
        <v>12007738</v>
      </c>
      <c r="D230" s="562" t="s">
        <v>2886</v>
      </c>
      <c r="E230" s="562"/>
      <c r="F230" s="41">
        <v>31645.57</v>
      </c>
      <c r="G230" s="41">
        <v>0</v>
      </c>
      <c r="H230" s="41">
        <v>14549.44</v>
      </c>
      <c r="I230" s="41">
        <v>0</v>
      </c>
      <c r="K230" s="41">
        <v>46195.01</v>
      </c>
    </row>
    <row r="231" spans="1:11">
      <c r="A231" s="562">
        <v>12620</v>
      </c>
      <c r="B231" s="562"/>
      <c r="C231" s="562">
        <v>12007738</v>
      </c>
      <c r="D231" s="562" t="s">
        <v>2887</v>
      </c>
      <c r="E231" s="562"/>
      <c r="F231" s="41">
        <v>31645.57</v>
      </c>
      <c r="G231" s="41">
        <v>0</v>
      </c>
      <c r="H231" s="41">
        <v>14919.53</v>
      </c>
      <c r="I231" s="41">
        <v>0</v>
      </c>
      <c r="K231" s="41">
        <v>46565.1</v>
      </c>
    </row>
    <row r="232" spans="1:11">
      <c r="A232" s="562">
        <v>12620</v>
      </c>
      <c r="B232" s="562"/>
      <c r="C232" s="562">
        <v>12007738</v>
      </c>
      <c r="D232" s="562" t="s">
        <v>2888</v>
      </c>
      <c r="E232" s="562"/>
      <c r="F232" s="41">
        <v>31645.57</v>
      </c>
      <c r="G232" s="41">
        <v>0</v>
      </c>
      <c r="H232" s="41">
        <v>14325.37</v>
      </c>
      <c r="I232" s="41">
        <v>0</v>
      </c>
      <c r="K232" s="41">
        <v>45970.94</v>
      </c>
    </row>
    <row r="233" spans="1:11">
      <c r="A233" s="562">
        <v>12620</v>
      </c>
      <c r="B233" s="562"/>
      <c r="C233" s="562">
        <v>12007738</v>
      </c>
      <c r="D233" s="562" t="s">
        <v>2889</v>
      </c>
      <c r="E233" s="562"/>
      <c r="F233" s="41">
        <v>31645.57</v>
      </c>
      <c r="G233" s="41">
        <v>0</v>
      </c>
      <c r="H233" s="41">
        <v>14687.98</v>
      </c>
      <c r="I233" s="41">
        <v>0</v>
      </c>
      <c r="K233" s="41">
        <v>46333.55</v>
      </c>
    </row>
    <row r="234" spans="1:11">
      <c r="A234" s="562">
        <v>12620</v>
      </c>
      <c r="B234" s="562"/>
      <c r="C234" s="562">
        <v>12007738</v>
      </c>
      <c r="D234" s="562" t="s">
        <v>2890</v>
      </c>
      <c r="E234" s="562"/>
      <c r="F234" s="41">
        <v>31645.57</v>
      </c>
      <c r="G234" s="41">
        <v>0</v>
      </c>
      <c r="H234" s="41">
        <v>14572.2</v>
      </c>
      <c r="I234" s="41">
        <v>0</v>
      </c>
      <c r="K234" s="41">
        <v>46217.77</v>
      </c>
    </row>
    <row r="235" spans="1:11">
      <c r="A235" s="562">
        <v>12620</v>
      </c>
      <c r="B235" s="562"/>
      <c r="C235" s="562">
        <v>12007738</v>
      </c>
      <c r="D235" s="562" t="s">
        <v>2891</v>
      </c>
      <c r="E235" s="562"/>
      <c r="F235" s="41">
        <v>31645.57</v>
      </c>
      <c r="G235" s="41">
        <v>0</v>
      </c>
      <c r="H235" s="41">
        <v>13989.26</v>
      </c>
      <c r="I235" s="41">
        <v>0</v>
      </c>
      <c r="K235" s="41">
        <v>45634.83</v>
      </c>
    </row>
    <row r="236" spans="1:11">
      <c r="A236" s="562">
        <v>12620</v>
      </c>
      <c r="B236" s="562"/>
      <c r="C236" s="562">
        <v>12007738</v>
      </c>
      <c r="D236" s="562" t="s">
        <v>2892</v>
      </c>
      <c r="E236" s="562"/>
      <c r="F236" s="41">
        <v>31645.57</v>
      </c>
      <c r="G236" s="41">
        <v>0</v>
      </c>
      <c r="H236" s="41">
        <v>14340.65</v>
      </c>
      <c r="I236" s="41">
        <v>0</v>
      </c>
      <c r="K236" s="41">
        <v>45986.22</v>
      </c>
    </row>
    <row r="237" spans="1:11">
      <c r="A237" s="562">
        <v>12620</v>
      </c>
      <c r="B237" s="562"/>
      <c r="C237" s="562">
        <v>12007738</v>
      </c>
      <c r="D237" s="562" t="s">
        <v>2893</v>
      </c>
      <c r="E237" s="562"/>
      <c r="F237" s="41">
        <v>31645.57</v>
      </c>
      <c r="G237" s="41">
        <v>0</v>
      </c>
      <c r="H237" s="41">
        <v>13765.19</v>
      </c>
      <c r="I237" s="41">
        <v>0</v>
      </c>
      <c r="K237" s="41">
        <v>45410.76</v>
      </c>
    </row>
    <row r="238" spans="1:11">
      <c r="A238" s="562">
        <v>12620</v>
      </c>
      <c r="B238" s="562">
        <v>1345000</v>
      </c>
      <c r="C238" s="562">
        <v>12007739</v>
      </c>
      <c r="D238" s="562" t="s">
        <v>2859</v>
      </c>
      <c r="E238" s="562"/>
      <c r="F238" s="41">
        <v>66666</v>
      </c>
      <c r="G238" s="41">
        <v>0</v>
      </c>
      <c r="H238" s="41">
        <v>11248.95</v>
      </c>
      <c r="I238" s="41">
        <v>0</v>
      </c>
      <c r="K238" s="41">
        <v>77914.95</v>
      </c>
    </row>
    <row r="239" spans="1:11">
      <c r="A239" s="562">
        <v>12620</v>
      </c>
      <c r="B239" s="562">
        <v>1345000</v>
      </c>
      <c r="C239" s="562">
        <v>12007739</v>
      </c>
      <c r="D239" s="562" t="s">
        <v>2860</v>
      </c>
      <c r="E239" s="562"/>
      <c r="F239" s="41">
        <v>66666</v>
      </c>
      <c r="G239" s="41">
        <v>0</v>
      </c>
      <c r="H239" s="41">
        <v>11171.9</v>
      </c>
      <c r="I239" s="41">
        <v>0</v>
      </c>
      <c r="K239" s="41">
        <v>77837.899999999994</v>
      </c>
    </row>
    <row r="240" spans="1:11">
      <c r="A240" s="562">
        <v>12620</v>
      </c>
      <c r="B240" s="562">
        <v>1345000</v>
      </c>
      <c r="C240" s="562">
        <v>12007739</v>
      </c>
      <c r="D240" s="562" t="s">
        <v>2861</v>
      </c>
      <c r="E240" s="562"/>
      <c r="F240" s="41">
        <v>66666</v>
      </c>
      <c r="G240" s="41">
        <v>0</v>
      </c>
      <c r="H240" s="41">
        <v>10020.6</v>
      </c>
      <c r="I240" s="41">
        <v>0</v>
      </c>
      <c r="K240" s="41">
        <v>76686.600000000006</v>
      </c>
    </row>
    <row r="241" spans="1:11">
      <c r="A241" s="562">
        <v>12620</v>
      </c>
      <c r="B241" s="562">
        <v>1345000</v>
      </c>
      <c r="C241" s="562">
        <v>12007739</v>
      </c>
      <c r="D241" s="562" t="s">
        <v>2862</v>
      </c>
      <c r="E241" s="562"/>
      <c r="F241" s="41">
        <v>66666</v>
      </c>
      <c r="G241" s="41">
        <v>0</v>
      </c>
      <c r="H241" s="41">
        <v>11017.81</v>
      </c>
      <c r="I241" s="41">
        <v>0</v>
      </c>
      <c r="K241" s="41">
        <v>77683.81</v>
      </c>
    </row>
    <row r="242" spans="1:11">
      <c r="A242" s="562">
        <v>12620</v>
      </c>
      <c r="B242" s="562">
        <v>1345000</v>
      </c>
      <c r="C242" s="562">
        <v>12007739</v>
      </c>
      <c r="D242" s="562" t="s">
        <v>2863</v>
      </c>
      <c r="E242" s="562"/>
      <c r="F242" s="41">
        <v>66666</v>
      </c>
      <c r="G242" s="41">
        <v>0</v>
      </c>
      <c r="H242" s="41">
        <v>10587.64</v>
      </c>
      <c r="I242" s="41">
        <v>0</v>
      </c>
      <c r="K242" s="41">
        <v>77253.64</v>
      </c>
    </row>
    <row r="243" spans="1:11">
      <c r="A243" s="562">
        <v>12620</v>
      </c>
      <c r="B243" s="562">
        <v>1345000</v>
      </c>
      <c r="C243" s="562">
        <v>12007739</v>
      </c>
      <c r="D243" s="562" t="s">
        <v>2864</v>
      </c>
      <c r="E243" s="562"/>
      <c r="F243" s="41">
        <v>66666</v>
      </c>
      <c r="G243" s="41">
        <v>0</v>
      </c>
      <c r="H243" s="41">
        <v>10863.71</v>
      </c>
      <c r="I243" s="41">
        <v>0</v>
      </c>
      <c r="K243" s="41">
        <v>77529.710000000006</v>
      </c>
    </row>
    <row r="244" spans="1:11">
      <c r="A244" s="562">
        <v>12620</v>
      </c>
      <c r="B244" s="562">
        <v>1345000</v>
      </c>
      <c r="C244" s="562">
        <v>12007739</v>
      </c>
      <c r="D244" s="562" t="s">
        <v>2865</v>
      </c>
      <c r="E244" s="562"/>
      <c r="F244" s="41">
        <v>66666</v>
      </c>
      <c r="G244" s="41">
        <v>0</v>
      </c>
      <c r="H244" s="41">
        <v>10438.52</v>
      </c>
      <c r="I244" s="41">
        <v>0</v>
      </c>
      <c r="K244" s="41">
        <v>77104.52</v>
      </c>
    </row>
    <row r="245" spans="1:11">
      <c r="A245" s="562">
        <v>12620</v>
      </c>
      <c r="B245" s="562">
        <v>1345000</v>
      </c>
      <c r="C245" s="562">
        <v>12007739</v>
      </c>
      <c r="D245" s="562" t="s">
        <v>2866</v>
      </c>
      <c r="E245" s="562"/>
      <c r="F245" s="41">
        <v>66666</v>
      </c>
      <c r="G245" s="41">
        <v>0</v>
      </c>
      <c r="H245" s="41">
        <v>10709.62</v>
      </c>
      <c r="I245" s="41">
        <v>0</v>
      </c>
      <c r="K245" s="41">
        <v>77375.62</v>
      </c>
    </row>
    <row r="246" spans="1:11">
      <c r="A246" s="562">
        <v>12620</v>
      </c>
      <c r="B246" s="562">
        <v>1345000</v>
      </c>
      <c r="C246" s="562">
        <v>12007739</v>
      </c>
      <c r="D246" s="562" t="s">
        <v>2867</v>
      </c>
      <c r="E246" s="562"/>
      <c r="F246" s="41">
        <v>66666</v>
      </c>
      <c r="G246" s="41">
        <v>0</v>
      </c>
      <c r="H246" s="41">
        <v>10632.57</v>
      </c>
      <c r="I246" s="41">
        <v>0</v>
      </c>
      <c r="K246" s="41">
        <v>77298.570000000007</v>
      </c>
    </row>
    <row r="247" spans="1:11">
      <c r="A247" s="562">
        <v>12620</v>
      </c>
      <c r="B247" s="562">
        <v>1345000</v>
      </c>
      <c r="C247" s="562">
        <v>12007739</v>
      </c>
      <c r="D247" s="562" t="s">
        <v>2868</v>
      </c>
      <c r="E247" s="562"/>
      <c r="F247" s="41">
        <v>66666</v>
      </c>
      <c r="G247" s="41">
        <v>0</v>
      </c>
      <c r="H247" s="41">
        <v>10214.83</v>
      </c>
      <c r="I247" s="41">
        <v>0</v>
      </c>
      <c r="K247" s="41">
        <v>76880.83</v>
      </c>
    </row>
    <row r="248" spans="1:11">
      <c r="A248" s="562">
        <v>12620</v>
      </c>
      <c r="B248" s="562">
        <v>1345000</v>
      </c>
      <c r="C248" s="562">
        <v>12007739</v>
      </c>
      <c r="D248" s="562" t="s">
        <v>2869</v>
      </c>
      <c r="E248" s="562"/>
      <c r="F248" s="41">
        <v>66666</v>
      </c>
      <c r="G248" s="41">
        <v>0</v>
      </c>
      <c r="H248" s="41">
        <v>10478.48</v>
      </c>
      <c r="I248" s="41">
        <v>0</v>
      </c>
      <c r="K248" s="41">
        <v>77144.479999999996</v>
      </c>
    </row>
    <row r="249" spans="1:11">
      <c r="A249" s="562">
        <v>12620</v>
      </c>
      <c r="B249" s="562">
        <v>1345000</v>
      </c>
      <c r="C249" s="562">
        <v>12007739</v>
      </c>
      <c r="D249" s="562" t="s">
        <v>2870</v>
      </c>
      <c r="E249" s="562"/>
      <c r="F249" s="41">
        <v>66666</v>
      </c>
      <c r="G249" s="41">
        <v>0</v>
      </c>
      <c r="H249" s="41">
        <v>10065.709999999999</v>
      </c>
      <c r="I249" s="41">
        <v>0</v>
      </c>
      <c r="K249" s="41">
        <v>76731.710000000006</v>
      </c>
    </row>
    <row r="250" spans="1:11">
      <c r="A250" s="562">
        <v>20420</v>
      </c>
      <c r="B250" s="562">
        <v>620801</v>
      </c>
      <c r="C250" s="562">
        <v>20007640</v>
      </c>
      <c r="D250" s="562" t="s">
        <v>2799</v>
      </c>
      <c r="E250" s="562"/>
      <c r="F250" s="41">
        <v>54473.2</v>
      </c>
      <c r="G250" s="41">
        <v>0</v>
      </c>
      <c r="H250" s="41">
        <v>7826.43</v>
      </c>
      <c r="I250" s="41">
        <v>0</v>
      </c>
      <c r="K250" s="41">
        <v>62299.63</v>
      </c>
    </row>
    <row r="251" spans="1:11">
      <c r="A251" s="562">
        <v>20420</v>
      </c>
      <c r="B251" s="562">
        <v>620801</v>
      </c>
      <c r="C251" s="562">
        <v>20007640</v>
      </c>
      <c r="D251" s="562" t="s">
        <v>2800</v>
      </c>
      <c r="E251" s="562"/>
      <c r="F251" s="41">
        <v>54543.56</v>
      </c>
      <c r="G251" s="41">
        <v>0</v>
      </c>
      <c r="H251" s="41">
        <v>7756.07</v>
      </c>
      <c r="I251" s="41">
        <v>0</v>
      </c>
      <c r="K251" s="41">
        <v>62299.63</v>
      </c>
    </row>
    <row r="252" spans="1:11">
      <c r="A252" s="562">
        <v>20420</v>
      </c>
      <c r="B252" s="562">
        <v>620801</v>
      </c>
      <c r="C252" s="562">
        <v>20007640</v>
      </c>
      <c r="D252" s="562" t="s">
        <v>2801</v>
      </c>
      <c r="E252" s="562"/>
      <c r="F252" s="41">
        <v>54614.01</v>
      </c>
      <c r="G252" s="41">
        <v>0</v>
      </c>
      <c r="H252" s="41">
        <v>7685.62</v>
      </c>
      <c r="I252" s="41">
        <v>0</v>
      </c>
      <c r="K252" s="41">
        <v>62299.63</v>
      </c>
    </row>
    <row r="253" spans="1:11">
      <c r="A253" s="562">
        <v>20420</v>
      </c>
      <c r="B253" s="562">
        <v>620801</v>
      </c>
      <c r="C253" s="562">
        <v>20007640</v>
      </c>
      <c r="D253" s="562" t="s">
        <v>2802</v>
      </c>
      <c r="E253" s="562"/>
      <c r="F253" s="41">
        <v>54684.56</v>
      </c>
      <c r="G253" s="41">
        <v>0</v>
      </c>
      <c r="H253" s="41">
        <v>7615.07</v>
      </c>
      <c r="I253" s="41">
        <v>0</v>
      </c>
      <c r="K253" s="41">
        <v>62299.63</v>
      </c>
    </row>
    <row r="254" spans="1:11">
      <c r="A254" s="562">
        <v>20420</v>
      </c>
      <c r="B254" s="562">
        <v>620801</v>
      </c>
      <c r="C254" s="562">
        <v>20007640</v>
      </c>
      <c r="D254" s="562" t="s">
        <v>2803</v>
      </c>
      <c r="E254" s="562"/>
      <c r="F254" s="41">
        <v>54755.19</v>
      </c>
      <c r="G254" s="41">
        <v>0</v>
      </c>
      <c r="H254" s="41">
        <v>7544.44</v>
      </c>
      <c r="I254" s="41">
        <v>0</v>
      </c>
      <c r="K254" s="41">
        <v>62299.63</v>
      </c>
    </row>
    <row r="255" spans="1:11">
      <c r="A255" s="562">
        <v>20420</v>
      </c>
      <c r="B255" s="562">
        <v>620801</v>
      </c>
      <c r="C255" s="562">
        <v>20007640</v>
      </c>
      <c r="D255" s="562" t="s">
        <v>2804</v>
      </c>
      <c r="E255" s="562"/>
      <c r="F255" s="41">
        <v>54825.91</v>
      </c>
      <c r="G255" s="41">
        <v>0</v>
      </c>
      <c r="H255" s="41">
        <v>7473.72</v>
      </c>
      <c r="I255" s="41">
        <v>0</v>
      </c>
      <c r="K255" s="41">
        <v>62299.63</v>
      </c>
    </row>
    <row r="256" spans="1:11">
      <c r="A256" s="562">
        <v>20420</v>
      </c>
      <c r="B256" s="562">
        <v>620801</v>
      </c>
      <c r="C256" s="562">
        <v>20007640</v>
      </c>
      <c r="D256" s="562" t="s">
        <v>2805</v>
      </c>
      <c r="E256" s="562"/>
      <c r="F256" s="41">
        <v>54896.73</v>
      </c>
      <c r="G256" s="41">
        <v>0</v>
      </c>
      <c r="H256" s="41">
        <v>7402.9</v>
      </c>
      <c r="I256" s="41">
        <v>0</v>
      </c>
      <c r="K256" s="41">
        <v>62299.63</v>
      </c>
    </row>
    <row r="257" spans="1:11">
      <c r="A257" s="562">
        <v>20420</v>
      </c>
      <c r="B257" s="562">
        <v>620801</v>
      </c>
      <c r="C257" s="562">
        <v>20007640</v>
      </c>
      <c r="D257" s="562" t="s">
        <v>2806</v>
      </c>
      <c r="E257" s="562"/>
      <c r="F257" s="41">
        <v>54967.64</v>
      </c>
      <c r="G257" s="41">
        <v>0</v>
      </c>
      <c r="H257" s="41">
        <v>7331.99</v>
      </c>
      <c r="I257" s="41">
        <v>0</v>
      </c>
      <c r="K257" s="41">
        <v>62299.63</v>
      </c>
    </row>
    <row r="258" spans="1:11">
      <c r="A258" s="562">
        <v>20420</v>
      </c>
      <c r="B258" s="562">
        <v>620801</v>
      </c>
      <c r="C258" s="562">
        <v>20007640</v>
      </c>
      <c r="D258" s="562" t="s">
        <v>2807</v>
      </c>
      <c r="E258" s="562"/>
      <c r="F258" s="41">
        <v>55038.64</v>
      </c>
      <c r="G258" s="41">
        <v>0</v>
      </c>
      <c r="H258" s="41">
        <v>7260.99</v>
      </c>
      <c r="I258" s="41">
        <v>0</v>
      </c>
      <c r="K258" s="41">
        <v>62299.63</v>
      </c>
    </row>
    <row r="259" spans="1:11">
      <c r="A259" s="562">
        <v>20420</v>
      </c>
      <c r="B259" s="562">
        <v>620801</v>
      </c>
      <c r="C259" s="562">
        <v>20007640</v>
      </c>
      <c r="D259" s="562" t="s">
        <v>2808</v>
      </c>
      <c r="E259" s="562"/>
      <c r="F259" s="41">
        <v>55109.73</v>
      </c>
      <c r="G259" s="41">
        <v>0</v>
      </c>
      <c r="H259" s="41">
        <v>7189.9</v>
      </c>
      <c r="I259" s="41">
        <v>0</v>
      </c>
      <c r="K259" s="41">
        <v>62299.63</v>
      </c>
    </row>
    <row r="260" spans="1:11">
      <c r="A260" s="562">
        <v>20420</v>
      </c>
      <c r="B260" s="562">
        <v>620801</v>
      </c>
      <c r="C260" s="562">
        <v>20007640</v>
      </c>
      <c r="D260" s="562" t="s">
        <v>2809</v>
      </c>
      <c r="E260" s="562"/>
      <c r="F260" s="41">
        <v>55180.91</v>
      </c>
      <c r="G260" s="41">
        <v>0</v>
      </c>
      <c r="H260" s="41">
        <v>7118.72</v>
      </c>
      <c r="I260" s="41">
        <v>0</v>
      </c>
      <c r="K260" s="41">
        <v>62299.63</v>
      </c>
    </row>
    <row r="261" spans="1:11">
      <c r="A261" s="562">
        <v>20420</v>
      </c>
      <c r="B261" s="562">
        <v>620801</v>
      </c>
      <c r="C261" s="562">
        <v>20007640</v>
      </c>
      <c r="D261" s="562" t="s">
        <v>2810</v>
      </c>
      <c r="E261" s="562"/>
      <c r="F261" s="41">
        <v>55252.19</v>
      </c>
      <c r="G261" s="41">
        <v>0</v>
      </c>
      <c r="H261" s="41">
        <v>7047.44</v>
      </c>
      <c r="I261" s="41">
        <v>0</v>
      </c>
      <c r="K261" s="41">
        <v>62299.63</v>
      </c>
    </row>
    <row r="262" spans="1:11">
      <c r="A262" s="562">
        <v>20420</v>
      </c>
      <c r="B262" s="562">
        <v>135601</v>
      </c>
      <c r="C262" s="562">
        <v>20007641</v>
      </c>
      <c r="D262" s="562" t="s">
        <v>2799</v>
      </c>
      <c r="E262" s="562"/>
      <c r="F262" s="41">
        <v>31480.54</v>
      </c>
      <c r="G262" s="41">
        <v>0</v>
      </c>
      <c r="H262" s="41">
        <v>4990.2700000000004</v>
      </c>
      <c r="I262" s="41">
        <v>0</v>
      </c>
      <c r="K262" s="41">
        <v>36470.81</v>
      </c>
    </row>
    <row r="263" spans="1:11">
      <c r="A263" s="562">
        <v>20420</v>
      </c>
      <c r="B263" s="562">
        <v>135601</v>
      </c>
      <c r="C263" s="562">
        <v>20007641</v>
      </c>
      <c r="D263" s="562" t="s">
        <v>2800</v>
      </c>
      <c r="E263" s="562"/>
      <c r="F263" s="41">
        <v>31512.29</v>
      </c>
      <c r="G263" s="41">
        <v>0</v>
      </c>
      <c r="H263" s="41">
        <v>4958.5200000000004</v>
      </c>
      <c r="I263" s="41">
        <v>0</v>
      </c>
      <c r="K263" s="41">
        <v>36470.81</v>
      </c>
    </row>
    <row r="264" spans="1:11">
      <c r="A264" s="562">
        <v>20420</v>
      </c>
      <c r="B264" s="562">
        <v>135601</v>
      </c>
      <c r="C264" s="562">
        <v>20007641</v>
      </c>
      <c r="D264" s="562" t="s">
        <v>2801</v>
      </c>
      <c r="E264" s="562"/>
      <c r="F264" s="41">
        <v>31544.06</v>
      </c>
      <c r="G264" s="41">
        <v>0</v>
      </c>
      <c r="H264" s="41">
        <v>4926.75</v>
      </c>
      <c r="I264" s="41">
        <v>0</v>
      </c>
      <c r="K264" s="41">
        <v>36470.81</v>
      </c>
    </row>
    <row r="265" spans="1:11">
      <c r="A265" s="562">
        <v>20420</v>
      </c>
      <c r="B265" s="562">
        <v>135601</v>
      </c>
      <c r="C265" s="562">
        <v>20007641</v>
      </c>
      <c r="D265" s="562" t="s">
        <v>2802</v>
      </c>
      <c r="E265" s="562"/>
      <c r="F265" s="41">
        <v>31575.87</v>
      </c>
      <c r="G265" s="41">
        <v>0</v>
      </c>
      <c r="H265" s="41">
        <v>4894.9399999999996</v>
      </c>
      <c r="I265" s="41">
        <v>0</v>
      </c>
      <c r="K265" s="41">
        <v>36470.81</v>
      </c>
    </row>
    <row r="266" spans="1:11">
      <c r="A266" s="562">
        <v>20420</v>
      </c>
      <c r="B266" s="562">
        <v>135601</v>
      </c>
      <c r="C266" s="562">
        <v>20007641</v>
      </c>
      <c r="D266" s="562" t="s">
        <v>2803</v>
      </c>
      <c r="E266" s="562"/>
      <c r="F266" s="41">
        <v>31607.71</v>
      </c>
      <c r="G266" s="41">
        <v>0</v>
      </c>
      <c r="H266" s="41">
        <v>4863.1000000000004</v>
      </c>
      <c r="I266" s="41">
        <v>0</v>
      </c>
      <c r="K266" s="41">
        <v>36470.81</v>
      </c>
    </row>
    <row r="267" spans="1:11">
      <c r="A267" s="562">
        <v>20420</v>
      </c>
      <c r="B267" s="562">
        <v>135601</v>
      </c>
      <c r="C267" s="562">
        <v>20007641</v>
      </c>
      <c r="D267" s="562" t="s">
        <v>2804</v>
      </c>
      <c r="E267" s="562"/>
      <c r="F267" s="41">
        <v>31639.58</v>
      </c>
      <c r="G267" s="41">
        <v>0</v>
      </c>
      <c r="H267" s="41">
        <v>4831.2299999999996</v>
      </c>
      <c r="I267" s="41">
        <v>0</v>
      </c>
      <c r="K267" s="41">
        <v>36470.81</v>
      </c>
    </row>
    <row r="268" spans="1:11">
      <c r="A268" s="562">
        <v>20420</v>
      </c>
      <c r="B268" s="562">
        <v>135601</v>
      </c>
      <c r="C268" s="562">
        <v>20007641</v>
      </c>
      <c r="D268" s="562" t="s">
        <v>2805</v>
      </c>
      <c r="E268" s="562"/>
      <c r="F268" s="41">
        <v>31671.48</v>
      </c>
      <c r="G268" s="41">
        <v>0</v>
      </c>
      <c r="H268" s="41">
        <v>4799.33</v>
      </c>
      <c r="I268" s="41">
        <v>0</v>
      </c>
      <c r="K268" s="41">
        <v>36470.81</v>
      </c>
    </row>
    <row r="269" spans="1:11">
      <c r="A269" s="562">
        <v>20420</v>
      </c>
      <c r="B269" s="562">
        <v>135601</v>
      </c>
      <c r="C269" s="562">
        <v>20007641</v>
      </c>
      <c r="D269" s="562" t="s">
        <v>2806</v>
      </c>
      <c r="E269" s="562"/>
      <c r="F269" s="41">
        <v>31703.42</v>
      </c>
      <c r="G269" s="41">
        <v>0</v>
      </c>
      <c r="H269" s="41">
        <v>4767.3900000000003</v>
      </c>
      <c r="I269" s="41">
        <v>0</v>
      </c>
      <c r="K269" s="41">
        <v>36470.81</v>
      </c>
    </row>
    <row r="270" spans="1:11">
      <c r="A270" s="562">
        <v>20420</v>
      </c>
      <c r="B270" s="562">
        <v>135601</v>
      </c>
      <c r="C270" s="562">
        <v>20007641</v>
      </c>
      <c r="D270" s="562" t="s">
        <v>2807</v>
      </c>
      <c r="E270" s="562"/>
      <c r="F270" s="41">
        <v>31735.39</v>
      </c>
      <c r="G270" s="41">
        <v>0</v>
      </c>
      <c r="H270" s="41">
        <v>4735.42</v>
      </c>
      <c r="I270" s="41">
        <v>0</v>
      </c>
      <c r="K270" s="41">
        <v>36470.81</v>
      </c>
    </row>
    <row r="271" spans="1:11">
      <c r="A271" s="562">
        <v>20420</v>
      </c>
      <c r="B271" s="562">
        <v>135601</v>
      </c>
      <c r="C271" s="562">
        <v>20007641</v>
      </c>
      <c r="D271" s="562" t="s">
        <v>2808</v>
      </c>
      <c r="E271" s="562"/>
      <c r="F271" s="41">
        <v>31767.39</v>
      </c>
      <c r="G271" s="41">
        <v>0</v>
      </c>
      <c r="H271" s="41">
        <v>4703.42</v>
      </c>
      <c r="I271" s="41">
        <v>0</v>
      </c>
      <c r="K271" s="41">
        <v>36470.81</v>
      </c>
    </row>
    <row r="272" spans="1:11">
      <c r="A272" s="562">
        <v>20420</v>
      </c>
      <c r="B272" s="562">
        <v>135601</v>
      </c>
      <c r="C272" s="562">
        <v>20007641</v>
      </c>
      <c r="D272" s="562" t="s">
        <v>2809</v>
      </c>
      <c r="E272" s="562"/>
      <c r="F272" s="41">
        <v>31799.42</v>
      </c>
      <c r="G272" s="41">
        <v>0</v>
      </c>
      <c r="H272" s="41">
        <v>4671.3900000000003</v>
      </c>
      <c r="I272" s="41">
        <v>0</v>
      </c>
      <c r="K272" s="41">
        <v>36470.81</v>
      </c>
    </row>
    <row r="273" spans="1:11">
      <c r="A273" s="562">
        <v>20420</v>
      </c>
      <c r="B273" s="562">
        <v>135601</v>
      </c>
      <c r="C273" s="562">
        <v>20007641</v>
      </c>
      <c r="D273" s="562" t="s">
        <v>2810</v>
      </c>
      <c r="E273" s="562"/>
      <c r="F273" s="41">
        <v>31831.48</v>
      </c>
      <c r="G273" s="41">
        <v>0</v>
      </c>
      <c r="H273" s="41">
        <v>4639.33</v>
      </c>
      <c r="I273" s="41">
        <v>0</v>
      </c>
      <c r="K273" s="41">
        <v>36470.81</v>
      </c>
    </row>
    <row r="274" spans="1:11">
      <c r="A274" s="562">
        <v>68001</v>
      </c>
      <c r="B274" s="562"/>
      <c r="C274" s="562">
        <v>68008829</v>
      </c>
      <c r="D274" s="562" t="s">
        <v>2835</v>
      </c>
      <c r="E274" s="562"/>
      <c r="F274" s="41">
        <v>127747.16</v>
      </c>
      <c r="G274" s="41">
        <v>29664.5</v>
      </c>
      <c r="H274" s="41">
        <v>8464.33</v>
      </c>
      <c r="I274" s="41">
        <v>1965.52</v>
      </c>
      <c r="K274" s="41">
        <v>167841.51</v>
      </c>
    </row>
    <row r="275" spans="1:11">
      <c r="A275" s="562">
        <v>68001</v>
      </c>
      <c r="B275" s="562"/>
      <c r="C275" s="562">
        <v>68008829</v>
      </c>
      <c r="D275" s="562" t="s">
        <v>2838</v>
      </c>
      <c r="E275" s="562"/>
      <c r="F275" s="41">
        <v>129120.44</v>
      </c>
      <c r="G275" s="41">
        <v>29983.4</v>
      </c>
      <c r="H275" s="41">
        <v>7091.05</v>
      </c>
      <c r="I275" s="41">
        <v>1646.63</v>
      </c>
      <c r="K275" s="41">
        <v>167841.52</v>
      </c>
    </row>
    <row r="276" spans="1:11">
      <c r="A276" s="562">
        <v>68001</v>
      </c>
      <c r="B276" s="562"/>
      <c r="C276" s="562">
        <v>68008829</v>
      </c>
      <c r="D276" s="562" t="s">
        <v>2841</v>
      </c>
      <c r="E276" s="562"/>
      <c r="F276" s="41">
        <v>130508.48</v>
      </c>
      <c r="G276" s="41">
        <v>30305.72</v>
      </c>
      <c r="H276" s="41">
        <v>5703.01</v>
      </c>
      <c r="I276" s="41">
        <v>1324.31</v>
      </c>
      <c r="K276" s="41">
        <v>167841.52</v>
      </c>
    </row>
    <row r="277" spans="1:11">
      <c r="A277" s="562">
        <v>68001</v>
      </c>
      <c r="B277" s="562"/>
      <c r="C277" s="562">
        <v>68008829</v>
      </c>
      <c r="D277" s="562" t="s">
        <v>2844</v>
      </c>
      <c r="E277" s="562"/>
      <c r="F277" s="41">
        <v>131911.45000000001</v>
      </c>
      <c r="G277" s="41">
        <v>30631.51</v>
      </c>
      <c r="H277" s="41">
        <v>4300.04</v>
      </c>
      <c r="I277" s="41">
        <v>998.52</v>
      </c>
      <c r="K277" s="41">
        <v>167841.52</v>
      </c>
    </row>
    <row r="278" spans="1:11">
      <c r="A278" s="562">
        <v>68001</v>
      </c>
      <c r="B278" s="562"/>
      <c r="C278" s="562">
        <v>68008830</v>
      </c>
      <c r="D278" s="562" t="s">
        <v>2835</v>
      </c>
      <c r="E278" s="562"/>
      <c r="F278" s="41">
        <v>25000</v>
      </c>
      <c r="G278" s="41">
        <v>0.05</v>
      </c>
      <c r="H278" s="41">
        <v>4145.72</v>
      </c>
      <c r="I278" s="41">
        <v>0.01</v>
      </c>
      <c r="K278" s="41">
        <v>29145.78</v>
      </c>
    </row>
    <row r="279" spans="1:11">
      <c r="A279" s="562">
        <v>68001</v>
      </c>
      <c r="B279" s="562"/>
      <c r="C279" s="562">
        <v>68008830</v>
      </c>
      <c r="D279" s="562" t="s">
        <v>2836</v>
      </c>
      <c r="E279" s="562"/>
      <c r="F279" s="41">
        <v>25000</v>
      </c>
      <c r="G279" s="41">
        <v>0.05</v>
      </c>
      <c r="H279" s="41">
        <v>4087.33</v>
      </c>
      <c r="I279" s="41">
        <v>0.01</v>
      </c>
      <c r="K279" s="41">
        <v>29087.39</v>
      </c>
    </row>
    <row r="280" spans="1:11">
      <c r="A280" s="562">
        <v>68001</v>
      </c>
      <c r="B280" s="562"/>
      <c r="C280" s="562">
        <v>68008830</v>
      </c>
      <c r="D280" s="562" t="s">
        <v>2837</v>
      </c>
      <c r="E280" s="562"/>
      <c r="F280" s="41">
        <v>25000</v>
      </c>
      <c r="G280" s="41">
        <v>0.05</v>
      </c>
      <c r="H280" s="41">
        <v>3639.04</v>
      </c>
      <c r="I280" s="41">
        <v>0.01</v>
      </c>
      <c r="K280" s="41">
        <v>28639.1</v>
      </c>
    </row>
    <row r="281" spans="1:11">
      <c r="A281" s="562">
        <v>68001</v>
      </c>
      <c r="B281" s="562"/>
      <c r="C281" s="562">
        <v>68008830</v>
      </c>
      <c r="D281" s="562" t="s">
        <v>2838</v>
      </c>
      <c r="E281" s="562"/>
      <c r="F281" s="41">
        <v>25000</v>
      </c>
      <c r="G281" s="41">
        <v>0.05</v>
      </c>
      <c r="H281" s="41">
        <v>3970.55</v>
      </c>
      <c r="I281" s="41">
        <v>0.01</v>
      </c>
      <c r="K281" s="41">
        <v>28970.61</v>
      </c>
    </row>
    <row r="282" spans="1:11">
      <c r="A282" s="562">
        <v>68001</v>
      </c>
      <c r="B282" s="562"/>
      <c r="C282" s="562">
        <v>68008830</v>
      </c>
      <c r="D282" s="562" t="s">
        <v>2839</v>
      </c>
      <c r="E282" s="562"/>
      <c r="F282" s="41">
        <v>25000</v>
      </c>
      <c r="G282" s="41">
        <v>0.05</v>
      </c>
      <c r="H282" s="41">
        <v>3785.96</v>
      </c>
      <c r="I282" s="41">
        <v>0.01</v>
      </c>
      <c r="K282" s="41">
        <v>28786.02</v>
      </c>
    </row>
    <row r="283" spans="1:11">
      <c r="A283" s="562">
        <v>68001</v>
      </c>
      <c r="B283" s="562"/>
      <c r="C283" s="562">
        <v>68008830</v>
      </c>
      <c r="D283" s="562" t="s">
        <v>2840</v>
      </c>
      <c r="E283" s="562"/>
      <c r="F283" s="41">
        <v>25000</v>
      </c>
      <c r="G283" s="41">
        <v>0.05</v>
      </c>
      <c r="H283" s="41">
        <v>3853.77</v>
      </c>
      <c r="I283" s="41">
        <v>0.01</v>
      </c>
      <c r="K283" s="41">
        <v>28853.83</v>
      </c>
    </row>
    <row r="284" spans="1:11">
      <c r="A284" s="562">
        <v>68001</v>
      </c>
      <c r="B284" s="562"/>
      <c r="C284" s="562">
        <v>68008830</v>
      </c>
      <c r="D284" s="562" t="s">
        <v>2841</v>
      </c>
      <c r="E284" s="562"/>
      <c r="F284" s="41">
        <v>25000</v>
      </c>
      <c r="G284" s="41">
        <v>0.05</v>
      </c>
      <c r="H284" s="41">
        <v>3672.95</v>
      </c>
      <c r="I284" s="41">
        <v>0.01</v>
      </c>
      <c r="K284" s="41">
        <v>28673.01</v>
      </c>
    </row>
    <row r="285" spans="1:11">
      <c r="A285" s="562">
        <v>68001</v>
      </c>
      <c r="B285" s="562"/>
      <c r="C285" s="562">
        <v>68008830</v>
      </c>
      <c r="D285" s="562" t="s">
        <v>2842</v>
      </c>
      <c r="E285" s="562"/>
      <c r="F285" s="41">
        <v>25000</v>
      </c>
      <c r="G285" s="41">
        <v>0.05</v>
      </c>
      <c r="H285" s="41">
        <v>3736.99</v>
      </c>
      <c r="I285" s="41">
        <v>0.01</v>
      </c>
      <c r="K285" s="41">
        <v>28737.05</v>
      </c>
    </row>
    <row r="286" spans="1:11">
      <c r="A286" s="562">
        <v>68001</v>
      </c>
      <c r="B286" s="562"/>
      <c r="C286" s="562">
        <v>68008830</v>
      </c>
      <c r="D286" s="562" t="s">
        <v>2843</v>
      </c>
      <c r="E286" s="562"/>
      <c r="F286" s="41">
        <v>25000</v>
      </c>
      <c r="G286" s="41">
        <v>0.05</v>
      </c>
      <c r="H286" s="41">
        <v>3678.6</v>
      </c>
      <c r="I286" s="41">
        <v>0.01</v>
      </c>
      <c r="K286" s="41">
        <v>28678.66</v>
      </c>
    </row>
    <row r="287" spans="1:11">
      <c r="A287" s="562">
        <v>68001</v>
      </c>
      <c r="B287" s="562"/>
      <c r="C287" s="562">
        <v>68008830</v>
      </c>
      <c r="D287" s="562" t="s">
        <v>2844</v>
      </c>
      <c r="E287" s="562"/>
      <c r="F287" s="41">
        <v>25000</v>
      </c>
      <c r="G287" s="41">
        <v>0.05</v>
      </c>
      <c r="H287" s="41">
        <v>3503.43</v>
      </c>
      <c r="I287" s="41">
        <v>0.01</v>
      </c>
      <c r="K287" s="41">
        <v>28503.49</v>
      </c>
    </row>
    <row r="288" spans="1:11">
      <c r="A288" s="562">
        <v>68001</v>
      </c>
      <c r="B288" s="562"/>
      <c r="C288" s="562">
        <v>68008830</v>
      </c>
      <c r="D288" s="562" t="s">
        <v>2845</v>
      </c>
      <c r="E288" s="562"/>
      <c r="F288" s="41">
        <v>25000</v>
      </c>
      <c r="G288" s="41">
        <v>0.05</v>
      </c>
      <c r="H288" s="41">
        <v>3561.82</v>
      </c>
      <c r="I288" s="41">
        <v>0.01</v>
      </c>
      <c r="K288" s="41">
        <v>28561.88</v>
      </c>
    </row>
    <row r="289" spans="1:11">
      <c r="A289" s="562">
        <v>68001</v>
      </c>
      <c r="B289" s="562"/>
      <c r="C289" s="562">
        <v>68008830</v>
      </c>
      <c r="D289" s="562" t="s">
        <v>2846</v>
      </c>
      <c r="E289" s="562"/>
      <c r="F289" s="41">
        <v>25000</v>
      </c>
      <c r="G289" s="41">
        <v>0.05</v>
      </c>
      <c r="H289" s="41">
        <v>3390.41</v>
      </c>
      <c r="I289" s="41">
        <v>0.01</v>
      </c>
      <c r="K289" s="41">
        <v>28390.47</v>
      </c>
    </row>
    <row r="290" spans="1:11">
      <c r="A290" s="562">
        <v>68001</v>
      </c>
      <c r="B290" s="562"/>
      <c r="C290" s="562">
        <v>68008844</v>
      </c>
      <c r="D290" s="562" t="s">
        <v>2835</v>
      </c>
      <c r="E290" s="562"/>
      <c r="F290" s="41">
        <v>12500</v>
      </c>
      <c r="G290" s="41">
        <v>0.03</v>
      </c>
      <c r="H290" s="41">
        <v>1990.58</v>
      </c>
      <c r="I290" s="41">
        <v>0</v>
      </c>
      <c r="K290" s="41">
        <v>14490.61</v>
      </c>
    </row>
    <row r="291" spans="1:11">
      <c r="A291" s="562">
        <v>68001</v>
      </c>
      <c r="B291" s="562"/>
      <c r="C291" s="562">
        <v>68008844</v>
      </c>
      <c r="D291" s="562" t="s">
        <v>2836</v>
      </c>
      <c r="E291" s="562"/>
      <c r="F291" s="41">
        <v>12500</v>
      </c>
      <c r="G291" s="41">
        <v>0.03</v>
      </c>
      <c r="H291" s="41">
        <v>1964.04</v>
      </c>
      <c r="I291" s="41">
        <v>0</v>
      </c>
      <c r="K291" s="41">
        <v>14464.07</v>
      </c>
    </row>
    <row r="292" spans="1:11">
      <c r="A292" s="562">
        <v>68001</v>
      </c>
      <c r="B292" s="562"/>
      <c r="C292" s="562">
        <v>68008844</v>
      </c>
      <c r="D292" s="562" t="s">
        <v>2837</v>
      </c>
      <c r="E292" s="562"/>
      <c r="F292" s="41">
        <v>12500</v>
      </c>
      <c r="G292" s="41">
        <v>0.03</v>
      </c>
      <c r="H292" s="41">
        <v>1750</v>
      </c>
      <c r="I292" s="41">
        <v>0</v>
      </c>
      <c r="K292" s="41">
        <v>14250.03</v>
      </c>
    </row>
    <row r="293" spans="1:11">
      <c r="A293" s="562">
        <v>68001</v>
      </c>
      <c r="B293" s="562"/>
      <c r="C293" s="562">
        <v>68008844</v>
      </c>
      <c r="D293" s="562" t="s">
        <v>2838</v>
      </c>
      <c r="E293" s="562"/>
      <c r="F293" s="41">
        <v>12500</v>
      </c>
      <c r="G293" s="41">
        <v>0.03</v>
      </c>
      <c r="H293" s="41">
        <v>1910.96</v>
      </c>
      <c r="I293" s="41">
        <v>0</v>
      </c>
      <c r="K293" s="41">
        <v>14410.99</v>
      </c>
    </row>
    <row r="294" spans="1:11">
      <c r="A294" s="562">
        <v>68001</v>
      </c>
      <c r="B294" s="562"/>
      <c r="C294" s="562">
        <v>68008844</v>
      </c>
      <c r="D294" s="562" t="s">
        <v>2839</v>
      </c>
      <c r="E294" s="562"/>
      <c r="F294" s="41">
        <v>12500</v>
      </c>
      <c r="G294" s="41">
        <v>0.03</v>
      </c>
      <c r="H294" s="41">
        <v>1823.63</v>
      </c>
      <c r="I294" s="41">
        <v>0</v>
      </c>
      <c r="K294" s="41">
        <v>14323.66</v>
      </c>
    </row>
    <row r="295" spans="1:11">
      <c r="A295" s="562">
        <v>68001</v>
      </c>
      <c r="B295" s="562"/>
      <c r="C295" s="562">
        <v>68008844</v>
      </c>
      <c r="D295" s="562" t="s">
        <v>2840</v>
      </c>
      <c r="E295" s="562"/>
      <c r="F295" s="41">
        <v>12500</v>
      </c>
      <c r="G295" s="41">
        <v>0.03</v>
      </c>
      <c r="H295" s="41">
        <v>1857.88</v>
      </c>
      <c r="I295" s="41">
        <v>0</v>
      </c>
      <c r="K295" s="41">
        <v>14357.91</v>
      </c>
    </row>
    <row r="296" spans="1:11">
      <c r="A296" s="562">
        <v>68001</v>
      </c>
      <c r="B296" s="562"/>
      <c r="C296" s="562">
        <v>68008844</v>
      </c>
      <c r="D296" s="562" t="s">
        <v>2841</v>
      </c>
      <c r="E296" s="562"/>
      <c r="F296" s="41">
        <v>12500</v>
      </c>
      <c r="G296" s="41">
        <v>0.03</v>
      </c>
      <c r="H296" s="41">
        <v>1772.26</v>
      </c>
      <c r="I296" s="41">
        <v>0</v>
      </c>
      <c r="K296" s="41">
        <v>14272.29</v>
      </c>
    </row>
    <row r="297" spans="1:11">
      <c r="A297" s="562">
        <v>68001</v>
      </c>
      <c r="B297" s="562"/>
      <c r="C297" s="562">
        <v>68008844</v>
      </c>
      <c r="D297" s="562" t="s">
        <v>2842</v>
      </c>
      <c r="E297" s="562"/>
      <c r="F297" s="41">
        <v>12500</v>
      </c>
      <c r="G297" s="41">
        <v>0.03</v>
      </c>
      <c r="H297" s="41">
        <v>1804.8</v>
      </c>
      <c r="I297" s="41">
        <v>0</v>
      </c>
      <c r="K297" s="41">
        <v>14304.83</v>
      </c>
    </row>
    <row r="298" spans="1:11">
      <c r="A298" s="562">
        <v>68001</v>
      </c>
      <c r="B298" s="562"/>
      <c r="C298" s="562">
        <v>68008844</v>
      </c>
      <c r="D298" s="562" t="s">
        <v>2843</v>
      </c>
      <c r="E298" s="562"/>
      <c r="F298" s="41">
        <v>12500</v>
      </c>
      <c r="G298" s="41">
        <v>0.03</v>
      </c>
      <c r="H298" s="41">
        <v>1778.25</v>
      </c>
      <c r="I298" s="41">
        <v>0</v>
      </c>
      <c r="K298" s="41">
        <v>14278.28</v>
      </c>
    </row>
    <row r="299" spans="1:11">
      <c r="A299" s="562">
        <v>68001</v>
      </c>
      <c r="B299" s="562"/>
      <c r="C299" s="562">
        <v>68008844</v>
      </c>
      <c r="D299" s="562" t="s">
        <v>2844</v>
      </c>
      <c r="E299" s="562"/>
      <c r="F299" s="41">
        <v>12500</v>
      </c>
      <c r="G299" s="41">
        <v>0.03</v>
      </c>
      <c r="H299" s="41">
        <v>1695.21</v>
      </c>
      <c r="I299" s="41">
        <v>0</v>
      </c>
      <c r="K299" s="41">
        <v>14195.24</v>
      </c>
    </row>
    <row r="300" spans="1:11">
      <c r="A300" s="562">
        <v>68001</v>
      </c>
      <c r="B300" s="562"/>
      <c r="C300" s="562">
        <v>68008844</v>
      </c>
      <c r="D300" s="562" t="s">
        <v>2845</v>
      </c>
      <c r="E300" s="562"/>
      <c r="F300" s="41">
        <v>12500</v>
      </c>
      <c r="G300" s="41">
        <v>0.03</v>
      </c>
      <c r="H300" s="41">
        <v>1725.17</v>
      </c>
      <c r="I300" s="41">
        <v>0</v>
      </c>
      <c r="K300" s="41">
        <v>14225.2</v>
      </c>
    </row>
    <row r="301" spans="1:11">
      <c r="A301" s="562">
        <v>68001</v>
      </c>
      <c r="B301" s="562"/>
      <c r="C301" s="562">
        <v>68008844</v>
      </c>
      <c r="D301" s="562" t="s">
        <v>2846</v>
      </c>
      <c r="E301" s="562"/>
      <c r="F301" s="41">
        <v>12500</v>
      </c>
      <c r="G301" s="41">
        <v>0.03</v>
      </c>
      <c r="H301" s="41">
        <v>1643.84</v>
      </c>
      <c r="I301" s="41">
        <v>0</v>
      </c>
      <c r="K301" s="41">
        <v>14143.87</v>
      </c>
    </row>
    <row r="302" spans="1:11">
      <c r="A302" s="562">
        <v>68001</v>
      </c>
      <c r="B302" s="562"/>
      <c r="C302" s="562">
        <v>68008845</v>
      </c>
      <c r="D302" s="562" t="s">
        <v>2835</v>
      </c>
      <c r="E302" s="562"/>
      <c r="F302" s="41">
        <v>17241.38</v>
      </c>
      <c r="G302" s="41">
        <v>0.03</v>
      </c>
      <c r="H302" s="41">
        <v>606.24</v>
      </c>
      <c r="I302" s="41">
        <v>0</v>
      </c>
      <c r="K302" s="41">
        <v>17847.650000000001</v>
      </c>
    </row>
    <row r="303" spans="1:11">
      <c r="A303" s="562">
        <v>68001</v>
      </c>
      <c r="B303" s="562"/>
      <c r="C303" s="562">
        <v>68008845</v>
      </c>
      <c r="D303" s="562" t="s">
        <v>2836</v>
      </c>
      <c r="E303" s="562"/>
      <c r="F303" s="41">
        <v>17241.38</v>
      </c>
      <c r="G303" s="41">
        <v>0.03</v>
      </c>
      <c r="H303" s="41">
        <v>572.55999999999995</v>
      </c>
      <c r="I303" s="41">
        <v>0</v>
      </c>
      <c r="K303" s="41">
        <v>17813.97</v>
      </c>
    </row>
    <row r="304" spans="1:11">
      <c r="A304" s="562">
        <v>68001</v>
      </c>
      <c r="B304" s="562"/>
      <c r="C304" s="562">
        <v>68008845</v>
      </c>
      <c r="D304" s="562" t="s">
        <v>2837</v>
      </c>
      <c r="E304" s="562"/>
      <c r="F304" s="41">
        <v>17241.38</v>
      </c>
      <c r="G304" s="41">
        <v>0.03</v>
      </c>
      <c r="H304" s="41">
        <v>486.73</v>
      </c>
      <c r="I304" s="41">
        <v>0</v>
      </c>
      <c r="K304" s="41">
        <v>17728.14</v>
      </c>
    </row>
    <row r="305" spans="1:11">
      <c r="A305" s="562">
        <v>68001</v>
      </c>
      <c r="B305" s="562"/>
      <c r="C305" s="562">
        <v>68008845</v>
      </c>
      <c r="D305" s="562" t="s">
        <v>2838</v>
      </c>
      <c r="E305" s="562"/>
      <c r="F305" s="41">
        <v>17241.38</v>
      </c>
      <c r="G305" s="41">
        <v>0.03</v>
      </c>
      <c r="H305" s="41">
        <v>505.2</v>
      </c>
      <c r="I305" s="41">
        <v>0</v>
      </c>
      <c r="K305" s="41">
        <v>17746.61</v>
      </c>
    </row>
    <row r="306" spans="1:11">
      <c r="A306" s="562">
        <v>68001</v>
      </c>
      <c r="B306" s="562"/>
      <c r="C306" s="562">
        <v>68008845</v>
      </c>
      <c r="D306" s="562" t="s">
        <v>2839</v>
      </c>
      <c r="E306" s="562"/>
      <c r="F306" s="41">
        <v>17241.38</v>
      </c>
      <c r="G306" s="41">
        <v>0.03</v>
      </c>
      <c r="H306" s="41">
        <v>456.31</v>
      </c>
      <c r="I306" s="41">
        <v>0</v>
      </c>
      <c r="K306" s="41">
        <v>17697.72</v>
      </c>
    </row>
    <row r="307" spans="1:11">
      <c r="A307" s="562">
        <v>68001</v>
      </c>
      <c r="B307" s="562"/>
      <c r="C307" s="562">
        <v>68008845</v>
      </c>
      <c r="D307" s="562" t="s">
        <v>2840</v>
      </c>
      <c r="E307" s="562"/>
      <c r="F307" s="41">
        <v>17241.38</v>
      </c>
      <c r="G307" s="41">
        <v>0.03</v>
      </c>
      <c r="H307" s="41">
        <v>437.84</v>
      </c>
      <c r="I307" s="41">
        <v>0</v>
      </c>
      <c r="K307" s="41">
        <v>17679.25</v>
      </c>
    </row>
    <row r="308" spans="1:11">
      <c r="A308" s="562">
        <v>68001</v>
      </c>
      <c r="B308" s="562"/>
      <c r="C308" s="562">
        <v>68008845</v>
      </c>
      <c r="D308" s="562" t="s">
        <v>2841</v>
      </c>
      <c r="E308" s="562"/>
      <c r="F308" s="41">
        <v>17241.38</v>
      </c>
      <c r="G308" s="41">
        <v>0.03</v>
      </c>
      <c r="H308" s="41">
        <v>391.12</v>
      </c>
      <c r="I308" s="41">
        <v>0</v>
      </c>
      <c r="K308" s="41">
        <v>17632.53</v>
      </c>
    </row>
    <row r="309" spans="1:11">
      <c r="A309" s="562">
        <v>68001</v>
      </c>
      <c r="B309" s="562"/>
      <c r="C309" s="562">
        <v>68008845</v>
      </c>
      <c r="D309" s="562" t="s">
        <v>2842</v>
      </c>
      <c r="E309" s="562"/>
      <c r="F309" s="41">
        <v>17241.38</v>
      </c>
      <c r="G309" s="41">
        <v>0.03</v>
      </c>
      <c r="H309" s="41">
        <v>370.48</v>
      </c>
      <c r="I309" s="41">
        <v>0</v>
      </c>
      <c r="K309" s="41">
        <v>17611.89</v>
      </c>
    </row>
    <row r="310" spans="1:11">
      <c r="A310" s="562">
        <v>68001</v>
      </c>
      <c r="B310" s="562"/>
      <c r="C310" s="562">
        <v>68008845</v>
      </c>
      <c r="D310" s="562" t="s">
        <v>2843</v>
      </c>
      <c r="E310" s="562"/>
      <c r="F310" s="41">
        <v>17241.38</v>
      </c>
      <c r="G310" s="41">
        <v>0.03</v>
      </c>
      <c r="H310" s="41">
        <v>336.8</v>
      </c>
      <c r="I310" s="41">
        <v>0</v>
      </c>
      <c r="K310" s="41">
        <v>17578.21</v>
      </c>
    </row>
    <row r="311" spans="1:11">
      <c r="A311" s="562">
        <v>68001</v>
      </c>
      <c r="B311" s="562"/>
      <c r="C311" s="562">
        <v>68008845</v>
      </c>
      <c r="D311" s="562" t="s">
        <v>2844</v>
      </c>
      <c r="E311" s="562"/>
      <c r="F311" s="41">
        <v>17241.38</v>
      </c>
      <c r="G311" s="41">
        <v>0.03</v>
      </c>
      <c r="H311" s="41">
        <v>293.33999999999997</v>
      </c>
      <c r="I311" s="41">
        <v>0</v>
      </c>
      <c r="K311" s="41">
        <v>17534.75</v>
      </c>
    </row>
    <row r="312" spans="1:11">
      <c r="A312" s="562">
        <v>68001</v>
      </c>
      <c r="B312" s="562"/>
      <c r="C312" s="562">
        <v>68008845</v>
      </c>
      <c r="D312" s="562" t="s">
        <v>2845</v>
      </c>
      <c r="E312" s="562"/>
      <c r="F312" s="41">
        <v>17241.38</v>
      </c>
      <c r="G312" s="41">
        <v>0.03</v>
      </c>
      <c r="H312" s="41">
        <v>269.44</v>
      </c>
      <c r="I312" s="41">
        <v>0</v>
      </c>
      <c r="K312" s="41">
        <v>17510.849999999999</v>
      </c>
    </row>
    <row r="313" spans="1:11">
      <c r="A313" s="562">
        <v>68001</v>
      </c>
      <c r="B313" s="562"/>
      <c r="C313" s="562">
        <v>68008845</v>
      </c>
      <c r="D313" s="562" t="s">
        <v>2846</v>
      </c>
      <c r="E313" s="562"/>
      <c r="F313" s="41">
        <v>17241.38</v>
      </c>
      <c r="G313" s="41">
        <v>0.03</v>
      </c>
      <c r="H313" s="41">
        <v>228.15</v>
      </c>
      <c r="I313" s="41">
        <v>0</v>
      </c>
      <c r="K313" s="41">
        <v>17469.560000000001</v>
      </c>
    </row>
    <row r="314" spans="1:11">
      <c r="A314" s="562">
        <v>68001</v>
      </c>
      <c r="B314" s="562">
        <v>66968</v>
      </c>
      <c r="C314" s="562">
        <v>68008846</v>
      </c>
      <c r="D314" s="562" t="s">
        <v>2835</v>
      </c>
      <c r="E314" s="562"/>
      <c r="F314" s="41">
        <v>16666.669999999998</v>
      </c>
      <c r="G314" s="41">
        <v>0.03</v>
      </c>
      <c r="H314" s="41">
        <v>728.29</v>
      </c>
      <c r="I314" s="41">
        <v>0</v>
      </c>
      <c r="K314" s="41">
        <v>17394.990000000002</v>
      </c>
    </row>
    <row r="315" spans="1:11">
      <c r="A315" s="562">
        <v>68001</v>
      </c>
      <c r="B315" s="562">
        <v>66968</v>
      </c>
      <c r="C315" s="562">
        <v>68008846</v>
      </c>
      <c r="D315" s="562" t="s">
        <v>2836</v>
      </c>
      <c r="E315" s="562"/>
      <c r="F315" s="41">
        <v>16666.669999999998</v>
      </c>
      <c r="G315" s="41">
        <v>0.03</v>
      </c>
      <c r="H315" s="41">
        <v>693.61</v>
      </c>
      <c r="I315" s="41">
        <v>0</v>
      </c>
      <c r="K315" s="41">
        <v>17360.310000000001</v>
      </c>
    </row>
    <row r="316" spans="1:11">
      <c r="A316" s="562">
        <v>68001</v>
      </c>
      <c r="B316" s="562">
        <v>66968</v>
      </c>
      <c r="C316" s="562">
        <v>68008846</v>
      </c>
      <c r="D316" s="562" t="s">
        <v>2837</v>
      </c>
      <c r="E316" s="562"/>
      <c r="F316" s="41">
        <v>16666.669999999998</v>
      </c>
      <c r="G316" s="41">
        <v>0.03</v>
      </c>
      <c r="H316" s="41">
        <v>595.16</v>
      </c>
      <c r="I316" s="41">
        <v>0</v>
      </c>
      <c r="K316" s="41">
        <v>17261.86</v>
      </c>
    </row>
    <row r="317" spans="1:11">
      <c r="A317" s="562">
        <v>68001</v>
      </c>
      <c r="B317" s="562">
        <v>66968</v>
      </c>
      <c r="C317" s="562">
        <v>68008846</v>
      </c>
      <c r="D317" s="562" t="s">
        <v>2838</v>
      </c>
      <c r="E317" s="562"/>
      <c r="F317" s="41">
        <v>16666.669999999998</v>
      </c>
      <c r="G317" s="41">
        <v>0.03</v>
      </c>
      <c r="H317" s="41">
        <v>624.25</v>
      </c>
      <c r="I317" s="41">
        <v>0</v>
      </c>
      <c r="K317" s="41">
        <v>17290.95</v>
      </c>
    </row>
    <row r="318" spans="1:11">
      <c r="A318" s="562">
        <v>68001</v>
      </c>
      <c r="B318" s="562">
        <v>66968</v>
      </c>
      <c r="C318" s="562">
        <v>68008846</v>
      </c>
      <c r="D318" s="562" t="s">
        <v>2839</v>
      </c>
      <c r="E318" s="562"/>
      <c r="F318" s="41">
        <v>16666.669999999998</v>
      </c>
      <c r="G318" s="41">
        <v>0.03</v>
      </c>
      <c r="H318" s="41">
        <v>570.54999999999995</v>
      </c>
      <c r="I318" s="41">
        <v>0</v>
      </c>
      <c r="K318" s="41">
        <v>17237.25</v>
      </c>
    </row>
    <row r="319" spans="1:11">
      <c r="A319" s="562">
        <v>68001</v>
      </c>
      <c r="B319" s="562">
        <v>66968</v>
      </c>
      <c r="C319" s="562">
        <v>68008846</v>
      </c>
      <c r="D319" s="562" t="s">
        <v>2840</v>
      </c>
      <c r="E319" s="562"/>
      <c r="F319" s="41">
        <v>16666.669999999998</v>
      </c>
      <c r="G319" s="41">
        <v>0.03</v>
      </c>
      <c r="H319" s="41">
        <v>554.89</v>
      </c>
      <c r="I319" s="41">
        <v>0</v>
      </c>
      <c r="K319" s="41">
        <v>17221.59</v>
      </c>
    </row>
    <row r="320" spans="1:11">
      <c r="A320" s="562">
        <v>68001</v>
      </c>
      <c r="B320" s="562">
        <v>66968</v>
      </c>
      <c r="C320" s="562">
        <v>68008846</v>
      </c>
      <c r="D320" s="562" t="s">
        <v>2841</v>
      </c>
      <c r="E320" s="562"/>
      <c r="F320" s="41">
        <v>16666.669999999998</v>
      </c>
      <c r="G320" s="41">
        <v>0.03</v>
      </c>
      <c r="H320" s="41">
        <v>503.42</v>
      </c>
      <c r="I320" s="41">
        <v>0</v>
      </c>
      <c r="K320" s="41">
        <v>17170.12</v>
      </c>
    </row>
    <row r="321" spans="1:11">
      <c r="A321" s="562">
        <v>68001</v>
      </c>
      <c r="B321" s="562">
        <v>66968</v>
      </c>
      <c r="C321" s="562">
        <v>68008846</v>
      </c>
      <c r="D321" s="562" t="s">
        <v>2842</v>
      </c>
      <c r="E321" s="562"/>
      <c r="F321" s="41">
        <v>16666.669999999998</v>
      </c>
      <c r="G321" s="41">
        <v>0.03</v>
      </c>
      <c r="H321" s="41">
        <v>485.52</v>
      </c>
      <c r="I321" s="41">
        <v>0</v>
      </c>
      <c r="K321" s="41">
        <v>17152.22</v>
      </c>
    </row>
    <row r="322" spans="1:11">
      <c r="A322" s="562">
        <v>68001</v>
      </c>
      <c r="B322" s="562">
        <v>66968</v>
      </c>
      <c r="C322" s="562">
        <v>68008846</v>
      </c>
      <c r="D322" s="562" t="s">
        <v>2843</v>
      </c>
      <c r="E322" s="562"/>
      <c r="F322" s="41">
        <v>16666.669999999998</v>
      </c>
      <c r="G322" s="41">
        <v>0.03</v>
      </c>
      <c r="H322" s="41">
        <v>450.84</v>
      </c>
      <c r="I322" s="41">
        <v>0</v>
      </c>
      <c r="K322" s="41">
        <v>17117.54</v>
      </c>
    </row>
    <row r="323" spans="1:11">
      <c r="A323" s="562">
        <v>68001</v>
      </c>
      <c r="B323" s="562">
        <v>66968</v>
      </c>
      <c r="C323" s="562">
        <v>68008846</v>
      </c>
      <c r="D323" s="562" t="s">
        <v>2844</v>
      </c>
      <c r="E323" s="562"/>
      <c r="F323" s="41">
        <v>16666.669999999998</v>
      </c>
      <c r="G323" s="41">
        <v>0.03</v>
      </c>
      <c r="H323" s="41">
        <v>402.74</v>
      </c>
      <c r="I323" s="41">
        <v>0</v>
      </c>
      <c r="K323" s="41">
        <v>17069.439999999999</v>
      </c>
    </row>
    <row r="324" spans="1:11">
      <c r="A324" s="562">
        <v>68001</v>
      </c>
      <c r="B324" s="562">
        <v>66968</v>
      </c>
      <c r="C324" s="562">
        <v>68008846</v>
      </c>
      <c r="D324" s="562" t="s">
        <v>2845</v>
      </c>
      <c r="E324" s="562"/>
      <c r="F324" s="41">
        <v>16666.669999999998</v>
      </c>
      <c r="G324" s="41">
        <v>0.03</v>
      </c>
      <c r="H324" s="41">
        <v>381.48</v>
      </c>
      <c r="I324" s="41">
        <v>0</v>
      </c>
      <c r="K324" s="41">
        <v>17048.18</v>
      </c>
    </row>
    <row r="325" spans="1:11">
      <c r="A325" s="562">
        <v>68001</v>
      </c>
      <c r="B325" s="562">
        <v>66968</v>
      </c>
      <c r="C325" s="562">
        <v>68008846</v>
      </c>
      <c r="D325" s="562" t="s">
        <v>2846</v>
      </c>
      <c r="E325" s="562"/>
      <c r="F325" s="41">
        <v>16666.669999999998</v>
      </c>
      <c r="G325" s="41">
        <v>0.03</v>
      </c>
      <c r="H325" s="41">
        <v>335.62</v>
      </c>
      <c r="I325" s="41">
        <v>0</v>
      </c>
      <c r="K325" s="41">
        <v>17002.32</v>
      </c>
    </row>
    <row r="326" spans="1:11">
      <c r="A326" s="562">
        <v>68001</v>
      </c>
      <c r="B326" s="562"/>
      <c r="C326" s="562">
        <v>68008847</v>
      </c>
      <c r="D326" s="562" t="s">
        <v>2835</v>
      </c>
      <c r="E326" s="562"/>
      <c r="F326" s="41">
        <v>16666.669999999998</v>
      </c>
      <c r="G326" s="41">
        <v>0.03</v>
      </c>
      <c r="H326" s="41">
        <v>762.97</v>
      </c>
      <c r="I326" s="41">
        <v>0</v>
      </c>
      <c r="K326" s="41">
        <v>17429.669999999998</v>
      </c>
    </row>
    <row r="327" spans="1:11">
      <c r="A327" s="562">
        <v>68001</v>
      </c>
      <c r="B327" s="562"/>
      <c r="C327" s="562">
        <v>68008847</v>
      </c>
      <c r="D327" s="562" t="s">
        <v>2836</v>
      </c>
      <c r="E327" s="562"/>
      <c r="F327" s="41">
        <v>16666.669999999998</v>
      </c>
      <c r="G327" s="41">
        <v>0.03</v>
      </c>
      <c r="H327" s="41">
        <v>728.29</v>
      </c>
      <c r="I327" s="41">
        <v>0</v>
      </c>
      <c r="K327" s="41">
        <v>17394.990000000002</v>
      </c>
    </row>
    <row r="328" spans="1:11">
      <c r="A328" s="562">
        <v>68001</v>
      </c>
      <c r="B328" s="562"/>
      <c r="C328" s="562">
        <v>68008847</v>
      </c>
      <c r="D328" s="562" t="s">
        <v>2837</v>
      </c>
      <c r="E328" s="562"/>
      <c r="F328" s="41">
        <v>16666.669999999998</v>
      </c>
      <c r="G328" s="41">
        <v>0.03</v>
      </c>
      <c r="H328" s="41">
        <v>626.48</v>
      </c>
      <c r="I328" s="41">
        <v>0</v>
      </c>
      <c r="K328" s="41">
        <v>17293.18</v>
      </c>
    </row>
    <row r="329" spans="1:11">
      <c r="A329" s="562">
        <v>68001</v>
      </c>
      <c r="B329" s="562"/>
      <c r="C329" s="562">
        <v>68008847</v>
      </c>
      <c r="D329" s="562" t="s">
        <v>2838</v>
      </c>
      <c r="E329" s="562"/>
      <c r="F329" s="41">
        <v>16666.669999999998</v>
      </c>
      <c r="G329" s="41">
        <v>0.03</v>
      </c>
      <c r="H329" s="41">
        <v>658.93</v>
      </c>
      <c r="I329" s="41">
        <v>0</v>
      </c>
      <c r="K329" s="41">
        <v>17325.63</v>
      </c>
    </row>
    <row r="330" spans="1:11">
      <c r="A330" s="562">
        <v>68001</v>
      </c>
      <c r="B330" s="562"/>
      <c r="C330" s="562">
        <v>68008847</v>
      </c>
      <c r="D330" s="562" t="s">
        <v>2839</v>
      </c>
      <c r="E330" s="562"/>
      <c r="F330" s="41">
        <v>16666.669999999998</v>
      </c>
      <c r="G330" s="41">
        <v>0.03</v>
      </c>
      <c r="H330" s="41">
        <v>604.11</v>
      </c>
      <c r="I330" s="41">
        <v>0</v>
      </c>
      <c r="K330" s="41">
        <v>17270.810000000001</v>
      </c>
    </row>
    <row r="331" spans="1:11">
      <c r="A331" s="562">
        <v>68001</v>
      </c>
      <c r="B331" s="562"/>
      <c r="C331" s="562">
        <v>68008847</v>
      </c>
      <c r="D331" s="562" t="s">
        <v>2840</v>
      </c>
      <c r="E331" s="562"/>
      <c r="F331" s="41">
        <v>16666.669999999998</v>
      </c>
      <c r="G331" s="41">
        <v>0.03</v>
      </c>
      <c r="H331" s="41">
        <v>589.57000000000005</v>
      </c>
      <c r="I331" s="41">
        <v>0</v>
      </c>
      <c r="K331" s="41">
        <v>17256.27</v>
      </c>
    </row>
    <row r="332" spans="1:11">
      <c r="A332" s="562">
        <v>68001</v>
      </c>
      <c r="B332" s="562"/>
      <c r="C332" s="562">
        <v>68008847</v>
      </c>
      <c r="D332" s="562" t="s">
        <v>2841</v>
      </c>
      <c r="E332" s="562"/>
      <c r="F332" s="41">
        <v>16666.669999999998</v>
      </c>
      <c r="G332" s="41">
        <v>0.03</v>
      </c>
      <c r="H332" s="41">
        <v>536.99</v>
      </c>
      <c r="I332" s="41">
        <v>0</v>
      </c>
      <c r="K332" s="41">
        <v>17203.689999999999</v>
      </c>
    </row>
    <row r="333" spans="1:11">
      <c r="A333" s="562">
        <v>68001</v>
      </c>
      <c r="B333" s="562"/>
      <c r="C333" s="562">
        <v>68008847</v>
      </c>
      <c r="D333" s="562" t="s">
        <v>2842</v>
      </c>
      <c r="E333" s="562"/>
      <c r="F333" s="41">
        <v>16666.669999999998</v>
      </c>
      <c r="G333" s="41">
        <v>0.03</v>
      </c>
      <c r="H333" s="41">
        <v>520.20000000000005</v>
      </c>
      <c r="I333" s="41">
        <v>0</v>
      </c>
      <c r="K333" s="41">
        <v>17186.900000000001</v>
      </c>
    </row>
    <row r="334" spans="1:11">
      <c r="A334" s="562">
        <v>68001</v>
      </c>
      <c r="B334" s="562"/>
      <c r="C334" s="562">
        <v>68008847</v>
      </c>
      <c r="D334" s="562" t="s">
        <v>2843</v>
      </c>
      <c r="E334" s="562"/>
      <c r="F334" s="41">
        <v>16666.669999999998</v>
      </c>
      <c r="G334" s="41">
        <v>0.03</v>
      </c>
      <c r="H334" s="41">
        <v>485.52</v>
      </c>
      <c r="I334" s="41">
        <v>0</v>
      </c>
      <c r="K334" s="41">
        <v>17152.22</v>
      </c>
    </row>
    <row r="335" spans="1:11">
      <c r="A335" s="562">
        <v>68001</v>
      </c>
      <c r="B335" s="562"/>
      <c r="C335" s="562">
        <v>68008847</v>
      </c>
      <c r="D335" s="562" t="s">
        <v>2844</v>
      </c>
      <c r="E335" s="562"/>
      <c r="F335" s="41">
        <v>16666.669999999998</v>
      </c>
      <c r="G335" s="41">
        <v>0.03</v>
      </c>
      <c r="H335" s="41">
        <v>436.3</v>
      </c>
      <c r="I335" s="41">
        <v>0</v>
      </c>
      <c r="K335" s="41">
        <v>17103</v>
      </c>
    </row>
    <row r="336" spans="1:11">
      <c r="A336" s="562">
        <v>68001</v>
      </c>
      <c r="B336" s="562"/>
      <c r="C336" s="562">
        <v>68008847</v>
      </c>
      <c r="D336" s="562" t="s">
        <v>2845</v>
      </c>
      <c r="E336" s="562"/>
      <c r="F336" s="41">
        <v>16666.669999999998</v>
      </c>
      <c r="G336" s="41">
        <v>0.03</v>
      </c>
      <c r="H336" s="41">
        <v>416.16</v>
      </c>
      <c r="I336" s="41">
        <v>0</v>
      </c>
      <c r="K336" s="41">
        <v>17082.86</v>
      </c>
    </row>
    <row r="337" spans="1:11">
      <c r="A337" s="562">
        <v>68001</v>
      </c>
      <c r="B337" s="562"/>
      <c r="C337" s="562">
        <v>68008847</v>
      </c>
      <c r="D337" s="562" t="s">
        <v>2846</v>
      </c>
      <c r="E337" s="562"/>
      <c r="F337" s="41">
        <v>16666.669999999998</v>
      </c>
      <c r="G337" s="41">
        <v>0.03</v>
      </c>
      <c r="H337" s="41">
        <v>369.18</v>
      </c>
      <c r="I337" s="41">
        <v>0</v>
      </c>
      <c r="K337" s="41">
        <v>17035.88</v>
      </c>
    </row>
    <row r="338" spans="1:11">
      <c r="A338" s="562">
        <v>68001</v>
      </c>
      <c r="B338" s="562"/>
      <c r="C338" s="562">
        <v>68008850</v>
      </c>
      <c r="D338" s="562" t="s">
        <v>2835</v>
      </c>
      <c r="E338" s="562"/>
      <c r="F338" s="41">
        <v>20000</v>
      </c>
      <c r="G338" s="41">
        <v>0.03</v>
      </c>
      <c r="H338" s="41">
        <v>1080.33</v>
      </c>
      <c r="I338" s="41">
        <v>0</v>
      </c>
      <c r="K338" s="41">
        <v>21080.36</v>
      </c>
    </row>
    <row r="339" spans="1:11">
      <c r="A339" s="562">
        <v>68001</v>
      </c>
      <c r="B339" s="562"/>
      <c r="C339" s="562">
        <v>68008850</v>
      </c>
      <c r="D339" s="562" t="s">
        <v>2836</v>
      </c>
      <c r="E339" s="562"/>
      <c r="F339" s="41">
        <v>20000</v>
      </c>
      <c r="G339" s="41">
        <v>0.03</v>
      </c>
      <c r="H339" s="41">
        <v>1035.32</v>
      </c>
      <c r="I339" s="41">
        <v>0</v>
      </c>
      <c r="K339" s="41">
        <v>21035.35</v>
      </c>
    </row>
    <row r="340" spans="1:11">
      <c r="A340" s="562">
        <v>68001</v>
      </c>
      <c r="B340" s="562"/>
      <c r="C340" s="562">
        <v>68008850</v>
      </c>
      <c r="D340" s="562" t="s">
        <v>2837</v>
      </c>
      <c r="E340" s="562"/>
      <c r="F340" s="41">
        <v>20000</v>
      </c>
      <c r="G340" s="41">
        <v>0.03</v>
      </c>
      <c r="H340" s="41">
        <v>894.47</v>
      </c>
      <c r="I340" s="41">
        <v>0</v>
      </c>
      <c r="K340" s="41">
        <v>20894.5</v>
      </c>
    </row>
    <row r="341" spans="1:11">
      <c r="A341" s="562">
        <v>68001</v>
      </c>
      <c r="B341" s="562"/>
      <c r="C341" s="562">
        <v>68008850</v>
      </c>
      <c r="D341" s="562" t="s">
        <v>2838</v>
      </c>
      <c r="E341" s="562"/>
      <c r="F341" s="41">
        <v>20000</v>
      </c>
      <c r="G341" s="41">
        <v>0.03</v>
      </c>
      <c r="H341" s="41">
        <v>945.29</v>
      </c>
      <c r="I341" s="41">
        <v>0</v>
      </c>
      <c r="K341" s="41">
        <v>20945.32</v>
      </c>
    </row>
    <row r="342" spans="1:11">
      <c r="A342" s="562">
        <v>68001</v>
      </c>
      <c r="B342" s="562"/>
      <c r="C342" s="562">
        <v>68008850</v>
      </c>
      <c r="D342" s="562" t="s">
        <v>2839</v>
      </c>
      <c r="E342" s="562"/>
      <c r="F342" s="41">
        <v>20000</v>
      </c>
      <c r="G342" s="41">
        <v>0.03</v>
      </c>
      <c r="H342" s="41">
        <v>871.23</v>
      </c>
      <c r="I342" s="41">
        <v>0</v>
      </c>
      <c r="K342" s="41">
        <v>20871.259999999998</v>
      </c>
    </row>
    <row r="343" spans="1:11">
      <c r="A343" s="562">
        <v>68001</v>
      </c>
      <c r="B343" s="562"/>
      <c r="C343" s="562">
        <v>68008850</v>
      </c>
      <c r="D343" s="562" t="s">
        <v>2840</v>
      </c>
      <c r="E343" s="562"/>
      <c r="F343" s="41">
        <v>20000</v>
      </c>
      <c r="G343" s="41">
        <v>0.03</v>
      </c>
      <c r="H343" s="41">
        <v>855.26</v>
      </c>
      <c r="I343" s="41">
        <v>0</v>
      </c>
      <c r="K343" s="41">
        <v>20855.29</v>
      </c>
    </row>
    <row r="344" spans="1:11">
      <c r="A344" s="562">
        <v>68001</v>
      </c>
      <c r="B344" s="562"/>
      <c r="C344" s="562">
        <v>68008850</v>
      </c>
      <c r="D344" s="562" t="s">
        <v>2841</v>
      </c>
      <c r="E344" s="562"/>
      <c r="F344" s="41">
        <v>20000</v>
      </c>
      <c r="G344" s="41">
        <v>0.03</v>
      </c>
      <c r="H344" s="41">
        <v>784.11</v>
      </c>
      <c r="I344" s="41">
        <v>0</v>
      </c>
      <c r="K344" s="41">
        <v>20784.14</v>
      </c>
    </row>
    <row r="345" spans="1:11">
      <c r="A345" s="562">
        <v>68001</v>
      </c>
      <c r="B345" s="562"/>
      <c r="C345" s="562">
        <v>68008850</v>
      </c>
      <c r="D345" s="562" t="s">
        <v>2842</v>
      </c>
      <c r="E345" s="562"/>
      <c r="F345" s="41">
        <v>20000</v>
      </c>
      <c r="G345" s="41">
        <v>0.03</v>
      </c>
      <c r="H345" s="41">
        <v>765.23</v>
      </c>
      <c r="I345" s="41">
        <v>0</v>
      </c>
      <c r="K345" s="41">
        <v>20765.259999999998</v>
      </c>
    </row>
    <row r="346" spans="1:11">
      <c r="A346" s="562">
        <v>68001</v>
      </c>
      <c r="B346" s="562"/>
      <c r="C346" s="562">
        <v>68008850</v>
      </c>
      <c r="D346" s="562" t="s">
        <v>2843</v>
      </c>
      <c r="E346" s="562"/>
      <c r="F346" s="41">
        <v>20000</v>
      </c>
      <c r="G346" s="41">
        <v>0.03</v>
      </c>
      <c r="H346" s="41">
        <v>720.22</v>
      </c>
      <c r="I346" s="41">
        <v>0</v>
      </c>
      <c r="K346" s="41">
        <v>20720.25</v>
      </c>
    </row>
    <row r="347" spans="1:11">
      <c r="A347" s="562">
        <v>68001</v>
      </c>
      <c r="B347" s="562"/>
      <c r="C347" s="562">
        <v>68008850</v>
      </c>
      <c r="D347" s="562" t="s">
        <v>2844</v>
      </c>
      <c r="E347" s="562"/>
      <c r="F347" s="41">
        <v>20000</v>
      </c>
      <c r="G347" s="41">
        <v>0.03</v>
      </c>
      <c r="H347" s="41">
        <v>653.42999999999995</v>
      </c>
      <c r="I347" s="41">
        <v>0</v>
      </c>
      <c r="K347" s="41">
        <v>20653.46</v>
      </c>
    </row>
    <row r="348" spans="1:11">
      <c r="A348" s="562">
        <v>68001</v>
      </c>
      <c r="B348" s="562"/>
      <c r="C348" s="562">
        <v>68008850</v>
      </c>
      <c r="D348" s="562" t="s">
        <v>2845</v>
      </c>
      <c r="E348" s="562"/>
      <c r="F348" s="41">
        <v>20000</v>
      </c>
      <c r="G348" s="41">
        <v>0.03</v>
      </c>
      <c r="H348" s="41">
        <v>630.19000000000005</v>
      </c>
      <c r="I348" s="41">
        <v>0</v>
      </c>
      <c r="K348" s="41">
        <v>20630.22</v>
      </c>
    </row>
    <row r="349" spans="1:11">
      <c r="A349" s="562">
        <v>68001</v>
      </c>
      <c r="B349" s="562"/>
      <c r="C349" s="562">
        <v>68008850</v>
      </c>
      <c r="D349" s="562" t="s">
        <v>2846</v>
      </c>
      <c r="E349" s="562"/>
      <c r="F349" s="41">
        <v>20000</v>
      </c>
      <c r="G349" s="41">
        <v>0.03</v>
      </c>
      <c r="H349" s="41">
        <v>566.29999999999995</v>
      </c>
      <c r="I349" s="41">
        <v>0</v>
      </c>
      <c r="K349" s="41">
        <v>20566.330000000002</v>
      </c>
    </row>
    <row r="350" spans="1:11">
      <c r="A350" s="562">
        <v>68001</v>
      </c>
      <c r="B350" s="562"/>
      <c r="C350" s="562">
        <v>68008851</v>
      </c>
      <c r="D350" s="562" t="s">
        <v>2835</v>
      </c>
      <c r="E350" s="562"/>
      <c r="F350" s="41">
        <v>33333.33</v>
      </c>
      <c r="G350" s="41">
        <v>0.05</v>
      </c>
      <c r="H350" s="41">
        <v>1800.55</v>
      </c>
      <c r="I350" s="41">
        <v>0</v>
      </c>
      <c r="K350" s="41">
        <v>35133.93</v>
      </c>
    </row>
    <row r="351" spans="1:11">
      <c r="A351" s="562">
        <v>68001</v>
      </c>
      <c r="B351" s="562"/>
      <c r="C351" s="562">
        <v>68008851</v>
      </c>
      <c r="D351" s="562" t="s">
        <v>2836</v>
      </c>
      <c r="E351" s="562"/>
      <c r="F351" s="41">
        <v>33333.33</v>
      </c>
      <c r="G351" s="41">
        <v>0.05</v>
      </c>
      <c r="H351" s="41">
        <v>1725.53</v>
      </c>
      <c r="I351" s="41">
        <v>0</v>
      </c>
      <c r="K351" s="41">
        <v>35058.910000000003</v>
      </c>
    </row>
    <row r="352" spans="1:11">
      <c r="A352" s="562">
        <v>68001</v>
      </c>
      <c r="B352" s="562"/>
      <c r="C352" s="562">
        <v>68008851</v>
      </c>
      <c r="D352" s="562" t="s">
        <v>2837</v>
      </c>
      <c r="E352" s="562"/>
      <c r="F352" s="41">
        <v>33333.33</v>
      </c>
      <c r="G352" s="41">
        <v>0.05</v>
      </c>
      <c r="H352" s="41">
        <v>1490.78</v>
      </c>
      <c r="I352" s="41">
        <v>0</v>
      </c>
      <c r="K352" s="41">
        <v>34824.160000000003</v>
      </c>
    </row>
    <row r="353" spans="1:11">
      <c r="A353" s="562">
        <v>68001</v>
      </c>
      <c r="B353" s="562"/>
      <c r="C353" s="562">
        <v>68008851</v>
      </c>
      <c r="D353" s="562" t="s">
        <v>2838</v>
      </c>
      <c r="E353" s="562"/>
      <c r="F353" s="41">
        <v>33333.33</v>
      </c>
      <c r="G353" s="41">
        <v>0.05</v>
      </c>
      <c r="H353" s="41">
        <v>1575.48</v>
      </c>
      <c r="I353" s="41">
        <v>0</v>
      </c>
      <c r="K353" s="41">
        <v>34908.86</v>
      </c>
    </row>
    <row r="354" spans="1:11">
      <c r="A354" s="562">
        <v>68001</v>
      </c>
      <c r="B354" s="562"/>
      <c r="C354" s="562">
        <v>68008851</v>
      </c>
      <c r="D354" s="562" t="s">
        <v>2839</v>
      </c>
      <c r="E354" s="562"/>
      <c r="F354" s="41">
        <v>33333.33</v>
      </c>
      <c r="G354" s="41">
        <v>0.05</v>
      </c>
      <c r="H354" s="41">
        <v>1452.06</v>
      </c>
      <c r="I354" s="41">
        <v>0</v>
      </c>
      <c r="K354" s="41">
        <v>34785.440000000002</v>
      </c>
    </row>
    <row r="355" spans="1:11">
      <c r="A355" s="562">
        <v>68001</v>
      </c>
      <c r="B355" s="562"/>
      <c r="C355" s="562">
        <v>68008851</v>
      </c>
      <c r="D355" s="562" t="s">
        <v>2840</v>
      </c>
      <c r="E355" s="562"/>
      <c r="F355" s="41">
        <v>33333.33</v>
      </c>
      <c r="G355" s="41">
        <v>0.05</v>
      </c>
      <c r="H355" s="41">
        <v>1425.44</v>
      </c>
      <c r="I355" s="41">
        <v>0</v>
      </c>
      <c r="K355" s="41">
        <v>34758.82</v>
      </c>
    </row>
    <row r="356" spans="1:11">
      <c r="A356" s="562">
        <v>68001</v>
      </c>
      <c r="B356" s="562"/>
      <c r="C356" s="562">
        <v>68008851</v>
      </c>
      <c r="D356" s="562" t="s">
        <v>2841</v>
      </c>
      <c r="E356" s="562"/>
      <c r="F356" s="41">
        <v>33333.33</v>
      </c>
      <c r="G356" s="41">
        <v>0.05</v>
      </c>
      <c r="H356" s="41">
        <v>1306.8499999999999</v>
      </c>
      <c r="I356" s="41">
        <v>0</v>
      </c>
      <c r="K356" s="41">
        <v>34640.230000000003</v>
      </c>
    </row>
    <row r="357" spans="1:11">
      <c r="A357" s="562">
        <v>68001</v>
      </c>
      <c r="B357" s="562"/>
      <c r="C357" s="562">
        <v>68008851</v>
      </c>
      <c r="D357" s="562" t="s">
        <v>2842</v>
      </c>
      <c r="E357" s="562"/>
      <c r="F357" s="41">
        <v>33333.33</v>
      </c>
      <c r="G357" s="41">
        <v>0.05</v>
      </c>
      <c r="H357" s="41">
        <v>1275.3900000000001</v>
      </c>
      <c r="I357" s="41">
        <v>0</v>
      </c>
      <c r="K357" s="41">
        <v>34608.769999999997</v>
      </c>
    </row>
    <row r="358" spans="1:11">
      <c r="A358" s="562">
        <v>68001</v>
      </c>
      <c r="B358" s="562"/>
      <c r="C358" s="562">
        <v>68008851</v>
      </c>
      <c r="D358" s="562" t="s">
        <v>2843</v>
      </c>
      <c r="E358" s="562"/>
      <c r="F358" s="41">
        <v>33333.33</v>
      </c>
      <c r="G358" s="41">
        <v>0.05</v>
      </c>
      <c r="H358" s="41">
        <v>1200.3699999999999</v>
      </c>
      <c r="I358" s="41">
        <v>0</v>
      </c>
      <c r="K358" s="41">
        <v>34533.75</v>
      </c>
    </row>
    <row r="359" spans="1:11">
      <c r="A359" s="562">
        <v>68001</v>
      </c>
      <c r="B359" s="562"/>
      <c r="C359" s="562">
        <v>68008851</v>
      </c>
      <c r="D359" s="562" t="s">
        <v>2844</v>
      </c>
      <c r="E359" s="562"/>
      <c r="F359" s="41">
        <v>33333.33</v>
      </c>
      <c r="G359" s="41">
        <v>0.05</v>
      </c>
      <c r="H359" s="41">
        <v>1089.04</v>
      </c>
      <c r="I359" s="41">
        <v>0</v>
      </c>
      <c r="K359" s="41">
        <v>34422.42</v>
      </c>
    </row>
    <row r="360" spans="1:11">
      <c r="A360" s="562">
        <v>68001</v>
      </c>
      <c r="B360" s="562"/>
      <c r="C360" s="562">
        <v>68008851</v>
      </c>
      <c r="D360" s="562" t="s">
        <v>2845</v>
      </c>
      <c r="E360" s="562"/>
      <c r="F360" s="41">
        <v>33333.33</v>
      </c>
      <c r="G360" s="41">
        <v>0.05</v>
      </c>
      <c r="H360" s="41">
        <v>1050.32</v>
      </c>
      <c r="I360" s="41">
        <v>0</v>
      </c>
      <c r="K360" s="41">
        <v>34383.699999999997</v>
      </c>
    </row>
    <row r="361" spans="1:11">
      <c r="A361" s="562">
        <v>68001</v>
      </c>
      <c r="B361" s="562"/>
      <c r="C361" s="562">
        <v>68008851</v>
      </c>
      <c r="D361" s="562" t="s">
        <v>2846</v>
      </c>
      <c r="E361" s="562"/>
      <c r="F361" s="41">
        <v>33333.33</v>
      </c>
      <c r="G361" s="41">
        <v>0.05</v>
      </c>
      <c r="H361" s="41">
        <v>943.84</v>
      </c>
      <c r="I361" s="41">
        <v>0</v>
      </c>
      <c r="K361" s="41">
        <v>34277.22</v>
      </c>
    </row>
    <row r="362" spans="1:11">
      <c r="A362" s="562">
        <v>68001</v>
      </c>
      <c r="B362" s="562">
        <v>71227</v>
      </c>
      <c r="C362" s="562">
        <v>68008854</v>
      </c>
      <c r="D362" s="562" t="s">
        <v>2835</v>
      </c>
      <c r="E362" s="562"/>
      <c r="F362" s="41">
        <v>83333.33</v>
      </c>
      <c r="G362" s="41">
        <v>0</v>
      </c>
      <c r="H362" s="41">
        <v>13522.51</v>
      </c>
      <c r="I362" s="41">
        <v>0</v>
      </c>
      <c r="K362" s="41">
        <v>96855.84</v>
      </c>
    </row>
    <row r="363" spans="1:11">
      <c r="A363" s="562">
        <v>68001</v>
      </c>
      <c r="B363" s="562">
        <v>71227</v>
      </c>
      <c r="C363" s="562">
        <v>68008854</v>
      </c>
      <c r="D363" s="562" t="s">
        <v>2836</v>
      </c>
      <c r="E363" s="562"/>
      <c r="F363" s="41">
        <v>83333.33</v>
      </c>
      <c r="G363" s="41">
        <v>0</v>
      </c>
      <c r="H363" s="41">
        <v>13222.01</v>
      </c>
      <c r="I363" s="41">
        <v>0</v>
      </c>
      <c r="K363" s="41">
        <v>96555.34</v>
      </c>
    </row>
    <row r="364" spans="1:11">
      <c r="A364" s="562">
        <v>68001</v>
      </c>
      <c r="B364" s="562">
        <v>71227</v>
      </c>
      <c r="C364" s="562">
        <v>68008854</v>
      </c>
      <c r="D364" s="562" t="s">
        <v>2837</v>
      </c>
      <c r="E364" s="562"/>
      <c r="F364" s="41">
        <v>83333.33</v>
      </c>
      <c r="G364" s="41">
        <v>0</v>
      </c>
      <c r="H364" s="41">
        <v>11669.01</v>
      </c>
      <c r="I364" s="41">
        <v>0</v>
      </c>
      <c r="K364" s="41">
        <v>95002.34</v>
      </c>
    </row>
    <row r="365" spans="1:11">
      <c r="A365" s="562">
        <v>68001</v>
      </c>
      <c r="B365" s="562">
        <v>71227</v>
      </c>
      <c r="C365" s="562">
        <v>68008854</v>
      </c>
      <c r="D365" s="562" t="s">
        <v>2838</v>
      </c>
      <c r="E365" s="562"/>
      <c r="F365" s="41">
        <v>83333.33</v>
      </c>
      <c r="G365" s="41">
        <v>0</v>
      </c>
      <c r="H365" s="41">
        <v>12621.01</v>
      </c>
      <c r="I365" s="41">
        <v>0</v>
      </c>
      <c r="K365" s="41">
        <v>95954.34</v>
      </c>
    </row>
    <row r="366" spans="1:11">
      <c r="A366" s="562">
        <v>68001</v>
      </c>
      <c r="B366" s="562">
        <v>71227</v>
      </c>
      <c r="C366" s="562">
        <v>68008854</v>
      </c>
      <c r="D366" s="562" t="s">
        <v>2839</v>
      </c>
      <c r="E366" s="562"/>
      <c r="F366" s="41">
        <v>83333.33</v>
      </c>
      <c r="G366" s="41">
        <v>0</v>
      </c>
      <c r="H366" s="41">
        <v>11922.38</v>
      </c>
      <c r="I366" s="41">
        <v>0</v>
      </c>
      <c r="K366" s="41">
        <v>95255.71</v>
      </c>
    </row>
    <row r="367" spans="1:11">
      <c r="A367" s="562">
        <v>68001</v>
      </c>
      <c r="B367" s="562">
        <v>71227</v>
      </c>
      <c r="C367" s="562">
        <v>68008854</v>
      </c>
      <c r="D367" s="562" t="s">
        <v>2840</v>
      </c>
      <c r="E367" s="562"/>
      <c r="F367" s="41">
        <v>83333.33</v>
      </c>
      <c r="G367" s="41">
        <v>0</v>
      </c>
      <c r="H367" s="41">
        <v>12020.01</v>
      </c>
      <c r="I367" s="41">
        <v>0</v>
      </c>
      <c r="K367" s="41">
        <v>95353.34</v>
      </c>
    </row>
    <row r="368" spans="1:11">
      <c r="A368" s="562">
        <v>68001</v>
      </c>
      <c r="B368" s="562">
        <v>71227</v>
      </c>
      <c r="C368" s="562">
        <v>68008854</v>
      </c>
      <c r="D368" s="562" t="s">
        <v>2841</v>
      </c>
      <c r="E368" s="562"/>
      <c r="F368" s="41">
        <v>83333.33</v>
      </c>
      <c r="G368" s="41">
        <v>0</v>
      </c>
      <c r="H368" s="41">
        <v>11340.8</v>
      </c>
      <c r="I368" s="41">
        <v>0</v>
      </c>
      <c r="K368" s="41">
        <v>94674.13</v>
      </c>
    </row>
    <row r="369" spans="1:11">
      <c r="A369" s="562">
        <v>68001</v>
      </c>
      <c r="B369" s="562">
        <v>71227</v>
      </c>
      <c r="C369" s="562">
        <v>68008854</v>
      </c>
      <c r="D369" s="562" t="s">
        <v>2842</v>
      </c>
      <c r="E369" s="562"/>
      <c r="F369" s="41">
        <v>83333.33</v>
      </c>
      <c r="G369" s="41">
        <v>0</v>
      </c>
      <c r="H369" s="41">
        <v>11419.01</v>
      </c>
      <c r="I369" s="41">
        <v>0</v>
      </c>
      <c r="K369" s="41">
        <v>94752.34</v>
      </c>
    </row>
    <row r="370" spans="1:11">
      <c r="A370" s="562">
        <v>68001</v>
      </c>
      <c r="B370" s="562">
        <v>71227</v>
      </c>
      <c r="C370" s="562">
        <v>68008854</v>
      </c>
      <c r="D370" s="562" t="s">
        <v>2843</v>
      </c>
      <c r="E370" s="562"/>
      <c r="F370" s="41">
        <v>83333.33</v>
      </c>
      <c r="G370" s="41">
        <v>0</v>
      </c>
      <c r="H370" s="41">
        <v>11118.51</v>
      </c>
      <c r="I370" s="41">
        <v>0</v>
      </c>
      <c r="K370" s="41">
        <v>94451.839999999997</v>
      </c>
    </row>
    <row r="371" spans="1:11">
      <c r="A371" s="562">
        <v>68001</v>
      </c>
      <c r="B371" s="562">
        <v>71227</v>
      </c>
      <c r="C371" s="562">
        <v>68008854</v>
      </c>
      <c r="D371" s="562" t="s">
        <v>2844</v>
      </c>
      <c r="E371" s="562"/>
      <c r="F371" s="41">
        <v>83333.33</v>
      </c>
      <c r="G371" s="41">
        <v>0</v>
      </c>
      <c r="H371" s="41">
        <v>10468.43</v>
      </c>
      <c r="I371" s="41">
        <v>0</v>
      </c>
      <c r="K371" s="41">
        <v>93801.76</v>
      </c>
    </row>
    <row r="372" spans="1:11">
      <c r="A372" s="562">
        <v>68001</v>
      </c>
      <c r="B372" s="562">
        <v>71227</v>
      </c>
      <c r="C372" s="562">
        <v>68008854</v>
      </c>
      <c r="D372" s="562" t="s">
        <v>2845</v>
      </c>
      <c r="E372" s="562"/>
      <c r="F372" s="41">
        <v>83333.33</v>
      </c>
      <c r="G372" s="41">
        <v>0</v>
      </c>
      <c r="H372" s="41">
        <v>10517.51</v>
      </c>
      <c r="I372" s="41">
        <v>0</v>
      </c>
      <c r="K372" s="41">
        <v>93850.84</v>
      </c>
    </row>
    <row r="373" spans="1:11">
      <c r="A373" s="562">
        <v>68001</v>
      </c>
      <c r="B373" s="562">
        <v>71227</v>
      </c>
      <c r="C373" s="562">
        <v>68008854</v>
      </c>
      <c r="D373" s="562" t="s">
        <v>2846</v>
      </c>
      <c r="E373" s="562"/>
      <c r="F373" s="41">
        <v>83333.33</v>
      </c>
      <c r="G373" s="41">
        <v>0</v>
      </c>
      <c r="H373" s="41">
        <v>9886.85</v>
      </c>
      <c r="I373" s="41">
        <v>0</v>
      </c>
      <c r="K373" s="41">
        <v>93220.18</v>
      </c>
    </row>
    <row r="374" spans="1:11">
      <c r="A374" s="562">
        <v>68001</v>
      </c>
      <c r="B374" s="562">
        <v>11014227</v>
      </c>
      <c r="C374" s="562">
        <v>68008855</v>
      </c>
      <c r="D374" s="562" t="s">
        <v>2835</v>
      </c>
      <c r="E374" s="562"/>
      <c r="F374" s="41">
        <v>36764.71</v>
      </c>
      <c r="G374" s="41">
        <v>0</v>
      </c>
      <c r="H374" s="41">
        <v>9481.94</v>
      </c>
      <c r="I374" s="41">
        <v>0</v>
      </c>
      <c r="K374" s="41">
        <v>46246.65</v>
      </c>
    </row>
    <row r="375" spans="1:11">
      <c r="A375" s="562">
        <v>68001</v>
      </c>
      <c r="B375" s="562">
        <v>11014227</v>
      </c>
      <c r="C375" s="562">
        <v>68008855</v>
      </c>
      <c r="D375" s="562" t="s">
        <v>2836</v>
      </c>
      <c r="E375" s="562"/>
      <c r="F375" s="41">
        <v>36764.71</v>
      </c>
      <c r="G375" s="41">
        <v>0</v>
      </c>
      <c r="H375" s="41">
        <v>9357.18</v>
      </c>
      <c r="I375" s="41">
        <v>0</v>
      </c>
      <c r="K375" s="41">
        <v>46121.89</v>
      </c>
    </row>
    <row r="376" spans="1:11">
      <c r="A376" s="562">
        <v>68001</v>
      </c>
      <c r="B376" s="562">
        <v>11014227</v>
      </c>
      <c r="C376" s="562">
        <v>68008855</v>
      </c>
      <c r="D376" s="562" t="s">
        <v>2837</v>
      </c>
      <c r="E376" s="562"/>
      <c r="F376" s="41">
        <v>36764.71</v>
      </c>
      <c r="G376" s="41">
        <v>0</v>
      </c>
      <c r="H376" s="41">
        <v>8337.59</v>
      </c>
      <c r="I376" s="41">
        <v>0</v>
      </c>
      <c r="K376" s="41">
        <v>45102.3</v>
      </c>
    </row>
    <row r="377" spans="1:11">
      <c r="A377" s="562">
        <v>68001</v>
      </c>
      <c r="B377" s="562">
        <v>11014227</v>
      </c>
      <c r="C377" s="562">
        <v>68008855</v>
      </c>
      <c r="D377" s="562" t="s">
        <v>2838</v>
      </c>
      <c r="E377" s="562"/>
      <c r="F377" s="41">
        <v>36764.71</v>
      </c>
      <c r="G377" s="41">
        <v>0</v>
      </c>
      <c r="H377" s="41">
        <v>9107.66</v>
      </c>
      <c r="I377" s="41">
        <v>0</v>
      </c>
      <c r="K377" s="41">
        <v>45872.37</v>
      </c>
    </row>
    <row r="378" spans="1:11">
      <c r="A378" s="562">
        <v>68001</v>
      </c>
      <c r="B378" s="562">
        <v>11014227</v>
      </c>
      <c r="C378" s="562">
        <v>68008855</v>
      </c>
      <c r="D378" s="562" t="s">
        <v>2839</v>
      </c>
      <c r="E378" s="562"/>
      <c r="F378" s="41">
        <v>36764.71</v>
      </c>
      <c r="G378" s="41">
        <v>0</v>
      </c>
      <c r="H378" s="41">
        <v>8692.65</v>
      </c>
      <c r="I378" s="41">
        <v>0</v>
      </c>
      <c r="K378" s="41">
        <v>45457.36</v>
      </c>
    </row>
    <row r="379" spans="1:11">
      <c r="A379" s="562">
        <v>68001</v>
      </c>
      <c r="B379" s="562">
        <v>11014227</v>
      </c>
      <c r="C379" s="562">
        <v>68008855</v>
      </c>
      <c r="D379" s="562" t="s">
        <v>2840</v>
      </c>
      <c r="E379" s="562"/>
      <c r="F379" s="41">
        <v>36764.71</v>
      </c>
      <c r="G379" s="41">
        <v>0</v>
      </c>
      <c r="H379" s="41">
        <v>8858.1299999999992</v>
      </c>
      <c r="I379" s="41">
        <v>0</v>
      </c>
      <c r="K379" s="41">
        <v>45622.84</v>
      </c>
    </row>
    <row r="380" spans="1:11">
      <c r="A380" s="562">
        <v>68001</v>
      </c>
      <c r="B380" s="562">
        <v>11014227</v>
      </c>
      <c r="C380" s="562">
        <v>68008855</v>
      </c>
      <c r="D380" s="562" t="s">
        <v>2841</v>
      </c>
      <c r="E380" s="562"/>
      <c r="F380" s="41">
        <v>36764.71</v>
      </c>
      <c r="G380" s="41">
        <v>0</v>
      </c>
      <c r="H380" s="41">
        <v>8451.18</v>
      </c>
      <c r="I380" s="41">
        <v>0</v>
      </c>
      <c r="K380" s="41">
        <v>45215.89</v>
      </c>
    </row>
    <row r="381" spans="1:11">
      <c r="A381" s="562">
        <v>68001</v>
      </c>
      <c r="B381" s="562">
        <v>11014227</v>
      </c>
      <c r="C381" s="562">
        <v>68008855</v>
      </c>
      <c r="D381" s="562" t="s">
        <v>2842</v>
      </c>
      <c r="E381" s="562"/>
      <c r="F381" s="41">
        <v>36764.71</v>
      </c>
      <c r="G381" s="41">
        <v>0</v>
      </c>
      <c r="H381" s="41">
        <v>8608.61</v>
      </c>
      <c r="I381" s="41">
        <v>0</v>
      </c>
      <c r="K381" s="41">
        <v>45373.32</v>
      </c>
    </row>
    <row r="382" spans="1:11">
      <c r="A382" s="562">
        <v>68001</v>
      </c>
      <c r="B382" s="562">
        <v>11014227</v>
      </c>
      <c r="C382" s="562">
        <v>68008855</v>
      </c>
      <c r="D382" s="562" t="s">
        <v>2843</v>
      </c>
      <c r="E382" s="562"/>
      <c r="F382" s="41">
        <v>36764.71</v>
      </c>
      <c r="G382" s="41">
        <v>0</v>
      </c>
      <c r="H382" s="41">
        <v>8483.84</v>
      </c>
      <c r="I382" s="41">
        <v>0</v>
      </c>
      <c r="K382" s="41">
        <v>45248.55</v>
      </c>
    </row>
    <row r="383" spans="1:11">
      <c r="A383" s="562">
        <v>68001</v>
      </c>
      <c r="B383" s="562">
        <v>11014227</v>
      </c>
      <c r="C383" s="562">
        <v>68008855</v>
      </c>
      <c r="D383" s="562" t="s">
        <v>2844</v>
      </c>
      <c r="E383" s="562"/>
      <c r="F383" s="41">
        <v>36764.71</v>
      </c>
      <c r="G383" s="41">
        <v>0</v>
      </c>
      <c r="H383" s="41">
        <v>8088.99</v>
      </c>
      <c r="I383" s="41">
        <v>0</v>
      </c>
      <c r="K383" s="41">
        <v>44853.7</v>
      </c>
    </row>
    <row r="384" spans="1:11">
      <c r="A384" s="562">
        <v>68001</v>
      </c>
      <c r="B384" s="562">
        <v>11014227</v>
      </c>
      <c r="C384" s="562">
        <v>68008855</v>
      </c>
      <c r="D384" s="562" t="s">
        <v>2845</v>
      </c>
      <c r="E384" s="562"/>
      <c r="F384" s="41">
        <v>36764.71</v>
      </c>
      <c r="G384" s="41">
        <v>0</v>
      </c>
      <c r="H384" s="41">
        <v>8234.32</v>
      </c>
      <c r="I384" s="41">
        <v>0</v>
      </c>
      <c r="K384" s="41">
        <v>44999.03</v>
      </c>
    </row>
    <row r="385" spans="1:11">
      <c r="A385" s="562">
        <v>68001</v>
      </c>
      <c r="B385" s="562">
        <v>11014227</v>
      </c>
      <c r="C385" s="562">
        <v>68008855</v>
      </c>
      <c r="D385" s="562" t="s">
        <v>2846</v>
      </c>
      <c r="E385" s="562"/>
      <c r="F385" s="41">
        <v>36764.71</v>
      </c>
      <c r="G385" s="41">
        <v>0</v>
      </c>
      <c r="H385" s="41">
        <v>7847.53</v>
      </c>
      <c r="I385" s="41">
        <v>0</v>
      </c>
      <c r="K385" s="41">
        <v>44612.24</v>
      </c>
    </row>
    <row r="386" spans="1:11">
      <c r="A386" s="562">
        <v>68001</v>
      </c>
      <c r="B386" s="562">
        <v>11014228</v>
      </c>
      <c r="C386" s="562">
        <v>68008856</v>
      </c>
      <c r="D386" s="562" t="s">
        <v>2835</v>
      </c>
      <c r="E386" s="562"/>
      <c r="F386" s="41">
        <v>36722.22</v>
      </c>
      <c r="G386" s="41">
        <v>0</v>
      </c>
      <c r="H386" s="41">
        <v>6307.57</v>
      </c>
      <c r="I386" s="41">
        <v>0</v>
      </c>
      <c r="K386" s="41">
        <v>43029.79</v>
      </c>
    </row>
    <row r="387" spans="1:11">
      <c r="A387" s="562">
        <v>68001</v>
      </c>
      <c r="B387" s="562">
        <v>11014228</v>
      </c>
      <c r="C387" s="562">
        <v>68008856</v>
      </c>
      <c r="D387" s="562" t="s">
        <v>2836</v>
      </c>
      <c r="E387" s="562"/>
      <c r="F387" s="41">
        <v>36722.22</v>
      </c>
      <c r="G387" s="41">
        <v>0</v>
      </c>
      <c r="H387" s="41">
        <v>6192.89</v>
      </c>
      <c r="I387" s="41">
        <v>0</v>
      </c>
      <c r="K387" s="41">
        <v>42915.11</v>
      </c>
    </row>
    <row r="388" spans="1:11">
      <c r="A388" s="562">
        <v>68001</v>
      </c>
      <c r="B388" s="562">
        <v>11014228</v>
      </c>
      <c r="C388" s="562">
        <v>68008856</v>
      </c>
      <c r="D388" s="562" t="s">
        <v>2837</v>
      </c>
      <c r="E388" s="562"/>
      <c r="F388" s="41">
        <v>36722.22</v>
      </c>
      <c r="G388" s="41">
        <v>0</v>
      </c>
      <c r="H388" s="41">
        <v>5489.16</v>
      </c>
      <c r="I388" s="41">
        <v>0</v>
      </c>
      <c r="K388" s="41">
        <v>42211.38</v>
      </c>
    </row>
    <row r="389" spans="1:11">
      <c r="A389" s="562">
        <v>68001</v>
      </c>
      <c r="B389" s="562">
        <v>11014228</v>
      </c>
      <c r="C389" s="562">
        <v>68008856</v>
      </c>
      <c r="D389" s="562" t="s">
        <v>2838</v>
      </c>
      <c r="E389" s="562"/>
      <c r="F389" s="41">
        <v>36722.22</v>
      </c>
      <c r="G389" s="41">
        <v>0</v>
      </c>
      <c r="H389" s="41">
        <v>5963.52</v>
      </c>
      <c r="I389" s="41">
        <v>0</v>
      </c>
      <c r="K389" s="41">
        <v>42685.74</v>
      </c>
    </row>
    <row r="390" spans="1:11">
      <c r="A390" s="562">
        <v>68001</v>
      </c>
      <c r="B390" s="562">
        <v>11014228</v>
      </c>
      <c r="C390" s="562">
        <v>68008856</v>
      </c>
      <c r="D390" s="562" t="s">
        <v>2839</v>
      </c>
      <c r="E390" s="562"/>
      <c r="F390" s="41">
        <v>36722.22</v>
      </c>
      <c r="G390" s="41">
        <v>0</v>
      </c>
      <c r="H390" s="41">
        <v>5659.88</v>
      </c>
      <c r="I390" s="41">
        <v>0</v>
      </c>
      <c r="K390" s="41">
        <v>42382.1</v>
      </c>
    </row>
    <row r="391" spans="1:11">
      <c r="A391" s="562">
        <v>68001</v>
      </c>
      <c r="B391" s="562">
        <v>11014228</v>
      </c>
      <c r="C391" s="562">
        <v>68008856</v>
      </c>
      <c r="D391" s="562" t="s">
        <v>2840</v>
      </c>
      <c r="E391" s="562"/>
      <c r="F391" s="41">
        <v>36722.22</v>
      </c>
      <c r="G391" s="41">
        <v>0</v>
      </c>
      <c r="H391" s="41">
        <v>5734.16</v>
      </c>
      <c r="I391" s="41">
        <v>0</v>
      </c>
      <c r="K391" s="41">
        <v>42456.38</v>
      </c>
    </row>
    <row r="392" spans="1:11">
      <c r="A392" s="562">
        <v>68001</v>
      </c>
      <c r="B392" s="562">
        <v>11014228</v>
      </c>
      <c r="C392" s="562">
        <v>68008856</v>
      </c>
      <c r="D392" s="562" t="s">
        <v>2841</v>
      </c>
      <c r="E392" s="562"/>
      <c r="F392" s="41">
        <v>36722.22</v>
      </c>
      <c r="G392" s="41">
        <v>0</v>
      </c>
      <c r="H392" s="41">
        <v>5437.93</v>
      </c>
      <c r="I392" s="41">
        <v>0</v>
      </c>
      <c r="K392" s="41">
        <v>42160.15</v>
      </c>
    </row>
    <row r="393" spans="1:11">
      <c r="A393" s="562">
        <v>68001</v>
      </c>
      <c r="B393" s="562">
        <v>11014228</v>
      </c>
      <c r="C393" s="562">
        <v>68008856</v>
      </c>
      <c r="D393" s="562" t="s">
        <v>2842</v>
      </c>
      <c r="E393" s="562"/>
      <c r="F393" s="41">
        <v>36722.22</v>
      </c>
      <c r="G393" s="41">
        <v>0</v>
      </c>
      <c r="H393" s="41">
        <v>5504.79</v>
      </c>
      <c r="I393" s="41">
        <v>0</v>
      </c>
      <c r="K393" s="41">
        <v>42227.01</v>
      </c>
    </row>
    <row r="394" spans="1:11">
      <c r="A394" s="562">
        <v>68001</v>
      </c>
      <c r="B394" s="562">
        <v>11014228</v>
      </c>
      <c r="C394" s="562">
        <v>68008856</v>
      </c>
      <c r="D394" s="562" t="s">
        <v>2843</v>
      </c>
      <c r="E394" s="562"/>
      <c r="F394" s="41">
        <v>36722.22</v>
      </c>
      <c r="G394" s="41">
        <v>0</v>
      </c>
      <c r="H394" s="41">
        <v>5390.11</v>
      </c>
      <c r="I394" s="41">
        <v>0</v>
      </c>
      <c r="K394" s="41">
        <v>42112.33</v>
      </c>
    </row>
    <row r="395" spans="1:11">
      <c r="A395" s="562">
        <v>68001</v>
      </c>
      <c r="B395" s="562">
        <v>11014228</v>
      </c>
      <c r="C395" s="562">
        <v>68008856</v>
      </c>
      <c r="D395" s="562" t="s">
        <v>2844</v>
      </c>
      <c r="E395" s="562"/>
      <c r="F395" s="41">
        <v>36722.22</v>
      </c>
      <c r="G395" s="41">
        <v>0</v>
      </c>
      <c r="H395" s="41">
        <v>5104.99</v>
      </c>
      <c r="I395" s="41">
        <v>0</v>
      </c>
      <c r="K395" s="41">
        <v>41827.21</v>
      </c>
    </row>
    <row r="396" spans="1:11">
      <c r="A396" s="562">
        <v>68001</v>
      </c>
      <c r="B396" s="562">
        <v>11014228</v>
      </c>
      <c r="C396" s="562">
        <v>68008856</v>
      </c>
      <c r="D396" s="562" t="s">
        <v>2845</v>
      </c>
      <c r="E396" s="562"/>
      <c r="F396" s="41">
        <v>36722.22</v>
      </c>
      <c r="G396" s="41">
        <v>0</v>
      </c>
      <c r="H396" s="41">
        <v>5160.74</v>
      </c>
      <c r="I396" s="41">
        <v>0</v>
      </c>
      <c r="K396" s="41">
        <v>41882.959999999999</v>
      </c>
    </row>
    <row r="397" spans="1:11">
      <c r="A397" s="562">
        <v>68001</v>
      </c>
      <c r="B397" s="562">
        <v>11014228</v>
      </c>
      <c r="C397" s="562">
        <v>68008856</v>
      </c>
      <c r="D397" s="562" t="s">
        <v>2846</v>
      </c>
      <c r="E397" s="562"/>
      <c r="F397" s="41">
        <v>36722.22</v>
      </c>
      <c r="G397" s="41">
        <v>0</v>
      </c>
      <c r="H397" s="41">
        <v>4883.04</v>
      </c>
      <c r="I397" s="41">
        <v>0</v>
      </c>
      <c r="K397" s="41">
        <v>41605.26</v>
      </c>
    </row>
    <row r="398" spans="1:11">
      <c r="A398" s="562">
        <v>68001</v>
      </c>
      <c r="B398" s="562">
        <v>75513</v>
      </c>
      <c r="C398" s="562">
        <v>68008857</v>
      </c>
      <c r="D398" s="562" t="s">
        <v>2835</v>
      </c>
      <c r="E398" s="562"/>
      <c r="F398" s="41">
        <v>24093.57</v>
      </c>
      <c r="G398" s="41">
        <v>0</v>
      </c>
      <c r="H398" s="41">
        <v>5509.97</v>
      </c>
      <c r="I398" s="41">
        <v>0</v>
      </c>
      <c r="K398" s="41">
        <v>29603.54</v>
      </c>
    </row>
    <row r="399" spans="1:11">
      <c r="A399" s="562">
        <v>68001</v>
      </c>
      <c r="B399" s="562">
        <v>75513</v>
      </c>
      <c r="C399" s="562">
        <v>68008857</v>
      </c>
      <c r="D399" s="562" t="s">
        <v>2836</v>
      </c>
      <c r="E399" s="562"/>
      <c r="F399" s="41">
        <v>24093.57</v>
      </c>
      <c r="G399" s="41">
        <v>0</v>
      </c>
      <c r="H399" s="41">
        <v>5423.87</v>
      </c>
      <c r="I399" s="41">
        <v>0</v>
      </c>
      <c r="K399" s="41">
        <v>29517.439999999999</v>
      </c>
    </row>
    <row r="400" spans="1:11">
      <c r="A400" s="562">
        <v>68001</v>
      </c>
      <c r="B400" s="562">
        <v>75513</v>
      </c>
      <c r="C400" s="562">
        <v>68008857</v>
      </c>
      <c r="D400" s="562" t="s">
        <v>2837</v>
      </c>
      <c r="E400" s="562"/>
      <c r="F400" s="41">
        <v>24093.57</v>
      </c>
      <c r="G400" s="41">
        <v>0</v>
      </c>
      <c r="H400" s="41">
        <v>4820.3900000000003</v>
      </c>
      <c r="I400" s="41">
        <v>0</v>
      </c>
      <c r="K400" s="41">
        <v>28913.96</v>
      </c>
    </row>
    <row r="401" spans="1:11">
      <c r="A401" s="562">
        <v>68001</v>
      </c>
      <c r="B401" s="562">
        <v>75513</v>
      </c>
      <c r="C401" s="562">
        <v>68008857</v>
      </c>
      <c r="D401" s="562" t="s">
        <v>2838</v>
      </c>
      <c r="E401" s="562"/>
      <c r="F401" s="41">
        <v>24093.57</v>
      </c>
      <c r="G401" s="41">
        <v>0</v>
      </c>
      <c r="H401" s="41">
        <v>5251.69</v>
      </c>
      <c r="I401" s="41">
        <v>0</v>
      </c>
      <c r="K401" s="41">
        <v>29345.26</v>
      </c>
    </row>
    <row r="402" spans="1:11">
      <c r="A402" s="562">
        <v>68001</v>
      </c>
      <c r="B402" s="562">
        <v>75513</v>
      </c>
      <c r="C402" s="562">
        <v>68008857</v>
      </c>
      <c r="D402" s="562" t="s">
        <v>2839</v>
      </c>
      <c r="E402" s="562"/>
      <c r="F402" s="41">
        <v>24093.57</v>
      </c>
      <c r="G402" s="41">
        <v>0</v>
      </c>
      <c r="H402" s="41">
        <v>4998.67</v>
      </c>
      <c r="I402" s="41">
        <v>0</v>
      </c>
      <c r="K402" s="41">
        <v>29092.240000000002</v>
      </c>
    </row>
    <row r="403" spans="1:11">
      <c r="A403" s="562">
        <v>68001</v>
      </c>
      <c r="B403" s="562">
        <v>75513</v>
      </c>
      <c r="C403" s="562">
        <v>68008857</v>
      </c>
      <c r="D403" s="562" t="s">
        <v>2840</v>
      </c>
      <c r="E403" s="562"/>
      <c r="F403" s="41">
        <v>24093.57</v>
      </c>
      <c r="G403" s="41">
        <v>0</v>
      </c>
      <c r="H403" s="41">
        <v>5079.5</v>
      </c>
      <c r="I403" s="41">
        <v>0</v>
      </c>
      <c r="K403" s="41">
        <v>29173.07</v>
      </c>
    </row>
    <row r="404" spans="1:11">
      <c r="A404" s="562">
        <v>68001</v>
      </c>
      <c r="B404" s="562">
        <v>75513</v>
      </c>
      <c r="C404" s="562">
        <v>68008857</v>
      </c>
      <c r="D404" s="562" t="s">
        <v>2841</v>
      </c>
      <c r="E404" s="562"/>
      <c r="F404" s="41">
        <v>24093.57</v>
      </c>
      <c r="G404" s="41">
        <v>0</v>
      </c>
      <c r="H404" s="41">
        <v>4832.05</v>
      </c>
      <c r="I404" s="41">
        <v>0</v>
      </c>
      <c r="K404" s="41">
        <v>28925.62</v>
      </c>
    </row>
    <row r="405" spans="1:11">
      <c r="A405" s="562">
        <v>68001</v>
      </c>
      <c r="B405" s="562">
        <v>75513</v>
      </c>
      <c r="C405" s="562">
        <v>68008857</v>
      </c>
      <c r="D405" s="562" t="s">
        <v>2842</v>
      </c>
      <c r="E405" s="562"/>
      <c r="F405" s="41">
        <v>24093.57</v>
      </c>
      <c r="G405" s="41">
        <v>0</v>
      </c>
      <c r="H405" s="41">
        <v>4907.3100000000004</v>
      </c>
      <c r="I405" s="41">
        <v>0</v>
      </c>
      <c r="K405" s="41">
        <v>29000.880000000001</v>
      </c>
    </row>
    <row r="406" spans="1:11">
      <c r="A406" s="562">
        <v>68001</v>
      </c>
      <c r="B406" s="562">
        <v>75513</v>
      </c>
      <c r="C406" s="562">
        <v>68008857</v>
      </c>
      <c r="D406" s="562" t="s">
        <v>2843</v>
      </c>
      <c r="E406" s="562"/>
      <c r="F406" s="41">
        <v>24093.57</v>
      </c>
      <c r="G406" s="41">
        <v>0</v>
      </c>
      <c r="H406" s="41">
        <v>4821.22</v>
      </c>
      <c r="I406" s="41">
        <v>0</v>
      </c>
      <c r="K406" s="41">
        <v>28914.79</v>
      </c>
    </row>
    <row r="407" spans="1:11">
      <c r="A407" s="562">
        <v>68001</v>
      </c>
      <c r="B407" s="562">
        <v>75513</v>
      </c>
      <c r="C407" s="562">
        <v>68008857</v>
      </c>
      <c r="D407" s="562" t="s">
        <v>2844</v>
      </c>
      <c r="E407" s="562"/>
      <c r="F407" s="41">
        <v>24093.57</v>
      </c>
      <c r="G407" s="41">
        <v>0</v>
      </c>
      <c r="H407" s="41">
        <v>4582.12</v>
      </c>
      <c r="I407" s="41">
        <v>0</v>
      </c>
      <c r="K407" s="41">
        <v>28675.69</v>
      </c>
    </row>
    <row r="408" spans="1:11">
      <c r="A408" s="562">
        <v>68001</v>
      </c>
      <c r="B408" s="562">
        <v>75513</v>
      </c>
      <c r="C408" s="562">
        <v>68008857</v>
      </c>
      <c r="D408" s="562" t="s">
        <v>2845</v>
      </c>
      <c r="E408" s="562"/>
      <c r="F408" s="41">
        <v>24093.57</v>
      </c>
      <c r="G408" s="41">
        <v>0</v>
      </c>
      <c r="H408" s="41">
        <v>4649.03</v>
      </c>
      <c r="I408" s="41">
        <v>0</v>
      </c>
      <c r="K408" s="41">
        <v>28742.6</v>
      </c>
    </row>
    <row r="409" spans="1:11">
      <c r="A409" s="562">
        <v>68001</v>
      </c>
      <c r="B409" s="562">
        <v>75513</v>
      </c>
      <c r="C409" s="562">
        <v>68008857</v>
      </c>
      <c r="D409" s="562" t="s">
        <v>2846</v>
      </c>
      <c r="E409" s="562"/>
      <c r="F409" s="41">
        <v>24093.57</v>
      </c>
      <c r="G409" s="41">
        <v>0</v>
      </c>
      <c r="H409" s="41">
        <v>4415.49</v>
      </c>
      <c r="I409" s="41">
        <v>0</v>
      </c>
      <c r="K409" s="41">
        <v>28509.06</v>
      </c>
    </row>
    <row r="410" spans="1:11">
      <c r="A410" s="562">
        <v>68001</v>
      </c>
      <c r="B410" s="562">
        <v>75818</v>
      </c>
      <c r="C410" s="562">
        <v>68008858</v>
      </c>
      <c r="D410" s="562" t="s">
        <v>2835</v>
      </c>
      <c r="E410" s="562"/>
      <c r="F410" s="41">
        <v>116666.67</v>
      </c>
      <c r="G410" s="41">
        <v>0</v>
      </c>
      <c r="H410" s="41">
        <v>27466.85</v>
      </c>
      <c r="I410" s="41">
        <v>0</v>
      </c>
      <c r="K410" s="41">
        <v>144133.51999999999</v>
      </c>
    </row>
    <row r="411" spans="1:11">
      <c r="A411" s="562">
        <v>68001</v>
      </c>
      <c r="B411" s="562">
        <v>75818</v>
      </c>
      <c r="C411" s="562">
        <v>68008858</v>
      </c>
      <c r="D411" s="562" t="s">
        <v>2836</v>
      </c>
      <c r="E411" s="562"/>
      <c r="F411" s="41">
        <v>116666.67</v>
      </c>
      <c r="G411" s="41">
        <v>0</v>
      </c>
      <c r="H411" s="41">
        <v>27050.68</v>
      </c>
      <c r="I411" s="41">
        <v>0</v>
      </c>
      <c r="K411" s="41">
        <v>143717.35</v>
      </c>
    </row>
    <row r="412" spans="1:11">
      <c r="A412" s="562">
        <v>68001</v>
      </c>
      <c r="B412" s="562">
        <v>75818</v>
      </c>
      <c r="C412" s="562">
        <v>68008858</v>
      </c>
      <c r="D412" s="562" t="s">
        <v>2837</v>
      </c>
      <c r="E412" s="562"/>
      <c r="F412" s="41">
        <v>116666.67</v>
      </c>
      <c r="G412" s="41">
        <v>0</v>
      </c>
      <c r="H412" s="41">
        <v>24056.99</v>
      </c>
      <c r="I412" s="41">
        <v>0</v>
      </c>
      <c r="K412" s="41">
        <v>140723.66</v>
      </c>
    </row>
    <row r="413" spans="1:11">
      <c r="A413" s="562">
        <v>68001</v>
      </c>
      <c r="B413" s="562">
        <v>75818</v>
      </c>
      <c r="C413" s="562">
        <v>68008858</v>
      </c>
      <c r="D413" s="562" t="s">
        <v>2838</v>
      </c>
      <c r="E413" s="562"/>
      <c r="F413" s="41">
        <v>116666.67</v>
      </c>
      <c r="G413" s="41">
        <v>0</v>
      </c>
      <c r="H413" s="41">
        <v>26218.35</v>
      </c>
      <c r="I413" s="41">
        <v>0</v>
      </c>
      <c r="K413" s="41">
        <v>142885.01999999999</v>
      </c>
    </row>
    <row r="414" spans="1:11">
      <c r="A414" s="562">
        <v>68001</v>
      </c>
      <c r="B414" s="562">
        <v>75818</v>
      </c>
      <c r="C414" s="562">
        <v>68008858</v>
      </c>
      <c r="D414" s="562" t="s">
        <v>2839</v>
      </c>
      <c r="E414" s="562"/>
      <c r="F414" s="41">
        <v>116666.67</v>
      </c>
      <c r="G414" s="41">
        <v>0</v>
      </c>
      <c r="H414" s="41">
        <v>24969.86</v>
      </c>
      <c r="I414" s="41">
        <v>0</v>
      </c>
      <c r="K414" s="41">
        <v>141636.53</v>
      </c>
    </row>
    <row r="415" spans="1:11">
      <c r="A415" s="562">
        <v>68001</v>
      </c>
      <c r="B415" s="562">
        <v>75818</v>
      </c>
      <c r="C415" s="562">
        <v>68008858</v>
      </c>
      <c r="D415" s="562" t="s">
        <v>2840</v>
      </c>
      <c r="E415" s="562"/>
      <c r="F415" s="41">
        <v>116666.67</v>
      </c>
      <c r="G415" s="41">
        <v>0</v>
      </c>
      <c r="H415" s="41">
        <v>25386.03</v>
      </c>
      <c r="I415" s="41">
        <v>0</v>
      </c>
      <c r="K415" s="41">
        <v>142052.70000000001</v>
      </c>
    </row>
    <row r="416" spans="1:11">
      <c r="A416" s="562">
        <v>68001</v>
      </c>
      <c r="B416" s="562">
        <v>75818</v>
      </c>
      <c r="C416" s="562">
        <v>68008858</v>
      </c>
      <c r="D416" s="562" t="s">
        <v>2841</v>
      </c>
      <c r="E416" s="562"/>
      <c r="F416" s="41">
        <v>116666.67</v>
      </c>
      <c r="G416" s="41">
        <v>0</v>
      </c>
      <c r="H416" s="41">
        <v>24164.38</v>
      </c>
      <c r="I416" s="41">
        <v>0</v>
      </c>
      <c r="K416" s="41">
        <v>140831.04999999999</v>
      </c>
    </row>
    <row r="417" spans="1:11">
      <c r="A417" s="562">
        <v>68001</v>
      </c>
      <c r="B417" s="562">
        <v>75818</v>
      </c>
      <c r="C417" s="562">
        <v>68008858</v>
      </c>
      <c r="D417" s="562" t="s">
        <v>2842</v>
      </c>
      <c r="E417" s="562"/>
      <c r="F417" s="41">
        <v>116666.67</v>
      </c>
      <c r="G417" s="41">
        <v>0</v>
      </c>
      <c r="H417" s="41">
        <v>24553.7</v>
      </c>
      <c r="I417" s="41">
        <v>0</v>
      </c>
      <c r="K417" s="41">
        <v>141220.37</v>
      </c>
    </row>
    <row r="418" spans="1:11">
      <c r="A418" s="562">
        <v>68001</v>
      </c>
      <c r="B418" s="562">
        <v>75818</v>
      </c>
      <c r="C418" s="562">
        <v>68008858</v>
      </c>
      <c r="D418" s="562" t="s">
        <v>2843</v>
      </c>
      <c r="E418" s="562"/>
      <c r="F418" s="41">
        <v>116666.67</v>
      </c>
      <c r="G418" s="41">
        <v>0</v>
      </c>
      <c r="H418" s="41">
        <v>24137.53</v>
      </c>
      <c r="I418" s="41">
        <v>0</v>
      </c>
      <c r="K418" s="41">
        <v>140804.20000000001</v>
      </c>
    </row>
    <row r="419" spans="1:11">
      <c r="A419" s="562">
        <v>68001</v>
      </c>
      <c r="B419" s="562">
        <v>75818</v>
      </c>
      <c r="C419" s="562">
        <v>68008858</v>
      </c>
      <c r="D419" s="562" t="s">
        <v>2844</v>
      </c>
      <c r="E419" s="562"/>
      <c r="F419" s="41">
        <v>116666.67</v>
      </c>
      <c r="G419" s="41">
        <v>0</v>
      </c>
      <c r="H419" s="41">
        <v>22956.16</v>
      </c>
      <c r="I419" s="41">
        <v>0</v>
      </c>
      <c r="K419" s="41">
        <v>139622.82999999999</v>
      </c>
    </row>
    <row r="420" spans="1:11">
      <c r="A420" s="562">
        <v>68001</v>
      </c>
      <c r="B420" s="562">
        <v>75818</v>
      </c>
      <c r="C420" s="562">
        <v>68008858</v>
      </c>
      <c r="D420" s="562" t="s">
        <v>2845</v>
      </c>
      <c r="E420" s="562"/>
      <c r="F420" s="41">
        <v>116666.67</v>
      </c>
      <c r="G420" s="41">
        <v>0</v>
      </c>
      <c r="H420" s="41">
        <v>23305.200000000001</v>
      </c>
      <c r="I420" s="41">
        <v>0</v>
      </c>
      <c r="K420" s="41">
        <v>139971.87</v>
      </c>
    </row>
    <row r="421" spans="1:11">
      <c r="A421" s="562">
        <v>68001</v>
      </c>
      <c r="B421" s="562">
        <v>75818</v>
      </c>
      <c r="C421" s="562">
        <v>68008858</v>
      </c>
      <c r="D421" s="562" t="s">
        <v>2846</v>
      </c>
      <c r="E421" s="562"/>
      <c r="F421" s="41">
        <v>116666.67</v>
      </c>
      <c r="G421" s="41">
        <v>0</v>
      </c>
      <c r="H421" s="41">
        <v>22150.68</v>
      </c>
      <c r="I421" s="41">
        <v>0</v>
      </c>
      <c r="K421" s="41">
        <v>138817.35</v>
      </c>
    </row>
    <row r="422" spans="1:11">
      <c r="A422" s="562">
        <v>68001</v>
      </c>
      <c r="B422" s="562">
        <v>77237</v>
      </c>
      <c r="C422" s="562">
        <v>68008859</v>
      </c>
      <c r="D422" s="562" t="s">
        <v>2835</v>
      </c>
      <c r="E422" s="562"/>
      <c r="F422" s="41">
        <v>6533.33</v>
      </c>
      <c r="G422" s="41">
        <v>0</v>
      </c>
      <c r="H422" s="41">
        <v>2607.2600000000002</v>
      </c>
      <c r="I422" s="41">
        <v>0</v>
      </c>
      <c r="K422" s="41">
        <v>9140.59</v>
      </c>
    </row>
    <row r="423" spans="1:11">
      <c r="A423" s="562">
        <v>68001</v>
      </c>
      <c r="B423" s="562">
        <v>77237</v>
      </c>
      <c r="C423" s="562">
        <v>68008859</v>
      </c>
      <c r="D423" s="562" t="s">
        <v>2836</v>
      </c>
      <c r="E423" s="562"/>
      <c r="F423" s="41">
        <v>6533.33</v>
      </c>
      <c r="G423" s="41">
        <v>0</v>
      </c>
      <c r="H423" s="41">
        <v>2570.54</v>
      </c>
      <c r="I423" s="41">
        <v>0</v>
      </c>
      <c r="K423" s="41">
        <v>9103.8700000000008</v>
      </c>
    </row>
    <row r="424" spans="1:11">
      <c r="A424" s="562">
        <v>68001</v>
      </c>
      <c r="B424" s="562">
        <v>77237</v>
      </c>
      <c r="C424" s="562">
        <v>68008859</v>
      </c>
      <c r="D424" s="562" t="s">
        <v>2837</v>
      </c>
      <c r="E424" s="562"/>
      <c r="F424" s="41">
        <v>6533.33</v>
      </c>
      <c r="G424" s="41">
        <v>0</v>
      </c>
      <c r="H424" s="41">
        <v>2287.9899999999998</v>
      </c>
      <c r="I424" s="41">
        <v>0</v>
      </c>
      <c r="K424" s="41">
        <v>8821.32</v>
      </c>
    </row>
    <row r="425" spans="1:11">
      <c r="A425" s="562">
        <v>68001</v>
      </c>
      <c r="B425" s="562">
        <v>77237</v>
      </c>
      <c r="C425" s="562">
        <v>68008859</v>
      </c>
      <c r="D425" s="562" t="s">
        <v>2838</v>
      </c>
      <c r="E425" s="562"/>
      <c r="F425" s="41">
        <v>6533.33</v>
      </c>
      <c r="G425" s="41">
        <v>0</v>
      </c>
      <c r="H425" s="41">
        <v>2497.1</v>
      </c>
      <c r="I425" s="41">
        <v>0</v>
      </c>
      <c r="K425" s="41">
        <v>9030.43</v>
      </c>
    </row>
    <row r="426" spans="1:11">
      <c r="A426" s="562">
        <v>68001</v>
      </c>
      <c r="B426" s="562">
        <v>77237</v>
      </c>
      <c r="C426" s="562">
        <v>68008859</v>
      </c>
      <c r="D426" s="562" t="s">
        <v>2839</v>
      </c>
      <c r="E426" s="562"/>
      <c r="F426" s="41">
        <v>6533.33</v>
      </c>
      <c r="G426" s="41">
        <v>0</v>
      </c>
      <c r="H426" s="41">
        <v>2380.79</v>
      </c>
      <c r="I426" s="41">
        <v>0</v>
      </c>
      <c r="K426" s="41">
        <v>8914.1200000000008</v>
      </c>
    </row>
    <row r="427" spans="1:11">
      <c r="A427" s="562">
        <v>68001</v>
      </c>
      <c r="B427" s="562">
        <v>77237</v>
      </c>
      <c r="C427" s="562">
        <v>68008859</v>
      </c>
      <c r="D427" s="562" t="s">
        <v>2840</v>
      </c>
      <c r="E427" s="562"/>
      <c r="F427" s="41">
        <v>6533.33</v>
      </c>
      <c r="G427" s="41">
        <v>0</v>
      </c>
      <c r="H427" s="41">
        <v>2423.65</v>
      </c>
      <c r="I427" s="41">
        <v>0</v>
      </c>
      <c r="K427" s="41">
        <v>8956.98</v>
      </c>
    </row>
    <row r="428" spans="1:11">
      <c r="A428" s="562">
        <v>68001</v>
      </c>
      <c r="B428" s="562">
        <v>77237</v>
      </c>
      <c r="C428" s="562">
        <v>68008859</v>
      </c>
      <c r="D428" s="562" t="s">
        <v>2841</v>
      </c>
      <c r="E428" s="562"/>
      <c r="F428" s="41">
        <v>6533.33</v>
      </c>
      <c r="G428" s="41">
        <v>0</v>
      </c>
      <c r="H428" s="41">
        <v>2309.7199999999998</v>
      </c>
      <c r="I428" s="41">
        <v>0</v>
      </c>
      <c r="K428" s="41">
        <v>8843.0499999999993</v>
      </c>
    </row>
    <row r="429" spans="1:11">
      <c r="A429" s="562">
        <v>68001</v>
      </c>
      <c r="B429" s="562">
        <v>77237</v>
      </c>
      <c r="C429" s="562">
        <v>68008859</v>
      </c>
      <c r="D429" s="562" t="s">
        <v>2842</v>
      </c>
      <c r="E429" s="562"/>
      <c r="F429" s="41">
        <v>6533.33</v>
      </c>
      <c r="G429" s="41">
        <v>0</v>
      </c>
      <c r="H429" s="41">
        <v>2350.21</v>
      </c>
      <c r="I429" s="41">
        <v>0</v>
      </c>
      <c r="K429" s="41">
        <v>8883.5400000000009</v>
      </c>
    </row>
    <row r="430" spans="1:11">
      <c r="A430" s="562">
        <v>68001</v>
      </c>
      <c r="B430" s="562">
        <v>77237</v>
      </c>
      <c r="C430" s="562">
        <v>68008859</v>
      </c>
      <c r="D430" s="562" t="s">
        <v>2843</v>
      </c>
      <c r="E430" s="562"/>
      <c r="F430" s="41">
        <v>6533.33</v>
      </c>
      <c r="G430" s="41">
        <v>0</v>
      </c>
      <c r="H430" s="41">
        <v>2313.4899999999998</v>
      </c>
      <c r="I430" s="41">
        <v>0</v>
      </c>
      <c r="K430" s="41">
        <v>8846.82</v>
      </c>
    </row>
    <row r="431" spans="1:11">
      <c r="A431" s="562">
        <v>68001</v>
      </c>
      <c r="B431" s="562">
        <v>77237</v>
      </c>
      <c r="C431" s="562">
        <v>68008859</v>
      </c>
      <c r="D431" s="562" t="s">
        <v>2844</v>
      </c>
      <c r="E431" s="562"/>
      <c r="F431" s="41">
        <v>6533.33</v>
      </c>
      <c r="G431" s="41">
        <v>0</v>
      </c>
      <c r="H431" s="41">
        <v>2203.12</v>
      </c>
      <c r="I431" s="41">
        <v>0</v>
      </c>
      <c r="K431" s="41">
        <v>8736.4500000000007</v>
      </c>
    </row>
    <row r="432" spans="1:11">
      <c r="A432" s="562">
        <v>68001</v>
      </c>
      <c r="B432" s="562">
        <v>77237</v>
      </c>
      <c r="C432" s="562">
        <v>68008859</v>
      </c>
      <c r="D432" s="562" t="s">
        <v>2845</v>
      </c>
      <c r="E432" s="562"/>
      <c r="F432" s="41">
        <v>6533.33</v>
      </c>
      <c r="G432" s="41">
        <v>0</v>
      </c>
      <c r="H432" s="41">
        <v>2240.04</v>
      </c>
      <c r="I432" s="41">
        <v>0</v>
      </c>
      <c r="K432" s="41">
        <v>8773.3700000000008</v>
      </c>
    </row>
    <row r="433" spans="1:11">
      <c r="A433" s="562">
        <v>68001</v>
      </c>
      <c r="B433" s="562">
        <v>77237</v>
      </c>
      <c r="C433" s="562">
        <v>68008859</v>
      </c>
      <c r="D433" s="562" t="s">
        <v>2846</v>
      </c>
      <c r="E433" s="562"/>
      <c r="F433" s="41">
        <v>6533.33</v>
      </c>
      <c r="G433" s="41">
        <v>0</v>
      </c>
      <c r="H433" s="41">
        <v>2132.0500000000002</v>
      </c>
      <c r="I433" s="41">
        <v>0</v>
      </c>
      <c r="K433" s="41">
        <v>8665.3799999999992</v>
      </c>
    </row>
    <row r="434" spans="1:11">
      <c r="A434" s="562">
        <v>68001</v>
      </c>
      <c r="B434" s="562">
        <v>78507</v>
      </c>
      <c r="C434" s="562">
        <v>68008860</v>
      </c>
      <c r="D434" s="562" t="s">
        <v>2835</v>
      </c>
      <c r="E434" s="562"/>
      <c r="F434" s="41">
        <v>59446.43</v>
      </c>
      <c r="G434" s="41">
        <v>0</v>
      </c>
      <c r="H434" s="41">
        <v>16173.54</v>
      </c>
      <c r="I434" s="41">
        <v>0</v>
      </c>
      <c r="K434" s="41">
        <v>75619.97</v>
      </c>
    </row>
    <row r="435" spans="1:11">
      <c r="A435" s="562">
        <v>68001</v>
      </c>
      <c r="B435" s="562">
        <v>78507</v>
      </c>
      <c r="C435" s="562">
        <v>68008860</v>
      </c>
      <c r="D435" s="562" t="s">
        <v>2836</v>
      </c>
      <c r="E435" s="562"/>
      <c r="F435" s="41">
        <v>59446.43</v>
      </c>
      <c r="G435" s="41">
        <v>0</v>
      </c>
      <c r="H435" s="41">
        <v>15966.18</v>
      </c>
      <c r="I435" s="41">
        <v>0</v>
      </c>
      <c r="K435" s="41">
        <v>75412.61</v>
      </c>
    </row>
    <row r="436" spans="1:11">
      <c r="A436" s="562">
        <v>68001</v>
      </c>
      <c r="B436" s="562">
        <v>78507</v>
      </c>
      <c r="C436" s="562">
        <v>68008860</v>
      </c>
      <c r="D436" s="562" t="s">
        <v>2837</v>
      </c>
      <c r="E436" s="562"/>
      <c r="F436" s="41">
        <v>59446.43</v>
      </c>
      <c r="G436" s="41">
        <v>0</v>
      </c>
      <c r="H436" s="41">
        <v>14231.38</v>
      </c>
      <c r="I436" s="41">
        <v>0</v>
      </c>
      <c r="K436" s="41">
        <v>73677.81</v>
      </c>
    </row>
    <row r="437" spans="1:11">
      <c r="A437" s="562">
        <v>68001</v>
      </c>
      <c r="B437" s="562">
        <v>78507</v>
      </c>
      <c r="C437" s="562">
        <v>68008860</v>
      </c>
      <c r="D437" s="562" t="s">
        <v>2838</v>
      </c>
      <c r="E437" s="562"/>
      <c r="F437" s="41">
        <v>59446.43</v>
      </c>
      <c r="G437" s="41">
        <v>0</v>
      </c>
      <c r="H437" s="41">
        <v>15551.48</v>
      </c>
      <c r="I437" s="41">
        <v>0</v>
      </c>
      <c r="K437" s="41">
        <v>74997.91</v>
      </c>
    </row>
    <row r="438" spans="1:11">
      <c r="A438" s="562">
        <v>68001</v>
      </c>
      <c r="B438" s="562">
        <v>78507</v>
      </c>
      <c r="C438" s="562">
        <v>68008860</v>
      </c>
      <c r="D438" s="562" t="s">
        <v>2839</v>
      </c>
      <c r="E438" s="562"/>
      <c r="F438" s="41">
        <v>59446.43</v>
      </c>
      <c r="G438" s="41">
        <v>0</v>
      </c>
      <c r="H438" s="41">
        <v>14848.32</v>
      </c>
      <c r="I438" s="41">
        <v>0</v>
      </c>
      <c r="K438" s="41">
        <v>74294.75</v>
      </c>
    </row>
    <row r="439" spans="1:11">
      <c r="A439" s="562">
        <v>68001</v>
      </c>
      <c r="B439" s="562">
        <v>78507</v>
      </c>
      <c r="C439" s="562">
        <v>68008860</v>
      </c>
      <c r="D439" s="562" t="s">
        <v>2840</v>
      </c>
      <c r="E439" s="562"/>
      <c r="F439" s="41">
        <v>59446.43</v>
      </c>
      <c r="G439" s="41">
        <v>0</v>
      </c>
      <c r="H439" s="41">
        <v>15136.77</v>
      </c>
      <c r="I439" s="41">
        <v>0</v>
      </c>
      <c r="K439" s="41">
        <v>74583.199999999997</v>
      </c>
    </row>
    <row r="440" spans="1:11">
      <c r="A440" s="562">
        <v>68001</v>
      </c>
      <c r="B440" s="562">
        <v>78507</v>
      </c>
      <c r="C440" s="562">
        <v>68008860</v>
      </c>
      <c r="D440" s="562" t="s">
        <v>2841</v>
      </c>
      <c r="E440" s="562"/>
      <c r="F440" s="41">
        <v>59446.43</v>
      </c>
      <c r="G440" s="41">
        <v>0</v>
      </c>
      <c r="H440" s="41">
        <v>14447.01</v>
      </c>
      <c r="I440" s="41">
        <v>0</v>
      </c>
      <c r="K440" s="41">
        <v>73893.440000000002</v>
      </c>
    </row>
    <row r="441" spans="1:11">
      <c r="A441" s="562">
        <v>68001</v>
      </c>
      <c r="B441" s="562">
        <v>78507</v>
      </c>
      <c r="C441" s="562">
        <v>68008860</v>
      </c>
      <c r="D441" s="562" t="s">
        <v>2842</v>
      </c>
      <c r="E441" s="562"/>
      <c r="F441" s="41">
        <v>59446.43</v>
      </c>
      <c r="G441" s="41">
        <v>0</v>
      </c>
      <c r="H441" s="41">
        <v>14722.06</v>
      </c>
      <c r="I441" s="41">
        <v>0</v>
      </c>
      <c r="K441" s="41">
        <v>74168.490000000005</v>
      </c>
    </row>
    <row r="442" spans="1:11">
      <c r="A442" s="562">
        <v>68001</v>
      </c>
      <c r="B442" s="562">
        <v>78507</v>
      </c>
      <c r="C442" s="562">
        <v>68008860</v>
      </c>
      <c r="D442" s="562" t="s">
        <v>2843</v>
      </c>
      <c r="E442" s="562"/>
      <c r="F442" s="41">
        <v>59446.43</v>
      </c>
      <c r="G442" s="41">
        <v>0</v>
      </c>
      <c r="H442" s="41">
        <v>14514.71</v>
      </c>
      <c r="I442" s="41">
        <v>0</v>
      </c>
      <c r="K442" s="41">
        <v>73961.14</v>
      </c>
    </row>
    <row r="443" spans="1:11">
      <c r="A443" s="562">
        <v>68001</v>
      </c>
      <c r="B443" s="562">
        <v>78507</v>
      </c>
      <c r="C443" s="562">
        <v>68008860</v>
      </c>
      <c r="D443" s="562" t="s">
        <v>2844</v>
      </c>
      <c r="E443" s="562"/>
      <c r="F443" s="41">
        <v>59446.43</v>
      </c>
      <c r="G443" s="41">
        <v>0</v>
      </c>
      <c r="H443" s="41">
        <v>13845.05</v>
      </c>
      <c r="I443" s="41">
        <v>0</v>
      </c>
      <c r="K443" s="41">
        <v>73291.48</v>
      </c>
    </row>
    <row r="444" spans="1:11">
      <c r="A444" s="562">
        <v>68001</v>
      </c>
      <c r="B444" s="562">
        <v>78507</v>
      </c>
      <c r="C444" s="562">
        <v>68008860</v>
      </c>
      <c r="D444" s="562" t="s">
        <v>2845</v>
      </c>
      <c r="E444" s="562"/>
      <c r="F444" s="41">
        <v>59446.43</v>
      </c>
      <c r="G444" s="41">
        <v>0</v>
      </c>
      <c r="H444" s="41">
        <v>14100.01</v>
      </c>
      <c r="I444" s="41">
        <v>0</v>
      </c>
      <c r="K444" s="41">
        <v>73546.44</v>
      </c>
    </row>
    <row r="445" spans="1:11">
      <c r="A445" s="562">
        <v>68001</v>
      </c>
      <c r="B445" s="562">
        <v>78507</v>
      </c>
      <c r="C445" s="562">
        <v>68008860</v>
      </c>
      <c r="D445" s="562" t="s">
        <v>2846</v>
      </c>
      <c r="E445" s="562"/>
      <c r="F445" s="41">
        <v>59446.43</v>
      </c>
      <c r="G445" s="41">
        <v>0</v>
      </c>
      <c r="H445" s="41">
        <v>13443.75</v>
      </c>
      <c r="I445" s="41">
        <v>0</v>
      </c>
      <c r="K445" s="41">
        <v>72890.179999999993</v>
      </c>
    </row>
    <row r="446" spans="1:11">
      <c r="A446" s="562">
        <v>68001</v>
      </c>
      <c r="B446" s="562">
        <v>79240</v>
      </c>
      <c r="C446" s="562">
        <v>68008861</v>
      </c>
      <c r="D446" s="562" t="s">
        <v>2835</v>
      </c>
      <c r="E446" s="562"/>
      <c r="F446" s="41">
        <v>55555.56</v>
      </c>
      <c r="G446" s="41">
        <v>0</v>
      </c>
      <c r="H446" s="41">
        <v>15890.08</v>
      </c>
      <c r="I446" s="41">
        <v>0</v>
      </c>
      <c r="K446" s="41">
        <v>71445.64</v>
      </c>
    </row>
    <row r="447" spans="1:11">
      <c r="A447" s="562">
        <v>68001</v>
      </c>
      <c r="B447" s="562">
        <v>79240</v>
      </c>
      <c r="C447" s="562">
        <v>68008861</v>
      </c>
      <c r="D447" s="562" t="s">
        <v>2836</v>
      </c>
      <c r="E447" s="562"/>
      <c r="F447" s="41">
        <v>55555.56</v>
      </c>
      <c r="G447" s="41">
        <v>0</v>
      </c>
      <c r="H447" s="41">
        <v>15696.29</v>
      </c>
      <c r="I447" s="41">
        <v>0</v>
      </c>
      <c r="K447" s="41">
        <v>71251.850000000006</v>
      </c>
    </row>
    <row r="448" spans="1:11">
      <c r="A448" s="562">
        <v>68001</v>
      </c>
      <c r="B448" s="562">
        <v>79240</v>
      </c>
      <c r="C448" s="562">
        <v>68008861</v>
      </c>
      <c r="D448" s="562" t="s">
        <v>2837</v>
      </c>
      <c r="E448" s="562"/>
      <c r="F448" s="41">
        <v>55555.56</v>
      </c>
      <c r="G448" s="41">
        <v>0</v>
      </c>
      <c r="H448" s="41">
        <v>13999.91</v>
      </c>
      <c r="I448" s="41">
        <v>0</v>
      </c>
      <c r="K448" s="41">
        <v>69555.47</v>
      </c>
    </row>
    <row r="449" spans="1:11">
      <c r="A449" s="562">
        <v>68001</v>
      </c>
      <c r="B449" s="562">
        <v>79240</v>
      </c>
      <c r="C449" s="562">
        <v>68008861</v>
      </c>
      <c r="D449" s="562" t="s">
        <v>2838</v>
      </c>
      <c r="E449" s="562"/>
      <c r="F449" s="41">
        <v>55555.56</v>
      </c>
      <c r="G449" s="41">
        <v>0</v>
      </c>
      <c r="H449" s="41">
        <v>15308.73</v>
      </c>
      <c r="I449" s="41">
        <v>0</v>
      </c>
      <c r="K449" s="41">
        <v>70864.289999999994</v>
      </c>
    </row>
    <row r="450" spans="1:11">
      <c r="A450" s="562">
        <v>68001</v>
      </c>
      <c r="B450" s="562">
        <v>79240</v>
      </c>
      <c r="C450" s="562">
        <v>68008861</v>
      </c>
      <c r="D450" s="562" t="s">
        <v>2839</v>
      </c>
      <c r="E450" s="562"/>
      <c r="F450" s="41">
        <v>55555.56</v>
      </c>
      <c r="G450" s="41">
        <v>0</v>
      </c>
      <c r="H450" s="41">
        <v>14626.55</v>
      </c>
      <c r="I450" s="41">
        <v>0</v>
      </c>
      <c r="K450" s="41">
        <v>70182.11</v>
      </c>
    </row>
    <row r="451" spans="1:11">
      <c r="A451" s="562">
        <v>68001</v>
      </c>
      <c r="B451" s="562">
        <v>79240</v>
      </c>
      <c r="C451" s="562">
        <v>68008861</v>
      </c>
      <c r="D451" s="562" t="s">
        <v>2840</v>
      </c>
      <c r="E451" s="562"/>
      <c r="F451" s="41">
        <v>55555.56</v>
      </c>
      <c r="G451" s="41">
        <v>0</v>
      </c>
      <c r="H451" s="41">
        <v>14921.17</v>
      </c>
      <c r="I451" s="41">
        <v>0</v>
      </c>
      <c r="K451" s="41">
        <v>70476.73</v>
      </c>
    </row>
    <row r="452" spans="1:11">
      <c r="A452" s="562">
        <v>68001</v>
      </c>
      <c r="B452" s="562">
        <v>79240</v>
      </c>
      <c r="C452" s="562">
        <v>68008861</v>
      </c>
      <c r="D452" s="562" t="s">
        <v>2841</v>
      </c>
      <c r="E452" s="562"/>
      <c r="F452" s="41">
        <v>55555.56</v>
      </c>
      <c r="G452" s="41">
        <v>0</v>
      </c>
      <c r="H452" s="41">
        <v>14251.51</v>
      </c>
      <c r="I452" s="41">
        <v>0</v>
      </c>
      <c r="K452" s="41">
        <v>69807.070000000007</v>
      </c>
    </row>
    <row r="453" spans="1:11">
      <c r="A453" s="562">
        <v>68001</v>
      </c>
      <c r="B453" s="562">
        <v>79240</v>
      </c>
      <c r="C453" s="562">
        <v>68008861</v>
      </c>
      <c r="D453" s="562" t="s">
        <v>2842</v>
      </c>
      <c r="E453" s="562"/>
      <c r="F453" s="41">
        <v>55555.56</v>
      </c>
      <c r="G453" s="41">
        <v>0</v>
      </c>
      <c r="H453" s="41">
        <v>14533.61</v>
      </c>
      <c r="I453" s="41">
        <v>0</v>
      </c>
      <c r="K453" s="41">
        <v>70089.17</v>
      </c>
    </row>
    <row r="454" spans="1:11">
      <c r="A454" s="562">
        <v>68001</v>
      </c>
      <c r="B454" s="562">
        <v>79240</v>
      </c>
      <c r="C454" s="562">
        <v>68008861</v>
      </c>
      <c r="D454" s="562" t="s">
        <v>2843</v>
      </c>
      <c r="E454" s="562"/>
      <c r="F454" s="41">
        <v>55555.56</v>
      </c>
      <c r="G454" s="41">
        <v>0</v>
      </c>
      <c r="H454" s="41">
        <v>14339.82</v>
      </c>
      <c r="I454" s="41">
        <v>0</v>
      </c>
      <c r="K454" s="41">
        <v>69895.38</v>
      </c>
    </row>
    <row r="455" spans="1:11">
      <c r="A455" s="562">
        <v>68001</v>
      </c>
      <c r="B455" s="562">
        <v>79240</v>
      </c>
      <c r="C455" s="562">
        <v>68008861</v>
      </c>
      <c r="D455" s="562" t="s">
        <v>2844</v>
      </c>
      <c r="E455" s="562"/>
      <c r="F455" s="41">
        <v>55555.56</v>
      </c>
      <c r="G455" s="41">
        <v>0</v>
      </c>
      <c r="H455" s="41">
        <v>13688.95</v>
      </c>
      <c r="I455" s="41">
        <v>0</v>
      </c>
      <c r="K455" s="41">
        <v>69244.509999999995</v>
      </c>
    </row>
    <row r="456" spans="1:11">
      <c r="A456" s="562">
        <v>68001</v>
      </c>
      <c r="B456" s="562">
        <v>79240</v>
      </c>
      <c r="C456" s="562">
        <v>68008861</v>
      </c>
      <c r="D456" s="562" t="s">
        <v>2845</v>
      </c>
      <c r="E456" s="562"/>
      <c r="F456" s="41">
        <v>55555.56</v>
      </c>
      <c r="G456" s="41">
        <v>0</v>
      </c>
      <c r="H456" s="41">
        <v>13952.26</v>
      </c>
      <c r="I456" s="41">
        <v>0</v>
      </c>
      <c r="K456" s="41">
        <v>69507.820000000007</v>
      </c>
    </row>
    <row r="457" spans="1:11">
      <c r="A457" s="562">
        <v>68001</v>
      </c>
      <c r="B457" s="562">
        <v>79240</v>
      </c>
      <c r="C457" s="562">
        <v>68008861</v>
      </c>
      <c r="D457" s="562" t="s">
        <v>2846</v>
      </c>
      <c r="E457" s="562"/>
      <c r="F457" s="41">
        <v>55555.56</v>
      </c>
      <c r="G457" s="41">
        <v>0</v>
      </c>
      <c r="H457" s="41">
        <v>13313.91</v>
      </c>
      <c r="I457" s="41">
        <v>0</v>
      </c>
      <c r="K457" s="41">
        <v>68869.47</v>
      </c>
    </row>
    <row r="458" spans="1:11">
      <c r="A458" s="562">
        <v>68001</v>
      </c>
      <c r="B458" s="562">
        <v>82313</v>
      </c>
      <c r="C458" s="562">
        <v>68008862</v>
      </c>
      <c r="D458" s="562" t="s">
        <v>2835</v>
      </c>
      <c r="E458" s="562"/>
      <c r="F458" s="41">
        <v>31386.880000000001</v>
      </c>
      <c r="G458" s="41">
        <v>0</v>
      </c>
      <c r="H458" s="41">
        <v>5832.02</v>
      </c>
      <c r="I458" s="41">
        <v>0</v>
      </c>
      <c r="K458" s="41">
        <v>37218.9</v>
      </c>
    </row>
    <row r="459" spans="1:11">
      <c r="A459" s="562">
        <v>68001</v>
      </c>
      <c r="B459" s="562">
        <v>82313</v>
      </c>
      <c r="C459" s="562">
        <v>68008862</v>
      </c>
      <c r="D459" s="562" t="s">
        <v>2836</v>
      </c>
      <c r="E459" s="562"/>
      <c r="F459" s="41">
        <v>31386.880000000001</v>
      </c>
      <c r="G459" s="41">
        <v>0</v>
      </c>
      <c r="H459" s="41">
        <v>5719.87</v>
      </c>
      <c r="I459" s="41">
        <v>0</v>
      </c>
      <c r="K459" s="41">
        <v>37106.75</v>
      </c>
    </row>
    <row r="460" spans="1:11">
      <c r="A460" s="562">
        <v>68001</v>
      </c>
      <c r="B460" s="562">
        <v>82313</v>
      </c>
      <c r="C460" s="562">
        <v>68008862</v>
      </c>
      <c r="D460" s="562" t="s">
        <v>2837</v>
      </c>
      <c r="E460" s="562"/>
      <c r="F460" s="41">
        <v>31386.880000000001</v>
      </c>
      <c r="G460" s="41">
        <v>0</v>
      </c>
      <c r="H460" s="41">
        <v>5064.16</v>
      </c>
      <c r="I460" s="41">
        <v>0</v>
      </c>
      <c r="K460" s="41">
        <v>36451.040000000001</v>
      </c>
    </row>
    <row r="461" spans="1:11">
      <c r="A461" s="562">
        <v>68001</v>
      </c>
      <c r="B461" s="562">
        <v>82313</v>
      </c>
      <c r="C461" s="562">
        <v>68008862</v>
      </c>
      <c r="D461" s="562" t="s">
        <v>2838</v>
      </c>
      <c r="E461" s="562"/>
      <c r="F461" s="41">
        <v>31386.880000000001</v>
      </c>
      <c r="G461" s="41">
        <v>0</v>
      </c>
      <c r="H461" s="41">
        <v>5495.56</v>
      </c>
      <c r="I461" s="41">
        <v>0</v>
      </c>
      <c r="K461" s="41">
        <v>36882.44</v>
      </c>
    </row>
    <row r="462" spans="1:11">
      <c r="A462" s="562">
        <v>68001</v>
      </c>
      <c r="B462" s="562">
        <v>82313</v>
      </c>
      <c r="C462" s="562">
        <v>68008862</v>
      </c>
      <c r="D462" s="562" t="s">
        <v>2839</v>
      </c>
      <c r="E462" s="562"/>
      <c r="F462" s="41">
        <v>31386.880000000001</v>
      </c>
      <c r="G462" s="41">
        <v>0</v>
      </c>
      <c r="H462" s="41">
        <v>5209.45</v>
      </c>
      <c r="I462" s="41">
        <v>0</v>
      </c>
      <c r="K462" s="41">
        <v>36596.33</v>
      </c>
    </row>
    <row r="463" spans="1:11">
      <c r="A463" s="562">
        <v>68001</v>
      </c>
      <c r="B463" s="562">
        <v>82313</v>
      </c>
      <c r="C463" s="562">
        <v>68008862</v>
      </c>
      <c r="D463" s="562" t="s">
        <v>2840</v>
      </c>
      <c r="E463" s="562"/>
      <c r="F463" s="41">
        <v>31386.880000000001</v>
      </c>
      <c r="G463" s="41">
        <v>0</v>
      </c>
      <c r="H463" s="41">
        <v>5271.25</v>
      </c>
      <c r="I463" s="41">
        <v>0</v>
      </c>
      <c r="K463" s="41">
        <v>36658.129999999997</v>
      </c>
    </row>
    <row r="464" spans="1:11">
      <c r="A464" s="562">
        <v>68001</v>
      </c>
      <c r="B464" s="562">
        <v>82313</v>
      </c>
      <c r="C464" s="562">
        <v>68008862</v>
      </c>
      <c r="D464" s="562" t="s">
        <v>2841</v>
      </c>
      <c r="E464" s="562"/>
      <c r="F464" s="41">
        <v>31386.880000000001</v>
      </c>
      <c r="G464" s="41">
        <v>0</v>
      </c>
      <c r="H464" s="41">
        <v>4992.3900000000003</v>
      </c>
      <c r="I464" s="41">
        <v>0</v>
      </c>
      <c r="K464" s="41">
        <v>36379.269999999997</v>
      </c>
    </row>
    <row r="465" spans="1:11">
      <c r="A465" s="562">
        <v>68001</v>
      </c>
      <c r="B465" s="562">
        <v>82313</v>
      </c>
      <c r="C465" s="562">
        <v>68008862</v>
      </c>
      <c r="D465" s="562" t="s">
        <v>2842</v>
      </c>
      <c r="E465" s="562"/>
      <c r="F465" s="41">
        <v>31386.880000000001</v>
      </c>
      <c r="G465" s="41">
        <v>0</v>
      </c>
      <c r="H465" s="41">
        <v>5046.9399999999996</v>
      </c>
      <c r="I465" s="41">
        <v>0</v>
      </c>
      <c r="K465" s="41">
        <v>36433.82</v>
      </c>
    </row>
    <row r="466" spans="1:11">
      <c r="A466" s="562">
        <v>68001</v>
      </c>
      <c r="B466" s="562">
        <v>82313</v>
      </c>
      <c r="C466" s="562">
        <v>68008862</v>
      </c>
      <c r="D466" s="562" t="s">
        <v>2843</v>
      </c>
      <c r="E466" s="562"/>
      <c r="F466" s="41">
        <v>31386.880000000001</v>
      </c>
      <c r="G466" s="41">
        <v>0</v>
      </c>
      <c r="H466" s="41">
        <v>4934.79</v>
      </c>
      <c r="I466" s="41">
        <v>0</v>
      </c>
      <c r="K466" s="41">
        <v>36321.67</v>
      </c>
    </row>
    <row r="467" spans="1:11">
      <c r="A467" s="562">
        <v>68001</v>
      </c>
      <c r="B467" s="562">
        <v>82313</v>
      </c>
      <c r="C467" s="562">
        <v>68008862</v>
      </c>
      <c r="D467" s="562" t="s">
        <v>2844</v>
      </c>
      <c r="E467" s="562"/>
      <c r="F467" s="41">
        <v>31386.880000000001</v>
      </c>
      <c r="G467" s="41">
        <v>0</v>
      </c>
      <c r="H467" s="41">
        <v>4666.8</v>
      </c>
      <c r="I467" s="41">
        <v>0</v>
      </c>
      <c r="K467" s="41">
        <v>36053.68</v>
      </c>
    </row>
    <row r="468" spans="1:11">
      <c r="A468" s="562">
        <v>68001</v>
      </c>
      <c r="B468" s="562">
        <v>82313</v>
      </c>
      <c r="C468" s="562">
        <v>68008862</v>
      </c>
      <c r="D468" s="562" t="s">
        <v>2845</v>
      </c>
      <c r="E468" s="562"/>
      <c r="F468" s="41">
        <v>31386.880000000001</v>
      </c>
      <c r="G468" s="41">
        <v>0</v>
      </c>
      <c r="H468" s="41">
        <v>4710.4799999999996</v>
      </c>
      <c r="I468" s="41">
        <v>0</v>
      </c>
      <c r="K468" s="41">
        <v>36097.360000000001</v>
      </c>
    </row>
    <row r="469" spans="1:11">
      <c r="A469" s="562">
        <v>68001</v>
      </c>
      <c r="B469" s="562">
        <v>82313</v>
      </c>
      <c r="C469" s="562">
        <v>68008862</v>
      </c>
      <c r="D469" s="562" t="s">
        <v>2846</v>
      </c>
      <c r="E469" s="562"/>
      <c r="F469" s="41">
        <v>31386.880000000001</v>
      </c>
      <c r="G469" s="41">
        <v>0</v>
      </c>
      <c r="H469" s="41">
        <v>4449.74</v>
      </c>
      <c r="I469" s="41">
        <v>0</v>
      </c>
      <c r="K469" s="41">
        <v>35836.620000000003</v>
      </c>
    </row>
    <row r="470" spans="1:11">
      <c r="A470" s="562">
        <v>68001</v>
      </c>
      <c r="B470" s="562"/>
      <c r="C470" s="562">
        <v>68008864</v>
      </c>
      <c r="D470" s="562" t="s">
        <v>2835</v>
      </c>
      <c r="E470" s="562"/>
      <c r="F470" s="41">
        <v>66666.67</v>
      </c>
      <c r="G470" s="41">
        <v>0</v>
      </c>
      <c r="H470" s="41">
        <v>11180.17</v>
      </c>
      <c r="I470" s="41">
        <v>0</v>
      </c>
      <c r="K470" s="41">
        <v>77846.84</v>
      </c>
    </row>
    <row r="471" spans="1:11">
      <c r="A471" s="562">
        <v>68001</v>
      </c>
      <c r="B471" s="562"/>
      <c r="C471" s="562">
        <v>68008864</v>
      </c>
      <c r="D471" s="562" t="s">
        <v>2836</v>
      </c>
      <c r="E471" s="562"/>
      <c r="F471" s="41">
        <v>66666.67</v>
      </c>
      <c r="G471" s="41">
        <v>0</v>
      </c>
      <c r="H471" s="41">
        <v>11104.11</v>
      </c>
      <c r="I471" s="41">
        <v>0</v>
      </c>
      <c r="K471" s="41">
        <v>77770.78</v>
      </c>
    </row>
    <row r="472" spans="1:11">
      <c r="A472" s="562">
        <v>68001</v>
      </c>
      <c r="B472" s="562"/>
      <c r="C472" s="562">
        <v>68008864</v>
      </c>
      <c r="D472" s="562" t="s">
        <v>2837</v>
      </c>
      <c r="E472" s="562"/>
      <c r="F472" s="41">
        <v>66666.67</v>
      </c>
      <c r="G472" s="41">
        <v>0</v>
      </c>
      <c r="H472" s="41">
        <v>11028.06</v>
      </c>
      <c r="I472" s="41">
        <v>0</v>
      </c>
      <c r="K472" s="41">
        <v>77694.73</v>
      </c>
    </row>
    <row r="473" spans="1:11">
      <c r="A473" s="562">
        <v>68001</v>
      </c>
      <c r="B473" s="562"/>
      <c r="C473" s="562">
        <v>68008864</v>
      </c>
      <c r="D473" s="562" t="s">
        <v>2838</v>
      </c>
      <c r="E473" s="562"/>
      <c r="F473" s="41">
        <v>66666.67</v>
      </c>
      <c r="G473" s="41">
        <v>0</v>
      </c>
      <c r="H473" s="41">
        <v>10952</v>
      </c>
      <c r="I473" s="41">
        <v>0</v>
      </c>
      <c r="K473" s="41">
        <v>77618.67</v>
      </c>
    </row>
    <row r="474" spans="1:11">
      <c r="A474" s="562">
        <v>68001</v>
      </c>
      <c r="B474" s="562"/>
      <c r="C474" s="562">
        <v>68008864</v>
      </c>
      <c r="D474" s="562" t="s">
        <v>2839</v>
      </c>
      <c r="E474" s="562"/>
      <c r="F474" s="41">
        <v>66666.67</v>
      </c>
      <c r="G474" s="41">
        <v>0</v>
      </c>
      <c r="H474" s="41">
        <v>10875.94</v>
      </c>
      <c r="I474" s="41">
        <v>0</v>
      </c>
      <c r="K474" s="41">
        <v>77542.61</v>
      </c>
    </row>
    <row r="475" spans="1:11">
      <c r="A475" s="562">
        <v>68001</v>
      </c>
      <c r="B475" s="562"/>
      <c r="C475" s="562">
        <v>68008864</v>
      </c>
      <c r="D475" s="562" t="s">
        <v>2840</v>
      </c>
      <c r="E475" s="562"/>
      <c r="F475" s="41">
        <v>66666.67</v>
      </c>
      <c r="G475" s="41">
        <v>0</v>
      </c>
      <c r="H475" s="41">
        <v>10799.89</v>
      </c>
      <c r="I475" s="41">
        <v>0</v>
      </c>
      <c r="K475" s="41">
        <v>77466.559999999998</v>
      </c>
    </row>
    <row r="476" spans="1:11">
      <c r="A476" s="562">
        <v>68001</v>
      </c>
      <c r="B476" s="562"/>
      <c r="C476" s="562">
        <v>68008864</v>
      </c>
      <c r="D476" s="562" t="s">
        <v>2841</v>
      </c>
      <c r="E476" s="562"/>
      <c r="F476" s="41">
        <v>66666.67</v>
      </c>
      <c r="G476" s="41">
        <v>0</v>
      </c>
      <c r="H476" s="41">
        <v>10723.83</v>
      </c>
      <c r="I476" s="41">
        <v>0</v>
      </c>
      <c r="K476" s="41">
        <v>77390.5</v>
      </c>
    </row>
    <row r="477" spans="1:11">
      <c r="A477" s="562">
        <v>68001</v>
      </c>
      <c r="B477" s="562"/>
      <c r="C477" s="562">
        <v>68008864</v>
      </c>
      <c r="D477" s="562" t="s">
        <v>2842</v>
      </c>
      <c r="E477" s="562"/>
      <c r="F477" s="41">
        <v>66666.67</v>
      </c>
      <c r="G477" s="41">
        <v>0</v>
      </c>
      <c r="H477" s="41">
        <v>10647.78</v>
      </c>
      <c r="I477" s="41">
        <v>0</v>
      </c>
      <c r="K477" s="41">
        <v>77314.45</v>
      </c>
    </row>
    <row r="478" spans="1:11">
      <c r="A478" s="562">
        <v>68001</v>
      </c>
      <c r="B478" s="562"/>
      <c r="C478" s="562">
        <v>68008864</v>
      </c>
      <c r="D478" s="562" t="s">
        <v>2843</v>
      </c>
      <c r="E478" s="562"/>
      <c r="F478" s="41">
        <v>66666.67</v>
      </c>
      <c r="G478" s="41">
        <v>0</v>
      </c>
      <c r="H478" s="41">
        <v>10571.72</v>
      </c>
      <c r="I478" s="41">
        <v>0</v>
      </c>
      <c r="K478" s="41">
        <v>77238.39</v>
      </c>
    </row>
    <row r="479" spans="1:11">
      <c r="A479" s="562">
        <v>68001</v>
      </c>
      <c r="B479" s="562"/>
      <c r="C479" s="562">
        <v>68008864</v>
      </c>
      <c r="D479" s="562" t="s">
        <v>2844</v>
      </c>
      <c r="E479" s="562"/>
      <c r="F479" s="41">
        <v>66666.67</v>
      </c>
      <c r="G479" s="41">
        <v>0</v>
      </c>
      <c r="H479" s="41">
        <v>10495.67</v>
      </c>
      <c r="I479" s="41">
        <v>0</v>
      </c>
      <c r="K479" s="41">
        <v>77162.34</v>
      </c>
    </row>
    <row r="480" spans="1:11">
      <c r="A480" s="562">
        <v>68001</v>
      </c>
      <c r="B480" s="562"/>
      <c r="C480" s="562">
        <v>68008864</v>
      </c>
      <c r="D480" s="562" t="s">
        <v>2845</v>
      </c>
      <c r="E480" s="562"/>
      <c r="F480" s="41">
        <v>66666.67</v>
      </c>
      <c r="G480" s="41">
        <v>0</v>
      </c>
      <c r="H480" s="41">
        <v>10419.61</v>
      </c>
      <c r="I480" s="41">
        <v>0</v>
      </c>
      <c r="K480" s="41">
        <v>77086.28</v>
      </c>
    </row>
    <row r="481" spans="1:11">
      <c r="A481" s="562">
        <v>68001</v>
      </c>
      <c r="B481" s="562"/>
      <c r="C481" s="562">
        <v>68008864</v>
      </c>
      <c r="D481" s="562" t="s">
        <v>2846</v>
      </c>
      <c r="E481" s="562"/>
      <c r="F481" s="41">
        <v>66666.67</v>
      </c>
      <c r="G481" s="41">
        <v>0</v>
      </c>
      <c r="H481" s="41">
        <v>10343.56</v>
      </c>
      <c r="I481" s="41">
        <v>0</v>
      </c>
      <c r="K481" s="41">
        <v>77010.23</v>
      </c>
    </row>
    <row r="482" spans="1:11">
      <c r="A482" s="562">
        <v>68052</v>
      </c>
      <c r="B482" s="562"/>
      <c r="C482" s="562">
        <v>68008863</v>
      </c>
      <c r="D482" s="562" t="s">
        <v>2835</v>
      </c>
      <c r="E482" s="562"/>
      <c r="F482" s="41">
        <v>44871.79</v>
      </c>
      <c r="G482" s="41">
        <v>0</v>
      </c>
      <c r="H482" s="41">
        <v>7721.46</v>
      </c>
      <c r="I482" s="41">
        <v>0</v>
      </c>
      <c r="K482" s="41">
        <v>52593.25</v>
      </c>
    </row>
    <row r="483" spans="1:11">
      <c r="A483" s="562">
        <v>68052</v>
      </c>
      <c r="B483" s="562"/>
      <c r="C483" s="562">
        <v>68008863</v>
      </c>
      <c r="D483" s="562" t="s">
        <v>2836</v>
      </c>
      <c r="E483" s="562"/>
      <c r="F483" s="41">
        <v>44871.79</v>
      </c>
      <c r="G483" s="41">
        <v>0</v>
      </c>
      <c r="H483" s="41">
        <v>7663.84</v>
      </c>
      <c r="I483" s="41">
        <v>0</v>
      </c>
      <c r="K483" s="41">
        <v>52535.63</v>
      </c>
    </row>
    <row r="484" spans="1:11">
      <c r="A484" s="562">
        <v>68052</v>
      </c>
      <c r="B484" s="562"/>
      <c r="C484" s="562">
        <v>68008863</v>
      </c>
      <c r="D484" s="562" t="s">
        <v>2837</v>
      </c>
      <c r="E484" s="562"/>
      <c r="F484" s="41">
        <v>44871.79</v>
      </c>
      <c r="G484" s="41">
        <v>0</v>
      </c>
      <c r="H484" s="41">
        <v>7606.22</v>
      </c>
      <c r="I484" s="41">
        <v>0</v>
      </c>
      <c r="K484" s="41">
        <v>52478.01</v>
      </c>
    </row>
    <row r="485" spans="1:11">
      <c r="A485" s="562">
        <v>68052</v>
      </c>
      <c r="B485" s="562"/>
      <c r="C485" s="562">
        <v>68008863</v>
      </c>
      <c r="D485" s="562" t="s">
        <v>2838</v>
      </c>
      <c r="E485" s="562"/>
      <c r="F485" s="41">
        <v>44871.79</v>
      </c>
      <c r="G485" s="41">
        <v>0</v>
      </c>
      <c r="H485" s="41">
        <v>7548.6</v>
      </c>
      <c r="I485" s="41">
        <v>0</v>
      </c>
      <c r="K485" s="41">
        <v>52420.39</v>
      </c>
    </row>
    <row r="486" spans="1:11">
      <c r="A486" s="562">
        <v>68052</v>
      </c>
      <c r="B486" s="562"/>
      <c r="C486" s="562">
        <v>68008863</v>
      </c>
      <c r="D486" s="562" t="s">
        <v>2839</v>
      </c>
      <c r="E486" s="562"/>
      <c r="F486" s="41">
        <v>44871.79</v>
      </c>
      <c r="G486" s="41">
        <v>0</v>
      </c>
      <c r="H486" s="41">
        <v>7490.97</v>
      </c>
      <c r="I486" s="41">
        <v>0</v>
      </c>
      <c r="K486" s="41">
        <v>52362.76</v>
      </c>
    </row>
    <row r="487" spans="1:11">
      <c r="A487" s="562">
        <v>68052</v>
      </c>
      <c r="B487" s="562"/>
      <c r="C487" s="562">
        <v>68008863</v>
      </c>
      <c r="D487" s="562" t="s">
        <v>2840</v>
      </c>
      <c r="E487" s="562"/>
      <c r="F487" s="41">
        <v>44871.79</v>
      </c>
      <c r="G487" s="41">
        <v>0</v>
      </c>
      <c r="H487" s="41">
        <v>7433.35</v>
      </c>
      <c r="I487" s="41">
        <v>0</v>
      </c>
      <c r="K487" s="41">
        <v>52305.14</v>
      </c>
    </row>
    <row r="488" spans="1:11">
      <c r="A488" s="562">
        <v>68052</v>
      </c>
      <c r="B488" s="562"/>
      <c r="C488" s="562">
        <v>68008863</v>
      </c>
      <c r="D488" s="562" t="s">
        <v>2841</v>
      </c>
      <c r="E488" s="562"/>
      <c r="F488" s="41">
        <v>44871.79</v>
      </c>
      <c r="G488" s="41">
        <v>0</v>
      </c>
      <c r="H488" s="41">
        <v>7375.73</v>
      </c>
      <c r="I488" s="41">
        <v>0</v>
      </c>
      <c r="K488" s="41">
        <v>52247.519999999997</v>
      </c>
    </row>
    <row r="489" spans="1:11">
      <c r="A489" s="562">
        <v>68052</v>
      </c>
      <c r="B489" s="562"/>
      <c r="C489" s="562">
        <v>68008863</v>
      </c>
      <c r="D489" s="562" t="s">
        <v>2842</v>
      </c>
      <c r="E489" s="562"/>
      <c r="F489" s="41">
        <v>44871.79</v>
      </c>
      <c r="G489" s="41">
        <v>0</v>
      </c>
      <c r="H489" s="41">
        <v>7318.1</v>
      </c>
      <c r="I489" s="41">
        <v>0</v>
      </c>
      <c r="K489" s="41">
        <v>52189.89</v>
      </c>
    </row>
    <row r="490" spans="1:11">
      <c r="A490" s="562">
        <v>68052</v>
      </c>
      <c r="B490" s="562"/>
      <c r="C490" s="562">
        <v>68008863</v>
      </c>
      <c r="D490" s="562" t="s">
        <v>2843</v>
      </c>
      <c r="E490" s="562"/>
      <c r="F490" s="41">
        <v>44871.79</v>
      </c>
      <c r="G490" s="41">
        <v>0</v>
      </c>
      <c r="H490" s="41">
        <v>7260.48</v>
      </c>
      <c r="I490" s="41">
        <v>0</v>
      </c>
      <c r="K490" s="41">
        <v>52132.27</v>
      </c>
    </row>
    <row r="491" spans="1:11">
      <c r="A491" s="562">
        <v>68052</v>
      </c>
      <c r="B491" s="562"/>
      <c r="C491" s="562">
        <v>68008863</v>
      </c>
      <c r="D491" s="562" t="s">
        <v>2844</v>
      </c>
      <c r="E491" s="562"/>
      <c r="F491" s="41">
        <v>44871.79</v>
      </c>
      <c r="G491" s="41">
        <v>0</v>
      </c>
      <c r="H491" s="41">
        <v>7202.86</v>
      </c>
      <c r="I491" s="41">
        <v>0</v>
      </c>
      <c r="K491" s="41">
        <v>52074.65</v>
      </c>
    </row>
    <row r="492" spans="1:11">
      <c r="A492" s="562">
        <v>68052</v>
      </c>
      <c r="B492" s="562"/>
      <c r="C492" s="562">
        <v>68008863</v>
      </c>
      <c r="D492" s="562" t="s">
        <v>2845</v>
      </c>
      <c r="E492" s="562"/>
      <c r="F492" s="41">
        <v>44871.79</v>
      </c>
      <c r="G492" s="41">
        <v>0</v>
      </c>
      <c r="H492" s="41">
        <v>7145.24</v>
      </c>
      <c r="I492" s="41">
        <v>0</v>
      </c>
      <c r="K492" s="41">
        <v>52017.03</v>
      </c>
    </row>
    <row r="493" spans="1:11">
      <c r="A493" s="562">
        <v>68052</v>
      </c>
      <c r="B493" s="562"/>
      <c r="C493" s="562">
        <v>68008863</v>
      </c>
      <c r="D493" s="562" t="s">
        <v>2846</v>
      </c>
      <c r="E493" s="562"/>
      <c r="F493" s="41">
        <v>44871.79</v>
      </c>
      <c r="G493" s="41">
        <v>0</v>
      </c>
      <c r="H493" s="41">
        <v>7087.61</v>
      </c>
      <c r="I493" s="41">
        <v>0</v>
      </c>
      <c r="K493" s="41">
        <v>51959.4</v>
      </c>
    </row>
    <row r="494" spans="1:11">
      <c r="A494" s="564"/>
      <c r="B494" s="564"/>
      <c r="C494" s="564"/>
      <c r="D494" s="564"/>
      <c r="E494" s="564"/>
      <c r="F494" s="560">
        <v>25097626.390000001</v>
      </c>
      <c r="G494" s="560">
        <v>1037030.4</v>
      </c>
      <c r="H494" s="560">
        <v>5000536.3</v>
      </c>
      <c r="I494" s="560">
        <v>189310.7</v>
      </c>
      <c r="J494" s="560">
        <v>55.2</v>
      </c>
      <c r="K494" s="560">
        <v>31324558.989999998</v>
      </c>
    </row>
    <row r="498" spans="1:11">
      <c r="F498" s="41" t="s">
        <v>2894</v>
      </c>
      <c r="G498" s="41">
        <f>F494+G494</f>
        <v>26134656.789999999</v>
      </c>
    </row>
    <row r="506" spans="1:11" ht="15">
      <c r="A506" s="568" t="s">
        <v>2708</v>
      </c>
      <c r="B506" s="568" t="s">
        <v>2709</v>
      </c>
      <c r="C506" s="568" t="s">
        <v>2710</v>
      </c>
      <c r="D506" s="568" t="s">
        <v>2711</v>
      </c>
      <c r="E506" s="568" t="s">
        <v>2712</v>
      </c>
      <c r="F506" s="568" t="s">
        <v>2713</v>
      </c>
      <c r="G506" s="568" t="s">
        <v>2714</v>
      </c>
      <c r="H506" s="568" t="s">
        <v>2715</v>
      </c>
      <c r="I506" s="568" t="s">
        <v>2716</v>
      </c>
      <c r="J506" s="568" t="s">
        <v>2717</v>
      </c>
      <c r="K506" s="568" t="s">
        <v>2718</v>
      </c>
    </row>
    <row r="507" spans="1:11">
      <c r="A507" s="566">
        <v>68001</v>
      </c>
      <c r="B507" s="566">
        <v>78507</v>
      </c>
      <c r="C507" s="566">
        <v>68008860</v>
      </c>
      <c r="D507" s="566" t="s">
        <v>2835</v>
      </c>
      <c r="E507" s="566"/>
      <c r="F507" s="567">
        <v>59446.43</v>
      </c>
      <c r="G507" s="566">
        <v>0</v>
      </c>
      <c r="H507" s="567">
        <v>16173.54</v>
      </c>
      <c r="I507" s="566">
        <v>0</v>
      </c>
      <c r="J507" s="566"/>
      <c r="K507" s="567">
        <v>75619.97</v>
      </c>
    </row>
    <row r="508" spans="1:11">
      <c r="A508" s="566">
        <v>68001</v>
      </c>
      <c r="B508" s="566">
        <v>78507</v>
      </c>
      <c r="C508" s="566">
        <v>68008860</v>
      </c>
      <c r="D508" s="566" t="s">
        <v>2836</v>
      </c>
      <c r="E508" s="566"/>
      <c r="F508" s="567">
        <v>59446.43</v>
      </c>
      <c r="G508" s="566">
        <v>0</v>
      </c>
      <c r="H508" s="567">
        <v>15966.18</v>
      </c>
      <c r="I508" s="566">
        <v>0</v>
      </c>
      <c r="J508" s="566"/>
      <c r="K508" s="567">
        <v>75412.61</v>
      </c>
    </row>
    <row r="509" spans="1:11">
      <c r="A509" s="566">
        <v>68001</v>
      </c>
      <c r="B509" s="566">
        <v>78507</v>
      </c>
      <c r="C509" s="566">
        <v>68008860</v>
      </c>
      <c r="D509" s="566" t="s">
        <v>2837</v>
      </c>
      <c r="E509" s="566"/>
      <c r="F509" s="567">
        <v>59446.43</v>
      </c>
      <c r="G509" s="566">
        <v>0</v>
      </c>
      <c r="H509" s="567">
        <v>14231.38</v>
      </c>
      <c r="I509" s="566">
        <v>0</v>
      </c>
      <c r="J509" s="566"/>
      <c r="K509" s="567">
        <v>73677.81</v>
      </c>
    </row>
    <row r="510" spans="1:11">
      <c r="A510" s="566">
        <v>68001</v>
      </c>
      <c r="B510" s="566">
        <v>78507</v>
      </c>
      <c r="C510" s="566">
        <v>68008860</v>
      </c>
      <c r="D510" s="566" t="s">
        <v>2838</v>
      </c>
      <c r="E510" s="566"/>
      <c r="F510" s="567">
        <v>59446.43</v>
      </c>
      <c r="G510" s="566">
        <v>0</v>
      </c>
      <c r="H510" s="567">
        <v>15551.48</v>
      </c>
      <c r="I510" s="566">
        <v>0</v>
      </c>
      <c r="J510" s="566"/>
      <c r="K510" s="567">
        <v>74997.91</v>
      </c>
    </row>
    <row r="511" spans="1:11">
      <c r="A511" s="566">
        <v>68001</v>
      </c>
      <c r="B511" s="566">
        <v>78507</v>
      </c>
      <c r="C511" s="566">
        <v>68008860</v>
      </c>
      <c r="D511" s="566" t="s">
        <v>2839</v>
      </c>
      <c r="E511" s="566"/>
      <c r="F511" s="567">
        <v>59446.43</v>
      </c>
      <c r="G511" s="566">
        <v>0</v>
      </c>
      <c r="H511" s="567">
        <v>14848.32</v>
      </c>
      <c r="I511" s="566">
        <v>0</v>
      </c>
      <c r="J511" s="566"/>
      <c r="K511" s="567">
        <v>74294.75</v>
      </c>
    </row>
    <row r="512" spans="1:11">
      <c r="A512" s="566">
        <v>68001</v>
      </c>
      <c r="B512" s="566">
        <v>78507</v>
      </c>
      <c r="C512" s="566">
        <v>68008860</v>
      </c>
      <c r="D512" s="566" t="s">
        <v>2840</v>
      </c>
      <c r="E512" s="566"/>
      <c r="F512" s="567">
        <v>59446.43</v>
      </c>
      <c r="G512" s="566">
        <v>0</v>
      </c>
      <c r="H512" s="567">
        <v>15136.77</v>
      </c>
      <c r="I512" s="566">
        <v>0</v>
      </c>
      <c r="J512" s="566"/>
      <c r="K512" s="567">
        <v>74583.199999999997</v>
      </c>
    </row>
    <row r="513" spans="1:30">
      <c r="A513" s="566">
        <v>68001</v>
      </c>
      <c r="B513" s="566">
        <v>78507</v>
      </c>
      <c r="C513" s="566">
        <v>68008860</v>
      </c>
      <c r="D513" s="566" t="s">
        <v>2841</v>
      </c>
      <c r="E513" s="566"/>
      <c r="F513" s="567">
        <v>59446.43</v>
      </c>
      <c r="G513" s="566">
        <v>0</v>
      </c>
      <c r="H513" s="567">
        <v>14447.01</v>
      </c>
      <c r="I513" s="566">
        <v>0</v>
      </c>
      <c r="J513" s="566"/>
      <c r="K513" s="567">
        <v>73893.440000000002</v>
      </c>
    </row>
    <row r="514" spans="1:30">
      <c r="A514" s="566">
        <v>68001</v>
      </c>
      <c r="B514" s="566">
        <v>78507</v>
      </c>
      <c r="C514" s="566">
        <v>68008860</v>
      </c>
      <c r="D514" s="566" t="s">
        <v>2842</v>
      </c>
      <c r="E514" s="566"/>
      <c r="F514" s="567">
        <v>59446.43</v>
      </c>
      <c r="G514" s="566">
        <v>0</v>
      </c>
      <c r="H514" s="567">
        <v>14722.06</v>
      </c>
      <c r="I514" s="566">
        <v>0</v>
      </c>
      <c r="J514" s="566"/>
      <c r="K514" s="567">
        <v>74168.490000000005</v>
      </c>
    </row>
    <row r="515" spans="1:30">
      <c r="A515" s="566">
        <v>68001</v>
      </c>
      <c r="B515" s="566">
        <v>78507</v>
      </c>
      <c r="C515" s="566">
        <v>68008860</v>
      </c>
      <c r="D515" s="566" t="s">
        <v>2843</v>
      </c>
      <c r="E515" s="566"/>
      <c r="F515" s="567">
        <v>59446.43</v>
      </c>
      <c r="G515" s="566">
        <v>0</v>
      </c>
      <c r="H515" s="567">
        <v>14514.71</v>
      </c>
      <c r="I515" s="566">
        <v>0</v>
      </c>
      <c r="J515" s="566"/>
      <c r="K515" s="567">
        <v>73961.14</v>
      </c>
    </row>
    <row r="516" spans="1:30">
      <c r="A516" s="566">
        <v>68001</v>
      </c>
      <c r="B516" s="566">
        <v>78507</v>
      </c>
      <c r="C516" s="566">
        <v>68008860</v>
      </c>
      <c r="D516" s="566" t="s">
        <v>2844</v>
      </c>
      <c r="E516" s="566"/>
      <c r="F516" s="567">
        <v>59446.43</v>
      </c>
      <c r="G516" s="566">
        <v>0</v>
      </c>
      <c r="H516" s="567">
        <v>13845.05</v>
      </c>
      <c r="I516" s="566">
        <v>0</v>
      </c>
      <c r="J516" s="566"/>
      <c r="K516" s="567">
        <v>73291.48</v>
      </c>
    </row>
    <row r="517" spans="1:30">
      <c r="A517" s="566">
        <v>68001</v>
      </c>
      <c r="B517" s="566">
        <v>78507</v>
      </c>
      <c r="C517" s="566">
        <v>68008860</v>
      </c>
      <c r="D517" s="566" t="s">
        <v>2845</v>
      </c>
      <c r="E517" s="566"/>
      <c r="F517" s="567">
        <v>59446.43</v>
      </c>
      <c r="G517" s="566">
        <v>0</v>
      </c>
      <c r="H517" s="567">
        <v>14100.01</v>
      </c>
      <c r="I517" s="566">
        <v>0</v>
      </c>
      <c r="J517" s="566"/>
      <c r="K517" s="567">
        <v>73546.44</v>
      </c>
    </row>
    <row r="518" spans="1:30">
      <c r="A518" s="566">
        <v>68001</v>
      </c>
      <c r="B518" s="566">
        <v>78507</v>
      </c>
      <c r="C518" s="566">
        <v>68008860</v>
      </c>
      <c r="D518" s="566" t="s">
        <v>2846</v>
      </c>
      <c r="E518" s="566"/>
      <c r="F518" s="567">
        <v>59446.43</v>
      </c>
      <c r="G518" s="566">
        <v>0</v>
      </c>
      <c r="H518" s="567">
        <v>13443.75</v>
      </c>
      <c r="I518" s="566">
        <v>0</v>
      </c>
      <c r="J518" s="566"/>
      <c r="K518" s="567">
        <v>72890.179999999993</v>
      </c>
    </row>
    <row r="519" spans="1:30">
      <c r="A519" s="566"/>
      <c r="B519" s="566"/>
      <c r="C519" s="566"/>
      <c r="D519" s="566"/>
      <c r="E519" s="566"/>
      <c r="F519" s="567">
        <v>713357.16</v>
      </c>
      <c r="G519" s="566">
        <v>0</v>
      </c>
      <c r="H519" s="567">
        <v>176980.26</v>
      </c>
      <c r="I519" s="566">
        <v>0</v>
      </c>
      <c r="J519" s="566">
        <v>0</v>
      </c>
      <c r="K519" s="565">
        <v>890337.42</v>
      </c>
    </row>
    <row r="528" spans="1:30" s="568" customFormat="1" ht="15">
      <c r="A528" s="568" t="s">
        <v>2920</v>
      </c>
      <c r="B528" s="568" t="s">
        <v>2921</v>
      </c>
      <c r="C528" s="568" t="s">
        <v>2922</v>
      </c>
      <c r="D528" s="568" t="s">
        <v>2923</v>
      </c>
      <c r="E528" s="568" t="s">
        <v>2924</v>
      </c>
      <c r="F528" s="568" t="s">
        <v>2925</v>
      </c>
      <c r="G528" s="568" t="s">
        <v>2709</v>
      </c>
      <c r="H528" s="568" t="s">
        <v>2926</v>
      </c>
      <c r="I528" s="568" t="s">
        <v>2927</v>
      </c>
      <c r="J528" s="568" t="s">
        <v>2928</v>
      </c>
      <c r="K528" s="568" t="s">
        <v>2929</v>
      </c>
      <c r="L528" s="568" t="s">
        <v>2930</v>
      </c>
      <c r="M528" s="568" t="s">
        <v>2931</v>
      </c>
      <c r="N528" s="568" t="s">
        <v>2932</v>
      </c>
      <c r="O528" s="568" t="s">
        <v>2894</v>
      </c>
      <c r="P528" s="568" t="s">
        <v>1440</v>
      </c>
      <c r="Q528" s="568" t="s">
        <v>2716</v>
      </c>
      <c r="R528" s="568" t="s">
        <v>2714</v>
      </c>
      <c r="S528" s="568" t="s">
        <v>2933</v>
      </c>
      <c r="T528" s="561" t="s">
        <v>888</v>
      </c>
      <c r="U528" s="568" t="s">
        <v>2934</v>
      </c>
      <c r="V528" s="568" t="s">
        <v>2935</v>
      </c>
      <c r="W528" s="568" t="s">
        <v>2936</v>
      </c>
      <c r="X528" s="568" t="s">
        <v>2937</v>
      </c>
      <c r="Y528" s="568" t="s">
        <v>2938</v>
      </c>
      <c r="Z528" s="568" t="s">
        <v>2939</v>
      </c>
      <c r="AA528" s="568" t="s">
        <v>2940</v>
      </c>
      <c r="AB528" s="568" t="s">
        <v>2941</v>
      </c>
      <c r="AC528" s="568" t="s">
        <v>2942</v>
      </c>
      <c r="AD528" s="568" t="s">
        <v>2943</v>
      </c>
    </row>
    <row r="529" spans="1:30" s="564" customFormat="1">
      <c r="A529" s="564">
        <v>10953</v>
      </c>
      <c r="B529" s="564">
        <v>10007794</v>
      </c>
      <c r="C529" s="564" t="s">
        <v>2944</v>
      </c>
      <c r="D529" s="564" t="s">
        <v>2945</v>
      </c>
      <c r="E529" s="564" t="s">
        <v>2945</v>
      </c>
      <c r="F529" s="564" t="s">
        <v>2946</v>
      </c>
      <c r="G529" s="564">
        <v>427839</v>
      </c>
      <c r="H529" s="564">
        <v>1.6</v>
      </c>
      <c r="J529" s="564">
        <v>0</v>
      </c>
      <c r="K529" s="564" t="s">
        <v>2947</v>
      </c>
      <c r="L529" s="565">
        <v>4000000</v>
      </c>
      <c r="M529" s="565">
        <v>1620277.72</v>
      </c>
      <c r="O529" s="565">
        <v>294890.44</v>
      </c>
      <c r="P529" s="565">
        <v>47219.12</v>
      </c>
      <c r="Q529" s="564">
        <v>0</v>
      </c>
      <c r="R529" s="564">
        <v>0</v>
      </c>
      <c r="S529" s="564">
        <v>0</v>
      </c>
      <c r="T529" s="560">
        <v>342109.56</v>
      </c>
      <c r="U529" s="565">
        <v>1325387</v>
      </c>
      <c r="V529" s="565">
        <v>1325387</v>
      </c>
      <c r="W529" s="565">
        <v>1325634</v>
      </c>
      <c r="X529" s="565">
        <v>294890.44</v>
      </c>
      <c r="Y529" s="564">
        <v>1649100691</v>
      </c>
      <c r="Z529" s="564" t="s">
        <v>2948</v>
      </c>
      <c r="AA529" s="564">
        <v>1649100692</v>
      </c>
      <c r="AB529" s="564" t="s">
        <v>2949</v>
      </c>
      <c r="AC529" s="564">
        <v>1649100693</v>
      </c>
      <c r="AD529" s="564" t="s">
        <v>2950</v>
      </c>
    </row>
    <row r="530" spans="1:30" s="564" customFormat="1">
      <c r="A530" s="564">
        <v>10953</v>
      </c>
      <c r="B530" s="564">
        <v>10007795</v>
      </c>
      <c r="C530" s="564" t="s">
        <v>2951</v>
      </c>
      <c r="D530" s="564" t="s">
        <v>2952</v>
      </c>
      <c r="E530" s="564" t="s">
        <v>2952</v>
      </c>
      <c r="F530" s="564" t="s">
        <v>2953</v>
      </c>
      <c r="G530" s="564">
        <v>209029</v>
      </c>
      <c r="H530" s="564">
        <v>1.5409999999999999</v>
      </c>
      <c r="J530" s="564">
        <v>0</v>
      </c>
      <c r="K530" s="564" t="s">
        <v>2947</v>
      </c>
      <c r="L530" s="565">
        <v>14200000</v>
      </c>
      <c r="M530" s="565">
        <v>10886667.039999999</v>
      </c>
      <c r="O530" s="565">
        <v>946666.68</v>
      </c>
      <c r="P530" s="565">
        <v>161077.29999999999</v>
      </c>
      <c r="Q530" s="564">
        <v>0</v>
      </c>
      <c r="R530" s="564">
        <v>0</v>
      </c>
      <c r="S530" s="564">
        <v>0</v>
      </c>
      <c r="T530" s="560">
        <v>1107743.98</v>
      </c>
      <c r="U530" s="565">
        <v>9940000</v>
      </c>
      <c r="V530" s="565">
        <v>9940000</v>
      </c>
      <c r="W530" s="565">
        <v>9951813</v>
      </c>
      <c r="X530" s="565">
        <v>946666.68</v>
      </c>
      <c r="Y530" s="564">
        <v>1649100691</v>
      </c>
      <c r="Z530" s="564" t="s">
        <v>2948</v>
      </c>
      <c r="AA530" s="564">
        <v>1649100692</v>
      </c>
      <c r="AB530" s="564" t="s">
        <v>2949</v>
      </c>
      <c r="AC530" s="564">
        <v>1649100693</v>
      </c>
      <c r="AD530" s="564" t="s">
        <v>2950</v>
      </c>
    </row>
    <row r="531" spans="1:30" s="564" customFormat="1">
      <c r="A531" s="564">
        <v>10953</v>
      </c>
      <c r="B531" s="564">
        <v>10007796</v>
      </c>
      <c r="C531" s="564" t="s">
        <v>2954</v>
      </c>
      <c r="D531" s="564" t="s">
        <v>2952</v>
      </c>
      <c r="E531" s="564" t="s">
        <v>2952</v>
      </c>
      <c r="F531" s="564" t="s">
        <v>2955</v>
      </c>
      <c r="G531" s="564">
        <v>209011</v>
      </c>
      <c r="H531" s="564">
        <v>1.57</v>
      </c>
      <c r="J531" s="564">
        <v>0</v>
      </c>
      <c r="K531" s="564" t="s">
        <v>2947</v>
      </c>
      <c r="L531" s="565">
        <v>26970000</v>
      </c>
      <c r="M531" s="565">
        <v>23877898.260000002</v>
      </c>
      <c r="O531" s="565">
        <v>2061401.28</v>
      </c>
      <c r="P531" s="565">
        <v>360049.5</v>
      </c>
      <c r="Q531" s="564">
        <v>0</v>
      </c>
      <c r="R531" s="564">
        <v>0</v>
      </c>
      <c r="S531" s="564">
        <v>0</v>
      </c>
      <c r="T531" s="560">
        <v>2421450.7799999998</v>
      </c>
      <c r="U531" s="565">
        <v>21816497</v>
      </c>
      <c r="V531" s="565">
        <v>21816497</v>
      </c>
      <c r="W531" s="565">
        <v>21842913</v>
      </c>
      <c r="X531" s="565">
        <v>2061401.28</v>
      </c>
      <c r="Y531" s="564">
        <v>1649100691</v>
      </c>
      <c r="Z531" s="564" t="s">
        <v>2948</v>
      </c>
      <c r="AA531" s="564">
        <v>1649100692</v>
      </c>
      <c r="AB531" s="564" t="s">
        <v>2949</v>
      </c>
      <c r="AC531" s="564">
        <v>1649100693</v>
      </c>
      <c r="AD531" s="564" t="s">
        <v>2950</v>
      </c>
    </row>
    <row r="532" spans="1:30" s="564" customFormat="1">
      <c r="A532" s="564">
        <v>12072</v>
      </c>
      <c r="B532" s="564">
        <v>12007722</v>
      </c>
      <c r="C532" s="564" t="s">
        <v>2944</v>
      </c>
      <c r="D532" s="564" t="s">
        <v>2956</v>
      </c>
      <c r="E532" s="564" t="s">
        <v>2956</v>
      </c>
      <c r="F532" s="564" t="s">
        <v>2957</v>
      </c>
      <c r="G532" s="564">
        <v>1346112</v>
      </c>
      <c r="H532" s="564">
        <v>5.3</v>
      </c>
      <c r="J532" s="564">
        <v>100</v>
      </c>
      <c r="K532" s="564" t="s">
        <v>989</v>
      </c>
      <c r="L532" s="565">
        <v>10000000</v>
      </c>
      <c r="M532" s="565">
        <v>1999968</v>
      </c>
      <c r="O532" s="565">
        <v>499992</v>
      </c>
      <c r="P532" s="565">
        <v>93907.86</v>
      </c>
      <c r="Q532" s="565">
        <v>27604.46</v>
      </c>
      <c r="R532" s="565">
        <v>146973.95000000001</v>
      </c>
      <c r="S532" s="565">
        <v>174578.41</v>
      </c>
      <c r="T532" s="560">
        <v>768478.27</v>
      </c>
      <c r="U532" s="565">
        <v>1499976</v>
      </c>
      <c r="V532" s="565">
        <v>1940898</v>
      </c>
      <c r="W532" s="565">
        <v>1941175</v>
      </c>
      <c r="X532" s="565">
        <v>646965.94999999995</v>
      </c>
      <c r="Y532" s="564">
        <v>1649100691</v>
      </c>
      <c r="Z532" s="564" t="s">
        <v>2948</v>
      </c>
      <c r="AA532" s="564">
        <v>1649100692</v>
      </c>
      <c r="AB532" s="564" t="s">
        <v>2949</v>
      </c>
      <c r="AC532" s="564">
        <v>1649100693</v>
      </c>
      <c r="AD532" s="564" t="s">
        <v>2950</v>
      </c>
    </row>
    <row r="533" spans="1:30" s="564" customFormat="1">
      <c r="A533" s="564">
        <v>12072</v>
      </c>
      <c r="B533" s="564">
        <v>12007723</v>
      </c>
      <c r="C533" s="564" t="s">
        <v>2944</v>
      </c>
      <c r="D533" s="564" t="s">
        <v>2958</v>
      </c>
      <c r="E533" s="564" t="s">
        <v>2958</v>
      </c>
      <c r="F533" s="564" t="s">
        <v>2959</v>
      </c>
      <c r="G533" s="564">
        <v>1346113</v>
      </c>
      <c r="H533" s="564">
        <v>5.05</v>
      </c>
      <c r="J533" s="564">
        <v>100</v>
      </c>
      <c r="K533" s="564" t="s">
        <v>989</v>
      </c>
      <c r="L533" s="565">
        <v>15000000</v>
      </c>
      <c r="M533" s="565">
        <v>3311685</v>
      </c>
      <c r="O533" s="565">
        <v>779220</v>
      </c>
      <c r="P533" s="565">
        <v>149261.76000000001</v>
      </c>
      <c r="Q533" s="565">
        <v>44135.25</v>
      </c>
      <c r="R533" s="565">
        <v>230407.76</v>
      </c>
      <c r="S533" s="565">
        <v>274543.01</v>
      </c>
      <c r="T533" s="560">
        <v>1203024.77</v>
      </c>
      <c r="U533" s="565">
        <v>2532465</v>
      </c>
      <c r="V533" s="565">
        <v>3281290</v>
      </c>
      <c r="W533" s="565">
        <v>3290203</v>
      </c>
      <c r="X533" s="565">
        <v>1009627.76</v>
      </c>
      <c r="Y533" s="564">
        <v>1649100691</v>
      </c>
      <c r="Z533" s="564" t="s">
        <v>2948</v>
      </c>
      <c r="AA533" s="564">
        <v>1649100692</v>
      </c>
      <c r="AB533" s="564" t="s">
        <v>2949</v>
      </c>
      <c r="AC533" s="564">
        <v>1649100693</v>
      </c>
      <c r="AD533" s="564" t="s">
        <v>2950</v>
      </c>
    </row>
    <row r="534" spans="1:30" s="564" customFormat="1">
      <c r="A534" s="564">
        <v>12072</v>
      </c>
      <c r="B534" s="564">
        <v>12007728</v>
      </c>
      <c r="C534" s="564" t="s">
        <v>2944</v>
      </c>
      <c r="D534" s="564" t="s">
        <v>2960</v>
      </c>
      <c r="E534" s="564" t="s">
        <v>2960</v>
      </c>
      <c r="F534" s="564" t="s">
        <v>2961</v>
      </c>
      <c r="G534" s="564">
        <v>1346118</v>
      </c>
      <c r="H534" s="564">
        <v>3</v>
      </c>
      <c r="J534" s="564">
        <v>1E-3</v>
      </c>
      <c r="K534" s="564" t="s">
        <v>989</v>
      </c>
      <c r="L534" s="565">
        <v>15000000</v>
      </c>
      <c r="M534" s="565">
        <v>4430300</v>
      </c>
      <c r="O534" s="565">
        <v>759480</v>
      </c>
      <c r="P534" s="565">
        <v>122522.1</v>
      </c>
      <c r="Q534" s="564">
        <v>0.24</v>
      </c>
      <c r="R534" s="564">
        <v>1.51</v>
      </c>
      <c r="S534" s="564">
        <v>1.75</v>
      </c>
      <c r="T534" s="560">
        <v>882003.85</v>
      </c>
      <c r="U534" s="565">
        <v>3670820</v>
      </c>
      <c r="V534" s="565">
        <v>3670827</v>
      </c>
      <c r="W534" s="565">
        <v>3681479</v>
      </c>
      <c r="X534" s="565">
        <v>759481.51</v>
      </c>
      <c r="Y534" s="564">
        <v>1649100691</v>
      </c>
      <c r="Z534" s="564" t="s">
        <v>2948</v>
      </c>
      <c r="AA534" s="564">
        <v>1649100692</v>
      </c>
      <c r="AB534" s="564" t="s">
        <v>2949</v>
      </c>
      <c r="AC534" s="564">
        <v>1649100693</v>
      </c>
      <c r="AD534" s="564" t="s">
        <v>2950</v>
      </c>
    </row>
    <row r="535" spans="1:30" s="564" customFormat="1">
      <c r="A535" s="564">
        <v>12072</v>
      </c>
      <c r="B535" s="564">
        <v>12007733</v>
      </c>
      <c r="C535" s="564" t="s">
        <v>2951</v>
      </c>
      <c r="D535" s="564" t="s">
        <v>2962</v>
      </c>
      <c r="E535" s="564" t="s">
        <v>2963</v>
      </c>
      <c r="F535" s="564" t="s">
        <v>2964</v>
      </c>
      <c r="G535" s="564">
        <v>174500021</v>
      </c>
      <c r="H535" s="564">
        <v>2.5</v>
      </c>
      <c r="J535" s="564">
        <v>0</v>
      </c>
      <c r="K535" s="564" t="s">
        <v>2947</v>
      </c>
      <c r="L535" s="565">
        <v>15000000</v>
      </c>
      <c r="M535" s="565">
        <v>7536668.2199999997</v>
      </c>
      <c r="O535" s="565">
        <v>1052082.8600000001</v>
      </c>
      <c r="P535" s="565">
        <v>176415.94</v>
      </c>
      <c r="Q535" s="564">
        <v>0</v>
      </c>
      <c r="R535" s="564">
        <v>0</v>
      </c>
      <c r="S535" s="564">
        <v>0</v>
      </c>
      <c r="T535" s="560">
        <v>1228498.8</v>
      </c>
      <c r="U535" s="565">
        <v>6484585</v>
      </c>
      <c r="V535" s="565">
        <v>6484585</v>
      </c>
      <c r="W535" s="565">
        <v>6491565</v>
      </c>
      <c r="X535" s="565">
        <v>1052082.8600000001</v>
      </c>
      <c r="Y535" s="564">
        <v>1649100691</v>
      </c>
      <c r="Z535" s="564" t="s">
        <v>2948</v>
      </c>
      <c r="AA535" s="564">
        <v>1649100692</v>
      </c>
      <c r="AB535" s="564" t="s">
        <v>2949</v>
      </c>
      <c r="AC535" s="564">
        <v>1649100693</v>
      </c>
      <c r="AD535" s="564" t="s">
        <v>2950</v>
      </c>
    </row>
    <row r="536" spans="1:30" s="564" customFormat="1">
      <c r="A536" s="564">
        <v>12072</v>
      </c>
      <c r="B536" s="564">
        <v>12007736</v>
      </c>
      <c r="C536" s="564" t="s">
        <v>2951</v>
      </c>
      <c r="D536" s="564" t="s">
        <v>2965</v>
      </c>
      <c r="E536" s="564" t="s">
        <v>2965</v>
      </c>
      <c r="F536" s="564" t="s">
        <v>2966</v>
      </c>
      <c r="G536" s="564">
        <v>1345000</v>
      </c>
      <c r="H536" s="564" t="s">
        <v>2967</v>
      </c>
      <c r="I536" s="564">
        <v>-0.05</v>
      </c>
      <c r="J536" s="564">
        <v>0</v>
      </c>
      <c r="K536" s="564" t="s">
        <v>2947</v>
      </c>
      <c r="L536" s="565">
        <v>25000000</v>
      </c>
      <c r="M536" s="565">
        <v>14305402.59</v>
      </c>
      <c r="O536" s="565">
        <v>1666666.68</v>
      </c>
      <c r="P536" s="565">
        <v>568743.57999999996</v>
      </c>
      <c r="Q536" s="564">
        <v>0</v>
      </c>
      <c r="R536" s="564">
        <v>0</v>
      </c>
      <c r="S536" s="564">
        <v>0</v>
      </c>
      <c r="T536" s="560">
        <v>2235410.2599999998</v>
      </c>
      <c r="U536" s="565">
        <v>12638736</v>
      </c>
      <c r="V536" s="565">
        <v>12638736</v>
      </c>
      <c r="W536" s="565">
        <v>12638736</v>
      </c>
      <c r="X536" s="565">
        <v>1666666.68</v>
      </c>
      <c r="Y536" s="564">
        <v>1649100691</v>
      </c>
      <c r="Z536" s="564" t="s">
        <v>2948</v>
      </c>
      <c r="AA536" s="564">
        <v>1649100692</v>
      </c>
      <c r="AB536" s="564" t="s">
        <v>2949</v>
      </c>
      <c r="AC536" s="564">
        <v>1649100693</v>
      </c>
      <c r="AD536" s="564" t="s">
        <v>2950</v>
      </c>
    </row>
    <row r="537" spans="1:30" s="564" customFormat="1">
      <c r="A537" s="564">
        <v>12620</v>
      </c>
      <c r="B537" s="564">
        <v>12007737</v>
      </c>
      <c r="C537" s="564" t="s">
        <v>2951</v>
      </c>
      <c r="D537" s="564" t="s">
        <v>2968</v>
      </c>
      <c r="E537" s="564" t="s">
        <v>2968</v>
      </c>
      <c r="F537" s="564" t="s">
        <v>2969</v>
      </c>
      <c r="H537" s="564" t="s">
        <v>2967</v>
      </c>
      <c r="I537" s="564">
        <v>-0.05</v>
      </c>
      <c r="J537" s="564">
        <v>0</v>
      </c>
      <c r="K537" s="564" t="s">
        <v>2947</v>
      </c>
      <c r="L537" s="565">
        <v>16000000</v>
      </c>
      <c r="M537" s="565">
        <v>13552067.699999999</v>
      </c>
      <c r="O537" s="565">
        <v>1230769.2</v>
      </c>
      <c r="P537" s="565">
        <v>546389.96</v>
      </c>
      <c r="Q537" s="564">
        <v>0</v>
      </c>
      <c r="R537" s="564">
        <v>0</v>
      </c>
      <c r="S537" s="564">
        <v>0</v>
      </c>
      <c r="T537" s="560">
        <v>1777159.16</v>
      </c>
      <c r="U537" s="565">
        <v>12321299</v>
      </c>
      <c r="V537" s="565">
        <v>12321299</v>
      </c>
      <c r="W537" s="565">
        <v>12321299</v>
      </c>
      <c r="X537" s="565">
        <v>1230769.2</v>
      </c>
      <c r="Y537" s="564">
        <v>1649100691</v>
      </c>
      <c r="Z537" s="564" t="s">
        <v>2948</v>
      </c>
      <c r="AA537" s="564">
        <v>1649100692</v>
      </c>
      <c r="AB537" s="564" t="s">
        <v>2949</v>
      </c>
      <c r="AC537" s="564">
        <v>1649100693</v>
      </c>
      <c r="AD537" s="564" t="s">
        <v>2950</v>
      </c>
    </row>
    <row r="538" spans="1:30" s="564" customFormat="1">
      <c r="A538" s="564">
        <v>12620</v>
      </c>
      <c r="B538" s="564">
        <v>12007738</v>
      </c>
      <c r="C538" s="564" t="s">
        <v>2951</v>
      </c>
      <c r="D538" s="564" t="s">
        <v>2968</v>
      </c>
      <c r="E538" s="564" t="s">
        <v>2968</v>
      </c>
      <c r="F538" s="564" t="s">
        <v>2970</v>
      </c>
      <c r="H538" s="564" t="s">
        <v>2967</v>
      </c>
      <c r="I538" s="564">
        <v>0.05</v>
      </c>
      <c r="J538" s="564">
        <v>0</v>
      </c>
      <c r="K538" s="564" t="s">
        <v>2947</v>
      </c>
      <c r="L538" s="565">
        <v>5000000</v>
      </c>
      <c r="M538" s="565">
        <v>4236255.29</v>
      </c>
      <c r="O538" s="565">
        <v>379746.84</v>
      </c>
      <c r="P538" s="565">
        <v>174968.72</v>
      </c>
      <c r="Q538" s="564">
        <v>0</v>
      </c>
      <c r="R538" s="564">
        <v>0</v>
      </c>
      <c r="S538" s="564">
        <v>0</v>
      </c>
      <c r="T538" s="560">
        <v>554715.56000000006</v>
      </c>
      <c r="U538" s="565">
        <v>3856508</v>
      </c>
      <c r="V538" s="565">
        <v>3856508</v>
      </c>
      <c r="W538" s="565">
        <v>3856530</v>
      </c>
      <c r="X538" s="565">
        <v>379746.84</v>
      </c>
      <c r="Y538" s="564">
        <v>1649100691</v>
      </c>
      <c r="Z538" s="564" t="s">
        <v>2948</v>
      </c>
      <c r="AA538" s="564">
        <v>1649100692</v>
      </c>
      <c r="AB538" s="564" t="s">
        <v>2949</v>
      </c>
      <c r="AC538" s="564">
        <v>1649100693</v>
      </c>
      <c r="AD538" s="564" t="s">
        <v>2950</v>
      </c>
    </row>
    <row r="539" spans="1:30" s="564" customFormat="1">
      <c r="A539" s="564">
        <v>12620</v>
      </c>
      <c r="B539" s="564">
        <v>12007739</v>
      </c>
      <c r="C539" s="564" t="s">
        <v>2951</v>
      </c>
      <c r="D539" s="564" t="s">
        <v>2971</v>
      </c>
      <c r="E539" s="564" t="s">
        <v>2971</v>
      </c>
      <c r="F539" s="564" t="s">
        <v>2972</v>
      </c>
      <c r="G539" s="564">
        <v>1345000</v>
      </c>
      <c r="H539" s="564">
        <v>1.36</v>
      </c>
      <c r="J539" s="564">
        <v>0</v>
      </c>
      <c r="K539" s="564" t="s">
        <v>2947</v>
      </c>
      <c r="L539" s="565">
        <v>12000000</v>
      </c>
      <c r="M539" s="565">
        <v>9733356</v>
      </c>
      <c r="O539" s="565">
        <v>799992</v>
      </c>
      <c r="P539" s="565">
        <v>127450.34</v>
      </c>
      <c r="Q539" s="564">
        <v>0</v>
      </c>
      <c r="R539" s="564">
        <v>0</v>
      </c>
      <c r="S539" s="564">
        <v>0</v>
      </c>
      <c r="T539" s="560">
        <v>927442.34</v>
      </c>
      <c r="U539" s="565">
        <v>8933364</v>
      </c>
      <c r="V539" s="565">
        <v>8933364</v>
      </c>
      <c r="W539" s="565">
        <v>8939060</v>
      </c>
      <c r="X539" s="565">
        <v>799992</v>
      </c>
      <c r="Y539" s="564">
        <v>1649100691</v>
      </c>
      <c r="Z539" s="564" t="s">
        <v>2948</v>
      </c>
      <c r="AA539" s="564">
        <v>1649100692</v>
      </c>
      <c r="AB539" s="564" t="s">
        <v>2949</v>
      </c>
      <c r="AC539" s="564">
        <v>1649100693</v>
      </c>
      <c r="AD539" s="564" t="s">
        <v>2950</v>
      </c>
    </row>
    <row r="540" spans="1:30" s="564" customFormat="1">
      <c r="A540" s="564">
        <v>20420</v>
      </c>
      <c r="B540" s="564">
        <v>20007640</v>
      </c>
      <c r="C540" s="564" t="s">
        <v>2944</v>
      </c>
      <c r="D540" s="564" t="s">
        <v>2973</v>
      </c>
      <c r="E540" s="564" t="s">
        <v>2973</v>
      </c>
      <c r="F540" s="564" t="s">
        <v>2974</v>
      </c>
      <c r="G540" s="564">
        <v>620801</v>
      </c>
      <c r="H540" s="564" t="s">
        <v>2967</v>
      </c>
      <c r="I540" s="564">
        <v>-0.05</v>
      </c>
      <c r="J540" s="564">
        <v>0</v>
      </c>
      <c r="K540" s="564" t="s">
        <v>2947</v>
      </c>
      <c r="L540" s="565">
        <v>10000000</v>
      </c>
      <c r="M540" s="565">
        <v>6076417.3499999996</v>
      </c>
      <c r="O540" s="565">
        <v>658342.27</v>
      </c>
      <c r="P540" s="565">
        <v>89253.29</v>
      </c>
      <c r="Q540" s="564">
        <v>0</v>
      </c>
      <c r="R540" s="564">
        <v>0</v>
      </c>
      <c r="S540" s="564">
        <v>0</v>
      </c>
      <c r="T540" s="560">
        <v>747595.56</v>
      </c>
      <c r="U540" s="565">
        <v>5418075</v>
      </c>
      <c r="V540" s="565">
        <v>5418075</v>
      </c>
      <c r="W540" s="565">
        <v>5423431</v>
      </c>
      <c r="X540" s="565">
        <v>658342.27</v>
      </c>
      <c r="Y540" s="564">
        <v>1649100691</v>
      </c>
      <c r="Z540" s="564" t="s">
        <v>2948</v>
      </c>
      <c r="AA540" s="564">
        <v>1649100692</v>
      </c>
      <c r="AB540" s="564" t="s">
        <v>2949</v>
      </c>
      <c r="AC540" s="564">
        <v>1649100693</v>
      </c>
      <c r="AD540" s="564" t="s">
        <v>2950</v>
      </c>
    </row>
    <row r="541" spans="1:30" s="564" customFormat="1">
      <c r="A541" s="564">
        <v>20420</v>
      </c>
      <c r="B541" s="564">
        <v>20007641</v>
      </c>
      <c r="C541" s="564" t="s">
        <v>2975</v>
      </c>
      <c r="D541" s="564" t="s">
        <v>2976</v>
      </c>
      <c r="E541" s="564" t="s">
        <v>2976</v>
      </c>
      <c r="F541" s="564" t="s">
        <v>2977</v>
      </c>
      <c r="G541" s="564">
        <v>135601</v>
      </c>
      <c r="H541" s="564" t="s">
        <v>2967</v>
      </c>
      <c r="I541" s="564">
        <v>-0.39</v>
      </c>
      <c r="J541" s="564">
        <v>0</v>
      </c>
      <c r="K541" s="564" t="s">
        <v>2947</v>
      </c>
      <c r="L541" s="565">
        <v>5324325.7300000004</v>
      </c>
      <c r="M541" s="565">
        <v>4958898.6900000004</v>
      </c>
      <c r="O541" s="565">
        <v>379868.63</v>
      </c>
      <c r="P541" s="565">
        <v>57781.09</v>
      </c>
      <c r="Q541" s="564">
        <v>0</v>
      </c>
      <c r="R541" s="564">
        <v>0</v>
      </c>
      <c r="S541" s="564">
        <v>0</v>
      </c>
      <c r="T541" s="560">
        <v>437649.72</v>
      </c>
      <c r="U541" s="565">
        <v>4579030</v>
      </c>
      <c r="V541" s="565">
        <v>4579030</v>
      </c>
      <c r="W541" s="565">
        <v>4582450</v>
      </c>
      <c r="X541" s="565">
        <v>379868.63</v>
      </c>
      <c r="Y541" s="564">
        <v>1649100691</v>
      </c>
      <c r="Z541" s="564" t="s">
        <v>2948</v>
      </c>
      <c r="AA541" s="564">
        <v>1649100692</v>
      </c>
      <c r="AB541" s="564" t="s">
        <v>2949</v>
      </c>
      <c r="AC541" s="564">
        <v>1649100693</v>
      </c>
      <c r="AD541" s="564" t="s">
        <v>2950</v>
      </c>
    </row>
    <row r="542" spans="1:30" s="564" customFormat="1">
      <c r="A542" s="564">
        <v>68001</v>
      </c>
      <c r="B542" s="564">
        <v>68008845</v>
      </c>
      <c r="C542" s="564" t="s">
        <v>2944</v>
      </c>
      <c r="D542" s="564" t="s">
        <v>2978</v>
      </c>
      <c r="E542" s="564" t="s">
        <v>2978</v>
      </c>
      <c r="F542" s="564" t="s">
        <v>2979</v>
      </c>
      <c r="H542" s="564">
        <v>2.2999999999999998</v>
      </c>
      <c r="J542" s="564">
        <v>1E-3</v>
      </c>
      <c r="K542" s="564" t="s">
        <v>989</v>
      </c>
      <c r="L542" s="565">
        <v>3000000</v>
      </c>
      <c r="M542" s="565">
        <v>310344.71999999997</v>
      </c>
      <c r="O542" s="565">
        <v>206896.56</v>
      </c>
      <c r="P542" s="565">
        <v>4954.21</v>
      </c>
      <c r="Q542" s="564">
        <v>0.01</v>
      </c>
      <c r="R542" s="564">
        <v>0.39</v>
      </c>
      <c r="S542" s="564">
        <v>0.4</v>
      </c>
      <c r="T542" s="560">
        <v>211851.17</v>
      </c>
      <c r="U542" s="565">
        <v>103448</v>
      </c>
      <c r="V542" s="565">
        <v>103448</v>
      </c>
      <c r="W542" s="565">
        <v>103689</v>
      </c>
      <c r="X542" s="565">
        <v>206896.95</v>
      </c>
      <c r="Y542" s="564">
        <v>1649100691</v>
      </c>
      <c r="Z542" s="564" t="s">
        <v>2948</v>
      </c>
      <c r="AA542" s="564">
        <v>1649100692</v>
      </c>
      <c r="AB542" s="564" t="s">
        <v>2949</v>
      </c>
      <c r="AC542" s="564">
        <v>1649100693</v>
      </c>
      <c r="AD542" s="564" t="s">
        <v>2950</v>
      </c>
    </row>
    <row r="543" spans="1:30" s="564" customFormat="1">
      <c r="A543" s="564">
        <v>68001</v>
      </c>
      <c r="B543" s="564">
        <v>68008854</v>
      </c>
      <c r="C543" s="564" t="s">
        <v>2944</v>
      </c>
      <c r="D543" s="564" t="s">
        <v>2980</v>
      </c>
      <c r="E543" s="564" t="s">
        <v>2980</v>
      </c>
      <c r="F543" s="564" t="s">
        <v>2981</v>
      </c>
      <c r="G543" s="564">
        <v>71227</v>
      </c>
      <c r="H543" s="564" t="s">
        <v>2967</v>
      </c>
      <c r="I543" s="564">
        <v>0</v>
      </c>
      <c r="J543" s="564">
        <v>0</v>
      </c>
      <c r="K543" s="564" t="s">
        <v>2947</v>
      </c>
      <c r="L543" s="565">
        <v>15000000</v>
      </c>
      <c r="M543" s="565">
        <v>3749999.45</v>
      </c>
      <c r="O543" s="565">
        <v>999999.96</v>
      </c>
      <c r="P543" s="565">
        <v>139728.04</v>
      </c>
      <c r="Q543" s="564">
        <v>0</v>
      </c>
      <c r="R543" s="564">
        <v>0</v>
      </c>
      <c r="S543" s="564">
        <v>0</v>
      </c>
      <c r="T543" s="560">
        <v>1139728</v>
      </c>
      <c r="U543" s="565">
        <v>2749999</v>
      </c>
      <c r="V543" s="565">
        <v>2749999</v>
      </c>
      <c r="W543" s="565">
        <v>2754745</v>
      </c>
      <c r="X543" s="565">
        <v>999999.96</v>
      </c>
      <c r="Y543" s="564">
        <v>1649100691</v>
      </c>
      <c r="Z543" s="564" t="s">
        <v>2948</v>
      </c>
      <c r="AA543" s="564">
        <v>1649100692</v>
      </c>
      <c r="AB543" s="564" t="s">
        <v>2949</v>
      </c>
      <c r="AC543" s="564">
        <v>1649100693</v>
      </c>
      <c r="AD543" s="564" t="s">
        <v>2950</v>
      </c>
    </row>
    <row r="544" spans="1:30" s="564" customFormat="1">
      <c r="A544" s="564">
        <v>68001</v>
      </c>
      <c r="B544" s="564">
        <v>68008858</v>
      </c>
      <c r="C544" s="564" t="s">
        <v>2951</v>
      </c>
      <c r="D544" s="564" t="s">
        <v>2982</v>
      </c>
      <c r="E544" s="564" t="s">
        <v>2982</v>
      </c>
      <c r="F544" s="564" t="s">
        <v>2983</v>
      </c>
      <c r="G544" s="564">
        <v>75818</v>
      </c>
      <c r="H544" s="564" t="s">
        <v>2967</v>
      </c>
      <c r="I544" s="564">
        <v>-0.05</v>
      </c>
      <c r="J544" s="564">
        <v>0</v>
      </c>
      <c r="K544" s="564" t="s">
        <v>2947</v>
      </c>
      <c r="L544" s="565">
        <v>21000000</v>
      </c>
      <c r="M544" s="565">
        <v>7699999.6200000001</v>
      </c>
      <c r="O544" s="565">
        <v>1400000.04</v>
      </c>
      <c r="P544" s="565">
        <v>296416.40999999997</v>
      </c>
      <c r="Q544" s="564">
        <v>0</v>
      </c>
      <c r="R544" s="564">
        <v>0</v>
      </c>
      <c r="S544" s="564">
        <v>0</v>
      </c>
      <c r="T544" s="560">
        <v>1696416.45</v>
      </c>
      <c r="U544" s="565">
        <v>6300000</v>
      </c>
      <c r="V544" s="565">
        <v>6300000</v>
      </c>
      <c r="W544" s="565">
        <v>6300000</v>
      </c>
      <c r="X544" s="565">
        <v>1400000.04</v>
      </c>
      <c r="Y544" s="564">
        <v>1649100691</v>
      </c>
      <c r="Z544" s="564" t="s">
        <v>2948</v>
      </c>
      <c r="AA544" s="564">
        <v>1649100692</v>
      </c>
      <c r="AB544" s="564" t="s">
        <v>2949</v>
      </c>
      <c r="AC544" s="564">
        <v>1649100693</v>
      </c>
      <c r="AD544" s="564" t="s">
        <v>2950</v>
      </c>
    </row>
    <row r="545" spans="1:30" s="564" customFormat="1">
      <c r="A545" s="564">
        <v>68001</v>
      </c>
      <c r="B545" s="564">
        <v>68008861</v>
      </c>
      <c r="C545" s="564" t="s">
        <v>2984</v>
      </c>
      <c r="D545" s="564" t="s">
        <v>2985</v>
      </c>
      <c r="E545" s="564" t="s">
        <v>2986</v>
      </c>
      <c r="F545" s="564" t="s">
        <v>2987</v>
      </c>
      <c r="G545" s="564">
        <v>79240</v>
      </c>
      <c r="H545" s="564" t="s">
        <v>2967</v>
      </c>
      <c r="I545" s="564">
        <v>-0.15</v>
      </c>
      <c r="J545" s="564">
        <v>0</v>
      </c>
      <c r="K545" s="564" t="s">
        <v>2947</v>
      </c>
      <c r="L545" s="565">
        <v>10000000</v>
      </c>
      <c r="M545" s="565">
        <v>4555555.5199999996</v>
      </c>
      <c r="O545" s="565">
        <v>666666.72</v>
      </c>
      <c r="P545" s="565">
        <v>174522.79</v>
      </c>
      <c r="Q545" s="564">
        <v>0</v>
      </c>
      <c r="R545" s="564">
        <v>0</v>
      </c>
      <c r="S545" s="564">
        <v>0</v>
      </c>
      <c r="T545" s="560">
        <v>841189.51</v>
      </c>
      <c r="U545" s="565">
        <v>3888889</v>
      </c>
      <c r="V545" s="565">
        <v>3888889</v>
      </c>
      <c r="W545" s="565">
        <v>3894541</v>
      </c>
      <c r="X545" s="565">
        <v>666666.72</v>
      </c>
      <c r="Y545" s="564">
        <v>1649100691</v>
      </c>
      <c r="Z545" s="564" t="s">
        <v>2948</v>
      </c>
      <c r="AA545" s="564">
        <v>1649100692</v>
      </c>
      <c r="AB545" s="564" t="s">
        <v>2949</v>
      </c>
      <c r="AC545" s="564">
        <v>1649100693</v>
      </c>
      <c r="AD545" s="564" t="s">
        <v>2950</v>
      </c>
    </row>
    <row r="546" spans="1:30" s="564" customFormat="1">
      <c r="A546" s="564">
        <v>68001</v>
      </c>
      <c r="B546" s="564">
        <v>68008863</v>
      </c>
      <c r="C546" s="564" t="s">
        <v>2951</v>
      </c>
      <c r="D546" s="564" t="s">
        <v>2988</v>
      </c>
      <c r="E546" s="564" t="s">
        <v>2988</v>
      </c>
      <c r="F546" s="564" t="s">
        <v>2989</v>
      </c>
      <c r="H546" s="564">
        <v>1.5409999999999999</v>
      </c>
      <c r="J546" s="564">
        <v>0</v>
      </c>
      <c r="K546" s="564" t="s">
        <v>2947</v>
      </c>
      <c r="L546" s="565">
        <v>7000000</v>
      </c>
      <c r="M546" s="565">
        <v>6012820.6200000001</v>
      </c>
      <c r="O546" s="565">
        <v>538461.48</v>
      </c>
      <c r="P546" s="565">
        <v>88854.46</v>
      </c>
      <c r="Q546" s="564">
        <v>0</v>
      </c>
      <c r="R546" s="564">
        <v>0</v>
      </c>
      <c r="S546" s="564">
        <v>0</v>
      </c>
      <c r="T546" s="560">
        <v>627315.93999999994</v>
      </c>
      <c r="U546" s="565">
        <v>5474359</v>
      </c>
      <c r="V546" s="565">
        <v>5474359</v>
      </c>
      <c r="W546" s="565">
        <v>5481889</v>
      </c>
      <c r="X546" s="565">
        <v>538461.48</v>
      </c>
      <c r="Y546" s="564">
        <v>1649100691</v>
      </c>
      <c r="Z546" s="564" t="s">
        <v>2948</v>
      </c>
      <c r="AA546" s="564">
        <v>1649100692</v>
      </c>
      <c r="AB546" s="564" t="s">
        <v>2949</v>
      </c>
      <c r="AC546" s="564">
        <v>1649100693</v>
      </c>
      <c r="AD546" s="564" t="s">
        <v>2950</v>
      </c>
    </row>
    <row r="547" spans="1:30" s="564" customFormat="1">
      <c r="A547" s="564">
        <v>68001</v>
      </c>
      <c r="B547" s="564">
        <v>68008864</v>
      </c>
      <c r="C547" s="564" t="s">
        <v>2951</v>
      </c>
      <c r="D547" s="564" t="s">
        <v>2990</v>
      </c>
      <c r="E547" s="564" t="s">
        <v>2990</v>
      </c>
      <c r="F547" s="564" t="s">
        <v>2991</v>
      </c>
      <c r="H547" s="564">
        <v>1.369</v>
      </c>
      <c r="J547" s="564">
        <v>0</v>
      </c>
      <c r="K547" s="564" t="s">
        <v>2947</v>
      </c>
      <c r="L547" s="565">
        <v>12000000</v>
      </c>
      <c r="M547" s="565">
        <v>9799999.8900000006</v>
      </c>
      <c r="O547" s="565">
        <v>800000.04</v>
      </c>
      <c r="P547" s="565">
        <v>129142.34</v>
      </c>
      <c r="Q547" s="564">
        <v>0</v>
      </c>
      <c r="R547" s="564">
        <v>0</v>
      </c>
      <c r="S547" s="564">
        <v>0</v>
      </c>
      <c r="T547" s="560">
        <v>929142.38</v>
      </c>
      <c r="U547" s="565">
        <v>9000000</v>
      </c>
      <c r="V547" s="565">
        <v>9000000</v>
      </c>
      <c r="W547" s="565">
        <v>9010975</v>
      </c>
      <c r="X547" s="565">
        <v>800000.04</v>
      </c>
      <c r="Y547" s="564">
        <v>1649100691</v>
      </c>
      <c r="Z547" s="564" t="s">
        <v>2948</v>
      </c>
      <c r="AA547" s="564">
        <v>1649100692</v>
      </c>
      <c r="AB547" s="564" t="s">
        <v>2949</v>
      </c>
      <c r="AC547" s="564">
        <v>1649100693</v>
      </c>
      <c r="AD547" s="564" t="s">
        <v>2950</v>
      </c>
    </row>
    <row r="548" spans="1:30" s="566" customFormat="1">
      <c r="L548" s="567"/>
      <c r="M548" s="567"/>
      <c r="O548" s="567"/>
      <c r="P548" s="567"/>
      <c r="Q548" s="567"/>
      <c r="R548" s="567"/>
      <c r="S548" s="567"/>
      <c r="T548" s="41"/>
      <c r="U548" s="567"/>
      <c r="V548" s="567"/>
      <c r="W548" s="567"/>
      <c r="X548" s="567"/>
    </row>
    <row r="549" spans="1:30" s="566" customFormat="1" ht="15" thickBot="1">
      <c r="T549" s="41"/>
    </row>
    <row r="550" spans="1:30" s="566" customFormat="1" ht="15.75" thickBot="1">
      <c r="L550" s="567"/>
      <c r="M550" s="567"/>
      <c r="O550" s="567"/>
      <c r="P550" s="567"/>
      <c r="Q550" s="567"/>
      <c r="R550" s="567"/>
      <c r="S550" s="567"/>
      <c r="T550" s="727">
        <f>SUM(T529:T549)</f>
        <v>20078926.060000002</v>
      </c>
      <c r="U550" s="567"/>
      <c r="V550" s="567"/>
      <c r="W550" s="567"/>
      <c r="X550" s="567"/>
    </row>
    <row r="551" spans="1:30" s="566" customFormat="1">
      <c r="T551" s="41"/>
    </row>
    <row r="552" spans="1:30" s="566" customFormat="1">
      <c r="T552" s="41"/>
    </row>
    <row r="553" spans="1:30" s="566" customFormat="1">
      <c r="T553" s="41"/>
    </row>
    <row r="554" spans="1:30" s="566" customFormat="1">
      <c r="T554" s="41"/>
    </row>
    <row r="555" spans="1:30" s="566" customFormat="1">
      <c r="T555" s="41"/>
    </row>
    <row r="556" spans="1:30" s="566" customFormat="1">
      <c r="T556" s="41"/>
    </row>
    <row r="557" spans="1:30" s="566" customFormat="1">
      <c r="T557" s="41"/>
    </row>
    <row r="558" spans="1:30" s="566" customFormat="1">
      <c r="T558" s="41"/>
    </row>
    <row r="559" spans="1:30" s="566" customFormat="1">
      <c r="T559" s="41"/>
    </row>
    <row r="560" spans="1:30" s="566" customFormat="1">
      <c r="T560" s="41"/>
    </row>
    <row r="561" spans="20:20" s="566" customFormat="1">
      <c r="T561" s="41"/>
    </row>
    <row r="562" spans="20:20" s="566" customFormat="1">
      <c r="T562" s="41"/>
    </row>
    <row r="563" spans="20:20" s="566" customFormat="1">
      <c r="T563" s="41"/>
    </row>
    <row r="564" spans="20:20" s="566" customFormat="1">
      <c r="T564" s="41"/>
    </row>
    <row r="565" spans="20:20" s="566" customFormat="1">
      <c r="T565" s="41"/>
    </row>
    <row r="566" spans="20:20" s="566" customFormat="1">
      <c r="T566" s="41"/>
    </row>
    <row r="567" spans="20:20" s="566" customFormat="1">
      <c r="T567" s="41"/>
    </row>
    <row r="568" spans="20:20" s="566" customFormat="1">
      <c r="T568" s="41"/>
    </row>
    <row r="569" spans="20:20" s="566" customFormat="1">
      <c r="T569" s="41"/>
    </row>
    <row r="570" spans="20:20" s="566" customFormat="1">
      <c r="T570" s="41"/>
    </row>
    <row r="571" spans="20:20" s="566" customFormat="1">
      <c r="T571" s="41"/>
    </row>
    <row r="572" spans="20:20" s="566" customFormat="1">
      <c r="T572" s="41"/>
    </row>
    <row r="573" spans="20:20" s="566" customFormat="1">
      <c r="T573" s="41"/>
    </row>
    <row r="574" spans="20:20" s="566" customFormat="1">
      <c r="T574" s="41"/>
    </row>
    <row r="575" spans="20:20" s="566" customFormat="1">
      <c r="T575" s="41"/>
    </row>
    <row r="576" spans="20:20" s="566" customFormat="1">
      <c r="T576" s="41"/>
    </row>
    <row r="577" spans="20:20" s="566" customFormat="1">
      <c r="T577" s="41"/>
    </row>
    <row r="578" spans="20:20" s="566" customFormat="1">
      <c r="T578" s="41"/>
    </row>
    <row r="579" spans="20:20" s="566" customFormat="1">
      <c r="T579" s="41"/>
    </row>
    <row r="580" spans="20:20" s="566" customFormat="1">
      <c r="T580" s="41"/>
    </row>
    <row r="581" spans="20:20" s="566" customFormat="1">
      <c r="T581" s="41"/>
    </row>
    <row r="582" spans="20:20" s="566" customFormat="1">
      <c r="T582" s="41"/>
    </row>
    <row r="583" spans="20:20" s="566" customFormat="1">
      <c r="T583" s="41"/>
    </row>
    <row r="584" spans="20:20" s="566" customFormat="1">
      <c r="T584" s="41"/>
    </row>
    <row r="585" spans="20:20" s="566" customFormat="1">
      <c r="T585" s="41"/>
    </row>
    <row r="586" spans="20:20" s="566" customFormat="1">
      <c r="T586" s="41"/>
    </row>
    <row r="587" spans="20:20" s="566" customFormat="1">
      <c r="T587" s="41"/>
    </row>
    <row r="588" spans="20:20" s="566" customFormat="1">
      <c r="T588" s="41"/>
    </row>
    <row r="589" spans="20:20" s="566" customFormat="1">
      <c r="T589" s="41"/>
    </row>
    <row r="590" spans="20:20" s="566" customFormat="1">
      <c r="T590" s="41"/>
    </row>
    <row r="591" spans="20:20" s="566" customFormat="1">
      <c r="T591" s="41"/>
    </row>
    <row r="592" spans="20:20" s="566" customFormat="1">
      <c r="T592" s="41"/>
    </row>
    <row r="593" spans="20:20" s="566" customFormat="1">
      <c r="T593" s="41"/>
    </row>
    <row r="594" spans="20:20" s="566" customFormat="1">
      <c r="T594" s="41"/>
    </row>
    <row r="595" spans="20:20" s="566" customFormat="1">
      <c r="T595" s="41"/>
    </row>
    <row r="596" spans="20:20" s="566" customFormat="1">
      <c r="T596" s="41"/>
    </row>
    <row r="597" spans="20:20" s="566" customFormat="1">
      <c r="T597" s="41"/>
    </row>
    <row r="598" spans="20:20" s="566" customFormat="1">
      <c r="T598" s="41"/>
    </row>
    <row r="599" spans="20:20" s="566" customFormat="1">
      <c r="T599" s="41"/>
    </row>
    <row r="600" spans="20:20" s="566" customFormat="1">
      <c r="T600" s="41"/>
    </row>
    <row r="601" spans="20:20" s="566" customFormat="1">
      <c r="T601" s="41"/>
    </row>
    <row r="602" spans="20:20" s="566" customFormat="1">
      <c r="T602" s="41"/>
    </row>
    <row r="603" spans="20:20" s="566" customFormat="1">
      <c r="T603" s="41"/>
    </row>
    <row r="604" spans="20:20" s="566" customFormat="1">
      <c r="T604" s="41"/>
    </row>
    <row r="605" spans="20:20" s="566" customFormat="1">
      <c r="T605" s="41"/>
    </row>
    <row r="606" spans="20:20" s="566" customFormat="1">
      <c r="T606" s="41"/>
    </row>
    <row r="607" spans="20:20" s="566" customFormat="1">
      <c r="T607" s="41"/>
    </row>
    <row r="608" spans="20:20" s="566" customFormat="1">
      <c r="T608" s="41"/>
    </row>
    <row r="609" spans="20:20" s="566" customFormat="1">
      <c r="T609" s="41"/>
    </row>
    <row r="610" spans="20:20" s="566" customFormat="1">
      <c r="T610" s="41"/>
    </row>
    <row r="611" spans="20:20" s="566" customFormat="1">
      <c r="T611" s="41"/>
    </row>
    <row r="612" spans="20:20" s="566" customFormat="1">
      <c r="T612" s="41"/>
    </row>
    <row r="613" spans="20:20" s="566" customFormat="1">
      <c r="T613" s="41"/>
    </row>
    <row r="614" spans="20:20" s="566" customFormat="1">
      <c r="T614" s="41"/>
    </row>
    <row r="615" spans="20:20" s="566" customFormat="1">
      <c r="T615" s="41"/>
    </row>
    <row r="616" spans="20:20" s="566" customFormat="1">
      <c r="T616" s="41"/>
    </row>
    <row r="617" spans="20:20" s="566" customFormat="1">
      <c r="T617" s="41"/>
    </row>
    <row r="618" spans="20:20" s="566" customFormat="1">
      <c r="T618" s="41"/>
    </row>
    <row r="619" spans="20:20" s="566" customFormat="1">
      <c r="T619" s="41"/>
    </row>
    <row r="620" spans="20:20" s="566" customFormat="1">
      <c r="T620" s="41"/>
    </row>
    <row r="621" spans="20:20" s="566" customFormat="1">
      <c r="T621" s="41"/>
    </row>
    <row r="622" spans="20:20" s="566" customFormat="1">
      <c r="T622" s="41"/>
    </row>
    <row r="623" spans="20:20" s="566" customFormat="1">
      <c r="T623" s="41"/>
    </row>
    <row r="624" spans="20:20" s="566" customFormat="1">
      <c r="T624" s="41"/>
    </row>
    <row r="625" spans="20:20" s="566" customFormat="1">
      <c r="T625" s="41"/>
    </row>
    <row r="626" spans="20:20" s="566" customFormat="1">
      <c r="T626" s="41"/>
    </row>
    <row r="627" spans="20:20" s="566" customFormat="1">
      <c r="T627" s="41"/>
    </row>
    <row r="628" spans="20:20" s="566" customFormat="1">
      <c r="T628" s="41"/>
    </row>
    <row r="629" spans="20:20" s="566" customFormat="1">
      <c r="T629" s="41"/>
    </row>
    <row r="630" spans="20:20" s="566" customFormat="1">
      <c r="T630" s="41"/>
    </row>
    <row r="631" spans="20:20" s="566" customFormat="1">
      <c r="T631" s="41"/>
    </row>
    <row r="632" spans="20:20" s="566" customFormat="1">
      <c r="T632" s="41"/>
    </row>
    <row r="633" spans="20:20" s="566" customFormat="1">
      <c r="T633" s="41"/>
    </row>
    <row r="634" spans="20:20" s="566" customFormat="1">
      <c r="T634" s="41"/>
    </row>
    <row r="635" spans="20:20" s="566" customFormat="1">
      <c r="T635" s="41"/>
    </row>
    <row r="636" spans="20:20" s="566" customFormat="1">
      <c r="T636" s="41"/>
    </row>
    <row r="637" spans="20:20" s="566" customFormat="1">
      <c r="T637" s="41"/>
    </row>
    <row r="638" spans="20:20" s="566" customFormat="1">
      <c r="T638" s="41"/>
    </row>
    <row r="639" spans="20:20" s="566" customFormat="1">
      <c r="T639" s="41"/>
    </row>
    <row r="640" spans="20:20" s="566" customFormat="1">
      <c r="T640" s="41"/>
    </row>
    <row r="641" spans="20:20" s="566" customFormat="1">
      <c r="T641" s="41"/>
    </row>
    <row r="642" spans="20:20" s="566" customFormat="1">
      <c r="T642" s="41"/>
    </row>
    <row r="643" spans="20:20" s="566" customFormat="1">
      <c r="T643" s="41"/>
    </row>
    <row r="644" spans="20:20" s="566" customFormat="1">
      <c r="T644" s="41"/>
    </row>
    <row r="645" spans="20:20" s="566" customFormat="1">
      <c r="T645" s="41"/>
    </row>
    <row r="646" spans="20:20" s="566" customFormat="1">
      <c r="T646" s="41"/>
    </row>
    <row r="647" spans="20:20" s="566" customFormat="1">
      <c r="T647" s="41"/>
    </row>
    <row r="648" spans="20:20" s="566" customFormat="1">
      <c r="T648" s="41"/>
    </row>
    <row r="649" spans="20:20" s="566" customFormat="1">
      <c r="T649" s="41"/>
    </row>
    <row r="650" spans="20:20" s="566" customFormat="1">
      <c r="T650" s="41"/>
    </row>
    <row r="651" spans="20:20" s="566" customFormat="1">
      <c r="T651" s="41"/>
    </row>
    <row r="652" spans="20:20" s="566" customFormat="1">
      <c r="T652" s="41"/>
    </row>
    <row r="653" spans="20:20" s="566" customFormat="1">
      <c r="T653" s="41"/>
    </row>
    <row r="654" spans="20:20" s="566" customFormat="1">
      <c r="T654" s="41"/>
    </row>
    <row r="655" spans="20:20" s="566" customFormat="1">
      <c r="T655" s="41"/>
    </row>
    <row r="656" spans="20:20" s="566" customFormat="1">
      <c r="T656" s="41"/>
    </row>
    <row r="657" spans="20:20" s="566" customFormat="1">
      <c r="T657" s="41"/>
    </row>
    <row r="658" spans="20:20" s="566" customFormat="1">
      <c r="T658" s="41"/>
    </row>
    <row r="659" spans="20:20" s="566" customFormat="1">
      <c r="T659" s="41"/>
    </row>
    <row r="660" spans="20:20" s="566" customFormat="1">
      <c r="T660" s="41"/>
    </row>
    <row r="661" spans="20:20" s="566" customFormat="1">
      <c r="T661" s="41"/>
    </row>
    <row r="662" spans="20:20" s="566" customFormat="1">
      <c r="T662" s="41"/>
    </row>
    <row r="663" spans="20:20" s="566" customFormat="1">
      <c r="T663" s="41"/>
    </row>
    <row r="664" spans="20:20" s="566" customFormat="1">
      <c r="T664" s="41"/>
    </row>
    <row r="665" spans="20:20" s="566" customFormat="1">
      <c r="T665" s="41"/>
    </row>
    <row r="666" spans="20:20" s="566" customFormat="1">
      <c r="T666" s="41"/>
    </row>
    <row r="667" spans="20:20" s="566" customFormat="1">
      <c r="T667" s="41"/>
    </row>
    <row r="668" spans="20:20" s="566" customFormat="1">
      <c r="T668" s="41"/>
    </row>
    <row r="669" spans="20:20" s="566" customFormat="1">
      <c r="T669" s="41"/>
    </row>
    <row r="670" spans="20:20" s="566" customFormat="1">
      <c r="T670" s="41"/>
    </row>
    <row r="671" spans="20:20" s="566" customFormat="1">
      <c r="T671" s="41"/>
    </row>
    <row r="672" spans="20:20" s="566" customFormat="1">
      <c r="T672" s="41"/>
    </row>
    <row r="673" spans="20:20" s="566" customFormat="1">
      <c r="T673" s="41"/>
    </row>
    <row r="674" spans="20:20" s="566" customFormat="1">
      <c r="T674" s="41"/>
    </row>
    <row r="675" spans="20:20" s="566" customFormat="1">
      <c r="T675" s="41"/>
    </row>
    <row r="676" spans="20:20" s="566" customFormat="1">
      <c r="T676" s="41"/>
    </row>
    <row r="677" spans="20:20" s="566" customFormat="1">
      <c r="T677" s="41"/>
    </row>
    <row r="678" spans="20:20" s="566" customFormat="1">
      <c r="T678" s="41"/>
    </row>
    <row r="679" spans="20:20" s="566" customFormat="1">
      <c r="T679" s="41"/>
    </row>
    <row r="680" spans="20:20" s="566" customFormat="1">
      <c r="T680" s="41"/>
    </row>
    <row r="681" spans="20:20" s="566" customFormat="1">
      <c r="T681" s="41"/>
    </row>
    <row r="682" spans="20:20" s="566" customFormat="1">
      <c r="T682" s="41"/>
    </row>
    <row r="683" spans="20:20" s="566" customFormat="1">
      <c r="T683" s="41"/>
    </row>
    <row r="684" spans="20:20" s="566" customFormat="1">
      <c r="T684" s="41"/>
    </row>
    <row r="685" spans="20:20" s="566" customFormat="1">
      <c r="T685" s="41"/>
    </row>
    <row r="686" spans="20:20" s="566" customFormat="1">
      <c r="T686" s="41"/>
    </row>
    <row r="687" spans="20:20" s="566" customFormat="1">
      <c r="T687" s="41"/>
    </row>
    <row r="688" spans="20:20" s="566" customFormat="1">
      <c r="T688" s="41"/>
    </row>
    <row r="689" spans="20:20" s="566" customFormat="1">
      <c r="T689" s="41"/>
    </row>
    <row r="690" spans="20:20" s="566" customFormat="1">
      <c r="T690" s="41"/>
    </row>
    <row r="691" spans="20:20" s="566" customFormat="1">
      <c r="T691" s="41"/>
    </row>
    <row r="692" spans="20:20" s="566" customFormat="1">
      <c r="T692" s="41"/>
    </row>
    <row r="693" spans="20:20" s="566" customFormat="1">
      <c r="T693" s="41"/>
    </row>
    <row r="694" spans="20:20" s="566" customFormat="1">
      <c r="T694" s="41"/>
    </row>
    <row r="695" spans="20:20" s="566" customFormat="1">
      <c r="T695" s="41"/>
    </row>
    <row r="696" spans="20:20" s="566" customFormat="1">
      <c r="T696" s="41"/>
    </row>
    <row r="697" spans="20:20" s="566" customFormat="1">
      <c r="T697" s="41"/>
    </row>
    <row r="698" spans="20:20" s="566" customFormat="1">
      <c r="T698" s="41"/>
    </row>
    <row r="699" spans="20:20" s="566" customFormat="1">
      <c r="T699" s="41"/>
    </row>
    <row r="700" spans="20:20" s="566" customFormat="1">
      <c r="T700" s="41"/>
    </row>
    <row r="701" spans="20:20" s="566" customFormat="1">
      <c r="T701" s="41"/>
    </row>
    <row r="702" spans="20:20" s="566" customFormat="1">
      <c r="T702" s="41"/>
    </row>
    <row r="703" spans="20:20" s="566" customFormat="1">
      <c r="T703" s="41"/>
    </row>
    <row r="704" spans="20:20" s="566" customFormat="1">
      <c r="T704" s="41"/>
    </row>
    <row r="705" spans="20:20" s="566" customFormat="1">
      <c r="T705" s="41"/>
    </row>
    <row r="706" spans="20:20" s="566" customFormat="1">
      <c r="T706" s="41"/>
    </row>
    <row r="707" spans="20:20" s="566" customFormat="1">
      <c r="T707" s="41"/>
    </row>
    <row r="708" spans="20:20" s="566" customFormat="1">
      <c r="T708" s="41"/>
    </row>
    <row r="709" spans="20:20" s="566" customFormat="1">
      <c r="T709" s="41"/>
    </row>
    <row r="710" spans="20:20" s="566" customFormat="1">
      <c r="T710" s="41"/>
    </row>
    <row r="711" spans="20:20" s="566" customFormat="1">
      <c r="T711" s="41"/>
    </row>
    <row r="712" spans="20:20" s="566" customFormat="1">
      <c r="T712" s="41"/>
    </row>
    <row r="713" spans="20:20" s="566" customFormat="1">
      <c r="T713" s="41"/>
    </row>
    <row r="714" spans="20:20" s="566" customFormat="1">
      <c r="T714" s="41"/>
    </row>
    <row r="715" spans="20:20" s="566" customFormat="1">
      <c r="T715" s="41"/>
    </row>
    <row r="716" spans="20:20" s="566" customFormat="1">
      <c r="T716" s="41"/>
    </row>
    <row r="717" spans="20:20" s="566" customFormat="1">
      <c r="T717" s="41"/>
    </row>
    <row r="718" spans="20:20" s="566" customFormat="1">
      <c r="T718" s="41"/>
    </row>
    <row r="719" spans="20:20" s="566" customFormat="1">
      <c r="T719" s="41"/>
    </row>
    <row r="720" spans="20:20" s="566" customFormat="1">
      <c r="T720" s="41"/>
    </row>
    <row r="721" spans="20:20" s="566" customFormat="1">
      <c r="T721" s="41"/>
    </row>
    <row r="722" spans="20:20" s="566" customFormat="1">
      <c r="T722" s="41"/>
    </row>
    <row r="723" spans="20:20" s="566" customFormat="1">
      <c r="T723" s="41"/>
    </row>
    <row r="724" spans="20:20" s="566" customFormat="1">
      <c r="T724" s="41"/>
    </row>
    <row r="725" spans="20:20" s="566" customFormat="1">
      <c r="T725" s="41"/>
    </row>
    <row r="726" spans="20:20" s="566" customFormat="1">
      <c r="T726" s="41"/>
    </row>
    <row r="727" spans="20:20" s="566" customFormat="1">
      <c r="T727" s="41"/>
    </row>
    <row r="728" spans="20:20" s="566" customFormat="1">
      <c r="T728" s="41"/>
    </row>
    <row r="729" spans="20:20" s="566" customFormat="1">
      <c r="T729" s="41"/>
    </row>
    <row r="730" spans="20:20" s="566" customFormat="1">
      <c r="T730" s="41"/>
    </row>
    <row r="731" spans="20:20" s="566" customFormat="1">
      <c r="T731" s="41"/>
    </row>
    <row r="732" spans="20:20" s="566" customFormat="1">
      <c r="T732" s="41"/>
    </row>
    <row r="733" spans="20:20" s="566" customFormat="1">
      <c r="T733" s="41"/>
    </row>
    <row r="734" spans="20:20" s="566" customFormat="1">
      <c r="T734" s="41"/>
    </row>
    <row r="735" spans="20:20" s="566" customFormat="1">
      <c r="T735" s="41"/>
    </row>
    <row r="736" spans="20:20" s="566" customFormat="1">
      <c r="T736" s="41"/>
    </row>
    <row r="737" spans="20:20" s="566" customFormat="1">
      <c r="T737" s="41"/>
    </row>
    <row r="738" spans="20:20" s="566" customFormat="1">
      <c r="T738" s="41"/>
    </row>
    <row r="739" spans="20:20" s="566" customFormat="1">
      <c r="T739" s="41"/>
    </row>
    <row r="740" spans="20:20" s="566" customFormat="1">
      <c r="T740" s="41"/>
    </row>
    <row r="741" spans="20:20" s="566" customFormat="1">
      <c r="T741" s="41"/>
    </row>
    <row r="742" spans="20:20" s="566" customFormat="1">
      <c r="T742" s="41"/>
    </row>
    <row r="743" spans="20:20" s="566" customFormat="1">
      <c r="T743" s="41"/>
    </row>
    <row r="744" spans="20:20" s="566" customFormat="1">
      <c r="T744" s="41"/>
    </row>
    <row r="745" spans="20:20" s="566" customFormat="1">
      <c r="T745" s="41"/>
    </row>
    <row r="746" spans="20:20" s="566" customFormat="1">
      <c r="T746" s="41"/>
    </row>
    <row r="747" spans="20:20" s="566" customFormat="1">
      <c r="T747" s="41"/>
    </row>
    <row r="748" spans="20:20" s="566" customFormat="1">
      <c r="T748" s="41"/>
    </row>
    <row r="749" spans="20:20" s="566" customFormat="1">
      <c r="T749" s="41"/>
    </row>
    <row r="750" spans="20:20" s="566" customFormat="1">
      <c r="T750" s="41"/>
    </row>
    <row r="751" spans="20:20" s="566" customFormat="1">
      <c r="T751" s="41"/>
    </row>
    <row r="752" spans="20:20" s="566" customFormat="1">
      <c r="T752" s="41"/>
    </row>
    <row r="753" spans="20:20" s="566" customFormat="1">
      <c r="T753" s="41"/>
    </row>
    <row r="754" spans="20:20" s="566" customFormat="1">
      <c r="T754" s="41"/>
    </row>
    <row r="755" spans="20:20" s="566" customFormat="1">
      <c r="T755" s="41"/>
    </row>
    <row r="756" spans="20:20" s="566" customFormat="1">
      <c r="T756" s="41"/>
    </row>
    <row r="757" spans="20:20" s="566" customFormat="1">
      <c r="T757" s="41"/>
    </row>
    <row r="758" spans="20:20" s="566" customFormat="1">
      <c r="T758" s="41"/>
    </row>
    <row r="759" spans="20:20" s="566" customFormat="1">
      <c r="T759" s="41"/>
    </row>
    <row r="760" spans="20:20" s="566" customFormat="1">
      <c r="T760" s="41"/>
    </row>
    <row r="761" spans="20:20" s="566" customFormat="1">
      <c r="T761" s="41"/>
    </row>
    <row r="762" spans="20:20" s="566" customFormat="1">
      <c r="T762" s="41"/>
    </row>
    <row r="763" spans="20:20" s="566" customFormat="1">
      <c r="T763" s="41"/>
    </row>
    <row r="764" spans="20:20" s="566" customFormat="1">
      <c r="T764" s="41"/>
    </row>
    <row r="765" spans="20:20" s="566" customFormat="1">
      <c r="T765" s="41"/>
    </row>
    <row r="766" spans="20:20" s="566" customFormat="1">
      <c r="T766" s="41"/>
    </row>
    <row r="767" spans="20:20" s="566" customFormat="1">
      <c r="T767" s="41"/>
    </row>
    <row r="768" spans="20:20" s="566" customFormat="1">
      <c r="T768" s="41"/>
    </row>
    <row r="769" spans="20:20" s="566" customFormat="1">
      <c r="T769" s="41"/>
    </row>
    <row r="770" spans="20:20" s="566" customFormat="1">
      <c r="T770" s="41"/>
    </row>
    <row r="771" spans="20:20" s="566" customFormat="1">
      <c r="T771" s="41"/>
    </row>
    <row r="772" spans="20:20" s="566" customFormat="1">
      <c r="T772" s="41"/>
    </row>
    <row r="773" spans="20:20" s="566" customFormat="1">
      <c r="T773" s="41"/>
    </row>
    <row r="774" spans="20:20" s="566" customFormat="1">
      <c r="T774" s="41"/>
    </row>
    <row r="775" spans="20:20" s="566" customFormat="1">
      <c r="T775" s="41"/>
    </row>
    <row r="776" spans="20:20" s="566" customFormat="1">
      <c r="T776" s="41"/>
    </row>
    <row r="777" spans="20:20" s="566" customFormat="1">
      <c r="T777" s="41"/>
    </row>
    <row r="778" spans="20:20" s="566" customFormat="1">
      <c r="T778" s="41"/>
    </row>
    <row r="779" spans="20:20" s="566" customFormat="1">
      <c r="T779" s="41"/>
    </row>
    <row r="780" spans="20:20" s="566" customFormat="1">
      <c r="T780" s="41"/>
    </row>
    <row r="781" spans="20:20" s="566" customFormat="1">
      <c r="T781" s="41"/>
    </row>
    <row r="782" spans="20:20" s="566" customFormat="1">
      <c r="T782" s="41"/>
    </row>
    <row r="783" spans="20:20" s="566" customFormat="1">
      <c r="T783" s="41"/>
    </row>
    <row r="784" spans="20:20" s="566" customFormat="1">
      <c r="T784" s="41"/>
    </row>
    <row r="785" spans="20:20" s="566" customFormat="1">
      <c r="T785" s="41"/>
    </row>
    <row r="786" spans="20:20" s="566" customFormat="1">
      <c r="T786" s="41"/>
    </row>
    <row r="787" spans="20:20" s="566" customFormat="1">
      <c r="T787" s="41"/>
    </row>
    <row r="788" spans="20:20" s="566" customFormat="1">
      <c r="T788" s="41"/>
    </row>
    <row r="789" spans="20:20" s="566" customFormat="1">
      <c r="T789" s="41"/>
    </row>
    <row r="790" spans="20:20" s="566" customFormat="1">
      <c r="T790" s="41"/>
    </row>
    <row r="791" spans="20:20" s="566" customFormat="1">
      <c r="T791" s="41"/>
    </row>
    <row r="792" spans="20:20" s="566" customFormat="1">
      <c r="T792" s="41"/>
    </row>
    <row r="793" spans="20:20" s="566" customFormat="1">
      <c r="T793" s="41"/>
    </row>
    <row r="794" spans="20:20" s="566" customFormat="1">
      <c r="T794" s="41"/>
    </row>
    <row r="795" spans="20:20" s="566" customFormat="1">
      <c r="T795" s="41"/>
    </row>
    <row r="796" spans="20:20" s="566" customFormat="1">
      <c r="T796" s="41"/>
    </row>
    <row r="797" spans="20:20" s="566" customFormat="1">
      <c r="T797" s="41"/>
    </row>
    <row r="798" spans="20:20" s="566" customFormat="1">
      <c r="T798" s="41"/>
    </row>
    <row r="799" spans="20:20" s="566" customFormat="1">
      <c r="T799" s="41"/>
    </row>
    <row r="800" spans="20:20" s="566" customFormat="1">
      <c r="T800" s="41"/>
    </row>
    <row r="801" spans="20:20" s="566" customFormat="1">
      <c r="T801" s="41"/>
    </row>
    <row r="802" spans="20:20" s="566" customFormat="1">
      <c r="T802" s="41"/>
    </row>
    <row r="803" spans="20:20" s="566" customFormat="1">
      <c r="T803" s="41"/>
    </row>
    <row r="804" spans="20:20" s="566" customFormat="1">
      <c r="T804" s="41"/>
    </row>
    <row r="805" spans="20:20" s="566" customFormat="1">
      <c r="T805" s="41"/>
    </row>
    <row r="806" spans="20:20" s="566" customFormat="1">
      <c r="T806" s="41"/>
    </row>
    <row r="807" spans="20:20" s="566" customFormat="1">
      <c r="T807" s="41"/>
    </row>
    <row r="808" spans="20:20" s="566" customFormat="1">
      <c r="T808" s="41"/>
    </row>
    <row r="809" spans="20:20" s="566" customFormat="1">
      <c r="T809" s="41"/>
    </row>
    <row r="810" spans="20:20" s="566" customFormat="1">
      <c r="T810" s="41"/>
    </row>
    <row r="811" spans="20:20" s="566" customFormat="1">
      <c r="T811" s="41"/>
    </row>
    <row r="812" spans="20:20" s="566" customFormat="1">
      <c r="T812" s="41"/>
    </row>
    <row r="813" spans="20:20" s="566" customFormat="1">
      <c r="T813" s="41"/>
    </row>
    <row r="814" spans="20:20" s="566" customFormat="1">
      <c r="T814" s="41"/>
    </row>
    <row r="815" spans="20:20" s="566" customFormat="1">
      <c r="T815" s="41"/>
    </row>
    <row r="816" spans="20:20" s="566" customFormat="1">
      <c r="T816" s="41"/>
    </row>
    <row r="817" spans="20:20" s="566" customFormat="1">
      <c r="T817" s="41"/>
    </row>
    <row r="818" spans="20:20" s="566" customFormat="1">
      <c r="T818" s="41"/>
    </row>
    <row r="819" spans="20:20" s="566" customFormat="1">
      <c r="T819" s="41"/>
    </row>
    <row r="820" spans="20:20" s="566" customFormat="1">
      <c r="T820" s="41"/>
    </row>
    <row r="821" spans="20:20" s="566" customFormat="1">
      <c r="T821" s="41"/>
    </row>
    <row r="822" spans="20:20" s="566" customFormat="1">
      <c r="T822" s="41"/>
    </row>
    <row r="823" spans="20:20" s="566" customFormat="1">
      <c r="T823" s="41"/>
    </row>
    <row r="824" spans="20:20" s="566" customFormat="1">
      <c r="T824" s="41"/>
    </row>
    <row r="825" spans="20:20" s="566" customFormat="1">
      <c r="T825" s="41"/>
    </row>
    <row r="826" spans="20:20" s="566" customFormat="1">
      <c r="T826" s="41"/>
    </row>
    <row r="827" spans="20:20" s="566" customFormat="1">
      <c r="T827" s="41"/>
    </row>
    <row r="828" spans="20:20" s="566" customFormat="1">
      <c r="T828" s="41"/>
    </row>
    <row r="829" spans="20:20" s="566" customFormat="1">
      <c r="T829" s="41"/>
    </row>
    <row r="830" spans="20:20" s="566" customFormat="1">
      <c r="T830" s="41"/>
    </row>
    <row r="831" spans="20:20" s="566" customFormat="1">
      <c r="T831" s="41"/>
    </row>
    <row r="832" spans="20:20" s="566" customFormat="1">
      <c r="T832" s="41"/>
    </row>
    <row r="833" spans="20:20" s="566" customFormat="1">
      <c r="T833" s="41"/>
    </row>
    <row r="834" spans="20:20" s="566" customFormat="1">
      <c r="T834" s="41"/>
    </row>
    <row r="835" spans="20:20" s="566" customFormat="1">
      <c r="T835" s="41"/>
    </row>
    <row r="836" spans="20:20" s="566" customFormat="1">
      <c r="T836" s="41"/>
    </row>
    <row r="837" spans="20:20" s="566" customFormat="1">
      <c r="T837" s="41"/>
    </row>
    <row r="838" spans="20:20" s="566" customFormat="1">
      <c r="T838" s="41"/>
    </row>
    <row r="839" spans="20:20" s="566" customFormat="1">
      <c r="T839" s="41"/>
    </row>
    <row r="840" spans="20:20" s="566" customFormat="1">
      <c r="T840" s="41"/>
    </row>
    <row r="841" spans="20:20" s="566" customFormat="1">
      <c r="T841" s="41"/>
    </row>
    <row r="842" spans="20:20" s="566" customFormat="1">
      <c r="T842" s="41"/>
    </row>
    <row r="843" spans="20:20" s="566" customFormat="1">
      <c r="T843" s="41"/>
    </row>
    <row r="844" spans="20:20" s="566" customFormat="1">
      <c r="T844" s="41"/>
    </row>
    <row r="845" spans="20:20" s="566" customFormat="1">
      <c r="T845" s="41"/>
    </row>
    <row r="846" spans="20:20" s="566" customFormat="1">
      <c r="T846" s="41"/>
    </row>
    <row r="847" spans="20:20" s="566" customFormat="1">
      <c r="T847" s="41"/>
    </row>
    <row r="848" spans="20:20" s="566" customFormat="1">
      <c r="T848" s="41"/>
    </row>
    <row r="849" spans="20:20" s="566" customFormat="1">
      <c r="T849" s="41"/>
    </row>
    <row r="850" spans="20:20" s="566" customFormat="1">
      <c r="T850" s="41"/>
    </row>
    <row r="851" spans="20:20" s="566" customFormat="1">
      <c r="T851" s="41"/>
    </row>
    <row r="852" spans="20:20" s="566" customFormat="1">
      <c r="T852" s="41"/>
    </row>
    <row r="853" spans="20:20" s="566" customFormat="1">
      <c r="T853" s="41"/>
    </row>
    <row r="854" spans="20:20" s="566" customFormat="1">
      <c r="T854" s="41"/>
    </row>
    <row r="855" spans="20:20" s="566" customFormat="1">
      <c r="T855" s="41"/>
    </row>
    <row r="856" spans="20:20" s="566" customFormat="1">
      <c r="T856" s="41"/>
    </row>
    <row r="857" spans="20:20" s="566" customFormat="1">
      <c r="T857" s="41"/>
    </row>
    <row r="858" spans="20:20" s="566" customFormat="1">
      <c r="T858" s="41"/>
    </row>
    <row r="859" spans="20:20" s="566" customFormat="1">
      <c r="T859" s="41"/>
    </row>
    <row r="860" spans="20:20" s="566" customFormat="1">
      <c r="T860" s="41"/>
    </row>
    <row r="861" spans="20:20" s="566" customFormat="1">
      <c r="T861" s="41"/>
    </row>
    <row r="862" spans="20:20" s="566" customFormat="1">
      <c r="T862" s="41"/>
    </row>
    <row r="863" spans="20:20" s="566" customFormat="1">
      <c r="T863" s="41"/>
    </row>
    <row r="864" spans="20:20" s="566" customFormat="1">
      <c r="T864" s="41"/>
    </row>
    <row r="865" spans="20:20" s="566" customFormat="1">
      <c r="T865" s="41"/>
    </row>
    <row r="866" spans="20:20" s="566" customFormat="1">
      <c r="T866" s="41"/>
    </row>
    <row r="867" spans="20:20" s="566" customFormat="1">
      <c r="T867" s="41"/>
    </row>
    <row r="868" spans="20:20" s="566" customFormat="1">
      <c r="T868" s="41"/>
    </row>
    <row r="869" spans="20:20" s="566" customFormat="1">
      <c r="T869" s="41"/>
    </row>
    <row r="870" spans="20:20" s="566" customFormat="1">
      <c r="T870" s="41"/>
    </row>
    <row r="871" spans="20:20" s="566" customFormat="1">
      <c r="T871" s="41"/>
    </row>
    <row r="872" spans="20:20" s="566" customFormat="1">
      <c r="T872" s="41"/>
    </row>
    <row r="873" spans="20:20" s="566" customFormat="1">
      <c r="T873" s="41"/>
    </row>
    <row r="874" spans="20:20" s="566" customFormat="1">
      <c r="T874" s="41"/>
    </row>
    <row r="875" spans="20:20" s="566" customFormat="1">
      <c r="T875" s="41"/>
    </row>
    <row r="876" spans="20:20" s="566" customFormat="1">
      <c r="T876" s="41"/>
    </row>
    <row r="877" spans="20:20" s="566" customFormat="1">
      <c r="T877" s="41"/>
    </row>
    <row r="878" spans="20:20" s="566" customFormat="1">
      <c r="T878" s="41"/>
    </row>
    <row r="879" spans="20:20" s="566" customFormat="1">
      <c r="T879" s="41"/>
    </row>
    <row r="880" spans="20:20" s="566" customFormat="1">
      <c r="T880" s="41"/>
    </row>
    <row r="881" spans="20:20" s="566" customFormat="1">
      <c r="T881" s="41"/>
    </row>
    <row r="882" spans="20:20" s="566" customFormat="1">
      <c r="T882" s="41"/>
    </row>
    <row r="883" spans="20:20" s="566" customFormat="1">
      <c r="T883" s="41"/>
    </row>
    <row r="884" spans="20:20" s="566" customFormat="1">
      <c r="T884" s="41"/>
    </row>
    <row r="885" spans="20:20" s="566" customFormat="1">
      <c r="T885" s="41"/>
    </row>
    <row r="886" spans="20:20" s="566" customFormat="1">
      <c r="T886" s="41"/>
    </row>
    <row r="887" spans="20:20" s="566" customFormat="1">
      <c r="T887" s="41"/>
    </row>
    <row r="888" spans="20:20" s="566" customFormat="1">
      <c r="T888" s="41"/>
    </row>
    <row r="889" spans="20:20" s="566" customFormat="1">
      <c r="T889" s="41"/>
    </row>
    <row r="890" spans="20:20" s="566" customFormat="1">
      <c r="T890" s="41"/>
    </row>
    <row r="891" spans="20:20" s="566" customFormat="1">
      <c r="T891" s="41"/>
    </row>
    <row r="892" spans="20:20" s="566" customFormat="1">
      <c r="T892" s="41"/>
    </row>
    <row r="893" spans="20:20" s="566" customFormat="1">
      <c r="T893" s="41"/>
    </row>
    <row r="894" spans="20:20" s="566" customFormat="1">
      <c r="T894" s="41"/>
    </row>
    <row r="895" spans="20:20" s="566" customFormat="1">
      <c r="T895" s="41"/>
    </row>
    <row r="896" spans="20:20" s="566" customFormat="1">
      <c r="T896" s="41"/>
    </row>
    <row r="897" spans="20:20" s="566" customFormat="1">
      <c r="T897" s="41"/>
    </row>
    <row r="898" spans="20:20" s="566" customFormat="1">
      <c r="T898" s="41"/>
    </row>
    <row r="899" spans="20:20" s="566" customFormat="1">
      <c r="T899" s="41"/>
    </row>
    <row r="900" spans="20:20" s="566" customFormat="1">
      <c r="T900" s="41"/>
    </row>
    <row r="901" spans="20:20" s="566" customFormat="1">
      <c r="T901" s="41"/>
    </row>
    <row r="902" spans="20:20" s="566" customFormat="1">
      <c r="T902" s="41"/>
    </row>
    <row r="903" spans="20:20" s="566" customFormat="1">
      <c r="T903" s="41"/>
    </row>
    <row r="904" spans="20:20" s="566" customFormat="1">
      <c r="T904" s="41"/>
    </row>
    <row r="905" spans="20:20" s="566" customFormat="1">
      <c r="T905" s="41"/>
    </row>
    <row r="906" spans="20:20" s="566" customFormat="1">
      <c r="T906" s="41"/>
    </row>
    <row r="907" spans="20:20" s="566" customFormat="1">
      <c r="T907" s="41"/>
    </row>
    <row r="908" spans="20:20" s="566" customFormat="1">
      <c r="T908" s="41"/>
    </row>
    <row r="909" spans="20:20" s="566" customFormat="1">
      <c r="T909" s="41"/>
    </row>
    <row r="910" spans="20:20" s="566" customFormat="1">
      <c r="T910" s="41"/>
    </row>
    <row r="911" spans="20:20" s="566" customFormat="1">
      <c r="T911" s="41"/>
    </row>
    <row r="912" spans="20:20" s="566" customFormat="1">
      <c r="T912" s="41"/>
    </row>
    <row r="913" spans="20:20" s="566" customFormat="1">
      <c r="T913" s="41"/>
    </row>
    <row r="914" spans="20:20" s="566" customFormat="1">
      <c r="T914" s="41"/>
    </row>
    <row r="915" spans="20:20" s="566" customFormat="1">
      <c r="T915" s="41"/>
    </row>
    <row r="916" spans="20:20" s="566" customFormat="1">
      <c r="T916" s="41"/>
    </row>
    <row r="917" spans="20:20" s="566" customFormat="1">
      <c r="T917" s="41"/>
    </row>
    <row r="918" spans="20:20" s="566" customFormat="1">
      <c r="T918" s="41"/>
    </row>
    <row r="919" spans="20:20" s="566" customFormat="1">
      <c r="T919" s="41"/>
    </row>
    <row r="920" spans="20:20" s="566" customFormat="1">
      <c r="T920" s="41"/>
    </row>
    <row r="921" spans="20:20" s="566" customFormat="1">
      <c r="T921" s="41"/>
    </row>
    <row r="922" spans="20:20" s="566" customFormat="1">
      <c r="T922" s="41"/>
    </row>
    <row r="923" spans="20:20" s="566" customFormat="1">
      <c r="T923" s="41"/>
    </row>
    <row r="924" spans="20:20" s="566" customFormat="1">
      <c r="T924" s="41"/>
    </row>
    <row r="925" spans="20:20" s="566" customFormat="1">
      <c r="T925" s="41"/>
    </row>
    <row r="926" spans="20:20" s="566" customFormat="1">
      <c r="T926" s="41"/>
    </row>
    <row r="927" spans="20:20" s="566" customFormat="1">
      <c r="T927" s="41"/>
    </row>
    <row r="928" spans="20:20" s="566" customFormat="1">
      <c r="T928" s="41"/>
    </row>
    <row r="929" spans="20:20" s="566" customFormat="1">
      <c r="T929" s="41"/>
    </row>
    <row r="930" spans="20:20" s="566" customFormat="1">
      <c r="T930" s="41"/>
    </row>
    <row r="931" spans="20:20" s="566" customFormat="1">
      <c r="T931" s="41"/>
    </row>
    <row r="932" spans="20:20" s="566" customFormat="1">
      <c r="T932" s="41"/>
    </row>
    <row r="933" spans="20:20" s="566" customFormat="1">
      <c r="T933" s="41"/>
    </row>
    <row r="934" spans="20:20" s="566" customFormat="1">
      <c r="T934" s="41"/>
    </row>
    <row r="935" spans="20:20" s="566" customFormat="1">
      <c r="T935" s="41"/>
    </row>
    <row r="936" spans="20:20" s="566" customFormat="1">
      <c r="T936" s="41"/>
    </row>
    <row r="937" spans="20:20" s="566" customFormat="1">
      <c r="T937" s="41"/>
    </row>
    <row r="938" spans="20:20" s="566" customFormat="1">
      <c r="T938" s="41"/>
    </row>
    <row r="939" spans="20:20" s="566" customFormat="1">
      <c r="T939" s="41"/>
    </row>
    <row r="940" spans="20:20" s="566" customFormat="1">
      <c r="T940" s="41"/>
    </row>
    <row r="941" spans="20:20" s="566" customFormat="1">
      <c r="T941" s="41"/>
    </row>
    <row r="942" spans="20:20" s="566" customFormat="1">
      <c r="T942" s="41"/>
    </row>
    <row r="943" spans="20:20" s="566" customFormat="1">
      <c r="T943" s="41"/>
    </row>
    <row r="944" spans="20:20" s="566" customFormat="1">
      <c r="T944" s="41"/>
    </row>
    <row r="945" spans="20:20" s="566" customFormat="1">
      <c r="T945" s="41"/>
    </row>
    <row r="946" spans="20:20" s="566" customFormat="1">
      <c r="T946" s="41"/>
    </row>
    <row r="947" spans="20:20" s="566" customFormat="1">
      <c r="T947" s="41"/>
    </row>
    <row r="948" spans="20:20" s="566" customFormat="1">
      <c r="T948" s="41"/>
    </row>
    <row r="949" spans="20:20" s="566" customFormat="1">
      <c r="T949" s="41"/>
    </row>
    <row r="950" spans="20:20" s="566" customFormat="1">
      <c r="T950" s="41"/>
    </row>
    <row r="951" spans="20:20" s="566" customFormat="1">
      <c r="T951" s="41"/>
    </row>
    <row r="952" spans="20:20" s="566" customFormat="1">
      <c r="T952" s="41"/>
    </row>
    <row r="953" spans="20:20" s="566" customFormat="1">
      <c r="T953" s="41"/>
    </row>
    <row r="954" spans="20:20" s="566" customFormat="1">
      <c r="T954" s="41"/>
    </row>
    <row r="955" spans="20:20" s="566" customFormat="1">
      <c r="T955" s="41"/>
    </row>
    <row r="956" spans="20:20" s="566" customFormat="1">
      <c r="T956" s="41"/>
    </row>
    <row r="957" spans="20:20" s="566" customFormat="1">
      <c r="T957" s="41"/>
    </row>
    <row r="958" spans="20:20" s="566" customFormat="1">
      <c r="T958" s="41"/>
    </row>
    <row r="959" spans="20:20" s="566" customFormat="1">
      <c r="T959" s="41"/>
    </row>
    <row r="960" spans="20:20" s="566" customFormat="1">
      <c r="T960" s="41"/>
    </row>
    <row r="961" spans="20:20" s="566" customFormat="1">
      <c r="T961" s="41"/>
    </row>
    <row r="962" spans="20:20" s="566" customFormat="1">
      <c r="T962" s="41"/>
    </row>
    <row r="963" spans="20:20" s="566" customFormat="1">
      <c r="T963" s="41"/>
    </row>
    <row r="964" spans="20:20" s="566" customFormat="1">
      <c r="T964" s="41"/>
    </row>
    <row r="965" spans="20:20" s="566" customFormat="1">
      <c r="T965" s="41"/>
    </row>
    <row r="966" spans="20:20" s="566" customFormat="1">
      <c r="T966" s="41"/>
    </row>
    <row r="967" spans="20:20" s="566" customFormat="1">
      <c r="T967" s="41"/>
    </row>
    <row r="968" spans="20:20" s="566" customFormat="1">
      <c r="T968" s="41"/>
    </row>
    <row r="969" spans="20:20" s="566" customFormat="1">
      <c r="T969" s="41"/>
    </row>
    <row r="970" spans="20:20" s="566" customFormat="1">
      <c r="T970" s="41"/>
    </row>
    <row r="971" spans="20:20" s="566" customFormat="1">
      <c r="T971" s="41"/>
    </row>
    <row r="972" spans="20:20" s="566" customFormat="1">
      <c r="T972" s="41"/>
    </row>
    <row r="973" spans="20:20" s="566" customFormat="1">
      <c r="T973" s="41"/>
    </row>
    <row r="974" spans="20:20" s="566" customFormat="1">
      <c r="T974" s="41"/>
    </row>
    <row r="975" spans="20:20" s="566" customFormat="1">
      <c r="T975" s="41"/>
    </row>
    <row r="976" spans="20:20" s="566" customFormat="1">
      <c r="T976" s="41"/>
    </row>
    <row r="977" spans="20:20" s="566" customFormat="1">
      <c r="T977" s="41"/>
    </row>
    <row r="978" spans="20:20" s="566" customFormat="1">
      <c r="T978" s="41"/>
    </row>
    <row r="979" spans="20:20" s="566" customFormat="1">
      <c r="T979" s="41"/>
    </row>
    <row r="980" spans="20:20" s="566" customFormat="1">
      <c r="T980" s="41"/>
    </row>
    <row r="981" spans="20:20" s="566" customFormat="1">
      <c r="T981" s="41"/>
    </row>
    <row r="982" spans="20:20" s="566" customFormat="1">
      <c r="T982" s="41"/>
    </row>
    <row r="983" spans="20:20" s="566" customFormat="1">
      <c r="T983" s="41"/>
    </row>
    <row r="984" spans="20:20" s="566" customFormat="1">
      <c r="T984" s="41"/>
    </row>
    <row r="985" spans="20:20" s="566" customFormat="1">
      <c r="T985" s="41"/>
    </row>
    <row r="986" spans="20:20" s="566" customFormat="1">
      <c r="T986" s="41"/>
    </row>
    <row r="987" spans="20:20" s="566" customFormat="1">
      <c r="T987" s="41"/>
    </row>
    <row r="988" spans="20:20" s="566" customFormat="1">
      <c r="T988" s="41"/>
    </row>
    <row r="989" spans="20:20" s="566" customFormat="1">
      <c r="T989" s="41"/>
    </row>
    <row r="990" spans="20:20" s="566" customFormat="1">
      <c r="T990" s="41"/>
    </row>
    <row r="991" spans="20:20" s="566" customFormat="1">
      <c r="T991" s="41"/>
    </row>
    <row r="992" spans="20:20" s="566" customFormat="1">
      <c r="T992" s="41"/>
    </row>
    <row r="993" spans="20:20" s="566" customFormat="1">
      <c r="T993" s="41"/>
    </row>
    <row r="994" spans="20:20" s="566" customFormat="1">
      <c r="T994" s="41"/>
    </row>
    <row r="995" spans="20:20" s="566" customFormat="1">
      <c r="T995" s="41"/>
    </row>
    <row r="996" spans="20:20" s="566" customFormat="1">
      <c r="T996" s="41"/>
    </row>
    <row r="997" spans="20:20" s="566" customFormat="1">
      <c r="T997" s="41"/>
    </row>
    <row r="998" spans="20:20" s="566" customFormat="1">
      <c r="T998" s="41"/>
    </row>
    <row r="999" spans="20:20" s="566" customFormat="1">
      <c r="T999" s="41"/>
    </row>
    <row r="1000" spans="20:20" s="566" customFormat="1">
      <c r="T1000" s="41"/>
    </row>
    <row r="1001" spans="20:20" s="566" customFormat="1">
      <c r="T1001" s="41"/>
    </row>
    <row r="1002" spans="20:20" s="566" customFormat="1">
      <c r="T1002" s="41"/>
    </row>
    <row r="1003" spans="20:20" s="566" customFormat="1">
      <c r="T1003" s="41"/>
    </row>
    <row r="1004" spans="20:20" s="566" customFormat="1">
      <c r="T1004" s="41"/>
    </row>
    <row r="1005" spans="20:20" s="566" customFormat="1">
      <c r="T1005" s="41"/>
    </row>
    <row r="1006" spans="20:20" s="566" customFormat="1">
      <c r="T1006" s="41"/>
    </row>
    <row r="1007" spans="20:20" s="566" customFormat="1">
      <c r="T1007" s="41"/>
    </row>
    <row r="1008" spans="20:20" s="566" customFormat="1">
      <c r="T1008" s="41"/>
    </row>
    <row r="1009" spans="20:20" s="566" customFormat="1">
      <c r="T1009" s="41"/>
    </row>
    <row r="1010" spans="20:20" s="566" customFormat="1">
      <c r="T1010" s="41"/>
    </row>
    <row r="1011" spans="20:20" s="566" customFormat="1">
      <c r="T1011" s="41"/>
    </row>
    <row r="1012" spans="20:20" s="566" customFormat="1">
      <c r="T1012" s="41"/>
    </row>
    <row r="1013" spans="20:20" s="566" customFormat="1">
      <c r="T1013" s="41"/>
    </row>
    <row r="1014" spans="20:20" s="566" customFormat="1">
      <c r="T1014" s="41"/>
    </row>
    <row r="1015" spans="20:20" s="566" customFormat="1">
      <c r="T1015" s="41"/>
    </row>
    <row r="1016" spans="20:20" s="566" customFormat="1">
      <c r="T1016" s="41"/>
    </row>
    <row r="1017" spans="20:20" s="566" customFormat="1">
      <c r="T1017" s="41"/>
    </row>
    <row r="1018" spans="20:20" s="566" customFormat="1">
      <c r="T1018" s="41"/>
    </row>
    <row r="1019" spans="20:20" s="566" customFormat="1">
      <c r="T1019" s="41"/>
    </row>
    <row r="1020" spans="20:20" s="566" customFormat="1">
      <c r="T1020" s="41"/>
    </row>
    <row r="1021" spans="20:20" s="566" customFormat="1">
      <c r="T1021" s="41"/>
    </row>
    <row r="1022" spans="20:20" s="566" customFormat="1">
      <c r="T1022" s="41"/>
    </row>
    <row r="1023" spans="20:20" s="566" customFormat="1">
      <c r="T1023" s="41"/>
    </row>
    <row r="1024" spans="20:20" s="566" customFormat="1">
      <c r="T1024" s="41"/>
    </row>
    <row r="1025" spans="20:20" s="566" customFormat="1">
      <c r="T1025" s="41"/>
    </row>
    <row r="1026" spans="20:20" s="566" customFormat="1">
      <c r="T1026" s="41"/>
    </row>
    <row r="1027" spans="20:20" s="566" customFormat="1">
      <c r="T1027" s="41"/>
    </row>
    <row r="1028" spans="20:20" s="566" customFormat="1">
      <c r="T1028" s="41"/>
    </row>
    <row r="1029" spans="20:20" s="566" customFormat="1">
      <c r="T1029" s="41"/>
    </row>
    <row r="1030" spans="20:20" s="566" customFormat="1">
      <c r="T1030" s="41"/>
    </row>
    <row r="1031" spans="20:20" s="566" customFormat="1">
      <c r="T1031" s="41"/>
    </row>
    <row r="1032" spans="20:20" s="566" customFormat="1">
      <c r="T1032" s="41"/>
    </row>
    <row r="1033" spans="20:20" s="566" customFormat="1">
      <c r="T1033" s="41"/>
    </row>
    <row r="1034" spans="20:20" s="566" customFormat="1">
      <c r="T1034" s="41"/>
    </row>
    <row r="1035" spans="20:20" s="566" customFormat="1">
      <c r="T1035" s="41"/>
    </row>
    <row r="1036" spans="20:20" s="566" customFormat="1">
      <c r="T1036" s="41"/>
    </row>
    <row r="1037" spans="20:20" s="566" customFormat="1">
      <c r="T1037" s="41"/>
    </row>
    <row r="1038" spans="20:20" s="566" customFormat="1">
      <c r="T1038" s="41"/>
    </row>
    <row r="1039" spans="20:20" s="566" customFormat="1">
      <c r="T1039" s="41"/>
    </row>
    <row r="1040" spans="20:20" s="566" customFormat="1">
      <c r="T1040" s="41"/>
    </row>
    <row r="1041" spans="20:20" s="566" customFormat="1">
      <c r="T1041" s="41"/>
    </row>
    <row r="1042" spans="20:20" s="566" customFormat="1">
      <c r="T1042" s="41"/>
    </row>
    <row r="1043" spans="20:20" s="566" customFormat="1">
      <c r="T1043" s="41"/>
    </row>
    <row r="1044" spans="20:20" s="566" customFormat="1">
      <c r="T1044" s="41"/>
    </row>
    <row r="1045" spans="20:20" s="566" customFormat="1">
      <c r="T1045" s="41"/>
    </row>
    <row r="1046" spans="20:20" s="566" customFormat="1">
      <c r="T1046" s="41"/>
    </row>
    <row r="1047" spans="20:20" s="566" customFormat="1">
      <c r="T1047" s="41"/>
    </row>
    <row r="1048" spans="20:20" s="566" customFormat="1">
      <c r="T1048" s="41"/>
    </row>
    <row r="1049" spans="20:20" s="566" customFormat="1">
      <c r="T1049" s="41"/>
    </row>
    <row r="1050" spans="20:20" s="566" customFormat="1">
      <c r="T1050" s="41"/>
    </row>
    <row r="1051" spans="20:20" s="566" customFormat="1">
      <c r="T1051" s="41"/>
    </row>
    <row r="1052" spans="20:20" s="566" customFormat="1">
      <c r="T1052" s="41"/>
    </row>
    <row r="1053" spans="20:20" s="566" customFormat="1">
      <c r="T1053" s="41"/>
    </row>
    <row r="1054" spans="20:20" s="566" customFormat="1">
      <c r="T1054" s="41"/>
    </row>
    <row r="1055" spans="20:20" s="566" customFormat="1">
      <c r="T1055" s="41"/>
    </row>
    <row r="1056" spans="20:20" s="566" customFormat="1">
      <c r="T1056" s="41"/>
    </row>
    <row r="1057" spans="20:20" s="566" customFormat="1">
      <c r="T1057" s="41"/>
    </row>
    <row r="1058" spans="20:20" s="566" customFormat="1">
      <c r="T1058" s="41"/>
    </row>
    <row r="1059" spans="20:20" s="566" customFormat="1">
      <c r="T1059" s="41"/>
    </row>
    <row r="1060" spans="20:20" s="566" customFormat="1">
      <c r="T1060" s="41"/>
    </row>
    <row r="1061" spans="20:20" s="566" customFormat="1">
      <c r="T1061" s="41"/>
    </row>
    <row r="1062" spans="20:20" s="566" customFormat="1">
      <c r="T1062" s="41"/>
    </row>
    <row r="1063" spans="20:20" s="566" customFormat="1">
      <c r="T1063" s="41"/>
    </row>
    <row r="1064" spans="20:20" s="566" customFormat="1">
      <c r="T1064" s="41"/>
    </row>
    <row r="1065" spans="20:20" s="566" customFormat="1">
      <c r="T1065" s="41"/>
    </row>
    <row r="1066" spans="20:20" s="566" customFormat="1">
      <c r="T1066" s="41"/>
    </row>
    <row r="1067" spans="20:20" s="566" customFormat="1">
      <c r="T1067" s="41"/>
    </row>
    <row r="1068" spans="20:20" s="566" customFormat="1">
      <c r="T1068" s="41"/>
    </row>
    <row r="1069" spans="20:20" s="566" customFormat="1">
      <c r="T1069" s="41"/>
    </row>
    <row r="1070" spans="20:20" s="566" customFormat="1">
      <c r="T1070" s="41"/>
    </row>
    <row r="1071" spans="20:20" s="566" customFormat="1">
      <c r="T1071" s="41"/>
    </row>
    <row r="1072" spans="20:20" s="566" customFormat="1">
      <c r="T1072" s="41"/>
    </row>
    <row r="1073" spans="20:20" s="566" customFormat="1">
      <c r="T1073" s="41"/>
    </row>
    <row r="1074" spans="20:20" s="566" customFormat="1">
      <c r="T1074" s="41"/>
    </row>
    <row r="1075" spans="20:20" s="566" customFormat="1">
      <c r="T1075" s="41"/>
    </row>
    <row r="1076" spans="20:20" s="566" customFormat="1">
      <c r="T1076" s="41"/>
    </row>
    <row r="1077" spans="20:20" s="566" customFormat="1">
      <c r="T1077" s="41"/>
    </row>
    <row r="1078" spans="20:20" s="566" customFormat="1">
      <c r="T1078" s="41"/>
    </row>
    <row r="1079" spans="20:20" s="566" customFormat="1">
      <c r="T1079" s="41"/>
    </row>
    <row r="1080" spans="20:20" s="566" customFormat="1">
      <c r="T1080" s="41"/>
    </row>
    <row r="1081" spans="20:20" s="566" customFormat="1">
      <c r="T1081" s="41"/>
    </row>
    <row r="1082" spans="20:20" s="566" customFormat="1">
      <c r="T1082" s="41"/>
    </row>
    <row r="1083" spans="20:20" s="566" customFormat="1">
      <c r="T1083" s="41"/>
    </row>
    <row r="1084" spans="20:20" s="566" customFormat="1">
      <c r="T1084" s="41"/>
    </row>
    <row r="1085" spans="20:20" s="566" customFormat="1">
      <c r="T1085" s="41"/>
    </row>
    <row r="1086" spans="20:20" s="566" customFormat="1">
      <c r="T1086" s="41"/>
    </row>
    <row r="1087" spans="20:20" s="566" customFormat="1">
      <c r="T1087" s="41"/>
    </row>
    <row r="1088" spans="20:20" s="566" customFormat="1">
      <c r="T1088" s="41"/>
    </row>
    <row r="1089" spans="20:20" s="566" customFormat="1">
      <c r="T1089" s="41"/>
    </row>
    <row r="1090" spans="20:20" s="566" customFormat="1">
      <c r="T1090" s="41"/>
    </row>
    <row r="1091" spans="20:20" s="566" customFormat="1">
      <c r="T1091" s="41"/>
    </row>
    <row r="1092" spans="20:20" s="566" customFormat="1">
      <c r="T1092" s="41"/>
    </row>
    <row r="1093" spans="20:20" s="566" customFormat="1">
      <c r="T1093" s="41"/>
    </row>
    <row r="1094" spans="20:20" s="566" customFormat="1">
      <c r="T1094" s="41"/>
    </row>
    <row r="1095" spans="20:20" s="566" customFormat="1">
      <c r="T1095" s="41"/>
    </row>
    <row r="1096" spans="20:20" s="566" customFormat="1">
      <c r="T1096" s="41"/>
    </row>
    <row r="1097" spans="20:20" s="566" customFormat="1">
      <c r="T1097" s="41"/>
    </row>
    <row r="1098" spans="20:20" s="566" customFormat="1">
      <c r="T1098" s="41"/>
    </row>
    <row r="1099" spans="20:20" s="566" customFormat="1">
      <c r="T1099" s="41"/>
    </row>
    <row r="1100" spans="20:20" s="566" customFormat="1">
      <c r="T1100" s="41"/>
    </row>
    <row r="1101" spans="20:20" s="566" customFormat="1">
      <c r="T1101" s="41"/>
    </row>
    <row r="1102" spans="20:20" s="566" customFormat="1">
      <c r="T1102" s="41"/>
    </row>
    <row r="1103" spans="20:20" s="566" customFormat="1">
      <c r="T1103" s="41"/>
    </row>
    <row r="1104" spans="20:20" s="566" customFormat="1">
      <c r="T1104" s="41"/>
    </row>
    <row r="1105" spans="20:20" s="566" customFormat="1">
      <c r="T1105" s="41"/>
    </row>
    <row r="1106" spans="20:20" s="566" customFormat="1">
      <c r="T1106" s="41"/>
    </row>
    <row r="1107" spans="20:20" s="566" customFormat="1">
      <c r="T1107" s="41"/>
    </row>
    <row r="1108" spans="20:20" s="566" customFormat="1">
      <c r="T1108" s="41"/>
    </row>
    <row r="1109" spans="20:20" s="566" customFormat="1">
      <c r="T1109" s="41"/>
    </row>
    <row r="1110" spans="20:20" s="566" customFormat="1">
      <c r="T1110" s="41"/>
    </row>
    <row r="1111" spans="20:20" s="566" customFormat="1">
      <c r="T1111" s="41"/>
    </row>
    <row r="1112" spans="20:20" s="566" customFormat="1">
      <c r="T1112" s="41"/>
    </row>
    <row r="1113" spans="20:20" s="566" customFormat="1">
      <c r="T1113" s="41"/>
    </row>
    <row r="1114" spans="20:20" s="566" customFormat="1">
      <c r="T1114" s="41"/>
    </row>
    <row r="1115" spans="20:20" s="566" customFormat="1">
      <c r="T1115" s="41"/>
    </row>
    <row r="1116" spans="20:20" s="566" customFormat="1">
      <c r="T1116" s="41"/>
    </row>
    <row r="1117" spans="20:20" s="566" customFormat="1">
      <c r="T1117" s="41"/>
    </row>
    <row r="1118" spans="20:20" s="566" customFormat="1">
      <c r="T1118" s="41"/>
    </row>
    <row r="1119" spans="20:20" s="566" customFormat="1">
      <c r="T1119" s="41"/>
    </row>
    <row r="1120" spans="20:20" s="566" customFormat="1">
      <c r="T1120" s="41"/>
    </row>
    <row r="1121" spans="20:20" s="566" customFormat="1">
      <c r="T1121" s="41"/>
    </row>
    <row r="1122" spans="20:20" s="566" customFormat="1">
      <c r="T1122" s="41"/>
    </row>
    <row r="1123" spans="20:20" s="566" customFormat="1">
      <c r="T1123" s="41"/>
    </row>
    <row r="1124" spans="20:20" s="566" customFormat="1">
      <c r="T1124" s="41"/>
    </row>
    <row r="1125" spans="20:20" s="566" customFormat="1">
      <c r="T1125" s="41"/>
    </row>
    <row r="1126" spans="20:20" s="566" customFormat="1">
      <c r="T1126" s="41"/>
    </row>
    <row r="1127" spans="20:20" s="566" customFormat="1">
      <c r="T1127" s="41"/>
    </row>
    <row r="1128" spans="20:20" s="566" customFormat="1">
      <c r="T1128" s="41"/>
    </row>
    <row r="1129" spans="20:20" s="566" customFormat="1">
      <c r="T1129" s="41"/>
    </row>
    <row r="1130" spans="20:20" s="566" customFormat="1">
      <c r="T1130" s="41"/>
    </row>
    <row r="1131" spans="20:20" s="566" customFormat="1">
      <c r="T1131" s="41"/>
    </row>
    <row r="1132" spans="20:20" s="566" customFormat="1">
      <c r="T1132" s="41"/>
    </row>
    <row r="1133" spans="20:20" s="566" customFormat="1">
      <c r="T1133" s="41"/>
    </row>
    <row r="1134" spans="20:20" s="566" customFormat="1">
      <c r="T1134" s="41"/>
    </row>
    <row r="1135" spans="20:20" s="566" customFormat="1">
      <c r="T1135" s="41"/>
    </row>
    <row r="1136" spans="20:20" s="566" customFormat="1">
      <c r="T1136" s="41"/>
    </row>
    <row r="1137" spans="20:20" s="566" customFormat="1">
      <c r="T1137" s="41"/>
    </row>
    <row r="1138" spans="20:20" s="566" customFormat="1">
      <c r="T1138" s="41"/>
    </row>
    <row r="1139" spans="20:20" s="566" customFormat="1">
      <c r="T1139" s="41"/>
    </row>
    <row r="1140" spans="20:20" s="566" customFormat="1">
      <c r="T1140" s="41"/>
    </row>
    <row r="1141" spans="20:20" s="566" customFormat="1">
      <c r="T1141" s="41"/>
    </row>
    <row r="1142" spans="20:20" s="566" customFormat="1">
      <c r="T1142" s="41"/>
    </row>
    <row r="1143" spans="20:20" s="566" customFormat="1">
      <c r="T1143" s="41"/>
    </row>
    <row r="1144" spans="20:20" s="566" customFormat="1">
      <c r="T1144" s="41"/>
    </row>
    <row r="1145" spans="20:20" s="566" customFormat="1">
      <c r="T1145" s="41"/>
    </row>
    <row r="1146" spans="20:20" s="566" customFormat="1">
      <c r="T1146" s="41"/>
    </row>
    <row r="1147" spans="20:20" s="566" customFormat="1">
      <c r="T1147" s="41"/>
    </row>
    <row r="1148" spans="20:20" s="566" customFormat="1">
      <c r="T1148" s="41"/>
    </row>
    <row r="1149" spans="20:20" s="566" customFormat="1">
      <c r="T1149" s="41"/>
    </row>
    <row r="1150" spans="20:20" s="566" customFormat="1">
      <c r="T1150" s="41"/>
    </row>
    <row r="1151" spans="20:20" s="566" customFormat="1">
      <c r="T1151" s="41"/>
    </row>
    <row r="1152" spans="20:20" s="566" customFormat="1">
      <c r="T1152" s="41"/>
    </row>
    <row r="1153" spans="20:20" s="566" customFormat="1">
      <c r="T1153" s="41"/>
    </row>
    <row r="1154" spans="20:20" s="566" customFormat="1">
      <c r="T1154" s="41"/>
    </row>
    <row r="1155" spans="20:20" s="566" customFormat="1">
      <c r="T1155" s="41"/>
    </row>
    <row r="1156" spans="20:20" s="566" customFormat="1">
      <c r="T1156" s="41"/>
    </row>
    <row r="1157" spans="20:20" s="566" customFormat="1">
      <c r="T1157" s="41"/>
    </row>
    <row r="1158" spans="20:20" s="566" customFormat="1">
      <c r="T1158" s="41"/>
    </row>
    <row r="1159" spans="20:20" s="566" customFormat="1">
      <c r="T1159" s="41"/>
    </row>
    <row r="1160" spans="20:20" s="566" customFormat="1">
      <c r="T1160" s="41"/>
    </row>
    <row r="1161" spans="20:20" s="566" customFormat="1">
      <c r="T1161" s="41"/>
    </row>
    <row r="1162" spans="20:20" s="566" customFormat="1">
      <c r="T1162" s="41"/>
    </row>
    <row r="1163" spans="20:20" s="566" customFormat="1">
      <c r="T1163" s="41"/>
    </row>
    <row r="1164" spans="20:20" s="566" customFormat="1">
      <c r="T1164" s="41"/>
    </row>
    <row r="1165" spans="20:20" s="566" customFormat="1">
      <c r="T1165" s="41"/>
    </row>
    <row r="1166" spans="20:20" s="566" customFormat="1">
      <c r="T1166" s="41"/>
    </row>
    <row r="1167" spans="20:20" s="566" customFormat="1">
      <c r="T1167" s="41"/>
    </row>
    <row r="1168" spans="20:20" s="566" customFormat="1">
      <c r="T1168" s="41"/>
    </row>
    <row r="1169" spans="20:20" s="566" customFormat="1">
      <c r="T1169" s="41"/>
    </row>
    <row r="1170" spans="20:20" s="566" customFormat="1">
      <c r="T1170" s="41"/>
    </row>
    <row r="1171" spans="20:20" s="566" customFormat="1">
      <c r="T1171" s="41"/>
    </row>
    <row r="1172" spans="20:20" s="566" customFormat="1">
      <c r="T1172" s="41"/>
    </row>
    <row r="1173" spans="20:20" s="566" customFormat="1">
      <c r="T1173" s="41"/>
    </row>
    <row r="1174" spans="20:20" s="566" customFormat="1">
      <c r="T1174" s="41"/>
    </row>
    <row r="1175" spans="20:20" s="566" customFormat="1">
      <c r="T1175" s="41"/>
    </row>
    <row r="1176" spans="20:20" s="566" customFormat="1">
      <c r="T1176" s="41"/>
    </row>
    <row r="1177" spans="20:20" s="566" customFormat="1">
      <c r="T1177" s="41"/>
    </row>
    <row r="1178" spans="20:20" s="566" customFormat="1">
      <c r="T1178" s="41"/>
    </row>
    <row r="1179" spans="20:20" s="566" customFormat="1">
      <c r="T1179" s="41"/>
    </row>
    <row r="1180" spans="20:20" s="566" customFormat="1">
      <c r="T1180" s="41"/>
    </row>
    <row r="1181" spans="20:20" s="566" customFormat="1">
      <c r="T1181" s="41"/>
    </row>
    <row r="1182" spans="20:20" s="566" customFormat="1">
      <c r="T1182" s="41"/>
    </row>
    <row r="1183" spans="20:20" s="566" customFormat="1">
      <c r="T1183" s="41"/>
    </row>
    <row r="1184" spans="20:20" s="566" customFormat="1">
      <c r="T1184" s="41"/>
    </row>
    <row r="1185" spans="20:20" s="566" customFormat="1">
      <c r="T1185" s="41"/>
    </row>
    <row r="1186" spans="20:20" s="566" customFormat="1">
      <c r="T1186" s="41"/>
    </row>
    <row r="1187" spans="20:20" s="566" customFormat="1">
      <c r="T1187" s="41"/>
    </row>
    <row r="1188" spans="20:20" s="566" customFormat="1">
      <c r="T1188" s="41"/>
    </row>
    <row r="1189" spans="20:20" s="566" customFormat="1">
      <c r="T1189" s="41"/>
    </row>
    <row r="1190" spans="20:20" s="566" customFormat="1">
      <c r="T1190" s="41"/>
    </row>
    <row r="1191" spans="20:20" s="566" customFormat="1">
      <c r="T1191" s="41"/>
    </row>
    <row r="1192" spans="20:20" s="566" customFormat="1">
      <c r="T1192" s="41"/>
    </row>
    <row r="1193" spans="20:20" s="566" customFormat="1">
      <c r="T1193" s="41"/>
    </row>
    <row r="1194" spans="20:20" s="566" customFormat="1">
      <c r="T1194" s="41"/>
    </row>
    <row r="1195" spans="20:20" s="566" customFormat="1">
      <c r="T1195" s="41"/>
    </row>
    <row r="1196" spans="20:20" s="566" customFormat="1">
      <c r="T1196" s="41"/>
    </row>
    <row r="1197" spans="20:20" s="566" customFormat="1">
      <c r="T1197" s="41"/>
    </row>
    <row r="1198" spans="20:20" s="566" customFormat="1">
      <c r="T1198" s="41"/>
    </row>
    <row r="1199" spans="20:20" s="566" customFormat="1">
      <c r="T1199" s="41"/>
    </row>
    <row r="1200" spans="20:20" s="566" customFormat="1">
      <c r="T1200" s="41"/>
    </row>
    <row r="1201" spans="20:20" s="566" customFormat="1">
      <c r="T1201" s="41"/>
    </row>
    <row r="1202" spans="20:20" s="566" customFormat="1">
      <c r="T1202" s="41"/>
    </row>
    <row r="1203" spans="20:20" s="566" customFormat="1">
      <c r="T1203" s="41"/>
    </row>
    <row r="1204" spans="20:20" s="566" customFormat="1">
      <c r="T1204" s="41"/>
    </row>
    <row r="1205" spans="20:20" s="566" customFormat="1">
      <c r="T1205" s="41"/>
    </row>
    <row r="1206" spans="20:20" s="566" customFormat="1">
      <c r="T1206" s="41"/>
    </row>
    <row r="1207" spans="20:20" s="566" customFormat="1">
      <c r="T1207" s="41"/>
    </row>
    <row r="1208" spans="20:20" s="566" customFormat="1">
      <c r="T1208" s="41"/>
    </row>
    <row r="1209" spans="20:20" s="566" customFormat="1">
      <c r="T1209" s="41"/>
    </row>
    <row r="1210" spans="20:20" s="566" customFormat="1">
      <c r="T1210" s="41"/>
    </row>
    <row r="1211" spans="20:20" s="566" customFormat="1">
      <c r="T1211" s="41"/>
    </row>
    <row r="1212" spans="20:20" s="566" customFormat="1">
      <c r="T1212" s="41"/>
    </row>
    <row r="1213" spans="20:20" s="566" customFormat="1">
      <c r="T1213" s="41"/>
    </row>
    <row r="1214" spans="20:20" s="566" customFormat="1">
      <c r="T1214" s="41"/>
    </row>
    <row r="1215" spans="20:20" s="566" customFormat="1">
      <c r="T1215" s="41"/>
    </row>
    <row r="1216" spans="20:20" s="566" customFormat="1">
      <c r="T1216" s="41"/>
    </row>
    <row r="1217" spans="20:20" s="566" customFormat="1">
      <c r="T1217" s="41"/>
    </row>
    <row r="1218" spans="20:20" s="566" customFormat="1">
      <c r="T1218" s="41"/>
    </row>
    <row r="1219" spans="20:20" s="566" customFormat="1">
      <c r="T1219" s="41"/>
    </row>
    <row r="1220" spans="20:20" s="566" customFormat="1">
      <c r="T1220" s="41"/>
    </row>
    <row r="1221" spans="20:20" s="566" customFormat="1">
      <c r="T1221" s="41"/>
    </row>
    <row r="1222" spans="20:20" s="566" customFormat="1">
      <c r="T1222" s="41"/>
    </row>
    <row r="1223" spans="20:20" s="566" customFormat="1">
      <c r="T1223" s="41"/>
    </row>
    <row r="1224" spans="20:20" s="566" customFormat="1">
      <c r="T1224" s="41"/>
    </row>
    <row r="1225" spans="20:20" s="566" customFormat="1">
      <c r="T1225" s="41"/>
    </row>
    <row r="1226" spans="20:20" s="566" customFormat="1">
      <c r="T1226" s="41"/>
    </row>
    <row r="1227" spans="20:20" s="566" customFormat="1">
      <c r="T1227" s="41"/>
    </row>
    <row r="1228" spans="20:20" s="566" customFormat="1">
      <c r="T1228" s="41"/>
    </row>
    <row r="1229" spans="20:20" s="566" customFormat="1">
      <c r="T1229" s="41"/>
    </row>
    <row r="1230" spans="20:20" s="566" customFormat="1">
      <c r="T1230" s="41"/>
    </row>
    <row r="1231" spans="20:20" s="566" customFormat="1">
      <c r="T1231" s="41"/>
    </row>
    <row r="1232" spans="20:20" s="566" customFormat="1">
      <c r="T1232" s="41"/>
    </row>
    <row r="1233" spans="20:20" s="566" customFormat="1">
      <c r="T1233" s="41"/>
    </row>
    <row r="1234" spans="20:20" s="566" customFormat="1">
      <c r="T1234" s="41"/>
    </row>
    <row r="1235" spans="20:20" s="566" customFormat="1">
      <c r="T1235" s="41"/>
    </row>
    <row r="1236" spans="20:20" s="566" customFormat="1">
      <c r="T1236" s="41"/>
    </row>
    <row r="1237" spans="20:20" s="566" customFormat="1">
      <c r="T1237" s="41"/>
    </row>
    <row r="1238" spans="20:20" s="566" customFormat="1">
      <c r="T1238" s="41"/>
    </row>
    <row r="1239" spans="20:20" s="566" customFormat="1">
      <c r="T1239" s="41"/>
    </row>
    <row r="1240" spans="20:20" s="566" customFormat="1">
      <c r="T1240" s="41"/>
    </row>
    <row r="1241" spans="20:20" s="566" customFormat="1">
      <c r="T1241" s="41"/>
    </row>
    <row r="1242" spans="20:20" s="566" customFormat="1">
      <c r="T1242" s="41"/>
    </row>
    <row r="1243" spans="20:20" s="566" customFormat="1">
      <c r="T1243" s="41"/>
    </row>
    <row r="1244" spans="20:20" s="566" customFormat="1">
      <c r="T1244" s="41"/>
    </row>
    <row r="1245" spans="20:20" s="566" customFormat="1">
      <c r="T1245" s="41"/>
    </row>
    <row r="1246" spans="20:20" s="566" customFormat="1">
      <c r="T1246" s="41"/>
    </row>
    <row r="1247" spans="20:20" s="566" customFormat="1">
      <c r="T1247" s="41"/>
    </row>
    <row r="1248" spans="20:20" s="566" customFormat="1">
      <c r="T1248" s="41"/>
    </row>
    <row r="1249" spans="20:20" s="566" customFormat="1">
      <c r="T1249" s="41"/>
    </row>
    <row r="1250" spans="20:20" s="566" customFormat="1">
      <c r="T1250" s="41"/>
    </row>
    <row r="1251" spans="20:20" s="566" customFormat="1">
      <c r="T1251" s="41"/>
    </row>
    <row r="1252" spans="20:20" s="566" customFormat="1">
      <c r="T1252" s="41"/>
    </row>
    <row r="1253" spans="20:20" s="566" customFormat="1">
      <c r="T1253" s="41"/>
    </row>
    <row r="1254" spans="20:20" s="566" customFormat="1">
      <c r="T1254" s="41"/>
    </row>
    <row r="1255" spans="20:20" s="566" customFormat="1">
      <c r="T1255" s="41"/>
    </row>
    <row r="1256" spans="20:20" s="566" customFormat="1">
      <c r="T1256" s="41"/>
    </row>
    <row r="1257" spans="20:20" s="566" customFormat="1">
      <c r="T1257" s="41"/>
    </row>
    <row r="1258" spans="20:20" s="566" customFormat="1">
      <c r="T1258" s="41"/>
    </row>
    <row r="1259" spans="20:20" s="566" customFormat="1">
      <c r="T1259" s="41"/>
    </row>
    <row r="1260" spans="20:20" s="566" customFormat="1">
      <c r="T1260" s="41"/>
    </row>
    <row r="1261" spans="20:20" s="566" customFormat="1">
      <c r="T1261" s="41"/>
    </row>
    <row r="1262" spans="20:20" s="566" customFormat="1">
      <c r="T1262" s="41"/>
    </row>
    <row r="1263" spans="20:20" s="566" customFormat="1">
      <c r="T1263" s="41"/>
    </row>
    <row r="1264" spans="20:20" s="566" customFormat="1">
      <c r="T1264" s="41"/>
    </row>
    <row r="1265" spans="20:20" s="566" customFormat="1">
      <c r="T1265" s="41"/>
    </row>
    <row r="1266" spans="20:20" s="566" customFormat="1">
      <c r="T1266" s="41"/>
    </row>
    <row r="1267" spans="20:20" s="566" customFormat="1">
      <c r="T1267" s="41"/>
    </row>
    <row r="1268" spans="20:20" s="566" customFormat="1">
      <c r="T1268" s="41"/>
    </row>
    <row r="1269" spans="20:20" s="566" customFormat="1">
      <c r="T1269" s="41"/>
    </row>
    <row r="1270" spans="20:20" s="566" customFormat="1">
      <c r="T1270" s="41"/>
    </row>
    <row r="1271" spans="20:20" s="566" customFormat="1">
      <c r="T1271" s="41"/>
    </row>
    <row r="1272" spans="20:20" s="566" customFormat="1">
      <c r="T1272" s="41"/>
    </row>
    <row r="1273" spans="20:20" s="566" customFormat="1">
      <c r="T1273" s="41"/>
    </row>
    <row r="1274" spans="20:20" s="566" customFormat="1">
      <c r="T1274" s="41"/>
    </row>
    <row r="1275" spans="20:20" s="566" customFormat="1">
      <c r="T1275" s="41"/>
    </row>
    <row r="1276" spans="20:20" s="566" customFormat="1">
      <c r="T1276" s="41"/>
    </row>
    <row r="1277" spans="20:20" s="566" customFormat="1">
      <c r="T1277" s="41"/>
    </row>
    <row r="1278" spans="20:20" s="566" customFormat="1">
      <c r="T1278" s="41"/>
    </row>
    <row r="1279" spans="20:20" s="566" customFormat="1">
      <c r="T1279" s="41"/>
    </row>
    <row r="1280" spans="20:20" s="566" customFormat="1">
      <c r="T1280" s="41"/>
    </row>
    <row r="1281" spans="20:20" s="566" customFormat="1">
      <c r="T1281" s="41"/>
    </row>
    <row r="1282" spans="20:20" s="566" customFormat="1">
      <c r="T1282" s="41"/>
    </row>
    <row r="1283" spans="20:20" s="566" customFormat="1">
      <c r="T1283" s="41"/>
    </row>
    <row r="1284" spans="20:20" s="566" customFormat="1">
      <c r="T1284" s="41"/>
    </row>
    <row r="1285" spans="20:20" s="566" customFormat="1">
      <c r="T1285" s="41"/>
    </row>
    <row r="1286" spans="20:20" s="566" customFormat="1">
      <c r="T1286" s="41"/>
    </row>
    <row r="1287" spans="20:20" s="566" customFormat="1">
      <c r="T1287" s="41"/>
    </row>
    <row r="1288" spans="20:20" s="566" customFormat="1">
      <c r="T1288" s="41"/>
    </row>
    <row r="1289" spans="20:20" s="566" customFormat="1">
      <c r="T1289" s="41"/>
    </row>
    <row r="1290" spans="20:20" s="566" customFormat="1">
      <c r="T1290" s="41"/>
    </row>
    <row r="1291" spans="20:20" s="566" customFormat="1">
      <c r="T1291" s="41"/>
    </row>
    <row r="1292" spans="20:20" s="566" customFormat="1">
      <c r="T1292" s="41"/>
    </row>
    <row r="1293" spans="20:20" s="566" customFormat="1">
      <c r="T1293" s="41"/>
    </row>
    <row r="1294" spans="20:20" s="566" customFormat="1">
      <c r="T1294" s="41"/>
    </row>
    <row r="1295" spans="20:20" s="566" customFormat="1">
      <c r="T1295" s="41"/>
    </row>
    <row r="1296" spans="20:20" s="566" customFormat="1">
      <c r="T1296" s="41"/>
    </row>
    <row r="1297" spans="20:20" s="566" customFormat="1">
      <c r="T1297" s="41"/>
    </row>
    <row r="1298" spans="20:20" s="566" customFormat="1">
      <c r="T1298" s="41"/>
    </row>
    <row r="1299" spans="20:20" s="566" customFormat="1">
      <c r="T1299" s="41"/>
    </row>
    <row r="1300" spans="20:20" s="566" customFormat="1">
      <c r="T1300" s="41"/>
    </row>
    <row r="1301" spans="20:20" s="566" customFormat="1">
      <c r="T1301" s="41"/>
    </row>
    <row r="1302" spans="20:20" s="566" customFormat="1">
      <c r="T1302" s="41"/>
    </row>
    <row r="1303" spans="20:20" s="566" customFormat="1">
      <c r="T1303" s="41"/>
    </row>
    <row r="1304" spans="20:20" s="566" customFormat="1">
      <c r="T1304" s="41"/>
    </row>
    <row r="1305" spans="20:20" s="566" customFormat="1">
      <c r="T1305" s="41"/>
    </row>
    <row r="1306" spans="20:20" s="566" customFormat="1">
      <c r="T1306" s="41"/>
    </row>
    <row r="1307" spans="20:20" s="566" customFormat="1">
      <c r="T1307" s="41"/>
    </row>
    <row r="1308" spans="20:20" s="566" customFormat="1">
      <c r="T1308" s="41"/>
    </row>
    <row r="1309" spans="20:20" s="566" customFormat="1">
      <c r="T1309" s="41"/>
    </row>
    <row r="1310" spans="20:20" s="566" customFormat="1">
      <c r="T1310" s="41"/>
    </row>
    <row r="1311" spans="20:20" s="566" customFormat="1">
      <c r="T1311" s="41"/>
    </row>
    <row r="1312" spans="20:20" s="566" customFormat="1">
      <c r="T1312" s="41"/>
    </row>
    <row r="1313" spans="20:20" s="566" customFormat="1">
      <c r="T1313" s="41"/>
    </row>
    <row r="1314" spans="20:20" s="566" customFormat="1">
      <c r="T1314" s="41"/>
    </row>
    <row r="1315" spans="20:20" s="566" customFormat="1">
      <c r="T1315" s="41"/>
    </row>
    <row r="1316" spans="20:20" s="566" customFormat="1">
      <c r="T1316" s="41"/>
    </row>
    <row r="1317" spans="20:20" s="566" customFormat="1">
      <c r="T1317" s="41"/>
    </row>
    <row r="1318" spans="20:20" s="566" customFormat="1">
      <c r="T1318" s="41"/>
    </row>
    <row r="1319" spans="20:20" s="566" customFormat="1">
      <c r="T1319" s="41"/>
    </row>
    <row r="1320" spans="20:20" s="566" customFormat="1">
      <c r="T1320" s="41"/>
    </row>
    <row r="1321" spans="20:20" s="566" customFormat="1">
      <c r="T1321" s="41"/>
    </row>
    <row r="1322" spans="20:20" s="566" customFormat="1">
      <c r="T1322" s="41"/>
    </row>
    <row r="1323" spans="20:20" s="566" customFormat="1">
      <c r="T1323" s="41"/>
    </row>
    <row r="1324" spans="20:20" s="566" customFormat="1">
      <c r="T1324" s="41"/>
    </row>
    <row r="1325" spans="20:20" s="566" customFormat="1">
      <c r="T1325" s="41"/>
    </row>
    <row r="1326" spans="20:20" s="566" customFormat="1">
      <c r="T1326" s="41"/>
    </row>
    <row r="1327" spans="20:20" s="566" customFormat="1">
      <c r="T1327" s="41"/>
    </row>
    <row r="1328" spans="20:20" s="566" customFormat="1">
      <c r="T1328" s="41"/>
    </row>
    <row r="1329" spans="20:20" s="566" customFormat="1">
      <c r="T1329" s="41"/>
    </row>
    <row r="1330" spans="20:20" s="566" customFormat="1">
      <c r="T1330" s="41"/>
    </row>
    <row r="1331" spans="20:20" s="566" customFormat="1">
      <c r="T1331" s="41"/>
    </row>
    <row r="1332" spans="20:20" s="566" customFormat="1">
      <c r="T1332" s="41"/>
    </row>
    <row r="1333" spans="20:20" s="566" customFormat="1">
      <c r="T1333" s="41"/>
    </row>
    <row r="1334" spans="20:20" s="566" customFormat="1">
      <c r="T1334" s="41"/>
    </row>
    <row r="1335" spans="20:20" s="566" customFormat="1">
      <c r="T1335" s="41"/>
    </row>
    <row r="1336" spans="20:20" s="566" customFormat="1">
      <c r="T1336" s="41"/>
    </row>
    <row r="1337" spans="20:20" s="566" customFormat="1">
      <c r="T1337" s="41"/>
    </row>
    <row r="1338" spans="20:20" s="566" customFormat="1">
      <c r="T1338" s="41"/>
    </row>
    <row r="1339" spans="20:20" s="566" customFormat="1">
      <c r="T1339" s="41"/>
    </row>
    <row r="1340" spans="20:20" s="566" customFormat="1">
      <c r="T1340" s="41"/>
    </row>
    <row r="1341" spans="20:20" s="566" customFormat="1">
      <c r="T1341" s="41"/>
    </row>
    <row r="1342" spans="20:20" s="566" customFormat="1">
      <c r="T1342" s="41"/>
    </row>
    <row r="1343" spans="20:20" s="566" customFormat="1">
      <c r="T1343" s="41"/>
    </row>
    <row r="1344" spans="20:20" s="566" customFormat="1">
      <c r="T1344" s="41"/>
    </row>
    <row r="1345" spans="20:20" s="566" customFormat="1">
      <c r="T1345" s="41"/>
    </row>
    <row r="1346" spans="20:20" s="566" customFormat="1">
      <c r="T1346" s="41"/>
    </row>
    <row r="1347" spans="20:20" s="566" customFormat="1">
      <c r="T1347" s="41"/>
    </row>
    <row r="1348" spans="20:20" s="566" customFormat="1">
      <c r="T1348" s="41"/>
    </row>
    <row r="1349" spans="20:20" s="566" customFormat="1">
      <c r="T1349" s="41"/>
    </row>
    <row r="1350" spans="20:20" s="566" customFormat="1">
      <c r="T1350" s="41"/>
    </row>
    <row r="1351" spans="20:20" s="566" customFormat="1">
      <c r="T1351" s="41"/>
    </row>
    <row r="1352" spans="20:20" s="566" customFormat="1">
      <c r="T1352" s="41"/>
    </row>
    <row r="1353" spans="20:20" s="566" customFormat="1">
      <c r="T1353" s="41"/>
    </row>
    <row r="1354" spans="20:20" s="566" customFormat="1">
      <c r="T1354" s="41"/>
    </row>
    <row r="1355" spans="20:20" s="566" customFormat="1">
      <c r="T1355" s="41"/>
    </row>
    <row r="1356" spans="20:20" s="566" customFormat="1">
      <c r="T1356" s="41"/>
    </row>
    <row r="1357" spans="20:20" s="566" customFormat="1">
      <c r="T1357" s="41"/>
    </row>
    <row r="1358" spans="20:20" s="566" customFormat="1">
      <c r="T1358" s="41"/>
    </row>
    <row r="1359" spans="20:20" s="566" customFormat="1">
      <c r="T1359" s="41"/>
    </row>
    <row r="1360" spans="20:20" s="566" customFormat="1">
      <c r="T1360" s="41"/>
    </row>
    <row r="1361" spans="20:20" s="566" customFormat="1">
      <c r="T1361" s="41"/>
    </row>
    <row r="1362" spans="20:20" s="566" customFormat="1">
      <c r="T1362" s="41"/>
    </row>
    <row r="1363" spans="20:20" s="566" customFormat="1">
      <c r="T1363" s="41"/>
    </row>
    <row r="1364" spans="20:20" s="566" customFormat="1">
      <c r="T1364" s="41"/>
    </row>
    <row r="1365" spans="20:20" s="566" customFormat="1">
      <c r="T1365" s="41"/>
    </row>
    <row r="1366" spans="20:20" s="566" customFormat="1">
      <c r="T1366" s="41"/>
    </row>
    <row r="1367" spans="20:20" s="566" customFormat="1">
      <c r="T1367" s="41"/>
    </row>
    <row r="1368" spans="20:20" s="566" customFormat="1">
      <c r="T1368" s="41"/>
    </row>
    <row r="1369" spans="20:20" s="566" customFormat="1">
      <c r="T1369" s="41"/>
    </row>
    <row r="1370" spans="20:20" s="566" customFormat="1">
      <c r="T1370" s="41"/>
    </row>
    <row r="1371" spans="20:20" s="566" customFormat="1">
      <c r="T1371" s="41"/>
    </row>
    <row r="1372" spans="20:20" s="566" customFormat="1">
      <c r="T1372" s="41"/>
    </row>
    <row r="1373" spans="20:20" s="566" customFormat="1">
      <c r="T1373" s="41"/>
    </row>
    <row r="1374" spans="20:20" s="566" customFormat="1">
      <c r="T1374" s="41"/>
    </row>
    <row r="1375" spans="20:20" s="566" customFormat="1">
      <c r="T1375" s="41"/>
    </row>
    <row r="1376" spans="20:20" s="566" customFormat="1">
      <c r="T1376" s="41"/>
    </row>
    <row r="1377" spans="20:20" s="566" customFormat="1">
      <c r="T1377" s="41"/>
    </row>
    <row r="1378" spans="20:20" s="566" customFormat="1">
      <c r="T1378" s="41"/>
    </row>
    <row r="1379" spans="20:20" s="566" customFormat="1">
      <c r="T1379" s="41"/>
    </row>
    <row r="1380" spans="20:20" s="566" customFormat="1">
      <c r="T1380" s="41"/>
    </row>
    <row r="1381" spans="20:20" s="566" customFormat="1">
      <c r="T1381" s="41"/>
    </row>
    <row r="1382" spans="20:20" s="566" customFormat="1">
      <c r="T1382" s="41"/>
    </row>
    <row r="1383" spans="20:20" s="566" customFormat="1">
      <c r="T1383" s="41"/>
    </row>
    <row r="1384" spans="20:20" s="566" customFormat="1">
      <c r="T1384" s="41"/>
    </row>
    <row r="1385" spans="20:20" s="566" customFormat="1">
      <c r="T1385" s="41"/>
    </row>
    <row r="1386" spans="20:20" s="566" customFormat="1">
      <c r="T1386" s="41"/>
    </row>
    <row r="1387" spans="20:20" s="566" customFormat="1">
      <c r="T1387" s="41"/>
    </row>
    <row r="1388" spans="20:20" s="566" customFormat="1">
      <c r="T1388" s="41"/>
    </row>
    <row r="1389" spans="20:20" s="566" customFormat="1">
      <c r="T1389" s="41"/>
    </row>
    <row r="1390" spans="20:20" s="566" customFormat="1">
      <c r="T1390" s="41"/>
    </row>
    <row r="1391" spans="20:20" s="566" customFormat="1">
      <c r="T1391" s="41"/>
    </row>
    <row r="1392" spans="20:20" s="566" customFormat="1">
      <c r="T1392" s="41"/>
    </row>
    <row r="1393" spans="20:20" s="566" customFormat="1">
      <c r="T1393" s="41"/>
    </row>
    <row r="1394" spans="20:20" s="566" customFormat="1">
      <c r="T1394" s="41"/>
    </row>
    <row r="1395" spans="20:20" s="566" customFormat="1">
      <c r="T1395" s="41"/>
    </row>
    <row r="1396" spans="20:20" s="566" customFormat="1">
      <c r="T1396" s="41"/>
    </row>
    <row r="1397" spans="20:20" s="566" customFormat="1">
      <c r="T1397" s="41"/>
    </row>
    <row r="1398" spans="20:20" s="566" customFormat="1">
      <c r="T1398" s="41"/>
    </row>
    <row r="1399" spans="20:20" s="566" customFormat="1">
      <c r="T1399" s="41"/>
    </row>
    <row r="1400" spans="20:20" s="566" customFormat="1">
      <c r="T1400" s="41"/>
    </row>
    <row r="1401" spans="20:20" s="566" customFormat="1">
      <c r="T1401" s="41"/>
    </row>
    <row r="1402" spans="20:20" s="566" customFormat="1">
      <c r="T1402" s="41"/>
    </row>
    <row r="1403" spans="20:20" s="566" customFormat="1">
      <c r="T1403" s="41"/>
    </row>
    <row r="1404" spans="20:20" s="566" customFormat="1">
      <c r="T1404" s="41"/>
    </row>
    <row r="1405" spans="20:20" s="566" customFormat="1">
      <c r="T1405" s="41"/>
    </row>
    <row r="1406" spans="20:20" s="566" customFormat="1">
      <c r="T1406" s="41"/>
    </row>
    <row r="1407" spans="20:20" s="566" customFormat="1">
      <c r="T1407" s="41"/>
    </row>
    <row r="1408" spans="20:20" s="566" customFormat="1">
      <c r="T1408" s="41"/>
    </row>
    <row r="1409" spans="20:20" s="566" customFormat="1">
      <c r="T1409" s="41"/>
    </row>
    <row r="1410" spans="20:20" s="566" customFormat="1">
      <c r="T1410" s="41"/>
    </row>
    <row r="1411" spans="20:20" s="566" customFormat="1">
      <c r="T1411" s="41"/>
    </row>
    <row r="1412" spans="20:20" s="566" customFormat="1">
      <c r="T1412" s="41"/>
    </row>
    <row r="1413" spans="20:20" s="566" customFormat="1">
      <c r="T1413" s="41"/>
    </row>
    <row r="1414" spans="20:20" s="566" customFormat="1">
      <c r="T1414" s="41"/>
    </row>
    <row r="1415" spans="20:20" s="566" customFormat="1">
      <c r="T1415" s="41"/>
    </row>
    <row r="1416" spans="20:20" s="566" customFormat="1">
      <c r="T1416" s="41"/>
    </row>
    <row r="1417" spans="20:20" s="566" customFormat="1">
      <c r="T1417" s="41"/>
    </row>
    <row r="1418" spans="20:20" s="566" customFormat="1">
      <c r="T1418" s="41"/>
    </row>
    <row r="1419" spans="20:20" s="566" customFormat="1">
      <c r="T1419" s="41"/>
    </row>
    <row r="1420" spans="20:20" s="566" customFormat="1">
      <c r="T1420" s="41"/>
    </row>
    <row r="1421" spans="20:20" s="566" customFormat="1">
      <c r="T1421" s="41"/>
    </row>
    <row r="1422" spans="20:20" s="566" customFormat="1">
      <c r="T1422" s="41"/>
    </row>
    <row r="1423" spans="20:20" s="566" customFormat="1">
      <c r="T1423" s="41"/>
    </row>
    <row r="1424" spans="20:20" s="566" customFormat="1">
      <c r="T1424" s="41"/>
    </row>
    <row r="1425" spans="20:20" s="566" customFormat="1">
      <c r="T1425" s="41"/>
    </row>
    <row r="1426" spans="20:20" s="566" customFormat="1">
      <c r="T1426" s="41"/>
    </row>
    <row r="1427" spans="20:20" s="566" customFormat="1">
      <c r="T1427" s="41"/>
    </row>
    <row r="1428" spans="20:20" s="566" customFormat="1">
      <c r="T1428" s="41"/>
    </row>
    <row r="1429" spans="20:20" s="566" customFormat="1">
      <c r="T1429" s="41"/>
    </row>
    <row r="1430" spans="20:20" s="566" customFormat="1">
      <c r="T1430" s="41"/>
    </row>
    <row r="1431" spans="20:20" s="566" customFormat="1">
      <c r="T1431" s="41"/>
    </row>
    <row r="1432" spans="20:20" s="566" customFormat="1">
      <c r="T1432" s="41"/>
    </row>
    <row r="1433" spans="20:20" s="566" customFormat="1">
      <c r="T1433" s="41"/>
    </row>
    <row r="1434" spans="20:20" s="566" customFormat="1">
      <c r="T1434" s="41"/>
    </row>
    <row r="1435" spans="20:20" s="566" customFormat="1">
      <c r="T1435" s="41"/>
    </row>
    <row r="1436" spans="20:20" s="566" customFormat="1">
      <c r="T1436" s="41"/>
    </row>
    <row r="1437" spans="20:20" s="566" customFormat="1">
      <c r="T1437" s="41"/>
    </row>
    <row r="1438" spans="20:20" s="566" customFormat="1">
      <c r="T1438" s="41"/>
    </row>
    <row r="1439" spans="20:20" s="566" customFormat="1">
      <c r="T1439" s="41"/>
    </row>
    <row r="1440" spans="20:20" s="566" customFormat="1">
      <c r="T1440" s="41"/>
    </row>
    <row r="1441" spans="20:20" s="566" customFormat="1">
      <c r="T1441" s="41"/>
    </row>
    <row r="1442" spans="20:20" s="566" customFormat="1">
      <c r="T1442" s="41"/>
    </row>
    <row r="1443" spans="20:20" s="566" customFormat="1">
      <c r="T1443" s="41"/>
    </row>
    <row r="1444" spans="20:20" s="566" customFormat="1">
      <c r="T1444" s="41"/>
    </row>
    <row r="1445" spans="20:20" s="566" customFormat="1">
      <c r="T1445" s="41"/>
    </row>
    <row r="1446" spans="20:20" s="566" customFormat="1">
      <c r="T1446" s="41"/>
    </row>
    <row r="1447" spans="20:20" s="566" customFormat="1">
      <c r="T1447" s="41"/>
    </row>
    <row r="1448" spans="20:20" s="566" customFormat="1">
      <c r="T1448" s="41"/>
    </row>
    <row r="1449" spans="20:20" s="566" customFormat="1">
      <c r="T1449" s="41"/>
    </row>
    <row r="1450" spans="20:20" s="566" customFormat="1">
      <c r="T1450" s="41"/>
    </row>
    <row r="1451" spans="20:20" s="566" customFormat="1">
      <c r="T1451" s="41"/>
    </row>
    <row r="1452" spans="20:20" s="566" customFormat="1">
      <c r="T1452" s="41"/>
    </row>
    <row r="1453" spans="20:20" s="566" customFormat="1">
      <c r="T1453" s="41"/>
    </row>
    <row r="1454" spans="20:20" s="566" customFormat="1">
      <c r="T1454" s="41"/>
    </row>
    <row r="1455" spans="20:20" s="566" customFormat="1">
      <c r="T1455" s="41"/>
    </row>
    <row r="1456" spans="20:20" s="566" customFormat="1">
      <c r="T1456" s="41"/>
    </row>
    <row r="1457" spans="20:20" s="566" customFormat="1">
      <c r="T1457" s="41"/>
    </row>
    <row r="1458" spans="20:20" s="566" customFormat="1">
      <c r="T1458" s="41"/>
    </row>
    <row r="1459" spans="20:20" s="566" customFormat="1">
      <c r="T1459" s="41"/>
    </row>
    <row r="1460" spans="20:20" s="566" customFormat="1">
      <c r="T1460" s="41"/>
    </row>
    <row r="1461" spans="20:20" s="566" customFormat="1">
      <c r="T1461" s="41"/>
    </row>
    <row r="1462" spans="20:20" s="566" customFormat="1">
      <c r="T1462" s="41"/>
    </row>
    <row r="1463" spans="20:20" s="566" customFormat="1">
      <c r="T1463" s="41"/>
    </row>
    <row r="1464" spans="20:20" s="566" customFormat="1">
      <c r="T1464" s="41"/>
    </row>
    <row r="1465" spans="20:20" s="566" customFormat="1">
      <c r="T1465" s="41"/>
    </row>
    <row r="1466" spans="20:20" s="566" customFormat="1">
      <c r="T1466" s="41"/>
    </row>
    <row r="1467" spans="20:20" s="566" customFormat="1">
      <c r="T1467" s="41"/>
    </row>
    <row r="1468" spans="20:20" s="566" customFormat="1">
      <c r="T1468" s="41"/>
    </row>
    <row r="1469" spans="20:20" s="566" customFormat="1">
      <c r="T1469" s="41"/>
    </row>
    <row r="1470" spans="20:20" s="566" customFormat="1">
      <c r="T1470" s="41"/>
    </row>
    <row r="1471" spans="20:20" s="566" customFormat="1">
      <c r="T1471" s="41"/>
    </row>
    <row r="1472" spans="20:20" s="566" customFormat="1">
      <c r="T1472" s="41"/>
    </row>
    <row r="1473" spans="20:20" s="566" customFormat="1">
      <c r="T1473" s="41"/>
    </row>
    <row r="1474" spans="20:20" s="566" customFormat="1">
      <c r="T1474" s="41"/>
    </row>
    <row r="1475" spans="20:20" s="566" customFormat="1">
      <c r="T1475" s="41"/>
    </row>
    <row r="1476" spans="20:20" s="566" customFormat="1">
      <c r="T1476" s="41"/>
    </row>
    <row r="1477" spans="20:20" s="566" customFormat="1">
      <c r="T1477" s="41"/>
    </row>
    <row r="1478" spans="20:20" s="566" customFormat="1">
      <c r="T1478" s="41"/>
    </row>
    <row r="1479" spans="20:20" s="566" customFormat="1">
      <c r="T1479" s="41"/>
    </row>
    <row r="1480" spans="20:20" s="566" customFormat="1">
      <c r="T1480" s="41"/>
    </row>
    <row r="1481" spans="20:20" s="566" customFormat="1">
      <c r="T1481" s="41"/>
    </row>
    <row r="1482" spans="20:20" s="566" customFormat="1">
      <c r="T1482" s="41"/>
    </row>
    <row r="1483" spans="20:20" s="566" customFormat="1">
      <c r="T1483" s="41"/>
    </row>
    <row r="1484" spans="20:20" s="566" customFormat="1">
      <c r="T1484" s="41"/>
    </row>
    <row r="1485" spans="20:20" s="566" customFormat="1">
      <c r="T1485" s="41"/>
    </row>
    <row r="1486" spans="20:20" s="566" customFormat="1">
      <c r="T1486" s="41"/>
    </row>
    <row r="1487" spans="20:20" s="566" customFormat="1">
      <c r="T1487" s="41"/>
    </row>
    <row r="1488" spans="20:20" s="566" customFormat="1">
      <c r="T1488" s="41"/>
    </row>
    <row r="1489" spans="20:20" s="566" customFormat="1">
      <c r="T1489" s="41"/>
    </row>
    <row r="1490" spans="20:20" s="566" customFormat="1">
      <c r="T1490" s="41"/>
    </row>
    <row r="1491" spans="20:20" s="566" customFormat="1">
      <c r="T1491" s="41"/>
    </row>
    <row r="1492" spans="20:20" s="566" customFormat="1">
      <c r="T1492" s="41"/>
    </row>
    <row r="1493" spans="20:20" s="566" customFormat="1">
      <c r="T1493" s="41"/>
    </row>
    <row r="1494" spans="20:20" s="566" customFormat="1">
      <c r="T1494" s="41"/>
    </row>
    <row r="1495" spans="20:20" s="566" customFormat="1">
      <c r="T1495" s="41"/>
    </row>
    <row r="1496" spans="20:20" s="566" customFormat="1">
      <c r="T1496" s="41"/>
    </row>
    <row r="1497" spans="20:20" s="566" customFormat="1">
      <c r="T1497" s="41"/>
    </row>
    <row r="1498" spans="20:20" s="566" customFormat="1">
      <c r="T1498" s="41"/>
    </row>
    <row r="1499" spans="20:20" s="566" customFormat="1">
      <c r="T1499" s="41"/>
    </row>
    <row r="1500" spans="20:20" s="566" customFormat="1">
      <c r="T1500" s="41"/>
    </row>
    <row r="1501" spans="20:20" s="566" customFormat="1">
      <c r="T1501" s="41"/>
    </row>
    <row r="1502" spans="20:20" s="566" customFormat="1">
      <c r="T1502" s="41"/>
    </row>
    <row r="1503" spans="20:20" s="566" customFormat="1">
      <c r="T1503" s="41"/>
    </row>
    <row r="1504" spans="20:20" s="566" customFormat="1">
      <c r="T1504" s="41"/>
    </row>
    <row r="1505" spans="20:20" s="566" customFormat="1">
      <c r="T1505" s="41"/>
    </row>
    <row r="1506" spans="20:20" s="566" customFormat="1">
      <c r="T1506" s="41"/>
    </row>
    <row r="1507" spans="20:20" s="566" customFormat="1">
      <c r="T1507" s="41"/>
    </row>
    <row r="1508" spans="20:20" s="566" customFormat="1">
      <c r="T1508" s="41"/>
    </row>
    <row r="1509" spans="20:20" s="566" customFormat="1">
      <c r="T1509" s="41"/>
    </row>
    <row r="1510" spans="20:20" s="566" customFormat="1">
      <c r="T1510" s="41"/>
    </row>
    <row r="1511" spans="20:20" s="566" customFormat="1">
      <c r="T1511" s="41"/>
    </row>
    <row r="1512" spans="20:20" s="566" customFormat="1">
      <c r="T1512" s="41"/>
    </row>
    <row r="1513" spans="20:20" s="566" customFormat="1">
      <c r="T1513" s="41"/>
    </row>
    <row r="1514" spans="20:20" s="566" customFormat="1">
      <c r="T1514" s="41"/>
    </row>
    <row r="1515" spans="20:20" s="566" customFormat="1">
      <c r="T1515" s="41"/>
    </row>
    <row r="1516" spans="20:20" s="566" customFormat="1">
      <c r="T1516" s="41"/>
    </row>
    <row r="1517" spans="20:20" s="566" customFormat="1">
      <c r="T1517" s="41"/>
    </row>
    <row r="1518" spans="20:20" s="566" customFormat="1">
      <c r="T1518" s="41"/>
    </row>
    <row r="1519" spans="20:20" s="566" customFormat="1">
      <c r="T1519" s="41"/>
    </row>
    <row r="1520" spans="20:20" s="566" customFormat="1">
      <c r="T1520" s="41"/>
    </row>
    <row r="1521" spans="20:20" s="566" customFormat="1">
      <c r="T1521" s="41"/>
    </row>
    <row r="1522" spans="20:20" s="566" customFormat="1">
      <c r="T1522" s="41"/>
    </row>
    <row r="1523" spans="20:20" s="566" customFormat="1">
      <c r="T1523" s="41"/>
    </row>
    <row r="1524" spans="20:20" s="566" customFormat="1">
      <c r="T1524" s="41"/>
    </row>
    <row r="1525" spans="20:20" s="566" customFormat="1">
      <c r="T1525" s="41"/>
    </row>
    <row r="1526" spans="20:20" s="566" customFormat="1">
      <c r="T1526" s="41"/>
    </row>
    <row r="1527" spans="20:20" s="566" customFormat="1">
      <c r="T1527" s="41"/>
    </row>
    <row r="1528" spans="20:20" s="566" customFormat="1">
      <c r="T1528" s="41"/>
    </row>
    <row r="1529" spans="20:20" s="566" customFormat="1">
      <c r="T1529" s="41"/>
    </row>
    <row r="1530" spans="20:20" s="566" customFormat="1">
      <c r="T1530" s="41"/>
    </row>
    <row r="1531" spans="20:20" s="566" customFormat="1">
      <c r="T1531" s="41"/>
    </row>
    <row r="1532" spans="20:20" s="566" customFormat="1">
      <c r="T1532" s="41"/>
    </row>
    <row r="1533" spans="20:20" s="566" customFormat="1">
      <c r="T1533" s="41"/>
    </row>
    <row r="1534" spans="20:20" s="566" customFormat="1">
      <c r="T1534" s="41"/>
    </row>
    <row r="1535" spans="20:20" s="566" customFormat="1">
      <c r="T1535" s="41"/>
    </row>
    <row r="1536" spans="20:20" s="566" customFormat="1">
      <c r="T1536" s="41"/>
    </row>
    <row r="1537" spans="20:20" s="566" customFormat="1">
      <c r="T1537" s="41"/>
    </row>
    <row r="1538" spans="20:20" s="566" customFormat="1">
      <c r="T1538" s="41"/>
    </row>
    <row r="1539" spans="20:20" s="566" customFormat="1">
      <c r="T1539" s="41"/>
    </row>
    <row r="1540" spans="20:20" s="566" customFormat="1">
      <c r="T1540" s="41"/>
    </row>
    <row r="1541" spans="20:20" s="566" customFormat="1">
      <c r="T1541" s="41"/>
    </row>
    <row r="1542" spans="20:20" s="566" customFormat="1">
      <c r="T1542" s="41"/>
    </row>
    <row r="1543" spans="20:20" s="566" customFormat="1">
      <c r="T1543" s="41"/>
    </row>
    <row r="1544" spans="20:20" s="566" customFormat="1">
      <c r="T1544" s="41"/>
    </row>
    <row r="1545" spans="20:20" s="566" customFormat="1">
      <c r="T1545" s="41"/>
    </row>
    <row r="1546" spans="20:20" s="566" customFormat="1">
      <c r="T1546" s="41"/>
    </row>
    <row r="1547" spans="20:20" s="566" customFormat="1">
      <c r="T1547" s="41"/>
    </row>
    <row r="1548" spans="20:20" s="566" customFormat="1">
      <c r="T1548" s="41"/>
    </row>
    <row r="1549" spans="20:20" s="566" customFormat="1">
      <c r="T1549" s="41"/>
    </row>
    <row r="1550" spans="20:20" s="566" customFormat="1">
      <c r="T1550" s="41"/>
    </row>
    <row r="1551" spans="20:20" s="566" customFormat="1">
      <c r="T1551" s="41"/>
    </row>
    <row r="1552" spans="20:20" s="566" customFormat="1">
      <c r="T1552" s="41"/>
    </row>
    <row r="1553" spans="20:20" s="566" customFormat="1">
      <c r="T1553" s="41"/>
    </row>
    <row r="1554" spans="20:20" s="566" customFormat="1">
      <c r="T1554" s="41"/>
    </row>
    <row r="1555" spans="20:20" s="566" customFormat="1">
      <c r="T1555" s="41"/>
    </row>
    <row r="1556" spans="20:20" s="566" customFormat="1">
      <c r="T1556" s="41"/>
    </row>
    <row r="1557" spans="20:20" s="566" customFormat="1">
      <c r="T1557" s="41"/>
    </row>
    <row r="1558" spans="20:20" s="566" customFormat="1">
      <c r="T1558" s="41"/>
    </row>
    <row r="1559" spans="20:20" s="566" customFormat="1">
      <c r="T1559" s="41"/>
    </row>
    <row r="1560" spans="20:20" s="566" customFormat="1">
      <c r="T1560" s="41"/>
    </row>
    <row r="1561" spans="20:20" s="566" customFormat="1">
      <c r="T1561" s="41"/>
    </row>
    <row r="1562" spans="20:20" s="566" customFormat="1">
      <c r="T1562" s="41"/>
    </row>
    <row r="1563" spans="20:20" s="566" customFormat="1">
      <c r="T1563" s="41"/>
    </row>
    <row r="1564" spans="20:20" s="566" customFormat="1">
      <c r="T1564" s="41"/>
    </row>
    <row r="1565" spans="20:20" s="566" customFormat="1">
      <c r="T1565" s="41"/>
    </row>
    <row r="1566" spans="20:20" s="566" customFormat="1">
      <c r="T1566" s="41"/>
    </row>
    <row r="1567" spans="20:20" s="566" customFormat="1">
      <c r="T1567" s="41"/>
    </row>
    <row r="1568" spans="20:20" s="566" customFormat="1">
      <c r="T1568" s="41"/>
    </row>
    <row r="1569" spans="20:20" s="566" customFormat="1">
      <c r="T1569" s="41"/>
    </row>
    <row r="1570" spans="20:20" s="566" customFormat="1">
      <c r="T1570" s="41"/>
    </row>
    <row r="1571" spans="20:20" s="566" customFormat="1">
      <c r="T1571" s="41"/>
    </row>
    <row r="1572" spans="20:20" s="566" customFormat="1">
      <c r="T1572" s="41"/>
    </row>
    <row r="1573" spans="20:20" s="566" customFormat="1">
      <c r="T1573" s="41"/>
    </row>
    <row r="1574" spans="20:20" s="566" customFormat="1">
      <c r="T1574" s="41"/>
    </row>
    <row r="1575" spans="20:20" s="566" customFormat="1">
      <c r="T1575" s="41"/>
    </row>
    <row r="1576" spans="20:20" s="566" customFormat="1">
      <c r="T1576" s="41"/>
    </row>
    <row r="1577" spans="20:20" s="566" customFormat="1">
      <c r="T1577" s="41"/>
    </row>
    <row r="1578" spans="20:20" s="566" customFormat="1">
      <c r="T1578" s="41"/>
    </row>
    <row r="1579" spans="20:20" s="566" customFormat="1">
      <c r="T1579" s="41"/>
    </row>
    <row r="1580" spans="20:20" s="566" customFormat="1">
      <c r="T1580" s="41"/>
    </row>
    <row r="1581" spans="20:20" s="566" customFormat="1">
      <c r="T1581" s="41"/>
    </row>
    <row r="1582" spans="20:20" s="566" customFormat="1">
      <c r="T1582" s="41"/>
    </row>
    <row r="1583" spans="20:20" s="566" customFormat="1">
      <c r="T1583" s="41"/>
    </row>
    <row r="1584" spans="20:20" s="566" customFormat="1">
      <c r="T1584" s="41"/>
    </row>
    <row r="1585" spans="20:20" s="566" customFormat="1">
      <c r="T1585" s="41"/>
    </row>
    <row r="1586" spans="20:20" s="566" customFormat="1">
      <c r="T1586" s="41"/>
    </row>
    <row r="1587" spans="20:20" s="566" customFormat="1">
      <c r="T1587" s="41"/>
    </row>
    <row r="1588" spans="20:20" s="566" customFormat="1">
      <c r="T1588" s="41"/>
    </row>
    <row r="1589" spans="20:20" s="566" customFormat="1">
      <c r="T1589" s="41"/>
    </row>
    <row r="1590" spans="20:20" s="566" customFormat="1">
      <c r="T1590" s="41"/>
    </row>
    <row r="1591" spans="20:20" s="566" customFormat="1">
      <c r="T1591" s="41"/>
    </row>
    <row r="1592" spans="20:20" s="566" customFormat="1">
      <c r="T1592" s="41"/>
    </row>
    <row r="1593" spans="20:20" s="566" customFormat="1">
      <c r="T1593" s="41"/>
    </row>
    <row r="1594" spans="20:20" s="566" customFormat="1">
      <c r="T1594" s="41"/>
    </row>
    <row r="1595" spans="20:20" s="566" customFormat="1">
      <c r="T1595" s="41"/>
    </row>
    <row r="1596" spans="20:20" s="566" customFormat="1">
      <c r="T1596" s="41"/>
    </row>
    <row r="1597" spans="20:20" s="566" customFormat="1">
      <c r="T1597" s="41"/>
    </row>
    <row r="1598" spans="20:20" s="566" customFormat="1">
      <c r="T1598" s="41"/>
    </row>
    <row r="1599" spans="20:20" s="566" customFormat="1">
      <c r="T1599" s="41"/>
    </row>
    <row r="1600" spans="20:20" s="566" customFormat="1">
      <c r="T1600" s="41"/>
    </row>
    <row r="1601" spans="20:20" s="566" customFormat="1">
      <c r="T1601" s="41"/>
    </row>
    <row r="1602" spans="20:20" s="566" customFormat="1">
      <c r="T1602" s="41"/>
    </row>
    <row r="1603" spans="20:20" s="566" customFormat="1">
      <c r="T1603" s="41"/>
    </row>
    <row r="1604" spans="20:20" s="566" customFormat="1">
      <c r="T1604" s="41"/>
    </row>
    <row r="1605" spans="20:20" s="566" customFormat="1">
      <c r="T1605" s="41"/>
    </row>
    <row r="1606" spans="20:20" s="566" customFormat="1">
      <c r="T1606" s="41"/>
    </row>
    <row r="1607" spans="20:20" s="566" customFormat="1">
      <c r="T1607" s="41"/>
    </row>
    <row r="1608" spans="20:20" s="566" customFormat="1">
      <c r="T1608" s="41"/>
    </row>
    <row r="1609" spans="20:20" s="566" customFormat="1">
      <c r="T1609" s="41"/>
    </row>
    <row r="1610" spans="20:20" s="566" customFormat="1">
      <c r="T1610" s="41"/>
    </row>
    <row r="1611" spans="20:20" s="566" customFormat="1">
      <c r="T1611" s="41"/>
    </row>
    <row r="1612" spans="20:20" s="566" customFormat="1">
      <c r="T1612" s="41"/>
    </row>
    <row r="1613" spans="20:20" s="566" customFormat="1">
      <c r="T1613" s="41"/>
    </row>
    <row r="1614" spans="20:20" s="566" customFormat="1">
      <c r="T1614" s="41"/>
    </row>
    <row r="1615" spans="20:20" s="566" customFormat="1">
      <c r="T1615" s="41"/>
    </row>
    <row r="1616" spans="20:20" s="566" customFormat="1">
      <c r="T1616" s="41"/>
    </row>
    <row r="1617" spans="20:20" s="566" customFormat="1">
      <c r="T1617" s="41"/>
    </row>
    <row r="1618" spans="20:20" s="566" customFormat="1">
      <c r="T1618" s="41"/>
    </row>
    <row r="1619" spans="20:20" s="566" customFormat="1">
      <c r="T1619" s="41"/>
    </row>
    <row r="1620" spans="20:20" s="566" customFormat="1">
      <c r="T1620" s="41"/>
    </row>
    <row r="1621" spans="20:20" s="566" customFormat="1">
      <c r="T1621" s="41"/>
    </row>
    <row r="1622" spans="20:20" s="566" customFormat="1">
      <c r="T1622" s="41"/>
    </row>
    <row r="1623" spans="20:20" s="566" customFormat="1">
      <c r="T1623" s="41"/>
    </row>
    <row r="1624" spans="20:20" s="566" customFormat="1">
      <c r="T1624" s="41"/>
    </row>
    <row r="1625" spans="20:20" s="566" customFormat="1">
      <c r="T1625" s="41"/>
    </row>
    <row r="1626" spans="20:20" s="566" customFormat="1">
      <c r="T1626" s="41"/>
    </row>
    <row r="1627" spans="20:20" s="566" customFormat="1">
      <c r="T1627" s="41"/>
    </row>
    <row r="1628" spans="20:20" s="566" customFormat="1">
      <c r="T1628" s="41"/>
    </row>
    <row r="1629" spans="20:20" s="566" customFormat="1">
      <c r="T1629" s="41"/>
    </row>
    <row r="1630" spans="20:20" s="566" customFormat="1">
      <c r="T1630" s="41"/>
    </row>
    <row r="1631" spans="20:20" s="566" customFormat="1">
      <c r="T1631" s="41"/>
    </row>
    <row r="1632" spans="20:20" s="566" customFormat="1">
      <c r="T1632" s="41"/>
    </row>
    <row r="1633" spans="20:20" s="566" customFormat="1">
      <c r="T1633" s="41"/>
    </row>
    <row r="1634" spans="20:20" s="566" customFormat="1">
      <c r="T1634" s="41"/>
    </row>
    <row r="1635" spans="20:20" s="566" customFormat="1">
      <c r="T1635" s="41"/>
    </row>
    <row r="1636" spans="20:20" s="566" customFormat="1">
      <c r="T1636" s="41"/>
    </row>
    <row r="1637" spans="20:20" s="566" customFormat="1">
      <c r="T1637" s="41"/>
    </row>
    <row r="1638" spans="20:20" s="566" customFormat="1">
      <c r="T1638" s="41"/>
    </row>
    <row r="1639" spans="20:20" s="566" customFormat="1">
      <c r="T1639" s="41"/>
    </row>
    <row r="1640" spans="20:20" s="566" customFormat="1">
      <c r="T1640" s="41"/>
    </row>
    <row r="1641" spans="20:20" s="566" customFormat="1">
      <c r="T1641" s="41"/>
    </row>
    <row r="1642" spans="20:20" s="566" customFormat="1">
      <c r="T1642" s="41"/>
    </row>
    <row r="1643" spans="20:20" s="566" customFormat="1">
      <c r="T1643" s="41"/>
    </row>
    <row r="1644" spans="20:20" s="566" customFormat="1">
      <c r="T1644" s="41"/>
    </row>
    <row r="1645" spans="20:20" s="566" customFormat="1">
      <c r="T1645" s="41"/>
    </row>
    <row r="1646" spans="20:20" s="566" customFormat="1">
      <c r="T1646" s="41"/>
    </row>
    <row r="1647" spans="20:20" s="566" customFormat="1">
      <c r="T1647" s="41"/>
    </row>
    <row r="1648" spans="20:20" s="566" customFormat="1">
      <c r="T1648" s="41"/>
    </row>
    <row r="1649" spans="20:20" s="566" customFormat="1">
      <c r="T1649" s="41"/>
    </row>
    <row r="1650" spans="20:20" s="566" customFormat="1">
      <c r="T1650" s="41"/>
    </row>
    <row r="1651" spans="20:20" s="566" customFormat="1">
      <c r="T1651" s="41"/>
    </row>
    <row r="1652" spans="20:20" s="566" customFormat="1">
      <c r="T1652" s="41"/>
    </row>
    <row r="1653" spans="20:20" s="566" customFormat="1">
      <c r="T1653" s="41"/>
    </row>
    <row r="1654" spans="20:20" s="566" customFormat="1">
      <c r="T1654" s="41"/>
    </row>
    <row r="1655" spans="20:20" s="566" customFormat="1">
      <c r="T1655" s="41"/>
    </row>
    <row r="1656" spans="20:20" s="566" customFormat="1">
      <c r="T1656" s="41"/>
    </row>
    <row r="1657" spans="20:20" s="566" customFormat="1">
      <c r="T1657" s="41"/>
    </row>
    <row r="1658" spans="20:20" s="566" customFormat="1">
      <c r="T1658" s="41"/>
    </row>
    <row r="1659" spans="20:20" s="566" customFormat="1">
      <c r="T1659" s="41"/>
    </row>
    <row r="1660" spans="20:20" s="566" customFormat="1">
      <c r="T1660" s="41"/>
    </row>
    <row r="1661" spans="20:20" s="566" customFormat="1">
      <c r="T1661" s="41"/>
    </row>
    <row r="1662" spans="20:20" s="566" customFormat="1">
      <c r="T1662" s="41"/>
    </row>
    <row r="1663" spans="20:20" s="566" customFormat="1">
      <c r="T1663" s="41"/>
    </row>
    <row r="1664" spans="20:20" s="566" customFormat="1">
      <c r="T1664" s="41"/>
    </row>
    <row r="1665" spans="20:20" s="566" customFormat="1">
      <c r="T1665" s="41"/>
    </row>
    <row r="1666" spans="20:20" s="566" customFormat="1">
      <c r="T1666" s="41"/>
    </row>
    <row r="1667" spans="20:20" s="566" customFormat="1">
      <c r="T1667" s="41"/>
    </row>
    <row r="1668" spans="20:20" s="566" customFormat="1">
      <c r="T1668" s="41"/>
    </row>
    <row r="1669" spans="20:20" s="566" customFormat="1">
      <c r="T1669" s="41"/>
    </row>
    <row r="1670" spans="20:20" s="566" customFormat="1">
      <c r="T1670" s="41"/>
    </row>
    <row r="1671" spans="20:20" s="566" customFormat="1">
      <c r="T1671" s="41"/>
    </row>
    <row r="1672" spans="20:20" s="566" customFormat="1">
      <c r="T1672" s="41"/>
    </row>
    <row r="1673" spans="20:20" s="566" customFormat="1">
      <c r="T1673" s="41"/>
    </row>
    <row r="1674" spans="20:20" s="566" customFormat="1">
      <c r="T1674" s="41"/>
    </row>
    <row r="1675" spans="20:20" s="566" customFormat="1">
      <c r="T1675" s="41"/>
    </row>
    <row r="1676" spans="20:20" s="566" customFormat="1">
      <c r="T1676" s="41"/>
    </row>
    <row r="1677" spans="20:20" s="566" customFormat="1">
      <c r="T1677" s="41"/>
    </row>
    <row r="1678" spans="20:20" s="566" customFormat="1">
      <c r="T1678" s="41"/>
    </row>
    <row r="1679" spans="20:20" s="566" customFormat="1">
      <c r="T1679" s="41"/>
    </row>
    <row r="1680" spans="20:20" s="566" customFormat="1">
      <c r="T1680" s="41"/>
    </row>
    <row r="1681" spans="20:20" s="566" customFormat="1">
      <c r="T1681" s="41"/>
    </row>
    <row r="1682" spans="20:20" s="566" customFormat="1">
      <c r="T1682" s="41"/>
    </row>
    <row r="1683" spans="20:20" s="566" customFormat="1">
      <c r="T1683" s="41"/>
    </row>
    <row r="1684" spans="20:20" s="566" customFormat="1">
      <c r="T1684" s="41"/>
    </row>
    <row r="1685" spans="20:20" s="566" customFormat="1">
      <c r="T1685" s="41"/>
    </row>
    <row r="1686" spans="20:20" s="566" customFormat="1">
      <c r="T1686" s="41"/>
    </row>
    <row r="1687" spans="20:20" s="566" customFormat="1">
      <c r="T1687" s="41"/>
    </row>
    <row r="1688" spans="20:20" s="566" customFormat="1">
      <c r="T1688" s="41"/>
    </row>
    <row r="1689" spans="20:20" s="566" customFormat="1">
      <c r="T1689" s="41"/>
    </row>
    <row r="1690" spans="20:20" s="566" customFormat="1">
      <c r="T1690" s="41"/>
    </row>
    <row r="1691" spans="20:20" s="566" customFormat="1">
      <c r="T1691" s="41"/>
    </row>
    <row r="1692" spans="20:20" s="566" customFormat="1">
      <c r="T1692" s="41"/>
    </row>
    <row r="1693" spans="20:20" s="566" customFormat="1">
      <c r="T1693" s="41"/>
    </row>
    <row r="1694" spans="20:20" s="566" customFormat="1">
      <c r="T1694" s="41"/>
    </row>
    <row r="1695" spans="20:20" s="566" customFormat="1">
      <c r="T1695" s="41"/>
    </row>
    <row r="1696" spans="20:20" s="566" customFormat="1">
      <c r="T1696" s="41"/>
    </row>
    <row r="1697" spans="20:20" s="566" customFormat="1">
      <c r="T1697" s="41"/>
    </row>
    <row r="1698" spans="20:20" s="566" customFormat="1">
      <c r="T1698" s="41"/>
    </row>
    <row r="1699" spans="20:20" s="566" customFormat="1">
      <c r="T1699" s="41"/>
    </row>
    <row r="1700" spans="20:20" s="566" customFormat="1">
      <c r="T1700" s="41"/>
    </row>
    <row r="1701" spans="20:20" s="566" customFormat="1">
      <c r="T1701" s="41"/>
    </row>
    <row r="1702" spans="20:20" s="566" customFormat="1">
      <c r="T1702" s="41"/>
    </row>
    <row r="1703" spans="20:20" s="566" customFormat="1">
      <c r="T1703" s="41"/>
    </row>
    <row r="1704" spans="20:20" s="566" customFormat="1">
      <c r="T1704" s="41"/>
    </row>
    <row r="1705" spans="20:20" s="566" customFormat="1">
      <c r="T1705" s="41"/>
    </row>
    <row r="1706" spans="20:20" s="566" customFormat="1">
      <c r="T1706" s="41"/>
    </row>
    <row r="1707" spans="20:20" s="566" customFormat="1">
      <c r="T1707" s="41"/>
    </row>
    <row r="1708" spans="20:20" s="566" customFormat="1">
      <c r="T1708" s="41"/>
    </row>
    <row r="1709" spans="20:20" s="566" customFormat="1">
      <c r="T1709" s="41"/>
    </row>
    <row r="1710" spans="20:20" s="566" customFormat="1">
      <c r="T1710" s="41"/>
    </row>
    <row r="1711" spans="20:20" s="566" customFormat="1">
      <c r="T1711" s="41"/>
    </row>
    <row r="1712" spans="20:20" s="566" customFormat="1">
      <c r="T1712" s="41"/>
    </row>
    <row r="1713" spans="20:20" s="566" customFormat="1">
      <c r="T1713" s="41"/>
    </row>
    <row r="1714" spans="20:20" s="566" customFormat="1">
      <c r="T1714" s="41"/>
    </row>
    <row r="1715" spans="20:20" s="566" customFormat="1">
      <c r="T1715" s="41"/>
    </row>
    <row r="1716" spans="20:20" s="566" customFormat="1">
      <c r="T1716" s="41"/>
    </row>
    <row r="1717" spans="20:20" s="566" customFormat="1">
      <c r="T1717" s="41"/>
    </row>
    <row r="1718" spans="20:20" s="566" customFormat="1">
      <c r="T1718" s="41"/>
    </row>
    <row r="1719" spans="20:20" s="566" customFormat="1">
      <c r="T1719" s="41"/>
    </row>
    <row r="1720" spans="20:20" s="566" customFormat="1">
      <c r="T1720" s="41"/>
    </row>
    <row r="1721" spans="20:20" s="566" customFormat="1">
      <c r="T1721" s="41"/>
    </row>
    <row r="1722" spans="20:20" s="566" customFormat="1">
      <c r="T1722" s="41"/>
    </row>
    <row r="1723" spans="20:20" s="566" customFormat="1">
      <c r="T1723" s="41"/>
    </row>
    <row r="1724" spans="20:20" s="566" customFormat="1">
      <c r="T1724" s="41"/>
    </row>
    <row r="1725" spans="20:20" s="566" customFormat="1">
      <c r="T1725" s="41"/>
    </row>
    <row r="1726" spans="20:20" s="566" customFormat="1">
      <c r="T1726" s="41"/>
    </row>
    <row r="1727" spans="20:20" s="566" customFormat="1">
      <c r="T1727" s="41"/>
    </row>
    <row r="1728" spans="20:20" s="566" customFormat="1">
      <c r="T1728" s="41"/>
    </row>
    <row r="1729" spans="20:20" s="566" customFormat="1">
      <c r="T1729" s="41"/>
    </row>
    <row r="1730" spans="20:20" s="566" customFormat="1">
      <c r="T1730" s="41"/>
    </row>
    <row r="1731" spans="20:20" s="566" customFormat="1">
      <c r="T1731" s="41"/>
    </row>
    <row r="1732" spans="20:20" s="566" customFormat="1">
      <c r="T1732" s="41"/>
    </row>
    <row r="1733" spans="20:20" s="566" customFormat="1">
      <c r="T1733" s="41"/>
    </row>
    <row r="1734" spans="20:20" s="566" customFormat="1">
      <c r="T1734" s="41"/>
    </row>
    <row r="1735" spans="20:20" s="566" customFormat="1">
      <c r="T1735" s="41"/>
    </row>
    <row r="1736" spans="20:20" s="566" customFormat="1">
      <c r="T1736" s="41"/>
    </row>
    <row r="1737" spans="20:20" s="566" customFormat="1">
      <c r="T1737" s="41"/>
    </row>
    <row r="1738" spans="20:20" s="566" customFormat="1">
      <c r="T1738" s="41"/>
    </row>
    <row r="1739" spans="20:20" s="566" customFormat="1">
      <c r="T1739" s="41"/>
    </row>
    <row r="1740" spans="20:20" s="566" customFormat="1">
      <c r="T1740" s="41"/>
    </row>
    <row r="1741" spans="20:20" s="566" customFormat="1">
      <c r="T1741" s="41"/>
    </row>
    <row r="1742" spans="20:20" s="566" customFormat="1">
      <c r="T1742" s="41"/>
    </row>
    <row r="1743" spans="20:20" s="566" customFormat="1">
      <c r="T1743" s="41"/>
    </row>
    <row r="1744" spans="20:20" s="566" customFormat="1">
      <c r="T1744" s="41"/>
    </row>
    <row r="1745" spans="20:20" s="566" customFormat="1">
      <c r="T1745" s="41"/>
    </row>
    <row r="1746" spans="20:20" s="566" customFormat="1">
      <c r="T1746" s="41"/>
    </row>
    <row r="1747" spans="20:20" s="566" customFormat="1">
      <c r="T1747" s="41"/>
    </row>
    <row r="1748" spans="20:20" s="566" customFormat="1">
      <c r="T1748" s="41"/>
    </row>
    <row r="1749" spans="20:20" s="566" customFormat="1">
      <c r="T1749" s="41"/>
    </row>
    <row r="1750" spans="20:20" s="566" customFormat="1">
      <c r="T1750" s="41"/>
    </row>
    <row r="1751" spans="20:20" s="566" customFormat="1">
      <c r="T1751" s="41"/>
    </row>
    <row r="1752" spans="20:20" s="566" customFormat="1">
      <c r="T1752" s="41"/>
    </row>
    <row r="1753" spans="20:20" s="566" customFormat="1">
      <c r="T1753" s="41"/>
    </row>
    <row r="1754" spans="20:20" s="566" customFormat="1">
      <c r="T1754" s="41"/>
    </row>
    <row r="1755" spans="20:20" s="566" customFormat="1">
      <c r="T1755" s="41"/>
    </row>
    <row r="1756" spans="20:20" s="566" customFormat="1">
      <c r="T1756" s="41"/>
    </row>
    <row r="1757" spans="20:20" s="566" customFormat="1">
      <c r="T1757" s="41"/>
    </row>
    <row r="1758" spans="20:20" s="566" customFormat="1">
      <c r="T1758" s="41"/>
    </row>
    <row r="1759" spans="20:20" s="566" customFormat="1">
      <c r="T1759" s="41"/>
    </row>
    <row r="1760" spans="20:20" s="566" customFormat="1">
      <c r="T1760" s="41"/>
    </row>
    <row r="1761" spans="20:20" s="566" customFormat="1">
      <c r="T1761" s="41"/>
    </row>
    <row r="1762" spans="20:20" s="566" customFormat="1">
      <c r="T1762" s="41"/>
    </row>
    <row r="1763" spans="20:20" s="566" customFormat="1">
      <c r="T1763" s="41"/>
    </row>
    <row r="1764" spans="20:20" s="566" customFormat="1">
      <c r="T1764" s="41"/>
    </row>
    <row r="1765" spans="20:20" s="566" customFormat="1">
      <c r="T1765" s="41"/>
    </row>
    <row r="1766" spans="20:20" s="566" customFormat="1">
      <c r="T1766" s="41"/>
    </row>
    <row r="1767" spans="20:20" s="566" customFormat="1">
      <c r="T1767" s="41"/>
    </row>
    <row r="1768" spans="20:20" s="566" customFormat="1">
      <c r="T1768" s="41"/>
    </row>
    <row r="1769" spans="20:20" s="566" customFormat="1">
      <c r="T1769" s="41"/>
    </row>
    <row r="1770" spans="20:20" s="566" customFormat="1">
      <c r="T1770" s="41"/>
    </row>
    <row r="1771" spans="20:20" s="566" customFormat="1">
      <c r="T1771" s="41"/>
    </row>
    <row r="1772" spans="20:20" s="566" customFormat="1">
      <c r="T1772" s="41"/>
    </row>
    <row r="1773" spans="20:20" s="566" customFormat="1">
      <c r="T1773" s="41"/>
    </row>
    <row r="1774" spans="20:20" s="566" customFormat="1">
      <c r="T1774" s="41"/>
    </row>
    <row r="1775" spans="20:20" s="566" customFormat="1">
      <c r="T1775" s="41"/>
    </row>
    <row r="1776" spans="20:20" s="566" customFormat="1">
      <c r="T1776" s="41"/>
    </row>
    <row r="1777" spans="20:20" s="566" customFormat="1">
      <c r="T1777" s="41"/>
    </row>
    <row r="1778" spans="20:20" s="566" customFormat="1">
      <c r="T1778" s="41"/>
    </row>
    <row r="1779" spans="20:20" s="566" customFormat="1">
      <c r="T1779" s="41"/>
    </row>
    <row r="1780" spans="20:20" s="566" customFormat="1">
      <c r="T1780" s="41"/>
    </row>
    <row r="1781" spans="20:20" s="566" customFormat="1">
      <c r="T1781" s="41"/>
    </row>
    <row r="1782" spans="20:20" s="566" customFormat="1">
      <c r="T1782" s="41"/>
    </row>
    <row r="1783" spans="20:20" s="566" customFormat="1">
      <c r="T1783" s="41"/>
    </row>
    <row r="1784" spans="20:20" s="566" customFormat="1">
      <c r="T1784" s="41"/>
    </row>
    <row r="1785" spans="20:20" s="566" customFormat="1">
      <c r="T1785" s="41"/>
    </row>
    <row r="1786" spans="20:20" s="566" customFormat="1">
      <c r="T1786" s="41"/>
    </row>
    <row r="1787" spans="20:20" s="566" customFormat="1">
      <c r="T1787" s="41"/>
    </row>
    <row r="1788" spans="20:20" s="566" customFormat="1">
      <c r="T1788" s="41"/>
    </row>
    <row r="1789" spans="20:20" s="566" customFormat="1">
      <c r="T1789" s="41"/>
    </row>
    <row r="1790" spans="20:20" s="566" customFormat="1">
      <c r="T1790" s="41"/>
    </row>
    <row r="1791" spans="20:20" s="566" customFormat="1">
      <c r="T1791" s="41"/>
    </row>
    <row r="1792" spans="20:20" s="566" customFormat="1">
      <c r="T1792" s="41"/>
    </row>
    <row r="1793" spans="20:20" s="566" customFormat="1">
      <c r="T1793" s="41"/>
    </row>
    <row r="1794" spans="20:20" s="566" customFormat="1">
      <c r="T1794" s="41"/>
    </row>
    <row r="1795" spans="20:20" s="566" customFormat="1">
      <c r="T1795" s="41"/>
    </row>
    <row r="1796" spans="20:20" s="566" customFormat="1">
      <c r="T1796" s="41"/>
    </row>
    <row r="1797" spans="20:20" s="566" customFormat="1">
      <c r="T1797" s="41"/>
    </row>
    <row r="1798" spans="20:20" s="566" customFormat="1">
      <c r="T1798" s="41"/>
    </row>
    <row r="1799" spans="20:20" s="566" customFormat="1">
      <c r="T1799" s="41"/>
    </row>
    <row r="1800" spans="20:20" s="566" customFormat="1">
      <c r="T1800" s="41"/>
    </row>
    <row r="1801" spans="20:20" s="566" customFormat="1">
      <c r="T1801" s="41"/>
    </row>
    <row r="1802" spans="20:20" s="566" customFormat="1">
      <c r="T1802" s="41"/>
    </row>
    <row r="1803" spans="20:20" s="566" customFormat="1">
      <c r="T1803" s="41"/>
    </row>
    <row r="1804" spans="20:20" s="566" customFormat="1">
      <c r="T1804" s="41"/>
    </row>
    <row r="1805" spans="20:20" s="566" customFormat="1">
      <c r="T1805" s="41"/>
    </row>
    <row r="1806" spans="20:20" s="566" customFormat="1">
      <c r="T1806" s="41"/>
    </row>
    <row r="1807" spans="20:20" s="566" customFormat="1">
      <c r="T1807" s="41"/>
    </row>
    <row r="1808" spans="20:20" s="566" customFormat="1">
      <c r="T1808" s="41"/>
    </row>
    <row r="1809" spans="20:20" s="566" customFormat="1">
      <c r="T1809" s="41"/>
    </row>
    <row r="1810" spans="20:20" s="566" customFormat="1">
      <c r="T1810" s="41"/>
    </row>
    <row r="1811" spans="20:20" s="566" customFormat="1">
      <c r="T1811" s="41"/>
    </row>
    <row r="1812" spans="20:20" s="566" customFormat="1">
      <c r="T1812" s="41"/>
    </row>
    <row r="1813" spans="20:20" s="566" customFormat="1">
      <c r="T1813" s="41"/>
    </row>
    <row r="1814" spans="20:20" s="566" customFormat="1">
      <c r="T1814" s="41"/>
    </row>
    <row r="1815" spans="20:20" s="566" customFormat="1">
      <c r="T1815" s="41"/>
    </row>
    <row r="1816" spans="20:20" s="566" customFormat="1">
      <c r="T1816" s="41"/>
    </row>
    <row r="1817" spans="20:20" s="566" customFormat="1">
      <c r="T1817" s="41"/>
    </row>
    <row r="1818" spans="20:20" s="566" customFormat="1">
      <c r="T1818" s="41"/>
    </row>
    <row r="1819" spans="20:20" s="566" customFormat="1">
      <c r="T1819" s="41"/>
    </row>
    <row r="1820" spans="20:20" s="566" customFormat="1">
      <c r="T1820" s="41"/>
    </row>
    <row r="1821" spans="20:20" s="566" customFormat="1">
      <c r="T1821" s="41"/>
    </row>
    <row r="1822" spans="20:20" s="566" customFormat="1">
      <c r="T1822" s="41"/>
    </row>
    <row r="1823" spans="20:20" s="566" customFormat="1">
      <c r="T1823" s="41"/>
    </row>
    <row r="1824" spans="20:20" s="566" customFormat="1">
      <c r="T1824" s="41"/>
    </row>
    <row r="1825" spans="20:20" s="566" customFormat="1">
      <c r="T1825" s="41"/>
    </row>
    <row r="1826" spans="20:20" s="566" customFormat="1">
      <c r="T1826" s="41"/>
    </row>
    <row r="1827" spans="20:20" s="566" customFormat="1">
      <c r="T1827" s="41"/>
    </row>
    <row r="1828" spans="20:20" s="566" customFormat="1">
      <c r="T1828" s="41"/>
    </row>
    <row r="1829" spans="20:20" s="566" customFormat="1">
      <c r="T1829" s="41"/>
    </row>
    <row r="1830" spans="20:20" s="566" customFormat="1">
      <c r="T1830" s="41"/>
    </row>
    <row r="1831" spans="20:20" s="566" customFormat="1">
      <c r="T1831" s="41"/>
    </row>
    <row r="1832" spans="20:20" s="566" customFormat="1">
      <c r="T1832" s="41"/>
    </row>
    <row r="1833" spans="20:20" s="566" customFormat="1">
      <c r="T1833" s="41"/>
    </row>
    <row r="1834" spans="20:20" s="566" customFormat="1">
      <c r="T1834" s="41"/>
    </row>
    <row r="1835" spans="20:20" s="566" customFormat="1">
      <c r="T1835" s="41"/>
    </row>
    <row r="1836" spans="20:20" s="566" customFormat="1">
      <c r="T1836" s="41"/>
    </row>
    <row r="1837" spans="20:20" s="566" customFormat="1">
      <c r="T1837" s="41"/>
    </row>
    <row r="1838" spans="20:20" s="566" customFormat="1">
      <c r="T1838" s="41"/>
    </row>
    <row r="1839" spans="20:20" s="566" customFormat="1">
      <c r="T1839" s="41"/>
    </row>
    <row r="1840" spans="20:20" s="566" customFormat="1">
      <c r="T1840" s="41"/>
    </row>
    <row r="1841" spans="20:20" s="566" customFormat="1">
      <c r="T1841" s="41"/>
    </row>
    <row r="1842" spans="20:20" s="566" customFormat="1">
      <c r="T1842" s="41"/>
    </row>
    <row r="1843" spans="20:20" s="566" customFormat="1">
      <c r="T1843" s="41"/>
    </row>
    <row r="1844" spans="20:20" s="566" customFormat="1">
      <c r="T1844" s="41"/>
    </row>
    <row r="1845" spans="20:20" s="566" customFormat="1">
      <c r="T1845" s="41"/>
    </row>
    <row r="1846" spans="20:20" s="566" customFormat="1">
      <c r="T1846" s="41"/>
    </row>
    <row r="1847" spans="20:20" s="566" customFormat="1">
      <c r="T1847" s="41"/>
    </row>
    <row r="1848" spans="20:20" s="566" customFormat="1">
      <c r="T1848" s="41"/>
    </row>
    <row r="1849" spans="20:20" s="566" customFormat="1">
      <c r="T1849" s="41"/>
    </row>
    <row r="1850" spans="20:20" s="566" customFormat="1">
      <c r="T1850" s="41"/>
    </row>
    <row r="1851" spans="20:20" s="566" customFormat="1">
      <c r="T1851" s="41"/>
    </row>
    <row r="1852" spans="20:20" s="566" customFormat="1">
      <c r="T1852" s="41"/>
    </row>
    <row r="1853" spans="20:20" s="566" customFormat="1">
      <c r="T1853" s="41"/>
    </row>
    <row r="1854" spans="20:20" s="566" customFormat="1">
      <c r="T1854" s="41"/>
    </row>
    <row r="1855" spans="20:20" s="566" customFormat="1">
      <c r="T1855" s="41"/>
    </row>
    <row r="1856" spans="20:20" s="566" customFormat="1">
      <c r="T1856" s="41"/>
    </row>
    <row r="1857" spans="20:20" s="566" customFormat="1">
      <c r="T1857" s="41"/>
    </row>
    <row r="1858" spans="20:20" s="566" customFormat="1">
      <c r="T1858" s="41"/>
    </row>
    <row r="1859" spans="20:20" s="566" customFormat="1">
      <c r="T1859" s="41"/>
    </row>
    <row r="1860" spans="20:20" s="566" customFormat="1">
      <c r="T1860" s="41"/>
    </row>
    <row r="1861" spans="20:20" s="566" customFormat="1">
      <c r="T1861" s="41"/>
    </row>
    <row r="1862" spans="20:20" s="566" customFormat="1">
      <c r="T1862" s="41"/>
    </row>
    <row r="1863" spans="20:20" s="566" customFormat="1">
      <c r="T1863" s="41"/>
    </row>
    <row r="1864" spans="20:20" s="566" customFormat="1">
      <c r="T1864" s="41"/>
    </row>
    <row r="1865" spans="20:20" s="566" customFormat="1">
      <c r="T1865" s="41"/>
    </row>
    <row r="1866" spans="20:20" s="566" customFormat="1">
      <c r="T1866" s="41"/>
    </row>
    <row r="1867" spans="20:20" s="566" customFormat="1">
      <c r="T1867" s="41"/>
    </row>
    <row r="1868" spans="20:20" s="566" customFormat="1">
      <c r="T1868" s="41"/>
    </row>
    <row r="1869" spans="20:20" s="566" customFormat="1">
      <c r="T1869" s="41"/>
    </row>
    <row r="1870" spans="20:20" s="566" customFormat="1">
      <c r="T1870" s="41"/>
    </row>
    <row r="1871" spans="20:20" s="566" customFormat="1">
      <c r="T1871" s="41"/>
    </row>
    <row r="1872" spans="20:20" s="566" customFormat="1">
      <c r="T1872" s="41"/>
    </row>
    <row r="1873" spans="20:20" s="566" customFormat="1">
      <c r="T1873" s="41"/>
    </row>
    <row r="1874" spans="20:20" s="566" customFormat="1">
      <c r="T1874" s="41"/>
    </row>
    <row r="1875" spans="20:20" s="566" customFormat="1">
      <c r="T1875" s="41"/>
    </row>
    <row r="1876" spans="20:20" s="566" customFormat="1">
      <c r="T1876" s="41"/>
    </row>
    <row r="1877" spans="20:20" s="566" customFormat="1">
      <c r="T1877" s="41"/>
    </row>
    <row r="1878" spans="20:20" s="566" customFormat="1">
      <c r="T1878" s="41"/>
    </row>
    <row r="1879" spans="20:20" s="566" customFormat="1">
      <c r="T1879" s="41"/>
    </row>
    <row r="1880" spans="20:20" s="566" customFormat="1">
      <c r="T1880" s="41"/>
    </row>
    <row r="1881" spans="20:20" s="566" customFormat="1">
      <c r="T1881" s="41"/>
    </row>
    <row r="1882" spans="20:20" s="566" customFormat="1">
      <c r="T1882" s="41"/>
    </row>
    <row r="1883" spans="20:20" s="566" customFormat="1">
      <c r="T1883" s="41"/>
    </row>
    <row r="1884" spans="20:20" s="566" customFormat="1">
      <c r="T1884" s="41"/>
    </row>
    <row r="1885" spans="20:20" s="566" customFormat="1">
      <c r="T1885" s="41"/>
    </row>
    <row r="1886" spans="20:20" s="566" customFormat="1">
      <c r="T1886" s="41"/>
    </row>
    <row r="1887" spans="20:20" s="566" customFormat="1">
      <c r="T1887" s="41"/>
    </row>
    <row r="1888" spans="20:20" s="566" customFormat="1">
      <c r="T1888" s="41"/>
    </row>
    <row r="1889" spans="20:20" s="566" customFormat="1">
      <c r="T1889" s="41"/>
    </row>
    <row r="1890" spans="20:20" s="566" customFormat="1">
      <c r="T1890" s="41"/>
    </row>
    <row r="1891" spans="20:20" s="566" customFormat="1">
      <c r="T1891" s="41"/>
    </row>
    <row r="1892" spans="20:20" s="566" customFormat="1">
      <c r="T1892" s="41"/>
    </row>
    <row r="1893" spans="20:20" s="566" customFormat="1">
      <c r="T1893" s="41"/>
    </row>
    <row r="1894" spans="20:20" s="566" customFormat="1">
      <c r="T1894" s="41"/>
    </row>
    <row r="1895" spans="20:20" s="566" customFormat="1">
      <c r="T1895" s="41"/>
    </row>
    <row r="1896" spans="20:20" s="566" customFormat="1">
      <c r="T1896" s="41"/>
    </row>
    <row r="1897" spans="20:20" s="566" customFormat="1">
      <c r="T1897" s="41"/>
    </row>
    <row r="1898" spans="20:20" s="566" customFormat="1">
      <c r="T1898" s="41"/>
    </row>
    <row r="1899" spans="20:20" s="566" customFormat="1">
      <c r="T1899" s="41"/>
    </row>
    <row r="1900" spans="20:20" s="566" customFormat="1">
      <c r="T1900" s="41"/>
    </row>
    <row r="1901" spans="20:20" s="566" customFormat="1">
      <c r="T1901" s="41"/>
    </row>
    <row r="1902" spans="20:20" s="566" customFormat="1">
      <c r="T1902" s="41"/>
    </row>
    <row r="1903" spans="20:20" s="566" customFormat="1">
      <c r="T1903" s="41"/>
    </row>
    <row r="1904" spans="20:20" s="566" customFormat="1">
      <c r="T1904" s="41"/>
    </row>
    <row r="1905" spans="20:20" s="566" customFormat="1">
      <c r="T1905" s="41"/>
    </row>
    <row r="1906" spans="20:20" s="566" customFormat="1">
      <c r="T1906" s="41"/>
    </row>
    <row r="1907" spans="20:20" s="566" customFormat="1">
      <c r="T1907" s="41"/>
    </row>
    <row r="1908" spans="20:20" s="566" customFormat="1">
      <c r="T1908" s="41"/>
    </row>
    <row r="1909" spans="20:20" s="566" customFormat="1">
      <c r="T1909" s="41"/>
    </row>
    <row r="1910" spans="20:20" s="566" customFormat="1">
      <c r="T1910" s="41"/>
    </row>
    <row r="1911" spans="20:20" s="566" customFormat="1">
      <c r="T1911" s="41"/>
    </row>
    <row r="1912" spans="20:20" s="566" customFormat="1">
      <c r="T1912" s="41"/>
    </row>
    <row r="1913" spans="20:20" s="566" customFormat="1">
      <c r="T1913" s="41"/>
    </row>
    <row r="1914" spans="20:20" s="566" customFormat="1">
      <c r="T1914" s="41"/>
    </row>
    <row r="1915" spans="20:20" s="566" customFormat="1">
      <c r="T1915" s="41"/>
    </row>
    <row r="1916" spans="20:20" s="566" customFormat="1">
      <c r="T1916" s="41"/>
    </row>
    <row r="1917" spans="20:20" s="566" customFormat="1">
      <c r="T1917" s="41"/>
    </row>
    <row r="1918" spans="20:20" s="566" customFormat="1">
      <c r="T1918" s="41"/>
    </row>
    <row r="1919" spans="20:20" s="566" customFormat="1">
      <c r="T1919" s="41"/>
    </row>
    <row r="1920" spans="20:20" s="566" customFormat="1">
      <c r="T1920" s="41"/>
    </row>
    <row r="1921" spans="20:20" s="566" customFormat="1">
      <c r="T1921" s="41"/>
    </row>
    <row r="1922" spans="20:20" s="566" customFormat="1">
      <c r="T1922" s="41"/>
    </row>
    <row r="1923" spans="20:20" s="566" customFormat="1">
      <c r="T1923" s="41"/>
    </row>
    <row r="1924" spans="20:20" s="566" customFormat="1">
      <c r="T1924" s="41"/>
    </row>
    <row r="1925" spans="20:20" s="566" customFormat="1">
      <c r="T1925" s="41"/>
    </row>
    <row r="1926" spans="20:20" s="566" customFormat="1">
      <c r="T1926" s="41"/>
    </row>
    <row r="1927" spans="20:20" s="566" customFormat="1">
      <c r="T1927" s="41"/>
    </row>
    <row r="1928" spans="20:20" s="566" customFormat="1">
      <c r="T1928" s="41"/>
    </row>
    <row r="1929" spans="20:20" s="566" customFormat="1">
      <c r="T1929" s="41"/>
    </row>
    <row r="1930" spans="20:20" s="566" customFormat="1">
      <c r="T1930" s="41"/>
    </row>
    <row r="1931" spans="20:20" s="566" customFormat="1">
      <c r="T1931" s="41"/>
    </row>
    <row r="1932" spans="20:20" s="566" customFormat="1">
      <c r="T1932" s="41"/>
    </row>
    <row r="1933" spans="20:20" s="566" customFormat="1">
      <c r="T1933" s="41"/>
    </row>
    <row r="1934" spans="20:20" s="566" customFormat="1">
      <c r="T1934" s="41"/>
    </row>
    <row r="1935" spans="20:20" s="566" customFormat="1">
      <c r="T1935" s="41"/>
    </row>
    <row r="1936" spans="20:20" s="566" customFormat="1">
      <c r="T1936" s="41"/>
    </row>
    <row r="1937" spans="20:20" s="566" customFormat="1">
      <c r="T1937" s="41"/>
    </row>
    <row r="1938" spans="20:20" s="566" customFormat="1">
      <c r="T1938" s="41"/>
    </row>
    <row r="1939" spans="20:20" s="566" customFormat="1">
      <c r="T1939" s="41"/>
    </row>
    <row r="1940" spans="20:20" s="566" customFormat="1">
      <c r="T1940" s="41"/>
    </row>
    <row r="1941" spans="20:20" s="566" customFormat="1">
      <c r="T1941" s="41"/>
    </row>
    <row r="1942" spans="20:20" s="566" customFormat="1">
      <c r="T1942" s="41"/>
    </row>
    <row r="1943" spans="20:20" s="566" customFormat="1">
      <c r="T1943" s="41"/>
    </row>
    <row r="1944" spans="20:20" s="566" customFormat="1">
      <c r="T1944" s="41"/>
    </row>
    <row r="1945" spans="20:20" s="566" customFormat="1">
      <c r="T1945" s="41"/>
    </row>
    <row r="1946" spans="20:20" s="566" customFormat="1">
      <c r="T1946" s="41"/>
    </row>
    <row r="1947" spans="20:20" s="566" customFormat="1">
      <c r="T1947" s="41"/>
    </row>
    <row r="1948" spans="20:20" s="566" customFormat="1">
      <c r="T1948" s="41"/>
    </row>
    <row r="1949" spans="20:20" s="566" customFormat="1">
      <c r="T1949" s="41"/>
    </row>
    <row r="1950" spans="20:20" s="566" customFormat="1">
      <c r="T1950" s="41"/>
    </row>
    <row r="1951" spans="20:20" s="566" customFormat="1">
      <c r="T1951" s="41"/>
    </row>
    <row r="1952" spans="20:20" s="566" customFormat="1">
      <c r="T1952" s="41"/>
    </row>
    <row r="1953" spans="20:20" s="566" customFormat="1">
      <c r="T1953" s="41"/>
    </row>
    <row r="1954" spans="20:20" s="566" customFormat="1">
      <c r="T1954" s="41"/>
    </row>
    <row r="1955" spans="20:20" s="566" customFormat="1">
      <c r="T1955" s="41"/>
    </row>
    <row r="1956" spans="20:20" s="566" customFormat="1">
      <c r="T1956" s="41"/>
    </row>
    <row r="1957" spans="20:20" s="566" customFormat="1">
      <c r="T1957" s="41"/>
    </row>
    <row r="1958" spans="20:20" s="566" customFormat="1">
      <c r="T1958" s="41"/>
    </row>
    <row r="1959" spans="20:20" s="566" customFormat="1">
      <c r="T1959" s="41"/>
    </row>
    <row r="1960" spans="20:20" s="566" customFormat="1">
      <c r="T1960" s="41"/>
    </row>
    <row r="1961" spans="20:20" s="566" customFormat="1">
      <c r="T1961" s="41"/>
    </row>
    <row r="1962" spans="20:20" s="566" customFormat="1">
      <c r="T1962" s="41"/>
    </row>
    <row r="1963" spans="20:20" s="566" customFormat="1">
      <c r="T1963" s="41"/>
    </row>
    <row r="1964" spans="20:20" s="566" customFormat="1">
      <c r="T1964" s="41"/>
    </row>
    <row r="1965" spans="20:20" s="566" customFormat="1">
      <c r="T1965" s="41"/>
    </row>
    <row r="1966" spans="20:20" s="566" customFormat="1">
      <c r="T1966" s="41"/>
    </row>
    <row r="1967" spans="20:20" s="566" customFormat="1">
      <c r="T1967" s="41"/>
    </row>
    <row r="1968" spans="20:20" s="566" customFormat="1">
      <c r="T1968" s="41"/>
    </row>
    <row r="1969" spans="20:20" s="566" customFormat="1">
      <c r="T1969" s="41"/>
    </row>
    <row r="1970" spans="20:20" s="566" customFormat="1">
      <c r="T1970" s="41"/>
    </row>
    <row r="1971" spans="20:20" s="566" customFormat="1">
      <c r="T1971" s="41"/>
    </row>
    <row r="1972" spans="20:20" s="566" customFormat="1">
      <c r="T1972" s="41"/>
    </row>
    <row r="1973" spans="20:20" s="566" customFormat="1">
      <c r="T1973" s="41"/>
    </row>
    <row r="1974" spans="20:20" s="566" customFormat="1">
      <c r="T1974" s="41"/>
    </row>
    <row r="1975" spans="20:20" s="566" customFormat="1">
      <c r="T1975" s="41"/>
    </row>
    <row r="1976" spans="20:20" s="566" customFormat="1">
      <c r="T1976" s="41"/>
    </row>
    <row r="1977" spans="20:20" s="566" customFormat="1">
      <c r="T1977" s="41"/>
    </row>
    <row r="1978" spans="20:20" s="566" customFormat="1">
      <c r="T1978" s="41"/>
    </row>
    <row r="1979" spans="20:20" s="566" customFormat="1">
      <c r="T1979" s="41"/>
    </row>
    <row r="1980" spans="20:20" s="566" customFormat="1">
      <c r="T1980" s="41"/>
    </row>
    <row r="1981" spans="20:20" s="566" customFormat="1">
      <c r="T1981" s="41"/>
    </row>
    <row r="1982" spans="20:20" s="566" customFormat="1">
      <c r="T1982" s="41"/>
    </row>
    <row r="1983" spans="20:20" s="566" customFormat="1">
      <c r="T1983" s="41"/>
    </row>
    <row r="1984" spans="20:20" s="566" customFormat="1">
      <c r="T1984" s="41"/>
    </row>
    <row r="1985" spans="20:20" s="566" customFormat="1">
      <c r="T1985" s="41"/>
    </row>
    <row r="1986" spans="20:20" s="566" customFormat="1">
      <c r="T1986" s="41"/>
    </row>
    <row r="1987" spans="20:20" s="566" customFormat="1">
      <c r="T1987" s="41"/>
    </row>
    <row r="1988" spans="20:20" s="566" customFormat="1">
      <c r="T1988" s="41"/>
    </row>
    <row r="1989" spans="20:20" s="566" customFormat="1">
      <c r="T1989" s="41"/>
    </row>
    <row r="1990" spans="20:20" s="566" customFormat="1">
      <c r="T1990" s="41"/>
    </row>
    <row r="1991" spans="20:20" s="566" customFormat="1">
      <c r="T1991" s="41"/>
    </row>
    <row r="1992" spans="20:20" s="566" customFormat="1">
      <c r="T1992" s="41"/>
    </row>
    <row r="1993" spans="20:20" s="566" customFormat="1">
      <c r="T1993" s="41"/>
    </row>
    <row r="1994" spans="20:20" s="566" customFormat="1">
      <c r="T1994" s="41"/>
    </row>
    <row r="1995" spans="20:20" s="566" customFormat="1">
      <c r="T1995" s="41"/>
    </row>
    <row r="1996" spans="20:20" s="566" customFormat="1">
      <c r="T1996" s="41"/>
    </row>
    <row r="1997" spans="20:20" s="566" customFormat="1">
      <c r="T1997" s="41"/>
    </row>
    <row r="1998" spans="20:20" s="566" customFormat="1">
      <c r="T1998" s="41"/>
    </row>
    <row r="1999" spans="20:20" s="566" customFormat="1">
      <c r="T1999" s="41"/>
    </row>
    <row r="2000" spans="20:20" s="566" customFormat="1">
      <c r="T2000" s="41"/>
    </row>
    <row r="2001" spans="20:20" s="566" customFormat="1">
      <c r="T2001" s="41"/>
    </row>
    <row r="2002" spans="20:20" s="566" customFormat="1">
      <c r="T2002" s="41"/>
    </row>
    <row r="2003" spans="20:20" s="566" customFormat="1">
      <c r="T2003" s="41"/>
    </row>
    <row r="2004" spans="20:20" s="566" customFormat="1">
      <c r="T2004" s="41"/>
    </row>
    <row r="2005" spans="20:20" s="566" customFormat="1">
      <c r="T2005" s="41"/>
    </row>
    <row r="2006" spans="20:20" s="566" customFormat="1">
      <c r="T2006" s="41"/>
    </row>
    <row r="2007" spans="20:20" s="566" customFormat="1">
      <c r="T2007" s="41"/>
    </row>
    <row r="2008" spans="20:20" s="566" customFormat="1">
      <c r="T2008" s="41"/>
    </row>
    <row r="2009" spans="20:20" s="566" customFormat="1">
      <c r="T2009" s="41"/>
    </row>
    <row r="2010" spans="20:20" s="566" customFormat="1">
      <c r="T2010" s="41"/>
    </row>
    <row r="2011" spans="20:20" s="566" customFormat="1">
      <c r="T2011" s="41"/>
    </row>
    <row r="2012" spans="20:20" s="566" customFormat="1">
      <c r="T2012" s="41"/>
    </row>
    <row r="2013" spans="20:20" s="566" customFormat="1">
      <c r="T2013" s="41"/>
    </row>
    <row r="2014" spans="20:20" s="566" customFormat="1">
      <c r="T2014" s="41"/>
    </row>
    <row r="2015" spans="20:20" s="566" customFormat="1">
      <c r="T2015" s="41"/>
    </row>
    <row r="2016" spans="20:20" s="566" customFormat="1">
      <c r="T2016" s="41"/>
    </row>
    <row r="2017" spans="20:20" s="566" customFormat="1">
      <c r="T2017" s="41"/>
    </row>
    <row r="2018" spans="20:20" s="566" customFormat="1">
      <c r="T2018" s="41"/>
    </row>
    <row r="2019" spans="20:20" s="566" customFormat="1">
      <c r="T2019" s="41"/>
    </row>
    <row r="2020" spans="20:20" s="566" customFormat="1">
      <c r="T2020" s="41"/>
    </row>
    <row r="2021" spans="20:20" s="566" customFormat="1">
      <c r="T2021" s="41"/>
    </row>
    <row r="2022" spans="20:20" s="566" customFormat="1">
      <c r="T2022" s="41"/>
    </row>
    <row r="2023" spans="20:20" s="566" customFormat="1">
      <c r="T2023" s="41"/>
    </row>
    <row r="2024" spans="20:20" s="566" customFormat="1">
      <c r="T2024" s="41"/>
    </row>
    <row r="2025" spans="20:20" s="566" customFormat="1">
      <c r="T2025" s="41"/>
    </row>
    <row r="2026" spans="20:20" s="566" customFormat="1">
      <c r="T2026" s="41"/>
    </row>
    <row r="2027" spans="20:20" s="566" customFormat="1">
      <c r="T2027" s="41"/>
    </row>
    <row r="2028" spans="20:20" s="566" customFormat="1">
      <c r="T2028" s="41"/>
    </row>
    <row r="2029" spans="20:20" s="566" customFormat="1">
      <c r="T2029" s="41"/>
    </row>
    <row r="2030" spans="20:20" s="566" customFormat="1">
      <c r="T2030" s="41"/>
    </row>
    <row r="2031" spans="20:20" s="566" customFormat="1">
      <c r="T2031" s="41"/>
    </row>
    <row r="2032" spans="20:20" s="566" customFormat="1">
      <c r="T2032" s="41"/>
    </row>
    <row r="2033" spans="20:20" s="566" customFormat="1">
      <c r="T2033" s="41"/>
    </row>
    <row r="2034" spans="20:20" s="566" customFormat="1">
      <c r="T2034" s="41"/>
    </row>
    <row r="2035" spans="20:20" s="566" customFormat="1">
      <c r="T2035" s="41"/>
    </row>
    <row r="2036" spans="20:20" s="566" customFormat="1">
      <c r="T2036" s="41"/>
    </row>
    <row r="2037" spans="20:20" s="566" customFormat="1">
      <c r="T2037" s="41"/>
    </row>
    <row r="2038" spans="20:20" s="566" customFormat="1">
      <c r="T2038" s="41"/>
    </row>
    <row r="2039" spans="20:20" s="566" customFormat="1">
      <c r="T2039" s="41"/>
    </row>
    <row r="2040" spans="20:20" s="566" customFormat="1">
      <c r="T2040" s="41"/>
    </row>
    <row r="2041" spans="20:20" s="566" customFormat="1">
      <c r="T2041" s="41"/>
    </row>
    <row r="2042" spans="20:20" s="566" customFormat="1">
      <c r="T2042" s="41"/>
    </row>
    <row r="2043" spans="20:20" s="566" customFormat="1">
      <c r="T2043" s="41"/>
    </row>
    <row r="2044" spans="20:20" s="566" customFormat="1">
      <c r="T2044" s="41"/>
    </row>
    <row r="2045" spans="20:20" s="566" customFormat="1">
      <c r="T2045" s="41"/>
    </row>
    <row r="2046" spans="20:20" s="566" customFormat="1">
      <c r="T2046" s="41"/>
    </row>
    <row r="2047" spans="20:20" s="566" customFormat="1">
      <c r="T2047" s="41"/>
    </row>
    <row r="2048" spans="20:20" s="566" customFormat="1">
      <c r="T2048" s="41"/>
    </row>
    <row r="2049" spans="20:20" s="566" customFormat="1">
      <c r="T2049" s="41"/>
    </row>
    <row r="2050" spans="20:20" s="566" customFormat="1">
      <c r="T2050" s="41"/>
    </row>
    <row r="2051" spans="20:20" s="566" customFormat="1">
      <c r="T2051" s="41"/>
    </row>
    <row r="2052" spans="20:20" s="566" customFormat="1">
      <c r="T2052" s="41"/>
    </row>
    <row r="2053" spans="20:20" s="566" customFormat="1">
      <c r="T2053" s="41"/>
    </row>
    <row r="2054" spans="20:20" s="566" customFormat="1">
      <c r="T2054" s="41"/>
    </row>
    <row r="2055" spans="20:20" s="566" customFormat="1">
      <c r="T2055" s="41"/>
    </row>
    <row r="2056" spans="20:20" s="566" customFormat="1">
      <c r="T2056" s="41"/>
    </row>
    <row r="2057" spans="20:20" s="566" customFormat="1">
      <c r="T2057" s="41"/>
    </row>
    <row r="2058" spans="20:20" s="566" customFormat="1">
      <c r="T2058" s="41"/>
    </row>
    <row r="2059" spans="20:20" s="566" customFormat="1">
      <c r="T2059" s="41"/>
    </row>
    <row r="2060" spans="20:20" s="566" customFormat="1">
      <c r="T2060" s="41"/>
    </row>
    <row r="2061" spans="20:20" s="566" customFormat="1">
      <c r="T2061" s="41"/>
    </row>
    <row r="2062" spans="20:20" s="566" customFormat="1">
      <c r="T2062" s="41"/>
    </row>
    <row r="2063" spans="20:20" s="566" customFormat="1">
      <c r="T2063" s="41"/>
    </row>
    <row r="2064" spans="20:20" s="566" customFormat="1">
      <c r="T2064" s="41"/>
    </row>
    <row r="2065" spans="20:20" s="566" customFormat="1">
      <c r="T2065" s="41"/>
    </row>
    <row r="2066" spans="20:20" s="566" customFormat="1">
      <c r="T2066" s="41"/>
    </row>
    <row r="2067" spans="20:20" s="566" customFormat="1">
      <c r="T2067" s="41"/>
    </row>
    <row r="2068" spans="20:20" s="566" customFormat="1">
      <c r="T2068" s="41"/>
    </row>
    <row r="2069" spans="20:20" s="566" customFormat="1">
      <c r="T2069" s="41"/>
    </row>
    <row r="2070" spans="20:20" s="566" customFormat="1">
      <c r="T2070" s="41"/>
    </row>
    <row r="2071" spans="20:20" s="566" customFormat="1">
      <c r="T2071" s="41"/>
    </row>
    <row r="2072" spans="20:20" s="566" customFormat="1">
      <c r="T2072" s="41"/>
    </row>
    <row r="2073" spans="20:20" s="566" customFormat="1">
      <c r="T2073" s="41"/>
    </row>
    <row r="2074" spans="20:20" s="566" customFormat="1">
      <c r="T2074" s="41"/>
    </row>
    <row r="2075" spans="20:20" s="566" customFormat="1">
      <c r="T2075" s="41"/>
    </row>
    <row r="2076" spans="20:20" s="566" customFormat="1">
      <c r="T2076" s="41"/>
    </row>
    <row r="2077" spans="20:20" s="566" customFormat="1">
      <c r="T2077" s="41"/>
    </row>
    <row r="2078" spans="20:20" s="566" customFormat="1">
      <c r="T2078" s="41"/>
    </row>
    <row r="2079" spans="20:20" s="566" customFormat="1">
      <c r="T2079" s="41"/>
    </row>
    <row r="2080" spans="20:20" s="566" customFormat="1">
      <c r="T2080" s="41"/>
    </row>
    <row r="2081" spans="20:20" s="566" customFormat="1">
      <c r="T2081" s="41"/>
    </row>
    <row r="2082" spans="20:20" s="566" customFormat="1">
      <c r="T2082" s="41"/>
    </row>
    <row r="2083" spans="20:20" s="566" customFormat="1">
      <c r="T2083" s="41"/>
    </row>
    <row r="2084" spans="20:20" s="566" customFormat="1">
      <c r="T2084" s="41"/>
    </row>
    <row r="2085" spans="20:20" s="566" customFormat="1">
      <c r="T2085" s="41"/>
    </row>
    <row r="2086" spans="20:20" s="566" customFormat="1">
      <c r="T2086" s="41"/>
    </row>
    <row r="2087" spans="20:20" s="566" customFormat="1">
      <c r="T2087" s="41"/>
    </row>
    <row r="2088" spans="20:20" s="566" customFormat="1">
      <c r="T2088" s="41"/>
    </row>
    <row r="2089" spans="20:20" s="566" customFormat="1">
      <c r="T2089" s="41"/>
    </row>
    <row r="2090" spans="20:20" s="566" customFormat="1">
      <c r="T2090" s="41"/>
    </row>
    <row r="2091" spans="20:20" s="566" customFormat="1">
      <c r="T2091" s="41"/>
    </row>
    <row r="2092" spans="20:20" s="566" customFormat="1">
      <c r="T2092" s="41"/>
    </row>
    <row r="2093" spans="20:20" s="566" customFormat="1">
      <c r="T2093" s="41"/>
    </row>
    <row r="2094" spans="20:20" s="566" customFormat="1">
      <c r="T2094" s="41"/>
    </row>
    <row r="2095" spans="20:20" s="566" customFormat="1">
      <c r="T2095" s="41"/>
    </row>
    <row r="2096" spans="20:20" s="566" customFormat="1">
      <c r="T2096" s="41"/>
    </row>
    <row r="2097" spans="20:20" s="566" customFormat="1">
      <c r="T2097" s="41"/>
    </row>
    <row r="2098" spans="20:20" s="566" customFormat="1">
      <c r="T2098" s="41"/>
    </row>
    <row r="2099" spans="20:20" s="566" customFormat="1">
      <c r="T2099" s="41"/>
    </row>
    <row r="2100" spans="20:20" s="566" customFormat="1">
      <c r="T2100" s="41"/>
    </row>
    <row r="2101" spans="20:20" s="566" customFormat="1">
      <c r="T2101" s="41"/>
    </row>
    <row r="2102" spans="20:20" s="566" customFormat="1">
      <c r="T2102" s="41"/>
    </row>
    <row r="2103" spans="20:20" s="566" customFormat="1">
      <c r="T2103" s="41"/>
    </row>
    <row r="2104" spans="20:20" s="566" customFormat="1">
      <c r="T2104" s="41"/>
    </row>
    <row r="2105" spans="20:20" s="566" customFormat="1">
      <c r="T2105" s="41"/>
    </row>
    <row r="2106" spans="20:20" s="566" customFormat="1">
      <c r="T2106" s="41"/>
    </row>
    <row r="2107" spans="20:20" s="566" customFormat="1">
      <c r="T2107" s="41"/>
    </row>
    <row r="2108" spans="20:20" s="566" customFormat="1">
      <c r="T2108" s="41"/>
    </row>
    <row r="2109" spans="20:20" s="566" customFormat="1">
      <c r="T2109" s="41"/>
    </row>
    <row r="2110" spans="20:20" s="566" customFormat="1">
      <c r="T2110" s="41"/>
    </row>
    <row r="2111" spans="20:20" s="566" customFormat="1">
      <c r="T2111" s="41"/>
    </row>
    <row r="2112" spans="20:20" s="566" customFormat="1">
      <c r="T2112" s="41"/>
    </row>
    <row r="2113" spans="20:20" s="566" customFormat="1">
      <c r="T2113" s="41"/>
    </row>
    <row r="2114" spans="20:20" s="566" customFormat="1">
      <c r="T2114" s="41"/>
    </row>
    <row r="2115" spans="20:20" s="566" customFormat="1">
      <c r="T2115" s="41"/>
    </row>
    <row r="2116" spans="20:20" s="566" customFormat="1">
      <c r="T2116" s="41"/>
    </row>
    <row r="2117" spans="20:20" s="566" customFormat="1">
      <c r="T2117" s="41"/>
    </row>
    <row r="2118" spans="20:20" s="566" customFormat="1">
      <c r="T2118" s="41"/>
    </row>
    <row r="2119" spans="20:20" s="566" customFormat="1">
      <c r="T2119" s="41"/>
    </row>
    <row r="2120" spans="20:20" s="566" customFormat="1">
      <c r="T2120" s="41"/>
    </row>
    <row r="2121" spans="20:20" s="566" customFormat="1">
      <c r="T2121" s="41"/>
    </row>
    <row r="2122" spans="20:20" s="566" customFormat="1">
      <c r="T2122" s="41"/>
    </row>
    <row r="2123" spans="20:20" s="566" customFormat="1">
      <c r="T2123" s="41"/>
    </row>
    <row r="2124" spans="20:20" s="566" customFormat="1">
      <c r="T2124" s="41"/>
    </row>
    <row r="2125" spans="20:20" s="566" customFormat="1">
      <c r="T2125" s="41"/>
    </row>
    <row r="2126" spans="20:20" s="566" customFormat="1">
      <c r="T2126" s="41"/>
    </row>
    <row r="2127" spans="20:20" s="566" customFormat="1">
      <c r="T2127" s="41"/>
    </row>
    <row r="2128" spans="20:20" s="566" customFormat="1">
      <c r="T2128" s="41"/>
    </row>
    <row r="2129" spans="20:20" s="566" customFormat="1">
      <c r="T2129" s="41"/>
    </row>
    <row r="2130" spans="20:20" s="566" customFormat="1">
      <c r="T2130" s="41"/>
    </row>
    <row r="2131" spans="20:20" s="566" customFormat="1">
      <c r="T2131" s="41"/>
    </row>
    <row r="2132" spans="20:20" s="566" customFormat="1">
      <c r="T2132" s="41"/>
    </row>
    <row r="2133" spans="20:20" s="566" customFormat="1">
      <c r="T2133" s="41"/>
    </row>
    <row r="2134" spans="20:20" s="566" customFormat="1">
      <c r="T2134" s="41"/>
    </row>
    <row r="2135" spans="20:20" s="566" customFormat="1">
      <c r="T2135" s="41"/>
    </row>
    <row r="2136" spans="20:20" s="566" customFormat="1">
      <c r="T2136" s="41"/>
    </row>
    <row r="2137" spans="20:20" s="566" customFormat="1">
      <c r="T2137" s="41"/>
    </row>
    <row r="2138" spans="20:20" s="566" customFormat="1">
      <c r="T2138" s="41"/>
    </row>
    <row r="2139" spans="20:20" s="566" customFormat="1">
      <c r="T2139" s="41"/>
    </row>
    <row r="2140" spans="20:20" s="566" customFormat="1">
      <c r="T2140" s="41"/>
    </row>
    <row r="2141" spans="20:20" s="566" customFormat="1">
      <c r="T2141" s="41"/>
    </row>
    <row r="2142" spans="20:20" s="566" customFormat="1">
      <c r="T2142" s="41"/>
    </row>
    <row r="2143" spans="20:20" s="566" customFormat="1">
      <c r="T2143" s="41"/>
    </row>
    <row r="2144" spans="20:20" s="566" customFormat="1">
      <c r="T2144" s="41"/>
    </row>
    <row r="2145" spans="20:20" s="566" customFormat="1">
      <c r="T2145" s="41"/>
    </row>
    <row r="2146" spans="20:20" s="566" customFormat="1">
      <c r="T2146" s="41"/>
    </row>
    <row r="2147" spans="20:20" s="566" customFormat="1">
      <c r="T2147" s="41"/>
    </row>
    <row r="2148" spans="20:20" s="566" customFormat="1">
      <c r="T2148" s="41"/>
    </row>
    <row r="2149" spans="20:20" s="566" customFormat="1">
      <c r="T2149" s="41"/>
    </row>
    <row r="2150" spans="20:20" s="566" customFormat="1">
      <c r="T2150" s="41"/>
    </row>
    <row r="2151" spans="20:20" s="566" customFormat="1">
      <c r="T2151" s="41"/>
    </row>
    <row r="2152" spans="20:20" s="566" customFormat="1">
      <c r="T2152" s="41"/>
    </row>
    <row r="2153" spans="20:20" s="566" customFormat="1">
      <c r="T2153" s="41"/>
    </row>
    <row r="2154" spans="20:20" s="566" customFormat="1">
      <c r="T2154" s="41"/>
    </row>
    <row r="2155" spans="20:20" s="566" customFormat="1">
      <c r="T2155" s="41"/>
    </row>
    <row r="2156" spans="20:20" s="566" customFormat="1">
      <c r="T2156" s="41"/>
    </row>
    <row r="2157" spans="20:20" s="566" customFormat="1">
      <c r="T2157" s="41"/>
    </row>
    <row r="2158" spans="20:20" s="566" customFormat="1">
      <c r="T2158" s="41"/>
    </row>
    <row r="2159" spans="20:20" s="566" customFormat="1">
      <c r="T2159" s="41"/>
    </row>
    <row r="2160" spans="20:20" s="566" customFormat="1">
      <c r="T2160" s="41"/>
    </row>
    <row r="2161" spans="20:20" s="566" customFormat="1">
      <c r="T2161" s="41"/>
    </row>
    <row r="2162" spans="20:20" s="566" customFormat="1">
      <c r="T2162" s="41"/>
    </row>
    <row r="2163" spans="20:20" s="566" customFormat="1">
      <c r="T2163" s="41"/>
    </row>
    <row r="2164" spans="20:20" s="566" customFormat="1">
      <c r="T2164" s="41"/>
    </row>
    <row r="2165" spans="20:20" s="566" customFormat="1">
      <c r="T2165" s="41"/>
    </row>
    <row r="2166" spans="20:20" s="566" customFormat="1">
      <c r="T2166" s="41"/>
    </row>
    <row r="2167" spans="20:20" s="566" customFormat="1">
      <c r="T2167" s="41"/>
    </row>
    <row r="2168" spans="20:20" s="566" customFormat="1">
      <c r="T2168" s="41"/>
    </row>
    <row r="2169" spans="20:20" s="566" customFormat="1">
      <c r="T2169" s="41"/>
    </row>
    <row r="2170" spans="20:20" s="566" customFormat="1">
      <c r="T2170" s="41"/>
    </row>
    <row r="2171" spans="20:20" s="566" customFormat="1">
      <c r="T2171" s="41"/>
    </row>
    <row r="2172" spans="20:20" s="566" customFormat="1">
      <c r="T2172" s="41"/>
    </row>
    <row r="2173" spans="20:20" s="566" customFormat="1">
      <c r="T2173" s="41"/>
    </row>
    <row r="2174" spans="20:20" s="566" customFormat="1">
      <c r="T2174" s="41"/>
    </row>
    <row r="2175" spans="20:20" s="566" customFormat="1">
      <c r="T2175" s="41"/>
    </row>
    <row r="2176" spans="20:20" s="566" customFormat="1">
      <c r="T2176" s="41"/>
    </row>
    <row r="2177" spans="20:20" s="566" customFormat="1">
      <c r="T2177" s="41"/>
    </row>
    <row r="2178" spans="20:20" s="566" customFormat="1">
      <c r="T2178" s="41"/>
    </row>
    <row r="2179" spans="20:20" s="566" customFormat="1">
      <c r="T2179" s="41"/>
    </row>
    <row r="2180" spans="20:20" s="566" customFormat="1">
      <c r="T2180" s="41"/>
    </row>
    <row r="2181" spans="20:20" s="566" customFormat="1">
      <c r="T2181" s="41"/>
    </row>
    <row r="2182" spans="20:20" s="566" customFormat="1">
      <c r="T2182" s="41"/>
    </row>
    <row r="2183" spans="20:20" s="566" customFormat="1">
      <c r="T2183" s="41"/>
    </row>
    <row r="2184" spans="20:20" s="566" customFormat="1">
      <c r="T2184" s="41"/>
    </row>
    <row r="2185" spans="20:20" s="566" customFormat="1">
      <c r="T2185" s="41"/>
    </row>
    <row r="2186" spans="20:20" s="566" customFormat="1">
      <c r="T2186" s="41"/>
    </row>
    <row r="2187" spans="20:20" s="566" customFormat="1">
      <c r="T2187" s="41"/>
    </row>
    <row r="2188" spans="20:20" s="566" customFormat="1">
      <c r="T2188" s="41"/>
    </row>
    <row r="2189" spans="20:20" s="566" customFormat="1">
      <c r="T2189" s="41"/>
    </row>
    <row r="2190" spans="20:20" s="566" customFormat="1">
      <c r="T2190" s="41"/>
    </row>
    <row r="2191" spans="20:20" s="566" customFormat="1">
      <c r="T2191" s="41"/>
    </row>
    <row r="2192" spans="20:20" s="566" customFormat="1">
      <c r="T2192" s="41"/>
    </row>
    <row r="2193" spans="20:20" s="566" customFormat="1">
      <c r="T2193" s="41"/>
    </row>
    <row r="2194" spans="20:20" s="566" customFormat="1">
      <c r="T2194" s="41"/>
    </row>
    <row r="2195" spans="20:20" s="566" customFormat="1">
      <c r="T2195" s="41"/>
    </row>
    <row r="2196" spans="20:20" s="566" customFormat="1">
      <c r="T2196" s="41"/>
    </row>
    <row r="2197" spans="20:20" s="566" customFormat="1">
      <c r="T2197" s="41"/>
    </row>
    <row r="2198" spans="20:20" s="566" customFormat="1">
      <c r="T2198" s="41"/>
    </row>
    <row r="2199" spans="20:20" s="566" customFormat="1">
      <c r="T2199" s="41"/>
    </row>
    <row r="2200" spans="20:20" s="566" customFormat="1">
      <c r="T2200" s="41"/>
    </row>
    <row r="2201" spans="20:20" s="566" customFormat="1">
      <c r="T2201" s="41"/>
    </row>
    <row r="2202" spans="20:20" s="566" customFormat="1">
      <c r="T2202" s="41"/>
    </row>
    <row r="2203" spans="20:20" s="566" customFormat="1">
      <c r="T2203" s="41"/>
    </row>
    <row r="2204" spans="20:20" s="566" customFormat="1">
      <c r="T2204" s="41"/>
    </row>
    <row r="2205" spans="20:20" s="566" customFormat="1">
      <c r="T2205" s="41"/>
    </row>
    <row r="2206" spans="20:20" s="566" customFormat="1">
      <c r="T2206" s="41"/>
    </row>
    <row r="2207" spans="20:20" s="566" customFormat="1">
      <c r="T2207" s="41"/>
    </row>
    <row r="2208" spans="20:20" s="566" customFormat="1">
      <c r="T2208" s="41"/>
    </row>
    <row r="2209" spans="20:20" s="566" customFormat="1">
      <c r="T2209" s="41"/>
    </row>
    <row r="2210" spans="20:20" s="566" customFormat="1">
      <c r="T2210" s="41"/>
    </row>
    <row r="2211" spans="20:20" s="566" customFormat="1">
      <c r="T2211" s="41"/>
    </row>
    <row r="2212" spans="20:20" s="566" customFormat="1">
      <c r="T2212" s="41"/>
    </row>
    <row r="2213" spans="20:20" s="566" customFormat="1">
      <c r="T2213" s="41"/>
    </row>
    <row r="2214" spans="20:20" s="566" customFormat="1">
      <c r="T2214" s="41"/>
    </row>
    <row r="2215" spans="20:20" s="566" customFormat="1">
      <c r="T2215" s="41"/>
    </row>
    <row r="2216" spans="20:20" s="566" customFormat="1">
      <c r="T2216" s="41"/>
    </row>
    <row r="2217" spans="20:20" s="566" customFormat="1">
      <c r="T2217" s="41"/>
    </row>
    <row r="2218" spans="20:20" s="566" customFormat="1">
      <c r="T2218" s="41"/>
    </row>
    <row r="2219" spans="20:20" s="566" customFormat="1">
      <c r="T2219" s="41"/>
    </row>
    <row r="2220" spans="20:20" s="566" customFormat="1">
      <c r="T2220" s="41"/>
    </row>
    <row r="2221" spans="20:20" s="566" customFormat="1">
      <c r="T2221" s="41"/>
    </row>
    <row r="2222" spans="20:20" s="566" customFormat="1">
      <c r="T2222" s="41"/>
    </row>
    <row r="2223" spans="20:20" s="566" customFormat="1">
      <c r="T2223" s="41"/>
    </row>
    <row r="2224" spans="20:20" s="566" customFormat="1">
      <c r="T2224" s="41"/>
    </row>
    <row r="2225" spans="20:20" s="566" customFormat="1">
      <c r="T2225" s="41"/>
    </row>
    <row r="2226" spans="20:20" s="566" customFormat="1">
      <c r="T2226" s="41"/>
    </row>
    <row r="2227" spans="20:20" s="566" customFormat="1">
      <c r="T2227" s="41"/>
    </row>
    <row r="2228" spans="20:20" s="566" customFormat="1">
      <c r="T2228" s="41"/>
    </row>
    <row r="2229" spans="20:20" s="566" customFormat="1">
      <c r="T2229" s="41"/>
    </row>
    <row r="2230" spans="20:20" s="566" customFormat="1">
      <c r="T2230" s="41"/>
    </row>
    <row r="2231" spans="20:20" s="566" customFormat="1">
      <c r="T2231" s="41"/>
    </row>
    <row r="2232" spans="20:20" s="566" customFormat="1">
      <c r="T2232" s="41"/>
    </row>
    <row r="2233" spans="20:20" s="566" customFormat="1">
      <c r="T2233" s="41"/>
    </row>
    <row r="2234" spans="20:20" s="566" customFormat="1">
      <c r="T2234" s="41"/>
    </row>
    <row r="2235" spans="20:20" s="566" customFormat="1">
      <c r="T2235" s="41"/>
    </row>
    <row r="2236" spans="20:20" s="566" customFormat="1">
      <c r="T2236" s="41"/>
    </row>
    <row r="2237" spans="20:20" s="566" customFormat="1">
      <c r="T2237" s="41"/>
    </row>
    <row r="2238" spans="20:20" s="566" customFormat="1">
      <c r="T2238" s="41"/>
    </row>
    <row r="2239" spans="20:20" s="566" customFormat="1">
      <c r="T2239" s="41"/>
    </row>
    <row r="2240" spans="20:20" s="566" customFormat="1">
      <c r="T2240" s="41"/>
    </row>
    <row r="2241" spans="20:20" s="566" customFormat="1">
      <c r="T2241" s="41"/>
    </row>
    <row r="2242" spans="20:20" s="566" customFormat="1">
      <c r="T2242" s="41"/>
    </row>
    <row r="2243" spans="20:20" s="566" customFormat="1">
      <c r="T2243" s="41"/>
    </row>
    <row r="2244" spans="20:20" s="566" customFormat="1">
      <c r="T2244" s="41"/>
    </row>
    <row r="2245" spans="20:20" s="566" customFormat="1">
      <c r="T2245" s="41"/>
    </row>
    <row r="2246" spans="20:20" s="566" customFormat="1">
      <c r="T2246" s="41"/>
    </row>
    <row r="2247" spans="20:20" s="566" customFormat="1">
      <c r="T2247" s="41"/>
    </row>
    <row r="2248" spans="20:20" s="566" customFormat="1">
      <c r="T2248" s="41"/>
    </row>
    <row r="2249" spans="20:20" s="566" customFormat="1">
      <c r="T2249" s="41"/>
    </row>
    <row r="2250" spans="20:20" s="566" customFormat="1">
      <c r="T2250" s="41"/>
    </row>
    <row r="2251" spans="20:20" s="566" customFormat="1">
      <c r="T2251" s="41"/>
    </row>
    <row r="2252" spans="20:20" s="566" customFormat="1">
      <c r="T2252" s="41"/>
    </row>
    <row r="2253" spans="20:20" s="566" customFormat="1">
      <c r="T2253" s="41"/>
    </row>
    <row r="2254" spans="20:20" s="566" customFormat="1">
      <c r="T2254" s="41"/>
    </row>
    <row r="2255" spans="20:20" s="566" customFormat="1">
      <c r="T2255" s="41"/>
    </row>
    <row r="2256" spans="20:20" s="566" customFormat="1">
      <c r="T2256" s="41"/>
    </row>
    <row r="2257" spans="20:20" s="566" customFormat="1">
      <c r="T2257" s="41"/>
    </row>
    <row r="2258" spans="20:20" s="566" customFormat="1">
      <c r="T2258" s="41"/>
    </row>
    <row r="2259" spans="20:20" s="566" customFormat="1">
      <c r="T2259" s="41"/>
    </row>
    <row r="2260" spans="20:20" s="566" customFormat="1">
      <c r="T2260" s="41"/>
    </row>
    <row r="2261" spans="20:20" s="566" customFormat="1">
      <c r="T2261" s="41"/>
    </row>
    <row r="2262" spans="20:20" s="566" customFormat="1">
      <c r="T2262" s="41"/>
    </row>
    <row r="2263" spans="20:20" s="566" customFormat="1">
      <c r="T2263" s="41"/>
    </row>
    <row r="2264" spans="20:20" s="566" customFormat="1">
      <c r="T2264" s="41"/>
    </row>
    <row r="2265" spans="20:20" s="566" customFormat="1">
      <c r="T2265" s="41"/>
    </row>
    <row r="2266" spans="20:20" s="566" customFormat="1">
      <c r="T2266" s="41"/>
    </row>
    <row r="2267" spans="20:20" s="566" customFormat="1">
      <c r="T2267" s="41"/>
    </row>
    <row r="2268" spans="20:20" s="566" customFormat="1">
      <c r="T2268" s="41"/>
    </row>
    <row r="2269" spans="20:20" s="566" customFormat="1">
      <c r="T2269" s="41"/>
    </row>
    <row r="2270" spans="20:20" s="566" customFormat="1">
      <c r="T2270" s="41"/>
    </row>
    <row r="2271" spans="20:20" s="566" customFormat="1">
      <c r="T2271" s="41"/>
    </row>
    <row r="2272" spans="20:20" s="566" customFormat="1">
      <c r="T2272" s="41"/>
    </row>
    <row r="2273" spans="20:20" s="566" customFormat="1">
      <c r="T2273" s="41"/>
    </row>
    <row r="2274" spans="20:20" s="566" customFormat="1">
      <c r="T2274" s="41"/>
    </row>
    <row r="2275" spans="20:20" s="566" customFormat="1">
      <c r="T2275" s="41"/>
    </row>
    <row r="2276" spans="20:20" s="566" customFormat="1">
      <c r="T2276" s="41"/>
    </row>
    <row r="2277" spans="20:20" s="566" customFormat="1">
      <c r="T2277" s="41"/>
    </row>
    <row r="2278" spans="20:20" s="566" customFormat="1">
      <c r="T2278" s="41"/>
    </row>
    <row r="2279" spans="20:20" s="566" customFormat="1">
      <c r="T2279" s="41"/>
    </row>
    <row r="2280" spans="20:20" s="566" customFormat="1">
      <c r="T2280" s="41"/>
    </row>
    <row r="2281" spans="20:20" s="566" customFormat="1">
      <c r="T2281" s="41"/>
    </row>
    <row r="2282" spans="20:20" s="566" customFormat="1">
      <c r="T2282" s="41"/>
    </row>
    <row r="2283" spans="20:20" s="566" customFormat="1">
      <c r="T2283" s="41"/>
    </row>
    <row r="2284" spans="20:20" s="566" customFormat="1">
      <c r="T2284" s="41"/>
    </row>
    <row r="2285" spans="20:20" s="566" customFormat="1">
      <c r="T2285" s="41"/>
    </row>
    <row r="2286" spans="20:20" s="566" customFormat="1">
      <c r="T2286" s="41"/>
    </row>
    <row r="2287" spans="20:20" s="566" customFormat="1">
      <c r="T2287" s="41"/>
    </row>
    <row r="2288" spans="20:20" s="566" customFormat="1">
      <c r="T2288" s="41"/>
    </row>
    <row r="2289" spans="20:20" s="566" customFormat="1">
      <c r="T2289" s="41"/>
    </row>
    <row r="2290" spans="20:20" s="566" customFormat="1">
      <c r="T2290" s="41"/>
    </row>
    <row r="2291" spans="20:20" s="566" customFormat="1">
      <c r="T2291" s="41"/>
    </row>
    <row r="2292" spans="20:20" s="566" customFormat="1">
      <c r="T2292" s="41"/>
    </row>
    <row r="2293" spans="20:20" s="566" customFormat="1">
      <c r="T2293" s="41"/>
    </row>
    <row r="2294" spans="20:20" s="566" customFormat="1">
      <c r="T2294" s="41"/>
    </row>
    <row r="2295" spans="20:20" s="566" customFormat="1">
      <c r="T2295" s="41"/>
    </row>
    <row r="2296" spans="20:20" s="566" customFormat="1">
      <c r="T2296" s="41"/>
    </row>
    <row r="2297" spans="20:20" s="566" customFormat="1">
      <c r="T2297" s="41"/>
    </row>
    <row r="2298" spans="20:20" s="566" customFormat="1">
      <c r="T2298" s="41"/>
    </row>
    <row r="2299" spans="20:20" s="566" customFormat="1">
      <c r="T2299" s="41"/>
    </row>
    <row r="2300" spans="20:20" s="566" customFormat="1">
      <c r="T2300" s="41"/>
    </row>
    <row r="2301" spans="20:20" s="566" customFormat="1">
      <c r="T2301" s="41"/>
    </row>
    <row r="2302" spans="20:20" s="566" customFormat="1">
      <c r="T2302" s="41"/>
    </row>
    <row r="2303" spans="20:20" s="566" customFormat="1">
      <c r="T2303" s="41"/>
    </row>
    <row r="2304" spans="20:20" s="566" customFormat="1">
      <c r="T2304" s="41"/>
    </row>
    <row r="2305" spans="20:20" s="566" customFormat="1">
      <c r="T2305" s="41"/>
    </row>
    <row r="2306" spans="20:20" s="566" customFormat="1">
      <c r="T2306" s="41"/>
    </row>
    <row r="2307" spans="20:20" s="566" customFormat="1">
      <c r="T2307" s="41"/>
    </row>
    <row r="2308" spans="20:20" s="566" customFormat="1">
      <c r="T2308" s="41"/>
    </row>
    <row r="2309" spans="20:20" s="566" customFormat="1">
      <c r="T2309" s="41"/>
    </row>
    <row r="2310" spans="20:20" s="566" customFormat="1">
      <c r="T2310" s="41"/>
    </row>
    <row r="2311" spans="20:20" s="566" customFormat="1">
      <c r="T2311" s="41"/>
    </row>
    <row r="2312" spans="20:20" s="566" customFormat="1">
      <c r="T2312" s="41"/>
    </row>
    <row r="2313" spans="20:20" s="566" customFormat="1">
      <c r="T2313" s="41"/>
    </row>
    <row r="2314" spans="20:20" s="566" customFormat="1">
      <c r="T2314" s="41"/>
    </row>
    <row r="2315" spans="20:20" s="566" customFormat="1">
      <c r="T2315" s="41"/>
    </row>
    <row r="2316" spans="20:20" s="566" customFormat="1">
      <c r="T2316" s="41"/>
    </row>
    <row r="2317" spans="20:20" s="566" customFormat="1">
      <c r="T2317" s="41"/>
    </row>
    <row r="2318" spans="20:20" s="566" customFormat="1">
      <c r="T2318" s="41"/>
    </row>
    <row r="2319" spans="20:20" s="566" customFormat="1">
      <c r="T2319" s="41"/>
    </row>
    <row r="2320" spans="20:20" s="566" customFormat="1">
      <c r="T2320" s="41"/>
    </row>
    <row r="2321" spans="20:20" s="566" customFormat="1">
      <c r="T2321" s="41"/>
    </row>
    <row r="2322" spans="20:20" s="566" customFormat="1">
      <c r="T2322" s="41"/>
    </row>
    <row r="2323" spans="20:20" s="566" customFormat="1">
      <c r="T2323" s="41"/>
    </row>
    <row r="2324" spans="20:20" s="566" customFormat="1">
      <c r="T2324" s="41"/>
    </row>
    <row r="2325" spans="20:20" s="566" customFormat="1">
      <c r="T2325" s="41"/>
    </row>
    <row r="2326" spans="20:20" s="566" customFormat="1">
      <c r="T2326" s="41"/>
    </row>
    <row r="2327" spans="20:20" s="566" customFormat="1">
      <c r="T2327" s="41"/>
    </row>
    <row r="2328" spans="20:20" s="566" customFormat="1">
      <c r="T2328" s="41"/>
    </row>
    <row r="2329" spans="20:20" s="566" customFormat="1">
      <c r="T2329" s="41"/>
    </row>
    <row r="2330" spans="20:20" s="566" customFormat="1">
      <c r="T2330" s="41"/>
    </row>
    <row r="2331" spans="20:20" s="566" customFormat="1">
      <c r="T2331" s="41"/>
    </row>
    <row r="2332" spans="20:20" s="566" customFormat="1">
      <c r="T2332" s="41"/>
    </row>
    <row r="2333" spans="20:20" s="566" customFormat="1">
      <c r="T2333" s="41"/>
    </row>
    <row r="2334" spans="20:20" s="566" customFormat="1">
      <c r="T2334" s="41"/>
    </row>
    <row r="2335" spans="20:20" s="566" customFormat="1">
      <c r="T2335" s="41"/>
    </row>
    <row r="2336" spans="20:20" s="566" customFormat="1">
      <c r="T2336" s="41"/>
    </row>
    <row r="2337" spans="20:20" s="566" customFormat="1">
      <c r="T2337" s="41"/>
    </row>
    <row r="2338" spans="20:20" s="566" customFormat="1">
      <c r="T2338" s="41"/>
    </row>
    <row r="2339" spans="20:20" s="566" customFormat="1">
      <c r="T2339" s="41"/>
    </row>
    <row r="2340" spans="20:20" s="566" customFormat="1">
      <c r="T2340" s="41"/>
    </row>
    <row r="2341" spans="20:20" s="566" customFormat="1">
      <c r="T2341" s="41"/>
    </row>
    <row r="2342" spans="20:20" s="566" customFormat="1">
      <c r="T2342" s="41"/>
    </row>
    <row r="2343" spans="20:20" s="566" customFormat="1">
      <c r="T2343" s="41"/>
    </row>
    <row r="2344" spans="20:20" s="566" customFormat="1">
      <c r="T2344" s="41"/>
    </row>
    <row r="2345" spans="20:20" s="566" customFormat="1">
      <c r="T2345" s="41"/>
    </row>
    <row r="2346" spans="20:20" s="566" customFormat="1">
      <c r="T2346" s="41"/>
    </row>
    <row r="2347" spans="20:20" s="566" customFormat="1">
      <c r="T2347" s="41"/>
    </row>
    <row r="2348" spans="20:20" s="566" customFormat="1">
      <c r="T2348" s="41"/>
    </row>
    <row r="2349" spans="20:20" s="566" customFormat="1">
      <c r="T2349" s="41"/>
    </row>
    <row r="2350" spans="20:20" s="566" customFormat="1">
      <c r="T2350" s="41"/>
    </row>
    <row r="2351" spans="20:20" s="566" customFormat="1">
      <c r="T2351" s="41"/>
    </row>
    <row r="2352" spans="20:20" s="566" customFormat="1">
      <c r="T2352" s="41"/>
    </row>
    <row r="2353" spans="20:20" s="566" customFormat="1">
      <c r="T2353" s="41"/>
    </row>
    <row r="2354" spans="20:20" s="566" customFormat="1">
      <c r="T2354" s="41"/>
    </row>
    <row r="2355" spans="20:20" s="566" customFormat="1">
      <c r="T2355" s="41"/>
    </row>
    <row r="2356" spans="20:20" s="566" customFormat="1">
      <c r="T2356" s="41"/>
    </row>
    <row r="2357" spans="20:20" s="566" customFormat="1">
      <c r="T2357" s="41"/>
    </row>
    <row r="2358" spans="20:20" s="566" customFormat="1">
      <c r="T2358" s="41"/>
    </row>
    <row r="2359" spans="20:20" s="566" customFormat="1">
      <c r="T2359" s="41"/>
    </row>
    <row r="2360" spans="20:20" s="566" customFormat="1">
      <c r="T2360" s="41"/>
    </row>
    <row r="2361" spans="20:20" s="566" customFormat="1">
      <c r="T2361" s="41"/>
    </row>
    <row r="2362" spans="20:20" s="566" customFormat="1">
      <c r="T2362" s="41"/>
    </row>
    <row r="2363" spans="20:20" s="566" customFormat="1">
      <c r="T2363" s="41"/>
    </row>
    <row r="2364" spans="20:20" s="566" customFormat="1">
      <c r="T2364" s="41"/>
    </row>
    <row r="2365" spans="20:20" s="566" customFormat="1">
      <c r="T2365" s="41"/>
    </row>
    <row r="2366" spans="20:20" s="566" customFormat="1">
      <c r="T2366" s="41"/>
    </row>
    <row r="2367" spans="20:20" s="566" customFormat="1">
      <c r="T2367" s="41"/>
    </row>
    <row r="2368" spans="20:20" s="566" customFormat="1">
      <c r="T2368" s="41"/>
    </row>
    <row r="2369" spans="20:20" s="566" customFormat="1">
      <c r="T2369" s="41"/>
    </row>
    <row r="2370" spans="20:20" s="566" customFormat="1">
      <c r="T2370" s="41"/>
    </row>
    <row r="2371" spans="20:20" s="566" customFormat="1">
      <c r="T2371" s="41"/>
    </row>
    <row r="2372" spans="20:20" s="566" customFormat="1">
      <c r="T2372" s="41"/>
    </row>
    <row r="2373" spans="20:20" s="566" customFormat="1">
      <c r="T2373" s="41"/>
    </row>
    <row r="2374" spans="20:20" s="566" customFormat="1">
      <c r="T2374" s="41"/>
    </row>
    <row r="2375" spans="20:20" s="566" customFormat="1">
      <c r="T2375" s="41"/>
    </row>
    <row r="2376" spans="20:20" s="566" customFormat="1">
      <c r="T2376" s="41"/>
    </row>
    <row r="2377" spans="20:20" s="566" customFormat="1">
      <c r="T2377" s="41"/>
    </row>
    <row r="2378" spans="20:20" s="566" customFormat="1">
      <c r="T2378" s="41"/>
    </row>
    <row r="2379" spans="20:20" s="566" customFormat="1">
      <c r="T2379" s="41"/>
    </row>
    <row r="2380" spans="20:20" s="566" customFormat="1">
      <c r="T2380" s="41"/>
    </row>
    <row r="2381" spans="20:20" s="566" customFormat="1">
      <c r="T2381" s="41"/>
    </row>
    <row r="2382" spans="20:20" s="566" customFormat="1">
      <c r="T2382" s="41"/>
    </row>
    <row r="2383" spans="20:20" s="566" customFormat="1">
      <c r="T2383" s="41"/>
    </row>
    <row r="2384" spans="20:20" s="566" customFormat="1">
      <c r="T2384" s="41"/>
    </row>
    <row r="2385" spans="20:20" s="566" customFormat="1">
      <c r="T2385" s="41"/>
    </row>
    <row r="2386" spans="20:20" s="566" customFormat="1">
      <c r="T2386" s="41"/>
    </row>
    <row r="2387" spans="20:20" s="566" customFormat="1">
      <c r="T2387" s="41"/>
    </row>
    <row r="2388" spans="20:20" s="566" customFormat="1">
      <c r="T2388" s="41"/>
    </row>
    <row r="2389" spans="20:20" s="566" customFormat="1">
      <c r="T2389" s="41"/>
    </row>
    <row r="2390" spans="20:20" s="566" customFormat="1">
      <c r="T2390" s="41"/>
    </row>
    <row r="2391" spans="20:20" s="566" customFormat="1">
      <c r="T2391" s="41"/>
    </row>
    <row r="2392" spans="20:20" s="566" customFormat="1">
      <c r="T2392" s="41"/>
    </row>
    <row r="2393" spans="20:20" s="566" customFormat="1">
      <c r="T2393" s="41"/>
    </row>
    <row r="2394" spans="20:20" s="566" customFormat="1">
      <c r="T2394" s="41"/>
    </row>
    <row r="2395" spans="20:20" s="566" customFormat="1">
      <c r="T2395" s="41"/>
    </row>
    <row r="2396" spans="20:20" s="566" customFormat="1">
      <c r="T2396" s="41"/>
    </row>
    <row r="2397" spans="20:20" s="566" customFormat="1">
      <c r="T2397" s="41"/>
    </row>
    <row r="2398" spans="20:20" s="566" customFormat="1">
      <c r="T2398" s="41"/>
    </row>
    <row r="2399" spans="20:20" s="566" customFormat="1">
      <c r="T2399" s="41"/>
    </row>
    <row r="2400" spans="20:20" s="566" customFormat="1">
      <c r="T2400" s="41"/>
    </row>
    <row r="2401" spans="20:20" s="566" customFormat="1">
      <c r="T2401" s="41"/>
    </row>
    <row r="2402" spans="20:20" s="566" customFormat="1">
      <c r="T2402" s="41"/>
    </row>
    <row r="2403" spans="20:20" s="566" customFormat="1">
      <c r="T2403" s="41"/>
    </row>
    <row r="2404" spans="20:20" s="566" customFormat="1">
      <c r="T2404" s="41"/>
    </row>
    <row r="2405" spans="20:20" s="566" customFormat="1">
      <c r="T2405" s="41"/>
    </row>
    <row r="2406" spans="20:20" s="566" customFormat="1">
      <c r="T2406" s="41"/>
    </row>
    <row r="2407" spans="20:20" s="566" customFormat="1">
      <c r="T2407" s="41"/>
    </row>
    <row r="2408" spans="20:20" s="566" customFormat="1">
      <c r="T2408" s="41"/>
    </row>
    <row r="2409" spans="20:20" s="566" customFormat="1">
      <c r="T2409" s="41"/>
    </row>
    <row r="2410" spans="20:20" s="566" customFormat="1">
      <c r="T2410" s="41"/>
    </row>
    <row r="2411" spans="20:20" s="566" customFormat="1">
      <c r="T2411" s="41"/>
    </row>
    <row r="2412" spans="20:20" s="566" customFormat="1">
      <c r="T2412" s="41"/>
    </row>
    <row r="2413" spans="20:20" s="566" customFormat="1">
      <c r="T2413" s="41"/>
    </row>
    <row r="2414" spans="20:20" s="566" customFormat="1">
      <c r="T2414" s="41"/>
    </row>
    <row r="2415" spans="20:20" s="566" customFormat="1">
      <c r="T2415" s="41"/>
    </row>
    <row r="2416" spans="20:20" s="566" customFormat="1">
      <c r="T2416" s="41"/>
    </row>
    <row r="2417" spans="20:20" s="566" customFormat="1">
      <c r="T2417" s="41"/>
    </row>
    <row r="2418" spans="20:20" s="566" customFormat="1">
      <c r="T2418" s="41"/>
    </row>
    <row r="2419" spans="20:20" s="566" customFormat="1">
      <c r="T2419" s="41"/>
    </row>
    <row r="2420" spans="20:20" s="566" customFormat="1">
      <c r="T2420" s="41"/>
    </row>
    <row r="2421" spans="20:20" s="566" customFormat="1">
      <c r="T2421" s="41"/>
    </row>
    <row r="2422" spans="20:20" s="566" customFormat="1">
      <c r="T2422" s="41"/>
    </row>
    <row r="2423" spans="20:20" s="566" customFormat="1">
      <c r="T2423" s="41"/>
    </row>
    <row r="2424" spans="20:20" s="566" customFormat="1">
      <c r="T2424" s="41"/>
    </row>
    <row r="2425" spans="20:20" s="566" customFormat="1">
      <c r="T2425" s="41"/>
    </row>
    <row r="2426" spans="20:20" s="566" customFormat="1">
      <c r="T2426" s="41"/>
    </row>
    <row r="2427" spans="20:20" s="566" customFormat="1">
      <c r="T2427" s="41"/>
    </row>
    <row r="2428" spans="20:20" s="566" customFormat="1">
      <c r="T2428" s="41"/>
    </row>
    <row r="2429" spans="20:20" s="566" customFormat="1">
      <c r="T2429" s="41"/>
    </row>
    <row r="2430" spans="20:20" s="566" customFormat="1">
      <c r="T2430" s="41"/>
    </row>
    <row r="2431" spans="20:20" s="566" customFormat="1">
      <c r="T2431" s="41"/>
    </row>
    <row r="2432" spans="20:20" s="566" customFormat="1">
      <c r="T2432" s="41"/>
    </row>
    <row r="2433" spans="20:20" s="566" customFormat="1">
      <c r="T2433" s="41"/>
    </row>
    <row r="2434" spans="20:20" s="566" customFormat="1">
      <c r="T2434" s="41"/>
    </row>
    <row r="2435" spans="20:20" s="566" customFormat="1">
      <c r="T2435" s="41"/>
    </row>
    <row r="2436" spans="20:20" s="566" customFormat="1">
      <c r="T2436" s="41"/>
    </row>
    <row r="2437" spans="20:20" s="566" customFormat="1">
      <c r="T2437" s="41"/>
    </row>
    <row r="2438" spans="20:20" s="566" customFormat="1">
      <c r="T2438" s="41"/>
    </row>
    <row r="2439" spans="20:20" s="566" customFormat="1">
      <c r="T2439" s="41"/>
    </row>
    <row r="2440" spans="20:20" s="566" customFormat="1">
      <c r="T2440" s="41"/>
    </row>
    <row r="2441" spans="20:20" s="566" customFormat="1">
      <c r="T2441" s="41"/>
    </row>
    <row r="2442" spans="20:20" s="566" customFormat="1">
      <c r="T2442" s="41"/>
    </row>
    <row r="2443" spans="20:20" s="566" customFormat="1">
      <c r="T2443" s="41"/>
    </row>
    <row r="2444" spans="20:20" s="566" customFormat="1">
      <c r="T2444" s="41"/>
    </row>
    <row r="2445" spans="20:20" s="566" customFormat="1">
      <c r="T2445" s="41"/>
    </row>
    <row r="2446" spans="20:20" s="566" customFormat="1">
      <c r="T2446" s="41"/>
    </row>
    <row r="2447" spans="20:20" s="566" customFormat="1">
      <c r="T2447" s="41"/>
    </row>
    <row r="2448" spans="20:20" s="566" customFormat="1">
      <c r="T2448" s="41"/>
    </row>
    <row r="2449" spans="20:20" s="566" customFormat="1">
      <c r="T2449" s="41"/>
    </row>
    <row r="2450" spans="20:20" s="566" customFormat="1">
      <c r="T2450" s="41"/>
    </row>
    <row r="2451" spans="20:20" s="566" customFormat="1">
      <c r="T2451" s="41"/>
    </row>
    <row r="2452" spans="20:20" s="566" customFormat="1">
      <c r="T2452" s="41"/>
    </row>
    <row r="2453" spans="20:20" s="566" customFormat="1">
      <c r="T2453" s="41"/>
    </row>
    <row r="2454" spans="20:20" s="566" customFormat="1">
      <c r="T2454" s="41"/>
    </row>
    <row r="2455" spans="20:20" s="566" customFormat="1">
      <c r="T2455" s="41"/>
    </row>
    <row r="2456" spans="20:20" s="566" customFormat="1">
      <c r="T2456" s="41"/>
    </row>
    <row r="2457" spans="20:20" s="566" customFormat="1">
      <c r="T2457" s="41"/>
    </row>
    <row r="2458" spans="20:20" s="566" customFormat="1">
      <c r="T2458" s="41"/>
    </row>
    <row r="2459" spans="20:20" s="566" customFormat="1">
      <c r="T2459" s="41"/>
    </row>
    <row r="2460" spans="20:20" s="566" customFormat="1">
      <c r="T2460" s="41"/>
    </row>
    <row r="2461" spans="20:20" s="566" customFormat="1">
      <c r="T2461" s="41"/>
    </row>
    <row r="2462" spans="20:20" s="566" customFormat="1">
      <c r="T2462" s="41"/>
    </row>
    <row r="2463" spans="20:20" s="566" customFormat="1">
      <c r="T2463" s="41"/>
    </row>
    <row r="2464" spans="20:20" s="566" customFormat="1">
      <c r="T2464" s="41"/>
    </row>
    <row r="2465" spans="20:20" s="566" customFormat="1">
      <c r="T2465" s="41"/>
    </row>
    <row r="2466" spans="20:20" s="566" customFormat="1">
      <c r="T2466" s="41"/>
    </row>
    <row r="2467" spans="20:20" s="566" customFormat="1">
      <c r="T2467" s="41"/>
    </row>
    <row r="2468" spans="20:20" s="566" customFormat="1">
      <c r="T2468" s="41"/>
    </row>
    <row r="2469" spans="20:20" s="566" customFormat="1">
      <c r="T2469" s="41"/>
    </row>
    <row r="2470" spans="20:20" s="566" customFormat="1">
      <c r="T2470" s="41"/>
    </row>
    <row r="2471" spans="20:20" s="566" customFormat="1">
      <c r="T2471" s="41"/>
    </row>
    <row r="2472" spans="20:20" s="566" customFormat="1">
      <c r="T2472" s="41"/>
    </row>
    <row r="2473" spans="20:20" s="566" customFormat="1">
      <c r="T2473" s="41"/>
    </row>
    <row r="2474" spans="20:20" s="566" customFormat="1">
      <c r="T2474" s="41"/>
    </row>
    <row r="2475" spans="20:20" s="566" customFormat="1">
      <c r="T2475" s="41"/>
    </row>
    <row r="2476" spans="20:20" s="566" customFormat="1">
      <c r="T2476" s="41"/>
    </row>
    <row r="2477" spans="20:20" s="566" customFormat="1">
      <c r="T2477" s="41"/>
    </row>
    <row r="2478" spans="20:20" s="566" customFormat="1">
      <c r="T2478" s="41"/>
    </row>
    <row r="2479" spans="20:20" s="566" customFormat="1">
      <c r="T2479" s="41"/>
    </row>
    <row r="2480" spans="20:20" s="566" customFormat="1">
      <c r="T2480" s="41"/>
    </row>
    <row r="2481" spans="20:20" s="566" customFormat="1">
      <c r="T2481" s="41"/>
    </row>
    <row r="2482" spans="20:20" s="566" customFormat="1">
      <c r="T2482" s="41"/>
    </row>
    <row r="2483" spans="20:20" s="566" customFormat="1">
      <c r="T2483" s="41"/>
    </row>
    <row r="2484" spans="20:20" s="566" customFormat="1">
      <c r="T2484" s="41"/>
    </row>
    <row r="2485" spans="20:20" s="566" customFormat="1">
      <c r="T2485" s="41"/>
    </row>
    <row r="2486" spans="20:20" s="566" customFormat="1">
      <c r="T2486" s="41"/>
    </row>
    <row r="2487" spans="20:20" s="566" customFormat="1">
      <c r="T2487" s="41"/>
    </row>
    <row r="2488" spans="20:20" s="566" customFormat="1">
      <c r="T2488" s="41"/>
    </row>
    <row r="2489" spans="20:20" s="566" customFormat="1">
      <c r="T2489" s="41"/>
    </row>
    <row r="2490" spans="20:20" s="566" customFormat="1">
      <c r="T2490" s="41"/>
    </row>
    <row r="2491" spans="20:20" s="566" customFormat="1">
      <c r="T2491" s="41"/>
    </row>
    <row r="2492" spans="20:20" s="566" customFormat="1">
      <c r="T2492" s="41"/>
    </row>
    <row r="2493" spans="20:20" s="566" customFormat="1">
      <c r="T2493" s="41"/>
    </row>
    <row r="2494" spans="20:20" s="566" customFormat="1">
      <c r="T2494" s="41"/>
    </row>
    <row r="2495" spans="20:20" s="566" customFormat="1">
      <c r="T2495" s="41"/>
    </row>
    <row r="2496" spans="20:20" s="566" customFormat="1">
      <c r="T2496" s="41"/>
    </row>
    <row r="2497" spans="20:20" s="566" customFormat="1">
      <c r="T2497" s="41"/>
    </row>
    <row r="2498" spans="20:20" s="566" customFormat="1">
      <c r="T2498" s="41"/>
    </row>
    <row r="2499" spans="20:20" s="566" customFormat="1">
      <c r="T2499" s="41"/>
    </row>
    <row r="2500" spans="20:20" s="566" customFormat="1">
      <c r="T2500" s="41"/>
    </row>
    <row r="2501" spans="20:20" s="566" customFormat="1">
      <c r="T2501" s="41"/>
    </row>
    <row r="2502" spans="20:20" s="566" customFormat="1">
      <c r="T2502" s="41"/>
    </row>
    <row r="2503" spans="20:20" s="566" customFormat="1">
      <c r="T2503" s="41"/>
    </row>
    <row r="2504" spans="20:20" s="566" customFormat="1">
      <c r="T2504" s="41"/>
    </row>
    <row r="2505" spans="20:20" s="566" customFormat="1">
      <c r="T2505" s="41"/>
    </row>
    <row r="2506" spans="20:20" s="566" customFormat="1">
      <c r="T2506" s="41"/>
    </row>
    <row r="2507" spans="20:20" s="566" customFormat="1">
      <c r="T2507" s="41"/>
    </row>
    <row r="2508" spans="20:20" s="566" customFormat="1">
      <c r="T2508" s="41"/>
    </row>
    <row r="2509" spans="20:20" s="566" customFormat="1">
      <c r="T2509" s="41"/>
    </row>
    <row r="2510" spans="20:20" s="566" customFormat="1">
      <c r="T2510" s="41"/>
    </row>
    <row r="2511" spans="20:20" s="566" customFormat="1">
      <c r="T2511" s="41"/>
    </row>
    <row r="2512" spans="20:20" s="566" customFormat="1">
      <c r="T2512" s="41"/>
    </row>
    <row r="2513" spans="20:20" s="566" customFormat="1">
      <c r="T2513" s="41"/>
    </row>
    <row r="2514" spans="20:20" s="566" customFormat="1">
      <c r="T2514" s="41"/>
    </row>
    <row r="2515" spans="20:20" s="566" customFormat="1">
      <c r="T2515" s="41"/>
    </row>
    <row r="2516" spans="20:20" s="566" customFormat="1">
      <c r="T2516" s="41"/>
    </row>
    <row r="2517" spans="20:20" s="566" customFormat="1">
      <c r="T2517" s="41"/>
    </row>
    <row r="2518" spans="20:20" s="566" customFormat="1">
      <c r="T2518" s="41"/>
    </row>
    <row r="2519" spans="20:20" s="566" customFormat="1">
      <c r="T2519" s="41"/>
    </row>
    <row r="2520" spans="20:20" s="566" customFormat="1">
      <c r="T2520" s="41"/>
    </row>
    <row r="2521" spans="20:20" s="566" customFormat="1">
      <c r="T2521" s="41"/>
    </row>
    <row r="2522" spans="20:20" s="566" customFormat="1">
      <c r="T2522" s="41"/>
    </row>
    <row r="2523" spans="20:20" s="566" customFormat="1">
      <c r="T2523" s="41"/>
    </row>
    <row r="2524" spans="20:20" s="566" customFormat="1">
      <c r="T2524" s="41"/>
    </row>
    <row r="2525" spans="20:20" s="566" customFormat="1">
      <c r="T2525" s="41"/>
    </row>
    <row r="2526" spans="20:20" s="566" customFormat="1">
      <c r="T2526" s="41"/>
    </row>
    <row r="2527" spans="20:20" s="566" customFormat="1">
      <c r="T2527" s="41"/>
    </row>
    <row r="2528" spans="20:20" s="566" customFormat="1">
      <c r="T2528" s="41"/>
    </row>
    <row r="2529" spans="20:20" s="566" customFormat="1">
      <c r="T2529" s="41"/>
    </row>
    <row r="2530" spans="20:20" s="566" customFormat="1">
      <c r="T2530" s="41"/>
    </row>
    <row r="2531" spans="20:20" s="566" customFormat="1">
      <c r="T2531" s="41"/>
    </row>
    <row r="2532" spans="20:20" s="566" customFormat="1">
      <c r="T2532" s="41"/>
    </row>
    <row r="2533" spans="20:20" s="566" customFormat="1">
      <c r="T2533" s="41"/>
    </row>
    <row r="2534" spans="20:20" s="566" customFormat="1">
      <c r="T2534" s="41"/>
    </row>
    <row r="2535" spans="20:20" s="566" customFormat="1">
      <c r="T2535" s="41"/>
    </row>
    <row r="2536" spans="20:20" s="566" customFormat="1">
      <c r="T2536" s="41"/>
    </row>
    <row r="2537" spans="20:20" s="566" customFormat="1">
      <c r="T2537" s="41"/>
    </row>
    <row r="2538" spans="20:20" s="566" customFormat="1">
      <c r="T2538" s="41"/>
    </row>
    <row r="2539" spans="20:20" s="566" customFormat="1">
      <c r="T2539" s="41"/>
    </row>
    <row r="2540" spans="20:20" s="566" customFormat="1">
      <c r="T2540" s="41"/>
    </row>
    <row r="2541" spans="20:20" s="566" customFormat="1">
      <c r="T2541" s="41"/>
    </row>
    <row r="2542" spans="20:20" s="566" customFormat="1">
      <c r="T2542" s="41"/>
    </row>
    <row r="2543" spans="20:20" s="566" customFormat="1">
      <c r="T2543" s="41"/>
    </row>
    <row r="2544" spans="20:20" s="566" customFormat="1">
      <c r="T2544" s="41"/>
    </row>
    <row r="2545" spans="20:20" s="566" customFormat="1">
      <c r="T2545" s="41"/>
    </row>
    <row r="2546" spans="20:20" s="566" customFormat="1">
      <c r="T2546" s="41"/>
    </row>
    <row r="2547" spans="20:20" s="566" customFormat="1">
      <c r="T2547" s="41"/>
    </row>
    <row r="2548" spans="20:20" s="566" customFormat="1">
      <c r="T2548" s="41"/>
    </row>
    <row r="2549" spans="20:20" s="566" customFormat="1">
      <c r="T2549" s="41"/>
    </row>
    <row r="2550" spans="20:20" s="566" customFormat="1">
      <c r="T2550" s="41"/>
    </row>
    <row r="2551" spans="20:20" s="566" customFormat="1">
      <c r="T2551" s="41"/>
    </row>
    <row r="2552" spans="20:20" s="566" customFormat="1">
      <c r="T2552" s="41"/>
    </row>
    <row r="2553" spans="20:20" s="566" customFormat="1">
      <c r="T2553" s="41"/>
    </row>
    <row r="2554" spans="20:20" s="566" customFormat="1">
      <c r="T2554" s="41"/>
    </row>
    <row r="2555" spans="20:20" s="566" customFormat="1">
      <c r="T2555" s="41"/>
    </row>
    <row r="2556" spans="20:20" s="566" customFormat="1">
      <c r="T2556" s="41"/>
    </row>
    <row r="2557" spans="20:20" s="566" customFormat="1">
      <c r="T2557" s="41"/>
    </row>
    <row r="2558" spans="20:20" s="566" customFormat="1">
      <c r="T2558" s="41"/>
    </row>
    <row r="2559" spans="20:20" s="566" customFormat="1">
      <c r="T2559" s="41"/>
    </row>
    <row r="2560" spans="20:20" s="566" customFormat="1">
      <c r="T2560" s="41"/>
    </row>
    <row r="2561" spans="20:20" s="566" customFormat="1">
      <c r="T2561" s="41"/>
    </row>
    <row r="2562" spans="20:20" s="566" customFormat="1">
      <c r="T2562" s="41"/>
    </row>
    <row r="2563" spans="20:20" s="566" customFormat="1">
      <c r="T2563" s="41"/>
    </row>
    <row r="2564" spans="20:20" s="566" customFormat="1">
      <c r="T2564" s="41"/>
    </row>
    <row r="2565" spans="20:20" s="566" customFormat="1">
      <c r="T2565" s="41"/>
    </row>
    <row r="2566" spans="20:20" s="566" customFormat="1">
      <c r="T2566" s="41"/>
    </row>
    <row r="2567" spans="20:20" s="566" customFormat="1">
      <c r="T2567" s="41"/>
    </row>
    <row r="2568" spans="20:20" s="566" customFormat="1">
      <c r="T2568" s="41"/>
    </row>
    <row r="2569" spans="20:20" s="566" customFormat="1">
      <c r="T2569" s="41"/>
    </row>
    <row r="2570" spans="20:20" s="566" customFormat="1">
      <c r="T2570" s="41"/>
    </row>
    <row r="2571" spans="20:20" s="566" customFormat="1">
      <c r="T2571" s="41"/>
    </row>
    <row r="2572" spans="20:20" s="566" customFormat="1">
      <c r="T2572" s="41"/>
    </row>
    <row r="2573" spans="20:20" s="566" customFormat="1">
      <c r="T2573" s="41"/>
    </row>
    <row r="2574" spans="20:20" s="566" customFormat="1">
      <c r="T2574" s="41"/>
    </row>
    <row r="2575" spans="20:20" s="566" customFormat="1">
      <c r="T2575" s="41"/>
    </row>
    <row r="2576" spans="20:20" s="566" customFormat="1">
      <c r="T2576" s="41"/>
    </row>
    <row r="2577" spans="20:20" s="566" customFormat="1">
      <c r="T2577" s="41"/>
    </row>
    <row r="2578" spans="20:20" s="566" customFormat="1">
      <c r="T2578" s="41"/>
    </row>
    <row r="2579" spans="20:20" s="566" customFormat="1">
      <c r="T2579" s="41"/>
    </row>
    <row r="2580" spans="20:20" s="566" customFormat="1">
      <c r="T2580" s="41"/>
    </row>
    <row r="2581" spans="20:20" s="566" customFormat="1">
      <c r="T2581" s="41"/>
    </row>
    <row r="2582" spans="20:20" s="566" customFormat="1">
      <c r="T2582" s="41"/>
    </row>
    <row r="2583" spans="20:20" s="566" customFormat="1">
      <c r="T2583" s="41"/>
    </row>
    <row r="2584" spans="20:20" s="566" customFormat="1">
      <c r="T2584" s="41"/>
    </row>
    <row r="2585" spans="20:20" s="566" customFormat="1">
      <c r="T2585" s="41"/>
    </row>
    <row r="2586" spans="20:20" s="566" customFormat="1">
      <c r="T2586" s="41"/>
    </row>
    <row r="2587" spans="20:20" s="566" customFormat="1">
      <c r="T2587" s="41"/>
    </row>
    <row r="2588" spans="20:20" s="566" customFormat="1">
      <c r="T2588" s="41"/>
    </row>
    <row r="2589" spans="20:20" s="566" customFormat="1">
      <c r="T2589" s="41"/>
    </row>
    <row r="2590" spans="20:20" s="566" customFormat="1">
      <c r="T2590" s="41"/>
    </row>
    <row r="2591" spans="20:20" s="566" customFormat="1">
      <c r="T2591" s="41"/>
    </row>
    <row r="2592" spans="20:20" s="566" customFormat="1">
      <c r="T2592" s="41"/>
    </row>
    <row r="2593" spans="20:20" s="566" customFormat="1">
      <c r="T2593" s="41"/>
    </row>
    <row r="2594" spans="20:20" s="566" customFormat="1">
      <c r="T2594" s="41"/>
    </row>
    <row r="2595" spans="20:20" s="566" customFormat="1">
      <c r="T2595" s="41"/>
    </row>
    <row r="2596" spans="20:20" s="566" customFormat="1">
      <c r="T2596" s="41"/>
    </row>
    <row r="2597" spans="20:20" s="566" customFormat="1">
      <c r="T2597" s="41"/>
    </row>
    <row r="2598" spans="20:20" s="566" customFormat="1">
      <c r="T2598" s="41"/>
    </row>
    <row r="2599" spans="20:20" s="566" customFormat="1">
      <c r="T2599" s="41"/>
    </row>
    <row r="2600" spans="20:20" s="566" customFormat="1">
      <c r="T2600" s="41"/>
    </row>
    <row r="2601" spans="20:20" s="566" customFormat="1">
      <c r="T2601" s="41"/>
    </row>
    <row r="2602" spans="20:20" s="566" customFormat="1">
      <c r="T2602" s="41"/>
    </row>
    <row r="2603" spans="20:20" s="566" customFormat="1">
      <c r="T2603" s="41"/>
    </row>
    <row r="2604" spans="20:20" s="566" customFormat="1">
      <c r="T2604" s="41"/>
    </row>
    <row r="2605" spans="20:20" s="566" customFormat="1">
      <c r="T2605" s="41"/>
    </row>
    <row r="2606" spans="20:20" s="566" customFormat="1">
      <c r="T2606" s="41"/>
    </row>
    <row r="2607" spans="20:20" s="566" customFormat="1">
      <c r="T2607" s="41"/>
    </row>
    <row r="2608" spans="20:20" s="566" customFormat="1">
      <c r="T2608" s="41"/>
    </row>
    <row r="2609" spans="20:20" s="566" customFormat="1">
      <c r="T2609" s="41"/>
    </row>
    <row r="2610" spans="20:20" s="566" customFormat="1">
      <c r="T2610" s="41"/>
    </row>
    <row r="2611" spans="20:20" s="566" customFormat="1">
      <c r="T2611" s="41"/>
    </row>
    <row r="2612" spans="20:20" s="566" customFormat="1">
      <c r="T2612" s="41"/>
    </row>
    <row r="2613" spans="20:20" s="566" customFormat="1">
      <c r="T2613" s="41"/>
    </row>
    <row r="2614" spans="20:20" s="566" customFormat="1">
      <c r="T2614" s="41"/>
    </row>
    <row r="2615" spans="20:20" s="566" customFormat="1">
      <c r="T2615" s="41"/>
    </row>
    <row r="2616" spans="20:20" s="566" customFormat="1">
      <c r="T2616" s="41"/>
    </row>
    <row r="2617" spans="20:20" s="566" customFormat="1">
      <c r="T2617" s="41"/>
    </row>
    <row r="2618" spans="20:20" s="566" customFormat="1">
      <c r="T2618" s="41"/>
    </row>
    <row r="2619" spans="20:20" s="566" customFormat="1">
      <c r="T2619" s="41"/>
    </row>
    <row r="2620" spans="20:20" s="566" customFormat="1">
      <c r="T2620" s="41"/>
    </row>
    <row r="2621" spans="20:20" s="566" customFormat="1">
      <c r="T2621" s="41"/>
    </row>
    <row r="2622" spans="20:20" s="566" customFormat="1">
      <c r="T2622" s="41"/>
    </row>
    <row r="2623" spans="20:20" s="566" customFormat="1">
      <c r="T2623" s="41"/>
    </row>
    <row r="2624" spans="20:20" s="566" customFormat="1">
      <c r="T2624" s="41"/>
    </row>
    <row r="2625" spans="20:20" s="566" customFormat="1">
      <c r="T2625" s="41"/>
    </row>
    <row r="2626" spans="20:20" s="566" customFormat="1">
      <c r="T2626" s="41"/>
    </row>
    <row r="2627" spans="20:20" s="566" customFormat="1">
      <c r="T2627" s="41"/>
    </row>
    <row r="2628" spans="20:20" s="566" customFormat="1">
      <c r="T2628" s="41"/>
    </row>
    <row r="2629" spans="20:20" s="566" customFormat="1">
      <c r="T2629" s="41"/>
    </row>
    <row r="2630" spans="20:20" s="566" customFormat="1">
      <c r="T2630" s="41"/>
    </row>
    <row r="2631" spans="20:20" s="566" customFormat="1">
      <c r="T2631" s="41"/>
    </row>
    <row r="2632" spans="20:20" s="566" customFormat="1">
      <c r="T2632" s="41"/>
    </row>
    <row r="2633" spans="20:20" s="566" customFormat="1">
      <c r="T2633" s="41"/>
    </row>
    <row r="2634" spans="20:20" s="566" customFormat="1">
      <c r="T2634" s="41"/>
    </row>
    <row r="2635" spans="20:20" s="566" customFormat="1">
      <c r="T2635" s="41"/>
    </row>
    <row r="2636" spans="20:20" s="566" customFormat="1">
      <c r="T2636" s="41"/>
    </row>
    <row r="2637" spans="20:20" s="566" customFormat="1">
      <c r="T2637" s="41"/>
    </row>
    <row r="2638" spans="20:20" s="566" customFormat="1">
      <c r="T2638" s="41"/>
    </row>
    <row r="2639" spans="20:20" s="566" customFormat="1">
      <c r="T2639" s="41"/>
    </row>
    <row r="2640" spans="20:20" s="566" customFormat="1">
      <c r="T2640" s="41"/>
    </row>
    <row r="2641" spans="20:20" s="566" customFormat="1">
      <c r="T2641" s="41"/>
    </row>
    <row r="2642" spans="20:20" s="566" customFormat="1">
      <c r="T2642" s="41"/>
    </row>
    <row r="2643" spans="20:20" s="566" customFormat="1">
      <c r="T2643" s="41"/>
    </row>
    <row r="2644" spans="20:20" s="566" customFormat="1">
      <c r="T2644" s="41"/>
    </row>
    <row r="2645" spans="20:20" s="566" customFormat="1">
      <c r="T2645" s="41"/>
    </row>
    <row r="2646" spans="20:20" s="566" customFormat="1">
      <c r="T2646" s="41"/>
    </row>
    <row r="2647" spans="20:20" s="566" customFormat="1">
      <c r="T2647" s="41"/>
    </row>
    <row r="2648" spans="20:20" s="566" customFormat="1">
      <c r="T2648" s="41"/>
    </row>
    <row r="2649" spans="20:20" s="566" customFormat="1">
      <c r="T2649" s="41"/>
    </row>
    <row r="2650" spans="20:20" s="566" customFormat="1">
      <c r="T2650" s="41"/>
    </row>
    <row r="2651" spans="20:20" s="566" customFormat="1">
      <c r="T2651" s="41"/>
    </row>
    <row r="2652" spans="20:20" s="566" customFormat="1">
      <c r="T2652" s="41"/>
    </row>
    <row r="2653" spans="20:20" s="566" customFormat="1">
      <c r="T2653" s="41"/>
    </row>
    <row r="2654" spans="20:20" s="566" customFormat="1">
      <c r="T2654" s="41"/>
    </row>
    <row r="2655" spans="20:20" s="566" customFormat="1">
      <c r="T2655" s="41"/>
    </row>
    <row r="2656" spans="20:20" s="566" customFormat="1">
      <c r="T2656" s="41"/>
    </row>
    <row r="2657" spans="20:20" s="566" customFormat="1">
      <c r="T2657" s="41"/>
    </row>
    <row r="2658" spans="20:20" s="566" customFormat="1">
      <c r="T2658" s="41"/>
    </row>
    <row r="2659" spans="20:20" s="566" customFormat="1">
      <c r="T2659" s="41"/>
    </row>
    <row r="2660" spans="20:20" s="566" customFormat="1">
      <c r="T2660" s="41"/>
    </row>
    <row r="2661" spans="20:20" s="566" customFormat="1">
      <c r="T2661" s="41"/>
    </row>
    <row r="2662" spans="20:20" s="566" customFormat="1">
      <c r="T2662" s="41"/>
    </row>
    <row r="2663" spans="20:20" s="566" customFormat="1">
      <c r="T2663" s="41"/>
    </row>
    <row r="2664" spans="20:20" s="566" customFormat="1">
      <c r="T2664" s="41"/>
    </row>
    <row r="2665" spans="20:20" s="566" customFormat="1">
      <c r="T2665" s="41"/>
    </row>
    <row r="2666" spans="20:20" s="566" customFormat="1">
      <c r="T2666" s="41"/>
    </row>
    <row r="2667" spans="20:20" s="566" customFormat="1">
      <c r="T2667" s="41"/>
    </row>
    <row r="2668" spans="20:20" s="566" customFormat="1">
      <c r="T2668" s="41"/>
    </row>
    <row r="2669" spans="20:20" s="566" customFormat="1">
      <c r="T2669" s="41"/>
    </row>
    <row r="2670" spans="20:20" s="566" customFormat="1">
      <c r="T2670" s="41"/>
    </row>
    <row r="2671" spans="20:20" s="566" customFormat="1">
      <c r="T2671" s="41"/>
    </row>
    <row r="2672" spans="20:20" s="566" customFormat="1">
      <c r="T2672" s="41"/>
    </row>
    <row r="2673" spans="20:20" s="566" customFormat="1">
      <c r="T2673" s="41"/>
    </row>
    <row r="2674" spans="20:20" s="566" customFormat="1">
      <c r="T2674" s="41"/>
    </row>
    <row r="2675" spans="20:20" s="566" customFormat="1">
      <c r="T2675" s="41"/>
    </row>
    <row r="2676" spans="20:20" s="566" customFormat="1">
      <c r="T2676" s="41"/>
    </row>
    <row r="2677" spans="20:20" s="566" customFormat="1">
      <c r="T2677" s="41"/>
    </row>
    <row r="2678" spans="20:20" s="566" customFormat="1">
      <c r="T2678" s="41"/>
    </row>
    <row r="2679" spans="20:20" s="566" customFormat="1">
      <c r="T2679" s="41"/>
    </row>
    <row r="2680" spans="20:20" s="566" customFormat="1">
      <c r="T2680" s="41"/>
    </row>
    <row r="2681" spans="20:20" s="566" customFormat="1">
      <c r="T2681" s="41"/>
    </row>
    <row r="2682" spans="20:20" s="566" customFormat="1">
      <c r="T2682" s="41"/>
    </row>
    <row r="2683" spans="20:20" s="566" customFormat="1">
      <c r="T2683" s="41"/>
    </row>
    <row r="2684" spans="20:20" s="566" customFormat="1">
      <c r="T2684" s="41"/>
    </row>
    <row r="2685" spans="20:20" s="566" customFormat="1">
      <c r="T2685" s="41"/>
    </row>
    <row r="2686" spans="20:20" s="566" customFormat="1">
      <c r="T2686" s="41"/>
    </row>
    <row r="2687" spans="20:20" s="566" customFormat="1">
      <c r="T2687" s="41"/>
    </row>
    <row r="2688" spans="20:20" s="566" customFormat="1">
      <c r="T2688" s="41"/>
    </row>
    <row r="2689" spans="20:20" s="566" customFormat="1">
      <c r="T2689" s="41"/>
    </row>
    <row r="2690" spans="20:20" s="566" customFormat="1">
      <c r="T2690" s="41"/>
    </row>
    <row r="2691" spans="20:20" s="566" customFormat="1">
      <c r="T2691" s="41"/>
    </row>
    <row r="2692" spans="20:20" s="566" customFormat="1">
      <c r="T2692" s="41"/>
    </row>
    <row r="2693" spans="20:20" s="566" customFormat="1">
      <c r="T2693" s="41"/>
    </row>
    <row r="2694" spans="20:20" s="566" customFormat="1">
      <c r="T2694" s="41"/>
    </row>
    <row r="2695" spans="20:20" s="566" customFormat="1">
      <c r="T2695" s="41"/>
    </row>
    <row r="2696" spans="20:20" s="566" customFormat="1">
      <c r="T2696" s="41"/>
    </row>
    <row r="2697" spans="20:20" s="566" customFormat="1">
      <c r="T2697" s="41"/>
    </row>
    <row r="2698" spans="20:20" s="566" customFormat="1">
      <c r="T2698" s="41"/>
    </row>
    <row r="2699" spans="20:20" s="566" customFormat="1">
      <c r="T2699" s="41"/>
    </row>
    <row r="2700" spans="20:20" s="566" customFormat="1">
      <c r="T2700" s="41"/>
    </row>
    <row r="2701" spans="20:20" s="566" customFormat="1">
      <c r="T2701" s="41"/>
    </row>
    <row r="2702" spans="20:20" s="566" customFormat="1">
      <c r="T2702" s="41"/>
    </row>
    <row r="2703" spans="20:20" s="566" customFormat="1">
      <c r="T2703" s="41"/>
    </row>
    <row r="2704" spans="20:20" s="566" customFormat="1">
      <c r="T2704" s="41"/>
    </row>
    <row r="2705" spans="20:20" s="566" customFormat="1">
      <c r="T2705" s="41"/>
    </row>
    <row r="2706" spans="20:20" s="566" customFormat="1">
      <c r="T2706" s="41"/>
    </row>
    <row r="2707" spans="20:20" s="566" customFormat="1">
      <c r="T2707" s="41"/>
    </row>
    <row r="2708" spans="20:20" s="566" customFormat="1">
      <c r="T2708" s="41"/>
    </row>
    <row r="2709" spans="20:20" s="566" customFormat="1">
      <c r="T2709" s="41"/>
    </row>
    <row r="2710" spans="20:20" s="566" customFormat="1">
      <c r="T2710" s="41"/>
    </row>
    <row r="2711" spans="20:20" s="566" customFormat="1">
      <c r="T2711" s="41"/>
    </row>
    <row r="2712" spans="20:20" s="566" customFormat="1">
      <c r="T2712" s="41"/>
    </row>
    <row r="2713" spans="20:20" s="566" customFormat="1">
      <c r="T2713" s="41"/>
    </row>
    <row r="2714" spans="20:20" s="566" customFormat="1">
      <c r="T2714" s="41"/>
    </row>
    <row r="2715" spans="20:20" s="566" customFormat="1">
      <c r="T2715" s="41"/>
    </row>
    <row r="2716" spans="20:20" s="566" customFormat="1">
      <c r="T2716" s="41"/>
    </row>
    <row r="2717" spans="20:20" s="566" customFormat="1">
      <c r="T2717" s="41"/>
    </row>
    <row r="2718" spans="20:20" s="566" customFormat="1">
      <c r="T2718" s="41"/>
    </row>
    <row r="2719" spans="20:20" s="566" customFormat="1">
      <c r="T2719" s="41"/>
    </row>
    <row r="2720" spans="20:20" s="566" customFormat="1">
      <c r="T2720" s="41"/>
    </row>
    <row r="2721" spans="20:20" s="566" customFormat="1">
      <c r="T2721" s="41"/>
    </row>
    <row r="2722" spans="20:20" s="566" customFormat="1">
      <c r="T2722" s="41"/>
    </row>
    <row r="2723" spans="20:20" s="566" customFormat="1">
      <c r="T2723" s="41"/>
    </row>
    <row r="2724" spans="20:20" s="566" customFormat="1">
      <c r="T2724" s="41"/>
    </row>
    <row r="2725" spans="20:20" s="566" customFormat="1">
      <c r="T2725" s="41"/>
    </row>
    <row r="2726" spans="20:20" s="566" customFormat="1">
      <c r="T2726" s="41"/>
    </row>
    <row r="2727" spans="20:20" s="566" customFormat="1">
      <c r="T2727" s="41"/>
    </row>
    <row r="2728" spans="20:20" s="566" customFormat="1">
      <c r="T2728" s="41"/>
    </row>
    <row r="2729" spans="20:20" s="566" customFormat="1">
      <c r="T2729" s="41"/>
    </row>
    <row r="2730" spans="20:20" s="566" customFormat="1">
      <c r="T2730" s="41"/>
    </row>
    <row r="2731" spans="20:20" s="566" customFormat="1">
      <c r="T2731" s="41"/>
    </row>
    <row r="2732" spans="20:20" s="566" customFormat="1">
      <c r="T2732" s="41"/>
    </row>
    <row r="2733" spans="20:20" s="566" customFormat="1">
      <c r="T2733" s="41"/>
    </row>
    <row r="2734" spans="20:20" s="566" customFormat="1">
      <c r="T2734" s="41"/>
    </row>
    <row r="2735" spans="20:20" s="566" customFormat="1">
      <c r="T2735" s="41"/>
    </row>
    <row r="2736" spans="20:20" s="566" customFormat="1">
      <c r="T2736" s="41"/>
    </row>
    <row r="2737" spans="20:20" s="566" customFormat="1">
      <c r="T2737" s="41"/>
    </row>
    <row r="2738" spans="20:20" s="566" customFormat="1">
      <c r="T2738" s="41"/>
    </row>
    <row r="2739" spans="20:20" s="566" customFormat="1">
      <c r="T2739" s="41"/>
    </row>
    <row r="2740" spans="20:20" s="566" customFormat="1">
      <c r="T2740" s="41"/>
    </row>
    <row r="2741" spans="20:20" s="566" customFormat="1">
      <c r="T2741" s="41"/>
    </row>
    <row r="2742" spans="20:20" s="566" customFormat="1">
      <c r="T2742" s="41"/>
    </row>
    <row r="2743" spans="20:20" s="566" customFormat="1">
      <c r="T2743" s="41"/>
    </row>
    <row r="2744" spans="20:20" s="566" customFormat="1">
      <c r="T2744" s="41"/>
    </row>
    <row r="2745" spans="20:20" s="566" customFormat="1">
      <c r="T2745" s="41"/>
    </row>
    <row r="2746" spans="20:20" s="566" customFormat="1">
      <c r="T2746" s="41"/>
    </row>
    <row r="2747" spans="20:20" s="566" customFormat="1">
      <c r="T2747" s="41"/>
    </row>
    <row r="2748" spans="20:20" s="566" customFormat="1">
      <c r="T2748" s="41"/>
    </row>
    <row r="2749" spans="20:20" s="566" customFormat="1">
      <c r="T2749" s="41"/>
    </row>
    <row r="2750" spans="20:20" s="566" customFormat="1">
      <c r="T2750" s="41"/>
    </row>
    <row r="2751" spans="20:20" s="566" customFormat="1">
      <c r="T2751" s="41"/>
    </row>
    <row r="2752" spans="20:20" s="566" customFormat="1">
      <c r="T2752" s="41"/>
    </row>
    <row r="2753" spans="20:20" s="566" customFormat="1">
      <c r="T2753" s="41"/>
    </row>
    <row r="2754" spans="20:20" s="566" customFormat="1">
      <c r="T2754" s="41"/>
    </row>
    <row r="2755" spans="20:20" s="566" customFormat="1">
      <c r="T2755" s="41"/>
    </row>
    <row r="2756" spans="20:20" s="566" customFormat="1">
      <c r="T2756" s="41"/>
    </row>
    <row r="2757" spans="20:20" s="566" customFormat="1">
      <c r="T2757" s="41"/>
    </row>
    <row r="2758" spans="20:20" s="566" customFormat="1">
      <c r="T2758" s="41"/>
    </row>
    <row r="2759" spans="20:20" s="566" customFormat="1">
      <c r="T2759" s="41"/>
    </row>
    <row r="2760" spans="20:20" s="566" customFormat="1">
      <c r="T2760" s="41"/>
    </row>
    <row r="2761" spans="20:20" s="566" customFormat="1">
      <c r="T2761" s="41"/>
    </row>
    <row r="2762" spans="20:20" s="566" customFormat="1">
      <c r="T2762" s="41"/>
    </row>
    <row r="2763" spans="20:20" s="566" customFormat="1">
      <c r="T2763" s="41"/>
    </row>
    <row r="2764" spans="20:20" s="566" customFormat="1">
      <c r="T2764" s="41"/>
    </row>
    <row r="2765" spans="20:20" s="566" customFormat="1">
      <c r="T2765" s="41"/>
    </row>
    <row r="2766" spans="20:20" s="566" customFormat="1">
      <c r="T2766" s="41"/>
    </row>
    <row r="2767" spans="20:20" s="566" customFormat="1">
      <c r="T2767" s="41"/>
    </row>
    <row r="2768" spans="20:20" s="566" customFormat="1">
      <c r="T2768" s="41"/>
    </row>
    <row r="2769" spans="20:20" s="566" customFormat="1">
      <c r="T2769" s="41"/>
    </row>
    <row r="2770" spans="20:20" s="566" customFormat="1">
      <c r="T2770" s="41"/>
    </row>
    <row r="2771" spans="20:20" s="566" customFormat="1">
      <c r="T2771" s="41"/>
    </row>
    <row r="2772" spans="20:20" s="566" customFormat="1">
      <c r="T2772" s="41"/>
    </row>
    <row r="2773" spans="20:20" s="566" customFormat="1">
      <c r="T2773" s="41"/>
    </row>
    <row r="2774" spans="20:20" s="566" customFormat="1">
      <c r="T2774" s="41"/>
    </row>
    <row r="2775" spans="20:20" s="566" customFormat="1">
      <c r="T2775" s="41"/>
    </row>
    <row r="2776" spans="20:20" s="566" customFormat="1">
      <c r="T2776" s="41"/>
    </row>
    <row r="2777" spans="20:20" s="566" customFormat="1">
      <c r="T2777" s="41"/>
    </row>
    <row r="2778" spans="20:20" s="566" customFormat="1">
      <c r="T2778" s="41"/>
    </row>
    <row r="2779" spans="20:20" s="566" customFormat="1">
      <c r="T2779" s="41"/>
    </row>
    <row r="2780" spans="20:20" s="566" customFormat="1">
      <c r="T2780" s="41"/>
    </row>
    <row r="2781" spans="20:20" s="566" customFormat="1">
      <c r="T2781" s="41"/>
    </row>
    <row r="2782" spans="20:20" s="566" customFormat="1">
      <c r="T2782" s="41"/>
    </row>
    <row r="2783" spans="20:20" s="566" customFormat="1">
      <c r="T2783" s="41"/>
    </row>
    <row r="2784" spans="20:20" s="566" customFormat="1">
      <c r="T2784" s="41"/>
    </row>
    <row r="2785" spans="20:20" s="566" customFormat="1">
      <c r="T2785" s="41"/>
    </row>
    <row r="2786" spans="20:20" s="566" customFormat="1">
      <c r="T2786" s="41"/>
    </row>
    <row r="2787" spans="20:20" s="566" customFormat="1">
      <c r="T2787" s="41"/>
    </row>
    <row r="2788" spans="20:20" s="566" customFormat="1">
      <c r="T2788" s="41"/>
    </row>
    <row r="2789" spans="20:20" s="566" customFormat="1">
      <c r="T2789" s="41"/>
    </row>
    <row r="2790" spans="20:20" s="566" customFormat="1">
      <c r="T2790" s="41"/>
    </row>
    <row r="2791" spans="20:20" s="566" customFormat="1">
      <c r="T2791" s="41"/>
    </row>
    <row r="2792" spans="20:20" s="566" customFormat="1">
      <c r="T2792" s="41"/>
    </row>
    <row r="2793" spans="20:20" s="566" customFormat="1">
      <c r="T2793" s="41"/>
    </row>
    <row r="2794" spans="20:20" s="566" customFormat="1">
      <c r="T2794" s="41"/>
    </row>
    <row r="2795" spans="20:20" s="566" customFormat="1">
      <c r="T2795" s="41"/>
    </row>
    <row r="2796" spans="20:20" s="566" customFormat="1">
      <c r="T2796" s="41"/>
    </row>
    <row r="2797" spans="20:20" s="566" customFormat="1">
      <c r="T2797" s="41"/>
    </row>
    <row r="2798" spans="20:20" s="566" customFormat="1">
      <c r="T2798" s="41"/>
    </row>
    <row r="2799" spans="20:20" s="566" customFormat="1">
      <c r="T2799" s="41"/>
    </row>
    <row r="2800" spans="20:20" s="566" customFormat="1">
      <c r="T2800" s="41"/>
    </row>
    <row r="2801" spans="20:20" s="566" customFormat="1">
      <c r="T2801" s="41"/>
    </row>
    <row r="2802" spans="20:20" s="566" customFormat="1">
      <c r="T2802" s="41"/>
    </row>
    <row r="2803" spans="20:20" s="566" customFormat="1">
      <c r="T2803" s="41"/>
    </row>
    <row r="2804" spans="20:20" s="566" customFormat="1">
      <c r="T2804" s="41"/>
    </row>
    <row r="2805" spans="20:20" s="566" customFormat="1">
      <c r="T2805" s="41"/>
    </row>
    <row r="2806" spans="20:20" s="566" customFormat="1">
      <c r="T2806" s="41"/>
    </row>
    <row r="2807" spans="20:20" s="566" customFormat="1">
      <c r="T2807" s="41"/>
    </row>
    <row r="2808" spans="20:20" s="566" customFormat="1">
      <c r="T2808" s="41"/>
    </row>
    <row r="2809" spans="20:20" s="566" customFormat="1">
      <c r="T2809" s="41"/>
    </row>
    <row r="2810" spans="20:20" s="566" customFormat="1">
      <c r="T2810" s="41"/>
    </row>
    <row r="2811" spans="20:20" s="566" customFormat="1">
      <c r="T2811" s="41"/>
    </row>
    <row r="2812" spans="20:20" s="566" customFormat="1">
      <c r="T2812" s="41"/>
    </row>
    <row r="2813" spans="20:20" s="566" customFormat="1">
      <c r="T2813" s="41"/>
    </row>
    <row r="2814" spans="20:20" s="566" customFormat="1">
      <c r="T2814" s="41"/>
    </row>
    <row r="2815" spans="20:20" s="566" customFormat="1">
      <c r="T2815" s="41"/>
    </row>
    <row r="2816" spans="20:20" s="566" customFormat="1">
      <c r="T2816" s="41"/>
    </row>
    <row r="2817" spans="20:20" s="566" customFormat="1">
      <c r="T2817" s="41"/>
    </row>
    <row r="2818" spans="20:20" s="566" customFormat="1">
      <c r="T2818" s="41"/>
    </row>
    <row r="2819" spans="20:20" s="566" customFormat="1">
      <c r="T2819" s="41"/>
    </row>
    <row r="2820" spans="20:20" s="566" customFormat="1">
      <c r="T2820" s="41"/>
    </row>
    <row r="2821" spans="20:20" s="566" customFormat="1">
      <c r="T2821" s="41"/>
    </row>
    <row r="2822" spans="20:20" s="566" customFormat="1">
      <c r="T2822" s="41"/>
    </row>
    <row r="2823" spans="20:20" s="566" customFormat="1">
      <c r="T2823" s="41"/>
    </row>
    <row r="2824" spans="20:20" s="566" customFormat="1">
      <c r="T2824" s="41"/>
    </row>
    <row r="2825" spans="20:20" s="566" customFormat="1">
      <c r="T2825" s="41"/>
    </row>
    <row r="2826" spans="20:20" s="566" customFormat="1">
      <c r="T2826" s="41"/>
    </row>
    <row r="2827" spans="20:20" s="566" customFormat="1">
      <c r="T2827" s="41"/>
    </row>
    <row r="2828" spans="20:20" s="566" customFormat="1">
      <c r="T2828" s="41"/>
    </row>
    <row r="2829" spans="20:20" s="566" customFormat="1">
      <c r="T2829" s="41"/>
    </row>
    <row r="2830" spans="20:20" s="566" customFormat="1">
      <c r="T2830" s="41"/>
    </row>
    <row r="2831" spans="20:20" s="566" customFormat="1">
      <c r="T2831" s="41"/>
    </row>
    <row r="2832" spans="20:20" s="566" customFormat="1">
      <c r="T2832" s="41"/>
    </row>
    <row r="2833" spans="20:20" s="566" customFormat="1">
      <c r="T2833" s="41"/>
    </row>
    <row r="2834" spans="20:20" s="566" customFormat="1">
      <c r="T2834" s="41"/>
    </row>
    <row r="2835" spans="20:20" s="566" customFormat="1">
      <c r="T2835" s="41"/>
    </row>
    <row r="2836" spans="20:20" s="566" customFormat="1">
      <c r="T2836" s="41"/>
    </row>
    <row r="2837" spans="20:20" s="566" customFormat="1">
      <c r="T2837" s="41"/>
    </row>
    <row r="2838" spans="20:20" s="566" customFormat="1">
      <c r="T2838" s="41"/>
    </row>
    <row r="2839" spans="20:20" s="566" customFormat="1">
      <c r="T2839" s="41"/>
    </row>
    <row r="2840" spans="20:20" s="566" customFormat="1">
      <c r="T2840" s="41"/>
    </row>
    <row r="2841" spans="20:20" s="566" customFormat="1">
      <c r="T2841" s="41"/>
    </row>
    <row r="2842" spans="20:20" s="566" customFormat="1">
      <c r="T2842" s="41"/>
    </row>
    <row r="2843" spans="20:20" s="566" customFormat="1">
      <c r="T2843" s="41"/>
    </row>
    <row r="2844" spans="20:20" s="566" customFormat="1">
      <c r="T2844" s="41"/>
    </row>
    <row r="2845" spans="20:20" s="566" customFormat="1">
      <c r="T2845" s="41"/>
    </row>
    <row r="2846" spans="20:20" s="566" customFormat="1">
      <c r="T2846" s="41"/>
    </row>
    <row r="2847" spans="20:20" s="566" customFormat="1">
      <c r="T2847" s="41"/>
    </row>
    <row r="2848" spans="20:20" s="566" customFormat="1">
      <c r="T2848" s="41"/>
    </row>
    <row r="2849" spans="20:20" s="566" customFormat="1">
      <c r="T2849" s="41"/>
    </row>
    <row r="2850" spans="20:20" s="566" customFormat="1">
      <c r="T2850" s="41"/>
    </row>
    <row r="2851" spans="20:20" s="566" customFormat="1">
      <c r="T2851" s="41"/>
    </row>
    <row r="2852" spans="20:20" s="566" customFormat="1">
      <c r="T2852" s="41"/>
    </row>
    <row r="2853" spans="20:20" s="566" customFormat="1">
      <c r="T2853" s="41"/>
    </row>
    <row r="2854" spans="20:20" s="566" customFormat="1">
      <c r="T2854" s="41"/>
    </row>
    <row r="2855" spans="20:20" s="566" customFormat="1">
      <c r="T2855" s="41"/>
    </row>
    <row r="2856" spans="20:20" s="566" customFormat="1">
      <c r="T2856" s="41"/>
    </row>
    <row r="2857" spans="20:20" s="566" customFormat="1">
      <c r="T2857" s="41"/>
    </row>
    <row r="2858" spans="20:20" s="566" customFormat="1">
      <c r="T2858" s="41"/>
    </row>
    <row r="2859" spans="20:20" s="566" customFormat="1">
      <c r="T2859" s="41"/>
    </row>
    <row r="2860" spans="20:20" s="566" customFormat="1">
      <c r="T2860" s="41"/>
    </row>
    <row r="2861" spans="20:20" s="566" customFormat="1">
      <c r="T2861" s="41"/>
    </row>
    <row r="2862" spans="20:20" s="566" customFormat="1">
      <c r="T2862" s="41"/>
    </row>
    <row r="2863" spans="20:20" s="566" customFormat="1">
      <c r="T2863" s="41"/>
    </row>
    <row r="2864" spans="20:20" s="566" customFormat="1">
      <c r="T2864" s="41"/>
    </row>
    <row r="2865" spans="20:20" s="566" customFormat="1">
      <c r="T2865" s="41"/>
    </row>
    <row r="2866" spans="20:20" s="566" customFormat="1">
      <c r="T2866" s="41"/>
    </row>
    <row r="2867" spans="20:20" s="566" customFormat="1">
      <c r="T2867" s="41"/>
    </row>
    <row r="2868" spans="20:20" s="566" customFormat="1">
      <c r="T2868" s="41"/>
    </row>
    <row r="2869" spans="20:20" s="566" customFormat="1">
      <c r="T2869" s="41"/>
    </row>
    <row r="2870" spans="20:20" s="566" customFormat="1">
      <c r="T2870" s="41"/>
    </row>
    <row r="2871" spans="20:20" s="566" customFormat="1">
      <c r="T2871" s="41"/>
    </row>
    <row r="2872" spans="20:20" s="566" customFormat="1">
      <c r="T2872" s="41"/>
    </row>
    <row r="2873" spans="20:20" s="566" customFormat="1">
      <c r="T2873" s="41"/>
    </row>
    <row r="2874" spans="20:20" s="566" customFormat="1">
      <c r="T2874" s="41"/>
    </row>
    <row r="2875" spans="20:20" s="566" customFormat="1">
      <c r="T2875" s="41"/>
    </row>
    <row r="2876" spans="20:20" s="566" customFormat="1">
      <c r="T2876" s="41"/>
    </row>
    <row r="2877" spans="20:20" s="566" customFormat="1">
      <c r="T2877" s="41"/>
    </row>
    <row r="2878" spans="20:20" s="566" customFormat="1">
      <c r="T2878" s="41"/>
    </row>
    <row r="2879" spans="20:20" s="566" customFormat="1">
      <c r="T2879" s="41"/>
    </row>
    <row r="2880" spans="20:20" s="566" customFormat="1">
      <c r="T2880" s="41"/>
    </row>
    <row r="2881" spans="20:20" s="566" customFormat="1">
      <c r="T2881" s="41"/>
    </row>
    <row r="2882" spans="20:20" s="566" customFormat="1">
      <c r="T2882" s="41"/>
    </row>
    <row r="2883" spans="20:20" s="566" customFormat="1">
      <c r="T2883" s="41"/>
    </row>
    <row r="2884" spans="20:20" s="566" customFormat="1">
      <c r="T2884" s="41"/>
    </row>
    <row r="2885" spans="20:20" s="566" customFormat="1">
      <c r="T2885" s="41"/>
    </row>
    <row r="2886" spans="20:20" s="566" customFormat="1">
      <c r="T2886" s="41"/>
    </row>
    <row r="2887" spans="20:20" s="566" customFormat="1">
      <c r="T2887" s="41"/>
    </row>
    <row r="2888" spans="20:20" s="566" customFormat="1">
      <c r="T2888" s="41"/>
    </row>
    <row r="2889" spans="20:20" s="566" customFormat="1">
      <c r="T2889" s="41"/>
    </row>
    <row r="2890" spans="20:20" s="566" customFormat="1">
      <c r="T2890" s="41"/>
    </row>
    <row r="2891" spans="20:20" s="566" customFormat="1">
      <c r="T2891" s="41"/>
    </row>
    <row r="2892" spans="20:20" s="566" customFormat="1">
      <c r="T2892" s="41"/>
    </row>
    <row r="2893" spans="20:20" s="566" customFormat="1">
      <c r="T2893" s="41"/>
    </row>
    <row r="2894" spans="20:20" s="566" customFormat="1">
      <c r="T2894" s="41"/>
    </row>
    <row r="2895" spans="20:20" s="566" customFormat="1">
      <c r="T2895" s="41"/>
    </row>
    <row r="2896" spans="20:20" s="566" customFormat="1">
      <c r="T2896" s="41"/>
    </row>
    <row r="2897" spans="20:20" s="566" customFormat="1">
      <c r="T2897" s="41"/>
    </row>
    <row r="2898" spans="20:20" s="566" customFormat="1">
      <c r="T2898" s="41"/>
    </row>
    <row r="2899" spans="20:20" s="566" customFormat="1">
      <c r="T2899" s="41"/>
    </row>
    <row r="2900" spans="20:20" s="566" customFormat="1">
      <c r="T2900" s="41"/>
    </row>
    <row r="2901" spans="20:20" s="566" customFormat="1">
      <c r="T2901" s="41"/>
    </row>
    <row r="2902" spans="20:20" s="566" customFormat="1">
      <c r="T2902" s="41"/>
    </row>
    <row r="2903" spans="20:20" s="566" customFormat="1">
      <c r="T2903" s="41"/>
    </row>
    <row r="2904" spans="20:20" s="566" customFormat="1">
      <c r="T2904" s="41"/>
    </row>
    <row r="2905" spans="20:20" s="566" customFormat="1">
      <c r="T2905" s="41"/>
    </row>
    <row r="2906" spans="20:20" s="566" customFormat="1">
      <c r="T2906" s="41"/>
    </row>
    <row r="2907" spans="20:20" s="566" customFormat="1">
      <c r="T2907" s="41"/>
    </row>
    <row r="2908" spans="20:20" s="566" customFormat="1">
      <c r="T2908" s="41"/>
    </row>
    <row r="2909" spans="20:20" s="566" customFormat="1">
      <c r="T2909" s="41"/>
    </row>
    <row r="2910" spans="20:20" s="566" customFormat="1">
      <c r="T2910" s="41"/>
    </row>
    <row r="2911" spans="20:20" s="566" customFormat="1">
      <c r="T2911" s="41"/>
    </row>
    <row r="2912" spans="20:20" s="566" customFormat="1">
      <c r="T2912" s="41"/>
    </row>
    <row r="2913" spans="20:20" s="566" customFormat="1">
      <c r="T2913" s="41"/>
    </row>
    <row r="2914" spans="20:20" s="566" customFormat="1">
      <c r="T2914" s="41"/>
    </row>
    <row r="2915" spans="20:20" s="566" customFormat="1">
      <c r="T2915" s="41"/>
    </row>
    <row r="2916" spans="20:20" s="566" customFormat="1">
      <c r="T2916" s="41"/>
    </row>
    <row r="2917" spans="20:20" s="566" customFormat="1">
      <c r="T2917" s="41"/>
    </row>
    <row r="2918" spans="20:20" s="566" customFormat="1">
      <c r="T2918" s="41"/>
    </row>
    <row r="2919" spans="20:20" s="566" customFormat="1">
      <c r="T2919" s="41"/>
    </row>
    <row r="2920" spans="20:20" s="566" customFormat="1">
      <c r="T2920" s="41"/>
    </row>
    <row r="2921" spans="20:20" s="566" customFormat="1">
      <c r="T2921" s="41"/>
    </row>
    <row r="2922" spans="20:20" s="566" customFormat="1">
      <c r="T2922" s="41"/>
    </row>
    <row r="2923" spans="20:20" s="566" customFormat="1">
      <c r="T2923" s="41"/>
    </row>
    <row r="2924" spans="20:20" s="566" customFormat="1">
      <c r="T2924" s="41"/>
    </row>
    <row r="2925" spans="20:20" s="566" customFormat="1">
      <c r="T2925" s="41"/>
    </row>
    <row r="2926" spans="20:20" s="566" customFormat="1">
      <c r="T2926" s="41"/>
    </row>
    <row r="2927" spans="20:20" s="566" customFormat="1">
      <c r="T2927" s="41"/>
    </row>
    <row r="2928" spans="20:20" s="566" customFormat="1">
      <c r="T2928" s="41"/>
    </row>
    <row r="2929" spans="20:20" s="566" customFormat="1">
      <c r="T2929" s="41"/>
    </row>
    <row r="2930" spans="20:20" s="566" customFormat="1">
      <c r="T2930" s="41"/>
    </row>
    <row r="2931" spans="20:20" s="566" customFormat="1">
      <c r="T2931" s="41"/>
    </row>
    <row r="2932" spans="20:20" s="566" customFormat="1">
      <c r="T2932" s="41"/>
    </row>
    <row r="2933" spans="20:20" s="566" customFormat="1">
      <c r="T2933" s="41"/>
    </row>
    <row r="2934" spans="20:20" s="566" customFormat="1">
      <c r="T2934" s="41"/>
    </row>
    <row r="2935" spans="20:20" s="566" customFormat="1">
      <c r="T2935" s="41"/>
    </row>
    <row r="2936" spans="20:20" s="566" customFormat="1">
      <c r="T2936" s="41"/>
    </row>
    <row r="2937" spans="20:20" s="566" customFormat="1">
      <c r="T2937" s="41"/>
    </row>
    <row r="2938" spans="20:20" s="566" customFormat="1">
      <c r="T2938" s="41"/>
    </row>
    <row r="2939" spans="20:20" s="566" customFormat="1">
      <c r="T2939" s="41"/>
    </row>
    <row r="2940" spans="20:20" s="566" customFormat="1">
      <c r="T2940" s="41"/>
    </row>
    <row r="2941" spans="20:20" s="566" customFormat="1">
      <c r="T2941" s="41"/>
    </row>
    <row r="2942" spans="20:20" s="566" customFormat="1">
      <c r="T2942" s="41"/>
    </row>
    <row r="2943" spans="20:20" s="566" customFormat="1">
      <c r="T2943" s="41"/>
    </row>
    <row r="2944" spans="20:20" s="566" customFormat="1">
      <c r="T2944" s="41"/>
    </row>
    <row r="2945" spans="20:20" s="566" customFormat="1">
      <c r="T2945" s="41"/>
    </row>
    <row r="2946" spans="20:20" s="566" customFormat="1">
      <c r="T2946" s="41"/>
    </row>
    <row r="2947" spans="20:20" s="566" customFormat="1">
      <c r="T2947" s="41"/>
    </row>
    <row r="2948" spans="20:20" s="566" customFormat="1">
      <c r="T2948" s="41"/>
    </row>
    <row r="2949" spans="20:20" s="566" customFormat="1">
      <c r="T2949" s="41"/>
    </row>
    <row r="2950" spans="20:20" s="566" customFormat="1">
      <c r="T2950" s="41"/>
    </row>
    <row r="2951" spans="20:20" s="566" customFormat="1">
      <c r="T2951" s="41"/>
    </row>
    <row r="2952" spans="20:20" s="566" customFormat="1">
      <c r="T2952" s="41"/>
    </row>
    <row r="2953" spans="20:20" s="566" customFormat="1">
      <c r="T2953" s="41"/>
    </row>
    <row r="2954" spans="20:20" s="566" customFormat="1">
      <c r="T2954" s="41"/>
    </row>
    <row r="2955" spans="20:20" s="566" customFormat="1">
      <c r="T2955" s="41"/>
    </row>
    <row r="2956" spans="20:20" s="566" customFormat="1">
      <c r="T2956" s="41"/>
    </row>
    <row r="2957" spans="20:20" s="566" customFormat="1">
      <c r="T2957" s="41"/>
    </row>
    <row r="2958" spans="20:20" s="566" customFormat="1">
      <c r="T2958" s="41"/>
    </row>
    <row r="2959" spans="20:20" s="566" customFormat="1">
      <c r="T2959" s="41"/>
    </row>
    <row r="2960" spans="20:20" s="566" customFormat="1">
      <c r="T2960" s="41"/>
    </row>
    <row r="2961" spans="20:20" s="566" customFormat="1">
      <c r="T2961" s="41"/>
    </row>
    <row r="2962" spans="20:20" s="566" customFormat="1">
      <c r="T2962" s="41"/>
    </row>
    <row r="2963" spans="20:20" s="566" customFormat="1">
      <c r="T2963" s="41"/>
    </row>
    <row r="2964" spans="20:20" s="566" customFormat="1">
      <c r="T2964" s="41"/>
    </row>
    <row r="2965" spans="20:20" s="566" customFormat="1">
      <c r="T2965" s="41"/>
    </row>
    <row r="2966" spans="20:20" s="566" customFormat="1">
      <c r="T2966" s="41"/>
    </row>
    <row r="2967" spans="20:20" s="566" customFormat="1">
      <c r="T2967" s="41"/>
    </row>
    <row r="2968" spans="20:20" s="566" customFormat="1">
      <c r="T2968" s="41"/>
    </row>
    <row r="2969" spans="20:20" s="566" customFormat="1">
      <c r="T2969" s="41"/>
    </row>
    <row r="2970" spans="20:20" s="566" customFormat="1">
      <c r="T2970" s="41"/>
    </row>
    <row r="2971" spans="20:20" s="566" customFormat="1">
      <c r="T2971" s="41"/>
    </row>
    <row r="2972" spans="20:20" s="566" customFormat="1">
      <c r="T2972" s="41"/>
    </row>
    <row r="2973" spans="20:20" s="566" customFormat="1">
      <c r="T2973" s="41"/>
    </row>
    <row r="2974" spans="20:20" s="566" customFormat="1">
      <c r="T2974" s="41"/>
    </row>
    <row r="2975" spans="20:20" s="566" customFormat="1">
      <c r="T2975" s="41"/>
    </row>
    <row r="2976" spans="20:20" s="566" customFormat="1">
      <c r="T2976" s="41"/>
    </row>
    <row r="2977" spans="20:20" s="566" customFormat="1">
      <c r="T2977" s="41"/>
    </row>
    <row r="2978" spans="20:20" s="566" customFormat="1">
      <c r="T2978" s="41"/>
    </row>
    <row r="2979" spans="20:20" s="566" customFormat="1">
      <c r="T2979" s="41"/>
    </row>
    <row r="2980" spans="20:20" s="566" customFormat="1">
      <c r="T2980" s="41"/>
    </row>
    <row r="2981" spans="20:20" s="566" customFormat="1">
      <c r="T2981" s="41"/>
    </row>
    <row r="2982" spans="20:20" s="566" customFormat="1">
      <c r="T2982" s="41"/>
    </row>
    <row r="2983" spans="20:20" s="566" customFormat="1">
      <c r="T2983" s="41"/>
    </row>
    <row r="2984" spans="20:20" s="566" customFormat="1">
      <c r="T2984" s="41"/>
    </row>
    <row r="2985" spans="20:20" s="566" customFormat="1">
      <c r="T2985" s="41"/>
    </row>
    <row r="2986" spans="20:20" s="566" customFormat="1">
      <c r="T2986" s="41"/>
    </row>
    <row r="2987" spans="20:20" s="566" customFormat="1">
      <c r="T2987" s="41"/>
    </row>
    <row r="2988" spans="20:20" s="566" customFormat="1">
      <c r="T2988" s="41"/>
    </row>
    <row r="2989" spans="20:20" s="566" customFormat="1">
      <c r="T2989" s="41"/>
    </row>
    <row r="2990" spans="20:20" s="566" customFormat="1">
      <c r="T2990" s="41"/>
    </row>
    <row r="2991" spans="20:20" s="566" customFormat="1">
      <c r="T2991" s="41"/>
    </row>
    <row r="2992" spans="20:20" s="566" customFormat="1">
      <c r="T2992" s="41"/>
    </row>
    <row r="2993" spans="20:20" s="566" customFormat="1">
      <c r="T2993" s="41"/>
    </row>
    <row r="2994" spans="20:20" s="566" customFormat="1">
      <c r="T2994" s="41"/>
    </row>
    <row r="2995" spans="20:20" s="566" customFormat="1">
      <c r="T2995" s="41"/>
    </row>
    <row r="2996" spans="20:20" s="566" customFormat="1">
      <c r="T2996" s="41"/>
    </row>
    <row r="2997" spans="20:20" s="566" customFormat="1">
      <c r="T2997" s="41"/>
    </row>
    <row r="2998" spans="20:20" s="566" customFormat="1">
      <c r="T2998" s="41"/>
    </row>
    <row r="2999" spans="20:20" s="566" customFormat="1">
      <c r="T2999" s="41"/>
    </row>
    <row r="3000" spans="20:20" s="566" customFormat="1">
      <c r="T3000" s="41"/>
    </row>
    <row r="3001" spans="20:20" s="566" customFormat="1">
      <c r="T3001" s="41"/>
    </row>
    <row r="3002" spans="20:20" s="566" customFormat="1">
      <c r="T3002" s="41"/>
    </row>
    <row r="3003" spans="20:20" s="566" customFormat="1">
      <c r="T3003" s="41"/>
    </row>
    <row r="3004" spans="20:20" s="566" customFormat="1">
      <c r="T3004" s="41"/>
    </row>
    <row r="3005" spans="20:20" s="566" customFormat="1">
      <c r="T3005" s="41"/>
    </row>
    <row r="3006" spans="20:20" s="566" customFormat="1">
      <c r="T3006" s="41"/>
    </row>
    <row r="3007" spans="20:20" s="566" customFormat="1">
      <c r="T3007" s="41"/>
    </row>
    <row r="3008" spans="20:20" s="566" customFormat="1">
      <c r="T3008" s="41"/>
    </row>
    <row r="3009" spans="20:20" s="566" customFormat="1">
      <c r="T3009" s="41"/>
    </row>
    <row r="3010" spans="20:20" s="566" customFormat="1">
      <c r="T3010" s="41"/>
    </row>
    <row r="3011" spans="20:20" s="566" customFormat="1">
      <c r="T3011" s="41"/>
    </row>
    <row r="3012" spans="20:20" s="566" customFormat="1">
      <c r="T3012" s="41"/>
    </row>
    <row r="3013" spans="20:20" s="566" customFormat="1">
      <c r="T3013" s="41"/>
    </row>
    <row r="3014" spans="20:20" s="566" customFormat="1">
      <c r="T3014" s="41"/>
    </row>
    <row r="3015" spans="20:20" s="566" customFormat="1">
      <c r="T3015" s="41"/>
    </row>
    <row r="3016" spans="20:20" s="566" customFormat="1">
      <c r="T3016" s="41"/>
    </row>
    <row r="3017" spans="20:20" s="566" customFormat="1">
      <c r="T3017" s="41"/>
    </row>
    <row r="3018" spans="20:20" s="566" customFormat="1">
      <c r="T3018" s="41"/>
    </row>
    <row r="3019" spans="20:20" s="566" customFormat="1">
      <c r="T3019" s="41"/>
    </row>
    <row r="3020" spans="20:20" s="566" customFormat="1">
      <c r="T3020" s="41"/>
    </row>
    <row r="3021" spans="20:20" s="566" customFormat="1">
      <c r="T3021" s="41"/>
    </row>
    <row r="3022" spans="20:20" s="566" customFormat="1">
      <c r="T3022" s="41"/>
    </row>
    <row r="3023" spans="20:20" s="566" customFormat="1">
      <c r="T3023" s="41"/>
    </row>
    <row r="3024" spans="20:20" s="566" customFormat="1">
      <c r="T3024" s="41"/>
    </row>
    <row r="3025" spans="20:20" s="566" customFormat="1">
      <c r="T3025" s="41"/>
    </row>
    <row r="3026" spans="20:20" s="566" customFormat="1">
      <c r="T3026" s="41"/>
    </row>
    <row r="3027" spans="20:20" s="566" customFormat="1">
      <c r="T3027" s="41"/>
    </row>
    <row r="3028" spans="20:20" s="566" customFormat="1">
      <c r="T3028" s="41"/>
    </row>
    <row r="3029" spans="20:20" s="566" customFormat="1">
      <c r="T3029" s="41"/>
    </row>
    <row r="3030" spans="20:20" s="566" customFormat="1">
      <c r="T3030" s="41"/>
    </row>
    <row r="3031" spans="20:20" s="566" customFormat="1">
      <c r="T3031" s="41"/>
    </row>
    <row r="3032" spans="20:20" s="566" customFormat="1">
      <c r="T3032" s="41"/>
    </row>
    <row r="3033" spans="20:20" s="566" customFormat="1">
      <c r="T3033" s="41"/>
    </row>
    <row r="3034" spans="20:20" s="566" customFormat="1">
      <c r="T3034" s="41"/>
    </row>
    <row r="3035" spans="20:20" s="566" customFormat="1">
      <c r="T3035" s="41"/>
    </row>
    <row r="3036" spans="20:20" s="566" customFormat="1">
      <c r="T3036" s="41"/>
    </row>
    <row r="3037" spans="20:20" s="566" customFormat="1">
      <c r="T3037" s="41"/>
    </row>
    <row r="3038" spans="20:20" s="566" customFormat="1">
      <c r="T3038" s="41"/>
    </row>
    <row r="3039" spans="20:20" s="566" customFormat="1">
      <c r="T3039" s="41"/>
    </row>
    <row r="3040" spans="20:20" s="566" customFormat="1">
      <c r="T3040" s="41"/>
    </row>
    <row r="3041" spans="20:20" s="566" customFormat="1">
      <c r="T3041" s="41"/>
    </row>
    <row r="3042" spans="20:20" s="566" customFormat="1">
      <c r="T3042" s="41"/>
    </row>
    <row r="3043" spans="20:20" s="566" customFormat="1">
      <c r="T3043" s="41"/>
    </row>
    <row r="3044" spans="20:20" s="566" customFormat="1">
      <c r="T3044" s="41"/>
    </row>
    <row r="3045" spans="20:20" s="566" customFormat="1">
      <c r="T3045" s="41"/>
    </row>
    <row r="3046" spans="20:20" s="566" customFormat="1">
      <c r="T3046" s="41"/>
    </row>
    <row r="3047" spans="20:20" s="566" customFormat="1">
      <c r="T3047" s="41"/>
    </row>
    <row r="3048" spans="20:20" s="566" customFormat="1">
      <c r="T3048" s="41"/>
    </row>
    <row r="3049" spans="20:20" s="566" customFormat="1">
      <c r="T3049" s="41"/>
    </row>
    <row r="3050" spans="20:20" s="566" customFormat="1">
      <c r="T3050" s="41"/>
    </row>
    <row r="3051" spans="20:20" s="566" customFormat="1">
      <c r="T3051" s="41"/>
    </row>
    <row r="3052" spans="20:20" s="566" customFormat="1">
      <c r="T3052" s="41"/>
    </row>
    <row r="3053" spans="20:20" s="566" customFormat="1">
      <c r="T3053" s="41"/>
    </row>
    <row r="3054" spans="20:20" s="566" customFormat="1">
      <c r="T3054" s="41"/>
    </row>
    <row r="3055" spans="20:20" s="566" customFormat="1">
      <c r="T3055" s="41"/>
    </row>
    <row r="3056" spans="20:20" s="566" customFormat="1">
      <c r="T3056" s="41"/>
    </row>
    <row r="3057" spans="20:20" s="566" customFormat="1">
      <c r="T3057" s="41"/>
    </row>
    <row r="3058" spans="20:20" s="566" customFormat="1">
      <c r="T3058" s="41"/>
    </row>
    <row r="3059" spans="20:20" s="566" customFormat="1">
      <c r="T3059" s="41"/>
    </row>
    <row r="3060" spans="20:20" s="566" customFormat="1">
      <c r="T3060" s="41"/>
    </row>
    <row r="3061" spans="20:20" s="566" customFormat="1">
      <c r="T3061" s="41"/>
    </row>
    <row r="3062" spans="20:20" s="566" customFormat="1">
      <c r="T3062" s="41"/>
    </row>
    <row r="3063" spans="20:20" s="566" customFormat="1">
      <c r="T3063" s="41"/>
    </row>
    <row r="3064" spans="20:20" s="566" customFormat="1">
      <c r="T3064" s="41"/>
    </row>
    <row r="3065" spans="20:20" s="566" customFormat="1">
      <c r="T3065" s="41"/>
    </row>
    <row r="3066" spans="20:20" s="566" customFormat="1">
      <c r="T3066" s="41"/>
    </row>
    <row r="3067" spans="20:20" s="566" customFormat="1">
      <c r="T3067" s="41"/>
    </row>
    <row r="3068" spans="20:20" s="566" customFormat="1">
      <c r="T3068" s="41"/>
    </row>
    <row r="3069" spans="20:20" s="566" customFormat="1">
      <c r="T3069" s="41"/>
    </row>
    <row r="3070" spans="20:20" s="566" customFormat="1">
      <c r="T3070" s="41"/>
    </row>
    <row r="3071" spans="20:20" s="566" customFormat="1">
      <c r="T3071" s="41"/>
    </row>
    <row r="3072" spans="20:20" s="566" customFormat="1">
      <c r="T3072" s="41"/>
    </row>
    <row r="3073" spans="20:20" s="566" customFormat="1">
      <c r="T3073" s="41"/>
    </row>
    <row r="3074" spans="20:20" s="566" customFormat="1">
      <c r="T3074" s="41"/>
    </row>
    <row r="3075" spans="20:20" s="566" customFormat="1">
      <c r="T3075" s="41"/>
    </row>
    <row r="3076" spans="20:20" s="566" customFormat="1">
      <c r="T3076" s="41"/>
    </row>
    <row r="3077" spans="20:20" s="566" customFormat="1">
      <c r="T3077" s="41"/>
    </row>
    <row r="3078" spans="20:20" s="566" customFormat="1">
      <c r="T3078" s="41"/>
    </row>
    <row r="3079" spans="20:20" s="566" customFormat="1">
      <c r="T3079" s="41"/>
    </row>
    <row r="3080" spans="20:20" s="566" customFormat="1">
      <c r="T3080" s="41"/>
    </row>
    <row r="3081" spans="20:20" s="566" customFormat="1">
      <c r="T3081" s="41"/>
    </row>
    <row r="3082" spans="20:20" s="566" customFormat="1">
      <c r="T3082" s="41"/>
    </row>
    <row r="3083" spans="20:20" s="566" customFormat="1">
      <c r="T3083" s="41"/>
    </row>
    <row r="3084" spans="20:20" s="566" customFormat="1">
      <c r="T3084" s="41"/>
    </row>
    <row r="3085" spans="20:20" s="566" customFormat="1">
      <c r="T3085" s="41"/>
    </row>
    <row r="3086" spans="20:20" s="566" customFormat="1">
      <c r="T3086" s="41"/>
    </row>
    <row r="3087" spans="20:20" s="566" customFormat="1">
      <c r="T3087" s="41"/>
    </row>
    <row r="3088" spans="20:20" s="566" customFormat="1">
      <c r="T3088" s="41"/>
    </row>
    <row r="3089" spans="20:20" s="566" customFormat="1">
      <c r="T3089" s="41"/>
    </row>
    <row r="3090" spans="20:20" s="566" customFormat="1">
      <c r="T3090" s="41"/>
    </row>
    <row r="3091" spans="20:20" s="566" customFormat="1">
      <c r="T3091" s="41"/>
    </row>
    <row r="3092" spans="20:20" s="566" customFormat="1">
      <c r="T3092" s="41"/>
    </row>
    <row r="3093" spans="20:20" s="566" customFormat="1">
      <c r="T3093" s="41"/>
    </row>
    <row r="3094" spans="20:20" s="566" customFormat="1">
      <c r="T3094" s="41"/>
    </row>
    <row r="3095" spans="20:20" s="566" customFormat="1">
      <c r="T3095" s="41"/>
    </row>
    <row r="3096" spans="20:20" s="566" customFormat="1">
      <c r="T3096" s="41"/>
    </row>
    <row r="3097" spans="20:20" s="566" customFormat="1">
      <c r="T3097" s="41"/>
    </row>
    <row r="3098" spans="20:20" s="566" customFormat="1">
      <c r="T3098" s="41"/>
    </row>
    <row r="3099" spans="20:20" s="566" customFormat="1">
      <c r="T3099" s="41"/>
    </row>
    <row r="3100" spans="20:20" s="566" customFormat="1">
      <c r="T3100" s="41"/>
    </row>
    <row r="3101" spans="20:20" s="566" customFormat="1">
      <c r="T3101" s="41"/>
    </row>
    <row r="3102" spans="20:20" s="566" customFormat="1">
      <c r="T3102" s="41"/>
    </row>
    <row r="3103" spans="20:20" s="566" customFormat="1">
      <c r="T3103" s="41"/>
    </row>
    <row r="3104" spans="20:20" s="566" customFormat="1">
      <c r="T3104" s="41"/>
    </row>
    <row r="3105" spans="20:20" s="566" customFormat="1">
      <c r="T3105" s="41"/>
    </row>
    <row r="3106" spans="20:20" s="566" customFormat="1">
      <c r="T3106" s="41"/>
    </row>
    <row r="3107" spans="20:20" s="566" customFormat="1">
      <c r="T3107" s="41"/>
    </row>
    <row r="3108" spans="20:20" s="566" customFormat="1">
      <c r="T3108" s="41"/>
    </row>
    <row r="3109" spans="20:20" s="566" customFormat="1">
      <c r="T3109" s="41"/>
    </row>
    <row r="3110" spans="20:20" s="566" customFormat="1">
      <c r="T3110" s="41"/>
    </row>
    <row r="3111" spans="20:20" s="566" customFormat="1">
      <c r="T3111" s="41"/>
    </row>
    <row r="3112" spans="20:20" s="566" customFormat="1">
      <c r="T3112" s="41"/>
    </row>
    <row r="3113" spans="20:20" s="566" customFormat="1">
      <c r="T3113" s="41"/>
    </row>
    <row r="3114" spans="20:20" s="566" customFormat="1">
      <c r="T3114" s="41"/>
    </row>
    <row r="3115" spans="20:20" s="566" customFormat="1">
      <c r="T3115" s="41"/>
    </row>
    <row r="3116" spans="20:20" s="566" customFormat="1">
      <c r="T3116" s="41"/>
    </row>
    <row r="3117" spans="20:20" s="566" customFormat="1">
      <c r="T3117" s="41"/>
    </row>
    <row r="3118" spans="20:20" s="566" customFormat="1">
      <c r="T3118" s="41"/>
    </row>
    <row r="3119" spans="20:20" s="566" customFormat="1">
      <c r="T3119" s="41"/>
    </row>
    <row r="3120" spans="20:20" s="566" customFormat="1">
      <c r="T3120" s="41"/>
    </row>
    <row r="3121" spans="20:20" s="566" customFormat="1">
      <c r="T3121" s="41"/>
    </row>
    <row r="3122" spans="20:20" s="566" customFormat="1">
      <c r="T3122" s="41"/>
    </row>
    <row r="3123" spans="20:20" s="566" customFormat="1">
      <c r="T3123" s="41"/>
    </row>
    <row r="3124" spans="20:20" s="566" customFormat="1">
      <c r="T3124" s="41"/>
    </row>
    <row r="3125" spans="20:20" s="566" customFormat="1">
      <c r="T3125" s="41"/>
    </row>
    <row r="3126" spans="20:20" s="566" customFormat="1">
      <c r="T3126" s="41"/>
    </row>
    <row r="3127" spans="20:20" s="566" customFormat="1">
      <c r="T3127" s="41"/>
    </row>
    <row r="3128" spans="20:20" s="566" customFormat="1">
      <c r="T3128" s="41"/>
    </row>
    <row r="3129" spans="20:20" s="566" customFormat="1">
      <c r="T3129" s="41"/>
    </row>
    <row r="3130" spans="20:20" s="566" customFormat="1">
      <c r="T3130" s="41"/>
    </row>
    <row r="3131" spans="20:20" s="566" customFormat="1">
      <c r="T3131" s="41"/>
    </row>
    <row r="3132" spans="20:20" s="566" customFormat="1">
      <c r="T3132" s="41"/>
    </row>
    <row r="3133" spans="20:20" s="566" customFormat="1">
      <c r="T3133" s="41"/>
    </row>
    <row r="3134" spans="20:20" s="566" customFormat="1">
      <c r="T3134" s="41"/>
    </row>
    <row r="3135" spans="20:20" s="566" customFormat="1">
      <c r="T3135" s="41"/>
    </row>
    <row r="3136" spans="20:20" s="566" customFormat="1">
      <c r="T3136" s="41"/>
    </row>
    <row r="3137" spans="20:20" s="566" customFormat="1">
      <c r="T3137" s="41"/>
    </row>
    <row r="3138" spans="20:20" s="566" customFormat="1">
      <c r="T3138" s="41"/>
    </row>
    <row r="3139" spans="20:20" s="566" customFormat="1">
      <c r="T3139" s="41"/>
    </row>
    <row r="3140" spans="20:20" s="566" customFormat="1">
      <c r="T3140" s="41"/>
    </row>
    <row r="3141" spans="20:20" s="566" customFormat="1">
      <c r="T3141" s="41"/>
    </row>
    <row r="3142" spans="20:20" s="566" customFormat="1">
      <c r="T3142" s="41"/>
    </row>
    <row r="3143" spans="20:20" s="566" customFormat="1">
      <c r="T3143" s="41"/>
    </row>
    <row r="3144" spans="20:20" s="566" customFormat="1">
      <c r="T3144" s="41"/>
    </row>
    <row r="3145" spans="20:20" s="566" customFormat="1">
      <c r="T3145" s="41"/>
    </row>
    <row r="3146" spans="20:20" s="566" customFormat="1">
      <c r="T3146" s="41"/>
    </row>
    <row r="3147" spans="20:20" s="566" customFormat="1">
      <c r="T3147" s="41"/>
    </row>
    <row r="3148" spans="20:20" s="566" customFormat="1">
      <c r="T3148" s="41"/>
    </row>
    <row r="3149" spans="20:20" s="566" customFormat="1">
      <c r="T3149" s="41"/>
    </row>
    <row r="3150" spans="20:20" s="566" customFormat="1">
      <c r="T3150" s="41"/>
    </row>
    <row r="3151" spans="20:20" s="566" customFormat="1">
      <c r="T3151" s="41"/>
    </row>
    <row r="3152" spans="20:20" s="566" customFormat="1">
      <c r="T3152" s="41"/>
    </row>
    <row r="3153" spans="20:20" s="566" customFormat="1">
      <c r="T3153" s="41"/>
    </row>
    <row r="3154" spans="20:20" s="566" customFormat="1">
      <c r="T3154" s="41"/>
    </row>
    <row r="3155" spans="20:20" s="566" customFormat="1">
      <c r="T3155" s="41"/>
    </row>
    <row r="3156" spans="20:20" s="566" customFormat="1">
      <c r="T3156" s="41"/>
    </row>
    <row r="3157" spans="20:20" s="566" customFormat="1">
      <c r="T3157" s="41"/>
    </row>
    <row r="3158" spans="20:20" s="566" customFormat="1">
      <c r="T3158" s="41"/>
    </row>
    <row r="3159" spans="20:20" s="566" customFormat="1">
      <c r="T3159" s="41"/>
    </row>
    <row r="3160" spans="20:20" s="566" customFormat="1">
      <c r="T3160" s="41"/>
    </row>
    <row r="3161" spans="20:20" s="566" customFormat="1">
      <c r="T3161" s="41"/>
    </row>
    <row r="3162" spans="20:20" s="566" customFormat="1">
      <c r="T3162" s="41"/>
    </row>
    <row r="3163" spans="20:20" s="566" customFormat="1">
      <c r="T3163" s="41"/>
    </row>
    <row r="3164" spans="20:20" s="566" customFormat="1">
      <c r="T3164" s="41"/>
    </row>
    <row r="3165" spans="20:20" s="566" customFormat="1">
      <c r="T3165" s="41"/>
    </row>
    <row r="3166" spans="20:20" s="566" customFormat="1">
      <c r="T3166" s="41"/>
    </row>
    <row r="3167" spans="20:20" s="566" customFormat="1">
      <c r="T3167" s="41"/>
    </row>
    <row r="3168" spans="20:20" s="566" customFormat="1">
      <c r="T3168" s="41"/>
    </row>
    <row r="3169" spans="20:20" s="566" customFormat="1">
      <c r="T3169" s="41"/>
    </row>
    <row r="3170" spans="20:20" s="566" customFormat="1">
      <c r="T3170" s="41"/>
    </row>
    <row r="3171" spans="20:20" s="566" customFormat="1">
      <c r="T3171" s="41"/>
    </row>
    <row r="3172" spans="20:20" s="566" customFormat="1">
      <c r="T3172" s="41"/>
    </row>
    <row r="3173" spans="20:20" s="566" customFormat="1">
      <c r="T3173" s="41"/>
    </row>
    <row r="3174" spans="20:20" s="566" customFormat="1">
      <c r="T3174" s="41"/>
    </row>
    <row r="3175" spans="20:20" s="566" customFormat="1">
      <c r="T3175" s="41"/>
    </row>
    <row r="3176" spans="20:20" s="566" customFormat="1">
      <c r="T3176" s="41"/>
    </row>
    <row r="3177" spans="20:20" s="566" customFormat="1">
      <c r="T3177" s="41"/>
    </row>
    <row r="3178" spans="20:20" s="566" customFormat="1">
      <c r="T3178" s="41"/>
    </row>
    <row r="3179" spans="20:20" s="566" customFormat="1">
      <c r="T3179" s="41"/>
    </row>
    <row r="3180" spans="20:20" s="566" customFormat="1">
      <c r="T3180" s="41"/>
    </row>
    <row r="3181" spans="20:20" s="566" customFormat="1">
      <c r="T3181" s="41"/>
    </row>
    <row r="3182" spans="20:20" s="566" customFormat="1">
      <c r="T3182" s="41"/>
    </row>
    <row r="3183" spans="20:20" s="566" customFormat="1">
      <c r="T3183" s="41"/>
    </row>
    <row r="3184" spans="20:20" s="566" customFormat="1">
      <c r="T3184" s="41"/>
    </row>
    <row r="3185" spans="20:20" s="566" customFormat="1">
      <c r="T3185" s="41"/>
    </row>
    <row r="3186" spans="20:20" s="566" customFormat="1">
      <c r="T3186" s="41"/>
    </row>
    <row r="3187" spans="20:20" s="566" customFormat="1">
      <c r="T3187" s="41"/>
    </row>
    <row r="3188" spans="20:20" s="566" customFormat="1">
      <c r="T3188" s="41"/>
    </row>
    <row r="3189" spans="20:20" s="566" customFormat="1">
      <c r="T3189" s="41"/>
    </row>
    <row r="3190" spans="20:20" s="566" customFormat="1">
      <c r="T3190" s="41"/>
    </row>
    <row r="3191" spans="20:20" s="566" customFormat="1">
      <c r="T3191" s="41"/>
    </row>
    <row r="3192" spans="20:20" s="566" customFormat="1">
      <c r="T3192" s="41"/>
    </row>
    <row r="3193" spans="20:20" s="566" customFormat="1">
      <c r="T3193" s="41"/>
    </row>
    <row r="3194" spans="20:20" s="566" customFormat="1">
      <c r="T3194" s="41"/>
    </row>
    <row r="3195" spans="20:20" s="566" customFormat="1">
      <c r="T3195" s="41"/>
    </row>
    <row r="3196" spans="20:20" s="566" customFormat="1">
      <c r="T3196" s="41"/>
    </row>
    <row r="3197" spans="20:20" s="566" customFormat="1">
      <c r="T3197" s="41"/>
    </row>
    <row r="3198" spans="20:20" s="566" customFormat="1">
      <c r="T3198" s="41"/>
    </row>
    <row r="3199" spans="20:20" s="566" customFormat="1">
      <c r="T3199" s="41"/>
    </row>
    <row r="3200" spans="20:20" s="566" customFormat="1">
      <c r="T3200" s="41"/>
    </row>
    <row r="3201" spans="20:20" s="566" customFormat="1">
      <c r="T3201" s="41"/>
    </row>
    <row r="3202" spans="20:20" s="566" customFormat="1">
      <c r="T3202" s="41"/>
    </row>
    <row r="3203" spans="20:20" s="566" customFormat="1">
      <c r="T3203" s="41"/>
    </row>
    <row r="3204" spans="20:20" s="566" customFormat="1">
      <c r="T3204" s="41"/>
    </row>
    <row r="3205" spans="20:20" s="566" customFormat="1">
      <c r="T3205" s="41"/>
    </row>
    <row r="3206" spans="20:20" s="566" customFormat="1">
      <c r="T3206" s="41"/>
    </row>
    <row r="3207" spans="20:20" s="566" customFormat="1">
      <c r="T3207" s="41"/>
    </row>
    <row r="3208" spans="20:20" s="566" customFormat="1">
      <c r="T3208" s="41"/>
    </row>
    <row r="3209" spans="20:20" s="566" customFormat="1">
      <c r="T3209" s="41"/>
    </row>
    <row r="3210" spans="20:20" s="566" customFormat="1">
      <c r="T3210" s="41"/>
    </row>
    <row r="3211" spans="20:20" s="566" customFormat="1">
      <c r="T3211" s="41"/>
    </row>
    <row r="3212" spans="20:20" s="566" customFormat="1">
      <c r="T3212" s="41"/>
    </row>
    <row r="3213" spans="20:20" s="566" customFormat="1">
      <c r="T3213" s="41"/>
    </row>
    <row r="3214" spans="20:20" s="566" customFormat="1">
      <c r="T3214" s="41"/>
    </row>
    <row r="3215" spans="20:20" s="566" customFormat="1">
      <c r="T3215" s="41"/>
    </row>
    <row r="3216" spans="20:20" s="566" customFormat="1">
      <c r="T3216" s="41"/>
    </row>
    <row r="3217" spans="20:20" s="566" customFormat="1">
      <c r="T3217" s="41"/>
    </row>
    <row r="3218" spans="20:20" s="566" customFormat="1">
      <c r="T3218" s="41"/>
    </row>
    <row r="3219" spans="20:20" s="566" customFormat="1">
      <c r="T3219" s="41"/>
    </row>
    <row r="3220" spans="20:20" s="566" customFormat="1">
      <c r="T3220" s="41"/>
    </row>
    <row r="3221" spans="20:20" s="566" customFormat="1">
      <c r="T3221" s="41"/>
    </row>
    <row r="3222" spans="20:20" s="566" customFormat="1">
      <c r="T3222" s="41"/>
    </row>
    <row r="3223" spans="20:20" s="566" customFormat="1">
      <c r="T3223" s="41"/>
    </row>
    <row r="3224" spans="20:20" s="566" customFormat="1">
      <c r="T3224" s="41"/>
    </row>
    <row r="3225" spans="20:20" s="566" customFormat="1">
      <c r="T3225" s="41"/>
    </row>
    <row r="3226" spans="20:20" s="566" customFormat="1">
      <c r="T3226" s="41"/>
    </row>
    <row r="3227" spans="20:20" s="566" customFormat="1">
      <c r="T3227" s="41"/>
    </row>
    <row r="3228" spans="20:20" s="566" customFormat="1">
      <c r="T3228" s="41"/>
    </row>
    <row r="3229" spans="20:20" s="566" customFormat="1">
      <c r="T3229" s="41"/>
    </row>
    <row r="3230" spans="20:20" s="566" customFormat="1">
      <c r="T3230" s="41"/>
    </row>
    <row r="3231" spans="20:20" s="566" customFormat="1">
      <c r="T3231" s="41"/>
    </row>
    <row r="3232" spans="20:20" s="566" customFormat="1">
      <c r="T3232" s="41"/>
    </row>
    <row r="3233" spans="20:20" s="566" customFormat="1">
      <c r="T3233" s="41"/>
    </row>
    <row r="3234" spans="20:20" s="566" customFormat="1">
      <c r="T3234" s="41"/>
    </row>
    <row r="3235" spans="20:20" s="566" customFormat="1">
      <c r="T3235" s="41"/>
    </row>
    <row r="3236" spans="20:20" s="566" customFormat="1">
      <c r="T3236" s="41"/>
    </row>
    <row r="3237" spans="20:20" s="566" customFormat="1">
      <c r="T3237" s="41"/>
    </row>
    <row r="3238" spans="20:20" s="566" customFormat="1">
      <c r="T3238" s="41"/>
    </row>
    <row r="3239" spans="20:20" s="566" customFormat="1">
      <c r="T3239" s="41"/>
    </row>
    <row r="3240" spans="20:20" s="566" customFormat="1">
      <c r="T3240" s="41"/>
    </row>
    <row r="3241" spans="20:20" s="566" customFormat="1">
      <c r="T3241" s="41"/>
    </row>
    <row r="3242" spans="20:20" s="566" customFormat="1">
      <c r="T3242" s="41"/>
    </row>
    <row r="3243" spans="20:20" s="566" customFormat="1">
      <c r="T3243" s="41"/>
    </row>
    <row r="3244" spans="20:20" s="566" customFormat="1">
      <c r="T3244" s="41"/>
    </row>
    <row r="3245" spans="20:20" s="566" customFormat="1">
      <c r="T3245" s="41"/>
    </row>
    <row r="3246" spans="20:20" s="566" customFormat="1">
      <c r="T3246" s="41"/>
    </row>
    <row r="3247" spans="20:20" s="566" customFormat="1">
      <c r="T3247" s="41"/>
    </row>
    <row r="3248" spans="20:20" s="566" customFormat="1">
      <c r="T3248" s="41"/>
    </row>
    <row r="3249" spans="20:20" s="566" customFormat="1">
      <c r="T3249" s="41"/>
    </row>
    <row r="3250" spans="20:20" s="566" customFormat="1">
      <c r="T3250" s="41"/>
    </row>
    <row r="3251" spans="20:20" s="566" customFormat="1">
      <c r="T3251" s="41"/>
    </row>
    <row r="3252" spans="20:20" s="566" customFormat="1">
      <c r="T3252" s="41"/>
    </row>
    <row r="3253" spans="20:20" s="566" customFormat="1">
      <c r="T3253" s="41"/>
    </row>
    <row r="3254" spans="20:20" s="566" customFormat="1">
      <c r="T3254" s="41"/>
    </row>
    <row r="3255" spans="20:20" s="566" customFormat="1">
      <c r="T3255" s="41"/>
    </row>
    <row r="3256" spans="20:20" s="566" customFormat="1">
      <c r="T3256" s="41"/>
    </row>
    <row r="3257" spans="20:20" s="566" customFormat="1">
      <c r="T3257" s="41"/>
    </row>
    <row r="3258" spans="20:20" s="566" customFormat="1">
      <c r="T3258" s="41"/>
    </row>
    <row r="3259" spans="20:20" s="566" customFormat="1">
      <c r="T3259" s="41"/>
    </row>
    <row r="3260" spans="20:20" s="566" customFormat="1">
      <c r="T3260" s="41"/>
    </row>
    <row r="3261" spans="20:20" s="566" customFormat="1">
      <c r="T3261" s="41"/>
    </row>
    <row r="3262" spans="20:20" s="566" customFormat="1">
      <c r="T3262" s="41"/>
    </row>
    <row r="3263" spans="20:20" s="566" customFormat="1">
      <c r="T3263" s="41"/>
    </row>
    <row r="3264" spans="20:20" s="566" customFormat="1">
      <c r="T3264" s="41"/>
    </row>
    <row r="3265" spans="20:20" s="566" customFormat="1">
      <c r="T3265" s="41"/>
    </row>
    <row r="3266" spans="20:20" s="566" customFormat="1">
      <c r="T3266" s="41"/>
    </row>
    <row r="3267" spans="20:20" s="566" customFormat="1">
      <c r="T3267" s="41"/>
    </row>
    <row r="3268" spans="20:20" s="566" customFormat="1">
      <c r="T3268" s="41"/>
    </row>
    <row r="3269" spans="20:20" s="566" customFormat="1">
      <c r="T3269" s="41"/>
    </row>
    <row r="3270" spans="20:20" s="566" customFormat="1">
      <c r="T3270" s="41"/>
    </row>
    <row r="3271" spans="20:20" s="566" customFormat="1">
      <c r="T3271" s="41"/>
    </row>
    <row r="3272" spans="20:20" s="566" customFormat="1">
      <c r="T3272" s="41"/>
    </row>
    <row r="3273" spans="20:20" s="566" customFormat="1">
      <c r="T3273" s="41"/>
    </row>
    <row r="3274" spans="20:20" s="566" customFormat="1">
      <c r="T3274" s="41"/>
    </row>
    <row r="3275" spans="20:20" s="566" customFormat="1">
      <c r="T3275" s="41"/>
    </row>
    <row r="3276" spans="20:20" s="566" customFormat="1">
      <c r="T3276" s="41"/>
    </row>
    <row r="3277" spans="20:20" s="566" customFormat="1">
      <c r="T3277" s="41"/>
    </row>
    <row r="3278" spans="20:20" s="566" customFormat="1">
      <c r="T3278" s="41"/>
    </row>
    <row r="3279" spans="20:20" s="566" customFormat="1">
      <c r="T3279" s="41"/>
    </row>
    <row r="3280" spans="20:20" s="566" customFormat="1">
      <c r="T3280" s="41"/>
    </row>
    <row r="3281" spans="20:20" s="566" customFormat="1">
      <c r="T3281" s="41"/>
    </row>
    <row r="3282" spans="20:20" s="566" customFormat="1">
      <c r="T3282" s="41"/>
    </row>
    <row r="3283" spans="20:20" s="566" customFormat="1">
      <c r="T3283" s="41"/>
    </row>
    <row r="3284" spans="20:20" s="566" customFormat="1">
      <c r="T3284" s="41"/>
    </row>
    <row r="3285" spans="20:20" s="566" customFormat="1">
      <c r="T3285" s="41"/>
    </row>
    <row r="3286" spans="20:20" s="566" customFormat="1">
      <c r="T3286" s="41"/>
    </row>
    <row r="3287" spans="20:20" s="566" customFormat="1">
      <c r="T3287" s="41"/>
    </row>
    <row r="3288" spans="20:20" s="566" customFormat="1">
      <c r="T3288" s="41"/>
    </row>
    <row r="3289" spans="20:20" s="566" customFormat="1">
      <c r="T3289" s="41"/>
    </row>
    <row r="3290" spans="20:20" s="566" customFormat="1">
      <c r="T3290" s="41"/>
    </row>
    <row r="3291" spans="20:20" s="566" customFormat="1">
      <c r="T3291" s="41"/>
    </row>
    <row r="3292" spans="20:20" s="566" customFormat="1">
      <c r="T3292" s="41"/>
    </row>
    <row r="3293" spans="20:20" s="566" customFormat="1">
      <c r="T3293" s="41"/>
    </row>
    <row r="3294" spans="20:20" s="566" customFormat="1">
      <c r="T3294" s="41"/>
    </row>
    <row r="3295" spans="20:20" s="566" customFormat="1">
      <c r="T3295" s="41"/>
    </row>
    <row r="3296" spans="20:20" s="566" customFormat="1">
      <c r="T3296" s="41"/>
    </row>
    <row r="3297" spans="20:20" s="566" customFormat="1">
      <c r="T3297" s="41"/>
    </row>
    <row r="3298" spans="20:20" s="566" customFormat="1">
      <c r="T3298" s="41"/>
    </row>
    <row r="3299" spans="20:20" s="566" customFormat="1">
      <c r="T3299" s="41"/>
    </row>
    <row r="3300" spans="20:20" s="566" customFormat="1">
      <c r="T3300" s="41"/>
    </row>
    <row r="3301" spans="20:20" s="566" customFormat="1">
      <c r="T3301" s="41"/>
    </row>
    <row r="3302" spans="20:20" s="566" customFormat="1">
      <c r="T3302" s="41"/>
    </row>
    <row r="3303" spans="20:20" s="566" customFormat="1">
      <c r="T3303" s="41"/>
    </row>
    <row r="3304" spans="20:20" s="566" customFormat="1">
      <c r="T3304" s="41"/>
    </row>
    <row r="3305" spans="20:20" s="566" customFormat="1">
      <c r="T3305" s="41"/>
    </row>
    <row r="3306" spans="20:20" s="566" customFormat="1">
      <c r="T3306" s="41"/>
    </row>
    <row r="3307" spans="20:20" s="566" customFormat="1">
      <c r="T3307" s="41"/>
    </row>
    <row r="3308" spans="20:20" s="566" customFormat="1">
      <c r="T3308" s="41"/>
    </row>
    <row r="3309" spans="20:20" s="566" customFormat="1">
      <c r="T3309" s="41"/>
    </row>
    <row r="3310" spans="20:20" s="566" customFormat="1">
      <c r="T3310" s="41"/>
    </row>
    <row r="3311" spans="20:20" s="566" customFormat="1">
      <c r="T3311" s="41"/>
    </row>
    <row r="3312" spans="20:20" s="566" customFormat="1">
      <c r="T3312" s="41"/>
    </row>
    <row r="3313" spans="20:20" s="566" customFormat="1">
      <c r="T3313" s="41"/>
    </row>
    <row r="3314" spans="20:20" s="566" customFormat="1">
      <c r="T3314" s="41"/>
    </row>
    <row r="3315" spans="20:20" s="566" customFormat="1">
      <c r="T3315" s="41"/>
    </row>
    <row r="3316" spans="20:20" s="566" customFormat="1">
      <c r="T3316" s="41"/>
    </row>
    <row r="3317" spans="20:20" s="566" customFormat="1">
      <c r="T3317" s="41"/>
    </row>
    <row r="3318" spans="20:20" s="566" customFormat="1">
      <c r="T3318" s="41"/>
    </row>
    <row r="3319" spans="20:20" s="566" customFormat="1">
      <c r="T3319" s="41"/>
    </row>
    <row r="3320" spans="20:20" s="566" customFormat="1">
      <c r="T3320" s="41"/>
    </row>
    <row r="3321" spans="20:20" s="566" customFormat="1">
      <c r="T3321" s="41"/>
    </row>
    <row r="3322" spans="20:20" s="566" customFormat="1">
      <c r="T3322" s="41"/>
    </row>
    <row r="3323" spans="20:20" s="566" customFormat="1">
      <c r="T3323" s="41"/>
    </row>
    <row r="3324" spans="20:20" s="566" customFormat="1">
      <c r="T3324" s="41"/>
    </row>
    <row r="3325" spans="20:20" s="566" customFormat="1">
      <c r="T3325" s="41"/>
    </row>
    <row r="3326" spans="20:20" s="566" customFormat="1">
      <c r="T3326" s="41"/>
    </row>
    <row r="3327" spans="20:20" s="566" customFormat="1">
      <c r="T3327" s="41"/>
    </row>
    <row r="3328" spans="20:20" s="566" customFormat="1">
      <c r="T3328" s="41"/>
    </row>
    <row r="3329" spans="20:20" s="566" customFormat="1">
      <c r="T3329" s="41"/>
    </row>
    <row r="3330" spans="20:20" s="566" customFormat="1">
      <c r="T3330" s="41"/>
    </row>
    <row r="3331" spans="20:20" s="566" customFormat="1">
      <c r="T3331" s="41"/>
    </row>
    <row r="3332" spans="20:20" s="566" customFormat="1">
      <c r="T3332" s="41"/>
    </row>
    <row r="3333" spans="20:20" s="566" customFormat="1">
      <c r="T3333" s="41"/>
    </row>
    <row r="3334" spans="20:20" s="566" customFormat="1">
      <c r="T3334" s="41"/>
    </row>
    <row r="3335" spans="20:20" s="566" customFormat="1">
      <c r="T3335" s="41"/>
    </row>
    <row r="3336" spans="20:20" s="566" customFormat="1">
      <c r="T3336" s="41"/>
    </row>
    <row r="3337" spans="20:20" s="566" customFormat="1">
      <c r="T3337" s="41"/>
    </row>
    <row r="3338" spans="20:20" s="566" customFormat="1">
      <c r="T3338" s="41"/>
    </row>
    <row r="3339" spans="20:20" s="566" customFormat="1">
      <c r="T3339" s="41"/>
    </row>
    <row r="3340" spans="20:20" s="566" customFormat="1">
      <c r="T3340" s="41"/>
    </row>
    <row r="3341" spans="20:20" s="566" customFormat="1">
      <c r="T3341" s="41"/>
    </row>
    <row r="3342" spans="20:20" s="566" customFormat="1">
      <c r="T3342" s="41"/>
    </row>
    <row r="3343" spans="20:20" s="566" customFormat="1">
      <c r="T3343" s="41"/>
    </row>
    <row r="3344" spans="20:20" s="566" customFormat="1">
      <c r="T3344" s="41"/>
    </row>
    <row r="3345" spans="20:20" s="566" customFormat="1">
      <c r="T3345" s="41"/>
    </row>
    <row r="3346" spans="20:20" s="566" customFormat="1">
      <c r="T3346" s="41"/>
    </row>
    <row r="3347" spans="20:20" s="566" customFormat="1">
      <c r="T3347" s="41"/>
    </row>
    <row r="3348" spans="20:20" s="566" customFormat="1">
      <c r="T3348" s="41"/>
    </row>
    <row r="3349" spans="20:20" s="566" customFormat="1">
      <c r="T3349" s="41"/>
    </row>
    <row r="3350" spans="20:20" s="566" customFormat="1">
      <c r="T3350" s="41"/>
    </row>
    <row r="3351" spans="20:20" s="566" customFormat="1">
      <c r="T3351" s="41"/>
    </row>
    <row r="3352" spans="20:20" s="566" customFormat="1">
      <c r="T3352" s="41"/>
    </row>
    <row r="3353" spans="20:20" s="566" customFormat="1">
      <c r="T3353" s="41"/>
    </row>
    <row r="3354" spans="20:20" s="566" customFormat="1">
      <c r="T3354" s="41"/>
    </row>
    <row r="3355" spans="20:20" s="566" customFormat="1">
      <c r="T3355" s="41"/>
    </row>
    <row r="3356" spans="20:20" s="566" customFormat="1">
      <c r="T3356" s="41"/>
    </row>
    <row r="3357" spans="20:20" s="566" customFormat="1">
      <c r="T3357" s="41"/>
    </row>
    <row r="3358" spans="20:20" s="566" customFormat="1">
      <c r="T3358" s="41"/>
    </row>
    <row r="3359" spans="20:20" s="566" customFormat="1">
      <c r="T3359" s="41"/>
    </row>
    <row r="3360" spans="20:20" s="566" customFormat="1">
      <c r="T3360" s="41"/>
    </row>
    <row r="3361" spans="20:20" s="566" customFormat="1">
      <c r="T3361" s="41"/>
    </row>
    <row r="3362" spans="20:20" s="566" customFormat="1">
      <c r="T3362" s="41"/>
    </row>
    <row r="3363" spans="20:20" s="566" customFormat="1">
      <c r="T3363" s="41"/>
    </row>
    <row r="3364" spans="20:20" s="566" customFormat="1">
      <c r="T3364" s="41"/>
    </row>
    <row r="3365" spans="20:20" s="566" customFormat="1">
      <c r="T3365" s="41"/>
    </row>
    <row r="3366" spans="20:20" s="566" customFormat="1">
      <c r="T3366" s="41"/>
    </row>
    <row r="3367" spans="20:20" s="566" customFormat="1">
      <c r="T3367" s="41"/>
    </row>
    <row r="3368" spans="20:20" s="566" customFormat="1">
      <c r="T3368" s="41"/>
    </row>
    <row r="3369" spans="20:20" s="566" customFormat="1">
      <c r="T3369" s="41"/>
    </row>
    <row r="3370" spans="20:20" s="566" customFormat="1">
      <c r="T3370" s="41"/>
    </row>
    <row r="3371" spans="20:20" s="566" customFormat="1">
      <c r="T3371" s="41"/>
    </row>
    <row r="3372" spans="20:20" s="566" customFormat="1">
      <c r="T3372" s="41"/>
    </row>
    <row r="3373" spans="20:20" s="566" customFormat="1">
      <c r="T3373" s="41"/>
    </row>
    <row r="3374" spans="20:20" s="566" customFormat="1">
      <c r="T3374" s="41"/>
    </row>
    <row r="3375" spans="20:20" s="566" customFormat="1">
      <c r="T3375" s="41"/>
    </row>
    <row r="3376" spans="20:20" s="566" customFormat="1">
      <c r="T3376" s="41"/>
    </row>
    <row r="3377" spans="20:20" s="566" customFormat="1">
      <c r="T3377" s="41"/>
    </row>
    <row r="3378" spans="20:20" s="566" customFormat="1">
      <c r="T3378" s="41"/>
    </row>
    <row r="3379" spans="20:20" s="566" customFormat="1">
      <c r="T3379" s="41"/>
    </row>
    <row r="3380" spans="20:20" s="566" customFormat="1">
      <c r="T3380" s="41"/>
    </row>
    <row r="3381" spans="20:20" s="566" customFormat="1">
      <c r="T3381" s="41"/>
    </row>
    <row r="3382" spans="20:20" s="566" customFormat="1">
      <c r="T3382" s="41"/>
    </row>
    <row r="3383" spans="20:20" s="566" customFormat="1">
      <c r="T3383" s="41"/>
    </row>
    <row r="3384" spans="20:20" s="566" customFormat="1">
      <c r="T3384" s="41"/>
    </row>
    <row r="3385" spans="20:20" s="566" customFormat="1">
      <c r="T3385" s="41"/>
    </row>
    <row r="3386" spans="20:20" s="566" customFormat="1">
      <c r="T3386" s="41"/>
    </row>
    <row r="3387" spans="20:20" s="566" customFormat="1">
      <c r="T3387" s="41"/>
    </row>
    <row r="3388" spans="20:20" s="566" customFormat="1">
      <c r="T3388" s="41"/>
    </row>
    <row r="3389" spans="20:20" s="566" customFormat="1">
      <c r="T3389" s="41"/>
    </row>
    <row r="3390" spans="20:20" s="566" customFormat="1">
      <c r="T3390" s="41"/>
    </row>
    <row r="3391" spans="20:20" s="566" customFormat="1">
      <c r="T3391" s="41"/>
    </row>
    <row r="3392" spans="20:20" s="566" customFormat="1">
      <c r="T3392" s="41"/>
    </row>
    <row r="3393" spans="20:20" s="566" customFormat="1">
      <c r="T3393" s="41"/>
    </row>
    <row r="3394" spans="20:20" s="566" customFormat="1">
      <c r="T3394" s="41"/>
    </row>
    <row r="3395" spans="20:20" s="566" customFormat="1">
      <c r="T3395" s="41"/>
    </row>
    <row r="3396" spans="20:20" s="566" customFormat="1">
      <c r="T3396" s="41"/>
    </row>
    <row r="3397" spans="20:20" s="566" customFormat="1">
      <c r="T3397" s="41"/>
    </row>
    <row r="3398" spans="20:20" s="566" customFormat="1">
      <c r="T3398" s="41"/>
    </row>
    <row r="3399" spans="20:20" s="566" customFormat="1">
      <c r="T3399" s="41"/>
    </row>
    <row r="3400" spans="20:20" s="566" customFormat="1">
      <c r="T3400" s="41"/>
    </row>
    <row r="3401" spans="20:20" s="566" customFormat="1">
      <c r="T3401" s="41"/>
    </row>
    <row r="3402" spans="20:20" s="566" customFormat="1">
      <c r="T3402" s="41"/>
    </row>
    <row r="3403" spans="20:20" s="566" customFormat="1">
      <c r="T3403" s="41"/>
    </row>
    <row r="3404" spans="20:20" s="566" customFormat="1">
      <c r="T3404" s="41"/>
    </row>
    <row r="3405" spans="20:20" s="566" customFormat="1">
      <c r="T3405" s="41"/>
    </row>
    <row r="3406" spans="20:20" s="566" customFormat="1">
      <c r="T3406" s="41"/>
    </row>
    <row r="3407" spans="20:20" s="566" customFormat="1">
      <c r="T3407" s="41"/>
    </row>
    <row r="3408" spans="20:20" s="566" customFormat="1">
      <c r="T3408" s="41"/>
    </row>
    <row r="3409" spans="20:20" s="566" customFormat="1">
      <c r="T3409" s="41"/>
    </row>
    <row r="3410" spans="20:20" s="566" customFormat="1">
      <c r="T3410" s="41"/>
    </row>
    <row r="3411" spans="20:20" s="566" customFormat="1">
      <c r="T3411" s="41"/>
    </row>
    <row r="3412" spans="20:20" s="566" customFormat="1">
      <c r="T3412" s="41"/>
    </row>
    <row r="3413" spans="20:20" s="566" customFormat="1">
      <c r="T3413" s="41"/>
    </row>
    <row r="3414" spans="20:20" s="566" customFormat="1">
      <c r="T3414" s="41"/>
    </row>
    <row r="3415" spans="20:20" s="566" customFormat="1">
      <c r="T3415" s="41"/>
    </row>
    <row r="3416" spans="20:20" s="566" customFormat="1">
      <c r="T3416" s="41"/>
    </row>
    <row r="3417" spans="20:20" s="566" customFormat="1">
      <c r="T3417" s="41"/>
    </row>
    <row r="3418" spans="20:20" s="566" customFormat="1">
      <c r="T3418" s="41"/>
    </row>
    <row r="3419" spans="20:20" s="566" customFormat="1">
      <c r="T3419" s="41"/>
    </row>
    <row r="3420" spans="20:20" s="566" customFormat="1">
      <c r="T3420" s="41"/>
    </row>
    <row r="3421" spans="20:20" s="566" customFormat="1">
      <c r="T3421" s="41"/>
    </row>
    <row r="3422" spans="20:20" s="566" customFormat="1">
      <c r="T3422" s="41"/>
    </row>
    <row r="3423" spans="20:20" s="566" customFormat="1">
      <c r="T3423" s="41"/>
    </row>
    <row r="3424" spans="20:20" s="566" customFormat="1">
      <c r="T3424" s="41"/>
    </row>
    <row r="3425" spans="20:20" s="566" customFormat="1">
      <c r="T3425" s="41"/>
    </row>
    <row r="3426" spans="20:20" s="566" customFormat="1">
      <c r="T3426" s="41"/>
    </row>
    <row r="3427" spans="20:20" s="566" customFormat="1">
      <c r="T3427" s="41"/>
    </row>
    <row r="3428" spans="20:20" s="566" customFormat="1">
      <c r="T3428" s="41"/>
    </row>
    <row r="3429" spans="20:20" s="566" customFormat="1">
      <c r="T3429" s="41"/>
    </row>
    <row r="3430" spans="20:20" s="566" customFormat="1">
      <c r="T3430" s="41"/>
    </row>
    <row r="3431" spans="20:20" s="566" customFormat="1">
      <c r="T3431" s="41"/>
    </row>
    <row r="3432" spans="20:20" s="566" customFormat="1">
      <c r="T3432" s="41"/>
    </row>
    <row r="3433" spans="20:20" s="566" customFormat="1">
      <c r="T3433" s="41"/>
    </row>
    <row r="3434" spans="20:20" s="566" customFormat="1">
      <c r="T3434" s="41"/>
    </row>
    <row r="3435" spans="20:20" s="566" customFormat="1">
      <c r="T3435" s="41"/>
    </row>
    <row r="3436" spans="20:20" s="566" customFormat="1">
      <c r="T3436" s="41"/>
    </row>
    <row r="3437" spans="20:20" s="566" customFormat="1">
      <c r="T3437" s="41"/>
    </row>
    <row r="3438" spans="20:20" s="566" customFormat="1">
      <c r="T3438" s="41"/>
    </row>
    <row r="3439" spans="20:20" s="566" customFormat="1">
      <c r="T3439" s="41"/>
    </row>
    <row r="3440" spans="20:20" s="566" customFormat="1">
      <c r="T3440" s="41"/>
    </row>
    <row r="3441" spans="20:20" s="566" customFormat="1">
      <c r="T3441" s="41"/>
    </row>
    <row r="3442" spans="20:20" s="566" customFormat="1">
      <c r="T3442" s="41"/>
    </row>
    <row r="3443" spans="20:20" s="566" customFormat="1">
      <c r="T3443" s="41"/>
    </row>
    <row r="3444" spans="20:20" s="566" customFormat="1">
      <c r="T3444" s="41"/>
    </row>
    <row r="3445" spans="20:20" s="566" customFormat="1">
      <c r="T3445" s="41"/>
    </row>
    <row r="3446" spans="20:20" s="566" customFormat="1">
      <c r="T3446" s="41"/>
    </row>
    <row r="3447" spans="20:20" s="566" customFormat="1">
      <c r="T3447" s="41"/>
    </row>
    <row r="3448" spans="20:20" s="566" customFormat="1">
      <c r="T3448" s="41"/>
    </row>
    <row r="3449" spans="20:20" s="566" customFormat="1">
      <c r="T3449" s="41"/>
    </row>
    <row r="3450" spans="20:20" s="566" customFormat="1">
      <c r="T3450" s="41"/>
    </row>
    <row r="3451" spans="20:20" s="566" customFormat="1">
      <c r="T3451" s="41"/>
    </row>
    <row r="3452" spans="20:20" s="566" customFormat="1">
      <c r="T3452" s="41"/>
    </row>
    <row r="3453" spans="20:20" s="566" customFormat="1">
      <c r="T3453" s="41"/>
    </row>
    <row r="3454" spans="20:20" s="566" customFormat="1">
      <c r="T3454" s="41"/>
    </row>
    <row r="3455" spans="20:20" s="566" customFormat="1">
      <c r="T3455" s="41"/>
    </row>
    <row r="3456" spans="20:20" s="566" customFormat="1">
      <c r="T3456" s="41"/>
    </row>
    <row r="3457" spans="20:20" s="566" customFormat="1">
      <c r="T3457" s="41"/>
    </row>
    <row r="3458" spans="20:20" s="566" customFormat="1">
      <c r="T3458" s="41"/>
    </row>
    <row r="3459" spans="20:20" s="566" customFormat="1">
      <c r="T3459" s="41"/>
    </row>
    <row r="3460" spans="20:20" s="566" customFormat="1">
      <c r="T3460" s="41"/>
    </row>
    <row r="3461" spans="20:20" s="566" customFormat="1">
      <c r="T3461" s="41"/>
    </row>
    <row r="3462" spans="20:20" s="566" customFormat="1">
      <c r="T3462" s="41"/>
    </row>
    <row r="3463" spans="20:20" s="566" customFormat="1">
      <c r="T3463" s="41"/>
    </row>
    <row r="3464" spans="20:20" s="566" customFormat="1">
      <c r="T3464" s="41"/>
    </row>
    <row r="3465" spans="20:20" s="566" customFormat="1">
      <c r="T3465" s="41"/>
    </row>
    <row r="3466" spans="20:20" s="566" customFormat="1">
      <c r="T3466" s="41"/>
    </row>
    <row r="3467" spans="20:20" s="566" customFormat="1">
      <c r="T3467" s="41"/>
    </row>
    <row r="3468" spans="20:20" s="566" customFormat="1">
      <c r="T3468" s="41"/>
    </row>
    <row r="3469" spans="20:20" s="566" customFormat="1">
      <c r="T3469" s="41"/>
    </row>
    <row r="3470" spans="20:20" s="566" customFormat="1">
      <c r="T3470" s="41"/>
    </row>
    <row r="3471" spans="20:20" s="566" customFormat="1">
      <c r="T3471" s="41"/>
    </row>
    <row r="3472" spans="20:20" s="566" customFormat="1">
      <c r="T3472" s="41"/>
    </row>
    <row r="3473" spans="20:20" s="566" customFormat="1">
      <c r="T3473" s="41"/>
    </row>
    <row r="3474" spans="20:20" s="566" customFormat="1">
      <c r="T3474" s="41"/>
    </row>
    <row r="3475" spans="20:20" s="566" customFormat="1">
      <c r="T3475" s="41"/>
    </row>
    <row r="3476" spans="20:20" s="566" customFormat="1">
      <c r="T3476" s="41"/>
    </row>
    <row r="3477" spans="20:20" s="566" customFormat="1">
      <c r="T3477" s="41"/>
    </row>
    <row r="3478" spans="20:20" s="566" customFormat="1">
      <c r="T3478" s="41"/>
    </row>
    <row r="3479" spans="20:20" s="566" customFormat="1">
      <c r="T3479" s="41"/>
    </row>
    <row r="3480" spans="20:20" s="566" customFormat="1">
      <c r="T3480" s="41"/>
    </row>
    <row r="3481" spans="20:20" s="566" customFormat="1">
      <c r="T3481" s="41"/>
    </row>
    <row r="3482" spans="20:20" s="566" customFormat="1">
      <c r="T3482" s="41"/>
    </row>
    <row r="3483" spans="20:20" s="566" customFormat="1">
      <c r="T3483" s="41"/>
    </row>
    <row r="3484" spans="20:20" s="566" customFormat="1">
      <c r="T3484" s="41"/>
    </row>
    <row r="3485" spans="20:20" s="566" customFormat="1">
      <c r="T3485" s="41"/>
    </row>
    <row r="3486" spans="20:20" s="566" customFormat="1">
      <c r="T3486" s="41"/>
    </row>
    <row r="3487" spans="20:20" s="566" customFormat="1">
      <c r="T3487" s="41"/>
    </row>
    <row r="3488" spans="20:20" s="566" customFormat="1">
      <c r="T3488" s="41"/>
    </row>
    <row r="3489" spans="20:20" s="566" customFormat="1">
      <c r="T3489" s="41"/>
    </row>
    <row r="3490" spans="20:20" s="566" customFormat="1">
      <c r="T3490" s="41"/>
    </row>
    <row r="3491" spans="20:20" s="566" customFormat="1">
      <c r="T3491" s="41"/>
    </row>
    <row r="3492" spans="20:20" s="566" customFormat="1">
      <c r="T3492" s="41"/>
    </row>
    <row r="3493" spans="20:20" s="566" customFormat="1">
      <c r="T3493" s="41"/>
    </row>
    <row r="3494" spans="20:20" s="566" customFormat="1">
      <c r="T3494" s="41"/>
    </row>
    <row r="3495" spans="20:20" s="566" customFormat="1">
      <c r="T3495" s="41"/>
    </row>
    <row r="3496" spans="20:20" s="566" customFormat="1">
      <c r="T3496" s="41"/>
    </row>
    <row r="3497" spans="20:20" s="566" customFormat="1">
      <c r="T3497" s="41"/>
    </row>
    <row r="3498" spans="20:20" s="566" customFormat="1">
      <c r="T3498" s="41"/>
    </row>
    <row r="3499" spans="20:20" s="566" customFormat="1">
      <c r="T3499" s="41"/>
    </row>
    <row r="3500" spans="20:20" s="566" customFormat="1">
      <c r="T3500" s="41"/>
    </row>
    <row r="3501" spans="20:20" s="566" customFormat="1">
      <c r="T3501" s="41"/>
    </row>
    <row r="3502" spans="20:20" s="566" customFormat="1">
      <c r="T3502" s="41"/>
    </row>
    <row r="3503" spans="20:20" s="566" customFormat="1">
      <c r="T3503" s="41"/>
    </row>
    <row r="3504" spans="20:20" s="566" customFormat="1">
      <c r="T3504" s="41"/>
    </row>
    <row r="3505" spans="20:20" s="566" customFormat="1">
      <c r="T3505" s="41"/>
    </row>
    <row r="3506" spans="20:20" s="566" customFormat="1">
      <c r="T3506" s="41"/>
    </row>
    <row r="3507" spans="20:20" s="566" customFormat="1">
      <c r="T3507" s="41"/>
    </row>
    <row r="3508" spans="20:20" s="566" customFormat="1">
      <c r="T3508" s="41"/>
    </row>
    <row r="3509" spans="20:20" s="566" customFormat="1">
      <c r="T3509" s="41"/>
    </row>
    <row r="3510" spans="20:20" s="566" customFormat="1">
      <c r="T3510" s="41"/>
    </row>
    <row r="3511" spans="20:20" s="566" customFormat="1">
      <c r="T3511" s="41"/>
    </row>
    <row r="3512" spans="20:20" s="566" customFormat="1">
      <c r="T3512" s="41"/>
    </row>
    <row r="3513" spans="20:20" s="566" customFormat="1">
      <c r="T3513" s="41"/>
    </row>
    <row r="3514" spans="20:20" s="566" customFormat="1">
      <c r="T3514" s="41"/>
    </row>
    <row r="3515" spans="20:20" s="566" customFormat="1">
      <c r="T3515" s="41"/>
    </row>
    <row r="3516" spans="20:20" s="566" customFormat="1">
      <c r="T3516" s="41"/>
    </row>
    <row r="3517" spans="20:20" s="566" customFormat="1">
      <c r="T3517" s="41"/>
    </row>
    <row r="3518" spans="20:20" s="566" customFormat="1">
      <c r="T3518" s="41"/>
    </row>
    <row r="3519" spans="20:20" s="566" customFormat="1">
      <c r="T3519" s="41"/>
    </row>
    <row r="3520" spans="20:20" s="566" customFormat="1">
      <c r="T3520" s="41"/>
    </row>
    <row r="3521" spans="20:20" s="566" customFormat="1">
      <c r="T3521" s="41"/>
    </row>
    <row r="3522" spans="20:20" s="566" customFormat="1">
      <c r="T3522" s="41"/>
    </row>
    <row r="3523" spans="20:20" s="566" customFormat="1">
      <c r="T3523" s="41"/>
    </row>
    <row r="3524" spans="20:20" s="566" customFormat="1">
      <c r="T3524" s="41"/>
    </row>
    <row r="3525" spans="20:20" s="566" customFormat="1">
      <c r="T3525" s="41"/>
    </row>
    <row r="3526" spans="20:20" s="566" customFormat="1">
      <c r="T3526" s="41"/>
    </row>
    <row r="3527" spans="20:20" s="566" customFormat="1">
      <c r="T3527" s="41"/>
    </row>
    <row r="3528" spans="20:20" s="566" customFormat="1">
      <c r="T3528" s="41"/>
    </row>
    <row r="3529" spans="20:20" s="566" customFormat="1">
      <c r="T3529" s="41"/>
    </row>
    <row r="3530" spans="20:20" s="566" customFormat="1">
      <c r="T3530" s="41"/>
    </row>
    <row r="3531" spans="20:20" s="566" customFormat="1">
      <c r="T3531" s="41"/>
    </row>
    <row r="3532" spans="20:20" s="566" customFormat="1">
      <c r="T3532" s="41"/>
    </row>
    <row r="3533" spans="20:20" s="566" customFormat="1">
      <c r="T3533" s="41"/>
    </row>
    <row r="3534" spans="20:20" s="566" customFormat="1">
      <c r="T3534" s="41"/>
    </row>
    <row r="3535" spans="20:20" s="566" customFormat="1">
      <c r="T3535" s="41"/>
    </row>
    <row r="3536" spans="20:20" s="566" customFormat="1">
      <c r="T3536" s="41"/>
    </row>
    <row r="3537" spans="20:20" s="566" customFormat="1">
      <c r="T3537" s="41"/>
    </row>
    <row r="3538" spans="20:20" s="566" customFormat="1">
      <c r="T3538" s="41"/>
    </row>
    <row r="3539" spans="20:20" s="566" customFormat="1">
      <c r="T3539" s="41"/>
    </row>
    <row r="3540" spans="20:20" s="566" customFormat="1">
      <c r="T3540" s="41"/>
    </row>
    <row r="3541" spans="20:20" s="566" customFormat="1">
      <c r="T3541" s="41"/>
    </row>
    <row r="3542" spans="20:20" s="566" customFormat="1">
      <c r="T3542" s="41"/>
    </row>
    <row r="3543" spans="20:20" s="566" customFormat="1">
      <c r="T3543" s="41"/>
    </row>
    <row r="3544" spans="20:20" s="566" customFormat="1">
      <c r="T3544" s="41"/>
    </row>
    <row r="3545" spans="20:20" s="566" customFormat="1">
      <c r="T3545" s="41"/>
    </row>
    <row r="3546" spans="20:20" s="566" customFormat="1">
      <c r="T3546" s="41"/>
    </row>
    <row r="3547" spans="20:20" s="566" customFormat="1">
      <c r="T3547" s="41"/>
    </row>
    <row r="3548" spans="20:20" s="566" customFormat="1">
      <c r="T3548" s="41"/>
    </row>
    <row r="3549" spans="20:20" s="566" customFormat="1">
      <c r="T3549" s="41"/>
    </row>
    <row r="3550" spans="20:20" s="566" customFormat="1">
      <c r="T3550" s="41"/>
    </row>
    <row r="3551" spans="20:20" s="566" customFormat="1">
      <c r="T3551" s="41"/>
    </row>
    <row r="3552" spans="20:20" s="566" customFormat="1">
      <c r="T3552" s="41"/>
    </row>
    <row r="3553" spans="20:20" s="566" customFormat="1">
      <c r="T3553" s="41"/>
    </row>
    <row r="3554" spans="20:20" s="566" customFormat="1">
      <c r="T3554" s="41"/>
    </row>
    <row r="3555" spans="20:20" s="566" customFormat="1">
      <c r="T3555" s="41"/>
    </row>
    <row r="3556" spans="20:20" s="566" customFormat="1">
      <c r="T3556" s="41"/>
    </row>
    <row r="3557" spans="20:20" s="566" customFormat="1">
      <c r="T3557" s="41"/>
    </row>
    <row r="3558" spans="20:20" s="566" customFormat="1">
      <c r="T3558" s="41"/>
    </row>
    <row r="3559" spans="20:20" s="566" customFormat="1">
      <c r="T3559" s="41"/>
    </row>
    <row r="3560" spans="20:20" s="566" customFormat="1">
      <c r="T3560" s="41"/>
    </row>
    <row r="3561" spans="20:20" s="566" customFormat="1">
      <c r="T3561" s="41"/>
    </row>
    <row r="3562" spans="20:20" s="566" customFormat="1">
      <c r="T3562" s="41"/>
    </row>
    <row r="3563" spans="20:20" s="566" customFormat="1">
      <c r="T3563" s="41"/>
    </row>
    <row r="3564" spans="20:20" s="566" customFormat="1">
      <c r="T3564" s="41"/>
    </row>
    <row r="3565" spans="20:20" s="566" customFormat="1">
      <c r="T3565" s="41"/>
    </row>
    <row r="3566" spans="20:20" s="566" customFormat="1">
      <c r="T3566" s="41"/>
    </row>
    <row r="3567" spans="20:20" s="566" customFormat="1">
      <c r="T3567" s="41"/>
    </row>
    <row r="3568" spans="20:20" s="566" customFormat="1">
      <c r="T3568" s="41"/>
    </row>
    <row r="3569" spans="20:20" s="566" customFormat="1">
      <c r="T3569" s="41"/>
    </row>
    <row r="3570" spans="20:20" s="566" customFormat="1">
      <c r="T3570" s="41"/>
    </row>
    <row r="3571" spans="20:20" s="566" customFormat="1">
      <c r="T3571" s="41"/>
    </row>
    <row r="3572" spans="20:20" s="566" customFormat="1">
      <c r="T3572" s="41"/>
    </row>
    <row r="3573" spans="20:20" s="566" customFormat="1">
      <c r="T3573" s="41"/>
    </row>
    <row r="3574" spans="20:20" s="566" customFormat="1">
      <c r="T3574" s="41"/>
    </row>
    <row r="3575" spans="20:20" s="566" customFormat="1">
      <c r="T3575" s="41"/>
    </row>
    <row r="3576" spans="20:20" s="566" customFormat="1">
      <c r="T3576" s="41"/>
    </row>
    <row r="3577" spans="20:20" s="566" customFormat="1">
      <c r="T3577" s="41"/>
    </row>
    <row r="3578" spans="20:20" s="566" customFormat="1">
      <c r="T3578" s="41"/>
    </row>
    <row r="3579" spans="20:20" s="566" customFormat="1">
      <c r="T3579" s="41"/>
    </row>
    <row r="3580" spans="20:20" s="566" customFormat="1">
      <c r="T3580" s="41"/>
    </row>
    <row r="3581" spans="20:20" s="566" customFormat="1">
      <c r="T3581" s="41"/>
    </row>
    <row r="3582" spans="20:20" s="566" customFormat="1">
      <c r="T3582" s="41"/>
    </row>
    <row r="3583" spans="20:20" s="566" customFormat="1">
      <c r="T3583" s="41"/>
    </row>
    <row r="3584" spans="20:20" s="566" customFormat="1">
      <c r="T3584" s="41"/>
    </row>
    <row r="3585" spans="20:20" s="566" customFormat="1">
      <c r="T3585" s="41"/>
    </row>
    <row r="3586" spans="20:20" s="566" customFormat="1">
      <c r="T3586" s="41"/>
    </row>
    <row r="3587" spans="20:20" s="566" customFormat="1">
      <c r="T3587" s="41"/>
    </row>
    <row r="3588" spans="20:20" s="566" customFormat="1">
      <c r="T3588" s="41"/>
    </row>
    <row r="3589" spans="20:20" s="566" customFormat="1">
      <c r="T3589" s="41"/>
    </row>
    <row r="3590" spans="20:20" s="566" customFormat="1">
      <c r="T3590" s="41"/>
    </row>
    <row r="3591" spans="20:20" s="566" customFormat="1">
      <c r="T3591" s="41"/>
    </row>
    <row r="3592" spans="20:20" s="566" customFormat="1">
      <c r="T3592" s="41"/>
    </row>
    <row r="3593" spans="20:20" s="566" customFormat="1">
      <c r="T3593" s="41"/>
    </row>
    <row r="3594" spans="20:20" s="566" customFormat="1">
      <c r="T3594" s="41"/>
    </row>
    <row r="3595" spans="20:20" s="566" customFormat="1">
      <c r="T3595" s="41"/>
    </row>
    <row r="3596" spans="20:20" s="566" customFormat="1">
      <c r="T3596" s="41"/>
    </row>
    <row r="3597" spans="20:20" s="566" customFormat="1">
      <c r="T3597" s="41"/>
    </row>
    <row r="3598" spans="20:20" s="566" customFormat="1">
      <c r="T3598" s="41"/>
    </row>
    <row r="3599" spans="20:20" s="566" customFormat="1">
      <c r="T3599" s="41"/>
    </row>
    <row r="3600" spans="20:20" s="566" customFormat="1">
      <c r="T3600" s="41"/>
    </row>
    <row r="3601" spans="20:20" s="566" customFormat="1">
      <c r="T3601" s="41"/>
    </row>
    <row r="3602" spans="20:20" s="566" customFormat="1">
      <c r="T3602" s="41"/>
    </row>
    <row r="3603" spans="20:20" s="566" customFormat="1">
      <c r="T3603" s="41"/>
    </row>
    <row r="3604" spans="20:20" s="566" customFormat="1">
      <c r="T3604" s="41"/>
    </row>
    <row r="3605" spans="20:20" s="566" customFormat="1">
      <c r="T3605" s="41"/>
    </row>
    <row r="3606" spans="20:20" s="566" customFormat="1">
      <c r="T3606" s="41"/>
    </row>
    <row r="3607" spans="20:20" s="566" customFormat="1">
      <c r="T3607" s="41"/>
    </row>
    <row r="3608" spans="20:20" s="566" customFormat="1">
      <c r="T3608" s="41"/>
    </row>
    <row r="3609" spans="20:20" s="566" customFormat="1">
      <c r="T3609" s="41"/>
    </row>
    <row r="3610" spans="20:20" s="566" customFormat="1">
      <c r="T3610" s="41"/>
    </row>
    <row r="3611" spans="20:20" s="566" customFormat="1">
      <c r="T3611" s="41"/>
    </row>
    <row r="3612" spans="20:20" s="566" customFormat="1">
      <c r="T3612" s="41"/>
    </row>
    <row r="3613" spans="20:20" s="566" customFormat="1">
      <c r="T3613" s="41"/>
    </row>
    <row r="3614" spans="20:20" s="566" customFormat="1">
      <c r="T3614" s="41"/>
    </row>
    <row r="3615" spans="20:20" s="566" customFormat="1">
      <c r="T3615" s="41"/>
    </row>
    <row r="3616" spans="20:20" s="566" customFormat="1">
      <c r="T3616" s="41"/>
    </row>
    <row r="3617" spans="20:20" s="566" customFormat="1">
      <c r="T3617" s="41"/>
    </row>
    <row r="3618" spans="20:20" s="566" customFormat="1">
      <c r="T3618" s="41"/>
    </row>
    <row r="3619" spans="20:20" s="566" customFormat="1">
      <c r="T3619" s="41"/>
    </row>
    <row r="3620" spans="20:20" s="566" customFormat="1">
      <c r="T3620" s="41"/>
    </row>
    <row r="3621" spans="20:20" s="566" customFormat="1">
      <c r="T3621" s="41"/>
    </row>
    <row r="3622" spans="20:20" s="566" customFormat="1">
      <c r="T3622" s="41"/>
    </row>
    <row r="3623" spans="20:20" s="566" customFormat="1">
      <c r="T3623" s="41"/>
    </row>
    <row r="3624" spans="20:20" s="566" customFormat="1">
      <c r="T3624" s="41"/>
    </row>
    <row r="3625" spans="20:20" s="566" customFormat="1">
      <c r="T3625" s="41"/>
    </row>
    <row r="3626" spans="20:20" s="566" customFormat="1">
      <c r="T3626" s="41"/>
    </row>
    <row r="3627" spans="20:20" s="566" customFormat="1">
      <c r="T3627" s="41"/>
    </row>
    <row r="3628" spans="20:20" s="566" customFormat="1">
      <c r="T3628" s="41"/>
    </row>
    <row r="3629" spans="20:20" s="566" customFormat="1">
      <c r="T3629" s="41"/>
    </row>
    <row r="3630" spans="20:20" s="566" customFormat="1">
      <c r="T3630" s="41"/>
    </row>
    <row r="3631" spans="20:20" s="566" customFormat="1">
      <c r="T3631" s="41"/>
    </row>
    <row r="3632" spans="20:20" s="566" customFormat="1">
      <c r="T3632" s="41"/>
    </row>
    <row r="3633" spans="20:20" s="566" customFormat="1">
      <c r="T3633" s="41"/>
    </row>
    <row r="3634" spans="20:20" s="566" customFormat="1">
      <c r="T3634" s="41"/>
    </row>
    <row r="3635" spans="20:20" s="566" customFormat="1">
      <c r="T3635" s="41"/>
    </row>
    <row r="3636" spans="20:20" s="566" customFormat="1">
      <c r="T3636" s="41"/>
    </row>
    <row r="3637" spans="20:20" s="566" customFormat="1">
      <c r="T3637" s="41"/>
    </row>
    <row r="3638" spans="20:20" s="566" customFormat="1">
      <c r="T3638" s="41"/>
    </row>
    <row r="3639" spans="20:20" s="566" customFormat="1">
      <c r="T3639" s="41"/>
    </row>
    <row r="3640" spans="20:20" s="566" customFormat="1">
      <c r="T3640" s="41"/>
    </row>
    <row r="3641" spans="20:20" s="566" customFormat="1">
      <c r="T3641" s="41"/>
    </row>
    <row r="3642" spans="20:20" s="566" customFormat="1">
      <c r="T3642" s="41"/>
    </row>
    <row r="3643" spans="20:20" s="566" customFormat="1">
      <c r="T3643" s="41"/>
    </row>
    <row r="3644" spans="20:20" s="566" customFormat="1">
      <c r="T3644" s="41"/>
    </row>
    <row r="3645" spans="20:20" s="566" customFormat="1">
      <c r="T3645" s="41"/>
    </row>
    <row r="3646" spans="20:20" s="566" customFormat="1">
      <c r="T3646" s="41"/>
    </row>
    <row r="3647" spans="20:20" s="566" customFormat="1">
      <c r="T3647" s="41"/>
    </row>
    <row r="3648" spans="20:20" s="566" customFormat="1">
      <c r="T3648" s="41"/>
    </row>
    <row r="3649" spans="20:20" s="566" customFormat="1">
      <c r="T3649" s="41"/>
    </row>
    <row r="3650" spans="20:20" s="566" customFormat="1">
      <c r="T3650" s="41"/>
    </row>
    <row r="3651" spans="20:20" s="566" customFormat="1">
      <c r="T3651" s="41"/>
    </row>
    <row r="3652" spans="20:20" s="566" customFormat="1">
      <c r="T3652" s="41"/>
    </row>
    <row r="3653" spans="20:20" s="566" customFormat="1">
      <c r="T3653" s="41"/>
    </row>
    <row r="3654" spans="20:20" s="566" customFormat="1">
      <c r="T3654" s="41"/>
    </row>
    <row r="3655" spans="20:20" s="566" customFormat="1">
      <c r="T3655" s="41"/>
    </row>
    <row r="3656" spans="20:20" s="566" customFormat="1">
      <c r="T3656" s="41"/>
    </row>
    <row r="3657" spans="20:20" s="566" customFormat="1">
      <c r="T3657" s="41"/>
    </row>
    <row r="3658" spans="20:20" s="566" customFormat="1">
      <c r="T3658" s="41"/>
    </row>
    <row r="3659" spans="20:20" s="566" customFormat="1">
      <c r="T3659" s="41"/>
    </row>
    <row r="3660" spans="20:20" s="566" customFormat="1">
      <c r="T3660" s="41"/>
    </row>
    <row r="3661" spans="20:20" s="566" customFormat="1">
      <c r="T3661" s="41"/>
    </row>
    <row r="3662" spans="20:20" s="566" customFormat="1">
      <c r="T3662" s="41"/>
    </row>
    <row r="3663" spans="20:20" s="566" customFormat="1">
      <c r="T3663" s="41"/>
    </row>
    <row r="3664" spans="20:20" s="566" customFormat="1">
      <c r="T3664" s="41"/>
    </row>
    <row r="3665" spans="20:20" s="566" customFormat="1">
      <c r="T3665" s="41"/>
    </row>
    <row r="3666" spans="20:20" s="566" customFormat="1">
      <c r="T3666" s="41"/>
    </row>
    <row r="3667" spans="20:20" s="566" customFormat="1">
      <c r="T3667" s="41"/>
    </row>
    <row r="3668" spans="20:20" s="566" customFormat="1">
      <c r="T3668" s="41"/>
    </row>
    <row r="3669" spans="20:20" s="566" customFormat="1">
      <c r="T3669" s="41"/>
    </row>
    <row r="3670" spans="20:20" s="566" customFormat="1">
      <c r="T3670" s="41"/>
    </row>
    <row r="3671" spans="20:20" s="566" customFormat="1">
      <c r="T3671" s="41"/>
    </row>
    <row r="3672" spans="20:20" s="566" customFormat="1">
      <c r="T3672" s="41"/>
    </row>
    <row r="3673" spans="20:20" s="566" customFormat="1">
      <c r="T3673" s="41"/>
    </row>
    <row r="3674" spans="20:20" s="566" customFormat="1">
      <c r="T3674" s="41"/>
    </row>
    <row r="3675" spans="20:20" s="566" customFormat="1">
      <c r="T3675" s="41"/>
    </row>
    <row r="3676" spans="20:20" s="566" customFormat="1">
      <c r="T3676" s="41"/>
    </row>
    <row r="3677" spans="20:20" s="566" customFormat="1">
      <c r="T3677" s="41"/>
    </row>
    <row r="3678" spans="20:20" s="566" customFormat="1">
      <c r="T3678" s="41"/>
    </row>
    <row r="3679" spans="20:20" s="566" customFormat="1">
      <c r="T3679" s="41"/>
    </row>
    <row r="3680" spans="20:20" s="566" customFormat="1">
      <c r="T3680" s="41"/>
    </row>
    <row r="3681" spans="20:20" s="566" customFormat="1">
      <c r="T3681" s="41"/>
    </row>
    <row r="3682" spans="20:20" s="566" customFormat="1">
      <c r="T3682" s="41"/>
    </row>
    <row r="3683" spans="20:20" s="566" customFormat="1">
      <c r="T3683" s="41"/>
    </row>
    <row r="3684" spans="20:20" s="566" customFormat="1">
      <c r="T3684" s="41"/>
    </row>
    <row r="3685" spans="20:20" s="566" customFormat="1">
      <c r="T3685" s="41"/>
    </row>
    <row r="3686" spans="20:20" s="566" customFormat="1">
      <c r="T3686" s="41"/>
    </row>
    <row r="3687" spans="20:20" s="566" customFormat="1">
      <c r="T3687" s="41"/>
    </row>
    <row r="3688" spans="20:20" s="566" customFormat="1">
      <c r="T3688" s="41"/>
    </row>
    <row r="3689" spans="20:20" s="566" customFormat="1">
      <c r="T3689" s="41"/>
    </row>
    <row r="3690" spans="20:20" s="566" customFormat="1">
      <c r="T3690" s="41"/>
    </row>
    <row r="3691" spans="20:20" s="566" customFormat="1">
      <c r="T3691" s="41"/>
    </row>
    <row r="3692" spans="20:20" s="566" customFormat="1">
      <c r="T3692" s="41"/>
    </row>
    <row r="3693" spans="20:20" s="566" customFormat="1">
      <c r="T3693" s="41"/>
    </row>
    <row r="3694" spans="20:20" s="566" customFormat="1">
      <c r="T3694" s="41"/>
    </row>
    <row r="3695" spans="20:20" s="566" customFormat="1">
      <c r="T3695" s="41"/>
    </row>
    <row r="3696" spans="20:20" s="566" customFormat="1">
      <c r="T3696" s="41"/>
    </row>
    <row r="3697" spans="20:20" s="566" customFormat="1">
      <c r="T3697" s="41"/>
    </row>
    <row r="3698" spans="20:20" s="566" customFormat="1">
      <c r="T3698" s="41"/>
    </row>
    <row r="3699" spans="20:20" s="566" customFormat="1">
      <c r="T3699" s="41"/>
    </row>
    <row r="3700" spans="20:20" s="566" customFormat="1">
      <c r="T3700" s="41"/>
    </row>
    <row r="3701" spans="20:20" s="566" customFormat="1">
      <c r="T3701" s="41"/>
    </row>
    <row r="3702" spans="20:20" s="566" customFormat="1">
      <c r="T3702" s="41"/>
    </row>
    <row r="3703" spans="20:20" s="566" customFormat="1">
      <c r="T3703" s="41"/>
    </row>
    <row r="3704" spans="20:20" s="566" customFormat="1">
      <c r="T3704" s="41"/>
    </row>
    <row r="3705" spans="20:20" s="566" customFormat="1">
      <c r="T3705" s="41"/>
    </row>
    <row r="3706" spans="20:20" s="566" customFormat="1">
      <c r="T3706" s="41"/>
    </row>
    <row r="3707" spans="20:20" s="566" customFormat="1">
      <c r="T3707" s="41"/>
    </row>
    <row r="3708" spans="20:20" s="566" customFormat="1">
      <c r="T3708" s="41"/>
    </row>
    <row r="3709" spans="20:20" s="566" customFormat="1">
      <c r="T3709" s="41"/>
    </row>
    <row r="3710" spans="20:20" s="566" customFormat="1">
      <c r="T3710" s="41"/>
    </row>
    <row r="3711" spans="20:20" s="566" customFormat="1">
      <c r="T3711" s="41"/>
    </row>
    <row r="3712" spans="20:20" s="566" customFormat="1">
      <c r="T3712" s="41"/>
    </row>
    <row r="3713" spans="20:20" s="566" customFormat="1">
      <c r="T3713" s="41"/>
    </row>
    <row r="3714" spans="20:20" s="566" customFormat="1">
      <c r="T3714" s="41"/>
    </row>
    <row r="3715" spans="20:20" s="566" customFormat="1">
      <c r="T3715" s="41"/>
    </row>
    <row r="3716" spans="20:20" s="566" customFormat="1">
      <c r="T3716" s="41"/>
    </row>
    <row r="3717" spans="20:20" s="566" customFormat="1">
      <c r="T3717" s="41"/>
    </row>
    <row r="3718" spans="20:20" s="566" customFormat="1">
      <c r="T3718" s="41"/>
    </row>
    <row r="3719" spans="20:20" s="566" customFormat="1">
      <c r="T3719" s="41"/>
    </row>
    <row r="3720" spans="20:20" s="566" customFormat="1">
      <c r="T3720" s="41"/>
    </row>
    <row r="3721" spans="20:20" s="566" customFormat="1">
      <c r="T3721" s="41"/>
    </row>
    <row r="3722" spans="20:20" s="566" customFormat="1">
      <c r="T3722" s="41"/>
    </row>
    <row r="3723" spans="20:20" s="566" customFormat="1">
      <c r="T3723" s="41"/>
    </row>
    <row r="3724" spans="20:20" s="566" customFormat="1">
      <c r="T3724" s="41"/>
    </row>
    <row r="3725" spans="20:20" s="566" customFormat="1">
      <c r="T3725" s="41"/>
    </row>
    <row r="3726" spans="20:20" s="566" customFormat="1">
      <c r="T3726" s="41"/>
    </row>
    <row r="3727" spans="20:20" s="566" customFormat="1">
      <c r="T3727" s="41"/>
    </row>
    <row r="3728" spans="20:20" s="566" customFormat="1">
      <c r="T3728" s="41"/>
    </row>
    <row r="3729" spans="20:20" s="566" customFormat="1">
      <c r="T3729" s="41"/>
    </row>
    <row r="3730" spans="20:20" s="566" customFormat="1">
      <c r="T3730" s="41"/>
    </row>
    <row r="3731" spans="20:20" s="566" customFormat="1">
      <c r="T3731" s="41"/>
    </row>
    <row r="3732" spans="20:20" s="566" customFormat="1">
      <c r="T3732" s="41"/>
    </row>
    <row r="3733" spans="20:20" s="566" customFormat="1">
      <c r="T3733" s="41"/>
    </row>
    <row r="3734" spans="20:20" s="566" customFormat="1">
      <c r="T3734" s="41"/>
    </row>
    <row r="3735" spans="20:20" s="566" customFormat="1">
      <c r="T3735" s="41"/>
    </row>
    <row r="3736" spans="20:20" s="566" customFormat="1">
      <c r="T3736" s="41"/>
    </row>
    <row r="3737" spans="20:20" s="566" customFormat="1">
      <c r="T3737" s="41"/>
    </row>
    <row r="3738" spans="20:20" s="566" customFormat="1">
      <c r="T3738" s="41"/>
    </row>
    <row r="3739" spans="20:20" s="566" customFormat="1">
      <c r="T3739" s="41"/>
    </row>
    <row r="3740" spans="20:20" s="566" customFormat="1">
      <c r="T3740" s="41"/>
    </row>
    <row r="3741" spans="20:20" s="566" customFormat="1">
      <c r="T3741" s="41"/>
    </row>
    <row r="3742" spans="20:20" s="566" customFormat="1">
      <c r="T3742" s="41"/>
    </row>
    <row r="3743" spans="20:20" s="566" customFormat="1">
      <c r="T3743" s="41"/>
    </row>
    <row r="3744" spans="20:20" s="566" customFormat="1">
      <c r="T3744" s="41"/>
    </row>
    <row r="3745" spans="20:20" s="566" customFormat="1">
      <c r="T3745" s="41"/>
    </row>
    <row r="3746" spans="20:20" s="566" customFormat="1">
      <c r="T3746" s="41"/>
    </row>
    <row r="3747" spans="20:20" s="566" customFormat="1">
      <c r="T3747" s="41"/>
    </row>
    <row r="3748" spans="20:20" s="566" customFormat="1">
      <c r="T3748" s="41"/>
    </row>
    <row r="3749" spans="20:20" s="566" customFormat="1">
      <c r="T3749" s="41"/>
    </row>
    <row r="3750" spans="20:20" s="566" customFormat="1">
      <c r="T3750" s="41"/>
    </row>
    <row r="3751" spans="20:20" s="566" customFormat="1">
      <c r="T3751" s="41"/>
    </row>
    <row r="3752" spans="20:20" s="566" customFormat="1">
      <c r="T3752" s="41"/>
    </row>
    <row r="3753" spans="20:20" s="566" customFormat="1">
      <c r="T3753" s="41"/>
    </row>
    <row r="3754" spans="20:20" s="566" customFormat="1">
      <c r="T3754" s="41"/>
    </row>
    <row r="3755" spans="20:20" s="566" customFormat="1">
      <c r="T3755" s="41"/>
    </row>
    <row r="3756" spans="20:20" s="566" customFormat="1">
      <c r="T3756" s="41"/>
    </row>
    <row r="3757" spans="20:20" s="566" customFormat="1">
      <c r="T3757" s="41"/>
    </row>
    <row r="3758" spans="20:20" s="566" customFormat="1">
      <c r="T3758" s="41"/>
    </row>
    <row r="3759" spans="20:20" s="566" customFormat="1">
      <c r="T3759" s="41"/>
    </row>
    <row r="3760" spans="20:20" s="566" customFormat="1">
      <c r="T3760" s="41"/>
    </row>
    <row r="3761" spans="20:20" s="566" customFormat="1">
      <c r="T3761" s="41"/>
    </row>
    <row r="3762" spans="20:20" s="566" customFormat="1">
      <c r="T3762" s="41"/>
    </row>
    <row r="3763" spans="20:20" s="566" customFormat="1">
      <c r="T3763" s="41"/>
    </row>
    <row r="3764" spans="20:20" s="566" customFormat="1">
      <c r="T3764" s="41"/>
    </row>
    <row r="3765" spans="20:20" s="566" customFormat="1">
      <c r="T3765" s="41"/>
    </row>
    <row r="3766" spans="20:20" s="566" customFormat="1">
      <c r="T3766" s="41"/>
    </row>
    <row r="3767" spans="20:20" s="566" customFormat="1">
      <c r="T3767" s="41"/>
    </row>
    <row r="3768" spans="20:20" s="566" customFormat="1">
      <c r="T3768" s="41"/>
    </row>
    <row r="3769" spans="20:20" s="566" customFormat="1">
      <c r="T3769" s="41"/>
    </row>
    <row r="3770" spans="20:20" s="566" customFormat="1">
      <c r="T3770" s="41"/>
    </row>
    <row r="3771" spans="20:20" s="566" customFormat="1">
      <c r="T3771" s="41"/>
    </row>
    <row r="3772" spans="20:20" s="566" customFormat="1">
      <c r="T3772" s="41"/>
    </row>
    <row r="3773" spans="20:20" s="566" customFormat="1">
      <c r="T3773" s="41"/>
    </row>
    <row r="3774" spans="20:20" s="566" customFormat="1">
      <c r="T3774" s="41"/>
    </row>
    <row r="3775" spans="20:20" s="566" customFormat="1">
      <c r="T3775" s="41"/>
    </row>
    <row r="3776" spans="20:20" s="566" customFormat="1">
      <c r="T3776" s="41"/>
    </row>
    <row r="3777" spans="20:20" s="566" customFormat="1">
      <c r="T3777" s="41"/>
    </row>
    <row r="3778" spans="20:20" s="566" customFormat="1">
      <c r="T3778" s="41"/>
    </row>
    <row r="3779" spans="20:20" s="566" customFormat="1">
      <c r="T3779" s="41"/>
    </row>
    <row r="3780" spans="20:20" s="566" customFormat="1">
      <c r="T3780" s="41"/>
    </row>
    <row r="3781" spans="20:20" s="566" customFormat="1">
      <c r="T3781" s="41"/>
    </row>
    <row r="3782" spans="20:20" s="566" customFormat="1">
      <c r="T3782" s="41"/>
    </row>
    <row r="3783" spans="20:20" s="566" customFormat="1">
      <c r="T3783" s="41"/>
    </row>
    <row r="3784" spans="20:20" s="566" customFormat="1">
      <c r="T3784" s="41"/>
    </row>
    <row r="3785" spans="20:20" s="566" customFormat="1">
      <c r="T3785" s="41"/>
    </row>
    <row r="3786" spans="20:20" s="566" customFormat="1">
      <c r="T3786" s="41"/>
    </row>
    <row r="3787" spans="20:20" s="566" customFormat="1">
      <c r="T3787" s="41"/>
    </row>
    <row r="3788" spans="20:20" s="566" customFormat="1">
      <c r="T3788" s="41"/>
    </row>
    <row r="3789" spans="20:20" s="566" customFormat="1">
      <c r="T3789" s="41"/>
    </row>
    <row r="3790" spans="20:20" s="566" customFormat="1">
      <c r="T3790" s="41"/>
    </row>
    <row r="3791" spans="20:20" s="566" customFormat="1">
      <c r="T3791" s="41"/>
    </row>
    <row r="3792" spans="20:20" s="566" customFormat="1">
      <c r="T3792" s="41"/>
    </row>
    <row r="3793" spans="20:20" s="566" customFormat="1">
      <c r="T3793" s="41"/>
    </row>
    <row r="3794" spans="20:20" s="566" customFormat="1">
      <c r="T3794" s="41"/>
    </row>
    <row r="3795" spans="20:20" s="566" customFormat="1">
      <c r="T3795" s="41"/>
    </row>
    <row r="3796" spans="20:20" s="566" customFormat="1">
      <c r="T3796" s="41"/>
    </row>
    <row r="3797" spans="20:20" s="566" customFormat="1">
      <c r="T3797" s="41"/>
    </row>
    <row r="3798" spans="20:20" s="566" customFormat="1">
      <c r="T3798" s="41"/>
    </row>
    <row r="3799" spans="20:20" s="566" customFormat="1">
      <c r="T3799" s="41"/>
    </row>
    <row r="3800" spans="20:20" s="566" customFormat="1">
      <c r="T3800" s="41"/>
    </row>
    <row r="3801" spans="20:20" s="566" customFormat="1">
      <c r="T3801" s="41"/>
    </row>
    <row r="3802" spans="20:20" s="566" customFormat="1">
      <c r="T3802" s="41"/>
    </row>
    <row r="3803" spans="20:20" s="566" customFormat="1">
      <c r="T3803" s="41"/>
    </row>
    <row r="3804" spans="20:20" s="566" customFormat="1">
      <c r="T3804" s="41"/>
    </row>
    <row r="3805" spans="20:20" s="566" customFormat="1">
      <c r="T3805" s="41"/>
    </row>
    <row r="3806" spans="20:20" s="566" customFormat="1">
      <c r="T3806" s="41"/>
    </row>
    <row r="3807" spans="20:20" s="566" customFormat="1">
      <c r="T3807" s="41"/>
    </row>
    <row r="3808" spans="20:20" s="566" customFormat="1">
      <c r="T3808" s="41"/>
    </row>
    <row r="3809" spans="20:20" s="566" customFormat="1">
      <c r="T3809" s="41"/>
    </row>
    <row r="3810" spans="20:20" s="566" customFormat="1">
      <c r="T3810" s="41"/>
    </row>
    <row r="3811" spans="20:20" s="566" customFormat="1">
      <c r="T3811" s="41"/>
    </row>
    <row r="3812" spans="20:20" s="566" customFormat="1">
      <c r="T3812" s="41"/>
    </row>
    <row r="3813" spans="20:20" s="566" customFormat="1">
      <c r="T3813" s="41"/>
    </row>
    <row r="3814" spans="20:20" s="566" customFormat="1">
      <c r="T3814" s="41"/>
    </row>
    <row r="3815" spans="20:20" s="566" customFormat="1">
      <c r="T3815" s="41"/>
    </row>
    <row r="3816" spans="20:20" s="566" customFormat="1">
      <c r="T3816" s="41"/>
    </row>
    <row r="3817" spans="20:20" s="566" customFormat="1">
      <c r="T3817" s="41"/>
    </row>
    <row r="3818" spans="20:20" s="566" customFormat="1">
      <c r="T3818" s="41"/>
    </row>
    <row r="3819" spans="20:20" s="566" customFormat="1">
      <c r="T3819" s="41"/>
    </row>
    <row r="3820" spans="20:20" s="566" customFormat="1">
      <c r="T3820" s="41"/>
    </row>
    <row r="3821" spans="20:20" s="566" customFormat="1">
      <c r="T3821" s="41"/>
    </row>
    <row r="3822" spans="20:20" s="566" customFormat="1">
      <c r="T3822" s="41"/>
    </row>
    <row r="3823" spans="20:20" s="566" customFormat="1">
      <c r="T3823" s="41"/>
    </row>
    <row r="3824" spans="20:20" s="566" customFormat="1">
      <c r="T3824" s="41"/>
    </row>
    <row r="3825" spans="20:20" s="566" customFormat="1">
      <c r="T3825" s="41"/>
    </row>
    <row r="3826" spans="20:20" s="566" customFormat="1">
      <c r="T3826" s="41"/>
    </row>
    <row r="3827" spans="20:20" s="566" customFormat="1">
      <c r="T3827" s="41"/>
    </row>
    <row r="3828" spans="20:20" s="566" customFormat="1">
      <c r="T3828" s="41"/>
    </row>
    <row r="3829" spans="20:20" s="566" customFormat="1">
      <c r="T3829" s="41"/>
    </row>
    <row r="3830" spans="20:20" s="566" customFormat="1">
      <c r="T3830" s="41"/>
    </row>
    <row r="3831" spans="20:20" s="566" customFormat="1">
      <c r="T3831" s="41"/>
    </row>
    <row r="3832" spans="20:20" s="566" customFormat="1">
      <c r="T3832" s="41"/>
    </row>
    <row r="3833" spans="20:20" s="566" customFormat="1">
      <c r="T3833" s="41"/>
    </row>
    <row r="3834" spans="20:20" s="566" customFormat="1">
      <c r="T3834" s="41"/>
    </row>
    <row r="3835" spans="20:20" s="566" customFormat="1">
      <c r="T3835" s="41"/>
    </row>
    <row r="3836" spans="20:20" s="566" customFormat="1">
      <c r="T3836" s="41"/>
    </row>
    <row r="3837" spans="20:20" s="566" customFormat="1">
      <c r="T3837" s="41"/>
    </row>
    <row r="3838" spans="20:20" s="566" customFormat="1">
      <c r="T3838" s="41"/>
    </row>
    <row r="3839" spans="20:20" s="566" customFormat="1">
      <c r="T3839" s="41"/>
    </row>
    <row r="3840" spans="20:20" s="566" customFormat="1">
      <c r="T3840" s="41"/>
    </row>
    <row r="3841" spans="20:20" s="566" customFormat="1">
      <c r="T3841" s="41"/>
    </row>
    <row r="3842" spans="20:20" s="566" customFormat="1">
      <c r="T3842" s="41"/>
    </row>
    <row r="3843" spans="20:20" s="566" customFormat="1">
      <c r="T3843" s="41"/>
    </row>
    <row r="3844" spans="20:20" s="566" customFormat="1">
      <c r="T3844" s="41"/>
    </row>
    <row r="3845" spans="20:20" s="566" customFormat="1">
      <c r="T3845" s="41"/>
    </row>
    <row r="3846" spans="20:20" s="566" customFormat="1">
      <c r="T3846" s="41"/>
    </row>
    <row r="3847" spans="20:20" s="566" customFormat="1">
      <c r="T3847" s="41"/>
    </row>
    <row r="3848" spans="20:20" s="566" customFormat="1">
      <c r="T3848" s="41"/>
    </row>
    <row r="3849" spans="20:20" s="566" customFormat="1">
      <c r="T3849" s="41"/>
    </row>
    <row r="3850" spans="20:20" s="566" customFormat="1">
      <c r="T3850" s="41"/>
    </row>
    <row r="3851" spans="20:20" s="566" customFormat="1">
      <c r="T3851" s="41"/>
    </row>
    <row r="3852" spans="20:20" s="566" customFormat="1">
      <c r="T3852" s="41"/>
    </row>
    <row r="3853" spans="20:20" s="566" customFormat="1">
      <c r="T3853" s="41"/>
    </row>
    <row r="3854" spans="20:20" s="566" customFormat="1">
      <c r="T3854" s="41"/>
    </row>
    <row r="3855" spans="20:20" s="566" customFormat="1">
      <c r="T3855" s="41"/>
    </row>
    <row r="3856" spans="20:20" s="566" customFormat="1">
      <c r="T3856" s="41"/>
    </row>
    <row r="3857" spans="20:20" s="566" customFormat="1">
      <c r="T3857" s="41"/>
    </row>
    <row r="3858" spans="20:20" s="566" customFormat="1">
      <c r="T3858" s="41"/>
    </row>
    <row r="3859" spans="20:20" s="566" customFormat="1">
      <c r="T3859" s="41"/>
    </row>
    <row r="3860" spans="20:20" s="566" customFormat="1">
      <c r="T3860" s="41"/>
    </row>
    <row r="3861" spans="20:20" s="566" customFormat="1">
      <c r="T3861" s="41"/>
    </row>
    <row r="3862" spans="20:20" s="566" customFormat="1">
      <c r="T3862" s="41"/>
    </row>
    <row r="3863" spans="20:20" s="566" customFormat="1">
      <c r="T3863" s="41"/>
    </row>
    <row r="3864" spans="20:20" s="566" customFormat="1">
      <c r="T3864" s="41"/>
    </row>
    <row r="3865" spans="20:20" s="566" customFormat="1">
      <c r="T3865" s="41"/>
    </row>
    <row r="3866" spans="20:20" s="566" customFormat="1">
      <c r="T3866" s="41"/>
    </row>
    <row r="3867" spans="20:20" s="566" customFormat="1">
      <c r="T3867" s="41"/>
    </row>
    <row r="3868" spans="20:20" s="566" customFormat="1">
      <c r="T3868" s="41"/>
    </row>
    <row r="3869" spans="20:20" s="566" customFormat="1">
      <c r="T3869" s="41"/>
    </row>
    <row r="3870" spans="20:20" s="566" customFormat="1">
      <c r="T3870" s="41"/>
    </row>
    <row r="3871" spans="20:20" s="566" customFormat="1">
      <c r="T3871" s="41"/>
    </row>
    <row r="3872" spans="20:20" s="566" customFormat="1">
      <c r="T3872" s="41"/>
    </row>
    <row r="3873" spans="20:20" s="566" customFormat="1">
      <c r="T3873" s="41"/>
    </row>
    <row r="3874" spans="20:20" s="566" customFormat="1">
      <c r="T3874" s="41"/>
    </row>
    <row r="3875" spans="20:20" s="566" customFormat="1">
      <c r="T3875" s="41"/>
    </row>
    <row r="3876" spans="20:20" s="566" customFormat="1">
      <c r="T3876" s="41"/>
    </row>
    <row r="3877" spans="20:20" s="566" customFormat="1">
      <c r="T3877" s="41"/>
    </row>
    <row r="3878" spans="20:20" s="566" customFormat="1">
      <c r="T3878" s="41"/>
    </row>
    <row r="3879" spans="20:20" s="566" customFormat="1">
      <c r="T3879" s="41"/>
    </row>
    <row r="3880" spans="20:20" s="566" customFormat="1">
      <c r="T3880" s="41"/>
    </row>
    <row r="3881" spans="20:20" s="566" customFormat="1">
      <c r="T3881" s="41"/>
    </row>
    <row r="3882" spans="20:20" s="566" customFormat="1">
      <c r="T3882" s="41"/>
    </row>
    <row r="3883" spans="20:20" s="566" customFormat="1">
      <c r="T3883" s="41"/>
    </row>
    <row r="3884" spans="20:20" s="566" customFormat="1">
      <c r="T3884" s="41"/>
    </row>
    <row r="3885" spans="20:20" s="566" customFormat="1">
      <c r="T3885" s="41"/>
    </row>
    <row r="3886" spans="20:20" s="566" customFormat="1">
      <c r="T3886" s="41"/>
    </row>
    <row r="3887" spans="20:20" s="566" customFormat="1">
      <c r="T3887" s="41"/>
    </row>
    <row r="3888" spans="20:20" s="566" customFormat="1">
      <c r="T3888" s="41"/>
    </row>
    <row r="3889" spans="20:20" s="566" customFormat="1">
      <c r="T3889" s="41"/>
    </row>
    <row r="3890" spans="20:20" s="566" customFormat="1">
      <c r="T3890" s="41"/>
    </row>
    <row r="3891" spans="20:20" s="566" customFormat="1">
      <c r="T3891" s="41"/>
    </row>
    <row r="3892" spans="20:20" s="566" customFormat="1">
      <c r="T3892" s="41"/>
    </row>
    <row r="3893" spans="20:20" s="566" customFormat="1">
      <c r="T3893" s="41"/>
    </row>
    <row r="3894" spans="20:20" s="566" customFormat="1">
      <c r="T3894" s="41"/>
    </row>
    <row r="3895" spans="20:20" s="566" customFormat="1">
      <c r="T3895" s="41"/>
    </row>
    <row r="3896" spans="20:20" s="566" customFormat="1">
      <c r="T3896" s="41"/>
    </row>
    <row r="3897" spans="20:20" s="566" customFormat="1">
      <c r="T3897" s="41"/>
    </row>
    <row r="3898" spans="20:20" s="566" customFormat="1">
      <c r="T3898" s="41"/>
    </row>
    <row r="3899" spans="20:20" s="566" customFormat="1">
      <c r="T3899" s="41"/>
    </row>
    <row r="3900" spans="20:20" s="566" customFormat="1">
      <c r="T3900" s="41"/>
    </row>
    <row r="3901" spans="20:20" s="566" customFormat="1">
      <c r="T3901" s="41"/>
    </row>
    <row r="3902" spans="20:20" s="566" customFormat="1">
      <c r="T3902" s="41"/>
    </row>
    <row r="3903" spans="20:20" s="566" customFormat="1">
      <c r="T3903" s="41"/>
    </row>
    <row r="3904" spans="20:20" s="566" customFormat="1">
      <c r="T3904" s="41"/>
    </row>
    <row r="3905" spans="20:20" s="566" customFormat="1">
      <c r="T3905" s="41"/>
    </row>
    <row r="3906" spans="20:20" s="566" customFormat="1">
      <c r="T3906" s="41"/>
    </row>
    <row r="3907" spans="20:20" s="566" customFormat="1">
      <c r="T3907" s="41"/>
    </row>
    <row r="3908" spans="20:20" s="566" customFormat="1">
      <c r="T3908" s="41"/>
    </row>
    <row r="3909" spans="20:20" s="566" customFormat="1">
      <c r="T3909" s="41"/>
    </row>
    <row r="3910" spans="20:20" s="566" customFormat="1">
      <c r="T3910" s="41"/>
    </row>
    <row r="3911" spans="20:20" s="566" customFormat="1">
      <c r="T3911" s="41"/>
    </row>
    <row r="3912" spans="20:20" s="566" customFormat="1">
      <c r="T3912" s="41"/>
    </row>
    <row r="3913" spans="20:20" s="566" customFormat="1">
      <c r="T3913" s="41"/>
    </row>
    <row r="3914" spans="20:20" s="566" customFormat="1">
      <c r="T3914" s="41"/>
    </row>
    <row r="3915" spans="20:20" s="566" customFormat="1">
      <c r="T3915" s="41"/>
    </row>
    <row r="3916" spans="20:20" s="566" customFormat="1">
      <c r="T3916" s="41"/>
    </row>
    <row r="3917" spans="20:20" s="566" customFormat="1">
      <c r="T3917" s="41"/>
    </row>
    <row r="3918" spans="20:20" s="566" customFormat="1">
      <c r="T3918" s="41"/>
    </row>
    <row r="3919" spans="20:20" s="566" customFormat="1">
      <c r="T3919" s="41"/>
    </row>
    <row r="3920" spans="20:20" s="566" customFormat="1">
      <c r="T3920" s="41"/>
    </row>
    <row r="3921" spans="20:20" s="566" customFormat="1">
      <c r="T3921" s="41"/>
    </row>
    <row r="3922" spans="20:20" s="566" customFormat="1">
      <c r="T3922" s="41"/>
    </row>
    <row r="3923" spans="20:20" s="566" customFormat="1">
      <c r="T3923" s="41"/>
    </row>
    <row r="3924" spans="20:20" s="566" customFormat="1">
      <c r="T3924" s="41"/>
    </row>
    <row r="3925" spans="20:20" s="566" customFormat="1">
      <c r="T3925" s="41"/>
    </row>
    <row r="3926" spans="20:20" s="566" customFormat="1">
      <c r="T3926" s="41"/>
    </row>
    <row r="3927" spans="20:20" s="566" customFormat="1">
      <c r="T3927" s="41"/>
    </row>
    <row r="3928" spans="20:20" s="566" customFormat="1">
      <c r="T3928" s="41"/>
    </row>
    <row r="3929" spans="20:20" s="566" customFormat="1">
      <c r="T3929" s="41"/>
    </row>
    <row r="3930" spans="20:20" s="566" customFormat="1">
      <c r="T3930" s="41"/>
    </row>
    <row r="3931" spans="20:20" s="566" customFormat="1">
      <c r="T3931" s="41"/>
    </row>
    <row r="3932" spans="20:20" s="566" customFormat="1">
      <c r="T3932" s="41"/>
    </row>
    <row r="3933" spans="20:20" s="566" customFormat="1">
      <c r="T3933" s="41"/>
    </row>
    <row r="3934" spans="20:20" s="566" customFormat="1">
      <c r="T3934" s="41"/>
    </row>
    <row r="3935" spans="20:20" s="566" customFormat="1">
      <c r="T3935" s="41"/>
    </row>
    <row r="3936" spans="20:20" s="566" customFormat="1">
      <c r="T3936" s="41"/>
    </row>
    <row r="3937" spans="20:20" s="566" customFormat="1">
      <c r="T3937" s="41"/>
    </row>
    <row r="3938" spans="20:20" s="566" customFormat="1">
      <c r="T3938" s="41"/>
    </row>
    <row r="3939" spans="20:20" s="566" customFormat="1">
      <c r="T3939" s="41"/>
    </row>
    <row r="3940" spans="20:20" s="566" customFormat="1">
      <c r="T3940" s="41"/>
    </row>
    <row r="3941" spans="20:20" s="566" customFormat="1">
      <c r="T3941" s="41"/>
    </row>
    <row r="3942" spans="20:20" s="566" customFormat="1">
      <c r="T3942" s="41"/>
    </row>
    <row r="3943" spans="20:20" s="566" customFormat="1">
      <c r="T3943" s="41"/>
    </row>
    <row r="3944" spans="20:20" s="566" customFormat="1">
      <c r="T3944" s="41"/>
    </row>
    <row r="3945" spans="20:20" s="566" customFormat="1">
      <c r="T3945" s="41"/>
    </row>
    <row r="3946" spans="20:20" s="566" customFormat="1">
      <c r="T3946" s="41"/>
    </row>
    <row r="3947" spans="20:20" s="566" customFormat="1">
      <c r="T3947" s="41"/>
    </row>
    <row r="3948" spans="20:20" s="566" customFormat="1">
      <c r="T3948" s="41"/>
    </row>
    <row r="3949" spans="20:20" s="566" customFormat="1">
      <c r="T3949" s="41"/>
    </row>
    <row r="3950" spans="20:20" s="566" customFormat="1">
      <c r="T3950" s="41"/>
    </row>
    <row r="3951" spans="20:20" s="566" customFormat="1">
      <c r="T3951" s="41"/>
    </row>
    <row r="3952" spans="20:20" s="566" customFormat="1">
      <c r="T3952" s="41"/>
    </row>
    <row r="3953" spans="20:20" s="566" customFormat="1">
      <c r="T3953" s="41"/>
    </row>
    <row r="3954" spans="20:20" s="566" customFormat="1">
      <c r="T3954" s="41"/>
    </row>
    <row r="3955" spans="20:20" s="566" customFormat="1">
      <c r="T3955" s="41"/>
    </row>
    <row r="3956" spans="20:20" s="566" customFormat="1">
      <c r="T3956" s="41"/>
    </row>
    <row r="3957" spans="20:20" s="566" customFormat="1">
      <c r="T3957" s="41"/>
    </row>
    <row r="3958" spans="20:20" s="566" customFormat="1">
      <c r="T3958" s="41"/>
    </row>
    <row r="3959" spans="20:20" s="566" customFormat="1">
      <c r="T3959" s="41"/>
    </row>
    <row r="3960" spans="20:20" s="566" customFormat="1">
      <c r="T3960" s="41"/>
    </row>
    <row r="3961" spans="20:20" s="566" customFormat="1">
      <c r="T3961" s="41"/>
    </row>
    <row r="3962" spans="20:20" s="566" customFormat="1">
      <c r="T3962" s="41"/>
    </row>
    <row r="3963" spans="20:20" s="566" customFormat="1">
      <c r="T3963" s="41"/>
    </row>
    <row r="3964" spans="20:20" s="566" customFormat="1">
      <c r="T3964" s="41"/>
    </row>
    <row r="3965" spans="20:20" s="566" customFormat="1">
      <c r="T3965" s="41"/>
    </row>
    <row r="3966" spans="20:20" s="566" customFormat="1">
      <c r="T3966" s="41"/>
    </row>
    <row r="3967" spans="20:20" s="566" customFormat="1">
      <c r="T3967" s="41"/>
    </row>
    <row r="3968" spans="20:20" s="566" customFormat="1">
      <c r="T3968" s="41"/>
    </row>
    <row r="3969" spans="20:20" s="566" customFormat="1">
      <c r="T3969" s="41"/>
    </row>
    <row r="3970" spans="20:20" s="566" customFormat="1">
      <c r="T3970" s="41"/>
    </row>
    <row r="3971" spans="20:20" s="566" customFormat="1">
      <c r="T3971" s="41"/>
    </row>
    <row r="3972" spans="20:20" s="566" customFormat="1">
      <c r="T3972" s="41"/>
    </row>
    <row r="3973" spans="20:20" s="566" customFormat="1">
      <c r="T3973" s="41"/>
    </row>
    <row r="3974" spans="20:20" s="566" customFormat="1">
      <c r="T3974" s="41"/>
    </row>
    <row r="3975" spans="20:20" s="566" customFormat="1">
      <c r="T3975" s="41"/>
    </row>
    <row r="3976" spans="20:20" s="566" customFormat="1">
      <c r="T3976" s="41"/>
    </row>
    <row r="3977" spans="20:20" s="566" customFormat="1">
      <c r="T3977" s="41"/>
    </row>
    <row r="3978" spans="20:20" s="566" customFormat="1">
      <c r="T3978" s="41"/>
    </row>
    <row r="3979" spans="20:20" s="566" customFormat="1">
      <c r="T3979" s="41"/>
    </row>
    <row r="3980" spans="20:20" s="566" customFormat="1">
      <c r="T3980" s="41"/>
    </row>
    <row r="3981" spans="20:20" s="566" customFormat="1">
      <c r="T3981" s="41"/>
    </row>
    <row r="3982" spans="20:20" s="566" customFormat="1">
      <c r="T3982" s="41"/>
    </row>
    <row r="3983" spans="20:20" s="566" customFormat="1">
      <c r="T3983" s="41"/>
    </row>
    <row r="3984" spans="20:20" s="566" customFormat="1">
      <c r="T3984" s="41"/>
    </row>
    <row r="3985" spans="20:20" s="566" customFormat="1">
      <c r="T3985" s="41"/>
    </row>
    <row r="3986" spans="20:20" s="566" customFormat="1">
      <c r="T3986" s="41"/>
    </row>
    <row r="3987" spans="20:20" s="566" customFormat="1">
      <c r="T3987" s="41"/>
    </row>
    <row r="3988" spans="20:20" s="566" customFormat="1">
      <c r="T3988" s="41"/>
    </row>
    <row r="3989" spans="20:20" s="566" customFormat="1">
      <c r="T3989" s="41"/>
    </row>
    <row r="3990" spans="20:20" s="566" customFormat="1">
      <c r="T3990" s="41"/>
    </row>
    <row r="3991" spans="20:20" s="566" customFormat="1">
      <c r="T3991" s="41"/>
    </row>
    <row r="3992" spans="20:20" s="566" customFormat="1">
      <c r="T3992" s="41"/>
    </row>
    <row r="3993" spans="20:20" s="566" customFormat="1">
      <c r="T3993" s="41"/>
    </row>
    <row r="3994" spans="20:20" s="566" customFormat="1">
      <c r="T3994" s="41"/>
    </row>
    <row r="3995" spans="20:20" s="566" customFormat="1">
      <c r="T3995" s="41"/>
    </row>
    <row r="3996" spans="20:20" s="566" customFormat="1">
      <c r="T3996" s="41"/>
    </row>
    <row r="3997" spans="20:20" s="566" customFormat="1">
      <c r="T3997" s="41"/>
    </row>
    <row r="3998" spans="20:20" s="566" customFormat="1">
      <c r="T3998" s="41"/>
    </row>
    <row r="3999" spans="20:20" s="566" customFormat="1">
      <c r="T3999" s="41"/>
    </row>
    <row r="4000" spans="20:20" s="566" customFormat="1">
      <c r="T4000" s="41"/>
    </row>
    <row r="4001" spans="20:20" s="566" customFormat="1">
      <c r="T4001" s="41"/>
    </row>
    <row r="4002" spans="20:20" s="566" customFormat="1">
      <c r="T4002" s="41"/>
    </row>
    <row r="4003" spans="20:20" s="566" customFormat="1">
      <c r="T4003" s="41"/>
    </row>
    <row r="4004" spans="20:20" s="566" customFormat="1">
      <c r="T4004" s="41"/>
    </row>
    <row r="4005" spans="20:20" s="566" customFormat="1">
      <c r="T4005" s="41"/>
    </row>
    <row r="4006" spans="20:20" s="566" customFormat="1">
      <c r="T4006" s="41"/>
    </row>
    <row r="4007" spans="20:20" s="566" customFormat="1">
      <c r="T4007" s="41"/>
    </row>
    <row r="4008" spans="20:20" s="566" customFormat="1">
      <c r="T4008" s="41"/>
    </row>
    <row r="4009" spans="20:20" s="566" customFormat="1">
      <c r="T4009" s="41"/>
    </row>
    <row r="4010" spans="20:20" s="566" customFormat="1">
      <c r="T4010" s="41"/>
    </row>
    <row r="4011" spans="20:20" s="566" customFormat="1">
      <c r="T4011" s="41"/>
    </row>
    <row r="4012" spans="20:20" s="566" customFormat="1">
      <c r="T4012" s="41"/>
    </row>
    <row r="4013" spans="20:20" s="566" customFormat="1">
      <c r="T4013" s="41"/>
    </row>
    <row r="4014" spans="20:20" s="566" customFormat="1">
      <c r="T4014" s="41"/>
    </row>
    <row r="4015" spans="20:20" s="566" customFormat="1">
      <c r="T4015" s="41"/>
    </row>
    <row r="4016" spans="20:20" s="566" customFormat="1">
      <c r="T4016" s="41"/>
    </row>
    <row r="4017" spans="20:20" s="566" customFormat="1">
      <c r="T4017" s="41"/>
    </row>
    <row r="4018" spans="20:20" s="566" customFormat="1">
      <c r="T4018" s="41"/>
    </row>
    <row r="4019" spans="20:20" s="566" customFormat="1">
      <c r="T4019" s="41"/>
    </row>
    <row r="4020" spans="20:20" s="566" customFormat="1">
      <c r="T4020" s="41"/>
    </row>
    <row r="4021" spans="20:20" s="566" customFormat="1">
      <c r="T4021" s="41"/>
    </row>
    <row r="4022" spans="20:20" s="566" customFormat="1">
      <c r="T4022" s="41"/>
    </row>
    <row r="4023" spans="20:20" s="566" customFormat="1">
      <c r="T4023" s="41"/>
    </row>
    <row r="4024" spans="20:20" s="566" customFormat="1">
      <c r="T4024" s="41"/>
    </row>
    <row r="4025" spans="20:20" s="566" customFormat="1">
      <c r="T4025" s="41"/>
    </row>
    <row r="4026" spans="20:20" s="566" customFormat="1">
      <c r="T4026" s="41"/>
    </row>
    <row r="4027" spans="20:20" s="566" customFormat="1">
      <c r="T4027" s="41"/>
    </row>
    <row r="4028" spans="20:20" s="566" customFormat="1">
      <c r="T4028" s="41"/>
    </row>
    <row r="4029" spans="20:20" s="566" customFormat="1">
      <c r="T4029" s="41"/>
    </row>
    <row r="4030" spans="20:20" s="566" customFormat="1">
      <c r="T4030" s="41"/>
    </row>
    <row r="4031" spans="20:20" s="566" customFormat="1">
      <c r="T4031" s="41"/>
    </row>
    <row r="4032" spans="20:20" s="566" customFormat="1">
      <c r="T4032" s="41"/>
    </row>
    <row r="4033" spans="20:20" s="566" customFormat="1">
      <c r="T4033" s="41"/>
    </row>
    <row r="4034" spans="20:20" s="566" customFormat="1">
      <c r="T4034" s="41"/>
    </row>
    <row r="4035" spans="20:20" s="566" customFormat="1">
      <c r="T4035" s="41"/>
    </row>
    <row r="4036" spans="20:20" s="566" customFormat="1">
      <c r="T4036" s="41"/>
    </row>
    <row r="4037" spans="20:20" s="566" customFormat="1">
      <c r="T4037" s="41"/>
    </row>
    <row r="4038" spans="20:20" s="566" customFormat="1">
      <c r="T4038" s="41"/>
    </row>
    <row r="4039" spans="20:20" s="566" customFormat="1">
      <c r="T4039" s="41"/>
    </row>
    <row r="4040" spans="20:20" s="566" customFormat="1">
      <c r="T4040" s="41"/>
    </row>
    <row r="4041" spans="20:20" s="566" customFormat="1">
      <c r="T4041" s="41"/>
    </row>
    <row r="4042" spans="20:20" s="566" customFormat="1">
      <c r="T4042" s="41"/>
    </row>
    <row r="4043" spans="20:20" s="566" customFormat="1">
      <c r="T4043" s="41"/>
    </row>
    <row r="4044" spans="20:20" s="566" customFormat="1">
      <c r="T4044" s="41"/>
    </row>
    <row r="4045" spans="20:20" s="566" customFormat="1">
      <c r="T4045" s="41"/>
    </row>
    <row r="4046" spans="20:20" s="566" customFormat="1">
      <c r="T4046" s="41"/>
    </row>
    <row r="4047" spans="20:20" s="566" customFormat="1">
      <c r="T4047" s="41"/>
    </row>
    <row r="4048" spans="20:20" s="566" customFormat="1">
      <c r="T4048" s="41"/>
    </row>
    <row r="4049" spans="20:20" s="566" customFormat="1">
      <c r="T4049" s="41"/>
    </row>
    <row r="4050" spans="20:20" s="566" customFormat="1">
      <c r="T4050" s="41"/>
    </row>
    <row r="4051" spans="20:20" s="566" customFormat="1">
      <c r="T4051" s="41"/>
    </row>
    <row r="4052" spans="20:20" s="566" customFormat="1">
      <c r="T4052" s="41"/>
    </row>
    <row r="4053" spans="20:20" s="566" customFormat="1">
      <c r="T4053" s="41"/>
    </row>
    <row r="4054" spans="20:20" s="566" customFormat="1">
      <c r="T4054" s="41"/>
    </row>
    <row r="4055" spans="20:20" s="566" customFormat="1">
      <c r="T4055" s="41"/>
    </row>
    <row r="4056" spans="20:20" s="566" customFormat="1">
      <c r="T4056" s="41"/>
    </row>
    <row r="4057" spans="20:20" s="566" customFormat="1">
      <c r="T4057" s="41"/>
    </row>
    <row r="4058" spans="20:20" s="566" customFormat="1">
      <c r="T4058" s="41"/>
    </row>
    <row r="4059" spans="20:20" s="566" customFormat="1">
      <c r="T4059" s="41"/>
    </row>
    <row r="4060" spans="20:20" s="566" customFormat="1">
      <c r="T4060" s="41"/>
    </row>
    <row r="4061" spans="20:20" s="566" customFormat="1">
      <c r="T4061" s="41"/>
    </row>
    <row r="4062" spans="20:20" s="566" customFormat="1">
      <c r="T4062" s="41"/>
    </row>
    <row r="4063" spans="20:20" s="566" customFormat="1">
      <c r="T4063" s="41"/>
    </row>
    <row r="4064" spans="20:20" s="566" customFormat="1">
      <c r="T4064" s="41"/>
    </row>
    <row r="4065" spans="20:20" s="566" customFormat="1">
      <c r="T4065" s="41"/>
    </row>
    <row r="4066" spans="20:20" s="566" customFormat="1">
      <c r="T4066" s="41"/>
    </row>
    <row r="4067" spans="20:20" s="566" customFormat="1">
      <c r="T4067" s="41"/>
    </row>
    <row r="4068" spans="20:20" s="566" customFormat="1">
      <c r="T4068" s="41"/>
    </row>
    <row r="4069" spans="20:20" s="566" customFormat="1">
      <c r="T4069" s="41"/>
    </row>
    <row r="4070" spans="20:20" s="566" customFormat="1">
      <c r="T4070" s="41"/>
    </row>
    <row r="4071" spans="20:20" s="566" customFormat="1">
      <c r="T4071" s="41"/>
    </row>
    <row r="4072" spans="20:20" s="566" customFormat="1">
      <c r="T4072" s="41"/>
    </row>
    <row r="4073" spans="20:20" s="566" customFormat="1">
      <c r="T4073" s="41"/>
    </row>
    <row r="4074" spans="20:20" s="566" customFormat="1">
      <c r="T4074" s="41"/>
    </row>
    <row r="4075" spans="20:20" s="566" customFormat="1">
      <c r="T4075" s="41"/>
    </row>
    <row r="4076" spans="20:20" s="566" customFormat="1">
      <c r="T4076" s="41"/>
    </row>
    <row r="4077" spans="20:20" s="566" customFormat="1">
      <c r="T4077" s="41"/>
    </row>
    <row r="4078" spans="20:20" s="566" customFormat="1">
      <c r="T4078" s="41"/>
    </row>
    <row r="4079" spans="20:20" s="566" customFormat="1">
      <c r="T4079" s="41"/>
    </row>
    <row r="4080" spans="20:20" s="566" customFormat="1">
      <c r="T4080" s="41"/>
    </row>
    <row r="4081" spans="20:20" s="566" customFormat="1">
      <c r="T4081" s="41"/>
    </row>
    <row r="4082" spans="20:20" s="566" customFormat="1">
      <c r="T4082" s="41"/>
    </row>
    <row r="4083" spans="20:20" s="566" customFormat="1">
      <c r="T4083" s="41"/>
    </row>
    <row r="4084" spans="20:20" s="566" customFormat="1">
      <c r="T4084" s="41"/>
    </row>
    <row r="4085" spans="20:20" s="566" customFormat="1">
      <c r="T4085" s="41"/>
    </row>
    <row r="4086" spans="20:20" s="566" customFormat="1">
      <c r="T4086" s="41"/>
    </row>
    <row r="4087" spans="20:20" s="566" customFormat="1">
      <c r="T4087" s="41"/>
    </row>
    <row r="4088" spans="20:20" s="566" customFormat="1">
      <c r="T4088" s="41"/>
    </row>
    <row r="4089" spans="20:20" s="566" customFormat="1">
      <c r="T4089" s="41"/>
    </row>
    <row r="4090" spans="20:20" s="566" customFormat="1">
      <c r="T4090" s="41"/>
    </row>
    <row r="4091" spans="20:20" s="566" customFormat="1">
      <c r="T4091" s="41"/>
    </row>
    <row r="4092" spans="20:20" s="566" customFormat="1">
      <c r="T4092" s="41"/>
    </row>
    <row r="4093" spans="20:20" s="566" customFormat="1">
      <c r="T4093" s="41"/>
    </row>
    <row r="4094" spans="20:20" s="566" customFormat="1">
      <c r="T4094" s="41"/>
    </row>
    <row r="4095" spans="20:20" s="566" customFormat="1">
      <c r="T4095" s="41"/>
    </row>
    <row r="4096" spans="20:20" s="566" customFormat="1">
      <c r="T4096" s="41"/>
    </row>
    <row r="4097" spans="20:20" s="566" customFormat="1">
      <c r="T4097" s="41"/>
    </row>
    <row r="4098" spans="20:20" s="566" customFormat="1">
      <c r="T4098" s="41"/>
    </row>
    <row r="4099" spans="20:20" s="566" customFormat="1">
      <c r="T4099" s="41"/>
    </row>
    <row r="4100" spans="20:20" s="566" customFormat="1">
      <c r="T4100" s="41"/>
    </row>
    <row r="4101" spans="20:20" s="566" customFormat="1">
      <c r="T4101" s="41"/>
    </row>
    <row r="4102" spans="20:20" s="566" customFormat="1">
      <c r="T4102" s="41"/>
    </row>
    <row r="4103" spans="20:20" s="566" customFormat="1">
      <c r="T4103" s="41"/>
    </row>
    <row r="4104" spans="20:20" s="566" customFormat="1">
      <c r="T4104" s="41"/>
    </row>
    <row r="4105" spans="20:20" s="566" customFormat="1">
      <c r="T4105" s="41"/>
    </row>
    <row r="4106" spans="20:20" s="566" customFormat="1">
      <c r="T4106" s="41"/>
    </row>
    <row r="4107" spans="20:20" s="566" customFormat="1">
      <c r="T4107" s="41"/>
    </row>
    <row r="4108" spans="20:20" s="566" customFormat="1">
      <c r="T4108" s="41"/>
    </row>
    <row r="4109" spans="20:20" s="566" customFormat="1">
      <c r="T4109" s="41"/>
    </row>
    <row r="4110" spans="20:20" s="566" customFormat="1">
      <c r="T4110" s="41"/>
    </row>
    <row r="4111" spans="20:20" s="566" customFormat="1">
      <c r="T4111" s="41"/>
    </row>
    <row r="4112" spans="20:20" s="566" customFormat="1">
      <c r="T4112" s="41"/>
    </row>
    <row r="4113" spans="20:20" s="566" customFormat="1">
      <c r="T4113" s="41"/>
    </row>
    <row r="4114" spans="20:20" s="566" customFormat="1">
      <c r="T4114" s="41"/>
    </row>
    <row r="4115" spans="20:20" s="566" customFormat="1">
      <c r="T4115" s="41"/>
    </row>
    <row r="4116" spans="20:20" s="566" customFormat="1">
      <c r="T4116" s="41"/>
    </row>
    <row r="4117" spans="20:20" s="566" customFormat="1">
      <c r="T4117" s="41"/>
    </row>
    <row r="4118" spans="20:20" s="566" customFormat="1">
      <c r="T4118" s="41"/>
    </row>
    <row r="4119" spans="20:20" s="566" customFormat="1">
      <c r="T4119" s="41"/>
    </row>
    <row r="4120" spans="20:20" s="566" customFormat="1">
      <c r="T4120" s="41"/>
    </row>
    <row r="4121" spans="20:20" s="566" customFormat="1">
      <c r="T4121" s="41"/>
    </row>
    <row r="4122" spans="20:20" s="566" customFormat="1">
      <c r="T4122" s="41"/>
    </row>
    <row r="4123" spans="20:20" s="566" customFormat="1">
      <c r="T4123" s="41"/>
    </row>
    <row r="4124" spans="20:20" s="566" customFormat="1">
      <c r="T4124" s="41"/>
    </row>
    <row r="4125" spans="20:20" s="566" customFormat="1">
      <c r="T4125" s="41"/>
    </row>
    <row r="4126" spans="20:20" s="566" customFormat="1">
      <c r="T4126" s="41"/>
    </row>
    <row r="4127" spans="20:20" s="566" customFormat="1">
      <c r="T4127" s="41"/>
    </row>
    <row r="4128" spans="20:20" s="566" customFormat="1">
      <c r="T4128" s="41"/>
    </row>
    <row r="4129" spans="20:20" s="566" customFormat="1">
      <c r="T4129" s="41"/>
    </row>
    <row r="4130" spans="20:20" s="566" customFormat="1">
      <c r="T4130" s="41"/>
    </row>
    <row r="4131" spans="20:20" s="566" customFormat="1">
      <c r="T4131" s="41"/>
    </row>
    <row r="4132" spans="20:20" s="566" customFormat="1">
      <c r="T4132" s="41"/>
    </row>
    <row r="4133" spans="20:20" s="566" customFormat="1">
      <c r="T4133" s="41"/>
    </row>
    <row r="4134" spans="20:20" s="566" customFormat="1">
      <c r="T4134" s="41"/>
    </row>
    <row r="4135" spans="20:20" s="566" customFormat="1">
      <c r="T4135" s="41"/>
    </row>
    <row r="4136" spans="20:20" s="566" customFormat="1">
      <c r="T4136" s="41"/>
    </row>
    <row r="4137" spans="20:20" s="566" customFormat="1">
      <c r="T4137" s="41"/>
    </row>
    <row r="4138" spans="20:20" s="566" customFormat="1">
      <c r="T4138" s="41"/>
    </row>
    <row r="4139" spans="20:20" s="566" customFormat="1">
      <c r="T4139" s="41"/>
    </row>
    <row r="4140" spans="20:20" s="566" customFormat="1">
      <c r="T4140" s="41"/>
    </row>
    <row r="4141" spans="20:20" s="566" customFormat="1">
      <c r="T4141" s="41"/>
    </row>
    <row r="4142" spans="20:20" s="566" customFormat="1">
      <c r="T4142" s="41"/>
    </row>
    <row r="4143" spans="20:20" s="566" customFormat="1">
      <c r="T4143" s="41"/>
    </row>
    <row r="4144" spans="20:20" s="566" customFormat="1">
      <c r="T4144" s="41"/>
    </row>
    <row r="4145" spans="20:20" s="566" customFormat="1">
      <c r="T4145" s="41"/>
    </row>
    <row r="4146" spans="20:20" s="566" customFormat="1">
      <c r="T4146" s="41"/>
    </row>
    <row r="4147" spans="20:20" s="566" customFormat="1">
      <c r="T4147" s="41"/>
    </row>
    <row r="4148" spans="20:20" s="566" customFormat="1">
      <c r="T4148" s="41"/>
    </row>
    <row r="4149" spans="20:20" s="566" customFormat="1">
      <c r="T4149" s="41"/>
    </row>
    <row r="4150" spans="20:20" s="566" customFormat="1">
      <c r="T4150" s="41"/>
    </row>
    <row r="4151" spans="20:20" s="566" customFormat="1">
      <c r="T4151" s="41"/>
    </row>
    <row r="4152" spans="20:20" s="566" customFormat="1">
      <c r="T4152" s="41"/>
    </row>
    <row r="4153" spans="20:20" s="566" customFormat="1">
      <c r="T4153" s="41"/>
    </row>
    <row r="4154" spans="20:20" s="566" customFormat="1">
      <c r="T4154" s="41"/>
    </row>
    <row r="4155" spans="20:20" s="566" customFormat="1">
      <c r="T4155" s="41"/>
    </row>
    <row r="4156" spans="20:20" s="566" customFormat="1">
      <c r="T4156" s="41"/>
    </row>
    <row r="4157" spans="20:20" s="566" customFormat="1">
      <c r="T4157" s="41"/>
    </row>
    <row r="4158" spans="20:20" s="566" customFormat="1">
      <c r="T4158" s="41"/>
    </row>
    <row r="4159" spans="20:20" s="566" customFormat="1">
      <c r="T4159" s="41"/>
    </row>
    <row r="4160" spans="20:20" s="566" customFormat="1">
      <c r="T4160" s="41"/>
    </row>
    <row r="4161" spans="20:20" s="566" customFormat="1">
      <c r="T4161" s="41"/>
    </row>
    <row r="4162" spans="20:20" s="566" customFormat="1">
      <c r="T4162" s="41"/>
    </row>
    <row r="4163" spans="20:20" s="566" customFormat="1">
      <c r="T4163" s="41"/>
    </row>
    <row r="4164" spans="20:20" s="566" customFormat="1">
      <c r="T4164" s="41"/>
    </row>
    <row r="4165" spans="20:20" s="566" customFormat="1">
      <c r="T4165" s="41"/>
    </row>
    <row r="4166" spans="20:20" s="566" customFormat="1">
      <c r="T4166" s="41"/>
    </row>
    <row r="4167" spans="20:20" s="566" customFormat="1">
      <c r="T4167" s="41"/>
    </row>
    <row r="4168" spans="20:20" s="566" customFormat="1">
      <c r="T4168" s="41"/>
    </row>
    <row r="4169" spans="20:20" s="566" customFormat="1">
      <c r="T4169" s="41"/>
    </row>
    <row r="4170" spans="20:20" s="566" customFormat="1">
      <c r="T4170" s="41"/>
    </row>
    <row r="4171" spans="20:20" s="566" customFormat="1">
      <c r="T4171" s="41"/>
    </row>
    <row r="4172" spans="20:20" s="566" customFormat="1">
      <c r="T4172" s="41"/>
    </row>
    <row r="4173" spans="20:20" s="566" customFormat="1">
      <c r="T4173" s="41"/>
    </row>
    <row r="4174" spans="20:20" s="566" customFormat="1">
      <c r="T4174" s="41"/>
    </row>
    <row r="4175" spans="20:20" s="566" customFormat="1">
      <c r="T4175" s="41"/>
    </row>
    <row r="4176" spans="20:20" s="566" customFormat="1">
      <c r="T4176" s="41"/>
    </row>
    <row r="4177" spans="20:20" s="566" customFormat="1">
      <c r="T4177" s="41"/>
    </row>
    <row r="4178" spans="20:20" s="566" customFormat="1">
      <c r="T4178" s="41"/>
    </row>
    <row r="4179" spans="20:20" s="566" customFormat="1">
      <c r="T4179" s="41"/>
    </row>
    <row r="4180" spans="20:20" s="566" customFormat="1">
      <c r="T4180" s="41"/>
    </row>
    <row r="4181" spans="20:20" s="566" customFormat="1">
      <c r="T4181" s="41"/>
    </row>
    <row r="4182" spans="20:20" s="566" customFormat="1">
      <c r="T4182" s="41"/>
    </row>
    <row r="4183" spans="20:20" s="566" customFormat="1">
      <c r="T4183" s="41"/>
    </row>
    <row r="4184" spans="20:20" s="566" customFormat="1">
      <c r="T4184" s="41"/>
    </row>
    <row r="4185" spans="20:20" s="566" customFormat="1">
      <c r="T4185" s="41"/>
    </row>
    <row r="4186" spans="20:20" s="566" customFormat="1">
      <c r="T4186" s="41"/>
    </row>
    <row r="4187" spans="20:20" s="566" customFormat="1">
      <c r="T4187" s="41"/>
    </row>
    <row r="4188" spans="20:20" s="566" customFormat="1">
      <c r="T4188" s="41"/>
    </row>
    <row r="4189" spans="20:20" s="566" customFormat="1">
      <c r="T4189" s="41"/>
    </row>
    <row r="4190" spans="20:20" s="566" customFormat="1">
      <c r="T4190" s="41"/>
    </row>
    <row r="4191" spans="20:20" s="566" customFormat="1">
      <c r="T4191" s="41"/>
    </row>
    <row r="4192" spans="20:20" s="566" customFormat="1">
      <c r="T4192" s="41"/>
    </row>
    <row r="4193" spans="20:20" s="566" customFormat="1">
      <c r="T4193" s="41"/>
    </row>
    <row r="4194" spans="20:20" s="566" customFormat="1">
      <c r="T4194" s="41"/>
    </row>
    <row r="4195" spans="20:20" s="566" customFormat="1">
      <c r="T4195" s="41"/>
    </row>
    <row r="4196" spans="20:20" s="566" customFormat="1">
      <c r="T4196" s="41"/>
    </row>
    <row r="4197" spans="20:20" s="566" customFormat="1">
      <c r="T4197" s="41"/>
    </row>
    <row r="4198" spans="20:20" s="566" customFormat="1">
      <c r="T4198" s="41"/>
    </row>
    <row r="4199" spans="20:20" s="566" customFormat="1">
      <c r="T4199" s="41"/>
    </row>
    <row r="4200" spans="20:20" s="566" customFormat="1">
      <c r="T4200" s="41"/>
    </row>
    <row r="4201" spans="20:20" s="566" customFormat="1">
      <c r="T4201" s="41"/>
    </row>
    <row r="4202" spans="20:20" s="566" customFormat="1">
      <c r="T4202" s="41"/>
    </row>
    <row r="4203" spans="20:20" s="566" customFormat="1">
      <c r="T4203" s="41"/>
    </row>
    <row r="4204" spans="20:20" s="566" customFormat="1">
      <c r="T4204" s="41"/>
    </row>
    <row r="4205" spans="20:20" s="566" customFormat="1">
      <c r="T4205" s="41"/>
    </row>
    <row r="4206" spans="20:20" s="566" customFormat="1">
      <c r="T4206" s="41"/>
    </row>
    <row r="4207" spans="20:20" s="566" customFormat="1">
      <c r="T4207" s="41"/>
    </row>
    <row r="4208" spans="20:20" s="566" customFormat="1">
      <c r="T4208" s="41"/>
    </row>
    <row r="4209" spans="20:20" s="566" customFormat="1">
      <c r="T4209" s="41"/>
    </row>
    <row r="4210" spans="20:20" s="566" customFormat="1">
      <c r="T4210" s="41"/>
    </row>
    <row r="4211" spans="20:20" s="566" customFormat="1">
      <c r="T4211" s="41"/>
    </row>
    <row r="4212" spans="20:20" s="566" customFormat="1">
      <c r="T4212" s="41"/>
    </row>
    <row r="4213" spans="20:20" s="566" customFormat="1">
      <c r="T4213" s="41"/>
    </row>
    <row r="4214" spans="20:20" s="566" customFormat="1">
      <c r="T4214" s="41"/>
    </row>
    <row r="4215" spans="20:20" s="566" customFormat="1">
      <c r="T4215" s="41"/>
    </row>
    <row r="4216" spans="20:20" s="566" customFormat="1">
      <c r="T4216" s="41"/>
    </row>
    <row r="4217" spans="20:20" s="566" customFormat="1">
      <c r="T4217" s="41"/>
    </row>
    <row r="4218" spans="20:20" s="566" customFormat="1">
      <c r="T4218" s="41"/>
    </row>
    <row r="4219" spans="20:20" s="566" customFormat="1">
      <c r="T4219" s="41"/>
    </row>
    <row r="4220" spans="20:20" s="566" customFormat="1">
      <c r="T4220" s="41"/>
    </row>
    <row r="4221" spans="20:20" s="566" customFormat="1">
      <c r="T4221" s="41"/>
    </row>
    <row r="4222" spans="20:20" s="566" customFormat="1">
      <c r="T4222" s="41"/>
    </row>
    <row r="4223" spans="20:20" s="566" customFormat="1">
      <c r="T4223" s="41"/>
    </row>
    <row r="4224" spans="20:20" s="566" customFormat="1">
      <c r="T4224" s="41"/>
    </row>
    <row r="4225" spans="20:20" s="566" customFormat="1">
      <c r="T4225" s="41"/>
    </row>
    <row r="4226" spans="20:20" s="566" customFormat="1">
      <c r="T4226" s="41"/>
    </row>
    <row r="4227" spans="20:20" s="566" customFormat="1">
      <c r="T4227" s="41"/>
    </row>
    <row r="4228" spans="20:20" s="566" customFormat="1">
      <c r="T4228" s="41"/>
    </row>
    <row r="4229" spans="20:20" s="566" customFormat="1">
      <c r="T4229" s="41"/>
    </row>
    <row r="4230" spans="20:20" s="566" customFormat="1">
      <c r="T4230" s="41"/>
    </row>
    <row r="4231" spans="20:20" s="566" customFormat="1">
      <c r="T4231" s="41"/>
    </row>
    <row r="4232" spans="20:20" s="566" customFormat="1">
      <c r="T4232" s="41"/>
    </row>
    <row r="4233" spans="20:20" s="566" customFormat="1">
      <c r="T4233" s="41"/>
    </row>
    <row r="4234" spans="20:20" s="566" customFormat="1">
      <c r="T4234" s="41"/>
    </row>
    <row r="4235" spans="20:20" s="566" customFormat="1">
      <c r="T4235" s="41"/>
    </row>
    <row r="4236" spans="20:20" s="566" customFormat="1">
      <c r="T4236" s="41"/>
    </row>
    <row r="4237" spans="20:20" s="566" customFormat="1">
      <c r="T4237" s="41"/>
    </row>
    <row r="4238" spans="20:20" s="566" customFormat="1">
      <c r="T4238" s="41"/>
    </row>
    <row r="4239" spans="20:20" s="566" customFormat="1">
      <c r="T4239" s="41"/>
    </row>
    <row r="4240" spans="20:20" s="566" customFormat="1">
      <c r="T4240" s="41"/>
    </row>
    <row r="4241" spans="20:20" s="566" customFormat="1">
      <c r="T4241" s="41"/>
    </row>
    <row r="4242" spans="20:20" s="566" customFormat="1">
      <c r="T4242" s="41"/>
    </row>
    <row r="4243" spans="20:20" s="566" customFormat="1">
      <c r="T4243" s="41"/>
    </row>
    <row r="4244" spans="20:20" s="566" customFormat="1">
      <c r="T4244" s="41"/>
    </row>
    <row r="4245" spans="20:20" s="566" customFormat="1">
      <c r="T4245" s="41"/>
    </row>
    <row r="4246" spans="20:20" s="566" customFormat="1">
      <c r="T4246" s="41"/>
    </row>
    <row r="4247" spans="20:20" s="566" customFormat="1">
      <c r="T4247" s="41"/>
    </row>
    <row r="4248" spans="20:20" s="566" customFormat="1">
      <c r="T4248" s="41"/>
    </row>
    <row r="4249" spans="20:20" s="566" customFormat="1">
      <c r="T4249" s="41"/>
    </row>
    <row r="4250" spans="20:20" s="566" customFormat="1">
      <c r="T4250" s="41"/>
    </row>
    <row r="4251" spans="20:20" s="566" customFormat="1">
      <c r="T4251" s="41"/>
    </row>
    <row r="4252" spans="20:20" s="566" customFormat="1">
      <c r="T4252" s="41"/>
    </row>
    <row r="4253" spans="20:20" s="566" customFormat="1">
      <c r="T4253" s="41"/>
    </row>
    <row r="4254" spans="20:20" s="566" customFormat="1">
      <c r="T4254" s="41"/>
    </row>
    <row r="4255" spans="20:20" s="566" customFormat="1">
      <c r="T4255" s="41"/>
    </row>
    <row r="4256" spans="20:20" s="566" customFormat="1">
      <c r="T4256" s="41"/>
    </row>
    <row r="4257" spans="20:20" s="566" customFormat="1">
      <c r="T4257" s="41"/>
    </row>
    <row r="4258" spans="20:20" s="566" customFormat="1">
      <c r="T4258" s="41"/>
    </row>
    <row r="4259" spans="20:20" s="566" customFormat="1">
      <c r="T4259" s="41"/>
    </row>
    <row r="4260" spans="20:20" s="566" customFormat="1">
      <c r="T4260" s="41"/>
    </row>
    <row r="4261" spans="20:20" s="566" customFormat="1">
      <c r="T4261" s="41"/>
    </row>
    <row r="4262" spans="20:20" s="566" customFormat="1">
      <c r="T4262" s="41"/>
    </row>
    <row r="4263" spans="20:20" s="566" customFormat="1">
      <c r="T4263" s="41"/>
    </row>
    <row r="4264" spans="20:20" s="566" customFormat="1">
      <c r="T4264" s="41"/>
    </row>
    <row r="4265" spans="20:20" s="566" customFormat="1">
      <c r="T4265" s="41"/>
    </row>
    <row r="4266" spans="20:20" s="566" customFormat="1">
      <c r="T4266" s="41"/>
    </row>
    <row r="4267" spans="20:20" s="566" customFormat="1">
      <c r="T4267" s="41"/>
    </row>
    <row r="4268" spans="20:20" s="566" customFormat="1">
      <c r="T4268" s="41"/>
    </row>
    <row r="4269" spans="20:20" s="566" customFormat="1">
      <c r="T4269" s="41"/>
    </row>
    <row r="4270" spans="20:20" s="566" customFormat="1">
      <c r="T4270" s="41"/>
    </row>
    <row r="4271" spans="20:20" s="566" customFormat="1">
      <c r="T4271" s="41"/>
    </row>
    <row r="4272" spans="20:20" s="566" customFormat="1">
      <c r="T4272" s="41"/>
    </row>
    <row r="4273" spans="20:20" s="566" customFormat="1">
      <c r="T4273" s="41"/>
    </row>
    <row r="4274" spans="20:20" s="566" customFormat="1">
      <c r="T4274" s="41"/>
    </row>
    <row r="4275" spans="20:20" s="566" customFormat="1">
      <c r="T4275" s="41"/>
    </row>
    <row r="4276" spans="20:20" s="566" customFormat="1">
      <c r="T4276" s="41"/>
    </row>
    <row r="4277" spans="20:20" s="566" customFormat="1">
      <c r="T4277" s="41"/>
    </row>
    <row r="4278" spans="20:20" s="566" customFormat="1">
      <c r="T4278" s="41"/>
    </row>
    <row r="4279" spans="20:20" s="566" customFormat="1">
      <c r="T4279" s="41"/>
    </row>
    <row r="4280" spans="20:20" s="566" customFormat="1">
      <c r="T4280" s="41"/>
    </row>
    <row r="4281" spans="20:20" s="566" customFormat="1">
      <c r="T4281" s="41"/>
    </row>
    <row r="4282" spans="20:20" s="566" customFormat="1">
      <c r="T4282" s="41"/>
    </row>
    <row r="4283" spans="20:20" s="566" customFormat="1">
      <c r="T4283" s="41"/>
    </row>
    <row r="4284" spans="20:20" s="566" customFormat="1">
      <c r="T4284" s="41"/>
    </row>
    <row r="4285" spans="20:20" s="566" customFormat="1">
      <c r="T4285" s="41"/>
    </row>
    <row r="4286" spans="20:20" s="566" customFormat="1">
      <c r="T4286" s="41"/>
    </row>
    <row r="4287" spans="20:20" s="566" customFormat="1">
      <c r="T4287" s="41"/>
    </row>
    <row r="4288" spans="20:20" s="566" customFormat="1">
      <c r="T4288" s="41"/>
    </row>
    <row r="4289" spans="20:20" s="566" customFormat="1">
      <c r="T4289" s="41"/>
    </row>
    <row r="4290" spans="20:20" s="566" customFormat="1">
      <c r="T4290" s="41"/>
    </row>
    <row r="4291" spans="20:20" s="566" customFormat="1">
      <c r="T4291" s="41"/>
    </row>
    <row r="4292" spans="20:20" s="566" customFormat="1">
      <c r="T4292" s="41"/>
    </row>
    <row r="4293" spans="20:20" s="566" customFormat="1">
      <c r="T4293" s="41"/>
    </row>
    <row r="4294" spans="20:20" s="566" customFormat="1">
      <c r="T4294" s="41"/>
    </row>
    <row r="4295" spans="20:20" s="566" customFormat="1">
      <c r="T4295" s="41"/>
    </row>
    <row r="4296" spans="20:20" s="566" customFormat="1">
      <c r="T4296" s="41"/>
    </row>
    <row r="4297" spans="20:20" s="566" customFormat="1">
      <c r="T4297" s="41"/>
    </row>
    <row r="4298" spans="20:20" s="566" customFormat="1">
      <c r="T4298" s="41"/>
    </row>
    <row r="4299" spans="20:20" s="566" customFormat="1">
      <c r="T4299" s="41"/>
    </row>
    <row r="4300" spans="20:20" s="566" customFormat="1">
      <c r="T4300" s="41"/>
    </row>
    <row r="4301" spans="20:20" s="566" customFormat="1">
      <c r="T4301" s="41"/>
    </row>
    <row r="4302" spans="20:20" s="566" customFormat="1">
      <c r="T4302" s="41"/>
    </row>
    <row r="4303" spans="20:20" s="566" customFormat="1">
      <c r="T4303" s="41"/>
    </row>
    <row r="4304" spans="20:20" s="566" customFormat="1">
      <c r="T4304" s="41"/>
    </row>
    <row r="4305" spans="20:20" s="566" customFormat="1">
      <c r="T4305" s="41"/>
    </row>
    <row r="4306" spans="20:20" s="566" customFormat="1">
      <c r="T4306" s="41"/>
    </row>
    <row r="4307" spans="20:20" s="566" customFormat="1">
      <c r="T4307" s="41"/>
    </row>
    <row r="4308" spans="20:20" s="566" customFormat="1">
      <c r="T4308" s="41"/>
    </row>
    <row r="4309" spans="20:20" s="566" customFormat="1">
      <c r="T4309" s="41"/>
    </row>
    <row r="4310" spans="20:20" s="566" customFormat="1">
      <c r="T4310" s="41"/>
    </row>
    <row r="4311" spans="20:20" s="566" customFormat="1">
      <c r="T4311" s="41"/>
    </row>
    <row r="4312" spans="20:20" s="566" customFormat="1">
      <c r="T4312" s="41"/>
    </row>
    <row r="4313" spans="20:20" s="566" customFormat="1">
      <c r="T4313" s="41"/>
    </row>
    <row r="4314" spans="20:20" s="566" customFormat="1">
      <c r="T4314" s="41"/>
    </row>
    <row r="4315" spans="20:20" s="566" customFormat="1">
      <c r="T4315" s="41"/>
    </row>
    <row r="4316" spans="20:20" s="566" customFormat="1">
      <c r="T4316" s="41"/>
    </row>
    <row r="4317" spans="20:20" s="566" customFormat="1">
      <c r="T4317" s="41"/>
    </row>
    <row r="4318" spans="20:20" s="566" customFormat="1">
      <c r="T4318" s="41"/>
    </row>
    <row r="4319" spans="20:20" s="566" customFormat="1">
      <c r="T4319" s="41"/>
    </row>
    <row r="4320" spans="20:20" s="566" customFormat="1">
      <c r="T4320" s="41"/>
    </row>
    <row r="4321" spans="20:20" s="566" customFormat="1">
      <c r="T4321" s="41"/>
    </row>
    <row r="4322" spans="20:20" s="566" customFormat="1">
      <c r="T4322" s="41"/>
    </row>
    <row r="4323" spans="20:20" s="566" customFormat="1">
      <c r="T4323" s="41"/>
    </row>
    <row r="4324" spans="20:20" s="566" customFormat="1">
      <c r="T4324" s="41"/>
    </row>
    <row r="4325" spans="20:20" s="566" customFormat="1">
      <c r="T4325" s="41"/>
    </row>
    <row r="4326" spans="20:20" s="566" customFormat="1">
      <c r="T4326" s="41"/>
    </row>
    <row r="4327" spans="20:20" s="566" customFormat="1">
      <c r="T4327" s="41"/>
    </row>
    <row r="4328" spans="20:20" s="566" customFormat="1">
      <c r="T4328" s="41"/>
    </row>
    <row r="4329" spans="20:20" s="566" customFormat="1">
      <c r="T4329" s="41"/>
    </row>
    <row r="4330" spans="20:20" s="566" customFormat="1">
      <c r="T4330" s="41"/>
    </row>
    <row r="4331" spans="20:20" s="566" customFormat="1">
      <c r="T4331" s="41"/>
    </row>
    <row r="4332" spans="20:20" s="566" customFormat="1">
      <c r="T4332" s="41"/>
    </row>
    <row r="4333" spans="20:20" s="566" customFormat="1">
      <c r="T4333" s="41"/>
    </row>
    <row r="4334" spans="20:20" s="566" customFormat="1">
      <c r="T4334" s="41"/>
    </row>
    <row r="4335" spans="20:20" s="566" customFormat="1">
      <c r="T4335" s="41"/>
    </row>
    <row r="4336" spans="20:20" s="566" customFormat="1">
      <c r="T4336" s="41"/>
    </row>
    <row r="4337" spans="20:20" s="566" customFormat="1">
      <c r="T4337" s="41"/>
    </row>
    <row r="4338" spans="20:20" s="566" customFormat="1">
      <c r="T4338" s="41"/>
    </row>
    <row r="4339" spans="20:20" s="566" customFormat="1">
      <c r="T4339" s="41"/>
    </row>
    <row r="4340" spans="20:20" s="566" customFormat="1">
      <c r="T4340" s="41"/>
    </row>
    <row r="4341" spans="20:20" s="566" customFormat="1">
      <c r="T4341" s="41"/>
    </row>
    <row r="4342" spans="20:20" s="566" customFormat="1">
      <c r="T4342" s="41"/>
    </row>
    <row r="4343" spans="20:20" s="566" customFormat="1">
      <c r="T4343" s="41"/>
    </row>
    <row r="4344" spans="20:20" s="566" customFormat="1">
      <c r="T4344" s="41"/>
    </row>
    <row r="4345" spans="20:20" s="566" customFormat="1">
      <c r="T4345" s="41"/>
    </row>
    <row r="4346" spans="20:20" s="566" customFormat="1">
      <c r="T4346" s="41"/>
    </row>
    <row r="4347" spans="20:20" s="566" customFormat="1">
      <c r="T4347" s="41"/>
    </row>
    <row r="4348" spans="20:20" s="566" customFormat="1">
      <c r="T4348" s="41"/>
    </row>
    <row r="4349" spans="20:20" s="566" customFormat="1">
      <c r="T4349" s="41"/>
    </row>
    <row r="4350" spans="20:20" s="566" customFormat="1">
      <c r="T4350" s="41"/>
    </row>
    <row r="4351" spans="20:20" s="566" customFormat="1">
      <c r="T4351" s="41"/>
    </row>
    <row r="4352" spans="20:20" s="566" customFormat="1">
      <c r="T4352" s="41"/>
    </row>
    <row r="4353" spans="20:20" s="566" customFormat="1">
      <c r="T4353" s="41"/>
    </row>
    <row r="4354" spans="20:20" s="566" customFormat="1">
      <c r="T4354" s="41"/>
    </row>
    <row r="4355" spans="20:20" s="566" customFormat="1">
      <c r="T4355" s="41"/>
    </row>
    <row r="4356" spans="20:20" s="566" customFormat="1">
      <c r="T4356" s="41"/>
    </row>
    <row r="4357" spans="20:20" s="566" customFormat="1">
      <c r="T4357" s="41"/>
    </row>
    <row r="4358" spans="20:20" s="566" customFormat="1">
      <c r="T4358" s="41"/>
    </row>
    <row r="4359" spans="20:20" s="566" customFormat="1">
      <c r="T4359" s="41"/>
    </row>
    <row r="4360" spans="20:20" s="566" customFormat="1">
      <c r="T4360" s="41"/>
    </row>
    <row r="4361" spans="20:20" s="566" customFormat="1">
      <c r="T4361" s="41"/>
    </row>
    <row r="4362" spans="20:20" s="566" customFormat="1">
      <c r="T4362" s="41"/>
    </row>
    <row r="4363" spans="20:20" s="566" customFormat="1">
      <c r="T4363" s="41"/>
    </row>
    <row r="4364" spans="20:20" s="566" customFormat="1">
      <c r="T4364" s="41"/>
    </row>
    <row r="4365" spans="20:20" s="566" customFormat="1">
      <c r="T4365" s="41"/>
    </row>
    <row r="4366" spans="20:20" s="566" customFormat="1">
      <c r="T4366" s="41"/>
    </row>
    <row r="4367" spans="20:20" s="566" customFormat="1">
      <c r="T4367" s="41"/>
    </row>
    <row r="4368" spans="20:20" s="566" customFormat="1">
      <c r="T4368" s="41"/>
    </row>
    <row r="4369" spans="20:20" s="566" customFormat="1">
      <c r="T4369" s="41"/>
    </row>
    <row r="4370" spans="20:20" s="566" customFormat="1">
      <c r="T4370" s="41"/>
    </row>
    <row r="4371" spans="20:20" s="566" customFormat="1">
      <c r="T4371" s="41"/>
    </row>
    <row r="4372" spans="20:20" s="566" customFormat="1">
      <c r="T4372" s="41"/>
    </row>
    <row r="4373" spans="20:20" s="566" customFormat="1">
      <c r="T4373" s="41"/>
    </row>
    <row r="4374" spans="20:20" s="566" customFormat="1">
      <c r="T4374" s="41"/>
    </row>
    <row r="4375" spans="20:20" s="566" customFormat="1">
      <c r="T4375" s="41"/>
    </row>
    <row r="4376" spans="20:20" s="566" customFormat="1">
      <c r="T4376" s="41"/>
    </row>
    <row r="4377" spans="20:20" s="566" customFormat="1">
      <c r="T4377" s="41"/>
    </row>
    <row r="4378" spans="20:20" s="566" customFormat="1">
      <c r="T4378" s="41"/>
    </row>
    <row r="4379" spans="20:20" s="566" customFormat="1">
      <c r="T4379" s="41"/>
    </row>
    <row r="4380" spans="20:20" s="566" customFormat="1">
      <c r="T4380" s="41"/>
    </row>
    <row r="4381" spans="20:20" s="566" customFormat="1">
      <c r="T4381" s="41"/>
    </row>
    <row r="4382" spans="20:20" s="566" customFormat="1">
      <c r="T4382" s="41"/>
    </row>
    <row r="4383" spans="20:20" s="566" customFormat="1">
      <c r="T4383" s="41"/>
    </row>
    <row r="4384" spans="20:20" s="566" customFormat="1">
      <c r="T4384" s="41"/>
    </row>
    <row r="4385" spans="20:20" s="566" customFormat="1">
      <c r="T4385" s="41"/>
    </row>
    <row r="4386" spans="20:20" s="566" customFormat="1">
      <c r="T4386" s="41"/>
    </row>
    <row r="4387" spans="20:20" s="566" customFormat="1">
      <c r="T4387" s="41"/>
    </row>
    <row r="4388" spans="20:20" s="566" customFormat="1">
      <c r="T4388" s="41"/>
    </row>
    <row r="4389" spans="20:20" s="566" customFormat="1">
      <c r="T4389" s="41"/>
    </row>
    <row r="4390" spans="20:20" s="566" customFormat="1">
      <c r="T4390" s="41"/>
    </row>
    <row r="4391" spans="20:20" s="566" customFormat="1">
      <c r="T4391" s="41"/>
    </row>
    <row r="4392" spans="20:20" s="566" customFormat="1">
      <c r="T4392" s="41"/>
    </row>
    <row r="4393" spans="20:20" s="566" customFormat="1">
      <c r="T4393" s="41"/>
    </row>
    <row r="4394" spans="20:20" s="566" customFormat="1">
      <c r="T4394" s="41"/>
    </row>
    <row r="4395" spans="20:20" s="566" customFormat="1">
      <c r="T4395" s="41"/>
    </row>
    <row r="4396" spans="20:20" s="566" customFormat="1">
      <c r="T4396" s="41"/>
    </row>
    <row r="4397" spans="20:20" s="566" customFormat="1">
      <c r="T4397" s="41"/>
    </row>
    <row r="4398" spans="20:20" s="566" customFormat="1">
      <c r="T4398" s="41"/>
    </row>
    <row r="4399" spans="20:20" s="566" customFormat="1">
      <c r="T4399" s="41"/>
    </row>
    <row r="4400" spans="20:20" s="566" customFormat="1">
      <c r="T4400" s="41"/>
    </row>
    <row r="4401" spans="20:20" s="566" customFormat="1">
      <c r="T4401" s="41"/>
    </row>
    <row r="4402" spans="20:20" s="566" customFormat="1">
      <c r="T4402" s="41"/>
    </row>
    <row r="4403" spans="20:20" s="566" customFormat="1">
      <c r="T4403" s="41"/>
    </row>
    <row r="4404" spans="20:20" s="566" customFormat="1">
      <c r="T4404" s="41"/>
    </row>
    <row r="4405" spans="20:20" s="566" customFormat="1">
      <c r="T4405" s="41"/>
    </row>
    <row r="4406" spans="20:20" s="566" customFormat="1">
      <c r="T4406" s="41"/>
    </row>
    <row r="4407" spans="20:20" s="566" customFormat="1">
      <c r="T4407" s="41"/>
    </row>
    <row r="4408" spans="20:20" s="566" customFormat="1">
      <c r="T4408" s="41"/>
    </row>
    <row r="4409" spans="20:20" s="566" customFormat="1">
      <c r="T4409" s="41"/>
    </row>
    <row r="4410" spans="20:20" s="566" customFormat="1">
      <c r="T4410" s="41"/>
    </row>
    <row r="4411" spans="20:20" s="566" customFormat="1">
      <c r="T4411" s="41"/>
    </row>
    <row r="4412" spans="20:20" s="566" customFormat="1">
      <c r="T4412" s="41"/>
    </row>
    <row r="4413" spans="20:20" s="566" customFormat="1">
      <c r="T4413" s="41"/>
    </row>
    <row r="4414" spans="20:20" s="566" customFormat="1">
      <c r="T4414" s="41"/>
    </row>
    <row r="4415" spans="20:20" s="566" customFormat="1">
      <c r="T4415" s="41"/>
    </row>
    <row r="4416" spans="20:20" s="566" customFormat="1">
      <c r="T4416" s="41"/>
    </row>
    <row r="4417" spans="20:20" s="566" customFormat="1">
      <c r="T4417" s="41"/>
    </row>
    <row r="4418" spans="20:20" s="566" customFormat="1">
      <c r="T4418" s="41"/>
    </row>
    <row r="4419" spans="20:20" s="566" customFormat="1">
      <c r="T4419" s="41"/>
    </row>
    <row r="4420" spans="20:20" s="566" customFormat="1">
      <c r="T4420" s="41"/>
    </row>
    <row r="4421" spans="20:20" s="566" customFormat="1">
      <c r="T4421" s="41"/>
    </row>
    <row r="4422" spans="20:20" s="566" customFormat="1">
      <c r="T4422" s="41"/>
    </row>
    <row r="4423" spans="20:20" s="566" customFormat="1">
      <c r="T4423" s="41"/>
    </row>
    <row r="4424" spans="20:20" s="566" customFormat="1">
      <c r="T4424" s="41"/>
    </row>
    <row r="4425" spans="20:20" s="566" customFormat="1">
      <c r="T4425" s="41"/>
    </row>
    <row r="4426" spans="20:20" s="566" customFormat="1">
      <c r="T4426" s="41"/>
    </row>
    <row r="4427" spans="20:20" s="566" customFormat="1">
      <c r="T4427" s="41"/>
    </row>
    <row r="4428" spans="20:20" s="566" customFormat="1">
      <c r="T4428" s="41"/>
    </row>
    <row r="4429" spans="20:20" s="566" customFormat="1">
      <c r="T4429" s="41"/>
    </row>
    <row r="4430" spans="20:20" s="566" customFormat="1">
      <c r="T4430" s="41"/>
    </row>
    <row r="4431" spans="20:20" s="566" customFormat="1">
      <c r="T4431" s="41"/>
    </row>
    <row r="4432" spans="20:20" s="566" customFormat="1">
      <c r="T4432" s="41"/>
    </row>
    <row r="4433" spans="20:20" s="566" customFormat="1">
      <c r="T4433" s="41"/>
    </row>
    <row r="4434" spans="20:20" s="566" customFormat="1">
      <c r="T4434" s="41"/>
    </row>
    <row r="4435" spans="20:20" s="566" customFormat="1">
      <c r="T4435" s="41"/>
    </row>
    <row r="4436" spans="20:20" s="566" customFormat="1">
      <c r="T4436" s="41"/>
    </row>
    <row r="4437" spans="20:20" s="566" customFormat="1">
      <c r="T4437" s="41"/>
    </row>
    <row r="4438" spans="20:20" s="566" customFormat="1">
      <c r="T4438" s="41"/>
    </row>
    <row r="4439" spans="20:20" s="566" customFormat="1">
      <c r="T4439" s="41"/>
    </row>
    <row r="4440" spans="20:20" s="566" customFormat="1">
      <c r="T4440" s="41"/>
    </row>
    <row r="4441" spans="20:20" s="566" customFormat="1">
      <c r="T4441" s="41"/>
    </row>
    <row r="4442" spans="20:20" s="566" customFormat="1">
      <c r="T4442" s="41"/>
    </row>
    <row r="4443" spans="20:20" s="566" customFormat="1">
      <c r="T4443" s="41"/>
    </row>
    <row r="4444" spans="20:20" s="566" customFormat="1">
      <c r="T4444" s="41"/>
    </row>
    <row r="4445" spans="20:20" s="566" customFormat="1">
      <c r="T4445" s="41"/>
    </row>
    <row r="4446" spans="20:20" s="566" customFormat="1">
      <c r="T4446" s="41"/>
    </row>
    <row r="4447" spans="20:20" s="566" customFormat="1">
      <c r="T4447" s="41"/>
    </row>
    <row r="4448" spans="20:20" s="566" customFormat="1">
      <c r="T4448" s="41"/>
    </row>
    <row r="4449" spans="20:20" s="566" customFormat="1">
      <c r="T4449" s="41"/>
    </row>
    <row r="4450" spans="20:20" s="566" customFormat="1">
      <c r="T4450" s="41"/>
    </row>
    <row r="4451" spans="20:20" s="566" customFormat="1">
      <c r="T4451" s="41"/>
    </row>
    <row r="4452" spans="20:20" s="566" customFormat="1">
      <c r="T4452" s="41"/>
    </row>
    <row r="4453" spans="20:20" s="566" customFormat="1">
      <c r="T4453" s="41"/>
    </row>
    <row r="4454" spans="20:20" s="566" customFormat="1">
      <c r="T4454" s="41"/>
    </row>
    <row r="4455" spans="20:20" s="566" customFormat="1">
      <c r="T4455" s="41"/>
    </row>
    <row r="4456" spans="20:20" s="566" customFormat="1">
      <c r="T4456" s="41"/>
    </row>
    <row r="4457" spans="20:20" s="566" customFormat="1">
      <c r="T4457" s="41"/>
    </row>
    <row r="4458" spans="20:20" s="566" customFormat="1">
      <c r="T4458" s="41"/>
    </row>
    <row r="4459" spans="20:20" s="566" customFormat="1">
      <c r="T4459" s="41"/>
    </row>
    <row r="4460" spans="20:20" s="566" customFormat="1">
      <c r="T4460" s="41"/>
    </row>
    <row r="4461" spans="20:20" s="566" customFormat="1">
      <c r="T4461" s="41"/>
    </row>
    <row r="4462" spans="20:20" s="566" customFormat="1">
      <c r="T4462" s="41"/>
    </row>
    <row r="4463" spans="20:20" s="566" customFormat="1">
      <c r="T4463" s="41"/>
    </row>
    <row r="4464" spans="20:20" s="566" customFormat="1">
      <c r="T4464" s="41"/>
    </row>
    <row r="4465" spans="20:20" s="566" customFormat="1">
      <c r="T4465" s="41"/>
    </row>
    <row r="4466" spans="20:20" s="566" customFormat="1">
      <c r="T4466" s="41"/>
    </row>
    <row r="4467" spans="20:20" s="566" customFormat="1">
      <c r="T4467" s="41"/>
    </row>
    <row r="4468" spans="20:20" s="566" customFormat="1">
      <c r="T4468" s="41"/>
    </row>
    <row r="4469" spans="20:20" s="566" customFormat="1">
      <c r="T4469" s="41"/>
    </row>
    <row r="4470" spans="20:20" s="566" customFormat="1">
      <c r="T4470" s="41"/>
    </row>
    <row r="4471" spans="20:20" s="566" customFormat="1">
      <c r="T4471" s="41"/>
    </row>
    <row r="4472" spans="20:20" s="566" customFormat="1">
      <c r="T4472" s="41"/>
    </row>
    <row r="4473" spans="20:20" s="566" customFormat="1">
      <c r="T4473" s="41"/>
    </row>
    <row r="4474" spans="20:20" s="566" customFormat="1">
      <c r="T4474" s="41"/>
    </row>
    <row r="4475" spans="20:20" s="566" customFormat="1">
      <c r="T4475" s="41"/>
    </row>
    <row r="4476" spans="20:20" s="566" customFormat="1">
      <c r="T4476" s="41"/>
    </row>
    <row r="4477" spans="20:20" s="566" customFormat="1">
      <c r="T4477" s="41"/>
    </row>
    <row r="4478" spans="20:20" s="566" customFormat="1">
      <c r="T4478" s="41"/>
    </row>
    <row r="4479" spans="20:20" s="566" customFormat="1">
      <c r="T4479" s="41"/>
    </row>
    <row r="4480" spans="20:20" s="566" customFormat="1">
      <c r="T4480" s="41"/>
    </row>
    <row r="4481" spans="20:20" s="566" customFormat="1">
      <c r="T4481" s="41"/>
    </row>
    <row r="4482" spans="20:20" s="566" customFormat="1">
      <c r="T4482" s="41"/>
    </row>
    <row r="4483" spans="20:20" s="566" customFormat="1">
      <c r="T4483" s="41"/>
    </row>
    <row r="4484" spans="20:20" s="566" customFormat="1">
      <c r="T4484" s="41"/>
    </row>
    <row r="4485" spans="20:20" s="566" customFormat="1">
      <c r="T4485" s="41"/>
    </row>
    <row r="4486" spans="20:20" s="566" customFormat="1">
      <c r="T4486" s="41"/>
    </row>
    <row r="4487" spans="20:20" s="566" customFormat="1">
      <c r="T4487" s="41"/>
    </row>
    <row r="4488" spans="20:20" s="566" customFormat="1">
      <c r="T4488" s="41"/>
    </row>
    <row r="4489" spans="20:20" s="566" customFormat="1">
      <c r="T4489" s="41"/>
    </row>
    <row r="4490" spans="20:20" s="566" customFormat="1">
      <c r="T4490" s="41"/>
    </row>
    <row r="4491" spans="20:20" s="566" customFormat="1">
      <c r="T4491" s="41"/>
    </row>
    <row r="4492" spans="20:20" s="566" customFormat="1">
      <c r="T4492" s="41"/>
    </row>
    <row r="4493" spans="20:20" s="566" customFormat="1">
      <c r="T4493" s="41"/>
    </row>
    <row r="4494" spans="20:20" s="566" customFormat="1">
      <c r="T4494" s="41"/>
    </row>
    <row r="4495" spans="20:20" s="566" customFormat="1">
      <c r="T4495" s="41"/>
    </row>
    <row r="4496" spans="20:20" s="566" customFormat="1">
      <c r="T4496" s="41"/>
    </row>
    <row r="4497" spans="20:20" s="566" customFormat="1">
      <c r="T4497" s="41"/>
    </row>
    <row r="4498" spans="20:20" s="566" customFormat="1">
      <c r="T4498" s="41"/>
    </row>
    <row r="4499" spans="20:20" s="566" customFormat="1">
      <c r="T4499" s="41"/>
    </row>
    <row r="4500" spans="20:20" s="566" customFormat="1">
      <c r="T4500" s="41"/>
    </row>
    <row r="4501" spans="20:20" s="566" customFormat="1">
      <c r="T4501" s="41"/>
    </row>
    <row r="4502" spans="20:20" s="566" customFormat="1">
      <c r="T4502" s="41"/>
    </row>
    <row r="4503" spans="20:20" s="566" customFormat="1">
      <c r="T4503" s="41"/>
    </row>
    <row r="4504" spans="20:20" s="566" customFormat="1">
      <c r="T4504" s="41"/>
    </row>
    <row r="4505" spans="20:20" s="566" customFormat="1">
      <c r="T4505" s="41"/>
    </row>
    <row r="4506" spans="20:20" s="566" customFormat="1">
      <c r="T4506" s="41"/>
    </row>
    <row r="4507" spans="20:20" s="566" customFormat="1">
      <c r="T4507" s="41"/>
    </row>
    <row r="4508" spans="20:20" s="566" customFormat="1">
      <c r="T4508" s="41"/>
    </row>
    <row r="4509" spans="20:20" s="566" customFormat="1">
      <c r="T4509" s="41"/>
    </row>
    <row r="4510" spans="20:20" s="566" customFormat="1">
      <c r="T4510" s="41"/>
    </row>
    <row r="4511" spans="20:20" s="566" customFormat="1">
      <c r="T4511" s="41"/>
    </row>
    <row r="4512" spans="20:20" s="566" customFormat="1">
      <c r="T4512" s="41"/>
    </row>
    <row r="4513" spans="20:20" s="566" customFormat="1">
      <c r="T4513" s="41"/>
    </row>
    <row r="4514" spans="20:20" s="566" customFormat="1">
      <c r="T4514" s="41"/>
    </row>
    <row r="4515" spans="20:20" s="566" customFormat="1">
      <c r="T4515" s="41"/>
    </row>
    <row r="4516" spans="20:20" s="566" customFormat="1">
      <c r="T4516" s="41"/>
    </row>
    <row r="4517" spans="20:20" s="566" customFormat="1">
      <c r="T4517" s="41"/>
    </row>
    <row r="4518" spans="20:20" s="566" customFormat="1">
      <c r="T4518" s="41"/>
    </row>
    <row r="4519" spans="20:20" s="566" customFormat="1">
      <c r="T4519" s="41"/>
    </row>
    <row r="4520" spans="20:20" s="566" customFormat="1">
      <c r="T4520" s="41"/>
    </row>
    <row r="4521" spans="20:20" s="566" customFormat="1">
      <c r="T4521" s="41"/>
    </row>
    <row r="4522" spans="20:20" s="566" customFormat="1">
      <c r="T4522" s="41"/>
    </row>
    <row r="4523" spans="20:20" s="566" customFormat="1">
      <c r="T4523" s="41"/>
    </row>
    <row r="4524" spans="20:20" s="566" customFormat="1">
      <c r="T4524" s="41"/>
    </row>
    <row r="4525" spans="20:20" s="566" customFormat="1">
      <c r="T4525" s="41"/>
    </row>
    <row r="4526" spans="20:20" s="566" customFormat="1">
      <c r="T4526" s="41"/>
    </row>
    <row r="4527" spans="20:20" s="566" customFormat="1">
      <c r="T4527" s="41"/>
    </row>
    <row r="4528" spans="20:20" s="566" customFormat="1">
      <c r="T4528" s="41"/>
    </row>
    <row r="4529" spans="20:20" s="566" customFormat="1">
      <c r="T4529" s="41"/>
    </row>
    <row r="4530" spans="20:20" s="566" customFormat="1">
      <c r="T4530" s="41"/>
    </row>
    <row r="4531" spans="20:20" s="566" customFormat="1">
      <c r="T4531" s="41"/>
    </row>
    <row r="4532" spans="20:20" s="566" customFormat="1">
      <c r="T4532" s="41"/>
    </row>
    <row r="4533" spans="20:20" s="566" customFormat="1">
      <c r="T4533" s="41"/>
    </row>
    <row r="4534" spans="20:20" s="566" customFormat="1">
      <c r="T4534" s="41"/>
    </row>
    <row r="4535" spans="20:20" s="566" customFormat="1">
      <c r="T4535" s="41"/>
    </row>
    <row r="4536" spans="20:20" s="566" customFormat="1">
      <c r="T4536" s="41"/>
    </row>
    <row r="4537" spans="20:20" s="566" customFormat="1">
      <c r="T4537" s="41"/>
    </row>
    <row r="4538" spans="20:20" s="566" customFormat="1">
      <c r="T4538" s="41"/>
    </row>
    <row r="4539" spans="20:20" s="566" customFormat="1">
      <c r="T4539" s="41"/>
    </row>
    <row r="4540" spans="20:20" s="566" customFormat="1">
      <c r="T4540" s="41"/>
    </row>
    <row r="4541" spans="20:20" s="566" customFormat="1">
      <c r="T4541" s="41"/>
    </row>
    <row r="4542" spans="20:20" s="566" customFormat="1">
      <c r="T4542" s="41"/>
    </row>
    <row r="4543" spans="20:20" s="566" customFormat="1">
      <c r="T4543" s="41"/>
    </row>
    <row r="4544" spans="20:20" s="566" customFormat="1">
      <c r="T4544" s="41"/>
    </row>
    <row r="4545" spans="20:20" s="566" customFormat="1">
      <c r="T4545" s="41"/>
    </row>
    <row r="4546" spans="20:20" s="566" customFormat="1">
      <c r="T4546" s="41"/>
    </row>
    <row r="4547" spans="20:20" s="566" customFormat="1">
      <c r="T4547" s="41"/>
    </row>
    <row r="4548" spans="20:20" s="566" customFormat="1">
      <c r="T4548" s="41"/>
    </row>
    <row r="4549" spans="20:20" s="566" customFormat="1">
      <c r="T4549" s="41"/>
    </row>
    <row r="4550" spans="20:20" s="566" customFormat="1">
      <c r="T4550" s="41"/>
    </row>
    <row r="4551" spans="20:20" s="566" customFormat="1">
      <c r="T4551" s="41"/>
    </row>
    <row r="4552" spans="20:20" s="566" customFormat="1">
      <c r="T4552" s="41"/>
    </row>
    <row r="4553" spans="20:20" s="566" customFormat="1">
      <c r="T4553" s="41"/>
    </row>
    <row r="4554" spans="20:20" s="566" customFormat="1">
      <c r="T4554" s="41"/>
    </row>
    <row r="4555" spans="20:20" s="566" customFormat="1">
      <c r="T4555" s="41"/>
    </row>
    <row r="4556" spans="20:20" s="566" customFormat="1">
      <c r="T4556" s="41"/>
    </row>
    <row r="4557" spans="20:20" s="566" customFormat="1">
      <c r="T4557" s="41"/>
    </row>
    <row r="4558" spans="20:20" s="566" customFormat="1">
      <c r="T4558" s="41"/>
    </row>
    <row r="4559" spans="20:20" s="566" customFormat="1">
      <c r="T4559" s="41"/>
    </row>
    <row r="4560" spans="20:20" s="566" customFormat="1">
      <c r="T4560" s="41"/>
    </row>
    <row r="4561" spans="20:20" s="566" customFormat="1">
      <c r="T4561" s="41"/>
    </row>
    <row r="4562" spans="20:20" s="566" customFormat="1">
      <c r="T4562" s="41"/>
    </row>
    <row r="4563" spans="20:20" s="566" customFormat="1">
      <c r="T4563" s="41"/>
    </row>
    <row r="4564" spans="20:20" s="566" customFormat="1">
      <c r="T4564" s="41"/>
    </row>
    <row r="4565" spans="20:20" s="566" customFormat="1">
      <c r="T4565" s="41"/>
    </row>
    <row r="4566" spans="20:20" s="566" customFormat="1">
      <c r="T4566" s="41"/>
    </row>
    <row r="4567" spans="20:20" s="566" customFormat="1">
      <c r="T4567" s="41"/>
    </row>
    <row r="4568" spans="20:20" s="566" customFormat="1">
      <c r="T4568" s="41"/>
    </row>
    <row r="4569" spans="20:20" s="566" customFormat="1">
      <c r="T4569" s="41"/>
    </row>
    <row r="4570" spans="20:20" s="566" customFormat="1">
      <c r="T4570" s="41"/>
    </row>
    <row r="4571" spans="20:20" s="566" customFormat="1">
      <c r="T4571" s="41"/>
    </row>
    <row r="4572" spans="20:20" s="566" customFormat="1">
      <c r="T4572" s="41"/>
    </row>
    <row r="4573" spans="20:20" s="566" customFormat="1">
      <c r="T4573" s="41"/>
    </row>
    <row r="4574" spans="20:20" s="566" customFormat="1">
      <c r="T4574" s="41"/>
    </row>
    <row r="4575" spans="20:20" s="566" customFormat="1">
      <c r="T4575" s="41"/>
    </row>
    <row r="4576" spans="20:20" s="566" customFormat="1">
      <c r="T4576" s="41"/>
    </row>
    <row r="4577" spans="20:20" s="566" customFormat="1">
      <c r="T4577" s="41"/>
    </row>
    <row r="4578" spans="20:20" s="566" customFormat="1">
      <c r="T4578" s="41"/>
    </row>
    <row r="4579" spans="20:20" s="566" customFormat="1">
      <c r="T4579" s="41"/>
    </row>
    <row r="4580" spans="20:20" s="566" customFormat="1">
      <c r="T4580" s="41"/>
    </row>
    <row r="4581" spans="20:20" s="566" customFormat="1">
      <c r="T4581" s="41"/>
    </row>
    <row r="4582" spans="20:20" s="566" customFormat="1">
      <c r="T4582" s="41"/>
    </row>
    <row r="4583" spans="20:20" s="566" customFormat="1">
      <c r="T4583" s="41"/>
    </row>
    <row r="4584" spans="20:20" s="566" customFormat="1">
      <c r="T4584" s="41"/>
    </row>
    <row r="4585" spans="20:20" s="566" customFormat="1">
      <c r="T4585" s="41"/>
    </row>
    <row r="4586" spans="20:20" s="566" customFormat="1">
      <c r="T4586" s="41"/>
    </row>
    <row r="4587" spans="20:20" s="566" customFormat="1">
      <c r="T4587" s="41"/>
    </row>
    <row r="4588" spans="20:20" s="566" customFormat="1">
      <c r="T4588" s="41"/>
    </row>
    <row r="4589" spans="20:20" s="566" customFormat="1">
      <c r="T4589" s="41"/>
    </row>
    <row r="4590" spans="20:20" s="566" customFormat="1">
      <c r="T4590" s="41"/>
    </row>
    <row r="4591" spans="20:20" s="566" customFormat="1">
      <c r="T4591" s="41"/>
    </row>
    <row r="4592" spans="20:20" s="566" customFormat="1">
      <c r="T4592" s="41"/>
    </row>
    <row r="4593" spans="20:20" s="566" customFormat="1">
      <c r="T4593" s="41"/>
    </row>
    <row r="4594" spans="20:20" s="566" customFormat="1">
      <c r="T4594" s="41"/>
    </row>
    <row r="4595" spans="20:20" s="566" customFormat="1">
      <c r="T4595" s="41"/>
    </row>
    <row r="4596" spans="20:20" s="566" customFormat="1">
      <c r="T4596" s="41"/>
    </row>
    <row r="4597" spans="20:20" s="566" customFormat="1">
      <c r="T4597" s="41"/>
    </row>
    <row r="4598" spans="20:20" s="566" customFormat="1">
      <c r="T4598" s="41"/>
    </row>
    <row r="4599" spans="20:20" s="566" customFormat="1">
      <c r="T4599" s="41"/>
    </row>
    <row r="4600" spans="20:20" s="566" customFormat="1">
      <c r="T4600" s="41"/>
    </row>
    <row r="4601" spans="20:20" s="566" customFormat="1">
      <c r="T4601" s="41"/>
    </row>
    <row r="4602" spans="20:20" s="566" customFormat="1">
      <c r="T4602" s="41"/>
    </row>
    <row r="4603" spans="20:20" s="566" customFormat="1">
      <c r="T4603" s="41"/>
    </row>
    <row r="4604" spans="20:20" s="566" customFormat="1">
      <c r="T4604" s="41"/>
    </row>
    <row r="4605" spans="20:20" s="566" customFormat="1">
      <c r="T4605" s="41"/>
    </row>
    <row r="4606" spans="20:20" s="566" customFormat="1">
      <c r="T4606" s="41"/>
    </row>
    <row r="4607" spans="20:20" s="566" customFormat="1">
      <c r="T4607" s="41"/>
    </row>
    <row r="4608" spans="20:20" s="566" customFormat="1">
      <c r="T4608" s="41"/>
    </row>
    <row r="4609" spans="20:20" s="566" customFormat="1">
      <c r="T4609" s="41"/>
    </row>
    <row r="4610" spans="20:20" s="566" customFormat="1">
      <c r="T4610" s="41"/>
    </row>
    <row r="4611" spans="20:20" s="566" customFormat="1">
      <c r="T4611" s="41"/>
    </row>
    <row r="4612" spans="20:20" s="566" customFormat="1">
      <c r="T4612" s="41"/>
    </row>
    <row r="4613" spans="20:20" s="566" customFormat="1">
      <c r="T4613" s="41"/>
    </row>
    <row r="4614" spans="20:20" s="566" customFormat="1">
      <c r="T4614" s="41"/>
    </row>
    <row r="4615" spans="20:20" s="566" customFormat="1">
      <c r="T4615" s="41"/>
    </row>
    <row r="4616" spans="20:20" s="566" customFormat="1">
      <c r="T4616" s="41"/>
    </row>
    <row r="4617" spans="20:20" s="566" customFormat="1">
      <c r="T4617" s="41"/>
    </row>
    <row r="4618" spans="20:20" s="566" customFormat="1">
      <c r="T4618" s="41"/>
    </row>
    <row r="4619" spans="20:20" s="566" customFormat="1">
      <c r="T4619" s="41"/>
    </row>
    <row r="4620" spans="20:20" s="566" customFormat="1">
      <c r="T4620" s="41"/>
    </row>
    <row r="4621" spans="20:20" s="566" customFormat="1">
      <c r="T4621" s="41"/>
    </row>
    <row r="4622" spans="20:20" s="566" customFormat="1">
      <c r="T4622" s="41"/>
    </row>
    <row r="4623" spans="20:20" s="566" customFormat="1">
      <c r="T4623" s="41"/>
    </row>
    <row r="4624" spans="20:20" s="566" customFormat="1">
      <c r="T4624" s="41"/>
    </row>
    <row r="4625" spans="20:20" s="566" customFormat="1">
      <c r="T4625" s="41"/>
    </row>
    <row r="4626" spans="20:20" s="566" customFormat="1">
      <c r="T4626" s="41"/>
    </row>
    <row r="4627" spans="20:20" s="566" customFormat="1">
      <c r="T4627" s="41"/>
    </row>
    <row r="4628" spans="20:20" s="566" customFormat="1">
      <c r="T4628" s="41"/>
    </row>
    <row r="4629" spans="20:20" s="566" customFormat="1">
      <c r="T4629" s="41"/>
    </row>
    <row r="4630" spans="20:20" s="566" customFormat="1">
      <c r="T4630" s="41"/>
    </row>
    <row r="4631" spans="20:20" s="566" customFormat="1">
      <c r="T4631" s="41"/>
    </row>
    <row r="4632" spans="20:20" s="566" customFormat="1">
      <c r="T4632" s="41"/>
    </row>
    <row r="4633" spans="20:20" s="566" customFormat="1">
      <c r="T4633" s="41"/>
    </row>
    <row r="4634" spans="20:20" s="566" customFormat="1">
      <c r="T4634" s="41"/>
    </row>
    <row r="4635" spans="20:20" s="566" customFormat="1">
      <c r="T4635" s="41"/>
    </row>
    <row r="4636" spans="20:20" s="566" customFormat="1">
      <c r="T4636" s="41"/>
    </row>
    <row r="4637" spans="20:20" s="566" customFormat="1">
      <c r="T4637" s="41"/>
    </row>
    <row r="4638" spans="20:20" s="566" customFormat="1">
      <c r="T4638" s="41"/>
    </row>
    <row r="4639" spans="20:20" s="566" customFormat="1">
      <c r="T4639" s="41"/>
    </row>
    <row r="4640" spans="20:20" s="566" customFormat="1">
      <c r="T4640" s="41"/>
    </row>
    <row r="4641" spans="20:20" s="566" customFormat="1">
      <c r="T4641" s="41"/>
    </row>
    <row r="4642" spans="20:20" s="566" customFormat="1">
      <c r="T4642" s="41"/>
    </row>
    <row r="4643" spans="20:20" s="566" customFormat="1">
      <c r="T4643" s="41"/>
    </row>
    <row r="4644" spans="20:20" s="566" customFormat="1">
      <c r="T4644" s="41"/>
    </row>
    <row r="4645" spans="20:20" s="566" customFormat="1">
      <c r="T4645" s="41"/>
    </row>
    <row r="4646" spans="20:20" s="566" customFormat="1">
      <c r="T4646" s="41"/>
    </row>
    <row r="4647" spans="20:20" s="566" customFormat="1">
      <c r="T4647" s="41"/>
    </row>
    <row r="4648" spans="20:20" s="566" customFormat="1">
      <c r="T4648" s="41"/>
    </row>
    <row r="4649" spans="20:20" s="566" customFormat="1">
      <c r="T4649" s="41"/>
    </row>
    <row r="4650" spans="20:20" s="566" customFormat="1">
      <c r="T4650" s="41"/>
    </row>
    <row r="4651" spans="20:20" s="566" customFormat="1">
      <c r="T4651" s="41"/>
    </row>
    <row r="4652" spans="20:20" s="566" customFormat="1">
      <c r="T4652" s="41"/>
    </row>
    <row r="4653" spans="20:20" s="566" customFormat="1">
      <c r="T4653" s="41"/>
    </row>
    <row r="4654" spans="20:20" s="566" customFormat="1">
      <c r="T4654" s="41"/>
    </row>
    <row r="4655" spans="20:20" s="566" customFormat="1">
      <c r="T4655" s="41"/>
    </row>
    <row r="4656" spans="20:20" s="566" customFormat="1">
      <c r="T4656" s="41"/>
    </row>
    <row r="4657" spans="20:20" s="566" customFormat="1">
      <c r="T4657" s="41"/>
    </row>
    <row r="4658" spans="20:20" s="566" customFormat="1">
      <c r="T4658" s="41"/>
    </row>
    <row r="4659" spans="20:20" s="566" customFormat="1">
      <c r="T4659" s="41"/>
    </row>
    <row r="4660" spans="20:20" s="566" customFormat="1">
      <c r="T4660" s="41"/>
    </row>
    <row r="4661" spans="20:20" s="566" customFormat="1">
      <c r="T4661" s="41"/>
    </row>
    <row r="4662" spans="20:20" s="566" customFormat="1">
      <c r="T4662" s="41"/>
    </row>
    <row r="4663" spans="20:20" s="566" customFormat="1">
      <c r="T4663" s="41"/>
    </row>
    <row r="4664" spans="20:20" s="566" customFormat="1">
      <c r="T4664" s="41"/>
    </row>
    <row r="4665" spans="20:20" s="566" customFormat="1">
      <c r="T4665" s="41"/>
    </row>
    <row r="4666" spans="20:20" s="566" customFormat="1">
      <c r="T4666" s="41"/>
    </row>
    <row r="4667" spans="20:20" s="566" customFormat="1">
      <c r="T4667" s="41"/>
    </row>
    <row r="4668" spans="20:20" s="566" customFormat="1">
      <c r="T4668" s="41"/>
    </row>
    <row r="4669" spans="20:20" s="566" customFormat="1">
      <c r="T4669" s="41"/>
    </row>
    <row r="4670" spans="20:20" s="566" customFormat="1">
      <c r="T4670" s="41"/>
    </row>
    <row r="4671" spans="20:20" s="566" customFormat="1">
      <c r="T4671" s="41"/>
    </row>
    <row r="4672" spans="20:20" s="566" customFormat="1">
      <c r="T4672" s="41"/>
    </row>
    <row r="4673" spans="20:20" s="566" customFormat="1">
      <c r="T4673" s="41"/>
    </row>
    <row r="4674" spans="20:20" s="566" customFormat="1">
      <c r="T4674" s="41"/>
    </row>
    <row r="4675" spans="20:20" s="566" customFormat="1">
      <c r="T4675" s="41"/>
    </row>
    <row r="4676" spans="20:20" s="566" customFormat="1">
      <c r="T4676" s="41"/>
    </row>
    <row r="4677" spans="20:20" s="566" customFormat="1">
      <c r="T4677" s="41"/>
    </row>
    <row r="4678" spans="20:20" s="566" customFormat="1">
      <c r="T4678" s="41"/>
    </row>
    <row r="4679" spans="20:20" s="566" customFormat="1">
      <c r="T4679" s="41"/>
    </row>
    <row r="4680" spans="20:20" s="566" customFormat="1">
      <c r="T4680" s="41"/>
    </row>
    <row r="4681" spans="20:20" s="566" customFormat="1">
      <c r="T4681" s="41"/>
    </row>
    <row r="4682" spans="20:20" s="566" customFormat="1">
      <c r="T4682" s="41"/>
    </row>
    <row r="4683" spans="20:20" s="566" customFormat="1">
      <c r="T4683" s="41"/>
    </row>
    <row r="4684" spans="20:20" s="566" customFormat="1">
      <c r="T4684" s="41"/>
    </row>
    <row r="4685" spans="20:20" s="566" customFormat="1">
      <c r="T4685" s="41"/>
    </row>
    <row r="4686" spans="20:20" s="566" customFormat="1">
      <c r="T4686" s="41"/>
    </row>
    <row r="4687" spans="20:20" s="566" customFormat="1">
      <c r="T4687" s="41"/>
    </row>
    <row r="4688" spans="20:20" s="566" customFormat="1">
      <c r="T4688" s="41"/>
    </row>
    <row r="4689" spans="20:20" s="566" customFormat="1">
      <c r="T4689" s="41"/>
    </row>
    <row r="4690" spans="20:20" s="566" customFormat="1">
      <c r="T4690" s="41"/>
    </row>
    <row r="4691" spans="20:20" s="566" customFormat="1">
      <c r="T4691" s="41"/>
    </row>
    <row r="4692" spans="20:20" s="566" customFormat="1">
      <c r="T4692" s="41"/>
    </row>
    <row r="4693" spans="20:20" s="566" customFormat="1">
      <c r="T4693" s="41"/>
    </row>
    <row r="4694" spans="20:20" s="566" customFormat="1">
      <c r="T4694" s="41"/>
    </row>
    <row r="4695" spans="20:20" s="566" customFormat="1">
      <c r="T4695" s="41"/>
    </row>
    <row r="4696" spans="20:20" s="566" customFormat="1">
      <c r="T4696" s="41"/>
    </row>
    <row r="4697" spans="20:20" s="566" customFormat="1">
      <c r="T4697" s="41"/>
    </row>
    <row r="4698" spans="20:20" s="566" customFormat="1">
      <c r="T4698" s="41"/>
    </row>
    <row r="4699" spans="20:20" s="566" customFormat="1">
      <c r="T4699" s="41"/>
    </row>
    <row r="4700" spans="20:20" s="566" customFormat="1">
      <c r="T4700" s="41"/>
    </row>
    <row r="4701" spans="20:20" s="566" customFormat="1">
      <c r="T4701" s="41"/>
    </row>
    <row r="4702" spans="20:20" s="566" customFormat="1">
      <c r="T4702" s="41"/>
    </row>
    <row r="4703" spans="20:20" s="566" customFormat="1">
      <c r="T4703" s="41"/>
    </row>
    <row r="4704" spans="20:20" s="566" customFormat="1">
      <c r="T4704" s="41"/>
    </row>
    <row r="4705" spans="20:20" s="566" customFormat="1">
      <c r="T4705" s="41"/>
    </row>
    <row r="4706" spans="20:20" s="566" customFormat="1">
      <c r="T4706" s="41"/>
    </row>
    <row r="4707" spans="20:20" s="566" customFormat="1">
      <c r="T4707" s="41"/>
    </row>
    <row r="4708" spans="20:20" s="566" customFormat="1">
      <c r="T4708" s="41"/>
    </row>
    <row r="4709" spans="20:20" s="566" customFormat="1">
      <c r="T4709" s="41"/>
    </row>
    <row r="4710" spans="20:20" s="566" customFormat="1">
      <c r="T4710" s="41"/>
    </row>
    <row r="4711" spans="20:20" s="566" customFormat="1">
      <c r="T4711" s="41"/>
    </row>
    <row r="4712" spans="20:20" s="566" customFormat="1">
      <c r="T4712" s="41"/>
    </row>
    <row r="4713" spans="20:20" s="566" customFormat="1">
      <c r="T4713" s="41"/>
    </row>
    <row r="4714" spans="20:20" s="566" customFormat="1">
      <c r="T4714" s="41"/>
    </row>
    <row r="4715" spans="20:20" s="566" customFormat="1">
      <c r="T4715" s="41"/>
    </row>
    <row r="4716" spans="20:20" s="566" customFormat="1">
      <c r="T4716" s="41"/>
    </row>
    <row r="4717" spans="20:20" s="566" customFormat="1">
      <c r="T4717" s="41"/>
    </row>
    <row r="4718" spans="20:20" s="566" customFormat="1">
      <c r="T4718" s="41"/>
    </row>
    <row r="4719" spans="20:20" s="566" customFormat="1">
      <c r="T4719" s="41"/>
    </row>
    <row r="4720" spans="20:20" s="566" customFormat="1">
      <c r="T4720" s="41"/>
    </row>
    <row r="4721" spans="20:20" s="566" customFormat="1">
      <c r="T4721" s="41"/>
    </row>
    <row r="4722" spans="20:20" s="566" customFormat="1">
      <c r="T4722" s="41"/>
    </row>
    <row r="4723" spans="20:20" s="566" customFormat="1">
      <c r="T4723" s="41"/>
    </row>
    <row r="4724" spans="20:20" s="566" customFormat="1">
      <c r="T4724" s="41"/>
    </row>
    <row r="4725" spans="20:20" s="566" customFormat="1">
      <c r="T4725" s="41"/>
    </row>
    <row r="4726" spans="20:20" s="566" customFormat="1">
      <c r="T4726" s="41"/>
    </row>
    <row r="4727" spans="20:20" s="566" customFormat="1">
      <c r="T4727" s="41"/>
    </row>
    <row r="4728" spans="20:20" s="566" customFormat="1">
      <c r="T4728" s="41"/>
    </row>
    <row r="4729" spans="20:20" s="566" customFormat="1">
      <c r="T4729" s="41"/>
    </row>
    <row r="4730" spans="20:20" s="566" customFormat="1">
      <c r="T4730" s="41"/>
    </row>
    <row r="4731" spans="20:20" s="566" customFormat="1">
      <c r="T4731" s="41"/>
    </row>
    <row r="4732" spans="20:20" s="566" customFormat="1">
      <c r="T4732" s="41"/>
    </row>
    <row r="4733" spans="20:20" s="566" customFormat="1">
      <c r="T4733" s="41"/>
    </row>
    <row r="4734" spans="20:20" s="566" customFormat="1">
      <c r="T4734" s="41"/>
    </row>
    <row r="4735" spans="20:20" s="566" customFormat="1">
      <c r="T4735" s="41"/>
    </row>
    <row r="4736" spans="20:20" s="566" customFormat="1">
      <c r="T4736" s="41"/>
    </row>
    <row r="4737" spans="20:20" s="566" customFormat="1">
      <c r="T4737" s="41"/>
    </row>
    <row r="4738" spans="20:20" s="566" customFormat="1">
      <c r="T4738" s="41"/>
    </row>
    <row r="4739" spans="20:20" s="566" customFormat="1">
      <c r="T4739" s="41"/>
    </row>
    <row r="4740" spans="20:20" s="566" customFormat="1">
      <c r="T4740" s="41"/>
    </row>
    <row r="4741" spans="20:20" s="566" customFormat="1">
      <c r="T4741" s="41"/>
    </row>
    <row r="4742" spans="20:20" s="566" customFormat="1">
      <c r="T4742" s="41"/>
    </row>
    <row r="4743" spans="20:20" s="566" customFormat="1">
      <c r="T4743" s="41"/>
    </row>
    <row r="4744" spans="20:20" s="566" customFormat="1">
      <c r="T4744" s="41"/>
    </row>
    <row r="4745" spans="20:20" s="566" customFormat="1">
      <c r="T4745" s="41"/>
    </row>
    <row r="4746" spans="20:20" s="566" customFormat="1">
      <c r="T4746" s="41"/>
    </row>
    <row r="4747" spans="20:20" s="566" customFormat="1">
      <c r="T4747" s="41"/>
    </row>
    <row r="4748" spans="20:20" s="566" customFormat="1">
      <c r="T4748" s="41"/>
    </row>
    <row r="4749" spans="20:20" s="566" customFormat="1">
      <c r="T4749" s="41"/>
    </row>
    <row r="4750" spans="20:20" s="566" customFormat="1">
      <c r="T4750" s="41"/>
    </row>
    <row r="4751" spans="20:20" s="566" customFormat="1">
      <c r="T4751" s="41"/>
    </row>
    <row r="4752" spans="20:20" s="566" customFormat="1">
      <c r="T4752" s="41"/>
    </row>
    <row r="4753" spans="20:20" s="566" customFormat="1">
      <c r="T4753" s="41"/>
    </row>
    <row r="4754" spans="20:20" s="566" customFormat="1">
      <c r="T4754" s="41"/>
    </row>
    <row r="4755" spans="20:20" s="566" customFormat="1">
      <c r="T4755" s="41"/>
    </row>
    <row r="4756" spans="20:20" s="566" customFormat="1">
      <c r="T4756" s="41"/>
    </row>
    <row r="4757" spans="20:20" s="566" customFormat="1">
      <c r="T4757" s="41"/>
    </row>
    <row r="4758" spans="20:20" s="566" customFormat="1">
      <c r="T4758" s="41"/>
    </row>
    <row r="4759" spans="20:20" s="566" customFormat="1">
      <c r="T4759" s="41"/>
    </row>
    <row r="4760" spans="20:20" s="566" customFormat="1">
      <c r="T4760" s="41"/>
    </row>
    <row r="4761" spans="20:20" s="566" customFormat="1">
      <c r="T4761" s="41"/>
    </row>
    <row r="4762" spans="20:20" s="566" customFormat="1">
      <c r="T4762" s="41"/>
    </row>
    <row r="4763" spans="20:20" s="566" customFormat="1">
      <c r="T4763" s="41"/>
    </row>
    <row r="4764" spans="20:20" s="566" customFormat="1">
      <c r="T4764" s="41"/>
    </row>
    <row r="4765" spans="20:20" s="566" customFormat="1">
      <c r="T4765" s="41"/>
    </row>
    <row r="4766" spans="20:20" s="566" customFormat="1">
      <c r="T4766" s="41"/>
    </row>
    <row r="4767" spans="20:20" s="566" customFormat="1">
      <c r="T4767" s="41"/>
    </row>
    <row r="4768" spans="20:20" s="566" customFormat="1">
      <c r="T4768" s="41"/>
    </row>
    <row r="4769" spans="20:20" s="566" customFormat="1">
      <c r="T4769" s="41"/>
    </row>
    <row r="4770" spans="20:20" s="566" customFormat="1">
      <c r="T4770" s="41"/>
    </row>
    <row r="4771" spans="20:20" s="566" customFormat="1">
      <c r="T4771" s="41"/>
    </row>
    <row r="4772" spans="20:20" s="566" customFormat="1">
      <c r="T4772" s="41"/>
    </row>
    <row r="4773" spans="20:20" s="566" customFormat="1">
      <c r="T4773" s="41"/>
    </row>
    <row r="4774" spans="20:20" s="566" customFormat="1">
      <c r="T4774" s="41"/>
    </row>
    <row r="4775" spans="20:20" s="566" customFormat="1">
      <c r="T4775" s="41"/>
    </row>
    <row r="4776" spans="20:20" s="566" customFormat="1">
      <c r="T4776" s="41"/>
    </row>
    <row r="4777" spans="20:20" s="566" customFormat="1">
      <c r="T4777" s="41"/>
    </row>
    <row r="4778" spans="20:20" s="566" customFormat="1">
      <c r="T4778" s="41"/>
    </row>
    <row r="4779" spans="20:20" s="566" customFormat="1">
      <c r="T4779" s="41"/>
    </row>
    <row r="4780" spans="20:20" s="566" customFormat="1">
      <c r="T4780" s="41"/>
    </row>
    <row r="4781" spans="20:20" s="566" customFormat="1">
      <c r="T4781" s="41"/>
    </row>
    <row r="4782" spans="20:20" s="566" customFormat="1">
      <c r="T4782" s="41"/>
    </row>
    <row r="4783" spans="20:20" s="566" customFormat="1">
      <c r="T4783" s="41"/>
    </row>
    <row r="4784" spans="20:20" s="566" customFormat="1">
      <c r="T4784" s="41"/>
    </row>
    <row r="4785" spans="20:20" s="566" customFormat="1">
      <c r="T4785" s="41"/>
    </row>
    <row r="4786" spans="20:20" s="566" customFormat="1">
      <c r="T4786" s="41"/>
    </row>
    <row r="4787" spans="20:20" s="566" customFormat="1">
      <c r="T4787" s="41"/>
    </row>
    <row r="4788" spans="20:20" s="566" customFormat="1">
      <c r="T4788" s="41"/>
    </row>
    <row r="4789" spans="20:20" s="566" customFormat="1">
      <c r="T4789" s="41"/>
    </row>
    <row r="4790" spans="20:20" s="566" customFormat="1">
      <c r="T4790" s="41"/>
    </row>
    <row r="4791" spans="20:20" s="566" customFormat="1">
      <c r="T4791" s="41"/>
    </row>
    <row r="4792" spans="20:20" s="566" customFormat="1">
      <c r="T4792" s="41"/>
    </row>
    <row r="4793" spans="20:20" s="566" customFormat="1">
      <c r="T4793" s="41"/>
    </row>
    <row r="4794" spans="20:20" s="566" customFormat="1">
      <c r="T4794" s="41"/>
    </row>
    <row r="4795" spans="20:20" s="566" customFormat="1">
      <c r="T4795" s="41"/>
    </row>
    <row r="4796" spans="20:20" s="566" customFormat="1">
      <c r="T4796" s="41"/>
    </row>
    <row r="4797" spans="20:20" s="566" customFormat="1">
      <c r="T4797" s="41"/>
    </row>
    <row r="4798" spans="20:20" s="566" customFormat="1">
      <c r="T4798" s="41"/>
    </row>
    <row r="4799" spans="20:20" s="566" customFormat="1">
      <c r="T4799" s="41"/>
    </row>
    <row r="4800" spans="20:20" s="566" customFormat="1">
      <c r="T4800" s="41"/>
    </row>
    <row r="4801" spans="20:20" s="566" customFormat="1">
      <c r="T4801" s="41"/>
    </row>
    <row r="4802" spans="20:20" s="566" customFormat="1">
      <c r="T4802" s="41"/>
    </row>
    <row r="4803" spans="20:20" s="566" customFormat="1">
      <c r="T4803" s="41"/>
    </row>
    <row r="4804" spans="20:20" s="566" customFormat="1">
      <c r="T4804" s="41"/>
    </row>
    <row r="4805" spans="20:20" s="566" customFormat="1">
      <c r="T4805" s="41"/>
    </row>
    <row r="4806" spans="20:20" s="566" customFormat="1">
      <c r="T4806" s="41"/>
    </row>
    <row r="4807" spans="20:20" s="566" customFormat="1">
      <c r="T4807" s="41"/>
    </row>
    <row r="4808" spans="20:20" s="566" customFormat="1">
      <c r="T4808" s="41"/>
    </row>
    <row r="4809" spans="20:20" s="566" customFormat="1">
      <c r="T4809" s="41"/>
    </row>
    <row r="4810" spans="20:20" s="566" customFormat="1">
      <c r="T4810" s="41"/>
    </row>
    <row r="4811" spans="20:20" s="566" customFormat="1">
      <c r="T4811" s="41"/>
    </row>
    <row r="4812" spans="20:20" s="566" customFormat="1">
      <c r="T4812" s="41"/>
    </row>
    <row r="4813" spans="20:20" s="566" customFormat="1">
      <c r="T4813" s="41"/>
    </row>
    <row r="4814" spans="20:20" s="566" customFormat="1">
      <c r="T4814" s="41"/>
    </row>
    <row r="4815" spans="20:20" s="566" customFormat="1">
      <c r="T4815" s="41"/>
    </row>
    <row r="4816" spans="20:20" s="566" customFormat="1">
      <c r="T4816" s="41"/>
    </row>
    <row r="4817" spans="20:20" s="566" customFormat="1">
      <c r="T4817" s="41"/>
    </row>
    <row r="4818" spans="20:20" s="566" customFormat="1">
      <c r="T4818" s="41"/>
    </row>
    <row r="4819" spans="20:20" s="566" customFormat="1">
      <c r="T4819" s="41"/>
    </row>
    <row r="4820" spans="20:20" s="566" customFormat="1">
      <c r="T4820" s="41"/>
    </row>
    <row r="4821" spans="20:20" s="566" customFormat="1">
      <c r="T4821" s="41"/>
    </row>
    <row r="4822" spans="20:20" s="566" customFormat="1">
      <c r="T4822" s="41"/>
    </row>
    <row r="4823" spans="20:20" s="566" customFormat="1">
      <c r="T4823" s="41"/>
    </row>
    <row r="4824" spans="20:20" s="566" customFormat="1">
      <c r="T4824" s="41"/>
    </row>
    <row r="4825" spans="20:20" s="566" customFormat="1">
      <c r="T4825" s="41"/>
    </row>
    <row r="4826" spans="20:20" s="566" customFormat="1">
      <c r="T4826" s="41"/>
    </row>
    <row r="4827" spans="20:20" s="566" customFormat="1">
      <c r="T4827" s="41"/>
    </row>
    <row r="4828" spans="20:20" s="566" customFormat="1">
      <c r="T4828" s="41"/>
    </row>
    <row r="4829" spans="20:20" s="566" customFormat="1">
      <c r="T4829" s="41"/>
    </row>
    <row r="4830" spans="20:20" s="566" customFormat="1">
      <c r="T4830" s="41"/>
    </row>
    <row r="4831" spans="20:20" s="566" customFormat="1">
      <c r="T4831" s="41"/>
    </row>
    <row r="4832" spans="20:20" s="566" customFormat="1">
      <c r="T4832" s="41"/>
    </row>
    <row r="4833" spans="20:20" s="566" customFormat="1">
      <c r="T4833" s="41"/>
    </row>
    <row r="4834" spans="20:20" s="566" customFormat="1">
      <c r="T4834" s="41"/>
    </row>
    <row r="4835" spans="20:20" s="566" customFormat="1">
      <c r="T4835" s="41"/>
    </row>
    <row r="4836" spans="20:20" s="566" customFormat="1">
      <c r="T4836" s="41"/>
    </row>
    <row r="4837" spans="20:20" s="566" customFormat="1">
      <c r="T4837" s="41"/>
    </row>
    <row r="4838" spans="20:20" s="566" customFormat="1">
      <c r="T4838" s="41"/>
    </row>
    <row r="4839" spans="20:20" s="566" customFormat="1">
      <c r="T4839" s="41"/>
    </row>
    <row r="4840" spans="20:20" s="566" customFormat="1">
      <c r="T4840" s="41"/>
    </row>
    <row r="4841" spans="20:20" s="566" customFormat="1">
      <c r="T4841" s="41"/>
    </row>
    <row r="4842" spans="20:20" s="566" customFormat="1">
      <c r="T4842" s="41"/>
    </row>
    <row r="4843" spans="20:20" s="566" customFormat="1">
      <c r="T4843" s="41"/>
    </row>
    <row r="4844" spans="20:20" s="566" customFormat="1">
      <c r="T4844" s="41"/>
    </row>
    <row r="4845" spans="20:20" s="566" customFormat="1">
      <c r="T4845" s="41"/>
    </row>
    <row r="4846" spans="20:20" s="566" customFormat="1">
      <c r="T4846" s="41"/>
    </row>
    <row r="4847" spans="20:20" s="566" customFormat="1">
      <c r="T4847" s="41"/>
    </row>
    <row r="4848" spans="20:20" s="566" customFormat="1">
      <c r="T4848" s="41"/>
    </row>
    <row r="4849" spans="20:20" s="566" customFormat="1">
      <c r="T4849" s="41"/>
    </row>
    <row r="4850" spans="20:20" s="566" customFormat="1">
      <c r="T4850" s="41"/>
    </row>
    <row r="4851" spans="20:20" s="566" customFormat="1">
      <c r="T4851" s="41"/>
    </row>
    <row r="4852" spans="20:20" s="566" customFormat="1">
      <c r="T4852" s="41"/>
    </row>
    <row r="4853" spans="20:20" s="566" customFormat="1">
      <c r="T4853" s="41"/>
    </row>
    <row r="4854" spans="20:20" s="566" customFormat="1">
      <c r="T4854" s="41"/>
    </row>
    <row r="4855" spans="20:20" s="566" customFormat="1">
      <c r="T4855" s="41"/>
    </row>
    <row r="4856" spans="20:20" s="566" customFormat="1">
      <c r="T4856" s="41"/>
    </row>
    <row r="4857" spans="20:20" s="566" customFormat="1">
      <c r="T4857" s="41"/>
    </row>
    <row r="4858" spans="20:20" s="566" customFormat="1">
      <c r="T4858" s="41"/>
    </row>
    <row r="4859" spans="20:20" s="566" customFormat="1">
      <c r="T4859" s="41"/>
    </row>
    <row r="4860" spans="20:20" s="566" customFormat="1">
      <c r="T4860" s="41"/>
    </row>
    <row r="4861" spans="20:20" s="566" customFormat="1">
      <c r="T4861" s="41"/>
    </row>
    <row r="4862" spans="20:20" s="566" customFormat="1">
      <c r="T4862" s="41"/>
    </row>
    <row r="4863" spans="20:20" s="566" customFormat="1">
      <c r="T4863" s="41"/>
    </row>
    <row r="4864" spans="20:20" s="566" customFormat="1">
      <c r="T4864" s="41"/>
    </row>
    <row r="4865" spans="20:20" s="566" customFormat="1">
      <c r="T4865" s="41"/>
    </row>
    <row r="4866" spans="20:20" s="566" customFormat="1">
      <c r="T4866" s="41"/>
    </row>
    <row r="4867" spans="20:20" s="566" customFormat="1">
      <c r="T4867" s="41"/>
    </row>
    <row r="4868" spans="20:20" s="566" customFormat="1">
      <c r="T4868" s="41"/>
    </row>
    <row r="4869" spans="20:20" s="566" customFormat="1">
      <c r="T4869" s="41"/>
    </row>
    <row r="4870" spans="20:20" s="566" customFormat="1">
      <c r="T4870" s="41"/>
    </row>
    <row r="4871" spans="20:20" s="566" customFormat="1">
      <c r="T4871" s="41"/>
    </row>
    <row r="4872" spans="20:20" s="566" customFormat="1">
      <c r="T4872" s="41"/>
    </row>
    <row r="4873" spans="20:20" s="566" customFormat="1">
      <c r="T4873" s="41"/>
    </row>
    <row r="4874" spans="20:20" s="566" customFormat="1">
      <c r="T4874" s="41"/>
    </row>
    <row r="4875" spans="20:20" s="566" customFormat="1">
      <c r="T4875" s="41"/>
    </row>
    <row r="4876" spans="20:20" s="566" customFormat="1">
      <c r="T4876" s="41"/>
    </row>
    <row r="4877" spans="20:20" s="566" customFormat="1">
      <c r="T4877" s="41"/>
    </row>
    <row r="4878" spans="20:20" s="566" customFormat="1">
      <c r="T4878" s="41"/>
    </row>
    <row r="4879" spans="20:20" s="566" customFormat="1">
      <c r="T4879" s="41"/>
    </row>
    <row r="4880" spans="20:20" s="566" customFormat="1">
      <c r="T4880" s="41"/>
    </row>
    <row r="4881" spans="20:20" s="566" customFormat="1">
      <c r="T4881" s="41"/>
    </row>
    <row r="4882" spans="20:20" s="566" customFormat="1">
      <c r="T4882" s="41"/>
    </row>
    <row r="4883" spans="20:20" s="566" customFormat="1">
      <c r="T4883" s="41"/>
    </row>
    <row r="4884" spans="20:20" s="566" customFormat="1">
      <c r="T4884" s="41"/>
    </row>
    <row r="4885" spans="20:20" s="566" customFormat="1">
      <c r="T4885" s="41"/>
    </row>
    <row r="4886" spans="20:20" s="566" customFormat="1">
      <c r="T4886" s="41"/>
    </row>
    <row r="4887" spans="20:20" s="566" customFormat="1">
      <c r="T4887" s="41"/>
    </row>
    <row r="4888" spans="20:20" s="566" customFormat="1">
      <c r="T4888" s="41"/>
    </row>
    <row r="4889" spans="20:20" s="566" customFormat="1">
      <c r="T4889" s="41"/>
    </row>
    <row r="4890" spans="20:20" s="566" customFormat="1">
      <c r="T4890" s="41"/>
    </row>
    <row r="4891" spans="20:20" s="566" customFormat="1">
      <c r="T4891" s="41"/>
    </row>
    <row r="4892" spans="20:20" s="566" customFormat="1">
      <c r="T4892" s="41"/>
    </row>
    <row r="4893" spans="20:20" s="566" customFormat="1">
      <c r="T4893" s="41"/>
    </row>
    <row r="4894" spans="20:20" s="566" customFormat="1">
      <c r="T4894" s="41"/>
    </row>
    <row r="4895" spans="20:20" s="566" customFormat="1">
      <c r="T4895" s="41"/>
    </row>
    <row r="4896" spans="20:20" s="566" customFormat="1">
      <c r="T4896" s="41"/>
    </row>
    <row r="4897" spans="20:20" s="566" customFormat="1">
      <c r="T4897" s="41"/>
    </row>
    <row r="4898" spans="20:20" s="566" customFormat="1">
      <c r="T4898" s="41"/>
    </row>
    <row r="4899" spans="20:20" s="566" customFormat="1">
      <c r="T4899" s="41"/>
    </row>
    <row r="4900" spans="20:20" s="566" customFormat="1">
      <c r="T4900" s="41"/>
    </row>
    <row r="4901" spans="20:20" s="566" customFormat="1">
      <c r="T4901" s="41"/>
    </row>
    <row r="4902" spans="20:20" s="566" customFormat="1">
      <c r="T4902" s="41"/>
    </row>
    <row r="4903" spans="20:20" s="566" customFormat="1">
      <c r="T4903" s="41"/>
    </row>
    <row r="4904" spans="20:20" s="566" customFormat="1">
      <c r="T4904" s="41"/>
    </row>
    <row r="4905" spans="20:20" s="566" customFormat="1">
      <c r="T4905" s="41"/>
    </row>
    <row r="4906" spans="20:20" s="566" customFormat="1">
      <c r="T4906" s="41"/>
    </row>
    <row r="4907" spans="20:20" s="566" customFormat="1">
      <c r="T4907" s="41"/>
    </row>
    <row r="4908" spans="20:20" s="566" customFormat="1">
      <c r="T4908" s="41"/>
    </row>
    <row r="4909" spans="20:20" s="566" customFormat="1">
      <c r="T4909" s="41"/>
    </row>
    <row r="4910" spans="20:20" s="566" customFormat="1">
      <c r="T4910" s="41"/>
    </row>
    <row r="4911" spans="20:20" s="566" customFormat="1">
      <c r="T4911" s="41"/>
    </row>
    <row r="4912" spans="20:20" s="566" customFormat="1">
      <c r="T4912" s="41"/>
    </row>
    <row r="4913" spans="20:20" s="566" customFormat="1">
      <c r="T4913" s="41"/>
    </row>
    <row r="4914" spans="20:20" s="566" customFormat="1">
      <c r="T4914" s="41"/>
    </row>
    <row r="4915" spans="20:20" s="566" customFormat="1">
      <c r="T4915" s="41"/>
    </row>
    <row r="4916" spans="20:20" s="566" customFormat="1">
      <c r="T4916" s="41"/>
    </row>
    <row r="4917" spans="20:20" s="566" customFormat="1">
      <c r="T4917" s="41"/>
    </row>
    <row r="4918" spans="20:20" s="566" customFormat="1">
      <c r="T4918" s="41"/>
    </row>
    <row r="4919" spans="20:20" s="566" customFormat="1">
      <c r="T4919" s="41"/>
    </row>
    <row r="4920" spans="20:20" s="566" customFormat="1">
      <c r="T4920" s="41"/>
    </row>
    <row r="4921" spans="20:20" s="566" customFormat="1">
      <c r="T4921" s="41"/>
    </row>
    <row r="4922" spans="20:20" s="566" customFormat="1">
      <c r="T4922" s="41"/>
    </row>
    <row r="4923" spans="20:20" s="566" customFormat="1">
      <c r="T4923" s="41"/>
    </row>
    <row r="4924" spans="20:20" s="566" customFormat="1">
      <c r="T4924" s="41"/>
    </row>
    <row r="4925" spans="20:20" s="566" customFormat="1">
      <c r="T4925" s="41"/>
    </row>
    <row r="4926" spans="20:20" s="566" customFormat="1">
      <c r="T4926" s="41"/>
    </row>
    <row r="4927" spans="20:20" s="566" customFormat="1">
      <c r="T4927" s="41"/>
    </row>
    <row r="4928" spans="20:20" s="566" customFormat="1">
      <c r="T4928" s="41"/>
    </row>
    <row r="4929" spans="20:20" s="566" customFormat="1">
      <c r="T4929" s="41"/>
    </row>
    <row r="4930" spans="20:20" s="566" customFormat="1">
      <c r="T4930" s="41"/>
    </row>
    <row r="4931" spans="20:20" s="566" customFormat="1">
      <c r="T4931" s="41"/>
    </row>
    <row r="4932" spans="20:20" s="566" customFormat="1">
      <c r="T4932" s="41"/>
    </row>
    <row r="4933" spans="20:20" s="566" customFormat="1">
      <c r="T4933" s="41"/>
    </row>
    <row r="4934" spans="20:20" s="566" customFormat="1">
      <c r="T4934" s="41"/>
    </row>
    <row r="4935" spans="20:20" s="566" customFormat="1">
      <c r="T4935" s="41"/>
    </row>
    <row r="4936" spans="20:20" s="566" customFormat="1">
      <c r="T4936" s="41"/>
    </row>
    <row r="4937" spans="20:20" s="566" customFormat="1">
      <c r="T4937" s="41"/>
    </row>
    <row r="4938" spans="20:20" s="566" customFormat="1">
      <c r="T4938" s="41"/>
    </row>
    <row r="4939" spans="20:20" s="566" customFormat="1">
      <c r="T4939" s="41"/>
    </row>
    <row r="4940" spans="20:20" s="566" customFormat="1">
      <c r="T4940" s="41"/>
    </row>
    <row r="4941" spans="20:20" s="566" customFormat="1">
      <c r="T4941" s="41"/>
    </row>
    <row r="4942" spans="20:20" s="566" customFormat="1">
      <c r="T4942" s="41"/>
    </row>
    <row r="4943" spans="20:20" s="566" customFormat="1">
      <c r="T4943" s="41"/>
    </row>
    <row r="4944" spans="20:20" s="566" customFormat="1">
      <c r="T4944" s="41"/>
    </row>
    <row r="4945" spans="20:20" s="566" customFormat="1">
      <c r="T4945" s="41"/>
    </row>
    <row r="4946" spans="20:20" s="566" customFormat="1">
      <c r="T4946" s="41"/>
    </row>
    <row r="4947" spans="20:20" s="566" customFormat="1">
      <c r="T4947" s="41"/>
    </row>
    <row r="4948" spans="20:20" s="566" customFormat="1">
      <c r="T4948" s="41"/>
    </row>
    <row r="4949" spans="20:20" s="566" customFormat="1">
      <c r="T4949" s="41"/>
    </row>
    <row r="4950" spans="20:20" s="566" customFormat="1">
      <c r="T4950" s="41"/>
    </row>
    <row r="4951" spans="20:20" s="566" customFormat="1">
      <c r="T4951" s="41"/>
    </row>
    <row r="4952" spans="20:20" s="566" customFormat="1">
      <c r="T4952" s="41"/>
    </row>
    <row r="4953" spans="20:20" s="566" customFormat="1">
      <c r="T4953" s="41"/>
    </row>
    <row r="4954" spans="20:20" s="566" customFormat="1">
      <c r="T4954" s="41"/>
    </row>
    <row r="4955" spans="20:20" s="566" customFormat="1">
      <c r="T4955" s="41"/>
    </row>
    <row r="4956" spans="20:20" s="566" customFormat="1">
      <c r="T4956" s="41"/>
    </row>
    <row r="4957" spans="20:20" s="566" customFormat="1">
      <c r="T4957" s="41"/>
    </row>
    <row r="4958" spans="20:20" s="566" customFormat="1">
      <c r="T4958" s="41"/>
    </row>
    <row r="4959" spans="20:20" s="566" customFormat="1">
      <c r="T4959" s="41"/>
    </row>
    <row r="4960" spans="20:20" s="566" customFormat="1">
      <c r="T4960" s="41"/>
    </row>
    <row r="4961" spans="20:20" s="566" customFormat="1">
      <c r="T4961" s="41"/>
    </row>
    <row r="4962" spans="20:20" s="566" customFormat="1">
      <c r="T4962" s="41"/>
    </row>
    <row r="4963" spans="20:20" s="566" customFormat="1">
      <c r="T4963" s="41"/>
    </row>
    <row r="4964" spans="20:20" s="566" customFormat="1">
      <c r="T4964" s="41"/>
    </row>
    <row r="4965" spans="20:20" s="566" customFormat="1">
      <c r="T4965" s="41"/>
    </row>
    <row r="4966" spans="20:20" s="566" customFormat="1">
      <c r="T4966" s="41"/>
    </row>
    <row r="4967" spans="20:20" s="566" customFormat="1">
      <c r="T4967" s="41"/>
    </row>
    <row r="4968" spans="20:20" s="566" customFormat="1">
      <c r="T4968" s="41"/>
    </row>
    <row r="4969" spans="20:20" s="566" customFormat="1">
      <c r="T4969" s="41"/>
    </row>
    <row r="4970" spans="20:20" s="566" customFormat="1">
      <c r="T4970" s="41"/>
    </row>
    <row r="4971" spans="20:20" s="566" customFormat="1">
      <c r="T4971" s="41"/>
    </row>
    <row r="4972" spans="20:20" s="566" customFormat="1">
      <c r="T4972" s="41"/>
    </row>
    <row r="4973" spans="20:20" s="566" customFormat="1">
      <c r="T4973" s="41"/>
    </row>
    <row r="4974" spans="20:20" s="566" customFormat="1">
      <c r="T4974" s="41"/>
    </row>
    <row r="4975" spans="20:20" s="566" customFormat="1">
      <c r="T4975" s="41"/>
    </row>
    <row r="4976" spans="20:20" s="566" customFormat="1">
      <c r="T4976" s="41"/>
    </row>
    <row r="4977" spans="20:20" s="566" customFormat="1">
      <c r="T4977" s="41"/>
    </row>
    <row r="4978" spans="20:20" s="566" customFormat="1">
      <c r="T4978" s="41"/>
    </row>
    <row r="4979" spans="20:20" s="566" customFormat="1">
      <c r="T4979" s="41"/>
    </row>
    <row r="4980" spans="20:20" s="566" customFormat="1">
      <c r="T4980" s="41"/>
    </row>
    <row r="4981" spans="20:20" s="566" customFormat="1">
      <c r="T4981" s="41"/>
    </row>
    <row r="4982" spans="20:20" s="566" customFormat="1">
      <c r="T4982" s="41"/>
    </row>
    <row r="4983" spans="20:20" s="566" customFormat="1">
      <c r="T4983" s="41"/>
    </row>
    <row r="4984" spans="20:20" s="566" customFormat="1">
      <c r="T4984" s="41"/>
    </row>
    <row r="4985" spans="20:20" s="566" customFormat="1">
      <c r="T4985" s="41"/>
    </row>
    <row r="4986" spans="20:20" s="566" customFormat="1">
      <c r="T4986" s="41"/>
    </row>
    <row r="4987" spans="20:20" s="566" customFormat="1">
      <c r="T4987" s="41"/>
    </row>
    <row r="4988" spans="20:20" s="566" customFormat="1">
      <c r="T4988" s="41"/>
    </row>
    <row r="4989" spans="20:20" s="566" customFormat="1">
      <c r="T4989" s="41"/>
    </row>
    <row r="4990" spans="20:20" s="566" customFormat="1">
      <c r="T4990" s="41"/>
    </row>
    <row r="4991" spans="20:20" s="566" customFormat="1">
      <c r="T4991" s="41"/>
    </row>
    <row r="4992" spans="20:20" s="566" customFormat="1">
      <c r="T4992" s="41"/>
    </row>
    <row r="4993" spans="20:20" s="566" customFormat="1">
      <c r="T4993" s="41"/>
    </row>
    <row r="4994" spans="20:20" s="566" customFormat="1">
      <c r="T4994" s="41"/>
    </row>
    <row r="4995" spans="20:20" s="566" customFormat="1">
      <c r="T4995" s="41"/>
    </row>
    <row r="4996" spans="20:20" s="566" customFormat="1">
      <c r="T4996" s="41"/>
    </row>
    <row r="4997" spans="20:20" s="566" customFormat="1">
      <c r="T4997" s="41"/>
    </row>
    <row r="4998" spans="20:20" s="566" customFormat="1">
      <c r="T4998" s="41"/>
    </row>
    <row r="4999" spans="20:20" s="566" customFormat="1">
      <c r="T4999" s="41"/>
    </row>
    <row r="5000" spans="20:20" s="566" customFormat="1">
      <c r="T5000" s="41"/>
    </row>
    <row r="5001" spans="20:20" s="566" customFormat="1">
      <c r="T5001" s="41"/>
    </row>
    <row r="5002" spans="20:20" s="566" customFormat="1">
      <c r="T5002" s="41"/>
    </row>
    <row r="5003" spans="20:20" s="566" customFormat="1">
      <c r="T5003" s="41"/>
    </row>
    <row r="5004" spans="20:20" s="566" customFormat="1">
      <c r="T5004" s="41"/>
    </row>
    <row r="5005" spans="20:20" s="566" customFormat="1">
      <c r="T5005" s="41"/>
    </row>
    <row r="5006" spans="20:20" s="566" customFormat="1">
      <c r="T5006" s="41"/>
    </row>
    <row r="5007" spans="20:20" s="566" customFormat="1">
      <c r="T5007" s="41"/>
    </row>
    <row r="5008" spans="20:20" s="566" customFormat="1">
      <c r="T5008" s="41"/>
    </row>
    <row r="5009" spans="20:20" s="566" customFormat="1">
      <c r="T5009" s="41"/>
    </row>
    <row r="5010" spans="20:20" s="566" customFormat="1">
      <c r="T5010" s="41"/>
    </row>
    <row r="5011" spans="20:20" s="566" customFormat="1">
      <c r="T5011" s="41"/>
    </row>
    <row r="5012" spans="20:20" s="566" customFormat="1">
      <c r="T5012" s="41"/>
    </row>
    <row r="5013" spans="20:20" s="566" customFormat="1">
      <c r="T5013" s="41"/>
    </row>
    <row r="5014" spans="20:20" s="566" customFormat="1">
      <c r="T5014" s="41"/>
    </row>
    <row r="5015" spans="20:20" s="566" customFormat="1">
      <c r="T5015" s="41"/>
    </row>
    <row r="5016" spans="20:20" s="566" customFormat="1">
      <c r="T5016" s="41"/>
    </row>
    <row r="5017" spans="20:20" s="566" customFormat="1">
      <c r="T5017" s="41"/>
    </row>
    <row r="5018" spans="20:20" s="566" customFormat="1">
      <c r="T5018" s="41"/>
    </row>
    <row r="5019" spans="20:20" s="566" customFormat="1">
      <c r="T5019" s="41"/>
    </row>
    <row r="5020" spans="20:20" s="566" customFormat="1">
      <c r="T5020" s="41"/>
    </row>
    <row r="5021" spans="20:20" s="566" customFormat="1">
      <c r="T5021" s="41"/>
    </row>
    <row r="5022" spans="20:20" s="566" customFormat="1">
      <c r="T5022" s="41"/>
    </row>
    <row r="5023" spans="20:20" s="566" customFormat="1">
      <c r="T5023" s="41"/>
    </row>
    <row r="5024" spans="20:20" s="566" customFormat="1">
      <c r="T5024" s="41"/>
    </row>
    <row r="5025" spans="20:20" s="566" customFormat="1">
      <c r="T5025" s="41"/>
    </row>
    <row r="5026" spans="20:20" s="566" customFormat="1">
      <c r="T5026" s="41"/>
    </row>
    <row r="5027" spans="20:20" s="566" customFormat="1">
      <c r="T5027" s="41"/>
    </row>
    <row r="5028" spans="20:20" s="566" customFormat="1">
      <c r="T5028" s="41"/>
    </row>
    <row r="5029" spans="20:20" s="566" customFormat="1">
      <c r="T5029" s="41"/>
    </row>
    <row r="5030" spans="20:20" s="566" customFormat="1">
      <c r="T5030" s="41"/>
    </row>
    <row r="5031" spans="20:20" s="566" customFormat="1">
      <c r="T5031" s="41"/>
    </row>
    <row r="5032" spans="20:20" s="566" customFormat="1">
      <c r="T5032" s="41"/>
    </row>
    <row r="5033" spans="20:20" s="566" customFormat="1">
      <c r="T5033" s="41"/>
    </row>
    <row r="5034" spans="20:20" s="566" customFormat="1">
      <c r="T5034" s="41"/>
    </row>
    <row r="5035" spans="20:20" s="566" customFormat="1">
      <c r="T5035" s="41"/>
    </row>
    <row r="5036" spans="20:20" s="566" customFormat="1">
      <c r="T5036" s="41"/>
    </row>
    <row r="5037" spans="20:20" s="566" customFormat="1">
      <c r="T5037" s="41"/>
    </row>
    <row r="5038" spans="20:20" s="566" customFormat="1">
      <c r="T5038" s="41"/>
    </row>
    <row r="5039" spans="20:20" s="566" customFormat="1">
      <c r="T5039" s="41"/>
    </row>
    <row r="5040" spans="20:20" s="566" customFormat="1">
      <c r="T5040" s="41"/>
    </row>
    <row r="5041" spans="20:20" s="566" customFormat="1">
      <c r="T5041" s="41"/>
    </row>
    <row r="5042" spans="20:20" s="566" customFormat="1">
      <c r="T5042" s="41"/>
    </row>
    <row r="5043" spans="20:20" s="566" customFormat="1">
      <c r="T5043" s="41"/>
    </row>
    <row r="5044" spans="20:20" s="566" customFormat="1">
      <c r="T5044" s="41"/>
    </row>
    <row r="5045" spans="20:20" s="566" customFormat="1">
      <c r="T5045" s="41"/>
    </row>
    <row r="5046" spans="20:20" s="566" customFormat="1">
      <c r="T5046" s="41"/>
    </row>
    <row r="5047" spans="20:20" s="566" customFormat="1">
      <c r="T5047" s="41"/>
    </row>
    <row r="5048" spans="20:20" s="566" customFormat="1">
      <c r="T5048" s="41"/>
    </row>
    <row r="5049" spans="20:20" s="566" customFormat="1">
      <c r="T5049" s="41"/>
    </row>
    <row r="5050" spans="20:20" s="566" customFormat="1">
      <c r="T5050" s="41"/>
    </row>
    <row r="5051" spans="20:20" s="566" customFormat="1">
      <c r="T5051" s="41"/>
    </row>
    <row r="5052" spans="20:20" s="566" customFormat="1">
      <c r="T5052" s="41"/>
    </row>
    <row r="5053" spans="20:20" s="566" customFormat="1">
      <c r="T5053" s="41"/>
    </row>
    <row r="5054" spans="20:20" s="566" customFormat="1">
      <c r="T5054" s="41"/>
    </row>
    <row r="5055" spans="20:20" s="566" customFormat="1">
      <c r="T5055" s="41"/>
    </row>
    <row r="5056" spans="20:20" s="566" customFormat="1">
      <c r="T5056" s="41"/>
    </row>
    <row r="5057" spans="20:20" s="566" customFormat="1">
      <c r="T5057" s="41"/>
    </row>
    <row r="5058" spans="20:20" s="566" customFormat="1">
      <c r="T5058" s="41"/>
    </row>
    <row r="5059" spans="20:20" s="566" customFormat="1">
      <c r="T5059" s="41"/>
    </row>
    <row r="5060" spans="20:20" s="566" customFormat="1">
      <c r="T5060" s="41"/>
    </row>
    <row r="5061" spans="20:20" s="566" customFormat="1">
      <c r="T5061" s="41"/>
    </row>
    <row r="5062" spans="20:20" s="566" customFormat="1">
      <c r="T5062" s="41"/>
    </row>
    <row r="5063" spans="20:20" s="566" customFormat="1">
      <c r="T5063" s="41"/>
    </row>
    <row r="5064" spans="20:20" s="566" customFormat="1">
      <c r="T5064" s="41"/>
    </row>
    <row r="5065" spans="20:20" s="566" customFormat="1">
      <c r="T5065" s="41"/>
    </row>
    <row r="5066" spans="20:20" s="566" customFormat="1">
      <c r="T5066" s="41"/>
    </row>
    <row r="5067" spans="20:20" s="566" customFormat="1">
      <c r="T5067" s="41"/>
    </row>
    <row r="5068" spans="20:20" s="566" customFormat="1">
      <c r="T5068" s="41"/>
    </row>
    <row r="5069" spans="20:20" s="566" customFormat="1">
      <c r="T5069" s="41"/>
    </row>
    <row r="5070" spans="20:20" s="566" customFormat="1">
      <c r="T5070" s="41"/>
    </row>
    <row r="5071" spans="20:20" s="566" customFormat="1">
      <c r="T5071" s="41"/>
    </row>
    <row r="5072" spans="20:20" s="566" customFormat="1">
      <c r="T5072" s="41"/>
    </row>
    <row r="5073" spans="20:20" s="566" customFormat="1">
      <c r="T5073" s="41"/>
    </row>
    <row r="5074" spans="20:20" s="566" customFormat="1">
      <c r="T5074" s="41"/>
    </row>
    <row r="5075" spans="20:20" s="566" customFormat="1">
      <c r="T5075" s="41"/>
    </row>
    <row r="5076" spans="20:20" s="566" customFormat="1">
      <c r="T5076" s="41"/>
    </row>
    <row r="5077" spans="20:20" s="566" customFormat="1">
      <c r="T5077" s="41"/>
    </row>
    <row r="5078" spans="20:20" s="566" customFormat="1">
      <c r="T5078" s="41"/>
    </row>
    <row r="5079" spans="20:20" s="566" customFormat="1">
      <c r="T5079" s="41"/>
    </row>
    <row r="5080" spans="20:20" s="566" customFormat="1">
      <c r="T5080" s="41"/>
    </row>
    <row r="5081" spans="20:20" s="566" customFormat="1">
      <c r="T5081" s="41"/>
    </row>
    <row r="5082" spans="20:20" s="566" customFormat="1">
      <c r="T5082" s="41"/>
    </row>
    <row r="5083" spans="20:20" s="566" customFormat="1">
      <c r="T5083" s="41"/>
    </row>
    <row r="5084" spans="20:20" s="566" customFormat="1">
      <c r="T5084" s="41"/>
    </row>
    <row r="5085" spans="20:20" s="566" customFormat="1">
      <c r="T5085" s="41"/>
    </row>
    <row r="5086" spans="20:20" s="566" customFormat="1">
      <c r="T5086" s="41"/>
    </row>
    <row r="5087" spans="20:20" s="566" customFormat="1">
      <c r="T5087" s="41"/>
    </row>
    <row r="5088" spans="20:20" s="566" customFormat="1">
      <c r="T5088" s="41"/>
    </row>
    <row r="5089" spans="20:20" s="566" customFormat="1">
      <c r="T5089" s="41"/>
    </row>
    <row r="5090" spans="20:20" s="566" customFormat="1">
      <c r="T5090" s="41"/>
    </row>
    <row r="5091" spans="20:20" s="566" customFormat="1">
      <c r="T5091" s="41"/>
    </row>
    <row r="5092" spans="20:20" s="566" customFormat="1">
      <c r="T5092" s="41"/>
    </row>
    <row r="5093" spans="20:20" s="566" customFormat="1">
      <c r="T5093" s="41"/>
    </row>
    <row r="5094" spans="20:20" s="566" customFormat="1">
      <c r="T5094" s="41"/>
    </row>
    <row r="5095" spans="20:20" s="566" customFormat="1">
      <c r="T5095" s="41"/>
    </row>
    <row r="5096" spans="20:20" s="566" customFormat="1">
      <c r="T5096" s="41"/>
    </row>
    <row r="5097" spans="20:20" s="566" customFormat="1">
      <c r="T5097" s="41"/>
    </row>
    <row r="5098" spans="20:20" s="566" customFormat="1">
      <c r="T5098" s="41"/>
    </row>
    <row r="5099" spans="20:20" s="566" customFormat="1">
      <c r="T5099" s="41"/>
    </row>
    <row r="5100" spans="20:20" s="566" customFormat="1">
      <c r="T5100" s="41"/>
    </row>
    <row r="5101" spans="20:20" s="566" customFormat="1">
      <c r="T5101" s="41"/>
    </row>
    <row r="5102" spans="20:20" s="566" customFormat="1">
      <c r="T5102" s="41"/>
    </row>
    <row r="5103" spans="20:20" s="566" customFormat="1">
      <c r="T5103" s="41"/>
    </row>
    <row r="5104" spans="20:20" s="566" customFormat="1">
      <c r="T5104" s="41"/>
    </row>
    <row r="5105" spans="20:20" s="566" customFormat="1">
      <c r="T5105" s="41"/>
    </row>
    <row r="5106" spans="20:20" s="566" customFormat="1">
      <c r="T5106" s="41"/>
    </row>
    <row r="5107" spans="20:20" s="566" customFormat="1">
      <c r="T5107" s="41"/>
    </row>
    <row r="5108" spans="20:20" s="566" customFormat="1">
      <c r="T5108" s="41"/>
    </row>
    <row r="5109" spans="20:20" s="566" customFormat="1">
      <c r="T5109" s="41"/>
    </row>
    <row r="5110" spans="20:20" s="566" customFormat="1">
      <c r="T5110" s="41"/>
    </row>
    <row r="5111" spans="20:20" s="566" customFormat="1">
      <c r="T5111" s="41"/>
    </row>
    <row r="5112" spans="20:20" s="566" customFormat="1">
      <c r="T5112" s="41"/>
    </row>
    <row r="5113" spans="20:20" s="566" customFormat="1">
      <c r="T5113" s="41"/>
    </row>
    <row r="5114" spans="20:20" s="566" customFormat="1">
      <c r="T5114" s="41"/>
    </row>
    <row r="5115" spans="20:20" s="566" customFormat="1">
      <c r="T5115" s="41"/>
    </row>
    <row r="5116" spans="20:20" s="566" customFormat="1">
      <c r="T5116" s="41"/>
    </row>
    <row r="5117" spans="20:20" s="566" customFormat="1">
      <c r="T5117" s="41"/>
    </row>
    <row r="5118" spans="20:20" s="566" customFormat="1">
      <c r="T5118" s="41"/>
    </row>
    <row r="5119" spans="20:20" s="566" customFormat="1">
      <c r="T5119" s="41"/>
    </row>
    <row r="5120" spans="20:20" s="566" customFormat="1">
      <c r="T5120" s="41"/>
    </row>
    <row r="5121" spans="20:20" s="566" customFormat="1">
      <c r="T5121" s="41"/>
    </row>
    <row r="5122" spans="20:20" s="566" customFormat="1">
      <c r="T5122" s="41"/>
    </row>
    <row r="5123" spans="20:20" s="566" customFormat="1">
      <c r="T5123" s="41"/>
    </row>
    <row r="5124" spans="20:20" s="566" customFormat="1">
      <c r="T5124" s="41"/>
    </row>
    <row r="5125" spans="20:20" s="566" customFormat="1">
      <c r="T5125" s="41"/>
    </row>
    <row r="5126" spans="20:20" s="566" customFormat="1">
      <c r="T5126" s="41"/>
    </row>
    <row r="5127" spans="20:20" s="566" customFormat="1">
      <c r="T5127" s="41"/>
    </row>
    <row r="5128" spans="20:20" s="566" customFormat="1">
      <c r="T5128" s="41"/>
    </row>
    <row r="5129" spans="20:20" s="566" customFormat="1">
      <c r="T5129" s="41"/>
    </row>
    <row r="5130" spans="20:20" s="566" customFormat="1">
      <c r="T5130" s="41"/>
    </row>
    <row r="5131" spans="20:20" s="566" customFormat="1">
      <c r="T5131" s="41"/>
    </row>
    <row r="5132" spans="20:20" s="566" customFormat="1">
      <c r="T5132" s="41"/>
    </row>
    <row r="5133" spans="20:20" s="566" customFormat="1">
      <c r="T5133" s="41"/>
    </row>
    <row r="5134" spans="20:20" s="566" customFormat="1">
      <c r="T5134" s="41"/>
    </row>
    <row r="5135" spans="20:20" s="566" customFormat="1">
      <c r="T5135" s="41"/>
    </row>
    <row r="5136" spans="20:20" s="566" customFormat="1">
      <c r="T5136" s="41"/>
    </row>
    <row r="5137" spans="20:20" s="566" customFormat="1">
      <c r="T5137" s="41"/>
    </row>
    <row r="5138" spans="20:20" s="566" customFormat="1">
      <c r="T5138" s="41"/>
    </row>
    <row r="5139" spans="20:20" s="566" customFormat="1">
      <c r="T5139" s="41"/>
    </row>
    <row r="5140" spans="20:20" s="566" customFormat="1">
      <c r="T5140" s="41"/>
    </row>
    <row r="5141" spans="20:20" s="566" customFormat="1">
      <c r="T5141" s="41"/>
    </row>
    <row r="5142" spans="20:20" s="566" customFormat="1">
      <c r="T5142" s="41"/>
    </row>
    <row r="5143" spans="20:20" s="566" customFormat="1">
      <c r="T5143" s="41"/>
    </row>
    <row r="5144" spans="20:20" s="566" customFormat="1">
      <c r="T5144" s="41"/>
    </row>
    <row r="5145" spans="20:20" s="566" customFormat="1">
      <c r="T5145" s="41"/>
    </row>
    <row r="5146" spans="20:20" s="566" customFormat="1">
      <c r="T5146" s="41"/>
    </row>
    <row r="5147" spans="20:20" s="566" customFormat="1">
      <c r="T5147" s="41"/>
    </row>
    <row r="5148" spans="20:20" s="566" customFormat="1">
      <c r="T5148" s="41"/>
    </row>
    <row r="5149" spans="20:20" s="566" customFormat="1">
      <c r="T5149" s="41"/>
    </row>
    <row r="5150" spans="20:20" s="566" customFormat="1">
      <c r="T5150" s="41"/>
    </row>
    <row r="5151" spans="20:20" s="566" customFormat="1">
      <c r="T5151" s="41"/>
    </row>
    <row r="5152" spans="20:20" s="566" customFormat="1">
      <c r="T5152" s="41"/>
    </row>
    <row r="5153" spans="20:20" s="566" customFormat="1">
      <c r="T5153" s="41"/>
    </row>
    <row r="5154" spans="20:20" s="566" customFormat="1">
      <c r="T5154" s="41"/>
    </row>
    <row r="5155" spans="20:20" s="566" customFormat="1">
      <c r="T5155" s="41"/>
    </row>
    <row r="5156" spans="20:20" s="566" customFormat="1">
      <c r="T5156" s="41"/>
    </row>
    <row r="5157" spans="20:20" s="566" customFormat="1">
      <c r="T5157" s="41"/>
    </row>
    <row r="5158" spans="20:20" s="566" customFormat="1">
      <c r="T5158" s="41"/>
    </row>
    <row r="5159" spans="20:20" s="566" customFormat="1">
      <c r="T5159" s="41"/>
    </row>
    <row r="5160" spans="20:20" s="566" customFormat="1">
      <c r="T5160" s="41"/>
    </row>
    <row r="5161" spans="20:20" s="566" customFormat="1">
      <c r="T5161" s="41"/>
    </row>
    <row r="5162" spans="20:20" s="566" customFormat="1">
      <c r="T5162" s="41"/>
    </row>
    <row r="5163" spans="20:20" s="566" customFormat="1">
      <c r="T5163" s="41"/>
    </row>
    <row r="5164" spans="20:20" s="566" customFormat="1">
      <c r="T5164" s="41"/>
    </row>
    <row r="5165" spans="20:20" s="566" customFormat="1">
      <c r="T5165" s="41"/>
    </row>
    <row r="5166" spans="20:20" s="566" customFormat="1">
      <c r="T5166" s="41"/>
    </row>
    <row r="5167" spans="20:20" s="566" customFormat="1">
      <c r="T5167" s="41"/>
    </row>
    <row r="5168" spans="20:20" s="566" customFormat="1">
      <c r="T5168" s="41"/>
    </row>
    <row r="5169" spans="20:20" s="566" customFormat="1">
      <c r="T5169" s="41"/>
    </row>
    <row r="5170" spans="20:20" s="566" customFormat="1">
      <c r="T5170" s="41"/>
    </row>
    <row r="5171" spans="20:20" s="566" customFormat="1">
      <c r="T5171" s="41"/>
    </row>
    <row r="5172" spans="20:20" s="566" customFormat="1">
      <c r="T5172" s="41"/>
    </row>
    <row r="5173" spans="20:20" s="566" customFormat="1">
      <c r="T5173" s="41"/>
    </row>
    <row r="5174" spans="20:20" s="566" customFormat="1">
      <c r="T5174" s="41"/>
    </row>
    <row r="5175" spans="20:20" s="566" customFormat="1">
      <c r="T5175" s="41"/>
    </row>
    <row r="5176" spans="20:20" s="566" customFormat="1">
      <c r="T5176" s="41"/>
    </row>
    <row r="5177" spans="20:20" s="566" customFormat="1">
      <c r="T5177" s="41"/>
    </row>
    <row r="5178" spans="20:20" s="566" customFormat="1">
      <c r="T5178" s="41"/>
    </row>
    <row r="5179" spans="20:20" s="566" customFormat="1">
      <c r="T5179" s="41"/>
    </row>
    <row r="5180" spans="20:20" s="566" customFormat="1">
      <c r="T5180" s="41"/>
    </row>
    <row r="5181" spans="20:20" s="566" customFormat="1">
      <c r="T5181" s="41"/>
    </row>
    <row r="5182" spans="20:20" s="566" customFormat="1">
      <c r="T5182" s="41"/>
    </row>
    <row r="5183" spans="20:20" s="566" customFormat="1">
      <c r="T5183" s="41"/>
    </row>
    <row r="5184" spans="20:20" s="566" customFormat="1">
      <c r="T5184" s="41"/>
    </row>
    <row r="5185" spans="20:20" s="566" customFormat="1">
      <c r="T5185" s="41"/>
    </row>
    <row r="5186" spans="20:20" s="566" customFormat="1">
      <c r="T5186" s="41"/>
    </row>
    <row r="5187" spans="20:20" s="566" customFormat="1">
      <c r="T5187" s="41"/>
    </row>
    <row r="5188" spans="20:20" s="566" customFormat="1">
      <c r="T5188" s="41"/>
    </row>
    <row r="5189" spans="20:20" s="566" customFormat="1">
      <c r="T5189" s="41"/>
    </row>
    <row r="5190" spans="20:20" s="566" customFormat="1">
      <c r="T5190" s="41"/>
    </row>
    <row r="5191" spans="20:20" s="566" customFormat="1">
      <c r="T5191" s="41"/>
    </row>
    <row r="5192" spans="20:20" s="566" customFormat="1">
      <c r="T5192" s="41"/>
    </row>
    <row r="5193" spans="20:20" s="566" customFormat="1">
      <c r="T5193" s="41"/>
    </row>
    <row r="5194" spans="20:20" s="566" customFormat="1">
      <c r="T5194" s="41"/>
    </row>
    <row r="5195" spans="20:20" s="566" customFormat="1">
      <c r="T5195" s="41"/>
    </row>
    <row r="5196" spans="20:20" s="566" customFormat="1">
      <c r="T5196" s="41"/>
    </row>
    <row r="5197" spans="20:20" s="566" customFormat="1">
      <c r="T5197" s="41"/>
    </row>
    <row r="5198" spans="20:20" s="566" customFormat="1">
      <c r="T5198" s="41"/>
    </row>
    <row r="5199" spans="20:20" s="566" customFormat="1">
      <c r="T5199" s="41"/>
    </row>
    <row r="5200" spans="20:20" s="566" customFormat="1">
      <c r="T5200" s="41"/>
    </row>
    <row r="5201" spans="20:20" s="566" customFormat="1">
      <c r="T5201" s="41"/>
    </row>
    <row r="5202" spans="20:20" s="566" customFormat="1">
      <c r="T5202" s="41"/>
    </row>
    <row r="5203" spans="20:20" s="566" customFormat="1">
      <c r="T5203" s="41"/>
    </row>
    <row r="5204" spans="20:20" s="566" customFormat="1">
      <c r="T5204" s="41"/>
    </row>
    <row r="5205" spans="20:20" s="566" customFormat="1">
      <c r="T5205" s="41"/>
    </row>
    <row r="5206" spans="20:20" s="566" customFormat="1">
      <c r="T5206" s="41"/>
    </row>
    <row r="5207" spans="20:20" s="566" customFormat="1">
      <c r="T5207" s="41"/>
    </row>
    <row r="5208" spans="20:20" s="566" customFormat="1">
      <c r="T5208" s="41"/>
    </row>
    <row r="5209" spans="20:20" s="566" customFormat="1">
      <c r="T5209" s="41"/>
    </row>
    <row r="5210" spans="20:20" s="566" customFormat="1">
      <c r="T5210" s="41"/>
    </row>
    <row r="5211" spans="20:20" s="566" customFormat="1">
      <c r="T5211" s="41"/>
    </row>
    <row r="5212" spans="20:20" s="566" customFormat="1">
      <c r="T5212" s="41"/>
    </row>
    <row r="5213" spans="20:20" s="566" customFormat="1">
      <c r="T5213" s="41"/>
    </row>
    <row r="5214" spans="20:20" s="566" customFormat="1">
      <c r="T5214" s="41"/>
    </row>
    <row r="5215" spans="20:20" s="566" customFormat="1">
      <c r="T5215" s="41"/>
    </row>
    <row r="5216" spans="20:20" s="566" customFormat="1">
      <c r="T5216" s="41"/>
    </row>
    <row r="5217" spans="20:20" s="566" customFormat="1">
      <c r="T5217" s="41"/>
    </row>
    <row r="5218" spans="20:20" s="566" customFormat="1">
      <c r="T5218" s="41"/>
    </row>
    <row r="5219" spans="20:20" s="566" customFormat="1">
      <c r="T5219" s="41"/>
    </row>
    <row r="5220" spans="20:20" s="566" customFormat="1">
      <c r="T5220" s="41"/>
    </row>
    <row r="5221" spans="20:20" s="566" customFormat="1">
      <c r="T5221" s="41"/>
    </row>
    <row r="5222" spans="20:20" s="566" customFormat="1">
      <c r="T5222" s="41"/>
    </row>
    <row r="5223" spans="20:20" s="566" customFormat="1">
      <c r="T5223" s="41"/>
    </row>
    <row r="5224" spans="20:20" s="566" customFormat="1">
      <c r="T5224" s="41"/>
    </row>
    <row r="5225" spans="20:20" s="566" customFormat="1">
      <c r="T5225" s="41"/>
    </row>
    <row r="5226" spans="20:20" s="566" customFormat="1">
      <c r="T5226" s="41"/>
    </row>
    <row r="5227" spans="20:20" s="566" customFormat="1">
      <c r="T5227" s="41"/>
    </row>
    <row r="5228" spans="20:20" s="566" customFormat="1">
      <c r="T5228" s="41"/>
    </row>
    <row r="5229" spans="20:20" s="566" customFormat="1">
      <c r="T5229" s="41"/>
    </row>
    <row r="5230" spans="20:20" s="566" customFormat="1">
      <c r="T5230" s="41"/>
    </row>
    <row r="5231" spans="20:20" s="566" customFormat="1">
      <c r="T5231" s="41"/>
    </row>
    <row r="5232" spans="20:20" s="566" customFormat="1">
      <c r="T5232" s="41"/>
    </row>
    <row r="5233" spans="20:20" s="566" customFormat="1">
      <c r="T5233" s="41"/>
    </row>
    <row r="5234" spans="20:20" s="566" customFormat="1">
      <c r="T5234" s="41"/>
    </row>
    <row r="5235" spans="20:20" s="566" customFormat="1">
      <c r="T5235" s="41"/>
    </row>
    <row r="5236" spans="20:20" s="566" customFormat="1">
      <c r="T5236" s="41"/>
    </row>
    <row r="5237" spans="20:20" s="566" customFormat="1">
      <c r="T5237" s="41"/>
    </row>
    <row r="5238" spans="20:20" s="566" customFormat="1">
      <c r="T5238" s="41"/>
    </row>
    <row r="5239" spans="20:20" s="566" customFormat="1">
      <c r="T5239" s="41"/>
    </row>
    <row r="5240" spans="20:20" s="566" customFormat="1">
      <c r="T5240" s="41"/>
    </row>
    <row r="5241" spans="20:20" s="566" customFormat="1">
      <c r="T5241" s="41"/>
    </row>
    <row r="5242" spans="20:20" s="566" customFormat="1">
      <c r="T5242" s="41"/>
    </row>
    <row r="5243" spans="20:20" s="566" customFormat="1">
      <c r="T5243" s="41"/>
    </row>
    <row r="5244" spans="20:20" s="566" customFormat="1">
      <c r="T5244" s="41"/>
    </row>
    <row r="5245" spans="20:20" s="566" customFormat="1">
      <c r="T5245" s="41"/>
    </row>
    <row r="5246" spans="20:20" s="566" customFormat="1">
      <c r="T5246" s="41"/>
    </row>
    <row r="5247" spans="20:20" s="566" customFormat="1">
      <c r="T5247" s="41"/>
    </row>
    <row r="5248" spans="20:20" s="566" customFormat="1">
      <c r="T5248" s="41"/>
    </row>
    <row r="5249" spans="20:20" s="566" customFormat="1">
      <c r="T5249" s="41"/>
    </row>
    <row r="5250" spans="20:20" s="566" customFormat="1">
      <c r="T5250" s="41"/>
    </row>
    <row r="5251" spans="20:20" s="566" customFormat="1">
      <c r="T5251" s="41"/>
    </row>
    <row r="5252" spans="20:20" s="566" customFormat="1">
      <c r="T5252" s="41"/>
    </row>
    <row r="5253" spans="20:20" s="566" customFormat="1">
      <c r="T5253" s="41"/>
    </row>
    <row r="5254" spans="20:20" s="566" customFormat="1">
      <c r="T5254" s="41"/>
    </row>
    <row r="5255" spans="20:20" s="566" customFormat="1">
      <c r="T5255" s="41"/>
    </row>
    <row r="5256" spans="20:20" s="566" customFormat="1">
      <c r="T5256" s="41"/>
    </row>
    <row r="5257" spans="20:20" s="566" customFormat="1">
      <c r="T5257" s="41"/>
    </row>
    <row r="5258" spans="20:20" s="566" customFormat="1">
      <c r="T5258" s="41"/>
    </row>
    <row r="5259" spans="20:20" s="566" customFormat="1">
      <c r="T5259" s="41"/>
    </row>
    <row r="5260" spans="20:20" s="566" customFormat="1">
      <c r="T5260" s="41"/>
    </row>
    <row r="5261" spans="20:20" s="566" customFormat="1">
      <c r="T5261" s="41"/>
    </row>
    <row r="5262" spans="20:20" s="566" customFormat="1">
      <c r="T5262" s="41"/>
    </row>
    <row r="5263" spans="20:20" s="566" customFormat="1">
      <c r="T5263" s="41"/>
    </row>
    <row r="5264" spans="20:20" s="566" customFormat="1">
      <c r="T5264" s="41"/>
    </row>
    <row r="5265" spans="20:20" s="566" customFormat="1">
      <c r="T5265" s="41"/>
    </row>
    <row r="5266" spans="20:20" s="566" customFormat="1">
      <c r="T5266" s="41"/>
    </row>
    <row r="5267" spans="20:20" s="566" customFormat="1">
      <c r="T5267" s="41"/>
    </row>
    <row r="5268" spans="20:20" s="566" customFormat="1">
      <c r="T5268" s="41"/>
    </row>
    <row r="5269" spans="20:20" s="566" customFormat="1">
      <c r="T5269" s="41"/>
    </row>
    <row r="5270" spans="20:20" s="566" customFormat="1">
      <c r="T5270" s="41"/>
    </row>
    <row r="5271" spans="20:20" s="566" customFormat="1">
      <c r="T5271" s="41"/>
    </row>
    <row r="5272" spans="20:20" s="566" customFormat="1">
      <c r="T5272" s="41"/>
    </row>
    <row r="5273" spans="20:20" s="566" customFormat="1">
      <c r="T5273" s="41"/>
    </row>
    <row r="5274" spans="20:20" s="566" customFormat="1">
      <c r="T5274" s="41"/>
    </row>
    <row r="5275" spans="20:20" s="566" customFormat="1">
      <c r="T5275" s="41"/>
    </row>
    <row r="5276" spans="20:20" s="566" customFormat="1">
      <c r="T5276" s="41"/>
    </row>
    <row r="5277" spans="20:20" s="566" customFormat="1">
      <c r="T5277" s="41"/>
    </row>
    <row r="5278" spans="20:20" s="566" customFormat="1">
      <c r="T5278" s="41"/>
    </row>
    <row r="5279" spans="20:20" s="566" customFormat="1">
      <c r="T5279" s="41"/>
    </row>
    <row r="5280" spans="20:20" s="566" customFormat="1">
      <c r="T5280" s="41"/>
    </row>
    <row r="5281" spans="20:20" s="566" customFormat="1">
      <c r="T5281" s="41"/>
    </row>
    <row r="5282" spans="20:20" s="566" customFormat="1">
      <c r="T5282" s="41"/>
    </row>
    <row r="5283" spans="20:20" s="566" customFormat="1">
      <c r="T5283" s="41"/>
    </row>
    <row r="5284" spans="20:20" s="566" customFormat="1">
      <c r="T5284" s="41"/>
    </row>
    <row r="5285" spans="20:20" s="566" customFormat="1">
      <c r="T5285" s="41"/>
    </row>
    <row r="5286" spans="20:20" s="566" customFormat="1">
      <c r="T5286" s="41"/>
    </row>
    <row r="5287" spans="20:20" s="566" customFormat="1">
      <c r="T5287" s="41"/>
    </row>
    <row r="5288" spans="20:20" s="566" customFormat="1">
      <c r="T5288" s="41"/>
    </row>
    <row r="5289" spans="20:20" s="566" customFormat="1">
      <c r="T5289" s="41"/>
    </row>
    <row r="5290" spans="20:20" s="566" customFormat="1">
      <c r="T5290" s="41"/>
    </row>
    <row r="5291" spans="20:20" s="566" customFormat="1">
      <c r="T5291" s="41"/>
    </row>
    <row r="5292" spans="20:20" s="566" customFormat="1">
      <c r="T5292" s="41"/>
    </row>
    <row r="5293" spans="20:20" s="566" customFormat="1">
      <c r="T5293" s="41"/>
    </row>
    <row r="5294" spans="20:20" s="566" customFormat="1">
      <c r="T5294" s="41"/>
    </row>
    <row r="5295" spans="20:20" s="566" customFormat="1">
      <c r="T5295" s="41"/>
    </row>
    <row r="5296" spans="20:20" s="566" customFormat="1">
      <c r="T5296" s="41"/>
    </row>
    <row r="5297" spans="20:20" s="566" customFormat="1">
      <c r="T5297" s="41"/>
    </row>
    <row r="5298" spans="20:20" s="566" customFormat="1">
      <c r="T5298" s="41"/>
    </row>
    <row r="5299" spans="20:20" s="566" customFormat="1">
      <c r="T5299" s="41"/>
    </row>
    <row r="5300" spans="20:20" s="566" customFormat="1">
      <c r="T5300" s="41"/>
    </row>
    <row r="5301" spans="20:20" s="566" customFormat="1">
      <c r="T5301" s="41"/>
    </row>
    <row r="5302" spans="20:20" s="566" customFormat="1">
      <c r="T5302" s="41"/>
    </row>
    <row r="5303" spans="20:20" s="566" customFormat="1">
      <c r="T5303" s="41"/>
    </row>
    <row r="5304" spans="20:20" s="566" customFormat="1">
      <c r="T5304" s="41"/>
    </row>
    <row r="5305" spans="20:20" s="566" customFormat="1">
      <c r="T5305" s="41"/>
    </row>
    <row r="5306" spans="20:20" s="566" customFormat="1">
      <c r="T5306" s="41"/>
    </row>
    <row r="5307" spans="20:20" s="566" customFormat="1">
      <c r="T5307" s="41"/>
    </row>
    <row r="5308" spans="20:20" s="566" customFormat="1">
      <c r="T5308" s="41"/>
    </row>
    <row r="5309" spans="20:20" s="566" customFormat="1">
      <c r="T5309" s="41"/>
    </row>
    <row r="5310" spans="20:20" s="566" customFormat="1">
      <c r="T5310" s="41"/>
    </row>
    <row r="5311" spans="20:20" s="566" customFormat="1">
      <c r="T5311" s="41"/>
    </row>
    <row r="5312" spans="20:20" s="566" customFormat="1">
      <c r="T5312" s="41"/>
    </row>
    <row r="5313" spans="20:20" s="566" customFormat="1">
      <c r="T5313" s="41"/>
    </row>
    <row r="5314" spans="20:20" s="566" customFormat="1">
      <c r="T5314" s="41"/>
    </row>
    <row r="5315" spans="20:20" s="566" customFormat="1">
      <c r="T5315" s="41"/>
    </row>
    <row r="5316" spans="20:20" s="566" customFormat="1">
      <c r="T5316" s="41"/>
    </row>
    <row r="5317" spans="20:20" s="566" customFormat="1">
      <c r="T5317" s="41"/>
    </row>
    <row r="5318" spans="20:20" s="566" customFormat="1">
      <c r="T5318" s="41"/>
    </row>
    <row r="5319" spans="20:20" s="566" customFormat="1">
      <c r="T5319" s="41"/>
    </row>
    <row r="5320" spans="20:20" s="566" customFormat="1">
      <c r="T5320" s="41"/>
    </row>
    <row r="5321" spans="20:20" s="566" customFormat="1">
      <c r="T5321" s="41"/>
    </row>
    <row r="5322" spans="20:20" s="566" customFormat="1">
      <c r="T5322" s="41"/>
    </row>
    <row r="5323" spans="20:20" s="566" customFormat="1">
      <c r="T5323" s="41"/>
    </row>
    <row r="5324" spans="20:20" s="566" customFormat="1">
      <c r="T5324" s="41"/>
    </row>
    <row r="5325" spans="20:20" s="566" customFormat="1">
      <c r="T5325" s="41"/>
    </row>
    <row r="5326" spans="20:20" s="566" customFormat="1">
      <c r="T5326" s="41"/>
    </row>
    <row r="5327" spans="20:20" s="566" customFormat="1">
      <c r="T5327" s="41"/>
    </row>
    <row r="5328" spans="20:20" s="566" customFormat="1">
      <c r="T5328" s="41"/>
    </row>
    <row r="5329" spans="20:20" s="566" customFormat="1">
      <c r="T5329" s="41"/>
    </row>
    <row r="5330" spans="20:20" s="566" customFormat="1">
      <c r="T5330" s="41"/>
    </row>
    <row r="5331" spans="20:20" s="566" customFormat="1">
      <c r="T5331" s="41"/>
    </row>
    <row r="5332" spans="20:20" s="566" customFormat="1">
      <c r="T5332" s="41"/>
    </row>
    <row r="5333" spans="20:20" s="566" customFormat="1">
      <c r="T5333" s="41"/>
    </row>
    <row r="5334" spans="20:20" s="566" customFormat="1">
      <c r="T5334" s="41"/>
    </row>
    <row r="5335" spans="20:20" s="566" customFormat="1">
      <c r="T5335" s="41"/>
    </row>
    <row r="5336" spans="20:20" s="566" customFormat="1">
      <c r="T5336" s="41"/>
    </row>
    <row r="5337" spans="20:20" s="566" customFormat="1">
      <c r="T5337" s="41"/>
    </row>
    <row r="5338" spans="20:20" s="566" customFormat="1">
      <c r="T5338" s="41"/>
    </row>
    <row r="5339" spans="20:20" s="566" customFormat="1">
      <c r="T5339" s="41"/>
    </row>
    <row r="5340" spans="20:20" s="566" customFormat="1">
      <c r="T5340" s="41"/>
    </row>
    <row r="5341" spans="20:20" s="566" customFormat="1">
      <c r="T5341" s="41"/>
    </row>
    <row r="5342" spans="20:20" s="566" customFormat="1">
      <c r="T5342" s="41"/>
    </row>
    <row r="5343" spans="20:20" s="566" customFormat="1">
      <c r="T5343" s="41"/>
    </row>
    <row r="5344" spans="20:20" s="566" customFormat="1">
      <c r="T5344" s="41"/>
    </row>
    <row r="5345" spans="20:20" s="566" customFormat="1">
      <c r="T5345" s="41"/>
    </row>
    <row r="5346" spans="20:20" s="566" customFormat="1">
      <c r="T5346" s="41"/>
    </row>
    <row r="5347" spans="20:20" s="566" customFormat="1">
      <c r="T5347" s="41"/>
    </row>
    <row r="5348" spans="20:20" s="566" customFormat="1">
      <c r="T5348" s="41"/>
    </row>
    <row r="5349" spans="20:20" s="566" customFormat="1">
      <c r="T5349" s="41"/>
    </row>
    <row r="5350" spans="20:20" s="566" customFormat="1">
      <c r="T5350" s="41"/>
    </row>
    <row r="5351" spans="20:20" s="566" customFormat="1">
      <c r="T5351" s="41"/>
    </row>
    <row r="5352" spans="20:20" s="566" customFormat="1">
      <c r="T5352" s="41"/>
    </row>
    <row r="5353" spans="20:20" s="566" customFormat="1">
      <c r="T5353" s="41"/>
    </row>
    <row r="5354" spans="20:20" s="566" customFormat="1">
      <c r="T5354" s="41"/>
    </row>
    <row r="5355" spans="20:20" s="566" customFormat="1">
      <c r="T5355" s="41"/>
    </row>
    <row r="5356" spans="20:20" s="566" customFormat="1">
      <c r="T5356" s="41"/>
    </row>
    <row r="5357" spans="20:20" s="566" customFormat="1">
      <c r="T5357" s="41"/>
    </row>
    <row r="5358" spans="20:20" s="566" customFormat="1">
      <c r="T5358" s="41"/>
    </row>
    <row r="5359" spans="20:20" s="566" customFormat="1">
      <c r="T5359" s="41"/>
    </row>
    <row r="5360" spans="20:20" s="566" customFormat="1">
      <c r="T5360" s="41"/>
    </row>
    <row r="5361" spans="20:20" s="566" customFormat="1">
      <c r="T5361" s="41"/>
    </row>
    <row r="5362" spans="20:20" s="566" customFormat="1">
      <c r="T5362" s="41"/>
    </row>
    <row r="5363" spans="20:20" s="566" customFormat="1">
      <c r="T5363" s="41"/>
    </row>
    <row r="5364" spans="20:20" s="566" customFormat="1">
      <c r="T5364" s="41"/>
    </row>
    <row r="5365" spans="20:20" s="566" customFormat="1">
      <c r="T5365" s="41"/>
    </row>
    <row r="5366" spans="20:20" s="566" customFormat="1">
      <c r="T5366" s="41"/>
    </row>
    <row r="5367" spans="20:20" s="566" customFormat="1">
      <c r="T5367" s="41"/>
    </row>
    <row r="5368" spans="20:20" s="566" customFormat="1">
      <c r="T5368" s="41"/>
    </row>
    <row r="5369" spans="20:20" s="566" customFormat="1">
      <c r="T5369" s="41"/>
    </row>
    <row r="5370" spans="20:20" s="566" customFormat="1">
      <c r="T5370" s="41"/>
    </row>
    <row r="5371" spans="20:20" s="566" customFormat="1">
      <c r="T5371" s="41"/>
    </row>
    <row r="5372" spans="20:20" s="566" customFormat="1">
      <c r="T5372" s="41"/>
    </row>
    <row r="5373" spans="20:20" s="566" customFormat="1">
      <c r="T5373" s="41"/>
    </row>
    <row r="5374" spans="20:20" s="566" customFormat="1">
      <c r="T5374" s="41"/>
    </row>
    <row r="5375" spans="20:20" s="566" customFormat="1">
      <c r="T5375" s="41"/>
    </row>
    <row r="5376" spans="20:20" s="566" customFormat="1">
      <c r="T5376" s="41"/>
    </row>
    <row r="5377" spans="20:20" s="566" customFormat="1">
      <c r="T5377" s="41"/>
    </row>
    <row r="5378" spans="20:20" s="566" customFormat="1">
      <c r="T5378" s="41"/>
    </row>
    <row r="5379" spans="20:20" s="566" customFormat="1">
      <c r="T5379" s="41"/>
    </row>
    <row r="5380" spans="20:20" s="566" customFormat="1">
      <c r="T5380" s="41"/>
    </row>
    <row r="5381" spans="20:20" s="566" customFormat="1">
      <c r="T5381" s="41"/>
    </row>
    <row r="5382" spans="20:20" s="566" customFormat="1">
      <c r="T5382" s="41"/>
    </row>
    <row r="5383" spans="20:20" s="566" customFormat="1">
      <c r="T5383" s="41"/>
    </row>
    <row r="5384" spans="20:20" s="566" customFormat="1">
      <c r="T5384" s="41"/>
    </row>
    <row r="5385" spans="20:20" s="566" customFormat="1">
      <c r="T5385" s="41"/>
    </row>
    <row r="5386" spans="20:20" s="566" customFormat="1">
      <c r="T5386" s="41"/>
    </row>
    <row r="5387" spans="20:20" s="566" customFormat="1">
      <c r="T5387" s="41"/>
    </row>
    <row r="5388" spans="20:20" s="566" customFormat="1">
      <c r="T5388" s="41"/>
    </row>
    <row r="5389" spans="20:20" s="566" customFormat="1">
      <c r="T5389" s="41"/>
    </row>
    <row r="5390" spans="20:20" s="566" customFormat="1">
      <c r="T5390" s="41"/>
    </row>
    <row r="5391" spans="20:20" s="566" customFormat="1">
      <c r="T5391" s="41"/>
    </row>
    <row r="5392" spans="20:20" s="566" customFormat="1">
      <c r="T5392" s="41"/>
    </row>
    <row r="5393" spans="20:20" s="566" customFormat="1">
      <c r="T5393" s="41"/>
    </row>
    <row r="5394" spans="20:20" s="566" customFormat="1">
      <c r="T5394" s="41"/>
    </row>
    <row r="5395" spans="20:20" s="566" customFormat="1">
      <c r="T5395" s="41"/>
    </row>
    <row r="5396" spans="20:20" s="566" customFormat="1">
      <c r="T5396" s="41"/>
    </row>
    <row r="5397" spans="20:20" s="566" customFormat="1">
      <c r="T5397" s="41"/>
    </row>
    <row r="5398" spans="20:20" s="566" customFormat="1">
      <c r="T5398" s="41"/>
    </row>
    <row r="5399" spans="20:20" s="566" customFormat="1">
      <c r="T5399" s="41"/>
    </row>
    <row r="5400" spans="20:20" s="566" customFormat="1">
      <c r="T5400" s="41"/>
    </row>
    <row r="5401" spans="20:20" s="566" customFormat="1">
      <c r="T5401" s="41"/>
    </row>
    <row r="5402" spans="20:20" s="566" customFormat="1">
      <c r="T5402" s="41"/>
    </row>
    <row r="5403" spans="20:20" s="566" customFormat="1">
      <c r="T5403" s="41"/>
    </row>
    <row r="5404" spans="20:20" s="566" customFormat="1">
      <c r="T5404" s="41"/>
    </row>
    <row r="5405" spans="20:20" s="566" customFormat="1">
      <c r="T5405" s="41"/>
    </row>
    <row r="5406" spans="20:20" s="566" customFormat="1">
      <c r="T5406" s="41"/>
    </row>
    <row r="5407" spans="20:20" s="566" customFormat="1">
      <c r="T5407" s="41"/>
    </row>
    <row r="5408" spans="20:20" s="566" customFormat="1">
      <c r="T5408" s="41"/>
    </row>
    <row r="5409" spans="20:20" s="566" customFormat="1">
      <c r="T5409" s="41"/>
    </row>
    <row r="5410" spans="20:20" s="566" customFormat="1">
      <c r="T5410" s="41"/>
    </row>
    <row r="5411" spans="20:20" s="566" customFormat="1">
      <c r="T5411" s="41"/>
    </row>
    <row r="5412" spans="20:20" s="566" customFormat="1">
      <c r="T5412" s="41"/>
    </row>
    <row r="5413" spans="20:20" s="566" customFormat="1">
      <c r="T5413" s="41"/>
    </row>
    <row r="5414" spans="20:20" s="566" customFormat="1">
      <c r="T5414" s="41"/>
    </row>
    <row r="5415" spans="20:20" s="566" customFormat="1">
      <c r="T5415" s="41"/>
    </row>
    <row r="5416" spans="20:20" s="566" customFormat="1">
      <c r="T5416" s="41"/>
    </row>
    <row r="5417" spans="20:20" s="566" customFormat="1">
      <c r="T5417" s="41"/>
    </row>
    <row r="5418" spans="20:20" s="566" customFormat="1">
      <c r="T5418" s="41"/>
    </row>
    <row r="5419" spans="20:20" s="566" customFormat="1">
      <c r="T5419" s="41"/>
    </row>
    <row r="5420" spans="20:20" s="566" customFormat="1">
      <c r="T5420" s="41"/>
    </row>
    <row r="5421" spans="20:20" s="566" customFormat="1">
      <c r="T5421" s="41"/>
    </row>
    <row r="5422" spans="20:20" s="566" customFormat="1">
      <c r="T5422" s="41"/>
    </row>
    <row r="5423" spans="20:20" s="566" customFormat="1">
      <c r="T5423" s="41"/>
    </row>
    <row r="5424" spans="20:20" s="566" customFormat="1">
      <c r="T5424" s="41"/>
    </row>
    <row r="5425" spans="20:20" s="566" customFormat="1">
      <c r="T5425" s="41"/>
    </row>
    <row r="5426" spans="20:20" s="566" customFormat="1">
      <c r="T5426" s="41"/>
    </row>
    <row r="5427" spans="20:20" s="566" customFormat="1">
      <c r="T5427" s="41"/>
    </row>
    <row r="5428" spans="20:20" s="566" customFormat="1">
      <c r="T5428" s="41"/>
    </row>
    <row r="5429" spans="20:20" s="566" customFormat="1">
      <c r="T5429" s="41"/>
    </row>
    <row r="5430" spans="20:20" s="566" customFormat="1">
      <c r="T5430" s="41"/>
    </row>
    <row r="5431" spans="20:20" s="566" customFormat="1">
      <c r="T5431" s="41"/>
    </row>
    <row r="5432" spans="20:20" s="566" customFormat="1">
      <c r="T5432" s="41"/>
    </row>
    <row r="5433" spans="20:20" s="566" customFormat="1">
      <c r="T5433" s="41"/>
    </row>
    <row r="5434" spans="20:20" s="566" customFormat="1">
      <c r="T5434" s="41"/>
    </row>
    <row r="5435" spans="20:20" s="566" customFormat="1">
      <c r="T5435" s="41"/>
    </row>
    <row r="5436" spans="20:20" s="566" customFormat="1">
      <c r="T5436" s="41"/>
    </row>
    <row r="5437" spans="20:20" s="566" customFormat="1">
      <c r="T5437" s="41"/>
    </row>
    <row r="5438" spans="20:20" s="566" customFormat="1">
      <c r="T5438" s="41"/>
    </row>
    <row r="5439" spans="20:20" s="566" customFormat="1">
      <c r="T5439" s="41"/>
    </row>
    <row r="5440" spans="20:20" s="566" customFormat="1">
      <c r="T5440" s="41"/>
    </row>
    <row r="5441" spans="20:20" s="566" customFormat="1">
      <c r="T5441" s="41"/>
    </row>
    <row r="5442" spans="20:20" s="566" customFormat="1">
      <c r="T5442" s="41"/>
    </row>
    <row r="5443" spans="20:20" s="566" customFormat="1">
      <c r="T5443" s="41"/>
    </row>
    <row r="5444" spans="20:20" s="566" customFormat="1">
      <c r="T5444" s="41"/>
    </row>
    <row r="5445" spans="20:20" s="566" customFormat="1">
      <c r="T5445" s="41"/>
    </row>
    <row r="5446" spans="20:20" s="566" customFormat="1">
      <c r="T5446" s="41"/>
    </row>
    <row r="5447" spans="20:20" s="566" customFormat="1">
      <c r="T5447" s="41"/>
    </row>
    <row r="5448" spans="20:20" s="566" customFormat="1">
      <c r="T5448" s="41"/>
    </row>
    <row r="5449" spans="20:20" s="566" customFormat="1">
      <c r="T5449" s="41"/>
    </row>
    <row r="5450" spans="20:20" s="566" customFormat="1">
      <c r="T5450" s="41"/>
    </row>
    <row r="5451" spans="20:20" s="566" customFormat="1">
      <c r="T5451" s="41"/>
    </row>
    <row r="5452" spans="20:20" s="566" customFormat="1">
      <c r="T5452" s="41"/>
    </row>
    <row r="5453" spans="20:20" s="566" customFormat="1">
      <c r="T5453" s="41"/>
    </row>
    <row r="5454" spans="20:20" s="566" customFormat="1">
      <c r="T5454" s="41"/>
    </row>
    <row r="5455" spans="20:20" s="566" customFormat="1">
      <c r="T5455" s="41"/>
    </row>
    <row r="5456" spans="20:20" s="566" customFormat="1">
      <c r="T5456" s="41"/>
    </row>
    <row r="5457" spans="20:20" s="566" customFormat="1">
      <c r="T5457" s="41"/>
    </row>
    <row r="5458" spans="20:20" s="566" customFormat="1">
      <c r="T5458" s="41"/>
    </row>
    <row r="5459" spans="20:20" s="566" customFormat="1">
      <c r="T5459" s="41"/>
    </row>
    <row r="5460" spans="20:20" s="566" customFormat="1">
      <c r="T5460" s="41"/>
    </row>
    <row r="5461" spans="20:20" s="566" customFormat="1">
      <c r="T5461" s="41"/>
    </row>
    <row r="5462" spans="20:20" s="566" customFormat="1">
      <c r="T5462" s="41"/>
    </row>
    <row r="5463" spans="20:20" s="566" customFormat="1">
      <c r="T5463" s="41"/>
    </row>
    <row r="5464" spans="20:20" s="566" customFormat="1">
      <c r="T5464" s="41"/>
    </row>
    <row r="5465" spans="20:20" s="566" customFormat="1">
      <c r="T5465" s="41"/>
    </row>
    <row r="5466" spans="20:20" s="566" customFormat="1">
      <c r="T5466" s="41"/>
    </row>
    <row r="5467" spans="20:20" s="566" customFormat="1">
      <c r="T5467" s="41"/>
    </row>
    <row r="5468" spans="20:20" s="566" customFormat="1">
      <c r="T5468" s="41"/>
    </row>
    <row r="5469" spans="20:20" s="566" customFormat="1">
      <c r="T5469" s="41"/>
    </row>
    <row r="5470" spans="20:20" s="566" customFormat="1">
      <c r="T5470" s="41"/>
    </row>
    <row r="5471" spans="20:20" s="566" customFormat="1">
      <c r="T5471" s="41"/>
    </row>
    <row r="5472" spans="20:20" s="566" customFormat="1">
      <c r="T5472" s="41"/>
    </row>
    <row r="5473" spans="20:20" s="566" customFormat="1">
      <c r="T5473" s="41"/>
    </row>
    <row r="5474" spans="20:20" s="566" customFormat="1">
      <c r="T5474" s="41"/>
    </row>
    <row r="5475" spans="20:20" s="566" customFormat="1">
      <c r="T5475" s="41"/>
    </row>
    <row r="5476" spans="20:20" s="566" customFormat="1">
      <c r="T5476" s="41"/>
    </row>
    <row r="5477" spans="20:20" s="566" customFormat="1">
      <c r="T5477" s="41"/>
    </row>
    <row r="5478" spans="20:20" s="566" customFormat="1">
      <c r="T5478" s="41"/>
    </row>
    <row r="5479" spans="20:20" s="566" customFormat="1">
      <c r="T5479" s="41"/>
    </row>
    <row r="5480" spans="20:20" s="566" customFormat="1">
      <c r="T5480" s="41"/>
    </row>
    <row r="5481" spans="20:20" s="566" customFormat="1">
      <c r="T5481" s="41"/>
    </row>
    <row r="5482" spans="20:20" s="566" customFormat="1">
      <c r="T5482" s="41"/>
    </row>
    <row r="5483" spans="20:20" s="566" customFormat="1">
      <c r="T5483" s="41"/>
    </row>
    <row r="5484" spans="20:20" s="566" customFormat="1">
      <c r="T5484" s="41"/>
    </row>
    <row r="5485" spans="20:20" s="566" customFormat="1">
      <c r="T5485" s="41"/>
    </row>
    <row r="5486" spans="20:20" s="566" customFormat="1">
      <c r="T5486" s="41"/>
    </row>
    <row r="5487" spans="20:20" s="566" customFormat="1">
      <c r="T5487" s="41"/>
    </row>
    <row r="5488" spans="20:20" s="566" customFormat="1">
      <c r="T5488" s="41"/>
    </row>
    <row r="5489" spans="20:20" s="566" customFormat="1">
      <c r="T5489" s="41"/>
    </row>
    <row r="5490" spans="20:20" s="566" customFormat="1">
      <c r="T5490" s="41"/>
    </row>
    <row r="5491" spans="20:20" s="566" customFormat="1">
      <c r="T5491" s="41"/>
    </row>
    <row r="5492" spans="20:20" s="566" customFormat="1">
      <c r="T5492" s="41"/>
    </row>
    <row r="5493" spans="20:20" s="566" customFormat="1">
      <c r="T5493" s="41"/>
    </row>
    <row r="5494" spans="20:20" s="566" customFormat="1">
      <c r="T5494" s="41"/>
    </row>
    <row r="5495" spans="20:20" s="566" customFormat="1">
      <c r="T5495" s="41"/>
    </row>
    <row r="5496" spans="20:20" s="566" customFormat="1">
      <c r="T5496" s="41"/>
    </row>
    <row r="5497" spans="20:20" s="566" customFormat="1">
      <c r="T5497" s="41"/>
    </row>
    <row r="5498" spans="20:20" s="566" customFormat="1">
      <c r="T5498" s="41"/>
    </row>
    <row r="5499" spans="20:20" s="566" customFormat="1">
      <c r="T5499" s="41"/>
    </row>
    <row r="5500" spans="20:20" s="566" customFormat="1">
      <c r="T5500" s="41"/>
    </row>
    <row r="5501" spans="20:20" s="566" customFormat="1">
      <c r="T5501" s="41"/>
    </row>
    <row r="5502" spans="20:20" s="566" customFormat="1">
      <c r="T5502" s="41"/>
    </row>
    <row r="5503" spans="20:20" s="566" customFormat="1">
      <c r="T5503" s="41"/>
    </row>
    <row r="5504" spans="20:20" s="566" customFormat="1">
      <c r="T5504" s="41"/>
    </row>
    <row r="5505" spans="20:20" s="566" customFormat="1">
      <c r="T5505" s="41"/>
    </row>
    <row r="5506" spans="20:20" s="566" customFormat="1">
      <c r="T5506" s="41"/>
    </row>
    <row r="5507" spans="20:20" s="566" customFormat="1">
      <c r="T5507" s="41"/>
    </row>
    <row r="5508" spans="20:20" s="566" customFormat="1">
      <c r="T5508" s="41"/>
    </row>
    <row r="5509" spans="20:20" s="566" customFormat="1">
      <c r="T5509" s="41"/>
    </row>
    <row r="5510" spans="20:20" s="566" customFormat="1">
      <c r="T5510" s="41"/>
    </row>
    <row r="5511" spans="20:20" s="566" customFormat="1">
      <c r="T5511" s="41"/>
    </row>
    <row r="5512" spans="20:20" s="566" customFormat="1">
      <c r="T5512" s="41"/>
    </row>
    <row r="5513" spans="20:20" s="566" customFormat="1">
      <c r="T5513" s="41"/>
    </row>
    <row r="5514" spans="20:20" s="566" customFormat="1">
      <c r="T5514" s="41"/>
    </row>
    <row r="5515" spans="20:20" s="566" customFormat="1">
      <c r="T5515" s="41"/>
    </row>
    <row r="5516" spans="20:20" s="566" customFormat="1">
      <c r="T5516" s="41"/>
    </row>
    <row r="5517" spans="20:20" s="566" customFormat="1">
      <c r="T5517" s="41"/>
    </row>
    <row r="5518" spans="20:20" s="566" customFormat="1">
      <c r="T5518" s="41"/>
    </row>
    <row r="5519" spans="20:20" s="566" customFormat="1">
      <c r="T5519" s="41"/>
    </row>
    <row r="5520" spans="20:20" s="566" customFormat="1">
      <c r="T5520" s="41"/>
    </row>
    <row r="5521" spans="20:20" s="566" customFormat="1">
      <c r="T5521" s="41"/>
    </row>
    <row r="5522" spans="20:20" s="566" customFormat="1">
      <c r="T5522" s="41"/>
    </row>
    <row r="5523" spans="20:20" s="566" customFormat="1">
      <c r="T5523" s="41"/>
    </row>
    <row r="5524" spans="20:20" s="566" customFormat="1">
      <c r="T5524" s="41"/>
    </row>
    <row r="5525" spans="20:20" s="566" customFormat="1">
      <c r="T5525" s="41"/>
    </row>
    <row r="5526" spans="20:20" s="566" customFormat="1">
      <c r="T5526" s="41"/>
    </row>
    <row r="5527" spans="20:20" s="566" customFormat="1">
      <c r="T5527" s="41"/>
    </row>
    <row r="5528" spans="20:20" s="566" customFormat="1">
      <c r="T5528" s="41"/>
    </row>
    <row r="5529" spans="20:20" s="566" customFormat="1">
      <c r="T5529" s="41"/>
    </row>
    <row r="5530" spans="20:20" s="566" customFormat="1">
      <c r="T5530" s="41"/>
    </row>
    <row r="5531" spans="20:20" s="566" customFormat="1">
      <c r="T5531" s="41"/>
    </row>
    <row r="5532" spans="20:20" s="566" customFormat="1">
      <c r="T5532" s="41"/>
    </row>
    <row r="5533" spans="20:20" s="566" customFormat="1">
      <c r="T5533" s="41"/>
    </row>
    <row r="5534" spans="20:20" s="566" customFormat="1">
      <c r="T5534" s="41"/>
    </row>
    <row r="5535" spans="20:20" s="566" customFormat="1">
      <c r="T5535" s="41"/>
    </row>
    <row r="5536" spans="20:20" s="566" customFormat="1">
      <c r="T5536" s="41"/>
    </row>
    <row r="5537" spans="20:20" s="566" customFormat="1">
      <c r="T5537" s="41"/>
    </row>
    <row r="5538" spans="20:20" s="566" customFormat="1">
      <c r="T5538" s="41"/>
    </row>
    <row r="5539" spans="20:20" s="566" customFormat="1">
      <c r="T5539" s="41"/>
    </row>
    <row r="5540" spans="20:20" s="566" customFormat="1">
      <c r="T5540" s="41"/>
    </row>
    <row r="5541" spans="20:20" s="566" customFormat="1">
      <c r="T5541" s="41"/>
    </row>
    <row r="5542" spans="20:20" s="566" customFormat="1">
      <c r="T5542" s="41"/>
    </row>
    <row r="5543" spans="20:20" s="566" customFormat="1">
      <c r="T5543" s="41"/>
    </row>
    <row r="5544" spans="20:20" s="566" customFormat="1">
      <c r="T5544" s="41"/>
    </row>
    <row r="5545" spans="20:20" s="566" customFormat="1">
      <c r="T5545" s="41"/>
    </row>
    <row r="5546" spans="20:20" s="566" customFormat="1">
      <c r="T5546" s="41"/>
    </row>
    <row r="5547" spans="20:20" s="566" customFormat="1">
      <c r="T5547" s="41"/>
    </row>
    <row r="5548" spans="20:20" s="566" customFormat="1">
      <c r="T5548" s="41"/>
    </row>
    <row r="5549" spans="20:20" s="566" customFormat="1">
      <c r="T5549" s="41"/>
    </row>
    <row r="5550" spans="20:20" s="566" customFormat="1">
      <c r="T5550" s="41"/>
    </row>
    <row r="5551" spans="20:20" s="566" customFormat="1">
      <c r="T5551" s="41"/>
    </row>
    <row r="5552" spans="20:20" s="566" customFormat="1">
      <c r="T5552" s="41"/>
    </row>
    <row r="5553" spans="20:20" s="566" customFormat="1">
      <c r="T5553" s="41"/>
    </row>
    <row r="5554" spans="20:20" s="566" customFormat="1">
      <c r="T5554" s="41"/>
    </row>
    <row r="5555" spans="20:20" s="566" customFormat="1">
      <c r="T5555" s="41"/>
    </row>
    <row r="5556" spans="20:20" s="566" customFormat="1">
      <c r="T5556" s="41"/>
    </row>
    <row r="5557" spans="20:20" s="566" customFormat="1">
      <c r="T5557" s="41"/>
    </row>
    <row r="5558" spans="20:20" s="566" customFormat="1">
      <c r="T5558" s="41"/>
    </row>
    <row r="5559" spans="20:20" s="566" customFormat="1">
      <c r="T5559" s="41"/>
    </row>
    <row r="5560" spans="20:20" s="566" customFormat="1">
      <c r="T5560" s="41"/>
    </row>
    <row r="5561" spans="20:20" s="566" customFormat="1">
      <c r="T5561" s="41"/>
    </row>
    <row r="5562" spans="20:20" s="566" customFormat="1">
      <c r="T5562" s="41"/>
    </row>
    <row r="5563" spans="20:20" s="566" customFormat="1">
      <c r="T5563" s="41"/>
    </row>
    <row r="5564" spans="20:20" s="566" customFormat="1">
      <c r="T5564" s="41"/>
    </row>
    <row r="5565" spans="20:20" s="566" customFormat="1">
      <c r="T5565" s="41"/>
    </row>
    <row r="5566" spans="20:20" s="566" customFormat="1">
      <c r="T5566" s="41"/>
    </row>
    <row r="5567" spans="20:20" s="566" customFormat="1">
      <c r="T5567" s="41"/>
    </row>
    <row r="5568" spans="20:20" s="566" customFormat="1">
      <c r="T5568" s="41"/>
    </row>
    <row r="5569" spans="20:20" s="566" customFormat="1">
      <c r="T5569" s="41"/>
    </row>
    <row r="5570" spans="20:20" s="566" customFormat="1">
      <c r="T5570" s="41"/>
    </row>
    <row r="5571" spans="20:20" s="566" customFormat="1">
      <c r="T5571" s="41"/>
    </row>
    <row r="5572" spans="20:20" s="566" customFormat="1">
      <c r="T5572" s="41"/>
    </row>
    <row r="5573" spans="20:20" s="566" customFormat="1">
      <c r="T5573" s="41"/>
    </row>
    <row r="5574" spans="20:20" s="566" customFormat="1">
      <c r="T5574" s="41"/>
    </row>
    <row r="5575" spans="20:20" s="566" customFormat="1">
      <c r="T5575" s="41"/>
    </row>
    <row r="5576" spans="20:20" s="566" customFormat="1">
      <c r="T5576" s="41"/>
    </row>
    <row r="5577" spans="20:20" s="566" customFormat="1">
      <c r="T5577" s="41"/>
    </row>
    <row r="5578" spans="20:20" s="566" customFormat="1">
      <c r="T5578" s="41"/>
    </row>
    <row r="5579" spans="20:20" s="566" customFormat="1">
      <c r="T5579" s="41"/>
    </row>
    <row r="5580" spans="20:20" s="566" customFormat="1">
      <c r="T5580" s="41"/>
    </row>
    <row r="5581" spans="20:20" s="566" customFormat="1">
      <c r="T5581" s="41"/>
    </row>
    <row r="5582" spans="20:20" s="566" customFormat="1">
      <c r="T5582" s="41"/>
    </row>
    <row r="5583" spans="20:20" s="566" customFormat="1">
      <c r="T5583" s="41"/>
    </row>
    <row r="5584" spans="20:20" s="566" customFormat="1">
      <c r="T5584" s="41"/>
    </row>
    <row r="5585" spans="20:20" s="566" customFormat="1">
      <c r="T5585" s="41"/>
    </row>
    <row r="5586" spans="20:20" s="566" customFormat="1">
      <c r="T5586" s="41"/>
    </row>
    <row r="5587" spans="20:20" s="566" customFormat="1">
      <c r="T5587" s="41"/>
    </row>
    <row r="5588" spans="20:20" s="566" customFormat="1">
      <c r="T5588" s="41"/>
    </row>
    <row r="5589" spans="20:20" s="566" customFormat="1">
      <c r="T5589" s="41"/>
    </row>
    <row r="5590" spans="20:20" s="566" customFormat="1">
      <c r="T5590" s="41"/>
    </row>
    <row r="5591" spans="20:20" s="566" customFormat="1">
      <c r="T5591" s="41"/>
    </row>
    <row r="5592" spans="20:20" s="566" customFormat="1">
      <c r="T5592" s="41"/>
    </row>
    <row r="5593" spans="20:20" s="566" customFormat="1">
      <c r="T5593" s="41"/>
    </row>
    <row r="5594" spans="20:20" s="566" customFormat="1">
      <c r="T5594" s="41"/>
    </row>
    <row r="5595" spans="20:20" s="566" customFormat="1">
      <c r="T5595" s="41"/>
    </row>
    <row r="5596" spans="20:20" s="566" customFormat="1">
      <c r="T5596" s="41"/>
    </row>
    <row r="5597" spans="20:20" s="566" customFormat="1">
      <c r="T5597" s="41"/>
    </row>
    <row r="5598" spans="20:20" s="566" customFormat="1">
      <c r="T5598" s="41"/>
    </row>
    <row r="5599" spans="20:20" s="566" customFormat="1">
      <c r="T5599" s="41"/>
    </row>
    <row r="5600" spans="20:20" s="566" customFormat="1">
      <c r="T5600" s="41"/>
    </row>
    <row r="5601" spans="20:20" s="566" customFormat="1">
      <c r="T5601" s="41"/>
    </row>
    <row r="5602" spans="20:20" s="566" customFormat="1">
      <c r="T5602" s="41"/>
    </row>
    <row r="5603" spans="20:20" s="566" customFormat="1">
      <c r="T5603" s="41"/>
    </row>
    <row r="5604" spans="20:20" s="566" customFormat="1">
      <c r="T5604" s="41"/>
    </row>
    <row r="5605" spans="20:20" s="566" customFormat="1">
      <c r="T5605" s="41"/>
    </row>
    <row r="5606" spans="20:20" s="566" customFormat="1">
      <c r="T5606" s="41"/>
    </row>
    <row r="5607" spans="20:20" s="566" customFormat="1">
      <c r="T5607" s="41"/>
    </row>
    <row r="5608" spans="20:20" s="566" customFormat="1">
      <c r="T5608" s="41"/>
    </row>
    <row r="5609" spans="20:20" s="566" customFormat="1">
      <c r="T5609" s="41"/>
    </row>
    <row r="5610" spans="20:20" s="566" customFormat="1">
      <c r="T5610" s="41"/>
    </row>
    <row r="5611" spans="20:20" s="566" customFormat="1">
      <c r="T5611" s="41"/>
    </row>
    <row r="5612" spans="20:20" s="566" customFormat="1">
      <c r="T5612" s="41"/>
    </row>
    <row r="5613" spans="20:20" s="566" customFormat="1">
      <c r="T5613" s="41"/>
    </row>
    <row r="5614" spans="20:20" s="566" customFormat="1">
      <c r="T5614" s="41"/>
    </row>
    <row r="5615" spans="20:20" s="566" customFormat="1">
      <c r="T5615" s="41"/>
    </row>
    <row r="5616" spans="20:20" s="566" customFormat="1">
      <c r="T5616" s="41"/>
    </row>
    <row r="5617" spans="20:20" s="566" customFormat="1">
      <c r="T5617" s="41"/>
    </row>
    <row r="5618" spans="20:20" s="566" customFormat="1">
      <c r="T5618" s="41"/>
    </row>
    <row r="5619" spans="20:20" s="566" customFormat="1">
      <c r="T5619" s="41"/>
    </row>
    <row r="5620" spans="20:20" s="566" customFormat="1">
      <c r="T5620" s="41"/>
    </row>
    <row r="5621" spans="20:20" s="566" customFormat="1">
      <c r="T5621" s="41"/>
    </row>
    <row r="5622" spans="20:20" s="566" customFormat="1">
      <c r="T5622" s="41"/>
    </row>
    <row r="5623" spans="20:20" s="566" customFormat="1">
      <c r="T5623" s="41"/>
    </row>
    <row r="5624" spans="20:20" s="566" customFormat="1">
      <c r="T5624" s="41"/>
    </row>
    <row r="5625" spans="20:20" s="566" customFormat="1">
      <c r="T5625" s="41"/>
    </row>
    <row r="5626" spans="20:20" s="566" customFormat="1">
      <c r="T5626" s="41"/>
    </row>
    <row r="5627" spans="20:20" s="566" customFormat="1">
      <c r="T5627" s="41"/>
    </row>
    <row r="5628" spans="20:20" s="566" customFormat="1">
      <c r="T5628" s="41"/>
    </row>
    <row r="5629" spans="20:20" s="566" customFormat="1">
      <c r="T5629" s="41"/>
    </row>
    <row r="5630" spans="20:20" s="566" customFormat="1">
      <c r="T5630" s="41"/>
    </row>
    <row r="5631" spans="20:20" s="566" customFormat="1">
      <c r="T5631" s="41"/>
    </row>
    <row r="5632" spans="20:20" s="566" customFormat="1">
      <c r="T5632" s="41"/>
    </row>
    <row r="5633" spans="20:20" s="566" customFormat="1">
      <c r="T5633" s="41"/>
    </row>
    <row r="5634" spans="20:20" s="566" customFormat="1">
      <c r="T5634" s="41"/>
    </row>
    <row r="5635" spans="20:20" s="566" customFormat="1">
      <c r="T5635" s="41"/>
    </row>
    <row r="5636" spans="20:20" s="566" customFormat="1">
      <c r="T5636" s="41"/>
    </row>
    <row r="5637" spans="20:20" s="566" customFormat="1">
      <c r="T5637" s="41"/>
    </row>
    <row r="5638" spans="20:20" s="566" customFormat="1">
      <c r="T5638" s="41"/>
    </row>
    <row r="5639" spans="20:20" s="566" customFormat="1">
      <c r="T5639" s="41"/>
    </row>
    <row r="5640" spans="20:20" s="566" customFormat="1">
      <c r="T5640" s="41"/>
    </row>
    <row r="5641" spans="20:20" s="566" customFormat="1">
      <c r="T5641" s="41"/>
    </row>
    <row r="5642" spans="20:20" s="566" customFormat="1">
      <c r="T5642" s="41"/>
    </row>
    <row r="5643" spans="20:20" s="566" customFormat="1">
      <c r="T5643" s="41"/>
    </row>
    <row r="5644" spans="20:20" s="566" customFormat="1">
      <c r="T5644" s="41"/>
    </row>
    <row r="5645" spans="20:20" s="566" customFormat="1">
      <c r="T5645" s="41"/>
    </row>
    <row r="5646" spans="20:20" s="566" customFormat="1">
      <c r="T5646" s="41"/>
    </row>
    <row r="5647" spans="20:20" s="566" customFormat="1">
      <c r="T5647" s="41"/>
    </row>
    <row r="5648" spans="20:20" s="566" customFormat="1">
      <c r="T5648" s="41"/>
    </row>
    <row r="5649" spans="20:20" s="566" customFormat="1">
      <c r="T5649" s="41"/>
    </row>
    <row r="5650" spans="20:20" s="566" customFormat="1">
      <c r="T5650" s="41"/>
    </row>
    <row r="5651" spans="20:20" s="566" customFormat="1">
      <c r="T5651" s="41"/>
    </row>
    <row r="5652" spans="20:20" s="566" customFormat="1">
      <c r="T5652" s="41"/>
    </row>
    <row r="5653" spans="20:20" s="566" customFormat="1">
      <c r="T5653" s="41"/>
    </row>
    <row r="5654" spans="20:20" s="566" customFormat="1">
      <c r="T5654" s="41"/>
    </row>
    <row r="5655" spans="20:20" s="566" customFormat="1">
      <c r="T5655" s="41"/>
    </row>
    <row r="5656" spans="20:20" s="566" customFormat="1">
      <c r="T5656" s="41"/>
    </row>
    <row r="5657" spans="20:20" s="566" customFormat="1">
      <c r="T5657" s="41"/>
    </row>
    <row r="5658" spans="20:20" s="566" customFormat="1">
      <c r="T5658" s="41"/>
    </row>
    <row r="5659" spans="20:20" s="566" customFormat="1">
      <c r="T5659" s="41"/>
    </row>
    <row r="5660" spans="20:20" s="566" customFormat="1">
      <c r="T5660" s="41"/>
    </row>
    <row r="5661" spans="20:20" s="566" customFormat="1">
      <c r="T5661" s="41"/>
    </row>
    <row r="5662" spans="20:20" s="566" customFormat="1">
      <c r="T5662" s="41"/>
    </row>
    <row r="5663" spans="20:20" s="566" customFormat="1">
      <c r="T5663" s="41"/>
    </row>
    <row r="5664" spans="20:20" s="566" customFormat="1">
      <c r="T5664" s="41"/>
    </row>
    <row r="5665" spans="20:20" s="566" customFormat="1">
      <c r="T5665" s="41"/>
    </row>
    <row r="5666" spans="20:20" s="566" customFormat="1">
      <c r="T5666" s="41"/>
    </row>
    <row r="5667" spans="20:20" s="566" customFormat="1">
      <c r="T5667" s="41"/>
    </row>
    <row r="5668" spans="20:20" s="566" customFormat="1">
      <c r="T5668" s="41"/>
    </row>
    <row r="5669" spans="20:20" s="566" customFormat="1">
      <c r="T5669" s="41"/>
    </row>
    <row r="5670" spans="20:20" s="566" customFormat="1">
      <c r="T5670" s="41"/>
    </row>
    <row r="5671" spans="20:20" s="566" customFormat="1">
      <c r="T5671" s="41"/>
    </row>
    <row r="5672" spans="20:20" s="566" customFormat="1">
      <c r="T5672" s="41"/>
    </row>
    <row r="5673" spans="20:20" s="566" customFormat="1">
      <c r="T5673" s="41"/>
    </row>
    <row r="5674" spans="20:20" s="566" customFormat="1">
      <c r="T5674" s="41"/>
    </row>
    <row r="5675" spans="20:20" s="566" customFormat="1">
      <c r="T5675" s="41"/>
    </row>
    <row r="5676" spans="20:20" s="566" customFormat="1">
      <c r="T5676" s="41"/>
    </row>
    <row r="5677" spans="20:20" s="566" customFormat="1">
      <c r="T5677" s="41"/>
    </row>
    <row r="5678" spans="20:20" s="566" customFormat="1">
      <c r="T5678" s="41"/>
    </row>
    <row r="5679" spans="20:20" s="566" customFormat="1">
      <c r="T5679" s="41"/>
    </row>
    <row r="5680" spans="20:20" s="566" customFormat="1">
      <c r="T5680" s="41"/>
    </row>
    <row r="5681" spans="20:20" s="566" customFormat="1">
      <c r="T5681" s="41"/>
    </row>
    <row r="5682" spans="20:20" s="566" customFormat="1">
      <c r="T5682" s="41"/>
    </row>
    <row r="5683" spans="20:20" s="566" customFormat="1">
      <c r="T5683" s="41"/>
    </row>
    <row r="5684" spans="20:20" s="566" customFormat="1">
      <c r="T5684" s="41"/>
    </row>
    <row r="5685" spans="20:20" s="566" customFormat="1">
      <c r="T5685" s="41"/>
    </row>
    <row r="5686" spans="20:20" s="566" customFormat="1">
      <c r="T5686" s="41"/>
    </row>
    <row r="5687" spans="20:20" s="566" customFormat="1">
      <c r="T5687" s="41"/>
    </row>
    <row r="5688" spans="20:20" s="566" customFormat="1">
      <c r="T5688" s="41"/>
    </row>
    <row r="5689" spans="20:20" s="566" customFormat="1">
      <c r="T5689" s="41"/>
    </row>
    <row r="5690" spans="20:20" s="566" customFormat="1">
      <c r="T5690" s="41"/>
    </row>
    <row r="5691" spans="20:20" s="566" customFormat="1">
      <c r="T5691" s="41"/>
    </row>
    <row r="5692" spans="20:20" s="566" customFormat="1">
      <c r="T5692" s="41"/>
    </row>
    <row r="5693" spans="20:20" s="566" customFormat="1">
      <c r="T5693" s="41"/>
    </row>
    <row r="5694" spans="20:20" s="566" customFormat="1">
      <c r="T5694" s="41"/>
    </row>
    <row r="5695" spans="20:20" s="566" customFormat="1">
      <c r="T5695" s="41"/>
    </row>
    <row r="5696" spans="20:20" s="566" customFormat="1">
      <c r="T5696" s="41"/>
    </row>
    <row r="5697" spans="20:20" s="566" customFormat="1">
      <c r="T5697" s="41"/>
    </row>
    <row r="5698" spans="20:20" s="566" customFormat="1">
      <c r="T5698" s="41"/>
    </row>
    <row r="5699" spans="20:20" s="566" customFormat="1">
      <c r="T5699" s="41"/>
    </row>
    <row r="5700" spans="20:20" s="566" customFormat="1">
      <c r="T5700" s="41"/>
    </row>
    <row r="5701" spans="20:20" s="566" customFormat="1">
      <c r="T5701" s="41"/>
    </row>
    <row r="5702" spans="20:20" s="566" customFormat="1">
      <c r="T5702" s="41"/>
    </row>
    <row r="5703" spans="20:20" s="566" customFormat="1">
      <c r="T5703" s="41"/>
    </row>
    <row r="5704" spans="20:20" s="566" customFormat="1">
      <c r="T5704" s="41"/>
    </row>
    <row r="5705" spans="20:20" s="566" customFormat="1">
      <c r="T5705" s="41"/>
    </row>
    <row r="5706" spans="20:20" s="566" customFormat="1">
      <c r="T5706" s="41"/>
    </row>
    <row r="5707" spans="20:20" s="566" customFormat="1">
      <c r="T5707" s="41"/>
    </row>
    <row r="5708" spans="20:20" s="566" customFormat="1">
      <c r="T5708" s="41"/>
    </row>
    <row r="5709" spans="20:20" s="566" customFormat="1">
      <c r="T5709" s="41"/>
    </row>
    <row r="5710" spans="20:20" s="566" customFormat="1">
      <c r="T5710" s="41"/>
    </row>
    <row r="5711" spans="20:20" s="566" customFormat="1">
      <c r="T5711" s="41"/>
    </row>
    <row r="5712" spans="20:20" s="566" customFormat="1">
      <c r="T5712" s="41"/>
    </row>
    <row r="5713" spans="20:20" s="566" customFormat="1">
      <c r="T5713" s="41"/>
    </row>
    <row r="5714" spans="20:20" s="566" customFormat="1">
      <c r="T5714" s="41"/>
    </row>
    <row r="5715" spans="20:20" s="566" customFormat="1">
      <c r="T5715" s="41"/>
    </row>
    <row r="5716" spans="20:20" s="566" customFormat="1">
      <c r="T5716" s="41"/>
    </row>
    <row r="5717" spans="20:20" s="566" customFormat="1">
      <c r="T5717" s="41"/>
    </row>
    <row r="5718" spans="20:20" s="566" customFormat="1">
      <c r="T5718" s="41"/>
    </row>
    <row r="5719" spans="20:20" s="566" customFormat="1">
      <c r="T5719" s="41"/>
    </row>
    <row r="5720" spans="20:20" s="566" customFormat="1">
      <c r="T5720" s="41"/>
    </row>
    <row r="5721" spans="20:20" s="566" customFormat="1">
      <c r="T5721" s="41"/>
    </row>
    <row r="5722" spans="20:20" s="566" customFormat="1">
      <c r="T5722" s="41"/>
    </row>
    <row r="5723" spans="20:20" s="566" customFormat="1">
      <c r="T5723" s="41"/>
    </row>
    <row r="5724" spans="20:20" s="566" customFormat="1">
      <c r="T5724" s="41"/>
    </row>
    <row r="5725" spans="20:20" s="566" customFormat="1">
      <c r="T5725" s="41"/>
    </row>
    <row r="5726" spans="20:20" s="566" customFormat="1">
      <c r="T5726" s="41"/>
    </row>
    <row r="5727" spans="20:20" s="566" customFormat="1">
      <c r="T5727" s="41"/>
    </row>
    <row r="5728" spans="20:20" s="566" customFormat="1">
      <c r="T5728" s="41"/>
    </row>
    <row r="5729" spans="20:20" s="566" customFormat="1">
      <c r="T5729" s="41"/>
    </row>
    <row r="5730" spans="20:20" s="566" customFormat="1">
      <c r="T5730" s="41"/>
    </row>
    <row r="5731" spans="20:20" s="566" customFormat="1">
      <c r="T5731" s="41"/>
    </row>
    <row r="5732" spans="20:20" s="566" customFormat="1">
      <c r="T5732" s="41"/>
    </row>
    <row r="5733" spans="20:20" s="566" customFormat="1">
      <c r="T5733" s="41"/>
    </row>
    <row r="5734" spans="20:20" s="566" customFormat="1">
      <c r="T5734" s="41"/>
    </row>
    <row r="5735" spans="20:20" s="566" customFormat="1">
      <c r="T5735" s="41"/>
    </row>
    <row r="5736" spans="20:20" s="566" customFormat="1">
      <c r="T5736" s="41"/>
    </row>
    <row r="5737" spans="20:20" s="566" customFormat="1">
      <c r="T5737" s="41"/>
    </row>
    <row r="5738" spans="20:20" s="566" customFormat="1">
      <c r="T5738" s="41"/>
    </row>
    <row r="5739" spans="20:20" s="566" customFormat="1">
      <c r="T5739" s="41"/>
    </row>
    <row r="5740" spans="20:20" s="566" customFormat="1">
      <c r="T5740" s="41"/>
    </row>
    <row r="5741" spans="20:20" s="566" customFormat="1">
      <c r="T5741" s="41"/>
    </row>
    <row r="5742" spans="20:20" s="566" customFormat="1">
      <c r="T5742" s="41"/>
    </row>
    <row r="5743" spans="20:20" s="566" customFormat="1">
      <c r="T5743" s="41"/>
    </row>
    <row r="5744" spans="20:20" s="566" customFormat="1">
      <c r="T5744" s="41"/>
    </row>
    <row r="5745" spans="20:20" s="566" customFormat="1">
      <c r="T5745" s="41"/>
    </row>
    <row r="5746" spans="20:20" s="566" customFormat="1">
      <c r="T5746" s="41"/>
    </row>
    <row r="5747" spans="20:20" s="566" customFormat="1">
      <c r="T5747" s="41"/>
    </row>
    <row r="5748" spans="20:20" s="566" customFormat="1">
      <c r="T5748" s="41"/>
    </row>
    <row r="5749" spans="20:20" s="566" customFormat="1">
      <c r="T5749" s="41"/>
    </row>
    <row r="5750" spans="20:20" s="566" customFormat="1">
      <c r="T5750" s="41"/>
    </row>
    <row r="5751" spans="20:20" s="566" customFormat="1">
      <c r="T5751" s="41"/>
    </row>
    <row r="5752" spans="20:20" s="566" customFormat="1">
      <c r="T5752" s="41"/>
    </row>
    <row r="5753" spans="20:20" s="566" customFormat="1">
      <c r="T5753" s="41"/>
    </row>
    <row r="5754" spans="20:20" s="566" customFormat="1">
      <c r="T5754" s="41"/>
    </row>
    <row r="5755" spans="20:20" s="566" customFormat="1">
      <c r="T5755" s="41"/>
    </row>
    <row r="5756" spans="20:20" s="566" customFormat="1">
      <c r="T5756" s="41"/>
    </row>
    <row r="5757" spans="20:20" s="566" customFormat="1">
      <c r="T5757" s="41"/>
    </row>
    <row r="5758" spans="20:20" s="566" customFormat="1">
      <c r="T5758" s="41"/>
    </row>
    <row r="5759" spans="20:20" s="566" customFormat="1">
      <c r="T5759" s="41"/>
    </row>
    <row r="5760" spans="20:20" s="566" customFormat="1">
      <c r="T5760" s="41"/>
    </row>
    <row r="5761" spans="20:20" s="566" customFormat="1">
      <c r="T5761" s="41"/>
    </row>
    <row r="5762" spans="20:20" s="566" customFormat="1">
      <c r="T5762" s="41"/>
    </row>
    <row r="5763" spans="20:20" s="566" customFormat="1">
      <c r="T5763" s="41"/>
    </row>
    <row r="5764" spans="20:20" s="566" customFormat="1">
      <c r="T5764" s="41"/>
    </row>
    <row r="5765" spans="20:20" s="566" customFormat="1">
      <c r="T5765" s="41"/>
    </row>
    <row r="5766" spans="20:20" s="566" customFormat="1">
      <c r="T5766" s="41"/>
    </row>
    <row r="5767" spans="20:20" s="566" customFormat="1">
      <c r="T5767" s="41"/>
    </row>
    <row r="5768" spans="20:20" s="566" customFormat="1">
      <c r="T5768" s="41"/>
    </row>
    <row r="5769" spans="20:20" s="566" customFormat="1">
      <c r="T5769" s="41"/>
    </row>
    <row r="5770" spans="20:20" s="566" customFormat="1">
      <c r="T5770" s="41"/>
    </row>
    <row r="5771" spans="20:20" s="566" customFormat="1">
      <c r="T5771" s="41"/>
    </row>
    <row r="5772" spans="20:20" s="566" customFormat="1">
      <c r="T5772" s="41"/>
    </row>
    <row r="5773" spans="20:20" s="566" customFormat="1">
      <c r="T5773" s="41"/>
    </row>
    <row r="5774" spans="20:20" s="566" customFormat="1">
      <c r="T5774" s="41"/>
    </row>
    <row r="5775" spans="20:20" s="566" customFormat="1">
      <c r="T5775" s="41"/>
    </row>
    <row r="5776" spans="20:20" s="566" customFormat="1">
      <c r="T5776" s="41"/>
    </row>
    <row r="5777" spans="20:20" s="566" customFormat="1">
      <c r="T5777" s="41"/>
    </row>
    <row r="5778" spans="20:20" s="566" customFormat="1">
      <c r="T5778" s="41"/>
    </row>
    <row r="5779" spans="20:20" s="566" customFormat="1">
      <c r="T5779" s="41"/>
    </row>
    <row r="5780" spans="20:20" s="566" customFormat="1">
      <c r="T5780" s="41"/>
    </row>
    <row r="5781" spans="20:20" s="566" customFormat="1">
      <c r="T5781" s="41"/>
    </row>
    <row r="5782" spans="20:20" s="566" customFormat="1">
      <c r="T5782" s="41"/>
    </row>
    <row r="5783" spans="20:20" s="566" customFormat="1">
      <c r="T5783" s="41"/>
    </row>
    <row r="5784" spans="20:20" s="566" customFormat="1">
      <c r="T5784" s="41"/>
    </row>
    <row r="5785" spans="20:20" s="566" customFormat="1">
      <c r="T5785" s="41"/>
    </row>
    <row r="5786" spans="20:20" s="566" customFormat="1">
      <c r="T5786" s="41"/>
    </row>
    <row r="5787" spans="20:20" s="566" customFormat="1">
      <c r="T5787" s="41"/>
    </row>
    <row r="5788" spans="20:20" s="566" customFormat="1">
      <c r="T5788" s="41"/>
    </row>
    <row r="5789" spans="20:20" s="566" customFormat="1">
      <c r="T5789" s="41"/>
    </row>
    <row r="5790" spans="20:20" s="566" customFormat="1">
      <c r="T5790" s="41"/>
    </row>
    <row r="5791" spans="20:20" s="566" customFormat="1">
      <c r="T5791" s="41"/>
    </row>
    <row r="5792" spans="20:20" s="566" customFormat="1">
      <c r="T5792" s="41"/>
    </row>
    <row r="5793" spans="20:20" s="566" customFormat="1">
      <c r="T5793" s="41"/>
    </row>
    <row r="5794" spans="20:20" s="566" customFormat="1">
      <c r="T5794" s="41"/>
    </row>
    <row r="5795" spans="20:20" s="566" customFormat="1">
      <c r="T5795" s="41"/>
    </row>
    <row r="5796" spans="20:20" s="566" customFormat="1">
      <c r="T5796" s="41"/>
    </row>
    <row r="5797" spans="20:20" s="566" customFormat="1">
      <c r="T5797" s="41"/>
    </row>
    <row r="5798" spans="20:20" s="566" customFormat="1">
      <c r="T5798" s="41"/>
    </row>
    <row r="5799" spans="20:20" s="566" customFormat="1">
      <c r="T5799" s="41"/>
    </row>
    <row r="5800" spans="20:20" s="566" customFormat="1">
      <c r="T5800" s="41"/>
    </row>
    <row r="5801" spans="20:20" s="566" customFormat="1">
      <c r="T5801" s="41"/>
    </row>
    <row r="5802" spans="20:20" s="566" customFormat="1">
      <c r="T5802" s="41"/>
    </row>
    <row r="5803" spans="20:20" s="566" customFormat="1">
      <c r="T5803" s="41"/>
    </row>
    <row r="5804" spans="20:20" s="566" customFormat="1">
      <c r="T5804" s="41"/>
    </row>
    <row r="5805" spans="20:20" s="566" customFormat="1">
      <c r="T5805" s="41"/>
    </row>
    <row r="5806" spans="20:20" s="566" customFormat="1">
      <c r="T5806" s="41"/>
    </row>
    <row r="5807" spans="20:20" s="566" customFormat="1">
      <c r="T5807" s="41"/>
    </row>
    <row r="5808" spans="20:20" s="566" customFormat="1">
      <c r="T5808" s="41"/>
    </row>
    <row r="5809" spans="20:20" s="566" customFormat="1">
      <c r="T5809" s="41"/>
    </row>
    <row r="5810" spans="20:20" s="566" customFormat="1">
      <c r="T5810" s="41"/>
    </row>
    <row r="5811" spans="20:20" s="566" customFormat="1">
      <c r="T5811" s="41"/>
    </row>
    <row r="5812" spans="20:20" s="566" customFormat="1">
      <c r="T5812" s="41"/>
    </row>
    <row r="5813" spans="20:20" s="566" customFormat="1">
      <c r="T5813" s="41"/>
    </row>
    <row r="5814" spans="20:20" s="566" customFormat="1">
      <c r="T5814" s="41"/>
    </row>
    <row r="5815" spans="20:20" s="566" customFormat="1">
      <c r="T5815" s="41"/>
    </row>
    <row r="5816" spans="20:20" s="566" customFormat="1">
      <c r="T5816" s="41"/>
    </row>
    <row r="5817" spans="20:20" s="566" customFormat="1">
      <c r="T5817" s="41"/>
    </row>
    <row r="5818" spans="20:20" s="566" customFormat="1">
      <c r="T5818" s="41"/>
    </row>
    <row r="5819" spans="20:20" s="566" customFormat="1">
      <c r="T5819" s="41"/>
    </row>
    <row r="5820" spans="20:20" s="566" customFormat="1">
      <c r="T5820" s="41"/>
    </row>
    <row r="5821" spans="20:20" s="566" customFormat="1">
      <c r="T5821" s="41"/>
    </row>
    <row r="5822" spans="20:20" s="566" customFormat="1">
      <c r="T5822" s="41"/>
    </row>
    <row r="5823" spans="20:20" s="566" customFormat="1">
      <c r="T5823" s="41"/>
    </row>
    <row r="5824" spans="20:20" s="566" customFormat="1">
      <c r="T5824" s="41"/>
    </row>
    <row r="5825" spans="20:20" s="566" customFormat="1">
      <c r="T5825" s="41"/>
    </row>
    <row r="5826" spans="20:20" s="566" customFormat="1">
      <c r="T5826" s="41"/>
    </row>
    <row r="5827" spans="20:20" s="566" customFormat="1">
      <c r="T5827" s="41"/>
    </row>
    <row r="5828" spans="20:20" s="566" customFormat="1">
      <c r="T5828" s="41"/>
    </row>
    <row r="5829" spans="20:20" s="566" customFormat="1">
      <c r="T5829" s="41"/>
    </row>
    <row r="5830" spans="20:20" s="566" customFormat="1">
      <c r="T5830" s="41"/>
    </row>
    <row r="5831" spans="20:20" s="566" customFormat="1">
      <c r="T5831" s="41"/>
    </row>
    <row r="5832" spans="20:20" s="566" customFormat="1">
      <c r="T5832" s="41"/>
    </row>
    <row r="5833" spans="20:20" s="566" customFormat="1">
      <c r="T5833" s="41"/>
    </row>
    <row r="5834" spans="20:20" s="566" customFormat="1">
      <c r="T5834" s="41"/>
    </row>
    <row r="5835" spans="20:20" s="566" customFormat="1">
      <c r="T5835" s="41"/>
    </row>
    <row r="5836" spans="20:20" s="566" customFormat="1">
      <c r="T5836" s="41"/>
    </row>
    <row r="5837" spans="20:20" s="566" customFormat="1">
      <c r="T5837" s="41"/>
    </row>
    <row r="5838" spans="20:20" s="566" customFormat="1">
      <c r="T5838" s="41"/>
    </row>
    <row r="5839" spans="20:20" s="566" customFormat="1">
      <c r="T5839" s="41"/>
    </row>
    <row r="5840" spans="20:20" s="566" customFormat="1">
      <c r="T5840" s="41"/>
    </row>
    <row r="5841" spans="20:20" s="566" customFormat="1">
      <c r="T5841" s="41"/>
    </row>
    <row r="5842" spans="20:20" s="566" customFormat="1">
      <c r="T5842" s="41"/>
    </row>
    <row r="5843" spans="20:20" s="566" customFormat="1">
      <c r="T5843" s="41"/>
    </row>
    <row r="5844" spans="20:20" s="566" customFormat="1">
      <c r="T5844" s="41"/>
    </row>
    <row r="5845" spans="20:20" s="566" customFormat="1">
      <c r="T5845" s="41"/>
    </row>
    <row r="5846" spans="20:20" s="566" customFormat="1">
      <c r="T5846" s="41"/>
    </row>
    <row r="5847" spans="20:20" s="566" customFormat="1">
      <c r="T5847" s="41"/>
    </row>
    <row r="5848" spans="20:20" s="566" customFormat="1">
      <c r="T5848" s="41"/>
    </row>
    <row r="5849" spans="20:20" s="566" customFormat="1">
      <c r="T5849" s="41"/>
    </row>
    <row r="5850" spans="20:20" s="566" customFormat="1">
      <c r="T5850" s="41"/>
    </row>
    <row r="5851" spans="20:20" s="566" customFormat="1">
      <c r="T5851" s="41"/>
    </row>
    <row r="5852" spans="20:20" s="566" customFormat="1">
      <c r="T5852" s="41"/>
    </row>
    <row r="5853" spans="20:20" s="566" customFormat="1">
      <c r="T5853" s="41"/>
    </row>
    <row r="5854" spans="20:20" s="566" customFormat="1">
      <c r="T5854" s="41"/>
    </row>
    <row r="5855" spans="20:20" s="566" customFormat="1">
      <c r="T5855" s="41"/>
    </row>
    <row r="5856" spans="20:20" s="566" customFormat="1">
      <c r="T5856" s="41"/>
    </row>
    <row r="5857" spans="20:20" s="566" customFormat="1">
      <c r="T5857" s="41"/>
    </row>
    <row r="5858" spans="20:20" s="566" customFormat="1">
      <c r="T5858" s="41"/>
    </row>
    <row r="5859" spans="20:20" s="566" customFormat="1">
      <c r="T5859" s="41"/>
    </row>
    <row r="5860" spans="20:20" s="566" customFormat="1">
      <c r="T5860" s="41"/>
    </row>
    <row r="5861" spans="20:20" s="566" customFormat="1">
      <c r="T5861" s="41"/>
    </row>
    <row r="5862" spans="20:20" s="566" customFormat="1">
      <c r="T5862" s="41"/>
    </row>
    <row r="5863" spans="20:20" s="566" customFormat="1">
      <c r="T5863" s="41"/>
    </row>
    <row r="5864" spans="20:20" s="566" customFormat="1">
      <c r="T5864" s="41"/>
    </row>
    <row r="5865" spans="20:20" s="566" customFormat="1">
      <c r="T5865" s="41"/>
    </row>
    <row r="5866" spans="20:20" s="566" customFormat="1">
      <c r="T5866" s="41"/>
    </row>
    <row r="5867" spans="20:20" s="566" customFormat="1">
      <c r="T5867" s="41"/>
    </row>
    <row r="5868" spans="20:20" s="566" customFormat="1">
      <c r="T5868" s="41"/>
    </row>
    <row r="5869" spans="20:20" s="566" customFormat="1">
      <c r="T5869" s="41"/>
    </row>
    <row r="5870" spans="20:20" s="566" customFormat="1">
      <c r="T5870" s="41"/>
    </row>
    <row r="5871" spans="20:20" s="566" customFormat="1">
      <c r="T5871" s="41"/>
    </row>
    <row r="5872" spans="20:20" s="566" customFormat="1">
      <c r="T5872" s="41"/>
    </row>
    <row r="5873" spans="20:20" s="566" customFormat="1">
      <c r="T5873" s="41"/>
    </row>
    <row r="5874" spans="20:20" s="566" customFormat="1">
      <c r="T5874" s="41"/>
    </row>
    <row r="5875" spans="20:20" s="566" customFormat="1">
      <c r="T5875" s="41"/>
    </row>
    <row r="5876" spans="20:20" s="566" customFormat="1">
      <c r="T5876" s="41"/>
    </row>
    <row r="5877" spans="20:20" s="566" customFormat="1">
      <c r="T5877" s="41"/>
    </row>
    <row r="5878" spans="20:20" s="566" customFormat="1">
      <c r="T5878" s="41"/>
    </row>
    <row r="5879" spans="20:20" s="566" customFormat="1">
      <c r="T5879" s="41"/>
    </row>
    <row r="5880" spans="20:20" s="566" customFormat="1">
      <c r="T5880" s="41"/>
    </row>
    <row r="5881" spans="20:20" s="566" customFormat="1">
      <c r="T5881" s="41"/>
    </row>
    <row r="5882" spans="20:20" s="566" customFormat="1">
      <c r="T5882" s="41"/>
    </row>
    <row r="5883" spans="20:20" s="566" customFormat="1">
      <c r="T5883" s="41"/>
    </row>
    <row r="5884" spans="20:20" s="566" customFormat="1">
      <c r="T5884" s="41"/>
    </row>
    <row r="5885" spans="20:20" s="566" customFormat="1">
      <c r="T5885" s="41"/>
    </row>
    <row r="5886" spans="20:20" s="566" customFormat="1">
      <c r="T5886" s="41"/>
    </row>
    <row r="5887" spans="20:20" s="566" customFormat="1">
      <c r="T5887" s="41"/>
    </row>
    <row r="5888" spans="20:20" s="566" customFormat="1">
      <c r="T5888" s="41"/>
    </row>
    <row r="5889" spans="20:20" s="566" customFormat="1">
      <c r="T5889" s="41"/>
    </row>
    <row r="5890" spans="20:20" s="566" customFormat="1">
      <c r="T5890" s="41"/>
    </row>
    <row r="5891" spans="20:20" s="566" customFormat="1">
      <c r="T5891" s="41"/>
    </row>
    <row r="5892" spans="20:20" s="566" customFormat="1">
      <c r="T5892" s="41"/>
    </row>
    <row r="5893" spans="20:20" s="566" customFormat="1">
      <c r="T5893" s="41"/>
    </row>
    <row r="5894" spans="20:20" s="566" customFormat="1">
      <c r="T5894" s="41"/>
    </row>
    <row r="5895" spans="20:20" s="566" customFormat="1">
      <c r="T5895" s="41"/>
    </row>
    <row r="5896" spans="20:20" s="566" customFormat="1">
      <c r="T5896" s="41"/>
    </row>
    <row r="5897" spans="20:20" s="566" customFormat="1">
      <c r="T5897" s="41"/>
    </row>
    <row r="5898" spans="20:20" s="566" customFormat="1">
      <c r="T5898" s="41"/>
    </row>
    <row r="5899" spans="20:20" s="566" customFormat="1">
      <c r="T5899" s="41"/>
    </row>
    <row r="5900" spans="20:20" s="566" customFormat="1">
      <c r="T5900" s="41"/>
    </row>
    <row r="5901" spans="20:20" s="566" customFormat="1">
      <c r="T5901" s="41"/>
    </row>
    <row r="5902" spans="20:20" s="566" customFormat="1">
      <c r="T5902" s="41"/>
    </row>
    <row r="5903" spans="20:20" s="566" customFormat="1">
      <c r="T5903" s="41"/>
    </row>
    <row r="5904" spans="20:20" s="566" customFormat="1">
      <c r="T5904" s="41"/>
    </row>
    <row r="5905" spans="20:20" s="566" customFormat="1">
      <c r="T5905" s="41"/>
    </row>
    <row r="5906" spans="20:20" s="566" customFormat="1">
      <c r="T5906" s="41"/>
    </row>
    <row r="5907" spans="20:20" s="566" customFormat="1">
      <c r="T5907" s="41"/>
    </row>
    <row r="5908" spans="20:20" s="566" customFormat="1">
      <c r="T5908" s="41"/>
    </row>
    <row r="5909" spans="20:20" s="566" customFormat="1">
      <c r="T5909" s="41"/>
    </row>
    <row r="5910" spans="20:20" s="566" customFormat="1">
      <c r="T5910" s="41"/>
    </row>
    <row r="5911" spans="20:20" s="566" customFormat="1">
      <c r="T5911" s="41"/>
    </row>
    <row r="5912" spans="20:20" s="566" customFormat="1">
      <c r="T5912" s="41"/>
    </row>
    <row r="5913" spans="20:20" s="566" customFormat="1">
      <c r="T5913" s="41"/>
    </row>
    <row r="5914" spans="20:20" s="566" customFormat="1">
      <c r="T5914" s="41"/>
    </row>
    <row r="5915" spans="20:20" s="566" customFormat="1">
      <c r="T5915" s="41"/>
    </row>
    <row r="5916" spans="20:20" s="566" customFormat="1">
      <c r="T5916" s="41"/>
    </row>
    <row r="5917" spans="20:20" s="566" customFormat="1">
      <c r="T5917" s="41"/>
    </row>
    <row r="5918" spans="20:20" s="566" customFormat="1">
      <c r="T5918" s="41"/>
    </row>
    <row r="5919" spans="20:20" s="566" customFormat="1">
      <c r="T5919" s="41"/>
    </row>
    <row r="5920" spans="20:20" s="566" customFormat="1">
      <c r="T5920" s="41"/>
    </row>
    <row r="5921" spans="20:20" s="566" customFormat="1">
      <c r="T5921" s="41"/>
    </row>
    <row r="5922" spans="20:20" s="566" customFormat="1">
      <c r="T5922" s="41"/>
    </row>
    <row r="5923" spans="20:20" s="566" customFormat="1">
      <c r="T5923" s="41"/>
    </row>
    <row r="5924" spans="20:20" s="566" customFormat="1">
      <c r="T5924" s="41"/>
    </row>
    <row r="5925" spans="20:20" s="566" customFormat="1">
      <c r="T5925" s="41"/>
    </row>
    <row r="5926" spans="20:20" s="566" customFormat="1">
      <c r="T5926" s="41"/>
    </row>
    <row r="5927" spans="20:20" s="566" customFormat="1">
      <c r="T5927" s="41"/>
    </row>
    <row r="5928" spans="20:20" s="566" customFormat="1">
      <c r="T5928" s="41"/>
    </row>
    <row r="5929" spans="20:20" s="566" customFormat="1">
      <c r="T5929" s="41"/>
    </row>
    <row r="5930" spans="20:20" s="566" customFormat="1">
      <c r="T5930" s="41"/>
    </row>
    <row r="5931" spans="20:20" s="566" customFormat="1">
      <c r="T5931" s="41"/>
    </row>
    <row r="5932" spans="20:20" s="566" customFormat="1">
      <c r="T5932" s="41"/>
    </row>
    <row r="5933" spans="20:20" s="566" customFormat="1">
      <c r="T5933" s="41"/>
    </row>
    <row r="5934" spans="20:20" s="566" customFormat="1">
      <c r="T5934" s="41"/>
    </row>
    <row r="5935" spans="20:20" s="566" customFormat="1">
      <c r="T5935" s="41"/>
    </row>
    <row r="5936" spans="20:20" s="566" customFormat="1">
      <c r="T5936" s="41"/>
    </row>
    <row r="5937" spans="20:20" s="566" customFormat="1">
      <c r="T5937" s="41"/>
    </row>
    <row r="5938" spans="20:20" s="566" customFormat="1">
      <c r="T5938" s="41"/>
    </row>
    <row r="5939" spans="20:20" s="566" customFormat="1">
      <c r="T5939" s="41"/>
    </row>
    <row r="5940" spans="20:20" s="566" customFormat="1">
      <c r="T5940" s="41"/>
    </row>
    <row r="5941" spans="20:20" s="566" customFormat="1">
      <c r="T5941" s="41"/>
    </row>
    <row r="5942" spans="20:20" s="566" customFormat="1">
      <c r="T5942" s="41"/>
    </row>
    <row r="5943" spans="20:20" s="566" customFormat="1">
      <c r="T5943" s="41"/>
    </row>
    <row r="5944" spans="20:20" s="566" customFormat="1">
      <c r="T5944" s="41"/>
    </row>
    <row r="5945" spans="20:20" s="566" customFormat="1">
      <c r="T5945" s="41"/>
    </row>
    <row r="5946" spans="20:20" s="566" customFormat="1">
      <c r="T5946" s="41"/>
    </row>
    <row r="5947" spans="20:20" s="566" customFormat="1">
      <c r="T5947" s="41"/>
    </row>
    <row r="5948" spans="20:20" s="566" customFormat="1">
      <c r="T5948" s="41"/>
    </row>
    <row r="5949" spans="20:20" s="566" customFormat="1">
      <c r="T5949" s="41"/>
    </row>
    <row r="5950" spans="20:20" s="566" customFormat="1">
      <c r="T5950" s="41"/>
    </row>
    <row r="5951" spans="20:20" s="566" customFormat="1">
      <c r="T5951" s="41"/>
    </row>
    <row r="5952" spans="20:20" s="566" customFormat="1">
      <c r="T5952" s="41"/>
    </row>
    <row r="5953" spans="20:20" s="566" customFormat="1">
      <c r="T5953" s="41"/>
    </row>
    <row r="5954" spans="20:20" s="566" customFormat="1">
      <c r="T5954" s="41"/>
    </row>
    <row r="5955" spans="20:20" s="566" customFormat="1">
      <c r="T5955" s="41"/>
    </row>
    <row r="5956" spans="20:20" s="566" customFormat="1">
      <c r="T5956" s="41"/>
    </row>
    <row r="5957" spans="20:20" s="566" customFormat="1">
      <c r="T5957" s="41"/>
    </row>
    <row r="5958" spans="20:20" s="566" customFormat="1">
      <c r="T5958" s="41"/>
    </row>
    <row r="5959" spans="20:20" s="566" customFormat="1">
      <c r="T5959" s="41"/>
    </row>
    <row r="5960" spans="20:20" s="566" customFormat="1">
      <c r="T5960" s="41"/>
    </row>
    <row r="5961" spans="20:20" s="566" customFormat="1">
      <c r="T5961" s="41"/>
    </row>
    <row r="5962" spans="20:20" s="566" customFormat="1">
      <c r="T5962" s="41"/>
    </row>
    <row r="5963" spans="20:20" s="566" customFormat="1">
      <c r="T5963" s="41"/>
    </row>
    <row r="5964" spans="20:20" s="566" customFormat="1">
      <c r="T5964" s="41"/>
    </row>
    <row r="5965" spans="20:20" s="566" customFormat="1">
      <c r="T5965" s="41"/>
    </row>
    <row r="5966" spans="20:20" s="566" customFormat="1">
      <c r="T5966" s="41"/>
    </row>
    <row r="5967" spans="20:20" s="566" customFormat="1">
      <c r="T5967" s="41"/>
    </row>
    <row r="5968" spans="20:20" s="566" customFormat="1">
      <c r="T5968" s="41"/>
    </row>
    <row r="5969" spans="20:20" s="566" customFormat="1">
      <c r="T5969" s="41"/>
    </row>
    <row r="5970" spans="20:20" s="566" customFormat="1">
      <c r="T5970" s="41"/>
    </row>
    <row r="5971" spans="20:20" s="566" customFormat="1">
      <c r="T5971" s="41"/>
    </row>
    <row r="5972" spans="20:20" s="566" customFormat="1">
      <c r="T5972" s="41"/>
    </row>
    <row r="5973" spans="20:20" s="566" customFormat="1">
      <c r="T5973" s="41"/>
    </row>
    <row r="5974" spans="20:20" s="566" customFormat="1">
      <c r="T5974" s="41"/>
    </row>
    <row r="5975" spans="20:20" s="566" customFormat="1">
      <c r="T5975" s="41"/>
    </row>
    <row r="5976" spans="20:20" s="566" customFormat="1">
      <c r="T5976" s="41"/>
    </row>
    <row r="5977" spans="20:20" s="566" customFormat="1">
      <c r="T5977" s="41"/>
    </row>
    <row r="5978" spans="20:20" s="566" customFormat="1">
      <c r="T5978" s="41"/>
    </row>
    <row r="5979" spans="20:20" s="566" customFormat="1">
      <c r="T5979" s="41"/>
    </row>
    <row r="5980" spans="20:20" s="566" customFormat="1">
      <c r="T5980" s="41"/>
    </row>
    <row r="5981" spans="20:20" s="566" customFormat="1">
      <c r="T5981" s="41"/>
    </row>
    <row r="5982" spans="20:20" s="566" customFormat="1">
      <c r="T5982" s="41"/>
    </row>
    <row r="5983" spans="20:20" s="566" customFormat="1">
      <c r="T5983" s="41"/>
    </row>
    <row r="5984" spans="20:20" s="566" customFormat="1">
      <c r="T5984" s="41"/>
    </row>
    <row r="5985" spans="20:20" s="566" customFormat="1">
      <c r="T5985" s="41"/>
    </row>
    <row r="5986" spans="20:20" s="566" customFormat="1">
      <c r="T5986" s="41"/>
    </row>
    <row r="5987" spans="20:20" s="566" customFormat="1">
      <c r="T5987" s="41"/>
    </row>
    <row r="5988" spans="20:20" s="566" customFormat="1">
      <c r="T5988" s="41"/>
    </row>
    <row r="5989" spans="20:20" s="566" customFormat="1">
      <c r="T5989" s="41"/>
    </row>
    <row r="5990" spans="20:20" s="566" customFormat="1">
      <c r="T5990" s="41"/>
    </row>
    <row r="5991" spans="20:20" s="566" customFormat="1">
      <c r="T5991" s="41"/>
    </row>
    <row r="5992" spans="20:20" s="566" customFormat="1">
      <c r="T5992" s="41"/>
    </row>
    <row r="5993" spans="20:20" s="566" customFormat="1">
      <c r="T5993" s="41"/>
    </row>
    <row r="5994" spans="20:20" s="566" customFormat="1">
      <c r="T5994" s="41"/>
    </row>
    <row r="5995" spans="20:20" s="566" customFormat="1">
      <c r="T5995" s="41"/>
    </row>
    <row r="5996" spans="20:20" s="566" customFormat="1">
      <c r="T5996" s="41"/>
    </row>
    <row r="5997" spans="20:20" s="566" customFormat="1">
      <c r="T5997" s="41"/>
    </row>
    <row r="5998" spans="20:20" s="566" customFormat="1">
      <c r="T5998" s="41"/>
    </row>
    <row r="5999" spans="20:20" s="566" customFormat="1">
      <c r="T5999" s="41"/>
    </row>
    <row r="6000" spans="20:20" s="566" customFormat="1">
      <c r="T6000" s="41"/>
    </row>
    <row r="6001" spans="20:20" s="566" customFormat="1">
      <c r="T6001" s="41"/>
    </row>
    <row r="6002" spans="20:20" s="566" customFormat="1">
      <c r="T6002" s="41"/>
    </row>
    <row r="6003" spans="20:20" s="566" customFormat="1">
      <c r="T6003" s="41"/>
    </row>
    <row r="6004" spans="20:20" s="566" customFormat="1">
      <c r="T6004" s="41"/>
    </row>
    <row r="6005" spans="20:20" s="566" customFormat="1">
      <c r="T6005" s="41"/>
    </row>
    <row r="6006" spans="20:20" s="566" customFormat="1">
      <c r="T6006" s="41"/>
    </row>
    <row r="6007" spans="20:20" s="566" customFormat="1">
      <c r="T6007" s="41"/>
    </row>
    <row r="6008" spans="20:20" s="566" customFormat="1">
      <c r="T6008" s="41"/>
    </row>
    <row r="6009" spans="20:20" s="566" customFormat="1">
      <c r="T6009" s="41"/>
    </row>
    <row r="6010" spans="20:20" s="566" customFormat="1">
      <c r="T6010" s="41"/>
    </row>
    <row r="6011" spans="20:20" s="566" customFormat="1">
      <c r="T6011" s="41"/>
    </row>
    <row r="6012" spans="20:20" s="566" customFormat="1">
      <c r="T6012" s="41"/>
    </row>
    <row r="6013" spans="20:20" s="566" customFormat="1">
      <c r="T6013" s="41"/>
    </row>
    <row r="6014" spans="20:20" s="566" customFormat="1">
      <c r="T6014" s="41"/>
    </row>
    <row r="6015" spans="20:20" s="566" customFormat="1">
      <c r="T6015" s="41"/>
    </row>
    <row r="6016" spans="20:20" s="566" customFormat="1">
      <c r="T6016" s="41"/>
    </row>
    <row r="6017" spans="20:20" s="566" customFormat="1">
      <c r="T6017" s="41"/>
    </row>
    <row r="6018" spans="20:20" s="566" customFormat="1">
      <c r="T6018" s="41"/>
    </row>
    <row r="6019" spans="20:20" s="566" customFormat="1">
      <c r="T6019" s="41"/>
    </row>
    <row r="6020" spans="20:20" s="566" customFormat="1">
      <c r="T6020" s="41"/>
    </row>
    <row r="6021" spans="20:20" s="566" customFormat="1">
      <c r="T6021" s="41"/>
    </row>
    <row r="6022" spans="20:20" s="566" customFormat="1">
      <c r="T6022" s="41"/>
    </row>
    <row r="6023" spans="20:20" s="566" customFormat="1">
      <c r="T6023" s="41"/>
    </row>
    <row r="6024" spans="20:20" s="566" customFormat="1">
      <c r="T6024" s="41"/>
    </row>
    <row r="6025" spans="20:20" s="566" customFormat="1">
      <c r="T6025" s="41"/>
    </row>
    <row r="6026" spans="20:20" s="566" customFormat="1">
      <c r="T6026" s="41"/>
    </row>
    <row r="6027" spans="20:20" s="566" customFormat="1">
      <c r="T6027" s="41"/>
    </row>
    <row r="6028" spans="20:20" s="566" customFormat="1">
      <c r="T6028" s="41"/>
    </row>
    <row r="6029" spans="20:20" s="566" customFormat="1">
      <c r="T6029" s="41"/>
    </row>
    <row r="6030" spans="20:20" s="566" customFormat="1">
      <c r="T6030" s="41"/>
    </row>
    <row r="6031" spans="20:20" s="566" customFormat="1">
      <c r="T6031" s="41"/>
    </row>
    <row r="6032" spans="20:20" s="566" customFormat="1">
      <c r="T6032" s="41"/>
    </row>
    <row r="6033" spans="20:20" s="566" customFormat="1">
      <c r="T6033" s="41"/>
    </row>
    <row r="6034" spans="20:20" s="566" customFormat="1">
      <c r="T6034" s="41"/>
    </row>
    <row r="6035" spans="20:20" s="566" customFormat="1">
      <c r="T6035" s="41"/>
    </row>
    <row r="6036" spans="20:20" s="566" customFormat="1">
      <c r="T6036" s="41"/>
    </row>
    <row r="6037" spans="20:20" s="566" customFormat="1">
      <c r="T6037" s="41"/>
    </row>
    <row r="6038" spans="20:20" s="566" customFormat="1">
      <c r="T6038" s="41"/>
    </row>
    <row r="6039" spans="20:20" s="566" customFormat="1">
      <c r="T6039" s="41"/>
    </row>
    <row r="6040" spans="20:20" s="566" customFormat="1">
      <c r="T6040" s="41"/>
    </row>
    <row r="6041" spans="20:20" s="566" customFormat="1">
      <c r="T6041" s="41"/>
    </row>
    <row r="6042" spans="20:20" s="566" customFormat="1">
      <c r="T6042" s="41"/>
    </row>
    <row r="6043" spans="20:20" s="566" customFormat="1">
      <c r="T6043" s="41"/>
    </row>
    <row r="6044" spans="20:20" s="566" customFormat="1">
      <c r="T6044" s="41"/>
    </row>
    <row r="6045" spans="20:20" s="566" customFormat="1">
      <c r="T6045" s="41"/>
    </row>
    <row r="6046" spans="20:20" s="566" customFormat="1">
      <c r="T6046" s="41"/>
    </row>
    <row r="6047" spans="20:20" s="566" customFormat="1">
      <c r="T6047" s="41"/>
    </row>
    <row r="6048" spans="20:20" s="566" customFormat="1">
      <c r="T6048" s="41"/>
    </row>
    <row r="6049" spans="20:20" s="566" customFormat="1">
      <c r="T6049" s="41"/>
    </row>
    <row r="6050" spans="20:20" s="566" customFormat="1">
      <c r="T6050" s="41"/>
    </row>
    <row r="6051" spans="20:20" s="566" customFormat="1">
      <c r="T6051" s="41"/>
    </row>
    <row r="6052" spans="20:20" s="566" customFormat="1">
      <c r="T6052" s="41"/>
    </row>
    <row r="6053" spans="20:20" s="566" customFormat="1">
      <c r="T6053" s="41"/>
    </row>
    <row r="6054" spans="20:20" s="566" customFormat="1">
      <c r="T6054" s="41"/>
    </row>
    <row r="6055" spans="20:20" s="566" customFormat="1">
      <c r="T6055" s="41"/>
    </row>
    <row r="6056" spans="20:20" s="566" customFormat="1">
      <c r="T6056" s="41"/>
    </row>
    <row r="6057" spans="20:20" s="566" customFormat="1">
      <c r="T6057" s="41"/>
    </row>
    <row r="6058" spans="20:20" s="566" customFormat="1">
      <c r="T6058" s="41"/>
    </row>
    <row r="6059" spans="20:20" s="566" customFormat="1">
      <c r="T6059" s="41"/>
    </row>
    <row r="6060" spans="20:20" s="566" customFormat="1">
      <c r="T6060" s="41"/>
    </row>
    <row r="6061" spans="20:20" s="566" customFormat="1">
      <c r="T6061" s="41"/>
    </row>
    <row r="6062" spans="20:20" s="566" customFormat="1">
      <c r="T6062" s="41"/>
    </row>
    <row r="6063" spans="20:20" s="566" customFormat="1">
      <c r="T6063" s="41"/>
    </row>
    <row r="6064" spans="20:20" s="566" customFormat="1">
      <c r="T6064" s="41"/>
    </row>
    <row r="6065" spans="20:20" s="566" customFormat="1">
      <c r="T6065" s="41"/>
    </row>
    <row r="6066" spans="20:20" s="566" customFormat="1">
      <c r="T6066" s="41"/>
    </row>
    <row r="6067" spans="20:20" s="566" customFormat="1">
      <c r="T6067" s="41"/>
    </row>
    <row r="6068" spans="20:20" s="566" customFormat="1">
      <c r="T6068" s="41"/>
    </row>
    <row r="6069" spans="20:20" s="566" customFormat="1">
      <c r="T6069" s="41"/>
    </row>
    <row r="6070" spans="20:20" s="566" customFormat="1">
      <c r="T6070" s="41"/>
    </row>
    <row r="6071" spans="20:20" s="566" customFormat="1">
      <c r="T6071" s="41"/>
    </row>
    <row r="6072" spans="20:20" s="566" customFormat="1">
      <c r="T6072" s="41"/>
    </row>
    <row r="6073" spans="20:20" s="566" customFormat="1">
      <c r="T6073" s="41"/>
    </row>
    <row r="6074" spans="20:20" s="566" customFormat="1">
      <c r="T6074" s="41"/>
    </row>
    <row r="6075" spans="20:20" s="566" customFormat="1">
      <c r="T6075" s="41"/>
    </row>
    <row r="6076" spans="20:20" s="566" customFormat="1">
      <c r="T6076" s="41"/>
    </row>
    <row r="6077" spans="20:20" s="566" customFormat="1">
      <c r="T6077" s="41"/>
    </row>
    <row r="6078" spans="20:20" s="566" customFormat="1">
      <c r="T6078" s="41"/>
    </row>
    <row r="6079" spans="20:20" s="566" customFormat="1">
      <c r="T6079" s="41"/>
    </row>
    <row r="6080" spans="20:20" s="566" customFormat="1">
      <c r="T6080" s="41"/>
    </row>
    <row r="6081" spans="20:20" s="566" customFormat="1">
      <c r="T6081" s="41"/>
    </row>
    <row r="6082" spans="20:20" s="566" customFormat="1">
      <c r="T6082" s="41"/>
    </row>
    <row r="6083" spans="20:20" s="566" customFormat="1">
      <c r="T6083" s="41"/>
    </row>
    <row r="6084" spans="20:20" s="566" customFormat="1">
      <c r="T6084" s="41"/>
    </row>
    <row r="6085" spans="20:20" s="566" customFormat="1">
      <c r="T6085" s="41"/>
    </row>
    <row r="6086" spans="20:20" s="566" customFormat="1">
      <c r="T6086" s="41"/>
    </row>
    <row r="6087" spans="20:20" s="566" customFormat="1">
      <c r="T6087" s="41"/>
    </row>
    <row r="6088" spans="20:20" s="566" customFormat="1">
      <c r="T6088" s="41"/>
    </row>
    <row r="6089" spans="20:20" s="566" customFormat="1">
      <c r="T6089" s="41"/>
    </row>
    <row r="6090" spans="20:20" s="566" customFormat="1">
      <c r="T6090" s="41"/>
    </row>
    <row r="6091" spans="20:20" s="566" customFormat="1">
      <c r="T6091" s="41"/>
    </row>
    <row r="6092" spans="20:20" s="566" customFormat="1">
      <c r="T6092" s="41"/>
    </row>
    <row r="6093" spans="20:20" s="566" customFormat="1">
      <c r="T6093" s="41"/>
    </row>
    <row r="6094" spans="20:20" s="566" customFormat="1">
      <c r="T6094" s="41"/>
    </row>
    <row r="6095" spans="20:20" s="566" customFormat="1">
      <c r="T6095" s="41"/>
    </row>
    <row r="6096" spans="20:20" s="566" customFormat="1">
      <c r="T6096" s="41"/>
    </row>
    <row r="6097" spans="20:20" s="566" customFormat="1">
      <c r="T6097" s="41"/>
    </row>
    <row r="6098" spans="20:20" s="566" customFormat="1">
      <c r="T6098" s="41"/>
    </row>
    <row r="6099" spans="20:20" s="566" customFormat="1">
      <c r="T6099" s="41"/>
    </row>
    <row r="6100" spans="20:20" s="566" customFormat="1">
      <c r="T6100" s="41"/>
    </row>
    <row r="6101" spans="20:20" s="566" customFormat="1">
      <c r="T6101" s="41"/>
    </row>
    <row r="6102" spans="20:20" s="566" customFormat="1">
      <c r="T6102" s="41"/>
    </row>
    <row r="6103" spans="20:20" s="566" customFormat="1">
      <c r="T6103" s="41"/>
    </row>
    <row r="6104" spans="20:20" s="566" customFormat="1">
      <c r="T6104" s="41"/>
    </row>
    <row r="6105" spans="20:20" s="566" customFormat="1">
      <c r="T6105" s="41"/>
    </row>
    <row r="6106" spans="20:20" s="566" customFormat="1">
      <c r="T6106" s="41"/>
    </row>
    <row r="6107" spans="20:20" s="566" customFormat="1">
      <c r="T6107" s="41"/>
    </row>
    <row r="6108" spans="20:20" s="566" customFormat="1">
      <c r="T6108" s="41"/>
    </row>
    <row r="6109" spans="20:20" s="566" customFormat="1">
      <c r="T6109" s="41"/>
    </row>
    <row r="6110" spans="20:20" s="566" customFormat="1">
      <c r="T6110" s="41"/>
    </row>
    <row r="6111" spans="20:20" s="566" customFormat="1">
      <c r="T6111" s="41"/>
    </row>
    <row r="6112" spans="20:20" s="566" customFormat="1">
      <c r="T6112" s="41"/>
    </row>
    <row r="6113" spans="20:20" s="566" customFormat="1">
      <c r="T6113" s="41"/>
    </row>
    <row r="6114" spans="20:20" s="566" customFormat="1">
      <c r="T6114" s="41"/>
    </row>
    <row r="6115" spans="20:20" s="566" customFormat="1">
      <c r="T6115" s="41"/>
    </row>
    <row r="6116" spans="20:20" s="566" customFormat="1">
      <c r="T6116" s="41"/>
    </row>
    <row r="6117" spans="20:20" s="566" customFormat="1">
      <c r="T6117" s="41"/>
    </row>
    <row r="6118" spans="20:20" s="566" customFormat="1">
      <c r="T6118" s="41"/>
    </row>
    <row r="6119" spans="20:20" s="566" customFormat="1">
      <c r="T6119" s="41"/>
    </row>
    <row r="6120" spans="20:20" s="566" customFormat="1">
      <c r="T6120" s="41"/>
    </row>
    <row r="6121" spans="20:20" s="566" customFormat="1">
      <c r="T6121" s="41"/>
    </row>
    <row r="6122" spans="20:20" s="566" customFormat="1">
      <c r="T6122" s="41"/>
    </row>
    <row r="6123" spans="20:20" s="566" customFormat="1">
      <c r="T6123" s="41"/>
    </row>
    <row r="6124" spans="20:20" s="566" customFormat="1">
      <c r="T6124" s="41"/>
    </row>
    <row r="6125" spans="20:20" s="566" customFormat="1">
      <c r="T6125" s="41"/>
    </row>
    <row r="6126" spans="20:20" s="566" customFormat="1">
      <c r="T6126" s="41"/>
    </row>
    <row r="6127" spans="20:20" s="566" customFormat="1">
      <c r="T6127" s="41"/>
    </row>
    <row r="6128" spans="20:20" s="566" customFormat="1">
      <c r="T6128" s="41"/>
    </row>
    <row r="6129" spans="20:20" s="566" customFormat="1">
      <c r="T6129" s="41"/>
    </row>
    <row r="6130" spans="20:20" s="566" customFormat="1">
      <c r="T6130" s="41"/>
    </row>
    <row r="6131" spans="20:20" s="566" customFormat="1">
      <c r="T6131" s="41"/>
    </row>
    <row r="6132" spans="20:20" s="566" customFormat="1">
      <c r="T6132" s="41"/>
    </row>
    <row r="6133" spans="20:20" s="566" customFormat="1">
      <c r="T6133" s="41"/>
    </row>
    <row r="6134" spans="20:20" s="566" customFormat="1">
      <c r="T6134" s="41"/>
    </row>
    <row r="6135" spans="20:20" s="566" customFormat="1">
      <c r="T6135" s="41"/>
    </row>
    <row r="6136" spans="20:20" s="566" customFormat="1">
      <c r="T6136" s="41"/>
    </row>
    <row r="6137" spans="20:20" s="566" customFormat="1">
      <c r="T6137" s="41"/>
    </row>
    <row r="6138" spans="20:20" s="566" customFormat="1">
      <c r="T6138" s="41"/>
    </row>
    <row r="6139" spans="20:20" s="566" customFormat="1">
      <c r="T6139" s="41"/>
    </row>
    <row r="6140" spans="20:20" s="566" customFormat="1">
      <c r="T6140" s="41"/>
    </row>
    <row r="6141" spans="20:20" s="566" customFormat="1">
      <c r="T6141" s="41"/>
    </row>
    <row r="6142" spans="20:20" s="566" customFormat="1">
      <c r="T6142" s="41"/>
    </row>
    <row r="6143" spans="20:20" s="566" customFormat="1">
      <c r="T6143" s="41"/>
    </row>
    <row r="6144" spans="20:20" s="566" customFormat="1">
      <c r="T6144" s="41"/>
    </row>
    <row r="6145" spans="20:20" s="566" customFormat="1">
      <c r="T6145" s="41"/>
    </row>
    <row r="6146" spans="20:20" s="566" customFormat="1">
      <c r="T6146" s="41"/>
    </row>
    <row r="6147" spans="20:20" s="566" customFormat="1">
      <c r="T6147" s="41"/>
    </row>
    <row r="6148" spans="20:20" s="566" customFormat="1">
      <c r="T6148" s="41"/>
    </row>
    <row r="6149" spans="20:20" s="566" customFormat="1">
      <c r="T6149" s="41"/>
    </row>
    <row r="6150" spans="20:20" s="566" customFormat="1">
      <c r="T6150" s="41"/>
    </row>
    <row r="6151" spans="20:20" s="566" customFormat="1">
      <c r="T6151" s="41"/>
    </row>
    <row r="6152" spans="20:20" s="566" customFormat="1">
      <c r="T6152" s="41"/>
    </row>
    <row r="6153" spans="20:20" s="566" customFormat="1">
      <c r="T6153" s="41"/>
    </row>
    <row r="6154" spans="20:20" s="566" customFormat="1">
      <c r="T6154" s="41"/>
    </row>
    <row r="6155" spans="20:20" s="566" customFormat="1">
      <c r="T6155" s="41"/>
    </row>
    <row r="6156" spans="20:20" s="566" customFormat="1">
      <c r="T6156" s="41"/>
    </row>
    <row r="6157" spans="20:20" s="566" customFormat="1">
      <c r="T6157" s="41"/>
    </row>
    <row r="6158" spans="20:20" s="566" customFormat="1">
      <c r="T6158" s="41"/>
    </row>
    <row r="6159" spans="20:20" s="566" customFormat="1">
      <c r="T6159" s="41"/>
    </row>
    <row r="6160" spans="20:20" s="566" customFormat="1">
      <c r="T6160" s="41"/>
    </row>
    <row r="6161" spans="20:20" s="566" customFormat="1">
      <c r="T6161" s="41"/>
    </row>
    <row r="6162" spans="20:20" s="566" customFormat="1">
      <c r="T6162" s="41"/>
    </row>
    <row r="6163" spans="20:20" s="566" customFormat="1">
      <c r="T6163" s="41"/>
    </row>
    <row r="6164" spans="20:20" s="566" customFormat="1">
      <c r="T6164" s="41"/>
    </row>
    <row r="6165" spans="20:20" s="566" customFormat="1">
      <c r="T6165" s="41"/>
    </row>
    <row r="6166" spans="20:20" s="566" customFormat="1">
      <c r="T6166" s="41"/>
    </row>
    <row r="6167" spans="20:20" s="566" customFormat="1">
      <c r="T6167" s="41"/>
    </row>
    <row r="6168" spans="20:20" s="566" customFormat="1">
      <c r="T6168" s="41"/>
    </row>
    <row r="6169" spans="20:20" s="566" customFormat="1">
      <c r="T6169" s="41"/>
    </row>
    <row r="6170" spans="20:20" s="566" customFormat="1">
      <c r="T6170" s="41"/>
    </row>
    <row r="6171" spans="20:20" s="566" customFormat="1">
      <c r="T6171" s="41"/>
    </row>
    <row r="6172" spans="20:20" s="566" customFormat="1">
      <c r="T6172" s="41"/>
    </row>
    <row r="6173" spans="20:20" s="566" customFormat="1">
      <c r="T6173" s="41"/>
    </row>
    <row r="6174" spans="20:20" s="566" customFormat="1">
      <c r="T6174" s="41"/>
    </row>
    <row r="6175" spans="20:20" s="566" customFormat="1">
      <c r="T6175" s="41"/>
    </row>
    <row r="6176" spans="20:20" s="566" customFormat="1">
      <c r="T6176" s="41"/>
    </row>
    <row r="6177" spans="20:20" s="566" customFormat="1">
      <c r="T6177" s="41"/>
    </row>
    <row r="6178" spans="20:20" s="566" customFormat="1">
      <c r="T6178" s="41"/>
    </row>
    <row r="6179" spans="20:20" s="566" customFormat="1">
      <c r="T6179" s="41"/>
    </row>
    <row r="6180" spans="20:20" s="566" customFormat="1">
      <c r="T6180" s="41"/>
    </row>
    <row r="6181" spans="20:20" s="566" customFormat="1">
      <c r="T6181" s="41"/>
    </row>
    <row r="6182" spans="20:20" s="566" customFormat="1">
      <c r="T6182" s="41"/>
    </row>
    <row r="6183" spans="20:20" s="566" customFormat="1">
      <c r="T6183" s="41"/>
    </row>
    <row r="6184" spans="20:20" s="566" customFormat="1">
      <c r="T6184" s="41"/>
    </row>
    <row r="6185" spans="20:20" s="566" customFormat="1">
      <c r="T6185" s="41"/>
    </row>
    <row r="6186" spans="20:20" s="566" customFormat="1">
      <c r="T6186" s="41"/>
    </row>
    <row r="6187" spans="20:20" s="566" customFormat="1">
      <c r="T6187" s="41"/>
    </row>
    <row r="6188" spans="20:20" s="566" customFormat="1">
      <c r="T6188" s="41"/>
    </row>
    <row r="6189" spans="20:20" s="566" customFormat="1">
      <c r="T6189" s="41"/>
    </row>
    <row r="6190" spans="20:20" s="566" customFormat="1">
      <c r="T6190" s="41"/>
    </row>
    <row r="6191" spans="20:20" s="566" customFormat="1">
      <c r="T6191" s="41"/>
    </row>
    <row r="6192" spans="20:20" s="566" customFormat="1">
      <c r="T6192" s="41"/>
    </row>
    <row r="6193" spans="20:20" s="566" customFormat="1">
      <c r="T6193" s="41"/>
    </row>
    <row r="6194" spans="20:20" s="566" customFormat="1">
      <c r="T6194" s="41"/>
    </row>
    <row r="6195" spans="20:20" s="566" customFormat="1">
      <c r="T6195" s="41"/>
    </row>
    <row r="6196" spans="20:20" s="566" customFormat="1">
      <c r="T6196" s="41"/>
    </row>
    <row r="6197" spans="20:20" s="566" customFormat="1">
      <c r="T6197" s="41"/>
    </row>
    <row r="6198" spans="20:20" s="566" customFormat="1">
      <c r="T6198" s="41"/>
    </row>
    <row r="6199" spans="20:20" s="566" customFormat="1">
      <c r="T6199" s="41"/>
    </row>
    <row r="6200" spans="20:20" s="566" customFormat="1">
      <c r="T6200" s="41"/>
    </row>
    <row r="6201" spans="20:20" s="566" customFormat="1">
      <c r="T6201" s="41"/>
    </row>
    <row r="6202" spans="20:20" s="566" customFormat="1">
      <c r="T6202" s="41"/>
    </row>
    <row r="6203" spans="20:20" s="566" customFormat="1">
      <c r="T6203" s="41"/>
    </row>
    <row r="6204" spans="20:20" s="566" customFormat="1">
      <c r="T6204" s="41"/>
    </row>
    <row r="6205" spans="20:20" s="566" customFormat="1">
      <c r="T6205" s="41"/>
    </row>
    <row r="6206" spans="20:20" s="566" customFormat="1">
      <c r="T6206" s="41"/>
    </row>
    <row r="6207" spans="20:20" s="566" customFormat="1">
      <c r="T6207" s="41"/>
    </row>
    <row r="6208" spans="20:20" s="566" customFormat="1">
      <c r="T6208" s="41"/>
    </row>
    <row r="6209" spans="20:20" s="566" customFormat="1">
      <c r="T6209" s="41"/>
    </row>
    <row r="6210" spans="20:20" s="566" customFormat="1">
      <c r="T6210" s="41"/>
    </row>
    <row r="6211" spans="20:20" s="566" customFormat="1">
      <c r="T6211" s="41"/>
    </row>
    <row r="6212" spans="20:20" s="566" customFormat="1">
      <c r="T6212" s="41"/>
    </row>
    <row r="6213" spans="20:20" s="566" customFormat="1">
      <c r="T6213" s="41"/>
    </row>
    <row r="6214" spans="20:20" s="566" customFormat="1">
      <c r="T6214" s="41"/>
    </row>
    <row r="6215" spans="20:20" s="566" customFormat="1">
      <c r="T6215" s="41"/>
    </row>
    <row r="6216" spans="20:20" s="566" customFormat="1">
      <c r="T6216" s="41"/>
    </row>
    <row r="6217" spans="20:20" s="566" customFormat="1">
      <c r="T6217" s="41"/>
    </row>
    <row r="6218" spans="20:20" s="566" customFormat="1">
      <c r="T6218" s="41"/>
    </row>
    <row r="6219" spans="20:20" s="566" customFormat="1">
      <c r="T6219" s="41"/>
    </row>
    <row r="6220" spans="20:20" s="566" customFormat="1">
      <c r="T6220" s="41"/>
    </row>
    <row r="6221" spans="20:20" s="566" customFormat="1">
      <c r="T6221" s="41"/>
    </row>
    <row r="6222" spans="20:20" s="566" customFormat="1">
      <c r="T6222" s="41"/>
    </row>
    <row r="6223" spans="20:20" s="566" customFormat="1">
      <c r="T6223" s="41"/>
    </row>
    <row r="6224" spans="20:20" s="566" customFormat="1">
      <c r="T6224" s="41"/>
    </row>
    <row r="6225" spans="20:20" s="566" customFormat="1">
      <c r="T6225" s="41"/>
    </row>
    <row r="6226" spans="20:20" s="566" customFormat="1">
      <c r="T6226" s="41"/>
    </row>
    <row r="6227" spans="20:20" s="566" customFormat="1">
      <c r="T6227" s="41"/>
    </row>
    <row r="6228" spans="20:20" s="566" customFormat="1">
      <c r="T6228" s="41"/>
    </row>
    <row r="6229" spans="20:20" s="566" customFormat="1">
      <c r="T6229" s="41"/>
    </row>
    <row r="6230" spans="20:20" s="566" customFormat="1">
      <c r="T6230" s="41"/>
    </row>
    <row r="6231" spans="20:20" s="566" customFormat="1">
      <c r="T6231" s="41"/>
    </row>
    <row r="6232" spans="20:20" s="566" customFormat="1">
      <c r="T6232" s="41"/>
    </row>
    <row r="6233" spans="20:20" s="566" customFormat="1">
      <c r="T6233" s="41"/>
    </row>
    <row r="6234" spans="20:20" s="566" customFormat="1">
      <c r="T6234" s="41"/>
    </row>
    <row r="6235" spans="20:20" s="566" customFormat="1">
      <c r="T6235" s="41"/>
    </row>
    <row r="6236" spans="20:20" s="566" customFormat="1">
      <c r="T6236" s="41"/>
    </row>
    <row r="6237" spans="20:20" s="566" customFormat="1">
      <c r="T6237" s="41"/>
    </row>
    <row r="6238" spans="20:20" s="566" customFormat="1">
      <c r="T6238" s="41"/>
    </row>
    <row r="6239" spans="20:20" s="566" customFormat="1">
      <c r="T6239" s="41"/>
    </row>
    <row r="6240" spans="20:20" s="566" customFormat="1">
      <c r="T6240" s="41"/>
    </row>
    <row r="6241" spans="20:20" s="566" customFormat="1">
      <c r="T6241" s="41"/>
    </row>
    <row r="6242" spans="20:20" s="566" customFormat="1">
      <c r="T6242" s="41"/>
    </row>
    <row r="6243" spans="20:20" s="566" customFormat="1">
      <c r="T6243" s="41"/>
    </row>
    <row r="6244" spans="20:20" s="566" customFormat="1">
      <c r="T6244" s="41"/>
    </row>
    <row r="6245" spans="20:20" s="566" customFormat="1">
      <c r="T6245" s="41"/>
    </row>
    <row r="6246" spans="20:20" s="566" customFormat="1">
      <c r="T6246" s="41"/>
    </row>
    <row r="6247" spans="20:20" s="566" customFormat="1">
      <c r="T6247" s="41"/>
    </row>
    <row r="6248" spans="20:20" s="566" customFormat="1">
      <c r="T6248" s="41"/>
    </row>
    <row r="6249" spans="20:20" s="566" customFormat="1">
      <c r="T6249" s="41"/>
    </row>
    <row r="6250" spans="20:20" s="566" customFormat="1">
      <c r="T6250" s="41"/>
    </row>
    <row r="6251" spans="20:20" s="566" customFormat="1">
      <c r="T6251" s="41"/>
    </row>
    <row r="6252" spans="20:20" s="566" customFormat="1">
      <c r="T6252" s="41"/>
    </row>
    <row r="6253" spans="20:20" s="566" customFormat="1">
      <c r="T6253" s="41"/>
    </row>
    <row r="6254" spans="20:20" s="566" customFormat="1">
      <c r="T6254" s="41"/>
    </row>
    <row r="6255" spans="20:20" s="566" customFormat="1">
      <c r="T6255" s="41"/>
    </row>
    <row r="6256" spans="20:20" s="566" customFormat="1">
      <c r="T6256" s="41"/>
    </row>
    <row r="6257" spans="20:20" s="566" customFormat="1">
      <c r="T6257" s="41"/>
    </row>
    <row r="6258" spans="20:20" s="566" customFormat="1">
      <c r="T6258" s="41"/>
    </row>
    <row r="6259" spans="20:20" s="566" customFormat="1">
      <c r="T6259" s="41"/>
    </row>
    <row r="6260" spans="20:20" s="566" customFormat="1">
      <c r="T6260" s="41"/>
    </row>
    <row r="6261" spans="20:20" s="566" customFormat="1">
      <c r="T6261" s="41"/>
    </row>
    <row r="6262" spans="20:20" s="566" customFormat="1">
      <c r="T6262" s="41"/>
    </row>
    <row r="6263" spans="20:20" s="566" customFormat="1">
      <c r="T6263" s="41"/>
    </row>
    <row r="6264" spans="20:20" s="566" customFormat="1">
      <c r="T6264" s="41"/>
    </row>
    <row r="6265" spans="20:20" s="566" customFormat="1">
      <c r="T6265" s="41"/>
    </row>
    <row r="6266" spans="20:20" s="566" customFormat="1">
      <c r="T6266" s="41"/>
    </row>
    <row r="6267" spans="20:20" s="566" customFormat="1">
      <c r="T6267" s="41"/>
    </row>
    <row r="6268" spans="20:20" s="566" customFormat="1">
      <c r="T6268" s="41"/>
    </row>
    <row r="6269" spans="20:20" s="566" customFormat="1">
      <c r="T6269" s="41"/>
    </row>
    <row r="6270" spans="20:20" s="566" customFormat="1">
      <c r="T6270" s="41"/>
    </row>
    <row r="6271" spans="20:20" s="566" customFormat="1">
      <c r="T6271" s="41"/>
    </row>
    <row r="6272" spans="20:20" s="566" customFormat="1">
      <c r="T6272" s="41"/>
    </row>
    <row r="6273" spans="20:20" s="566" customFormat="1">
      <c r="T6273" s="41"/>
    </row>
    <row r="6274" spans="20:20" s="566" customFormat="1">
      <c r="T6274" s="41"/>
    </row>
    <row r="6275" spans="20:20" s="566" customFormat="1">
      <c r="T6275" s="41"/>
    </row>
    <row r="6276" spans="20:20" s="566" customFormat="1">
      <c r="T6276" s="41"/>
    </row>
    <row r="6277" spans="20:20" s="566" customFormat="1">
      <c r="T6277" s="41"/>
    </row>
    <row r="6278" spans="20:20" s="566" customFormat="1">
      <c r="T6278" s="41"/>
    </row>
    <row r="6279" spans="20:20" s="566" customFormat="1">
      <c r="T6279" s="41"/>
    </row>
    <row r="6280" spans="20:20" s="566" customFormat="1">
      <c r="T6280" s="41"/>
    </row>
    <row r="6281" spans="20:20" s="566" customFormat="1">
      <c r="T6281" s="41"/>
    </row>
    <row r="6282" spans="20:20" s="566" customFormat="1">
      <c r="T6282" s="41"/>
    </row>
    <row r="6283" spans="20:20" s="566" customFormat="1">
      <c r="T6283" s="41"/>
    </row>
    <row r="6284" spans="20:20" s="566" customFormat="1">
      <c r="T6284" s="41"/>
    </row>
    <row r="6285" spans="20:20" s="566" customFormat="1">
      <c r="T6285" s="41"/>
    </row>
    <row r="6286" spans="20:20" s="566" customFormat="1">
      <c r="T6286" s="41"/>
    </row>
    <row r="6287" spans="20:20" s="566" customFormat="1">
      <c r="T6287" s="41"/>
    </row>
    <row r="6288" spans="20:20" s="566" customFormat="1">
      <c r="T6288" s="41"/>
    </row>
    <row r="6289" spans="20:20" s="566" customFormat="1">
      <c r="T6289" s="41"/>
    </row>
    <row r="6290" spans="20:20" s="566" customFormat="1">
      <c r="T6290" s="41"/>
    </row>
    <row r="6291" spans="20:20" s="566" customFormat="1">
      <c r="T6291" s="41"/>
    </row>
    <row r="6292" spans="20:20" s="566" customFormat="1">
      <c r="T6292" s="41"/>
    </row>
    <row r="6293" spans="20:20" s="566" customFormat="1">
      <c r="T6293" s="41"/>
    </row>
    <row r="6294" spans="20:20" s="566" customFormat="1">
      <c r="T6294" s="41"/>
    </row>
    <row r="6295" spans="20:20" s="566" customFormat="1">
      <c r="T6295" s="41"/>
    </row>
    <row r="6296" spans="20:20" s="566" customFormat="1">
      <c r="T6296" s="41"/>
    </row>
    <row r="6297" spans="20:20" s="566" customFormat="1">
      <c r="T6297" s="41"/>
    </row>
    <row r="6298" spans="20:20" s="566" customFormat="1">
      <c r="T6298" s="41"/>
    </row>
    <row r="6299" spans="20:20" s="566" customFormat="1">
      <c r="T6299" s="41"/>
    </row>
    <row r="6300" spans="20:20" s="566" customFormat="1">
      <c r="T6300" s="41"/>
    </row>
    <row r="6301" spans="20:20" s="566" customFormat="1">
      <c r="T6301" s="41"/>
    </row>
    <row r="6302" spans="20:20" s="566" customFormat="1">
      <c r="T6302" s="41"/>
    </row>
    <row r="6303" spans="20:20" s="566" customFormat="1">
      <c r="T6303" s="41"/>
    </row>
    <row r="6304" spans="20:20" s="566" customFormat="1">
      <c r="T6304" s="41"/>
    </row>
    <row r="6305" spans="20:20" s="566" customFormat="1">
      <c r="T6305" s="41"/>
    </row>
    <row r="6306" spans="20:20" s="566" customFormat="1">
      <c r="T6306" s="41"/>
    </row>
    <row r="6307" spans="20:20" s="566" customFormat="1">
      <c r="T6307" s="41"/>
    </row>
    <row r="6308" spans="20:20" s="566" customFormat="1">
      <c r="T6308" s="41"/>
    </row>
    <row r="6309" spans="20:20" s="566" customFormat="1">
      <c r="T6309" s="41"/>
    </row>
    <row r="6310" spans="20:20" s="566" customFormat="1">
      <c r="T6310" s="41"/>
    </row>
    <row r="6311" spans="20:20" s="566" customFormat="1">
      <c r="T6311" s="41"/>
    </row>
    <row r="6312" spans="20:20" s="566" customFormat="1">
      <c r="T6312" s="41"/>
    </row>
    <row r="6313" spans="20:20" s="566" customFormat="1">
      <c r="T6313" s="41"/>
    </row>
    <row r="6314" spans="20:20" s="566" customFormat="1">
      <c r="T6314" s="41"/>
    </row>
    <row r="6315" spans="20:20" s="566" customFormat="1">
      <c r="T6315" s="41"/>
    </row>
    <row r="6316" spans="20:20" s="566" customFormat="1">
      <c r="T6316" s="41"/>
    </row>
    <row r="6317" spans="20:20" s="566" customFormat="1">
      <c r="T6317" s="41"/>
    </row>
    <row r="6318" spans="20:20" s="566" customFormat="1">
      <c r="T6318" s="41"/>
    </row>
    <row r="6319" spans="20:20" s="566" customFormat="1">
      <c r="T6319" s="41"/>
    </row>
    <row r="6320" spans="20:20" s="566" customFormat="1">
      <c r="T6320" s="41"/>
    </row>
    <row r="6321" spans="20:20" s="566" customFormat="1">
      <c r="T6321" s="41"/>
    </row>
    <row r="6322" spans="20:20" s="566" customFormat="1">
      <c r="T6322" s="41"/>
    </row>
    <row r="6323" spans="20:20" s="566" customFormat="1">
      <c r="T6323" s="41"/>
    </row>
    <row r="6324" spans="20:20" s="566" customFormat="1">
      <c r="T6324" s="41"/>
    </row>
    <row r="6325" spans="20:20" s="566" customFormat="1">
      <c r="T6325" s="41"/>
    </row>
    <row r="6326" spans="20:20" s="566" customFormat="1">
      <c r="T6326" s="41"/>
    </row>
    <row r="6327" spans="20:20" s="566" customFormat="1">
      <c r="T6327" s="41"/>
    </row>
    <row r="6328" spans="20:20" s="566" customFormat="1">
      <c r="T6328" s="41"/>
    </row>
    <row r="6329" spans="20:20" s="566" customFormat="1">
      <c r="T6329" s="41"/>
    </row>
    <row r="6330" spans="20:20" s="566" customFormat="1">
      <c r="T6330" s="41"/>
    </row>
    <row r="6331" spans="20:20" s="566" customFormat="1">
      <c r="T6331" s="41"/>
    </row>
    <row r="6332" spans="20:20" s="566" customFormat="1">
      <c r="T6332" s="41"/>
    </row>
    <row r="6333" spans="20:20" s="566" customFormat="1">
      <c r="T6333" s="41"/>
    </row>
    <row r="6334" spans="20:20" s="566" customFormat="1">
      <c r="T6334" s="41"/>
    </row>
    <row r="6335" spans="20:20" s="566" customFormat="1">
      <c r="T6335" s="41"/>
    </row>
    <row r="6336" spans="20:20" s="566" customFormat="1">
      <c r="T6336" s="41"/>
    </row>
    <row r="6337" spans="20:20" s="566" customFormat="1">
      <c r="T6337" s="41"/>
    </row>
    <row r="6338" spans="20:20" s="566" customFormat="1">
      <c r="T6338" s="41"/>
    </row>
    <row r="6339" spans="20:20" s="566" customFormat="1">
      <c r="T6339" s="41"/>
    </row>
    <row r="6340" spans="20:20" s="566" customFormat="1">
      <c r="T6340" s="41"/>
    </row>
    <row r="6341" spans="20:20" s="566" customFormat="1">
      <c r="T6341" s="41"/>
    </row>
    <row r="6342" spans="20:20" s="566" customFormat="1">
      <c r="T6342" s="41"/>
    </row>
    <row r="6343" spans="20:20" s="566" customFormat="1">
      <c r="T6343" s="41"/>
    </row>
    <row r="6344" spans="20:20" s="566" customFormat="1">
      <c r="T6344" s="41"/>
    </row>
    <row r="6345" spans="20:20" s="566" customFormat="1">
      <c r="T6345" s="41"/>
    </row>
    <row r="6346" spans="20:20" s="566" customFormat="1">
      <c r="T6346" s="41"/>
    </row>
    <row r="6347" spans="20:20" s="566" customFormat="1">
      <c r="T6347" s="41"/>
    </row>
    <row r="6348" spans="20:20" s="566" customFormat="1">
      <c r="T6348" s="41"/>
    </row>
    <row r="6349" spans="20:20" s="566" customFormat="1">
      <c r="T6349" s="41"/>
    </row>
    <row r="6350" spans="20:20" s="566" customFormat="1">
      <c r="T6350" s="41"/>
    </row>
    <row r="6351" spans="20:20" s="566" customFormat="1">
      <c r="T6351" s="41"/>
    </row>
    <row r="6352" spans="20:20" s="566" customFormat="1">
      <c r="T6352" s="41"/>
    </row>
    <row r="6353" spans="20:20" s="566" customFormat="1">
      <c r="T6353" s="41"/>
    </row>
    <row r="6354" spans="20:20" s="566" customFormat="1">
      <c r="T6354" s="41"/>
    </row>
    <row r="6355" spans="20:20" s="566" customFormat="1">
      <c r="T6355" s="41"/>
    </row>
    <row r="6356" spans="20:20" s="566" customFormat="1">
      <c r="T6356" s="41"/>
    </row>
    <row r="6357" spans="20:20" s="566" customFormat="1">
      <c r="T6357" s="41"/>
    </row>
    <row r="6358" spans="20:20" s="566" customFormat="1">
      <c r="T6358" s="41"/>
    </row>
    <row r="6359" spans="20:20" s="566" customFormat="1">
      <c r="T6359" s="41"/>
    </row>
    <row r="6360" spans="20:20" s="566" customFormat="1">
      <c r="T6360" s="41"/>
    </row>
    <row r="6361" spans="20:20" s="566" customFormat="1">
      <c r="T6361" s="41"/>
    </row>
    <row r="6362" spans="20:20" s="566" customFormat="1">
      <c r="T6362" s="41"/>
    </row>
    <row r="6363" spans="20:20" s="566" customFormat="1">
      <c r="T6363" s="41"/>
    </row>
    <row r="6364" spans="20:20" s="566" customFormat="1">
      <c r="T6364" s="41"/>
    </row>
    <row r="6365" spans="20:20" s="566" customFormat="1">
      <c r="T6365" s="41"/>
    </row>
    <row r="6366" spans="20:20" s="566" customFormat="1">
      <c r="T6366" s="41"/>
    </row>
    <row r="6367" spans="20:20" s="566" customFormat="1">
      <c r="T6367" s="41"/>
    </row>
    <row r="6368" spans="20:20" s="566" customFormat="1">
      <c r="T6368" s="41"/>
    </row>
    <row r="6369" spans="20:20" s="566" customFormat="1">
      <c r="T6369" s="41"/>
    </row>
    <row r="6370" spans="20:20" s="566" customFormat="1">
      <c r="T6370" s="41"/>
    </row>
    <row r="6371" spans="20:20" s="566" customFormat="1">
      <c r="T6371" s="41"/>
    </row>
    <row r="6372" spans="20:20" s="566" customFormat="1">
      <c r="T6372" s="41"/>
    </row>
    <row r="6373" spans="20:20" s="566" customFormat="1">
      <c r="T6373" s="41"/>
    </row>
    <row r="6374" spans="20:20" s="566" customFormat="1">
      <c r="T6374" s="41"/>
    </row>
    <row r="6375" spans="20:20" s="566" customFormat="1">
      <c r="T6375" s="41"/>
    </row>
    <row r="6376" spans="20:20" s="566" customFormat="1">
      <c r="T6376" s="41"/>
    </row>
    <row r="6377" spans="20:20" s="566" customFormat="1">
      <c r="T6377" s="41"/>
    </row>
    <row r="6378" spans="20:20" s="566" customFormat="1">
      <c r="T6378" s="41"/>
    </row>
    <row r="6379" spans="20:20" s="566" customFormat="1">
      <c r="T6379" s="41"/>
    </row>
    <row r="6380" spans="20:20" s="566" customFormat="1">
      <c r="T6380" s="41"/>
    </row>
    <row r="6381" spans="20:20" s="566" customFormat="1">
      <c r="T6381" s="41"/>
    </row>
    <row r="6382" spans="20:20" s="566" customFormat="1">
      <c r="T6382" s="41"/>
    </row>
    <row r="6383" spans="20:20" s="566" customFormat="1">
      <c r="T6383" s="41"/>
    </row>
    <row r="6384" spans="20:20" s="566" customFormat="1">
      <c r="T6384" s="41"/>
    </row>
    <row r="6385" spans="20:20" s="566" customFormat="1">
      <c r="T6385" s="41"/>
    </row>
    <row r="6386" spans="20:20" s="566" customFormat="1">
      <c r="T6386" s="41"/>
    </row>
    <row r="6387" spans="20:20" s="566" customFormat="1">
      <c r="T6387" s="41"/>
    </row>
    <row r="6388" spans="20:20" s="566" customFormat="1">
      <c r="T6388" s="41"/>
    </row>
    <row r="6389" spans="20:20" s="566" customFormat="1">
      <c r="T6389" s="41"/>
    </row>
    <row r="6390" spans="20:20" s="566" customFormat="1">
      <c r="T6390" s="41"/>
    </row>
    <row r="6391" spans="20:20" s="566" customFormat="1">
      <c r="T6391" s="41"/>
    </row>
    <row r="6392" spans="20:20" s="566" customFormat="1">
      <c r="T6392" s="41"/>
    </row>
    <row r="6393" spans="20:20" s="566" customFormat="1">
      <c r="T6393" s="41"/>
    </row>
    <row r="6394" spans="20:20" s="566" customFormat="1">
      <c r="T6394" s="41"/>
    </row>
    <row r="6395" spans="20:20" s="566" customFormat="1">
      <c r="T6395" s="41"/>
    </row>
    <row r="6396" spans="20:20" s="566" customFormat="1">
      <c r="T6396" s="41"/>
    </row>
    <row r="6397" spans="20:20" s="566" customFormat="1">
      <c r="T6397" s="41"/>
    </row>
    <row r="6398" spans="20:20" s="566" customFormat="1">
      <c r="T6398" s="41"/>
    </row>
    <row r="6399" spans="20:20" s="566" customFormat="1">
      <c r="T6399" s="41"/>
    </row>
    <row r="6400" spans="20:20" s="566" customFormat="1">
      <c r="T6400" s="41"/>
    </row>
    <row r="6401" spans="20:20" s="566" customFormat="1">
      <c r="T6401" s="41"/>
    </row>
    <row r="6402" spans="20:20" s="566" customFormat="1">
      <c r="T6402" s="41"/>
    </row>
    <row r="6403" spans="20:20" s="566" customFormat="1">
      <c r="T6403" s="41"/>
    </row>
    <row r="6404" spans="20:20" s="566" customFormat="1">
      <c r="T6404" s="41"/>
    </row>
    <row r="6405" spans="20:20" s="566" customFormat="1">
      <c r="T6405" s="41"/>
    </row>
    <row r="6406" spans="20:20" s="566" customFormat="1">
      <c r="T6406" s="41"/>
    </row>
    <row r="6407" spans="20:20" s="566" customFormat="1">
      <c r="T6407" s="41"/>
    </row>
    <row r="6408" spans="20:20" s="566" customFormat="1">
      <c r="T6408" s="41"/>
    </row>
    <row r="6409" spans="20:20" s="566" customFormat="1">
      <c r="T6409" s="41"/>
    </row>
    <row r="6410" spans="20:20" s="566" customFormat="1">
      <c r="T6410" s="41"/>
    </row>
    <row r="6411" spans="20:20" s="566" customFormat="1">
      <c r="T6411" s="41"/>
    </row>
    <row r="6412" spans="20:20" s="566" customFormat="1">
      <c r="T6412" s="41"/>
    </row>
    <row r="6413" spans="20:20" s="566" customFormat="1">
      <c r="T6413" s="41"/>
    </row>
    <row r="6414" spans="20:20" s="566" customFormat="1">
      <c r="T6414" s="41"/>
    </row>
    <row r="6415" spans="20:20" s="566" customFormat="1">
      <c r="T6415" s="41"/>
    </row>
    <row r="6416" spans="20:20" s="566" customFormat="1">
      <c r="T6416" s="41"/>
    </row>
    <row r="6417" spans="20:20" s="566" customFormat="1">
      <c r="T6417" s="41"/>
    </row>
    <row r="6418" spans="20:20" s="566" customFormat="1">
      <c r="T6418" s="41"/>
    </row>
    <row r="6419" spans="20:20" s="566" customFormat="1">
      <c r="T6419" s="41"/>
    </row>
    <row r="6420" spans="20:20" s="566" customFormat="1">
      <c r="T6420" s="41"/>
    </row>
    <row r="6421" spans="20:20" s="566" customFormat="1">
      <c r="T6421" s="41"/>
    </row>
    <row r="6422" spans="20:20" s="566" customFormat="1">
      <c r="T6422" s="41"/>
    </row>
    <row r="6423" spans="20:20" s="566" customFormat="1">
      <c r="T6423" s="41"/>
    </row>
    <row r="6424" spans="20:20" s="566" customFormat="1">
      <c r="T6424" s="41"/>
    </row>
    <row r="6425" spans="20:20" s="566" customFormat="1">
      <c r="T6425" s="41"/>
    </row>
    <row r="6426" spans="20:20" s="566" customFormat="1">
      <c r="T6426" s="41"/>
    </row>
    <row r="6427" spans="20:20" s="566" customFormat="1">
      <c r="T6427" s="41"/>
    </row>
    <row r="6428" spans="20:20" s="566" customFormat="1">
      <c r="T6428" s="41"/>
    </row>
    <row r="6429" spans="20:20" s="566" customFormat="1">
      <c r="T6429" s="41"/>
    </row>
    <row r="6430" spans="20:20" s="566" customFormat="1">
      <c r="T6430" s="41"/>
    </row>
    <row r="6431" spans="20:20" s="566" customFormat="1">
      <c r="T6431" s="41"/>
    </row>
    <row r="6432" spans="20:20" s="566" customFormat="1">
      <c r="T6432" s="41"/>
    </row>
    <row r="6433" spans="20:20" s="566" customFormat="1">
      <c r="T6433" s="41"/>
    </row>
    <row r="6434" spans="20:20" s="566" customFormat="1">
      <c r="T6434" s="41"/>
    </row>
    <row r="6435" spans="20:20" s="566" customFormat="1">
      <c r="T6435" s="41"/>
    </row>
    <row r="6436" spans="20:20" s="566" customFormat="1">
      <c r="T6436" s="41"/>
    </row>
    <row r="6437" spans="20:20" s="566" customFormat="1">
      <c r="T6437" s="41"/>
    </row>
    <row r="6438" spans="20:20" s="566" customFormat="1">
      <c r="T6438" s="41"/>
    </row>
    <row r="6439" spans="20:20" s="566" customFormat="1">
      <c r="T6439" s="41"/>
    </row>
    <row r="6440" spans="20:20" s="566" customFormat="1">
      <c r="T6440" s="41"/>
    </row>
    <row r="6441" spans="20:20" s="566" customFormat="1">
      <c r="T6441" s="41"/>
    </row>
    <row r="6442" spans="20:20" s="566" customFormat="1">
      <c r="T6442" s="41"/>
    </row>
    <row r="6443" spans="20:20" s="566" customFormat="1">
      <c r="T6443" s="41"/>
    </row>
    <row r="6444" spans="20:20" s="566" customFormat="1">
      <c r="T6444" s="41"/>
    </row>
    <row r="6445" spans="20:20" s="566" customFormat="1">
      <c r="T6445" s="41"/>
    </row>
    <row r="6446" spans="20:20" s="566" customFormat="1">
      <c r="T6446" s="41"/>
    </row>
    <row r="6447" spans="20:20" s="566" customFormat="1">
      <c r="T6447" s="41"/>
    </row>
    <row r="6448" spans="20:20" s="566" customFormat="1">
      <c r="T6448" s="41"/>
    </row>
    <row r="6449" spans="20:20" s="566" customFormat="1">
      <c r="T6449" s="41"/>
    </row>
    <row r="6450" spans="20:20" s="566" customFormat="1">
      <c r="T6450" s="41"/>
    </row>
    <row r="6451" spans="20:20" s="566" customFormat="1">
      <c r="T6451" s="41"/>
    </row>
    <row r="6452" spans="20:20" s="566" customFormat="1">
      <c r="T6452" s="41"/>
    </row>
    <row r="6453" spans="20:20" s="566" customFormat="1">
      <c r="T6453" s="41"/>
    </row>
    <row r="6454" spans="20:20" s="566" customFormat="1">
      <c r="T6454" s="41"/>
    </row>
    <row r="6455" spans="20:20" s="566" customFormat="1">
      <c r="T6455" s="41"/>
    </row>
    <row r="6456" spans="20:20" s="566" customFormat="1">
      <c r="T6456" s="41"/>
    </row>
    <row r="6457" spans="20:20" s="566" customFormat="1">
      <c r="T6457" s="41"/>
    </row>
    <row r="6458" spans="20:20" s="566" customFormat="1">
      <c r="T6458" s="41"/>
    </row>
    <row r="6459" spans="20:20" s="566" customFormat="1">
      <c r="T6459" s="41"/>
    </row>
    <row r="6460" spans="20:20" s="566" customFormat="1">
      <c r="T6460" s="41"/>
    </row>
    <row r="6461" spans="20:20" s="566" customFormat="1">
      <c r="T6461" s="41"/>
    </row>
    <row r="6462" spans="20:20" s="566" customFormat="1">
      <c r="T6462" s="41"/>
    </row>
    <row r="6463" spans="20:20" s="566" customFormat="1">
      <c r="T6463" s="41"/>
    </row>
    <row r="6464" spans="20:20" s="566" customFormat="1">
      <c r="T6464" s="41"/>
    </row>
    <row r="6465" spans="20:20" s="566" customFormat="1">
      <c r="T6465" s="41"/>
    </row>
    <row r="6466" spans="20:20" s="566" customFormat="1">
      <c r="T6466" s="41"/>
    </row>
    <row r="6467" spans="20:20" s="566" customFormat="1">
      <c r="T6467" s="41"/>
    </row>
    <row r="6468" spans="20:20" s="566" customFormat="1">
      <c r="T6468" s="41"/>
    </row>
    <row r="6469" spans="20:20" s="566" customFormat="1">
      <c r="T6469" s="41"/>
    </row>
    <row r="6470" spans="20:20" s="566" customFormat="1">
      <c r="T6470" s="41"/>
    </row>
    <row r="6471" spans="20:20" s="566" customFormat="1">
      <c r="T6471" s="41"/>
    </row>
    <row r="6472" spans="20:20" s="566" customFormat="1">
      <c r="T6472" s="41"/>
    </row>
    <row r="6473" spans="20:20" s="566" customFormat="1">
      <c r="T6473" s="41"/>
    </row>
    <row r="6474" spans="20:20" s="566" customFormat="1">
      <c r="T6474" s="41"/>
    </row>
    <row r="6475" spans="20:20" s="566" customFormat="1">
      <c r="T6475" s="41"/>
    </row>
    <row r="6476" spans="20:20" s="566" customFormat="1">
      <c r="T6476" s="41"/>
    </row>
    <row r="6477" spans="20:20" s="566" customFormat="1">
      <c r="T6477" s="41"/>
    </row>
    <row r="6478" spans="20:20" s="566" customFormat="1">
      <c r="T6478" s="41"/>
    </row>
    <row r="6479" spans="20:20" s="566" customFormat="1">
      <c r="T6479" s="41"/>
    </row>
    <row r="6480" spans="20:20" s="566" customFormat="1">
      <c r="T6480" s="41"/>
    </row>
    <row r="6481" spans="20:20" s="566" customFormat="1">
      <c r="T6481" s="41"/>
    </row>
    <row r="6482" spans="20:20" s="566" customFormat="1">
      <c r="T6482" s="41"/>
    </row>
    <row r="6483" spans="20:20" s="566" customFormat="1">
      <c r="T6483" s="41"/>
    </row>
    <row r="6484" spans="20:20" s="566" customFormat="1">
      <c r="T6484" s="41"/>
    </row>
    <row r="6485" spans="20:20" s="566" customFormat="1">
      <c r="T6485" s="41"/>
    </row>
    <row r="6486" spans="20:20" s="566" customFormat="1">
      <c r="T6486" s="41"/>
    </row>
    <row r="6487" spans="20:20" s="566" customFormat="1">
      <c r="T6487" s="41"/>
    </row>
    <row r="6488" spans="20:20" s="566" customFormat="1">
      <c r="T6488" s="41"/>
    </row>
    <row r="6489" spans="20:20" s="566" customFormat="1">
      <c r="T6489" s="41"/>
    </row>
    <row r="6490" spans="20:20" s="566" customFormat="1">
      <c r="T6490" s="41"/>
    </row>
    <row r="6491" spans="20:20" s="566" customFormat="1">
      <c r="T6491" s="41"/>
    </row>
    <row r="6492" spans="20:20" s="566" customFormat="1">
      <c r="T6492" s="41"/>
    </row>
    <row r="6493" spans="20:20" s="566" customFormat="1">
      <c r="T6493" s="41"/>
    </row>
    <row r="6494" spans="20:20" s="566" customFormat="1">
      <c r="T6494" s="41"/>
    </row>
    <row r="6495" spans="20:20" s="566" customFormat="1">
      <c r="T6495" s="41"/>
    </row>
    <row r="6496" spans="20:20" s="566" customFormat="1">
      <c r="T6496" s="41"/>
    </row>
    <row r="6497" spans="20:20" s="566" customFormat="1">
      <c r="T6497" s="41"/>
    </row>
    <row r="6498" spans="20:20" s="566" customFormat="1">
      <c r="T6498" s="41"/>
    </row>
    <row r="6499" spans="20:20" s="566" customFormat="1">
      <c r="T6499" s="41"/>
    </row>
    <row r="6500" spans="20:20" s="566" customFormat="1">
      <c r="T6500" s="41"/>
    </row>
    <row r="6501" spans="20:20" s="566" customFormat="1">
      <c r="T6501" s="41"/>
    </row>
    <row r="6502" spans="20:20" s="566" customFormat="1">
      <c r="T6502" s="41"/>
    </row>
    <row r="6503" spans="20:20" s="566" customFormat="1">
      <c r="T6503" s="41"/>
    </row>
    <row r="6504" spans="20:20" s="566" customFormat="1">
      <c r="T6504" s="41"/>
    </row>
    <row r="6505" spans="20:20" s="566" customFormat="1">
      <c r="T6505" s="41"/>
    </row>
    <row r="6506" spans="20:20" s="566" customFormat="1">
      <c r="T6506" s="41"/>
    </row>
    <row r="6507" spans="20:20" s="566" customFormat="1">
      <c r="T6507" s="41"/>
    </row>
    <row r="6508" spans="20:20" s="566" customFormat="1">
      <c r="T6508" s="41"/>
    </row>
    <row r="6509" spans="20:20" s="566" customFormat="1">
      <c r="T6509" s="41"/>
    </row>
    <row r="6510" spans="20:20" s="566" customFormat="1">
      <c r="T6510" s="41"/>
    </row>
    <row r="6511" spans="20:20" s="566" customFormat="1">
      <c r="T6511" s="41"/>
    </row>
    <row r="6512" spans="20:20" s="566" customFormat="1">
      <c r="T6512" s="41"/>
    </row>
    <row r="6513" spans="20:20" s="566" customFormat="1">
      <c r="T6513" s="41"/>
    </row>
    <row r="6514" spans="20:20" s="566" customFormat="1">
      <c r="T6514" s="41"/>
    </row>
    <row r="6515" spans="20:20" s="566" customFormat="1">
      <c r="T6515" s="41"/>
    </row>
    <row r="6516" spans="20:20" s="566" customFormat="1">
      <c r="T6516" s="41"/>
    </row>
    <row r="6517" spans="20:20" s="566" customFormat="1">
      <c r="T6517" s="41"/>
    </row>
    <row r="6518" spans="20:20" s="566" customFormat="1">
      <c r="T6518" s="41"/>
    </row>
    <row r="6519" spans="20:20" s="566" customFormat="1">
      <c r="T6519" s="41"/>
    </row>
    <row r="6520" spans="20:20" s="566" customFormat="1">
      <c r="T6520" s="41"/>
    </row>
    <row r="6521" spans="20:20" s="566" customFormat="1">
      <c r="T6521" s="41"/>
    </row>
    <row r="6522" spans="20:20" s="566" customFormat="1">
      <c r="T6522" s="41"/>
    </row>
    <row r="6523" spans="20:20" s="566" customFormat="1">
      <c r="T6523" s="41"/>
    </row>
    <row r="6524" spans="20:20" s="566" customFormat="1">
      <c r="T6524" s="41"/>
    </row>
    <row r="6525" spans="20:20" s="566" customFormat="1">
      <c r="T6525" s="41"/>
    </row>
    <row r="6526" spans="20:20" s="566" customFormat="1">
      <c r="T6526" s="41"/>
    </row>
    <row r="6527" spans="20:20" s="566" customFormat="1">
      <c r="T6527" s="41"/>
    </row>
    <row r="6528" spans="20:20" s="566" customFormat="1">
      <c r="T6528" s="41"/>
    </row>
    <row r="6529" spans="20:20" s="566" customFormat="1">
      <c r="T6529" s="41"/>
    </row>
    <row r="6530" spans="20:20" s="566" customFormat="1">
      <c r="T6530" s="41"/>
    </row>
    <row r="6531" spans="20:20" s="566" customFormat="1">
      <c r="T6531" s="41"/>
    </row>
    <row r="6532" spans="20:20" s="566" customFormat="1">
      <c r="T6532" s="41"/>
    </row>
    <row r="6533" spans="20:20" s="566" customFormat="1">
      <c r="T6533" s="41"/>
    </row>
    <row r="6534" spans="20:20" s="566" customFormat="1">
      <c r="T6534" s="41"/>
    </row>
    <row r="6535" spans="20:20" s="566" customFormat="1">
      <c r="T6535" s="41"/>
    </row>
    <row r="6536" spans="20:20" s="566" customFormat="1">
      <c r="T6536" s="41"/>
    </row>
    <row r="6537" spans="20:20" s="566" customFormat="1">
      <c r="T6537" s="41"/>
    </row>
    <row r="6538" spans="20:20" s="566" customFormat="1">
      <c r="T6538" s="41"/>
    </row>
    <row r="6539" spans="20:20" s="566" customFormat="1">
      <c r="T6539" s="41"/>
    </row>
    <row r="6540" spans="20:20" s="566" customFormat="1">
      <c r="T6540" s="41"/>
    </row>
    <row r="6541" spans="20:20" s="566" customFormat="1">
      <c r="T6541" s="41"/>
    </row>
    <row r="6542" spans="20:20" s="566" customFormat="1">
      <c r="T6542" s="41"/>
    </row>
    <row r="6543" spans="20:20" s="566" customFormat="1">
      <c r="T6543" s="41"/>
    </row>
    <row r="6544" spans="20:20" s="566" customFormat="1">
      <c r="T6544" s="41"/>
    </row>
    <row r="6545" spans="20:20" s="566" customFormat="1">
      <c r="T6545" s="41"/>
    </row>
    <row r="6546" spans="20:20" s="566" customFormat="1">
      <c r="T6546" s="41"/>
    </row>
    <row r="6547" spans="20:20" s="566" customFormat="1">
      <c r="T6547" s="41"/>
    </row>
    <row r="6548" spans="20:20" s="566" customFormat="1">
      <c r="T6548" s="41"/>
    </row>
    <row r="6549" spans="20:20" s="566" customFormat="1">
      <c r="T6549" s="41"/>
    </row>
    <row r="6550" spans="20:20" s="566" customFormat="1">
      <c r="T6550" s="41"/>
    </row>
    <row r="6551" spans="20:20" s="566" customFormat="1">
      <c r="T6551" s="41"/>
    </row>
    <row r="6552" spans="20:20" s="566" customFormat="1">
      <c r="T6552" s="41"/>
    </row>
    <row r="6553" spans="20:20" s="566" customFormat="1">
      <c r="T6553" s="41"/>
    </row>
    <row r="6554" spans="20:20" s="566" customFormat="1">
      <c r="T6554" s="41"/>
    </row>
    <row r="6555" spans="20:20" s="566" customFormat="1">
      <c r="T6555" s="41"/>
    </row>
    <row r="6556" spans="20:20" s="566" customFormat="1">
      <c r="T6556" s="41"/>
    </row>
    <row r="6557" spans="20:20" s="566" customFormat="1">
      <c r="T6557" s="41"/>
    </row>
    <row r="6558" spans="20:20" s="566" customFormat="1">
      <c r="T6558" s="41"/>
    </row>
    <row r="6559" spans="20:20" s="566" customFormat="1">
      <c r="T6559" s="41"/>
    </row>
    <row r="6560" spans="20:20" s="566" customFormat="1">
      <c r="T6560" s="41"/>
    </row>
    <row r="6561" spans="20:20" s="566" customFormat="1">
      <c r="T6561" s="41"/>
    </row>
    <row r="6562" spans="20:20" s="566" customFormat="1">
      <c r="T6562" s="41"/>
    </row>
    <row r="6563" spans="20:20" s="566" customFormat="1">
      <c r="T6563" s="41"/>
    </row>
    <row r="6564" spans="20:20" s="566" customFormat="1">
      <c r="T6564" s="41"/>
    </row>
    <row r="6565" spans="20:20" s="566" customFormat="1">
      <c r="T6565" s="41"/>
    </row>
    <row r="6566" spans="20:20" s="566" customFormat="1">
      <c r="T6566" s="41"/>
    </row>
    <row r="6567" spans="20:20" s="566" customFormat="1">
      <c r="T6567" s="41"/>
    </row>
    <row r="6568" spans="20:20" s="566" customFormat="1">
      <c r="T6568" s="41"/>
    </row>
    <row r="6569" spans="20:20" s="566" customFormat="1">
      <c r="T6569" s="41"/>
    </row>
    <row r="6570" spans="20:20" s="566" customFormat="1">
      <c r="T6570" s="41"/>
    </row>
    <row r="6571" spans="20:20" s="566" customFormat="1">
      <c r="T6571" s="41"/>
    </row>
    <row r="6572" spans="20:20" s="566" customFormat="1">
      <c r="T6572" s="41"/>
    </row>
    <row r="6573" spans="20:20" s="566" customFormat="1">
      <c r="T6573" s="41"/>
    </row>
    <row r="6574" spans="20:20" s="566" customFormat="1">
      <c r="T6574" s="41"/>
    </row>
    <row r="6575" spans="20:20" s="566" customFormat="1">
      <c r="T6575" s="41"/>
    </row>
    <row r="6576" spans="20:20" s="566" customFormat="1">
      <c r="T6576" s="41"/>
    </row>
    <row r="6577" spans="20:20" s="566" customFormat="1">
      <c r="T6577" s="41"/>
    </row>
    <row r="6578" spans="20:20" s="566" customFormat="1">
      <c r="T6578" s="41"/>
    </row>
    <row r="6579" spans="20:20" s="566" customFormat="1">
      <c r="T6579" s="41"/>
    </row>
    <row r="6580" spans="20:20" s="566" customFormat="1">
      <c r="T6580" s="41"/>
    </row>
    <row r="6581" spans="20:20" s="566" customFormat="1">
      <c r="T6581" s="41"/>
    </row>
    <row r="6582" spans="20:20" s="566" customFormat="1">
      <c r="T6582" s="41"/>
    </row>
    <row r="6583" spans="20:20" s="566" customFormat="1">
      <c r="T6583" s="41"/>
    </row>
    <row r="6584" spans="20:20" s="566" customFormat="1">
      <c r="T6584" s="41"/>
    </row>
    <row r="6585" spans="20:20" s="566" customFormat="1">
      <c r="T6585" s="41"/>
    </row>
    <row r="6586" spans="20:20" s="566" customFormat="1">
      <c r="T6586" s="41"/>
    </row>
    <row r="6587" spans="20:20" s="566" customFormat="1">
      <c r="T6587" s="41"/>
    </row>
    <row r="6588" spans="20:20" s="566" customFormat="1">
      <c r="T6588" s="41"/>
    </row>
    <row r="6589" spans="20:20" s="566" customFormat="1">
      <c r="T6589" s="41"/>
    </row>
    <row r="6590" spans="20:20" s="566" customFormat="1">
      <c r="T6590" s="41"/>
    </row>
    <row r="6591" spans="20:20" s="566" customFormat="1">
      <c r="T6591" s="41"/>
    </row>
    <row r="6592" spans="20:20" s="566" customFormat="1">
      <c r="T6592" s="41"/>
    </row>
    <row r="6593" spans="20:20" s="566" customFormat="1">
      <c r="T6593" s="41"/>
    </row>
    <row r="6594" spans="20:20" s="566" customFormat="1">
      <c r="T6594" s="41"/>
    </row>
    <row r="6595" spans="20:20" s="566" customFormat="1">
      <c r="T6595" s="41"/>
    </row>
    <row r="6596" spans="20:20" s="566" customFormat="1">
      <c r="T6596" s="41"/>
    </row>
    <row r="6597" spans="20:20" s="566" customFormat="1">
      <c r="T6597" s="41"/>
    </row>
    <row r="6598" spans="20:20" s="566" customFormat="1">
      <c r="T6598" s="41"/>
    </row>
    <row r="6599" spans="20:20" s="566" customFormat="1">
      <c r="T6599" s="41"/>
    </row>
    <row r="6600" spans="20:20" s="566" customFormat="1">
      <c r="T6600" s="41"/>
    </row>
    <row r="6601" spans="20:20" s="566" customFormat="1">
      <c r="T6601" s="41"/>
    </row>
    <row r="6602" spans="20:20" s="566" customFormat="1">
      <c r="T6602" s="41"/>
    </row>
    <row r="6603" spans="20:20" s="566" customFormat="1">
      <c r="T6603" s="41"/>
    </row>
    <row r="6604" spans="20:20" s="566" customFormat="1">
      <c r="T6604" s="41"/>
    </row>
    <row r="6605" spans="20:20" s="566" customFormat="1">
      <c r="T6605" s="41"/>
    </row>
    <row r="6606" spans="20:20" s="566" customFormat="1">
      <c r="T6606" s="41"/>
    </row>
    <row r="6607" spans="20:20" s="566" customFormat="1">
      <c r="T6607" s="41"/>
    </row>
    <row r="6608" spans="20:20" s="566" customFormat="1">
      <c r="T6608" s="41"/>
    </row>
    <row r="6609" spans="20:20" s="566" customFormat="1">
      <c r="T6609" s="41"/>
    </row>
    <row r="6610" spans="20:20" s="566" customFormat="1">
      <c r="T6610" s="41"/>
    </row>
    <row r="6611" spans="20:20" s="566" customFormat="1">
      <c r="T6611" s="41"/>
    </row>
    <row r="6612" spans="20:20" s="566" customFormat="1">
      <c r="T6612" s="41"/>
    </row>
    <row r="6613" spans="20:20" s="566" customFormat="1">
      <c r="T6613" s="41"/>
    </row>
    <row r="6614" spans="20:20" s="566" customFormat="1">
      <c r="T6614" s="41"/>
    </row>
    <row r="6615" spans="20:20" s="566" customFormat="1">
      <c r="T6615" s="41"/>
    </row>
    <row r="6616" spans="20:20" s="566" customFormat="1">
      <c r="T6616" s="41"/>
    </row>
    <row r="6617" spans="20:20" s="566" customFormat="1">
      <c r="T6617" s="41"/>
    </row>
    <row r="6618" spans="20:20" s="566" customFormat="1">
      <c r="T6618" s="41"/>
    </row>
    <row r="6619" spans="20:20" s="566" customFormat="1">
      <c r="T6619" s="41"/>
    </row>
    <row r="6620" spans="20:20" s="566" customFormat="1">
      <c r="T6620" s="41"/>
    </row>
    <row r="6621" spans="20:20" s="566" customFormat="1">
      <c r="T6621" s="41"/>
    </row>
    <row r="6622" spans="20:20" s="566" customFormat="1">
      <c r="T6622" s="41"/>
    </row>
    <row r="6623" spans="20:20" s="566" customFormat="1">
      <c r="T6623" s="41"/>
    </row>
    <row r="6624" spans="20:20" s="566" customFormat="1">
      <c r="T6624" s="41"/>
    </row>
    <row r="6625" spans="20:20" s="566" customFormat="1">
      <c r="T6625" s="41"/>
    </row>
    <row r="6626" spans="20:20" s="566" customFormat="1">
      <c r="T6626" s="41"/>
    </row>
    <row r="6627" spans="20:20" s="566" customFormat="1">
      <c r="T6627" s="41"/>
    </row>
    <row r="6628" spans="20:20" s="566" customFormat="1">
      <c r="T6628" s="41"/>
    </row>
    <row r="6629" spans="20:20" s="566" customFormat="1">
      <c r="T6629" s="41"/>
    </row>
    <row r="6630" spans="20:20" s="566" customFormat="1">
      <c r="T6630" s="41"/>
    </row>
    <row r="6631" spans="20:20" s="566" customFormat="1">
      <c r="T6631" s="41"/>
    </row>
    <row r="6632" spans="20:20" s="566" customFormat="1">
      <c r="T6632" s="41"/>
    </row>
    <row r="6633" spans="20:20" s="566" customFormat="1">
      <c r="T6633" s="41"/>
    </row>
    <row r="6634" spans="20:20" s="566" customFormat="1">
      <c r="T6634" s="41"/>
    </row>
    <row r="6635" spans="20:20" s="566" customFormat="1">
      <c r="T6635" s="41"/>
    </row>
    <row r="6636" spans="20:20" s="566" customFormat="1">
      <c r="T6636" s="41"/>
    </row>
    <row r="6637" spans="20:20" s="566" customFormat="1">
      <c r="T6637" s="41"/>
    </row>
    <row r="6638" spans="20:20" s="566" customFormat="1">
      <c r="T6638" s="41"/>
    </row>
    <row r="6639" spans="20:20" s="566" customFormat="1">
      <c r="T6639" s="41"/>
    </row>
    <row r="6640" spans="20:20" s="566" customFormat="1">
      <c r="T6640" s="41"/>
    </row>
    <row r="6641" spans="20:20" s="566" customFormat="1">
      <c r="T6641" s="41"/>
    </row>
    <row r="6642" spans="20:20" s="566" customFormat="1">
      <c r="T6642" s="41"/>
    </row>
    <row r="6643" spans="20:20" s="566" customFormat="1">
      <c r="T6643" s="41"/>
    </row>
    <row r="6644" spans="20:20" s="566" customFormat="1">
      <c r="T6644" s="41"/>
    </row>
    <row r="6645" spans="20:20" s="566" customFormat="1">
      <c r="T6645" s="41"/>
    </row>
    <row r="6646" spans="20:20" s="566" customFormat="1">
      <c r="T6646" s="41"/>
    </row>
    <row r="6647" spans="20:20" s="566" customFormat="1">
      <c r="T6647" s="41"/>
    </row>
    <row r="6648" spans="20:20" s="566" customFormat="1">
      <c r="T6648" s="41"/>
    </row>
    <row r="6649" spans="20:20" s="566" customFormat="1">
      <c r="T6649" s="41"/>
    </row>
    <row r="6650" spans="20:20" s="566" customFormat="1">
      <c r="T6650" s="41"/>
    </row>
    <row r="6651" spans="20:20" s="566" customFormat="1">
      <c r="T6651" s="41"/>
    </row>
    <row r="6652" spans="20:20" s="566" customFormat="1">
      <c r="T6652" s="41"/>
    </row>
    <row r="6653" spans="20:20" s="566" customFormat="1">
      <c r="T6653" s="41"/>
    </row>
    <row r="6654" spans="20:20" s="566" customFormat="1">
      <c r="T6654" s="41"/>
    </row>
    <row r="6655" spans="20:20" s="566" customFormat="1">
      <c r="T6655" s="41"/>
    </row>
    <row r="6656" spans="20:20" s="566" customFormat="1">
      <c r="T6656" s="41"/>
    </row>
    <row r="6657" spans="20:20" s="566" customFormat="1">
      <c r="T6657" s="41"/>
    </row>
    <row r="6658" spans="20:20" s="566" customFormat="1">
      <c r="T6658" s="41"/>
    </row>
    <row r="6659" spans="20:20" s="566" customFormat="1">
      <c r="T6659" s="41"/>
    </row>
    <row r="6660" spans="20:20" s="566" customFormat="1">
      <c r="T6660" s="41"/>
    </row>
    <row r="6661" spans="20:20" s="566" customFormat="1">
      <c r="T6661" s="41"/>
    </row>
    <row r="6662" spans="20:20" s="566" customFormat="1">
      <c r="T6662" s="41"/>
    </row>
    <row r="6663" spans="20:20" s="566" customFormat="1">
      <c r="T6663" s="41"/>
    </row>
    <row r="6664" spans="20:20" s="566" customFormat="1">
      <c r="T6664" s="41"/>
    </row>
    <row r="6665" spans="20:20" s="566" customFormat="1">
      <c r="T6665" s="41"/>
    </row>
    <row r="6666" spans="20:20" s="566" customFormat="1">
      <c r="T6666" s="41"/>
    </row>
    <row r="6667" spans="20:20" s="566" customFormat="1">
      <c r="T6667" s="41"/>
    </row>
    <row r="6668" spans="20:20" s="566" customFormat="1">
      <c r="T6668" s="41"/>
    </row>
    <row r="6669" spans="20:20" s="566" customFormat="1">
      <c r="T6669" s="41"/>
    </row>
    <row r="6670" spans="20:20" s="566" customFormat="1">
      <c r="T6670" s="41"/>
    </row>
    <row r="6671" spans="20:20" s="566" customFormat="1">
      <c r="T6671" s="41"/>
    </row>
    <row r="6672" spans="20:20" s="566" customFormat="1">
      <c r="T6672" s="41"/>
    </row>
    <row r="6673" spans="20:20" s="566" customFormat="1">
      <c r="T6673" s="41"/>
    </row>
    <row r="6674" spans="20:20" s="566" customFormat="1">
      <c r="T6674" s="41"/>
    </row>
    <row r="6675" spans="20:20" s="566" customFormat="1">
      <c r="T6675" s="41"/>
    </row>
    <row r="6676" spans="20:20" s="566" customFormat="1">
      <c r="T6676" s="41"/>
    </row>
    <row r="6677" spans="20:20" s="566" customFormat="1">
      <c r="T6677" s="41"/>
    </row>
    <row r="6678" spans="20:20" s="566" customFormat="1">
      <c r="T6678" s="41"/>
    </row>
    <row r="6679" spans="20:20" s="566" customFormat="1">
      <c r="T6679" s="41"/>
    </row>
    <row r="6680" spans="20:20" s="566" customFormat="1">
      <c r="T6680" s="41"/>
    </row>
    <row r="6681" spans="20:20" s="566" customFormat="1">
      <c r="T6681" s="41"/>
    </row>
    <row r="6682" spans="20:20" s="566" customFormat="1">
      <c r="T6682" s="41"/>
    </row>
    <row r="6683" spans="20:20" s="566" customFormat="1">
      <c r="T6683" s="41"/>
    </row>
    <row r="6684" spans="20:20" s="566" customFormat="1">
      <c r="T6684" s="41"/>
    </row>
    <row r="6685" spans="20:20" s="566" customFormat="1">
      <c r="T6685" s="41"/>
    </row>
    <row r="6686" spans="20:20" s="566" customFormat="1">
      <c r="T6686" s="41"/>
    </row>
    <row r="6687" spans="20:20" s="566" customFormat="1">
      <c r="T6687" s="41"/>
    </row>
    <row r="6688" spans="20:20" s="566" customFormat="1">
      <c r="T6688" s="41"/>
    </row>
    <row r="6689" spans="20:20" s="566" customFormat="1">
      <c r="T6689" s="41"/>
    </row>
    <row r="6690" spans="20:20" s="566" customFormat="1">
      <c r="T6690" s="41"/>
    </row>
    <row r="6691" spans="20:20" s="566" customFormat="1">
      <c r="T6691" s="41"/>
    </row>
    <row r="6692" spans="20:20" s="566" customFormat="1">
      <c r="T6692" s="41"/>
    </row>
    <row r="6693" spans="20:20" s="566" customFormat="1">
      <c r="T6693" s="41"/>
    </row>
    <row r="6694" spans="20:20" s="566" customFormat="1">
      <c r="T6694" s="41"/>
    </row>
    <row r="6695" spans="20:20" s="566" customFormat="1">
      <c r="T6695" s="41"/>
    </row>
    <row r="6696" spans="20:20" s="566" customFormat="1">
      <c r="T6696" s="41"/>
    </row>
    <row r="6697" spans="20:20" s="566" customFormat="1">
      <c r="T6697" s="41"/>
    </row>
    <row r="6698" spans="20:20" s="566" customFormat="1">
      <c r="T6698" s="41"/>
    </row>
    <row r="6699" spans="20:20" s="566" customFormat="1">
      <c r="T6699" s="41"/>
    </row>
    <row r="6700" spans="20:20" s="566" customFormat="1">
      <c r="T6700" s="41"/>
    </row>
    <row r="6701" spans="20:20" s="566" customFormat="1">
      <c r="T6701" s="41"/>
    </row>
    <row r="6702" spans="20:20" s="566" customFormat="1">
      <c r="T6702" s="41"/>
    </row>
    <row r="6703" spans="20:20" s="566" customFormat="1">
      <c r="T6703" s="41"/>
    </row>
    <row r="6704" spans="20:20" s="566" customFormat="1">
      <c r="T6704" s="41"/>
    </row>
    <row r="6705" spans="20:20" s="566" customFormat="1">
      <c r="T6705" s="41"/>
    </row>
    <row r="6706" spans="20:20" s="566" customFormat="1">
      <c r="T6706" s="41"/>
    </row>
    <row r="6707" spans="20:20" s="566" customFormat="1">
      <c r="T6707" s="41"/>
    </row>
    <row r="6708" spans="20:20" s="566" customFormat="1">
      <c r="T6708" s="41"/>
    </row>
    <row r="6709" spans="20:20" s="566" customFormat="1">
      <c r="T6709" s="41"/>
    </row>
    <row r="6710" spans="20:20" s="566" customFormat="1">
      <c r="T6710" s="41"/>
    </row>
    <row r="6711" spans="20:20" s="566" customFormat="1">
      <c r="T6711" s="41"/>
    </row>
    <row r="6712" spans="20:20" s="566" customFormat="1">
      <c r="T6712" s="41"/>
    </row>
    <row r="6713" spans="20:20" s="566" customFormat="1">
      <c r="T6713" s="41"/>
    </row>
    <row r="6714" spans="20:20" s="566" customFormat="1">
      <c r="T6714" s="41"/>
    </row>
    <row r="6715" spans="20:20" s="566" customFormat="1">
      <c r="T6715" s="41"/>
    </row>
    <row r="6716" spans="20:20" s="566" customFormat="1">
      <c r="T6716" s="41"/>
    </row>
    <row r="6717" spans="20:20" s="566" customFormat="1">
      <c r="T6717" s="41"/>
    </row>
    <row r="6718" spans="20:20" s="566" customFormat="1">
      <c r="T6718" s="41"/>
    </row>
    <row r="6719" spans="20:20" s="566" customFormat="1">
      <c r="T6719" s="41"/>
    </row>
    <row r="6720" spans="20:20" s="566" customFormat="1">
      <c r="T6720" s="41"/>
    </row>
    <row r="6721" spans="20:20" s="566" customFormat="1">
      <c r="T6721" s="41"/>
    </row>
    <row r="6722" spans="20:20" s="566" customFormat="1">
      <c r="T6722" s="41"/>
    </row>
    <row r="6723" spans="20:20" s="566" customFormat="1">
      <c r="T6723" s="41"/>
    </row>
    <row r="6724" spans="20:20" s="566" customFormat="1">
      <c r="T6724" s="41"/>
    </row>
    <row r="6725" spans="20:20" s="566" customFormat="1">
      <c r="T6725" s="41"/>
    </row>
    <row r="6726" spans="20:20" s="566" customFormat="1">
      <c r="T6726" s="41"/>
    </row>
    <row r="6727" spans="20:20" s="566" customFormat="1">
      <c r="T6727" s="41"/>
    </row>
    <row r="6728" spans="20:20" s="566" customFormat="1">
      <c r="T6728" s="41"/>
    </row>
    <row r="6729" spans="20:20" s="566" customFormat="1">
      <c r="T6729" s="41"/>
    </row>
    <row r="6730" spans="20:20" s="566" customFormat="1">
      <c r="T6730" s="41"/>
    </row>
    <row r="6731" spans="20:20" s="566" customFormat="1">
      <c r="T6731" s="41"/>
    </row>
    <row r="6732" spans="20:20" s="566" customFormat="1">
      <c r="T6732" s="41"/>
    </row>
    <row r="6733" spans="20:20" s="566" customFormat="1">
      <c r="T6733" s="41"/>
    </row>
    <row r="6734" spans="20:20" s="566" customFormat="1">
      <c r="T6734" s="41"/>
    </row>
    <row r="6735" spans="20:20" s="566" customFormat="1">
      <c r="T6735" s="41"/>
    </row>
    <row r="6736" spans="20:20" s="566" customFormat="1">
      <c r="T6736" s="41"/>
    </row>
    <row r="6737" spans="20:20" s="566" customFormat="1">
      <c r="T6737" s="41"/>
    </row>
    <row r="6738" spans="20:20" s="566" customFormat="1">
      <c r="T6738" s="41"/>
    </row>
    <row r="6739" spans="20:20" s="566" customFormat="1">
      <c r="T6739" s="41"/>
    </row>
    <row r="6740" spans="20:20" s="566" customFormat="1">
      <c r="T6740" s="41"/>
    </row>
    <row r="6741" spans="20:20" s="566" customFormat="1">
      <c r="T6741" s="41"/>
    </row>
    <row r="6742" spans="20:20" s="566" customFormat="1">
      <c r="T6742" s="41"/>
    </row>
    <row r="6743" spans="20:20" s="566" customFormat="1">
      <c r="T6743" s="41"/>
    </row>
    <row r="6744" spans="20:20" s="566" customFormat="1">
      <c r="T6744" s="41"/>
    </row>
    <row r="6745" spans="20:20" s="566" customFormat="1">
      <c r="T6745" s="41"/>
    </row>
    <row r="6746" spans="20:20" s="566" customFormat="1">
      <c r="T6746" s="41"/>
    </row>
    <row r="6747" spans="20:20" s="566" customFormat="1">
      <c r="T6747" s="41"/>
    </row>
    <row r="6748" spans="20:20" s="566" customFormat="1">
      <c r="T6748" s="41"/>
    </row>
    <row r="6749" spans="20:20" s="566" customFormat="1">
      <c r="T6749" s="41"/>
    </row>
    <row r="6750" spans="20:20" s="566" customFormat="1">
      <c r="T6750" s="41"/>
    </row>
    <row r="6751" spans="20:20" s="566" customFormat="1">
      <c r="T6751" s="41"/>
    </row>
    <row r="6752" spans="20:20" s="566" customFormat="1">
      <c r="T6752" s="41"/>
    </row>
    <row r="6753" spans="20:20" s="566" customFormat="1">
      <c r="T6753" s="41"/>
    </row>
    <row r="6754" spans="20:20" s="566" customFormat="1">
      <c r="T6754" s="41"/>
    </row>
    <row r="6755" spans="20:20" s="566" customFormat="1">
      <c r="T6755" s="41"/>
    </row>
    <row r="6756" spans="20:20" s="566" customFormat="1">
      <c r="T6756" s="41"/>
    </row>
    <row r="6757" spans="20:20" s="566" customFormat="1">
      <c r="T6757" s="41"/>
    </row>
    <row r="6758" spans="20:20" s="566" customFormat="1">
      <c r="T6758" s="41"/>
    </row>
    <row r="6759" spans="20:20" s="566" customFormat="1">
      <c r="T6759" s="41"/>
    </row>
    <row r="6760" spans="20:20" s="566" customFormat="1">
      <c r="T6760" s="41"/>
    </row>
    <row r="6761" spans="20:20" s="566" customFormat="1">
      <c r="T6761" s="41"/>
    </row>
    <row r="6762" spans="20:20" s="566" customFormat="1">
      <c r="T6762" s="41"/>
    </row>
    <row r="6763" spans="20:20" s="566" customFormat="1">
      <c r="T6763" s="41"/>
    </row>
    <row r="6764" spans="20:20" s="566" customFormat="1">
      <c r="T6764" s="41"/>
    </row>
    <row r="6765" spans="20:20" s="566" customFormat="1">
      <c r="T6765" s="41"/>
    </row>
    <row r="6766" spans="20:20" s="566" customFormat="1">
      <c r="T6766" s="41"/>
    </row>
    <row r="6767" spans="20:20" s="566" customFormat="1">
      <c r="T6767" s="41"/>
    </row>
    <row r="6768" spans="20:20" s="566" customFormat="1">
      <c r="T6768" s="41"/>
    </row>
    <row r="6769" spans="20:20" s="566" customFormat="1">
      <c r="T6769" s="41"/>
    </row>
    <row r="6770" spans="20:20" s="566" customFormat="1">
      <c r="T6770" s="41"/>
    </row>
    <row r="6771" spans="20:20" s="566" customFormat="1">
      <c r="T6771" s="41"/>
    </row>
    <row r="6772" spans="20:20" s="566" customFormat="1">
      <c r="T6772" s="41"/>
    </row>
    <row r="6773" spans="20:20" s="566" customFormat="1">
      <c r="T6773" s="41"/>
    </row>
    <row r="6774" spans="20:20" s="566" customFormat="1">
      <c r="T6774" s="41"/>
    </row>
    <row r="6775" spans="20:20" s="566" customFormat="1">
      <c r="T6775" s="41"/>
    </row>
    <row r="6776" spans="20:20" s="566" customFormat="1">
      <c r="T6776" s="41"/>
    </row>
    <row r="6777" spans="20:20" s="566" customFormat="1">
      <c r="T6777" s="41"/>
    </row>
    <row r="6778" spans="20:20" s="566" customFormat="1">
      <c r="T6778" s="41"/>
    </row>
    <row r="6779" spans="20:20" s="566" customFormat="1">
      <c r="T6779" s="41"/>
    </row>
    <row r="6780" spans="20:20" s="566" customFormat="1">
      <c r="T6780" s="41"/>
    </row>
    <row r="6781" spans="20:20" s="566" customFormat="1">
      <c r="T6781" s="41"/>
    </row>
    <row r="6782" spans="20:20" s="566" customFormat="1">
      <c r="T6782" s="41"/>
    </row>
    <row r="6783" spans="20:20" s="566" customFormat="1">
      <c r="T6783" s="41"/>
    </row>
    <row r="6784" spans="20:20" s="566" customFormat="1">
      <c r="T6784" s="41"/>
    </row>
    <row r="6785" spans="20:20" s="566" customFormat="1">
      <c r="T6785" s="41"/>
    </row>
    <row r="6786" spans="20:20" s="566" customFormat="1">
      <c r="T6786" s="41"/>
    </row>
    <row r="6787" spans="20:20" s="566" customFormat="1">
      <c r="T6787" s="41"/>
    </row>
    <row r="6788" spans="20:20" s="566" customFormat="1">
      <c r="T6788" s="41"/>
    </row>
    <row r="6789" spans="20:20" s="566" customFormat="1">
      <c r="T6789" s="41"/>
    </row>
    <row r="6790" spans="20:20" s="566" customFormat="1">
      <c r="T6790" s="41"/>
    </row>
    <row r="6791" spans="20:20" s="566" customFormat="1">
      <c r="T6791" s="41"/>
    </row>
    <row r="6792" spans="20:20" s="566" customFormat="1">
      <c r="T6792" s="41"/>
    </row>
    <row r="6793" spans="20:20" s="566" customFormat="1">
      <c r="T6793" s="41"/>
    </row>
    <row r="6794" spans="20:20" s="566" customFormat="1">
      <c r="T6794" s="41"/>
    </row>
    <row r="6795" spans="20:20" s="566" customFormat="1">
      <c r="T6795" s="41"/>
    </row>
    <row r="6796" spans="20:20" s="566" customFormat="1">
      <c r="T6796" s="41"/>
    </row>
    <row r="6797" spans="20:20" s="566" customFormat="1">
      <c r="T6797" s="41"/>
    </row>
    <row r="6798" spans="20:20" s="566" customFormat="1">
      <c r="T6798" s="41"/>
    </row>
    <row r="6799" spans="20:20" s="566" customFormat="1">
      <c r="T6799" s="41"/>
    </row>
    <row r="6800" spans="20:20" s="566" customFormat="1">
      <c r="T6800" s="41"/>
    </row>
    <row r="6801" spans="20:20" s="566" customFormat="1">
      <c r="T6801" s="41"/>
    </row>
    <row r="6802" spans="20:20" s="566" customFormat="1">
      <c r="T6802" s="41"/>
    </row>
    <row r="6803" spans="20:20" s="566" customFormat="1">
      <c r="T6803" s="41"/>
    </row>
    <row r="6804" spans="20:20" s="566" customFormat="1">
      <c r="T6804" s="41"/>
    </row>
    <row r="6805" spans="20:20" s="566" customFormat="1">
      <c r="T6805" s="41"/>
    </row>
    <row r="6806" spans="20:20" s="566" customFormat="1">
      <c r="T6806" s="41"/>
    </row>
    <row r="6807" spans="20:20" s="566" customFormat="1">
      <c r="T6807" s="41"/>
    </row>
    <row r="6808" spans="20:20" s="566" customFormat="1">
      <c r="T6808" s="41"/>
    </row>
    <row r="6809" spans="20:20" s="566" customFormat="1">
      <c r="T6809" s="41"/>
    </row>
    <row r="6810" spans="20:20" s="566" customFormat="1">
      <c r="T6810" s="41"/>
    </row>
    <row r="6811" spans="20:20" s="566" customFormat="1">
      <c r="T6811" s="41"/>
    </row>
    <row r="6812" spans="20:20" s="566" customFormat="1">
      <c r="T6812" s="41"/>
    </row>
    <row r="6813" spans="20:20" s="566" customFormat="1">
      <c r="T6813" s="41"/>
    </row>
    <row r="6814" spans="20:20" s="566" customFormat="1">
      <c r="T6814" s="41"/>
    </row>
    <row r="6815" spans="20:20" s="566" customFormat="1">
      <c r="T6815" s="41"/>
    </row>
    <row r="6816" spans="20:20" s="566" customFormat="1">
      <c r="T6816" s="41"/>
    </row>
    <row r="6817" spans="20:20" s="566" customFormat="1">
      <c r="T6817" s="41"/>
    </row>
    <row r="6818" spans="20:20" s="566" customFormat="1">
      <c r="T6818" s="41"/>
    </row>
    <row r="6819" spans="20:20" s="566" customFormat="1">
      <c r="T6819" s="41"/>
    </row>
    <row r="6820" spans="20:20" s="566" customFormat="1">
      <c r="T6820" s="41"/>
    </row>
    <row r="6821" spans="20:20" s="566" customFormat="1">
      <c r="T6821" s="41"/>
    </row>
    <row r="6822" spans="20:20" s="566" customFormat="1">
      <c r="T6822" s="41"/>
    </row>
    <row r="6823" spans="20:20" s="566" customFormat="1">
      <c r="T6823" s="41"/>
    </row>
    <row r="6824" spans="20:20" s="566" customFormat="1">
      <c r="T6824" s="41"/>
    </row>
    <row r="6825" spans="20:20" s="566" customFormat="1">
      <c r="T6825" s="41"/>
    </row>
    <row r="6826" spans="20:20" s="566" customFormat="1">
      <c r="T6826" s="41"/>
    </row>
    <row r="6827" spans="20:20" s="566" customFormat="1">
      <c r="T6827" s="41"/>
    </row>
    <row r="6828" spans="20:20" s="566" customFormat="1">
      <c r="T6828" s="41"/>
    </row>
    <row r="6829" spans="20:20" s="566" customFormat="1">
      <c r="T6829" s="41"/>
    </row>
    <row r="6830" spans="20:20" s="566" customFormat="1">
      <c r="T6830" s="41"/>
    </row>
    <row r="6831" spans="20:20" s="566" customFormat="1">
      <c r="T6831" s="41"/>
    </row>
    <row r="6832" spans="20:20" s="566" customFormat="1">
      <c r="T6832" s="41"/>
    </row>
    <row r="6833" spans="20:20" s="566" customFormat="1">
      <c r="T6833" s="41"/>
    </row>
    <row r="6834" spans="20:20" s="566" customFormat="1">
      <c r="T6834" s="41"/>
    </row>
    <row r="6835" spans="20:20" s="566" customFormat="1">
      <c r="T6835" s="41"/>
    </row>
    <row r="6836" spans="20:20" s="566" customFormat="1">
      <c r="T6836" s="41"/>
    </row>
    <row r="6837" spans="20:20" s="566" customFormat="1">
      <c r="T6837" s="41"/>
    </row>
    <row r="6838" spans="20:20" s="566" customFormat="1">
      <c r="T6838" s="41"/>
    </row>
    <row r="6839" spans="20:20" s="566" customFormat="1">
      <c r="T6839" s="41"/>
    </row>
    <row r="6840" spans="20:20" s="566" customFormat="1">
      <c r="T6840" s="41"/>
    </row>
    <row r="6841" spans="20:20" s="566" customFormat="1">
      <c r="T6841" s="41"/>
    </row>
    <row r="6842" spans="20:20" s="566" customFormat="1">
      <c r="T6842" s="41"/>
    </row>
    <row r="6843" spans="20:20" s="566" customFormat="1">
      <c r="T6843" s="41"/>
    </row>
    <row r="6844" spans="20:20" s="566" customFormat="1">
      <c r="T6844" s="41"/>
    </row>
    <row r="6845" spans="20:20" s="566" customFormat="1">
      <c r="T6845" s="41"/>
    </row>
    <row r="6846" spans="20:20" s="566" customFormat="1">
      <c r="T6846" s="41"/>
    </row>
    <row r="6847" spans="20:20" s="566" customFormat="1">
      <c r="T6847" s="41"/>
    </row>
    <row r="6848" spans="20:20" s="566" customFormat="1">
      <c r="T6848" s="41"/>
    </row>
    <row r="6849" spans="20:20" s="566" customFormat="1">
      <c r="T6849" s="41"/>
    </row>
    <row r="6850" spans="20:20" s="566" customFormat="1">
      <c r="T6850" s="41"/>
    </row>
    <row r="6851" spans="20:20" s="566" customFormat="1">
      <c r="T6851" s="41"/>
    </row>
    <row r="6852" spans="20:20" s="566" customFormat="1">
      <c r="T6852" s="41"/>
    </row>
    <row r="6853" spans="20:20" s="566" customFormat="1">
      <c r="T6853" s="41"/>
    </row>
    <row r="6854" spans="20:20" s="566" customFormat="1">
      <c r="T6854" s="41"/>
    </row>
    <row r="6855" spans="20:20" s="566" customFormat="1">
      <c r="T6855" s="41"/>
    </row>
    <row r="6856" spans="20:20" s="566" customFormat="1">
      <c r="T6856" s="41"/>
    </row>
    <row r="6857" spans="20:20" s="566" customFormat="1">
      <c r="T6857" s="41"/>
    </row>
    <row r="6858" spans="20:20" s="566" customFormat="1">
      <c r="T6858" s="41"/>
    </row>
    <row r="6859" spans="20:20" s="566" customFormat="1">
      <c r="T6859" s="41"/>
    </row>
    <row r="6860" spans="20:20" s="566" customFormat="1">
      <c r="T6860" s="41"/>
    </row>
    <row r="6861" spans="20:20" s="566" customFormat="1">
      <c r="T6861" s="41"/>
    </row>
    <row r="6862" spans="20:20" s="566" customFormat="1">
      <c r="T6862" s="41"/>
    </row>
    <row r="6863" spans="20:20" s="566" customFormat="1">
      <c r="T6863" s="41"/>
    </row>
    <row r="6864" spans="20:20" s="566" customFormat="1">
      <c r="T6864" s="41"/>
    </row>
    <row r="6865" spans="20:20" s="566" customFormat="1">
      <c r="T6865" s="41"/>
    </row>
    <row r="6866" spans="20:20" s="566" customFormat="1">
      <c r="T6866" s="41"/>
    </row>
    <row r="6867" spans="20:20" s="566" customFormat="1">
      <c r="T6867" s="41"/>
    </row>
    <row r="6868" spans="20:20" s="566" customFormat="1">
      <c r="T6868" s="41"/>
    </row>
    <row r="6869" spans="20:20" s="566" customFormat="1">
      <c r="T6869" s="41"/>
    </row>
    <row r="6870" spans="20:20" s="566" customFormat="1">
      <c r="T6870" s="41"/>
    </row>
    <row r="6871" spans="20:20" s="566" customFormat="1">
      <c r="T6871" s="41"/>
    </row>
    <row r="6872" spans="20:20" s="566" customFormat="1">
      <c r="T6872" s="41"/>
    </row>
    <row r="6873" spans="20:20" s="566" customFormat="1">
      <c r="T6873" s="41"/>
    </row>
    <row r="6874" spans="20:20" s="566" customFormat="1">
      <c r="T6874" s="41"/>
    </row>
    <row r="6875" spans="20:20" s="566" customFormat="1">
      <c r="T6875" s="41"/>
    </row>
    <row r="6876" spans="20:20" s="566" customFormat="1">
      <c r="T6876" s="41"/>
    </row>
    <row r="6877" spans="20:20" s="566" customFormat="1">
      <c r="T6877" s="41"/>
    </row>
    <row r="6878" spans="20:20" s="566" customFormat="1">
      <c r="T6878" s="41"/>
    </row>
    <row r="6879" spans="20:20" s="566" customFormat="1">
      <c r="T6879" s="41"/>
    </row>
    <row r="6880" spans="20:20" s="566" customFormat="1">
      <c r="T6880" s="41"/>
    </row>
    <row r="6881" spans="20:20" s="566" customFormat="1">
      <c r="T6881" s="41"/>
    </row>
    <row r="6882" spans="20:20" s="566" customFormat="1">
      <c r="T6882" s="41"/>
    </row>
    <row r="6883" spans="20:20" s="566" customFormat="1">
      <c r="T6883" s="41"/>
    </row>
    <row r="6884" spans="20:20" s="566" customFormat="1">
      <c r="T6884" s="41"/>
    </row>
    <row r="6885" spans="20:20" s="566" customFormat="1">
      <c r="T6885" s="41"/>
    </row>
    <row r="6886" spans="20:20" s="566" customFormat="1">
      <c r="T6886" s="41"/>
    </row>
    <row r="6887" spans="20:20" s="566" customFormat="1">
      <c r="T6887" s="41"/>
    </row>
    <row r="6888" spans="20:20" s="566" customFormat="1">
      <c r="T6888" s="41"/>
    </row>
    <row r="6889" spans="20:20" s="566" customFormat="1">
      <c r="T6889" s="41"/>
    </row>
    <row r="6890" spans="20:20" s="566" customFormat="1">
      <c r="T6890" s="41"/>
    </row>
    <row r="6891" spans="20:20" s="566" customFormat="1">
      <c r="T6891" s="41"/>
    </row>
    <row r="6892" spans="20:20" s="566" customFormat="1">
      <c r="T6892" s="41"/>
    </row>
    <row r="6893" spans="20:20" s="566" customFormat="1">
      <c r="T6893" s="41"/>
    </row>
    <row r="6894" spans="20:20" s="566" customFormat="1">
      <c r="T6894" s="41"/>
    </row>
    <row r="6895" spans="20:20" s="566" customFormat="1">
      <c r="T6895" s="41"/>
    </row>
    <row r="6896" spans="20:20" s="566" customFormat="1">
      <c r="T6896" s="41"/>
    </row>
    <row r="6897" spans="20:20" s="566" customFormat="1">
      <c r="T6897" s="41"/>
    </row>
    <row r="6898" spans="20:20" s="566" customFormat="1">
      <c r="T6898" s="41"/>
    </row>
    <row r="6899" spans="20:20" s="566" customFormat="1">
      <c r="T6899" s="41"/>
    </row>
    <row r="6900" spans="20:20" s="566" customFormat="1">
      <c r="T6900" s="41"/>
    </row>
    <row r="6901" spans="20:20" s="566" customFormat="1">
      <c r="T6901" s="41"/>
    </row>
    <row r="6902" spans="20:20" s="566" customFormat="1">
      <c r="T6902" s="41"/>
    </row>
    <row r="6903" spans="20:20" s="566" customFormat="1">
      <c r="T6903" s="41"/>
    </row>
    <row r="6904" spans="20:20" s="566" customFormat="1">
      <c r="T6904" s="41"/>
    </row>
    <row r="6905" spans="20:20" s="566" customFormat="1">
      <c r="T6905" s="41"/>
    </row>
    <row r="6906" spans="20:20" s="566" customFormat="1">
      <c r="T6906" s="41"/>
    </row>
    <row r="6907" spans="20:20" s="566" customFormat="1">
      <c r="T6907" s="41"/>
    </row>
    <row r="6908" spans="20:20" s="566" customFormat="1">
      <c r="T6908" s="41"/>
    </row>
    <row r="6909" spans="20:20" s="566" customFormat="1">
      <c r="T6909" s="41"/>
    </row>
    <row r="6910" spans="20:20" s="566" customFormat="1">
      <c r="T6910" s="41"/>
    </row>
    <row r="6911" spans="20:20" s="566" customFormat="1">
      <c r="T6911" s="41"/>
    </row>
    <row r="6912" spans="20:20" s="566" customFormat="1">
      <c r="T6912" s="41"/>
    </row>
    <row r="6913" spans="20:20" s="566" customFormat="1">
      <c r="T6913" s="41"/>
    </row>
    <row r="6914" spans="20:20" s="566" customFormat="1">
      <c r="T6914" s="41"/>
    </row>
    <row r="6915" spans="20:20" s="566" customFormat="1">
      <c r="T6915" s="41"/>
    </row>
    <row r="6916" spans="20:20" s="566" customFormat="1">
      <c r="T6916" s="41"/>
    </row>
    <row r="6917" spans="20:20" s="566" customFormat="1">
      <c r="T6917" s="41"/>
    </row>
    <row r="6918" spans="20:20" s="566" customFormat="1">
      <c r="T6918" s="41"/>
    </row>
    <row r="6919" spans="20:20" s="566" customFormat="1">
      <c r="T6919" s="41"/>
    </row>
    <row r="6920" spans="20:20" s="566" customFormat="1">
      <c r="T6920" s="41"/>
    </row>
    <row r="6921" spans="20:20" s="566" customFormat="1">
      <c r="T6921" s="41"/>
    </row>
    <row r="6922" spans="20:20" s="566" customFormat="1">
      <c r="T6922" s="41"/>
    </row>
    <row r="6923" spans="20:20" s="566" customFormat="1">
      <c r="T6923" s="41"/>
    </row>
    <row r="6924" spans="20:20" s="566" customFormat="1">
      <c r="T6924" s="41"/>
    </row>
    <row r="6925" spans="20:20" s="566" customFormat="1">
      <c r="T6925" s="41"/>
    </row>
    <row r="6926" spans="20:20" s="566" customFormat="1">
      <c r="T6926" s="41"/>
    </row>
    <row r="6927" spans="20:20" s="566" customFormat="1">
      <c r="T6927" s="41"/>
    </row>
    <row r="6928" spans="20:20" s="566" customFormat="1">
      <c r="T6928" s="41"/>
    </row>
    <row r="6929" spans="20:20" s="566" customFormat="1">
      <c r="T6929" s="41"/>
    </row>
    <row r="6930" spans="20:20" s="566" customFormat="1">
      <c r="T6930" s="41"/>
    </row>
    <row r="6931" spans="20:20" s="566" customFormat="1">
      <c r="T6931" s="41"/>
    </row>
    <row r="6932" spans="20:20" s="566" customFormat="1">
      <c r="T6932" s="41"/>
    </row>
    <row r="6933" spans="20:20" s="566" customFormat="1">
      <c r="T6933" s="41"/>
    </row>
    <row r="6934" spans="20:20" s="566" customFormat="1">
      <c r="T6934" s="41"/>
    </row>
    <row r="6935" spans="20:20" s="566" customFormat="1">
      <c r="T6935" s="41"/>
    </row>
    <row r="6936" spans="20:20" s="566" customFormat="1">
      <c r="T6936" s="41"/>
    </row>
    <row r="6937" spans="20:20" s="566" customFormat="1">
      <c r="T6937" s="41"/>
    </row>
    <row r="6938" spans="20:20" s="566" customFormat="1">
      <c r="T6938" s="41"/>
    </row>
    <row r="6939" spans="20:20" s="566" customFormat="1">
      <c r="T6939" s="41"/>
    </row>
    <row r="6940" spans="20:20" s="566" customFormat="1">
      <c r="T6940" s="41"/>
    </row>
    <row r="6941" spans="20:20" s="566" customFormat="1">
      <c r="T6941" s="41"/>
    </row>
    <row r="6942" spans="20:20" s="566" customFormat="1">
      <c r="T6942" s="41"/>
    </row>
    <row r="6943" spans="20:20" s="566" customFormat="1">
      <c r="T6943" s="41"/>
    </row>
    <row r="6944" spans="20:20" s="566" customFormat="1">
      <c r="T6944" s="41"/>
    </row>
    <row r="6945" spans="20:20" s="566" customFormat="1">
      <c r="T6945" s="41"/>
    </row>
    <row r="6946" spans="20:20" s="566" customFormat="1">
      <c r="T6946" s="41"/>
    </row>
    <row r="6947" spans="20:20" s="566" customFormat="1">
      <c r="T6947" s="41"/>
    </row>
    <row r="6948" spans="20:20" s="566" customFormat="1">
      <c r="T6948" s="41"/>
    </row>
    <row r="6949" spans="20:20" s="566" customFormat="1">
      <c r="T6949" s="41"/>
    </row>
    <row r="6950" spans="20:20" s="566" customFormat="1">
      <c r="T6950" s="41"/>
    </row>
    <row r="6951" spans="20:20" s="566" customFormat="1">
      <c r="T6951" s="41"/>
    </row>
    <row r="6952" spans="20:20" s="566" customFormat="1">
      <c r="T6952" s="41"/>
    </row>
    <row r="6953" spans="20:20" s="566" customFormat="1">
      <c r="T6953" s="41"/>
    </row>
    <row r="6954" spans="20:20" s="566" customFormat="1">
      <c r="T6954" s="41"/>
    </row>
    <row r="6955" spans="20:20" s="566" customFormat="1">
      <c r="T6955" s="41"/>
    </row>
    <row r="6956" spans="20:20" s="566" customFormat="1">
      <c r="T6956" s="41"/>
    </row>
    <row r="6957" spans="20:20" s="566" customFormat="1">
      <c r="T6957" s="41"/>
    </row>
    <row r="6958" spans="20:20" s="566" customFormat="1">
      <c r="T6958" s="41"/>
    </row>
    <row r="6959" spans="20:20" s="566" customFormat="1">
      <c r="T6959" s="41"/>
    </row>
    <row r="6960" spans="20:20" s="566" customFormat="1">
      <c r="T6960" s="41"/>
    </row>
    <row r="6961" spans="20:20" s="566" customFormat="1">
      <c r="T6961" s="41"/>
    </row>
    <row r="6962" spans="20:20" s="566" customFormat="1">
      <c r="T6962" s="41"/>
    </row>
    <row r="6963" spans="20:20" s="566" customFormat="1">
      <c r="T6963" s="41"/>
    </row>
    <row r="6964" spans="20:20" s="566" customFormat="1">
      <c r="T6964" s="41"/>
    </row>
    <row r="6965" spans="20:20" s="566" customFormat="1">
      <c r="T6965" s="41"/>
    </row>
    <row r="6966" spans="20:20" s="566" customFormat="1">
      <c r="T6966" s="41"/>
    </row>
    <row r="6967" spans="20:20" s="566" customFormat="1">
      <c r="T6967" s="41"/>
    </row>
    <row r="6968" spans="20:20" s="566" customFormat="1">
      <c r="T6968" s="41"/>
    </row>
    <row r="6969" spans="20:20" s="566" customFormat="1">
      <c r="T6969" s="41"/>
    </row>
    <row r="6970" spans="20:20" s="566" customFormat="1">
      <c r="T6970" s="41"/>
    </row>
    <row r="6971" spans="20:20" s="566" customFormat="1">
      <c r="T6971" s="41"/>
    </row>
    <row r="6972" spans="20:20" s="566" customFormat="1">
      <c r="T6972" s="41"/>
    </row>
    <row r="6973" spans="20:20" s="566" customFormat="1">
      <c r="T6973" s="41"/>
    </row>
    <row r="6974" spans="20:20" s="566" customFormat="1">
      <c r="T6974" s="41"/>
    </row>
    <row r="6975" spans="20:20" s="566" customFormat="1">
      <c r="T6975" s="41"/>
    </row>
    <row r="6976" spans="20:20" s="566" customFormat="1">
      <c r="T6976" s="41"/>
    </row>
    <row r="6977" spans="20:20" s="566" customFormat="1">
      <c r="T6977" s="41"/>
    </row>
    <row r="6978" spans="20:20" s="566" customFormat="1">
      <c r="T6978" s="41"/>
    </row>
    <row r="6979" spans="20:20" s="566" customFormat="1">
      <c r="T6979" s="41"/>
    </row>
    <row r="6980" spans="20:20" s="566" customFormat="1">
      <c r="T6980" s="41"/>
    </row>
    <row r="6981" spans="20:20" s="566" customFormat="1">
      <c r="T6981" s="41"/>
    </row>
    <row r="6982" spans="20:20" s="566" customFormat="1">
      <c r="T6982" s="41"/>
    </row>
    <row r="6983" spans="20:20" s="566" customFormat="1">
      <c r="T6983" s="41"/>
    </row>
    <row r="6984" spans="20:20" s="566" customFormat="1">
      <c r="T6984" s="41"/>
    </row>
    <row r="6985" spans="20:20" s="566" customFormat="1">
      <c r="T6985" s="41"/>
    </row>
    <row r="6986" spans="20:20" s="566" customFormat="1">
      <c r="T6986" s="41"/>
    </row>
    <row r="6987" spans="20:20" s="566" customFormat="1">
      <c r="T6987" s="41"/>
    </row>
    <row r="6988" spans="20:20" s="566" customFormat="1">
      <c r="T6988" s="41"/>
    </row>
    <row r="6989" spans="20:20" s="566" customFormat="1">
      <c r="T6989" s="41"/>
    </row>
    <row r="6990" spans="20:20" s="566" customFormat="1">
      <c r="T6990" s="41"/>
    </row>
    <row r="6991" spans="20:20" s="566" customFormat="1">
      <c r="T6991" s="41"/>
    </row>
    <row r="6992" spans="20:20" s="566" customFormat="1">
      <c r="T6992" s="41"/>
    </row>
    <row r="6993" spans="20:20" s="566" customFormat="1">
      <c r="T6993" s="41"/>
    </row>
    <row r="6994" spans="20:20" s="566" customFormat="1">
      <c r="T6994" s="41"/>
    </row>
    <row r="6995" spans="20:20" s="566" customFormat="1">
      <c r="T6995" s="41"/>
    </row>
    <row r="6996" spans="20:20" s="566" customFormat="1">
      <c r="T6996" s="41"/>
    </row>
    <row r="6997" spans="20:20" s="566" customFormat="1">
      <c r="T6997" s="41"/>
    </row>
    <row r="6998" spans="20:20" s="566" customFormat="1">
      <c r="T6998" s="41"/>
    </row>
    <row r="6999" spans="20:20" s="566" customFormat="1">
      <c r="T6999" s="41"/>
    </row>
    <row r="7000" spans="20:20" s="566" customFormat="1">
      <c r="T7000" s="41"/>
    </row>
    <row r="7001" spans="20:20" s="566" customFormat="1">
      <c r="T7001" s="41"/>
    </row>
    <row r="7002" spans="20:20" s="566" customFormat="1">
      <c r="T7002" s="41"/>
    </row>
    <row r="7003" spans="20:20" s="566" customFormat="1">
      <c r="T7003" s="41"/>
    </row>
    <row r="7004" spans="20:20" s="566" customFormat="1">
      <c r="T7004" s="41"/>
    </row>
    <row r="7005" spans="20:20" s="566" customFormat="1">
      <c r="T7005" s="41"/>
    </row>
    <row r="7006" spans="20:20" s="566" customFormat="1">
      <c r="T7006" s="41"/>
    </row>
    <row r="7007" spans="20:20" s="566" customFormat="1">
      <c r="T7007" s="41"/>
    </row>
    <row r="7008" spans="20:20" s="566" customFormat="1">
      <c r="T7008" s="41"/>
    </row>
    <row r="7009" spans="20:20" s="566" customFormat="1">
      <c r="T7009" s="41"/>
    </row>
    <row r="7010" spans="20:20" s="566" customFormat="1">
      <c r="T7010" s="41"/>
    </row>
    <row r="7011" spans="20:20" s="566" customFormat="1">
      <c r="T7011" s="41"/>
    </row>
    <row r="7012" spans="20:20" s="566" customFormat="1">
      <c r="T7012" s="41"/>
    </row>
    <row r="7013" spans="20:20" s="566" customFormat="1">
      <c r="T7013" s="41"/>
    </row>
    <row r="7014" spans="20:20" s="566" customFormat="1">
      <c r="T7014" s="41"/>
    </row>
    <row r="7015" spans="20:20" s="566" customFormat="1">
      <c r="T7015" s="41"/>
    </row>
    <row r="7016" spans="20:20" s="566" customFormat="1">
      <c r="T7016" s="41"/>
    </row>
    <row r="7017" spans="20:20" s="566" customFormat="1">
      <c r="T7017" s="41"/>
    </row>
    <row r="7018" spans="20:20" s="566" customFormat="1">
      <c r="T7018" s="41"/>
    </row>
    <row r="7019" spans="20:20" s="566" customFormat="1">
      <c r="T7019" s="41"/>
    </row>
    <row r="7020" spans="20:20" s="566" customFormat="1">
      <c r="T7020" s="41"/>
    </row>
    <row r="7021" spans="20:20" s="566" customFormat="1">
      <c r="T7021" s="41"/>
    </row>
    <row r="7022" spans="20:20" s="566" customFormat="1">
      <c r="T7022" s="41"/>
    </row>
    <row r="7023" spans="20:20" s="566" customFormat="1">
      <c r="T7023" s="41"/>
    </row>
    <row r="7024" spans="20:20" s="566" customFormat="1">
      <c r="T7024" s="41"/>
    </row>
    <row r="7025" spans="20:20" s="566" customFormat="1">
      <c r="T7025" s="41"/>
    </row>
    <row r="7026" spans="20:20" s="566" customFormat="1">
      <c r="T7026" s="41"/>
    </row>
    <row r="7027" spans="20:20" s="566" customFormat="1">
      <c r="T7027" s="41"/>
    </row>
    <row r="7028" spans="20:20" s="566" customFormat="1">
      <c r="T7028" s="41"/>
    </row>
    <row r="7029" spans="20:20" s="566" customFormat="1">
      <c r="T7029" s="41"/>
    </row>
    <row r="7030" spans="20:20" s="566" customFormat="1">
      <c r="T7030" s="41"/>
    </row>
    <row r="7031" spans="20:20" s="566" customFormat="1">
      <c r="T7031" s="41"/>
    </row>
    <row r="7032" spans="20:20" s="566" customFormat="1">
      <c r="T7032" s="41"/>
    </row>
    <row r="7033" spans="20:20" s="566" customFormat="1">
      <c r="T7033" s="41"/>
    </row>
    <row r="7034" spans="20:20" s="566" customFormat="1">
      <c r="T7034" s="41"/>
    </row>
    <row r="7035" spans="20:20" s="566" customFormat="1">
      <c r="T7035" s="41"/>
    </row>
    <row r="7036" spans="20:20" s="566" customFormat="1">
      <c r="T7036" s="41"/>
    </row>
    <row r="7037" spans="20:20" s="566" customFormat="1">
      <c r="T7037" s="41"/>
    </row>
    <row r="7038" spans="20:20" s="566" customFormat="1">
      <c r="T7038" s="41"/>
    </row>
    <row r="7039" spans="20:20" s="566" customFormat="1">
      <c r="T7039" s="41"/>
    </row>
    <row r="7040" spans="20:20" s="566" customFormat="1">
      <c r="T7040" s="41"/>
    </row>
    <row r="7041" spans="20:20" s="566" customFormat="1">
      <c r="T7041" s="41"/>
    </row>
    <row r="7042" spans="20:20" s="566" customFormat="1">
      <c r="T7042" s="41"/>
    </row>
    <row r="7043" spans="20:20" s="566" customFormat="1">
      <c r="T7043" s="41"/>
    </row>
    <row r="7044" spans="20:20" s="566" customFormat="1">
      <c r="T7044" s="41"/>
    </row>
    <row r="7045" spans="20:20" s="566" customFormat="1">
      <c r="T7045" s="41"/>
    </row>
    <row r="7046" spans="20:20" s="566" customFormat="1">
      <c r="T7046" s="41"/>
    </row>
    <row r="7047" spans="20:20" s="566" customFormat="1">
      <c r="T7047" s="41"/>
    </row>
    <row r="7048" spans="20:20" s="566" customFormat="1">
      <c r="T7048" s="41"/>
    </row>
    <row r="7049" spans="20:20" s="566" customFormat="1">
      <c r="T7049" s="41"/>
    </row>
    <row r="7050" spans="20:20" s="566" customFormat="1">
      <c r="T7050" s="41"/>
    </row>
    <row r="7051" spans="20:20" s="566" customFormat="1">
      <c r="T7051" s="41"/>
    </row>
    <row r="7052" spans="20:20" s="566" customFormat="1">
      <c r="T7052" s="41"/>
    </row>
    <row r="7053" spans="20:20" s="566" customFormat="1">
      <c r="T7053" s="41"/>
    </row>
    <row r="7054" spans="20:20" s="566" customFormat="1">
      <c r="T7054" s="41"/>
    </row>
    <row r="7055" spans="20:20" s="566" customFormat="1">
      <c r="T7055" s="41"/>
    </row>
    <row r="7056" spans="20:20" s="566" customFormat="1">
      <c r="T7056" s="41"/>
    </row>
    <row r="7057" spans="20:20" s="566" customFormat="1">
      <c r="T7057" s="41"/>
    </row>
    <row r="7058" spans="20:20" s="566" customFormat="1">
      <c r="T7058" s="41"/>
    </row>
    <row r="7059" spans="20:20" s="566" customFormat="1">
      <c r="T7059" s="41"/>
    </row>
    <row r="7060" spans="20:20" s="566" customFormat="1">
      <c r="T7060" s="41"/>
    </row>
    <row r="7061" spans="20:20" s="566" customFormat="1">
      <c r="T7061" s="41"/>
    </row>
    <row r="7062" spans="20:20" s="566" customFormat="1">
      <c r="T7062" s="41"/>
    </row>
    <row r="7063" spans="20:20" s="566" customFormat="1">
      <c r="T7063" s="41"/>
    </row>
    <row r="7064" spans="20:20" s="566" customFormat="1">
      <c r="T7064" s="41"/>
    </row>
    <row r="7065" spans="20:20" s="566" customFormat="1">
      <c r="T7065" s="41"/>
    </row>
    <row r="7066" spans="20:20" s="566" customFormat="1">
      <c r="T7066" s="41"/>
    </row>
    <row r="7067" spans="20:20" s="566" customFormat="1">
      <c r="T7067" s="41"/>
    </row>
    <row r="7068" spans="20:20" s="566" customFormat="1">
      <c r="T7068" s="41"/>
    </row>
    <row r="7069" spans="20:20" s="566" customFormat="1">
      <c r="T7069" s="41"/>
    </row>
    <row r="7070" spans="20:20" s="566" customFormat="1">
      <c r="T7070" s="41"/>
    </row>
    <row r="7071" spans="20:20" s="566" customFormat="1">
      <c r="T7071" s="41"/>
    </row>
    <row r="7072" spans="20:20" s="566" customFormat="1">
      <c r="T7072" s="41"/>
    </row>
    <row r="7073" spans="20:20" s="566" customFormat="1">
      <c r="T7073" s="41"/>
    </row>
    <row r="7074" spans="20:20" s="566" customFormat="1">
      <c r="T7074" s="41"/>
    </row>
    <row r="7075" spans="20:20" s="566" customFormat="1">
      <c r="T7075" s="41"/>
    </row>
    <row r="7076" spans="20:20" s="566" customFormat="1">
      <c r="T7076" s="41"/>
    </row>
    <row r="7077" spans="20:20" s="566" customFormat="1">
      <c r="T7077" s="41"/>
    </row>
    <row r="7078" spans="20:20" s="566" customFormat="1">
      <c r="T7078" s="41"/>
    </row>
    <row r="7079" spans="20:20" s="566" customFormat="1">
      <c r="T7079" s="41"/>
    </row>
    <row r="7080" spans="20:20" s="566" customFormat="1">
      <c r="T7080" s="41"/>
    </row>
    <row r="7081" spans="20:20" s="566" customFormat="1">
      <c r="T7081" s="41"/>
    </row>
    <row r="7082" spans="20:20" s="566" customFormat="1">
      <c r="T7082" s="41"/>
    </row>
    <row r="7083" spans="20:20" s="566" customFormat="1">
      <c r="T7083" s="41"/>
    </row>
    <row r="7084" spans="20:20" s="566" customFormat="1">
      <c r="T7084" s="41"/>
    </row>
    <row r="7085" spans="20:20" s="566" customFormat="1">
      <c r="T7085" s="41"/>
    </row>
    <row r="7086" spans="20:20" s="566" customFormat="1">
      <c r="T7086" s="41"/>
    </row>
    <row r="7087" spans="20:20" s="566" customFormat="1">
      <c r="T7087" s="41"/>
    </row>
    <row r="7088" spans="20:20" s="566" customFormat="1">
      <c r="T7088" s="41"/>
    </row>
    <row r="7089" spans="20:20" s="566" customFormat="1">
      <c r="T7089" s="41"/>
    </row>
    <row r="7090" spans="20:20" s="566" customFormat="1">
      <c r="T7090" s="41"/>
    </row>
    <row r="7091" spans="20:20" s="566" customFormat="1">
      <c r="T7091" s="41"/>
    </row>
    <row r="7092" spans="20:20" s="566" customFormat="1">
      <c r="T7092" s="41"/>
    </row>
    <row r="7093" spans="20:20" s="566" customFormat="1">
      <c r="T7093" s="41"/>
    </row>
    <row r="7094" spans="20:20" s="566" customFormat="1">
      <c r="T7094" s="41"/>
    </row>
    <row r="7095" spans="20:20" s="566" customFormat="1">
      <c r="T7095" s="41"/>
    </row>
    <row r="7096" spans="20:20" s="566" customFormat="1">
      <c r="T7096" s="41"/>
    </row>
    <row r="7097" spans="20:20" s="566" customFormat="1">
      <c r="T7097" s="41"/>
    </row>
    <row r="7098" spans="20:20" s="566" customFormat="1">
      <c r="T7098" s="41"/>
    </row>
    <row r="7099" spans="20:20" s="566" customFormat="1">
      <c r="T7099" s="41"/>
    </row>
    <row r="7100" spans="20:20" s="566" customFormat="1">
      <c r="T7100" s="41"/>
    </row>
    <row r="7101" spans="20:20" s="566" customFormat="1">
      <c r="T7101" s="41"/>
    </row>
    <row r="7102" spans="20:20" s="566" customFormat="1">
      <c r="T7102" s="41"/>
    </row>
    <row r="7103" spans="20:20" s="566" customFormat="1">
      <c r="T7103" s="41"/>
    </row>
    <row r="7104" spans="20:20" s="566" customFormat="1">
      <c r="T7104" s="41"/>
    </row>
    <row r="7105" spans="20:20" s="566" customFormat="1">
      <c r="T7105" s="41"/>
    </row>
    <row r="7106" spans="20:20" s="566" customFormat="1">
      <c r="T7106" s="41"/>
    </row>
    <row r="7107" spans="20:20" s="566" customFormat="1">
      <c r="T7107" s="41"/>
    </row>
    <row r="7108" spans="20:20" s="566" customFormat="1">
      <c r="T7108" s="41"/>
    </row>
    <row r="7109" spans="20:20" s="566" customFormat="1">
      <c r="T7109" s="41"/>
    </row>
    <row r="7110" spans="20:20" s="566" customFormat="1">
      <c r="T7110" s="41"/>
    </row>
    <row r="7111" spans="20:20" s="566" customFormat="1">
      <c r="T7111" s="41"/>
    </row>
    <row r="7112" spans="20:20" s="566" customFormat="1">
      <c r="T7112" s="41"/>
    </row>
    <row r="7113" spans="20:20" s="566" customFormat="1">
      <c r="T7113" s="41"/>
    </row>
    <row r="7114" spans="20:20" s="566" customFormat="1">
      <c r="T7114" s="41"/>
    </row>
    <row r="7115" spans="20:20" s="566" customFormat="1">
      <c r="T7115" s="41"/>
    </row>
    <row r="7116" spans="20:20" s="566" customFormat="1">
      <c r="T7116" s="41"/>
    </row>
    <row r="7117" spans="20:20" s="566" customFormat="1">
      <c r="T7117" s="41"/>
    </row>
    <row r="7118" spans="20:20" s="566" customFormat="1">
      <c r="T7118" s="41"/>
    </row>
    <row r="7119" spans="20:20" s="566" customFormat="1">
      <c r="T7119" s="41"/>
    </row>
    <row r="7120" spans="20:20" s="566" customFormat="1">
      <c r="T7120" s="41"/>
    </row>
    <row r="7121" spans="20:20" s="566" customFormat="1">
      <c r="T7121" s="41"/>
    </row>
    <row r="7122" spans="20:20" s="566" customFormat="1">
      <c r="T7122" s="41"/>
    </row>
    <row r="7123" spans="20:20" s="566" customFormat="1">
      <c r="T7123" s="41"/>
    </row>
    <row r="7124" spans="20:20" s="566" customFormat="1">
      <c r="T7124" s="41"/>
    </row>
    <row r="7125" spans="20:20" s="566" customFormat="1">
      <c r="T7125" s="41"/>
    </row>
    <row r="7126" spans="20:20" s="566" customFormat="1">
      <c r="T7126" s="41"/>
    </row>
    <row r="7127" spans="20:20" s="566" customFormat="1">
      <c r="T7127" s="41"/>
    </row>
    <row r="7128" spans="20:20" s="566" customFormat="1">
      <c r="T7128" s="41"/>
    </row>
    <row r="7129" spans="20:20" s="566" customFormat="1">
      <c r="T7129" s="41"/>
    </row>
    <row r="7130" spans="20:20" s="566" customFormat="1">
      <c r="T7130" s="41"/>
    </row>
    <row r="7131" spans="20:20" s="566" customFormat="1">
      <c r="T7131" s="41"/>
    </row>
    <row r="7132" spans="20:20" s="566" customFormat="1">
      <c r="T7132" s="41"/>
    </row>
    <row r="7133" spans="20:20" s="566" customFormat="1">
      <c r="T7133" s="41"/>
    </row>
    <row r="7134" spans="20:20" s="566" customFormat="1">
      <c r="T7134" s="41"/>
    </row>
    <row r="7135" spans="20:20" s="566" customFormat="1">
      <c r="T7135" s="41"/>
    </row>
    <row r="7136" spans="20:20" s="566" customFormat="1">
      <c r="T7136" s="41"/>
    </row>
    <row r="7137" spans="20:20" s="566" customFormat="1">
      <c r="T7137" s="41"/>
    </row>
    <row r="7138" spans="20:20" s="566" customFormat="1">
      <c r="T7138" s="41"/>
    </row>
    <row r="7139" spans="20:20" s="566" customFormat="1">
      <c r="T7139" s="41"/>
    </row>
    <row r="7140" spans="20:20" s="566" customFormat="1">
      <c r="T7140" s="41"/>
    </row>
    <row r="7141" spans="20:20" s="566" customFormat="1">
      <c r="T7141" s="41"/>
    </row>
    <row r="7142" spans="20:20" s="566" customFormat="1">
      <c r="T7142" s="41"/>
    </row>
    <row r="7143" spans="20:20" s="566" customFormat="1">
      <c r="T7143" s="41"/>
    </row>
    <row r="7144" spans="20:20" s="566" customFormat="1">
      <c r="T7144" s="41"/>
    </row>
    <row r="7145" spans="20:20" s="566" customFormat="1">
      <c r="T7145" s="41"/>
    </row>
    <row r="7146" spans="20:20" s="566" customFormat="1">
      <c r="T7146" s="41"/>
    </row>
    <row r="7147" spans="20:20" s="566" customFormat="1">
      <c r="T7147" s="41"/>
    </row>
    <row r="7148" spans="20:20" s="566" customFormat="1">
      <c r="T7148" s="41"/>
    </row>
    <row r="7149" spans="20:20" s="566" customFormat="1">
      <c r="T7149" s="41"/>
    </row>
    <row r="7150" spans="20:20" s="566" customFormat="1">
      <c r="T7150" s="41"/>
    </row>
    <row r="7151" spans="20:20" s="566" customFormat="1">
      <c r="T7151" s="41"/>
    </row>
    <row r="7152" spans="20:20" s="566" customFormat="1">
      <c r="T7152" s="41"/>
    </row>
    <row r="7153" spans="20:20" s="566" customFormat="1">
      <c r="T7153" s="41"/>
    </row>
    <row r="7154" spans="20:20" s="566" customFormat="1">
      <c r="T7154" s="41"/>
    </row>
    <row r="7155" spans="20:20" s="566" customFormat="1">
      <c r="T7155" s="41"/>
    </row>
    <row r="7156" spans="20:20" s="566" customFormat="1">
      <c r="T7156" s="41"/>
    </row>
    <row r="7157" spans="20:20" s="566" customFormat="1">
      <c r="T7157" s="41"/>
    </row>
    <row r="7158" spans="20:20" s="566" customFormat="1">
      <c r="T7158" s="41"/>
    </row>
    <row r="7159" spans="20:20" s="566" customFormat="1">
      <c r="T7159" s="41"/>
    </row>
    <row r="7160" spans="20:20" s="566" customFormat="1">
      <c r="T7160" s="41"/>
    </row>
    <row r="7161" spans="20:20" s="566" customFormat="1">
      <c r="T7161" s="41"/>
    </row>
    <row r="7162" spans="20:20" s="566" customFormat="1">
      <c r="T7162" s="41"/>
    </row>
    <row r="7163" spans="20:20" s="566" customFormat="1">
      <c r="T7163" s="41"/>
    </row>
    <row r="7164" spans="20:20" s="566" customFormat="1">
      <c r="T7164" s="41"/>
    </row>
    <row r="7165" spans="20:20" s="566" customFormat="1">
      <c r="T7165" s="41"/>
    </row>
    <row r="7166" spans="20:20" s="566" customFormat="1">
      <c r="T7166" s="41"/>
    </row>
    <row r="7167" spans="20:20" s="566" customFormat="1">
      <c r="T7167" s="41"/>
    </row>
    <row r="7168" spans="20:20" s="566" customFormat="1">
      <c r="T7168" s="41"/>
    </row>
    <row r="7169" spans="20:20" s="566" customFormat="1">
      <c r="T7169" s="41"/>
    </row>
    <row r="7170" spans="20:20" s="566" customFormat="1">
      <c r="T7170" s="41"/>
    </row>
    <row r="7171" spans="20:20" s="566" customFormat="1">
      <c r="T7171" s="41"/>
    </row>
    <row r="7172" spans="20:20" s="566" customFormat="1">
      <c r="T7172" s="41"/>
    </row>
    <row r="7173" spans="20:20" s="566" customFormat="1">
      <c r="T7173" s="41"/>
    </row>
    <row r="7174" spans="20:20" s="566" customFormat="1">
      <c r="T7174" s="41"/>
    </row>
    <row r="7175" spans="20:20" s="566" customFormat="1">
      <c r="T7175" s="41"/>
    </row>
    <row r="7176" spans="20:20" s="566" customFormat="1">
      <c r="T7176" s="41"/>
    </row>
    <row r="7177" spans="20:20" s="566" customFormat="1">
      <c r="T7177" s="41"/>
    </row>
    <row r="7178" spans="20:20" s="566" customFormat="1">
      <c r="T7178" s="41"/>
    </row>
    <row r="7179" spans="20:20" s="566" customFormat="1">
      <c r="T7179" s="41"/>
    </row>
    <row r="7180" spans="20:20" s="566" customFormat="1">
      <c r="T7180" s="41"/>
    </row>
    <row r="7181" spans="20:20" s="566" customFormat="1">
      <c r="T7181" s="41"/>
    </row>
    <row r="7182" spans="20:20" s="566" customFormat="1">
      <c r="T7182" s="41"/>
    </row>
    <row r="7183" spans="20:20" s="566" customFormat="1">
      <c r="T7183" s="41"/>
    </row>
    <row r="7184" spans="20:20" s="566" customFormat="1">
      <c r="T7184" s="41"/>
    </row>
    <row r="7185" spans="20:20" s="566" customFormat="1">
      <c r="T7185" s="41"/>
    </row>
    <row r="7186" spans="20:20" s="566" customFormat="1">
      <c r="T7186" s="41"/>
    </row>
    <row r="7187" spans="20:20" s="566" customFormat="1">
      <c r="T7187" s="41"/>
    </row>
    <row r="7188" spans="20:20" s="566" customFormat="1">
      <c r="T7188" s="41"/>
    </row>
    <row r="7189" spans="20:20" s="566" customFormat="1">
      <c r="T7189" s="41"/>
    </row>
    <row r="7190" spans="20:20" s="566" customFormat="1">
      <c r="T7190" s="41"/>
    </row>
    <row r="7191" spans="20:20" s="566" customFormat="1">
      <c r="T7191" s="41"/>
    </row>
    <row r="7192" spans="20:20" s="566" customFormat="1">
      <c r="T7192" s="41"/>
    </row>
    <row r="7193" spans="20:20" s="566" customFormat="1">
      <c r="T7193" s="41"/>
    </row>
    <row r="7194" spans="20:20" s="566" customFormat="1">
      <c r="T7194" s="41"/>
    </row>
    <row r="7195" spans="20:20" s="566" customFormat="1">
      <c r="T7195" s="41"/>
    </row>
    <row r="7196" spans="20:20" s="566" customFormat="1">
      <c r="T7196" s="41"/>
    </row>
    <row r="7197" spans="20:20" s="566" customFormat="1">
      <c r="T7197" s="41"/>
    </row>
    <row r="7198" spans="20:20" s="566" customFormat="1">
      <c r="T7198" s="41"/>
    </row>
    <row r="7199" spans="20:20" s="566" customFormat="1">
      <c r="T7199" s="41"/>
    </row>
    <row r="7200" spans="20:20" s="566" customFormat="1">
      <c r="T7200" s="41"/>
    </row>
    <row r="7201" spans="20:20" s="566" customFormat="1">
      <c r="T7201" s="41"/>
    </row>
    <row r="7202" spans="20:20" s="566" customFormat="1">
      <c r="T7202" s="41"/>
    </row>
    <row r="7203" spans="20:20" s="566" customFormat="1">
      <c r="T7203" s="41"/>
    </row>
    <row r="7204" spans="20:20" s="566" customFormat="1">
      <c r="T7204" s="41"/>
    </row>
    <row r="7205" spans="20:20" s="566" customFormat="1">
      <c r="T7205" s="41"/>
    </row>
    <row r="7206" spans="20:20" s="566" customFormat="1">
      <c r="T7206" s="41"/>
    </row>
    <row r="7207" spans="20:20" s="566" customFormat="1">
      <c r="T7207" s="41"/>
    </row>
    <row r="7208" spans="20:20" s="566" customFormat="1">
      <c r="T7208" s="41"/>
    </row>
    <row r="7209" spans="20:20" s="566" customFormat="1">
      <c r="T7209" s="41"/>
    </row>
    <row r="7210" spans="20:20" s="566" customFormat="1">
      <c r="T7210" s="41"/>
    </row>
    <row r="7211" spans="20:20" s="566" customFormat="1">
      <c r="T7211" s="41"/>
    </row>
    <row r="7212" spans="20:20" s="566" customFormat="1">
      <c r="T7212" s="41"/>
    </row>
    <row r="7213" spans="20:20" s="566" customFormat="1">
      <c r="T7213" s="41"/>
    </row>
    <row r="7214" spans="20:20" s="566" customFormat="1">
      <c r="T7214" s="41"/>
    </row>
    <row r="7215" spans="20:20" s="566" customFormat="1">
      <c r="T7215" s="41"/>
    </row>
    <row r="7216" spans="20:20" s="566" customFormat="1">
      <c r="T7216" s="41"/>
    </row>
    <row r="7217" spans="20:20" s="566" customFormat="1">
      <c r="T7217" s="41"/>
    </row>
    <row r="7218" spans="20:20" s="566" customFormat="1">
      <c r="T7218" s="41"/>
    </row>
    <row r="7219" spans="20:20" s="566" customFormat="1">
      <c r="T7219" s="41"/>
    </row>
    <row r="7220" spans="20:20" s="566" customFormat="1">
      <c r="T7220" s="41"/>
    </row>
    <row r="7221" spans="20:20" s="566" customFormat="1">
      <c r="T7221" s="41"/>
    </row>
    <row r="7222" spans="20:20" s="566" customFormat="1">
      <c r="T7222" s="41"/>
    </row>
    <row r="7223" spans="20:20" s="566" customFormat="1">
      <c r="T7223" s="41"/>
    </row>
    <row r="7224" spans="20:20" s="566" customFormat="1">
      <c r="T7224" s="41"/>
    </row>
    <row r="7225" spans="20:20" s="566" customFormat="1">
      <c r="T7225" s="41"/>
    </row>
    <row r="7226" spans="20:20" s="566" customFormat="1">
      <c r="T7226" s="41"/>
    </row>
    <row r="7227" spans="20:20" s="566" customFormat="1">
      <c r="T7227" s="41"/>
    </row>
    <row r="7228" spans="20:20" s="566" customFormat="1">
      <c r="T7228" s="41"/>
    </row>
    <row r="7229" spans="20:20" s="566" customFormat="1">
      <c r="T7229" s="41"/>
    </row>
    <row r="7230" spans="20:20" s="566" customFormat="1">
      <c r="T7230" s="41"/>
    </row>
    <row r="7231" spans="20:20" s="566" customFormat="1">
      <c r="T7231" s="41"/>
    </row>
    <row r="7232" spans="20:20" s="566" customFormat="1">
      <c r="T7232" s="41"/>
    </row>
    <row r="7233" spans="20:20" s="566" customFormat="1">
      <c r="T7233" s="41"/>
    </row>
    <row r="7234" spans="20:20" s="566" customFormat="1">
      <c r="T7234" s="41"/>
    </row>
    <row r="7235" spans="20:20" s="566" customFormat="1">
      <c r="T7235" s="41"/>
    </row>
    <row r="7236" spans="20:20" s="566" customFormat="1">
      <c r="T7236" s="41"/>
    </row>
    <row r="7237" spans="20:20" s="566" customFormat="1">
      <c r="T7237" s="41"/>
    </row>
    <row r="7238" spans="20:20" s="566" customFormat="1">
      <c r="T7238" s="41"/>
    </row>
    <row r="7239" spans="20:20" s="566" customFormat="1">
      <c r="T7239" s="41"/>
    </row>
    <row r="7240" spans="20:20" s="566" customFormat="1">
      <c r="T7240" s="41"/>
    </row>
    <row r="7241" spans="20:20" s="566" customFormat="1">
      <c r="T7241" s="41"/>
    </row>
    <row r="7242" spans="20:20" s="566" customFormat="1">
      <c r="T7242" s="41"/>
    </row>
    <row r="7243" spans="20:20" s="566" customFormat="1">
      <c r="T7243" s="41"/>
    </row>
    <row r="7244" spans="20:20" s="566" customFormat="1">
      <c r="T7244" s="41"/>
    </row>
    <row r="7245" spans="20:20" s="566" customFormat="1">
      <c r="T7245" s="41"/>
    </row>
    <row r="7246" spans="20:20" s="566" customFormat="1">
      <c r="T7246" s="41"/>
    </row>
    <row r="7247" spans="20:20" s="566" customFormat="1">
      <c r="T7247" s="41"/>
    </row>
    <row r="7248" spans="20:20" s="566" customFormat="1">
      <c r="T7248" s="41"/>
    </row>
    <row r="7249" spans="20:20" s="566" customFormat="1">
      <c r="T7249" s="41"/>
    </row>
    <row r="7250" spans="20:20" s="566" customFormat="1">
      <c r="T7250" s="41"/>
    </row>
    <row r="7251" spans="20:20" s="566" customFormat="1">
      <c r="T7251" s="41"/>
    </row>
    <row r="7252" spans="20:20" s="566" customFormat="1">
      <c r="T7252" s="41"/>
    </row>
    <row r="7253" spans="20:20" s="566" customFormat="1">
      <c r="T7253" s="41"/>
    </row>
    <row r="7254" spans="20:20" s="566" customFormat="1">
      <c r="T7254" s="41"/>
    </row>
    <row r="7255" spans="20:20" s="566" customFormat="1">
      <c r="T7255" s="41"/>
    </row>
    <row r="7256" spans="20:20" s="566" customFormat="1">
      <c r="T7256" s="41"/>
    </row>
    <row r="7257" spans="20:20" s="566" customFormat="1">
      <c r="T7257" s="41"/>
    </row>
    <row r="7258" spans="20:20" s="566" customFormat="1">
      <c r="T7258" s="41"/>
    </row>
    <row r="7259" spans="20:20" s="566" customFormat="1">
      <c r="T7259" s="41"/>
    </row>
    <row r="7260" spans="20:20" s="566" customFormat="1">
      <c r="T7260" s="41"/>
    </row>
    <row r="7261" spans="20:20" s="566" customFormat="1">
      <c r="T7261" s="41"/>
    </row>
    <row r="7262" spans="20:20" s="566" customFormat="1">
      <c r="T7262" s="41"/>
    </row>
    <row r="7263" spans="20:20" s="566" customFormat="1">
      <c r="T7263" s="41"/>
    </row>
    <row r="7264" spans="20:20" s="566" customFormat="1">
      <c r="T7264" s="41"/>
    </row>
    <row r="7265" spans="20:20" s="566" customFormat="1">
      <c r="T7265" s="41"/>
    </row>
    <row r="7266" spans="20:20" s="566" customFormat="1">
      <c r="T7266" s="41"/>
    </row>
    <row r="7267" spans="20:20" s="566" customFormat="1">
      <c r="T7267" s="41"/>
    </row>
    <row r="7268" spans="20:20" s="566" customFormat="1">
      <c r="T7268" s="41"/>
    </row>
    <row r="7269" spans="20:20" s="566" customFormat="1">
      <c r="T7269" s="41"/>
    </row>
    <row r="7270" spans="20:20" s="566" customFormat="1">
      <c r="T7270" s="41"/>
    </row>
    <row r="7271" spans="20:20" s="566" customFormat="1">
      <c r="T7271" s="41"/>
    </row>
    <row r="7272" spans="20:20" s="566" customFormat="1">
      <c r="T7272" s="41"/>
    </row>
    <row r="7273" spans="20:20" s="566" customFormat="1">
      <c r="T7273" s="41"/>
    </row>
    <row r="7274" spans="20:20" s="566" customFormat="1">
      <c r="T7274" s="41"/>
    </row>
    <row r="7275" spans="20:20" s="566" customFormat="1">
      <c r="T7275" s="41"/>
    </row>
    <row r="7276" spans="20:20" s="566" customFormat="1">
      <c r="T7276" s="41"/>
    </row>
    <row r="7277" spans="20:20" s="566" customFormat="1">
      <c r="T7277" s="41"/>
    </row>
    <row r="7278" spans="20:20" s="566" customFormat="1">
      <c r="T7278" s="41"/>
    </row>
    <row r="7279" spans="20:20" s="566" customFormat="1">
      <c r="T7279" s="41"/>
    </row>
    <row r="7280" spans="20:20" s="566" customFormat="1">
      <c r="T7280" s="41"/>
    </row>
    <row r="7281" spans="20:20" s="566" customFormat="1">
      <c r="T7281" s="41"/>
    </row>
    <row r="7282" spans="20:20" s="566" customFormat="1">
      <c r="T7282" s="41"/>
    </row>
    <row r="7283" spans="20:20" s="566" customFormat="1">
      <c r="T7283" s="41"/>
    </row>
    <row r="7284" spans="20:20" s="566" customFormat="1">
      <c r="T7284" s="41"/>
    </row>
    <row r="7285" spans="20:20" s="566" customFormat="1">
      <c r="T7285" s="41"/>
    </row>
    <row r="7286" spans="20:20" s="566" customFormat="1">
      <c r="T7286" s="41"/>
    </row>
    <row r="7287" spans="20:20" s="566" customFormat="1">
      <c r="T7287" s="41"/>
    </row>
    <row r="7288" spans="20:20" s="566" customFormat="1">
      <c r="T7288" s="41"/>
    </row>
    <row r="7289" spans="20:20" s="566" customFormat="1">
      <c r="T7289" s="41"/>
    </row>
    <row r="7290" spans="20:20" s="566" customFormat="1">
      <c r="T7290" s="41"/>
    </row>
    <row r="7291" spans="20:20" s="566" customFormat="1">
      <c r="T7291" s="41"/>
    </row>
    <row r="7292" spans="20:20" s="566" customFormat="1">
      <c r="T7292" s="41"/>
    </row>
    <row r="7293" spans="20:20" s="566" customFormat="1">
      <c r="T7293" s="41"/>
    </row>
    <row r="7294" spans="20:20" s="566" customFormat="1">
      <c r="T7294" s="41"/>
    </row>
    <row r="7295" spans="20:20" s="566" customFormat="1">
      <c r="T7295" s="41"/>
    </row>
    <row r="7296" spans="20:20" s="566" customFormat="1">
      <c r="T7296" s="41"/>
    </row>
    <row r="7297" spans="20:20" s="566" customFormat="1">
      <c r="T7297" s="41"/>
    </row>
    <row r="7298" spans="20:20" s="566" customFormat="1">
      <c r="T7298" s="41"/>
    </row>
    <row r="7299" spans="20:20" s="566" customFormat="1">
      <c r="T7299" s="41"/>
    </row>
    <row r="7300" spans="20:20" s="566" customFormat="1">
      <c r="T7300" s="41"/>
    </row>
    <row r="7301" spans="20:20" s="566" customFormat="1">
      <c r="T7301" s="41"/>
    </row>
    <row r="7302" spans="20:20" s="566" customFormat="1">
      <c r="T7302" s="41"/>
    </row>
    <row r="7303" spans="20:20" s="566" customFormat="1">
      <c r="T7303" s="41"/>
    </row>
    <row r="7304" spans="20:20" s="566" customFormat="1">
      <c r="T7304" s="41"/>
    </row>
    <row r="7305" spans="20:20" s="566" customFormat="1">
      <c r="T7305" s="41"/>
    </row>
    <row r="7306" spans="20:20" s="566" customFormat="1">
      <c r="T7306" s="41"/>
    </row>
    <row r="7307" spans="20:20" s="566" customFormat="1">
      <c r="T7307" s="41"/>
    </row>
    <row r="7308" spans="20:20" s="566" customFormat="1">
      <c r="T7308" s="41"/>
    </row>
    <row r="7309" spans="20:20" s="566" customFormat="1">
      <c r="T7309" s="41"/>
    </row>
    <row r="7310" spans="20:20" s="566" customFormat="1">
      <c r="T7310" s="41"/>
    </row>
    <row r="7311" spans="20:20" s="566" customFormat="1">
      <c r="T7311" s="41"/>
    </row>
    <row r="7312" spans="20:20" s="566" customFormat="1">
      <c r="T7312" s="41"/>
    </row>
    <row r="7313" spans="20:20" s="566" customFormat="1">
      <c r="T7313" s="41"/>
    </row>
    <row r="7314" spans="20:20" s="566" customFormat="1">
      <c r="T7314" s="41"/>
    </row>
    <row r="7315" spans="20:20" s="566" customFormat="1">
      <c r="T7315" s="41"/>
    </row>
    <row r="7316" spans="20:20" s="566" customFormat="1">
      <c r="T7316" s="41"/>
    </row>
    <row r="7317" spans="20:20" s="566" customFormat="1">
      <c r="T7317" s="41"/>
    </row>
    <row r="7318" spans="20:20" s="566" customFormat="1">
      <c r="T7318" s="41"/>
    </row>
    <row r="7319" spans="20:20" s="566" customFormat="1">
      <c r="T7319" s="41"/>
    </row>
    <row r="7320" spans="20:20" s="566" customFormat="1">
      <c r="T7320" s="41"/>
    </row>
    <row r="7321" spans="20:20" s="566" customFormat="1">
      <c r="T7321" s="41"/>
    </row>
    <row r="7322" spans="20:20" s="566" customFormat="1">
      <c r="T7322" s="41"/>
    </row>
    <row r="7323" spans="20:20" s="566" customFormat="1">
      <c r="T7323" s="41"/>
    </row>
    <row r="7324" spans="20:20" s="566" customFormat="1">
      <c r="T7324" s="41"/>
    </row>
    <row r="7325" spans="20:20" s="566" customFormat="1">
      <c r="T7325" s="41"/>
    </row>
    <row r="7326" spans="20:20" s="566" customFormat="1">
      <c r="T7326" s="41"/>
    </row>
    <row r="7327" spans="20:20" s="566" customFormat="1">
      <c r="T7327" s="41"/>
    </row>
    <row r="7328" spans="20:20" s="566" customFormat="1">
      <c r="T7328" s="41"/>
    </row>
    <row r="7329" spans="20:20" s="566" customFormat="1">
      <c r="T7329" s="41"/>
    </row>
    <row r="7330" spans="20:20" s="566" customFormat="1">
      <c r="T7330" s="41"/>
    </row>
    <row r="7331" spans="20:20" s="566" customFormat="1">
      <c r="T7331" s="41"/>
    </row>
    <row r="7332" spans="20:20" s="566" customFormat="1">
      <c r="T7332" s="41"/>
    </row>
    <row r="7333" spans="20:20" s="566" customFormat="1">
      <c r="T7333" s="41"/>
    </row>
    <row r="7334" spans="20:20" s="566" customFormat="1">
      <c r="T7334" s="41"/>
    </row>
    <row r="7335" spans="20:20" s="566" customFormat="1">
      <c r="T7335" s="41"/>
    </row>
    <row r="7336" spans="20:20" s="566" customFormat="1">
      <c r="T7336" s="41"/>
    </row>
    <row r="7337" spans="20:20" s="566" customFormat="1">
      <c r="T7337" s="41"/>
    </row>
    <row r="7338" spans="20:20" s="566" customFormat="1">
      <c r="T7338" s="41"/>
    </row>
    <row r="7339" spans="20:20" s="566" customFormat="1">
      <c r="T7339" s="41"/>
    </row>
    <row r="7340" spans="20:20" s="566" customFormat="1">
      <c r="T7340" s="41"/>
    </row>
    <row r="7341" spans="20:20" s="566" customFormat="1">
      <c r="T7341" s="41"/>
    </row>
    <row r="7342" spans="20:20" s="566" customFormat="1">
      <c r="T7342" s="41"/>
    </row>
    <row r="7343" spans="20:20" s="566" customFormat="1">
      <c r="T7343" s="41"/>
    </row>
    <row r="7344" spans="20:20" s="566" customFormat="1">
      <c r="T7344" s="41"/>
    </row>
    <row r="7345" spans="20:20" s="566" customFormat="1">
      <c r="T7345" s="41"/>
    </row>
    <row r="7346" spans="20:20" s="566" customFormat="1">
      <c r="T7346" s="41"/>
    </row>
    <row r="7347" spans="20:20" s="566" customFormat="1">
      <c r="T7347" s="41"/>
    </row>
    <row r="7348" spans="20:20" s="566" customFormat="1">
      <c r="T7348" s="41"/>
    </row>
    <row r="7349" spans="20:20" s="566" customFormat="1">
      <c r="T7349" s="41"/>
    </row>
    <row r="7350" spans="20:20" s="566" customFormat="1">
      <c r="T7350" s="41"/>
    </row>
    <row r="7351" spans="20:20" s="566" customFormat="1">
      <c r="T7351" s="41"/>
    </row>
    <row r="7352" spans="20:20" s="566" customFormat="1">
      <c r="T7352" s="41"/>
    </row>
    <row r="7353" spans="20:20" s="566" customFormat="1">
      <c r="T7353" s="41"/>
    </row>
    <row r="7354" spans="20:20" s="566" customFormat="1">
      <c r="T7354" s="41"/>
    </row>
    <row r="7355" spans="20:20" s="566" customFormat="1">
      <c r="T7355" s="41"/>
    </row>
    <row r="7356" spans="20:20" s="566" customFormat="1">
      <c r="T7356" s="41"/>
    </row>
    <row r="7357" spans="20:20" s="566" customFormat="1">
      <c r="T7357" s="41"/>
    </row>
    <row r="7358" spans="20:20" s="566" customFormat="1">
      <c r="T7358" s="41"/>
    </row>
    <row r="7359" spans="20:20" s="566" customFormat="1">
      <c r="T7359" s="41"/>
    </row>
    <row r="7360" spans="20:20" s="566" customFormat="1">
      <c r="T7360" s="41"/>
    </row>
    <row r="7361" spans="20:20" s="566" customFormat="1">
      <c r="T7361" s="41"/>
    </row>
    <row r="7362" spans="20:20" s="566" customFormat="1">
      <c r="T7362" s="41"/>
    </row>
    <row r="7363" spans="20:20" s="566" customFormat="1">
      <c r="T7363" s="41"/>
    </row>
    <row r="7364" spans="20:20" s="566" customFormat="1">
      <c r="T7364" s="41"/>
    </row>
    <row r="7365" spans="20:20" s="566" customFormat="1">
      <c r="T7365" s="41"/>
    </row>
    <row r="7366" spans="20:20" s="566" customFormat="1">
      <c r="T7366" s="41"/>
    </row>
    <row r="7367" spans="20:20" s="566" customFormat="1">
      <c r="T7367" s="41"/>
    </row>
    <row r="7368" spans="20:20" s="566" customFormat="1">
      <c r="T7368" s="41"/>
    </row>
    <row r="7369" spans="20:20" s="566" customFormat="1">
      <c r="T7369" s="41"/>
    </row>
    <row r="7370" spans="20:20" s="566" customFormat="1">
      <c r="T7370" s="41"/>
    </row>
    <row r="7371" spans="20:20" s="566" customFormat="1">
      <c r="T7371" s="41"/>
    </row>
    <row r="7372" spans="20:20" s="566" customFormat="1">
      <c r="T7372" s="41"/>
    </row>
    <row r="7373" spans="20:20" s="566" customFormat="1">
      <c r="T7373" s="41"/>
    </row>
    <row r="7374" spans="20:20" s="566" customFormat="1">
      <c r="T7374" s="41"/>
    </row>
    <row r="7375" spans="20:20" s="566" customFormat="1">
      <c r="T7375" s="41"/>
    </row>
    <row r="7376" spans="20:20" s="566" customFormat="1">
      <c r="T7376" s="41"/>
    </row>
    <row r="7377" spans="20:20" s="566" customFormat="1">
      <c r="T7377" s="41"/>
    </row>
    <row r="7378" spans="20:20" s="566" customFormat="1">
      <c r="T7378" s="41"/>
    </row>
    <row r="7379" spans="20:20" s="566" customFormat="1">
      <c r="T7379" s="41"/>
    </row>
    <row r="7380" spans="20:20" s="566" customFormat="1">
      <c r="T7380" s="41"/>
    </row>
    <row r="7381" spans="20:20" s="566" customFormat="1">
      <c r="T7381" s="41"/>
    </row>
    <row r="7382" spans="20:20" s="566" customFormat="1">
      <c r="T7382" s="41"/>
    </row>
    <row r="7383" spans="20:20" s="566" customFormat="1">
      <c r="T7383" s="41"/>
    </row>
    <row r="7384" spans="20:20" s="566" customFormat="1">
      <c r="T7384" s="41"/>
    </row>
    <row r="7385" spans="20:20" s="566" customFormat="1">
      <c r="T7385" s="41"/>
    </row>
    <row r="7386" spans="20:20" s="566" customFormat="1">
      <c r="T7386" s="41"/>
    </row>
    <row r="7387" spans="20:20" s="566" customFormat="1">
      <c r="T7387" s="41"/>
    </row>
    <row r="7388" spans="20:20" s="566" customFormat="1">
      <c r="T7388" s="41"/>
    </row>
    <row r="7389" spans="20:20" s="566" customFormat="1">
      <c r="T7389" s="41"/>
    </row>
    <row r="7390" spans="20:20" s="566" customFormat="1">
      <c r="T7390" s="41"/>
    </row>
    <row r="7391" spans="20:20" s="566" customFormat="1">
      <c r="T7391" s="41"/>
    </row>
    <row r="7392" spans="20:20" s="566" customFormat="1">
      <c r="T7392" s="41"/>
    </row>
    <row r="7393" spans="20:20" s="566" customFormat="1">
      <c r="T7393" s="41"/>
    </row>
    <row r="7394" spans="20:20" s="566" customFormat="1">
      <c r="T7394" s="41"/>
    </row>
    <row r="7395" spans="20:20" s="566" customFormat="1">
      <c r="T7395" s="41"/>
    </row>
    <row r="7396" spans="20:20" s="566" customFormat="1">
      <c r="T7396" s="41"/>
    </row>
    <row r="7397" spans="20:20" s="566" customFormat="1">
      <c r="T7397" s="41"/>
    </row>
    <row r="7398" spans="20:20" s="566" customFormat="1">
      <c r="T7398" s="41"/>
    </row>
    <row r="7399" spans="20:20" s="566" customFormat="1">
      <c r="T7399" s="41"/>
    </row>
    <row r="7400" spans="20:20" s="566" customFormat="1">
      <c r="T7400" s="41"/>
    </row>
    <row r="7401" spans="20:20" s="566" customFormat="1">
      <c r="T7401" s="41"/>
    </row>
    <row r="7402" spans="20:20" s="566" customFormat="1">
      <c r="T7402" s="41"/>
    </row>
    <row r="7403" spans="20:20" s="566" customFormat="1">
      <c r="T7403" s="41"/>
    </row>
    <row r="7404" spans="20:20" s="566" customFormat="1">
      <c r="T7404" s="41"/>
    </row>
    <row r="7405" spans="20:20" s="566" customFormat="1">
      <c r="T7405" s="41"/>
    </row>
    <row r="7406" spans="20:20" s="566" customFormat="1">
      <c r="T7406" s="41"/>
    </row>
    <row r="7407" spans="20:20" s="566" customFormat="1">
      <c r="T7407" s="41"/>
    </row>
    <row r="7408" spans="20:20" s="566" customFormat="1">
      <c r="T7408" s="41"/>
    </row>
    <row r="7409" spans="20:20" s="566" customFormat="1">
      <c r="T7409" s="41"/>
    </row>
    <row r="7410" spans="20:20" s="566" customFormat="1">
      <c r="T7410" s="41"/>
    </row>
    <row r="7411" spans="20:20" s="566" customFormat="1">
      <c r="T7411" s="41"/>
    </row>
    <row r="7412" spans="20:20" s="566" customFormat="1">
      <c r="T7412" s="41"/>
    </row>
    <row r="7413" spans="20:20" s="566" customFormat="1">
      <c r="T7413" s="41"/>
    </row>
    <row r="7414" spans="20:20" s="566" customFormat="1">
      <c r="T7414" s="41"/>
    </row>
    <row r="7415" spans="20:20" s="566" customFormat="1">
      <c r="T7415" s="41"/>
    </row>
    <row r="7416" spans="20:20" s="566" customFormat="1">
      <c r="T7416" s="41"/>
    </row>
    <row r="7417" spans="20:20" s="566" customFormat="1">
      <c r="T7417" s="41"/>
    </row>
    <row r="7418" spans="20:20" s="566" customFormat="1">
      <c r="T7418" s="41"/>
    </row>
    <row r="7419" spans="20:20" s="566" customFormat="1">
      <c r="T7419" s="41"/>
    </row>
    <row r="7420" spans="20:20" s="566" customFormat="1">
      <c r="T7420" s="41"/>
    </row>
    <row r="7421" spans="20:20" s="566" customFormat="1">
      <c r="T7421" s="41"/>
    </row>
    <row r="7422" spans="20:20" s="566" customFormat="1">
      <c r="T7422" s="41"/>
    </row>
    <row r="7423" spans="20:20" s="566" customFormat="1">
      <c r="T7423" s="41"/>
    </row>
    <row r="7424" spans="20:20" s="566" customFormat="1">
      <c r="T7424" s="41"/>
    </row>
    <row r="7425" spans="20:20" s="566" customFormat="1">
      <c r="T7425" s="41"/>
    </row>
    <row r="7426" spans="20:20" s="566" customFormat="1">
      <c r="T7426" s="41"/>
    </row>
    <row r="7427" spans="20:20" s="566" customFormat="1">
      <c r="T7427" s="41"/>
    </row>
    <row r="7428" spans="20:20" s="566" customFormat="1">
      <c r="T7428" s="41"/>
    </row>
    <row r="7429" spans="20:20" s="566" customFormat="1">
      <c r="T7429" s="41"/>
    </row>
    <row r="7430" spans="20:20" s="566" customFormat="1">
      <c r="T7430" s="41"/>
    </row>
    <row r="7431" spans="20:20" s="566" customFormat="1">
      <c r="T7431" s="41"/>
    </row>
    <row r="7432" spans="20:20" s="566" customFormat="1">
      <c r="T7432" s="41"/>
    </row>
    <row r="7433" spans="20:20" s="566" customFormat="1">
      <c r="T7433" s="41"/>
    </row>
    <row r="7434" spans="20:20" s="566" customFormat="1">
      <c r="T7434" s="41"/>
    </row>
    <row r="7435" spans="20:20" s="566" customFormat="1">
      <c r="T7435" s="41"/>
    </row>
    <row r="7436" spans="20:20" s="566" customFormat="1">
      <c r="T7436" s="41"/>
    </row>
    <row r="7437" spans="20:20" s="566" customFormat="1">
      <c r="T7437" s="41"/>
    </row>
    <row r="7438" spans="20:20" s="566" customFormat="1">
      <c r="T7438" s="41"/>
    </row>
    <row r="7439" spans="20:20" s="566" customFormat="1">
      <c r="T7439" s="41"/>
    </row>
    <row r="7440" spans="20:20" s="566" customFormat="1">
      <c r="T7440" s="41"/>
    </row>
    <row r="7441" spans="20:20" s="566" customFormat="1">
      <c r="T7441" s="41"/>
    </row>
    <row r="7442" spans="20:20" s="566" customFormat="1">
      <c r="T7442" s="41"/>
    </row>
    <row r="7443" spans="20:20" s="566" customFormat="1">
      <c r="T7443" s="41"/>
    </row>
    <row r="7444" spans="20:20" s="566" customFormat="1">
      <c r="T7444" s="41"/>
    </row>
    <row r="7445" spans="20:20" s="566" customFormat="1">
      <c r="T7445" s="41"/>
    </row>
    <row r="7446" spans="20:20" s="566" customFormat="1">
      <c r="T7446" s="41"/>
    </row>
    <row r="7447" spans="20:20" s="566" customFormat="1">
      <c r="T7447" s="41"/>
    </row>
    <row r="7448" spans="20:20" s="566" customFormat="1">
      <c r="T7448" s="41"/>
    </row>
    <row r="7449" spans="20:20" s="566" customFormat="1">
      <c r="T7449" s="41"/>
    </row>
    <row r="7450" spans="20:20" s="566" customFormat="1">
      <c r="T7450" s="41"/>
    </row>
    <row r="7451" spans="20:20" s="566" customFormat="1">
      <c r="T7451" s="41"/>
    </row>
    <row r="7452" spans="20:20" s="566" customFormat="1">
      <c r="T7452" s="41"/>
    </row>
    <row r="7453" spans="20:20" s="566" customFormat="1">
      <c r="T7453" s="41"/>
    </row>
    <row r="7454" spans="20:20" s="566" customFormat="1">
      <c r="T7454" s="41"/>
    </row>
    <row r="7455" spans="20:20" s="566" customFormat="1">
      <c r="T7455" s="41"/>
    </row>
    <row r="7456" spans="20:20" s="566" customFormat="1">
      <c r="T7456" s="41"/>
    </row>
    <row r="7457" spans="20:20" s="566" customFormat="1">
      <c r="T7457" s="41"/>
    </row>
    <row r="7458" spans="20:20" s="566" customFormat="1">
      <c r="T7458" s="41"/>
    </row>
    <row r="7459" spans="20:20" s="566" customFormat="1">
      <c r="T7459" s="41"/>
    </row>
    <row r="7460" spans="20:20" s="566" customFormat="1">
      <c r="T7460" s="41"/>
    </row>
    <row r="7461" spans="20:20" s="566" customFormat="1">
      <c r="T7461" s="41"/>
    </row>
    <row r="7462" spans="20:20" s="566" customFormat="1">
      <c r="T7462" s="41"/>
    </row>
    <row r="7463" spans="20:20" s="566" customFormat="1">
      <c r="T7463" s="41"/>
    </row>
    <row r="7464" spans="20:20" s="566" customFormat="1">
      <c r="T7464" s="41"/>
    </row>
    <row r="7465" spans="20:20" s="566" customFormat="1">
      <c r="T7465" s="41"/>
    </row>
    <row r="7466" spans="20:20" s="566" customFormat="1">
      <c r="T7466" s="41"/>
    </row>
    <row r="7467" spans="20:20" s="566" customFormat="1">
      <c r="T7467" s="41"/>
    </row>
    <row r="7468" spans="20:20" s="566" customFormat="1">
      <c r="T7468" s="41"/>
    </row>
    <row r="7469" spans="20:20" s="566" customFormat="1">
      <c r="T7469" s="41"/>
    </row>
    <row r="7470" spans="20:20" s="566" customFormat="1">
      <c r="T7470" s="41"/>
    </row>
    <row r="7471" spans="20:20" s="566" customFormat="1">
      <c r="T7471" s="41"/>
    </row>
    <row r="7472" spans="20:20" s="566" customFormat="1">
      <c r="T7472" s="41"/>
    </row>
    <row r="7473" spans="20:20" s="566" customFormat="1">
      <c r="T7473" s="41"/>
    </row>
    <row r="7474" spans="20:20" s="566" customFormat="1">
      <c r="T7474" s="41"/>
    </row>
    <row r="7475" spans="20:20" s="566" customFormat="1">
      <c r="T7475" s="41"/>
    </row>
    <row r="7476" spans="20:20" s="566" customFormat="1">
      <c r="T7476" s="41"/>
    </row>
    <row r="7477" spans="20:20" s="566" customFormat="1">
      <c r="T7477" s="41"/>
    </row>
    <row r="7478" spans="20:20" s="566" customFormat="1">
      <c r="T7478" s="41"/>
    </row>
    <row r="7479" spans="20:20" s="566" customFormat="1">
      <c r="T7479" s="41"/>
    </row>
    <row r="7480" spans="20:20" s="566" customFormat="1">
      <c r="T7480" s="41"/>
    </row>
    <row r="7481" spans="20:20" s="566" customFormat="1">
      <c r="T7481" s="41"/>
    </row>
    <row r="7482" spans="20:20" s="566" customFormat="1">
      <c r="T7482" s="41"/>
    </row>
    <row r="7483" spans="20:20" s="566" customFormat="1">
      <c r="T7483" s="41"/>
    </row>
    <row r="7484" spans="20:20" s="566" customFormat="1">
      <c r="T7484" s="41"/>
    </row>
    <row r="7485" spans="20:20" s="566" customFormat="1">
      <c r="T7485" s="41"/>
    </row>
    <row r="7486" spans="20:20" s="566" customFormat="1">
      <c r="T7486" s="41"/>
    </row>
    <row r="7487" spans="20:20" s="566" customFormat="1">
      <c r="T7487" s="41"/>
    </row>
    <row r="7488" spans="20:20" s="566" customFormat="1">
      <c r="T7488" s="41"/>
    </row>
    <row r="7489" spans="20:20" s="566" customFormat="1">
      <c r="T7489" s="41"/>
    </row>
    <row r="7490" spans="20:20" s="566" customFormat="1">
      <c r="T7490" s="41"/>
    </row>
    <row r="7491" spans="20:20" s="566" customFormat="1">
      <c r="T7491" s="41"/>
    </row>
    <row r="7492" spans="20:20" s="566" customFormat="1">
      <c r="T7492" s="41"/>
    </row>
    <row r="7493" spans="20:20" s="566" customFormat="1">
      <c r="T7493" s="41"/>
    </row>
    <row r="7494" spans="20:20" s="566" customFormat="1">
      <c r="T7494" s="41"/>
    </row>
    <row r="7495" spans="20:20" s="566" customFormat="1">
      <c r="T7495" s="41"/>
    </row>
    <row r="7496" spans="20:20" s="566" customFormat="1">
      <c r="T7496" s="41"/>
    </row>
    <row r="7497" spans="20:20" s="566" customFormat="1">
      <c r="T7497" s="41"/>
    </row>
    <row r="7498" spans="20:20" s="566" customFormat="1">
      <c r="T7498" s="41"/>
    </row>
    <row r="7499" spans="20:20" s="566" customFormat="1">
      <c r="T7499" s="41"/>
    </row>
    <row r="7500" spans="20:20" s="566" customFormat="1">
      <c r="T7500" s="41"/>
    </row>
    <row r="7501" spans="20:20" s="566" customFormat="1">
      <c r="T7501" s="41"/>
    </row>
    <row r="7502" spans="20:20" s="566" customFormat="1">
      <c r="T7502" s="41"/>
    </row>
    <row r="7503" spans="20:20" s="566" customFormat="1">
      <c r="T7503" s="41"/>
    </row>
    <row r="7504" spans="20:20" s="566" customFormat="1">
      <c r="T7504" s="41"/>
    </row>
    <row r="7505" spans="20:20" s="566" customFormat="1">
      <c r="T7505" s="41"/>
    </row>
    <row r="7506" spans="20:20" s="566" customFormat="1">
      <c r="T7506" s="41"/>
    </row>
    <row r="7507" spans="20:20" s="566" customFormat="1">
      <c r="T7507" s="41"/>
    </row>
    <row r="7508" spans="20:20" s="566" customFormat="1">
      <c r="T7508" s="41"/>
    </row>
    <row r="7509" spans="20:20" s="566" customFormat="1">
      <c r="T7509" s="41"/>
    </row>
    <row r="7510" spans="20:20" s="566" customFormat="1">
      <c r="T7510" s="41"/>
    </row>
    <row r="7511" spans="20:20" s="566" customFormat="1">
      <c r="T7511" s="41"/>
    </row>
    <row r="7512" spans="20:20" s="566" customFormat="1">
      <c r="T7512" s="41"/>
    </row>
    <row r="7513" spans="20:20" s="566" customFormat="1">
      <c r="T7513" s="41"/>
    </row>
    <row r="7514" spans="20:20" s="566" customFormat="1">
      <c r="T7514" s="41"/>
    </row>
    <row r="7515" spans="20:20" s="566" customFormat="1">
      <c r="T7515" s="41"/>
    </row>
    <row r="7516" spans="20:20" s="566" customFormat="1">
      <c r="T7516" s="41"/>
    </row>
    <row r="7517" spans="20:20" s="566" customFormat="1">
      <c r="T7517" s="41"/>
    </row>
    <row r="7518" spans="20:20" s="566" customFormat="1">
      <c r="T7518" s="41"/>
    </row>
    <row r="7519" spans="20:20" s="566" customFormat="1">
      <c r="T7519" s="41"/>
    </row>
    <row r="7520" spans="20:20" s="566" customFormat="1">
      <c r="T7520" s="41"/>
    </row>
    <row r="7521" spans="20:20" s="566" customFormat="1">
      <c r="T7521" s="41"/>
    </row>
    <row r="7522" spans="20:20" s="566" customFormat="1">
      <c r="T7522" s="41"/>
    </row>
    <row r="7523" spans="20:20" s="566" customFormat="1">
      <c r="T7523" s="41"/>
    </row>
    <row r="7524" spans="20:20" s="566" customFormat="1">
      <c r="T7524" s="41"/>
    </row>
    <row r="7525" spans="20:20" s="566" customFormat="1">
      <c r="T7525" s="41"/>
    </row>
    <row r="7526" spans="20:20" s="566" customFormat="1">
      <c r="T7526" s="41"/>
    </row>
    <row r="7527" spans="20:20" s="566" customFormat="1">
      <c r="T7527" s="41"/>
    </row>
    <row r="7528" spans="20:20" s="566" customFormat="1">
      <c r="T7528" s="41"/>
    </row>
    <row r="7529" spans="20:20" s="566" customFormat="1">
      <c r="T7529" s="41"/>
    </row>
    <row r="7530" spans="20:20" s="566" customFormat="1">
      <c r="T7530" s="41"/>
    </row>
    <row r="7531" spans="20:20" s="566" customFormat="1">
      <c r="T7531" s="41"/>
    </row>
    <row r="7532" spans="20:20" s="566" customFormat="1">
      <c r="T7532" s="41"/>
    </row>
    <row r="7533" spans="20:20" s="566" customFormat="1">
      <c r="T7533" s="41"/>
    </row>
    <row r="7534" spans="20:20" s="566" customFormat="1">
      <c r="T7534" s="41"/>
    </row>
    <row r="7535" spans="20:20" s="566" customFormat="1">
      <c r="T7535" s="41"/>
    </row>
    <row r="7536" spans="20:20" s="566" customFormat="1">
      <c r="T7536" s="41"/>
    </row>
    <row r="7537" spans="20:20" s="566" customFormat="1">
      <c r="T7537" s="41"/>
    </row>
    <row r="7538" spans="20:20" s="566" customFormat="1">
      <c r="T7538" s="41"/>
    </row>
    <row r="7539" spans="20:20" s="566" customFormat="1">
      <c r="T7539" s="41"/>
    </row>
    <row r="7540" spans="20:20" s="566" customFormat="1">
      <c r="T7540" s="41"/>
    </row>
    <row r="7541" spans="20:20" s="566" customFormat="1">
      <c r="T7541" s="41"/>
    </row>
    <row r="7542" spans="20:20" s="566" customFormat="1">
      <c r="T7542" s="41"/>
    </row>
    <row r="7543" spans="20:20" s="566" customFormat="1">
      <c r="T7543" s="41"/>
    </row>
    <row r="7544" spans="20:20" s="566" customFormat="1">
      <c r="T7544" s="41"/>
    </row>
    <row r="7545" spans="20:20" s="566" customFormat="1">
      <c r="T7545" s="41"/>
    </row>
    <row r="7546" spans="20:20" s="566" customFormat="1">
      <c r="T7546" s="41"/>
    </row>
    <row r="7547" spans="20:20" s="566" customFormat="1">
      <c r="T7547" s="41"/>
    </row>
    <row r="7548" spans="20:20" s="566" customFormat="1">
      <c r="T7548" s="41"/>
    </row>
    <row r="7549" spans="20:20" s="566" customFormat="1">
      <c r="T7549" s="41"/>
    </row>
    <row r="7550" spans="20:20" s="566" customFormat="1">
      <c r="T7550" s="41"/>
    </row>
    <row r="7551" spans="20:20" s="566" customFormat="1">
      <c r="T7551" s="41"/>
    </row>
    <row r="7552" spans="20:20" s="566" customFormat="1">
      <c r="T7552" s="41"/>
    </row>
    <row r="7553" spans="20:20" s="566" customFormat="1">
      <c r="T7553" s="41"/>
    </row>
    <row r="7554" spans="20:20" s="566" customFormat="1">
      <c r="T7554" s="41"/>
    </row>
    <row r="7555" spans="20:20" s="566" customFormat="1">
      <c r="T7555" s="41"/>
    </row>
    <row r="7556" spans="20:20" s="566" customFormat="1">
      <c r="T7556" s="41"/>
    </row>
    <row r="7557" spans="20:20" s="566" customFormat="1">
      <c r="T7557" s="41"/>
    </row>
    <row r="7558" spans="20:20" s="566" customFormat="1">
      <c r="T7558" s="41"/>
    </row>
    <row r="7559" spans="20:20" s="566" customFormat="1">
      <c r="T7559" s="41"/>
    </row>
    <row r="7560" spans="20:20" s="566" customFormat="1">
      <c r="T7560" s="41"/>
    </row>
    <row r="7561" spans="20:20" s="566" customFormat="1">
      <c r="T7561" s="41"/>
    </row>
    <row r="7562" spans="20:20" s="566" customFormat="1">
      <c r="T7562" s="41"/>
    </row>
    <row r="7563" spans="20:20" s="566" customFormat="1">
      <c r="T7563" s="41"/>
    </row>
    <row r="7564" spans="20:20" s="566" customFormat="1">
      <c r="T7564" s="41"/>
    </row>
    <row r="7565" spans="20:20" s="566" customFormat="1">
      <c r="T7565" s="41"/>
    </row>
    <row r="7566" spans="20:20" s="566" customFormat="1">
      <c r="T7566" s="41"/>
    </row>
    <row r="7567" spans="20:20" s="566" customFormat="1">
      <c r="T7567" s="41"/>
    </row>
    <row r="7568" spans="20:20" s="566" customFormat="1">
      <c r="T7568" s="41"/>
    </row>
    <row r="7569" spans="20:20" s="566" customFormat="1">
      <c r="T7569" s="41"/>
    </row>
    <row r="7570" spans="20:20" s="566" customFormat="1">
      <c r="T7570" s="41"/>
    </row>
    <row r="7571" spans="20:20" s="566" customFormat="1">
      <c r="T7571" s="41"/>
    </row>
    <row r="7572" spans="20:20" s="566" customFormat="1">
      <c r="T7572" s="41"/>
    </row>
    <row r="7573" spans="20:20" s="566" customFormat="1">
      <c r="T7573" s="41"/>
    </row>
    <row r="7574" spans="20:20" s="566" customFormat="1">
      <c r="T7574" s="41"/>
    </row>
    <row r="7575" spans="20:20" s="566" customFormat="1">
      <c r="T7575" s="41"/>
    </row>
    <row r="7576" spans="20:20" s="566" customFormat="1">
      <c r="T7576" s="41"/>
    </row>
    <row r="7577" spans="20:20" s="566" customFormat="1">
      <c r="T7577" s="41"/>
    </row>
    <row r="7578" spans="20:20" s="566" customFormat="1">
      <c r="T7578" s="41"/>
    </row>
    <row r="7579" spans="20:20" s="566" customFormat="1">
      <c r="T7579" s="41"/>
    </row>
    <row r="7580" spans="20:20" s="566" customFormat="1">
      <c r="T7580" s="41"/>
    </row>
    <row r="7581" spans="20:20" s="566" customFormat="1">
      <c r="T7581" s="41"/>
    </row>
    <row r="7582" spans="20:20" s="566" customFormat="1">
      <c r="T7582" s="41"/>
    </row>
    <row r="7583" spans="20:20" s="566" customFormat="1">
      <c r="T7583" s="41"/>
    </row>
    <row r="7584" spans="20:20" s="566" customFormat="1">
      <c r="T7584" s="41"/>
    </row>
    <row r="7585" spans="20:20" s="566" customFormat="1">
      <c r="T7585" s="41"/>
    </row>
    <row r="7586" spans="20:20" s="566" customFormat="1">
      <c r="T7586" s="41"/>
    </row>
    <row r="7587" spans="20:20" s="566" customFormat="1">
      <c r="T7587" s="41"/>
    </row>
    <row r="7588" spans="20:20" s="566" customFormat="1">
      <c r="T7588" s="41"/>
    </row>
    <row r="7589" spans="20:20" s="566" customFormat="1">
      <c r="T7589" s="41"/>
    </row>
    <row r="7590" spans="20:20" s="566" customFormat="1">
      <c r="T7590" s="41"/>
    </row>
    <row r="7591" spans="20:20" s="566" customFormat="1">
      <c r="T7591" s="41"/>
    </row>
    <row r="7592" spans="20:20" s="566" customFormat="1">
      <c r="T7592" s="41"/>
    </row>
    <row r="7593" spans="20:20" s="566" customFormat="1">
      <c r="T7593" s="41"/>
    </row>
    <row r="7594" spans="20:20" s="566" customFormat="1">
      <c r="T7594" s="41"/>
    </row>
    <row r="7595" spans="20:20" s="566" customFormat="1">
      <c r="T7595" s="41"/>
    </row>
    <row r="7596" spans="20:20" s="566" customFormat="1">
      <c r="T7596" s="41"/>
    </row>
    <row r="7597" spans="20:20" s="566" customFormat="1">
      <c r="T7597" s="41"/>
    </row>
    <row r="7598" spans="20:20" s="566" customFormat="1">
      <c r="T7598" s="41"/>
    </row>
    <row r="7599" spans="20:20" s="566" customFormat="1">
      <c r="T7599" s="41"/>
    </row>
    <row r="7600" spans="20:20" s="566" customFormat="1">
      <c r="T7600" s="41"/>
    </row>
    <row r="7601" spans="20:20" s="566" customFormat="1">
      <c r="T7601" s="41"/>
    </row>
    <row r="7602" spans="20:20" s="566" customFormat="1">
      <c r="T7602" s="41"/>
    </row>
    <row r="7603" spans="20:20" s="566" customFormat="1">
      <c r="T7603" s="41"/>
    </row>
    <row r="7604" spans="20:20" s="566" customFormat="1">
      <c r="T7604" s="41"/>
    </row>
    <row r="7605" spans="20:20" s="566" customFormat="1">
      <c r="T7605" s="41"/>
    </row>
    <row r="7606" spans="20:20" s="566" customFormat="1">
      <c r="T7606" s="41"/>
    </row>
    <row r="7607" spans="20:20" s="566" customFormat="1">
      <c r="T7607" s="41"/>
    </row>
    <row r="7608" spans="20:20" s="566" customFormat="1">
      <c r="T7608" s="41"/>
    </row>
    <row r="7609" spans="20:20" s="566" customFormat="1">
      <c r="T7609" s="41"/>
    </row>
    <row r="7610" spans="20:20" s="566" customFormat="1">
      <c r="T7610" s="41"/>
    </row>
    <row r="7611" spans="20:20" s="566" customFormat="1">
      <c r="T7611" s="41"/>
    </row>
    <row r="7612" spans="20:20" s="566" customFormat="1">
      <c r="T7612" s="41"/>
    </row>
    <row r="7613" spans="20:20" s="566" customFormat="1">
      <c r="T7613" s="41"/>
    </row>
    <row r="7614" spans="20:20" s="566" customFormat="1">
      <c r="T7614" s="41"/>
    </row>
    <row r="7615" spans="20:20" s="566" customFormat="1">
      <c r="T7615" s="41"/>
    </row>
    <row r="7616" spans="20:20" s="566" customFormat="1">
      <c r="T7616" s="41"/>
    </row>
    <row r="7617" spans="20:20" s="566" customFormat="1">
      <c r="T7617" s="41"/>
    </row>
    <row r="7618" spans="20:20" s="566" customFormat="1">
      <c r="T7618" s="41"/>
    </row>
    <row r="7619" spans="20:20" s="566" customFormat="1">
      <c r="T7619" s="41"/>
    </row>
    <row r="7620" spans="20:20" s="566" customFormat="1">
      <c r="T7620" s="41"/>
    </row>
    <row r="7621" spans="20:20" s="566" customFormat="1">
      <c r="T7621" s="41"/>
    </row>
    <row r="7622" spans="20:20" s="566" customFormat="1">
      <c r="T7622" s="41"/>
    </row>
    <row r="7623" spans="20:20" s="566" customFormat="1">
      <c r="T7623" s="41"/>
    </row>
    <row r="7624" spans="20:20" s="566" customFormat="1">
      <c r="T7624" s="41"/>
    </row>
    <row r="7625" spans="20:20" s="566" customFormat="1">
      <c r="T7625" s="41"/>
    </row>
    <row r="7626" spans="20:20" s="566" customFormat="1">
      <c r="T7626" s="41"/>
    </row>
    <row r="7627" spans="20:20" s="566" customFormat="1">
      <c r="T7627" s="41"/>
    </row>
    <row r="7628" spans="20:20" s="566" customFormat="1">
      <c r="T7628" s="41"/>
    </row>
    <row r="7629" spans="20:20" s="566" customFormat="1">
      <c r="T7629" s="41"/>
    </row>
    <row r="7630" spans="20:20" s="566" customFormat="1">
      <c r="T7630" s="41"/>
    </row>
    <row r="7631" spans="20:20" s="566" customFormat="1">
      <c r="T7631" s="41"/>
    </row>
    <row r="7632" spans="20:20" s="566" customFormat="1">
      <c r="T7632" s="41"/>
    </row>
    <row r="7633" spans="20:20" s="566" customFormat="1">
      <c r="T7633" s="41"/>
    </row>
    <row r="7634" spans="20:20" s="566" customFormat="1">
      <c r="T7634" s="41"/>
    </row>
    <row r="7635" spans="20:20" s="566" customFormat="1">
      <c r="T7635" s="41"/>
    </row>
    <row r="7636" spans="20:20" s="566" customFormat="1">
      <c r="T7636" s="41"/>
    </row>
    <row r="7637" spans="20:20" s="566" customFormat="1">
      <c r="T7637" s="41"/>
    </row>
    <row r="7638" spans="20:20" s="566" customFormat="1">
      <c r="T7638" s="41"/>
    </row>
    <row r="7639" spans="20:20" s="566" customFormat="1">
      <c r="T7639" s="41"/>
    </row>
    <row r="7640" spans="20:20" s="566" customFormat="1">
      <c r="T7640" s="41"/>
    </row>
    <row r="7641" spans="20:20" s="566" customFormat="1">
      <c r="T7641" s="41"/>
    </row>
    <row r="7642" spans="20:20" s="566" customFormat="1">
      <c r="T7642" s="41"/>
    </row>
    <row r="7643" spans="20:20" s="566" customFormat="1">
      <c r="T7643" s="41"/>
    </row>
    <row r="7644" spans="20:20" s="566" customFormat="1">
      <c r="T7644" s="41"/>
    </row>
    <row r="7645" spans="20:20" s="566" customFormat="1">
      <c r="T7645" s="41"/>
    </row>
    <row r="7646" spans="20:20" s="566" customFormat="1">
      <c r="T7646" s="41"/>
    </row>
    <row r="7647" spans="20:20" s="566" customFormat="1">
      <c r="T7647" s="41"/>
    </row>
    <row r="7648" spans="20:20" s="566" customFormat="1">
      <c r="T7648" s="41"/>
    </row>
    <row r="7649" spans="20:20" s="566" customFormat="1">
      <c r="T7649" s="41"/>
    </row>
    <row r="7650" spans="20:20" s="566" customFormat="1">
      <c r="T7650" s="41"/>
    </row>
    <row r="7651" spans="20:20" s="566" customFormat="1">
      <c r="T7651" s="41"/>
    </row>
    <row r="7652" spans="20:20" s="566" customFormat="1">
      <c r="T7652" s="41"/>
    </row>
    <row r="7653" spans="20:20" s="566" customFormat="1">
      <c r="T7653" s="41"/>
    </row>
    <row r="7654" spans="20:20" s="566" customFormat="1">
      <c r="T7654" s="41"/>
    </row>
    <row r="7655" spans="20:20" s="566" customFormat="1">
      <c r="T7655" s="41"/>
    </row>
    <row r="7656" spans="20:20" s="566" customFormat="1">
      <c r="T7656" s="41"/>
    </row>
    <row r="7657" spans="20:20" s="566" customFormat="1">
      <c r="T7657" s="41"/>
    </row>
    <row r="7658" spans="20:20" s="566" customFormat="1">
      <c r="T7658" s="41"/>
    </row>
    <row r="7659" spans="20:20" s="566" customFormat="1">
      <c r="T7659" s="41"/>
    </row>
    <row r="7660" spans="20:20" s="566" customFormat="1">
      <c r="T7660" s="41"/>
    </row>
    <row r="7661" spans="20:20" s="566" customFormat="1">
      <c r="T7661" s="41"/>
    </row>
    <row r="7662" spans="20:20" s="566" customFormat="1">
      <c r="T7662" s="41"/>
    </row>
    <row r="7663" spans="20:20" s="566" customFormat="1">
      <c r="T7663" s="41"/>
    </row>
    <row r="7664" spans="20:20" s="566" customFormat="1">
      <c r="T7664" s="41"/>
    </row>
    <row r="7665" spans="20:20" s="566" customFormat="1">
      <c r="T7665" s="41"/>
    </row>
    <row r="7666" spans="20:20" s="566" customFormat="1">
      <c r="T7666" s="41"/>
    </row>
    <row r="7667" spans="20:20" s="566" customFormat="1">
      <c r="T7667" s="41"/>
    </row>
    <row r="7668" spans="20:20" s="566" customFormat="1">
      <c r="T7668" s="41"/>
    </row>
    <row r="7669" spans="20:20" s="566" customFormat="1">
      <c r="T7669" s="41"/>
    </row>
    <row r="7670" spans="20:20" s="566" customFormat="1">
      <c r="T7670" s="41"/>
    </row>
    <row r="7671" spans="20:20" s="566" customFormat="1">
      <c r="T7671" s="41"/>
    </row>
    <row r="7672" spans="20:20" s="566" customFormat="1">
      <c r="T7672" s="41"/>
    </row>
    <row r="7673" spans="20:20" s="566" customFormat="1">
      <c r="T7673" s="41"/>
    </row>
    <row r="7674" spans="20:20" s="566" customFormat="1">
      <c r="T7674" s="41"/>
    </row>
    <row r="7675" spans="20:20" s="566" customFormat="1">
      <c r="T7675" s="41"/>
    </row>
    <row r="7676" spans="20:20" s="566" customFormat="1">
      <c r="T7676" s="41"/>
    </row>
    <row r="7677" spans="20:20" s="566" customFormat="1">
      <c r="T7677" s="41"/>
    </row>
    <row r="7678" spans="20:20" s="566" customFormat="1">
      <c r="T7678" s="41"/>
    </row>
    <row r="7679" spans="20:20" s="566" customFormat="1">
      <c r="T7679" s="41"/>
    </row>
    <row r="7680" spans="20:20" s="566" customFormat="1">
      <c r="T7680" s="41"/>
    </row>
    <row r="7681" spans="20:20" s="566" customFormat="1">
      <c r="T7681" s="41"/>
    </row>
    <row r="7682" spans="20:20" s="566" customFormat="1">
      <c r="T7682" s="41"/>
    </row>
    <row r="7683" spans="20:20" s="566" customFormat="1">
      <c r="T7683" s="41"/>
    </row>
    <row r="7684" spans="20:20" s="566" customFormat="1">
      <c r="T7684" s="41"/>
    </row>
    <row r="7685" spans="20:20" s="566" customFormat="1">
      <c r="T7685" s="41"/>
    </row>
    <row r="7686" spans="20:20" s="566" customFormat="1">
      <c r="T7686" s="41"/>
    </row>
    <row r="7687" spans="20:20" s="566" customFormat="1">
      <c r="T7687" s="41"/>
    </row>
    <row r="7688" spans="20:20" s="566" customFormat="1">
      <c r="T7688" s="41"/>
    </row>
    <row r="7689" spans="20:20" s="566" customFormat="1">
      <c r="T7689" s="41"/>
    </row>
    <row r="7690" spans="20:20" s="566" customFormat="1">
      <c r="T7690" s="41"/>
    </row>
    <row r="7691" spans="20:20" s="566" customFormat="1">
      <c r="T7691" s="41"/>
    </row>
    <row r="7692" spans="20:20" s="566" customFormat="1">
      <c r="T7692" s="41"/>
    </row>
    <row r="7693" spans="20:20" s="566" customFormat="1">
      <c r="T7693" s="41"/>
    </row>
    <row r="7694" spans="20:20" s="566" customFormat="1">
      <c r="T7694" s="41"/>
    </row>
    <row r="7695" spans="20:20" s="566" customFormat="1">
      <c r="T7695" s="41"/>
    </row>
    <row r="7696" spans="20:20" s="566" customFormat="1">
      <c r="T7696" s="41"/>
    </row>
    <row r="7697" spans="20:20" s="566" customFormat="1">
      <c r="T7697" s="41"/>
    </row>
    <row r="7698" spans="20:20" s="566" customFormat="1">
      <c r="T7698" s="41"/>
    </row>
    <row r="7699" spans="20:20" s="566" customFormat="1">
      <c r="T7699" s="41"/>
    </row>
    <row r="7700" spans="20:20" s="566" customFormat="1">
      <c r="T7700" s="41"/>
    </row>
    <row r="7701" spans="20:20" s="566" customFormat="1">
      <c r="T7701" s="41"/>
    </row>
    <row r="7702" spans="20:20" s="566" customFormat="1">
      <c r="T7702" s="41"/>
    </row>
    <row r="7703" spans="20:20" s="566" customFormat="1">
      <c r="T7703" s="41"/>
    </row>
    <row r="7704" spans="20:20" s="566" customFormat="1">
      <c r="T7704" s="41"/>
    </row>
    <row r="7705" spans="20:20" s="566" customFormat="1">
      <c r="T7705" s="41"/>
    </row>
    <row r="7706" spans="20:20" s="566" customFormat="1">
      <c r="T7706" s="41"/>
    </row>
    <row r="7707" spans="20:20" s="566" customFormat="1">
      <c r="T7707" s="41"/>
    </row>
    <row r="7708" spans="20:20" s="566" customFormat="1">
      <c r="T7708" s="41"/>
    </row>
    <row r="7709" spans="20:20" s="566" customFormat="1">
      <c r="T7709" s="41"/>
    </row>
    <row r="7710" spans="20:20" s="566" customFormat="1">
      <c r="T7710" s="41"/>
    </row>
    <row r="7711" spans="20:20" s="566" customFormat="1">
      <c r="T7711" s="41"/>
    </row>
    <row r="7712" spans="20:20" s="566" customFormat="1">
      <c r="T7712" s="41"/>
    </row>
    <row r="7713" spans="20:20" s="566" customFormat="1">
      <c r="T7713" s="41"/>
    </row>
    <row r="7714" spans="20:20" s="566" customFormat="1">
      <c r="T7714" s="41"/>
    </row>
    <row r="7715" spans="20:20" s="566" customFormat="1">
      <c r="T7715" s="41"/>
    </row>
    <row r="7716" spans="20:20" s="566" customFormat="1">
      <c r="T7716" s="41"/>
    </row>
    <row r="7717" spans="20:20" s="566" customFormat="1">
      <c r="T7717" s="41"/>
    </row>
    <row r="7718" spans="20:20" s="566" customFormat="1">
      <c r="T7718" s="41"/>
    </row>
    <row r="7719" spans="20:20" s="566" customFormat="1">
      <c r="T7719" s="41"/>
    </row>
    <row r="7720" spans="20:20" s="566" customFormat="1">
      <c r="T7720" s="41"/>
    </row>
    <row r="7721" spans="20:20" s="566" customFormat="1">
      <c r="T7721" s="41"/>
    </row>
    <row r="7722" spans="20:20" s="566" customFormat="1">
      <c r="T7722" s="41"/>
    </row>
    <row r="7723" spans="20:20" s="566" customFormat="1">
      <c r="T7723" s="41"/>
    </row>
    <row r="7724" spans="20:20" s="566" customFormat="1">
      <c r="T7724" s="41"/>
    </row>
    <row r="7725" spans="20:20" s="566" customFormat="1">
      <c r="T7725" s="41"/>
    </row>
    <row r="7726" spans="20:20" s="566" customFormat="1">
      <c r="T7726" s="41"/>
    </row>
    <row r="7727" spans="20:20" s="566" customFormat="1">
      <c r="T7727" s="41"/>
    </row>
    <row r="7728" spans="20:20" s="566" customFormat="1">
      <c r="T7728" s="41"/>
    </row>
    <row r="7729" spans="20:20" s="566" customFormat="1">
      <c r="T7729" s="41"/>
    </row>
    <row r="7730" spans="20:20" s="566" customFormat="1">
      <c r="T7730" s="41"/>
    </row>
    <row r="7731" spans="20:20" s="566" customFormat="1">
      <c r="T7731" s="41"/>
    </row>
    <row r="7732" spans="20:20" s="566" customFormat="1">
      <c r="T7732" s="41"/>
    </row>
    <row r="7733" spans="20:20" s="566" customFormat="1">
      <c r="T7733" s="41"/>
    </row>
    <row r="7734" spans="20:20" s="566" customFormat="1">
      <c r="T7734" s="41"/>
    </row>
    <row r="7735" spans="20:20" s="566" customFormat="1">
      <c r="T7735" s="41"/>
    </row>
    <row r="7736" spans="20:20" s="566" customFormat="1">
      <c r="T7736" s="41"/>
    </row>
    <row r="7737" spans="20:20" s="566" customFormat="1">
      <c r="T7737" s="41"/>
    </row>
    <row r="7738" spans="20:20" s="566" customFormat="1">
      <c r="T7738" s="41"/>
    </row>
    <row r="7739" spans="20:20" s="566" customFormat="1">
      <c r="T7739" s="41"/>
    </row>
    <row r="7740" spans="20:20" s="566" customFormat="1">
      <c r="T7740" s="41"/>
    </row>
    <row r="7741" spans="20:20" s="566" customFormat="1">
      <c r="T7741" s="41"/>
    </row>
    <row r="7742" spans="20:20" s="566" customFormat="1">
      <c r="T7742" s="41"/>
    </row>
    <row r="7743" spans="20:20" s="566" customFormat="1">
      <c r="T7743" s="41"/>
    </row>
    <row r="7744" spans="20:20" s="566" customFormat="1">
      <c r="T7744" s="41"/>
    </row>
    <row r="7745" spans="20:20" s="566" customFormat="1">
      <c r="T7745" s="41"/>
    </row>
    <row r="7746" spans="20:20" s="566" customFormat="1">
      <c r="T7746" s="41"/>
    </row>
    <row r="7747" spans="20:20" s="566" customFormat="1">
      <c r="T7747" s="41"/>
    </row>
    <row r="7748" spans="20:20" s="566" customFormat="1">
      <c r="T7748" s="41"/>
    </row>
    <row r="7749" spans="20:20" s="566" customFormat="1">
      <c r="T7749" s="41"/>
    </row>
    <row r="7750" spans="20:20" s="566" customFormat="1">
      <c r="T7750" s="41"/>
    </row>
    <row r="7751" spans="20:20" s="566" customFormat="1">
      <c r="T7751" s="41"/>
    </row>
    <row r="7752" spans="20:20" s="566" customFormat="1">
      <c r="T7752" s="41"/>
    </row>
    <row r="7753" spans="20:20" s="566" customFormat="1">
      <c r="T7753" s="41"/>
    </row>
    <row r="7754" spans="20:20" s="566" customFormat="1">
      <c r="T7754" s="41"/>
    </row>
    <row r="7755" spans="20:20" s="566" customFormat="1">
      <c r="T7755" s="41"/>
    </row>
    <row r="7756" spans="20:20" s="566" customFormat="1">
      <c r="T7756" s="41"/>
    </row>
    <row r="7757" spans="20:20" s="566" customFormat="1">
      <c r="T7757" s="41"/>
    </row>
    <row r="7758" spans="20:20" s="566" customFormat="1">
      <c r="T7758" s="41"/>
    </row>
    <row r="7759" spans="20:20" s="566" customFormat="1">
      <c r="T7759" s="41"/>
    </row>
    <row r="7760" spans="20:20" s="566" customFormat="1">
      <c r="T7760" s="41"/>
    </row>
    <row r="7761" spans="20:20" s="566" customFormat="1">
      <c r="T7761" s="41"/>
    </row>
    <row r="7762" spans="20:20" s="566" customFormat="1">
      <c r="T7762" s="41"/>
    </row>
    <row r="7763" spans="20:20" s="566" customFormat="1">
      <c r="T7763" s="41"/>
    </row>
    <row r="7764" spans="20:20" s="566" customFormat="1">
      <c r="T7764" s="41"/>
    </row>
    <row r="7765" spans="20:20" s="566" customFormat="1">
      <c r="T7765" s="41"/>
    </row>
    <row r="7766" spans="20:20" s="566" customFormat="1">
      <c r="T7766" s="41"/>
    </row>
    <row r="7767" spans="20:20" s="566" customFormat="1">
      <c r="T7767" s="41"/>
    </row>
    <row r="7768" spans="20:20" s="566" customFormat="1">
      <c r="T7768" s="41"/>
    </row>
    <row r="7769" spans="20:20" s="566" customFormat="1">
      <c r="T7769" s="41"/>
    </row>
    <row r="7770" spans="20:20" s="566" customFormat="1">
      <c r="T7770" s="41"/>
    </row>
    <row r="7771" spans="20:20" s="566" customFormat="1">
      <c r="T7771" s="41"/>
    </row>
    <row r="7772" spans="20:20" s="566" customFormat="1">
      <c r="T7772" s="41"/>
    </row>
    <row r="7773" spans="20:20" s="566" customFormat="1">
      <c r="T7773" s="41"/>
    </row>
    <row r="7774" spans="20:20" s="566" customFormat="1">
      <c r="T7774" s="41"/>
    </row>
    <row r="7775" spans="20:20" s="566" customFormat="1">
      <c r="T7775" s="41"/>
    </row>
    <row r="7776" spans="20:20" s="566" customFormat="1">
      <c r="T7776" s="41"/>
    </row>
    <row r="7777" spans="20:20" s="566" customFormat="1">
      <c r="T7777" s="41"/>
    </row>
    <row r="7778" spans="20:20" s="566" customFormat="1">
      <c r="T7778" s="41"/>
    </row>
    <row r="7779" spans="20:20" s="566" customFormat="1">
      <c r="T7779" s="41"/>
    </row>
    <row r="7780" spans="20:20" s="566" customFormat="1">
      <c r="T7780" s="41"/>
    </row>
    <row r="7781" spans="20:20" s="566" customFormat="1">
      <c r="T7781" s="41"/>
    </row>
    <row r="7782" spans="20:20" s="566" customFormat="1">
      <c r="T7782" s="41"/>
    </row>
    <row r="7783" spans="20:20" s="566" customFormat="1">
      <c r="T7783" s="41"/>
    </row>
    <row r="7784" spans="20:20" s="566" customFormat="1">
      <c r="T7784" s="41"/>
    </row>
    <row r="7785" spans="20:20" s="566" customFormat="1">
      <c r="T7785" s="41"/>
    </row>
    <row r="7786" spans="20:20" s="566" customFormat="1">
      <c r="T7786" s="41"/>
    </row>
    <row r="7787" spans="20:20" s="566" customFormat="1">
      <c r="T7787" s="41"/>
    </row>
    <row r="7788" spans="20:20" s="566" customFormat="1">
      <c r="T7788" s="41"/>
    </row>
    <row r="7789" spans="20:20" s="566" customFormat="1">
      <c r="T7789" s="41"/>
    </row>
    <row r="7790" spans="20:20" s="566" customFormat="1">
      <c r="T7790" s="41"/>
    </row>
    <row r="7791" spans="20:20" s="566" customFormat="1">
      <c r="T7791" s="41"/>
    </row>
    <row r="7792" spans="20:20" s="566" customFormat="1">
      <c r="T7792" s="41"/>
    </row>
    <row r="7793" spans="20:20" s="566" customFormat="1">
      <c r="T7793" s="41"/>
    </row>
    <row r="7794" spans="20:20" s="566" customFormat="1">
      <c r="T7794" s="41"/>
    </row>
    <row r="7795" spans="20:20" s="566" customFormat="1">
      <c r="T7795" s="41"/>
    </row>
    <row r="7796" spans="20:20" s="566" customFormat="1">
      <c r="T7796" s="41"/>
    </row>
    <row r="7797" spans="20:20" s="566" customFormat="1">
      <c r="T7797" s="41"/>
    </row>
    <row r="7798" spans="20:20" s="566" customFormat="1">
      <c r="T7798" s="41"/>
    </row>
    <row r="7799" spans="20:20" s="566" customFormat="1">
      <c r="T7799" s="41"/>
    </row>
    <row r="7800" spans="20:20" s="566" customFormat="1">
      <c r="T7800" s="41"/>
    </row>
    <row r="7801" spans="20:20" s="566" customFormat="1">
      <c r="T7801" s="41"/>
    </row>
    <row r="7802" spans="20:20" s="566" customFormat="1">
      <c r="T7802" s="41"/>
    </row>
    <row r="7803" spans="20:20" s="566" customFormat="1">
      <c r="T7803" s="41"/>
    </row>
    <row r="7804" spans="20:20" s="566" customFormat="1">
      <c r="T7804" s="41"/>
    </row>
    <row r="7805" spans="20:20" s="566" customFormat="1">
      <c r="T7805" s="41"/>
    </row>
    <row r="7806" spans="20:20" s="566" customFormat="1">
      <c r="T7806" s="41"/>
    </row>
    <row r="7807" spans="20:20" s="566" customFormat="1">
      <c r="T7807" s="41"/>
    </row>
    <row r="7808" spans="20:20" s="566" customFormat="1">
      <c r="T7808" s="41"/>
    </row>
    <row r="7809" spans="20:20" s="566" customFormat="1">
      <c r="T7809" s="41"/>
    </row>
    <row r="7810" spans="20:20" s="566" customFormat="1">
      <c r="T7810" s="41"/>
    </row>
    <row r="7811" spans="20:20" s="566" customFormat="1">
      <c r="T7811" s="41"/>
    </row>
    <row r="7812" spans="20:20" s="566" customFormat="1">
      <c r="T7812" s="41"/>
    </row>
    <row r="7813" spans="20:20" s="566" customFormat="1">
      <c r="T7813" s="41"/>
    </row>
    <row r="7814" spans="20:20" s="566" customFormat="1">
      <c r="T7814" s="41"/>
    </row>
    <row r="7815" spans="20:20" s="566" customFormat="1">
      <c r="T7815" s="41"/>
    </row>
    <row r="7816" spans="20:20" s="566" customFormat="1">
      <c r="T7816" s="41"/>
    </row>
    <row r="7817" spans="20:20" s="566" customFormat="1">
      <c r="T7817" s="41"/>
    </row>
    <row r="7818" spans="20:20" s="566" customFormat="1">
      <c r="T7818" s="41"/>
    </row>
    <row r="7819" spans="20:20" s="566" customFormat="1">
      <c r="T7819" s="41"/>
    </row>
    <row r="7820" spans="20:20" s="566" customFormat="1">
      <c r="T7820" s="41"/>
    </row>
    <row r="7821" spans="20:20" s="566" customFormat="1">
      <c r="T7821" s="41"/>
    </row>
    <row r="7822" spans="20:20" s="566" customFormat="1">
      <c r="T7822" s="41"/>
    </row>
    <row r="7823" spans="20:20" s="566" customFormat="1">
      <c r="T7823" s="41"/>
    </row>
    <row r="7824" spans="20:20" s="566" customFormat="1">
      <c r="T7824" s="41"/>
    </row>
    <row r="7825" spans="20:20" s="566" customFormat="1">
      <c r="T7825" s="41"/>
    </row>
    <row r="7826" spans="20:20" s="566" customFormat="1">
      <c r="T7826" s="41"/>
    </row>
    <row r="7827" spans="20:20" s="566" customFormat="1">
      <c r="T7827" s="41"/>
    </row>
    <row r="7828" spans="20:20" s="566" customFormat="1">
      <c r="T7828" s="41"/>
    </row>
    <row r="7829" spans="20:20" s="566" customFormat="1">
      <c r="T7829" s="41"/>
    </row>
    <row r="7830" spans="20:20" s="566" customFormat="1">
      <c r="T7830" s="41"/>
    </row>
    <row r="7831" spans="20:20" s="566" customFormat="1">
      <c r="T7831" s="41"/>
    </row>
    <row r="7832" spans="20:20" s="566" customFormat="1">
      <c r="T7832" s="41"/>
    </row>
    <row r="7833" spans="20:20" s="566" customFormat="1">
      <c r="T7833" s="41"/>
    </row>
    <row r="7834" spans="20:20" s="566" customFormat="1">
      <c r="T7834" s="41"/>
    </row>
    <row r="7835" spans="20:20" s="566" customFormat="1">
      <c r="T7835" s="41"/>
    </row>
    <row r="7836" spans="20:20" s="566" customFormat="1">
      <c r="T7836" s="41"/>
    </row>
    <row r="7837" spans="20:20" s="566" customFormat="1">
      <c r="T7837" s="41"/>
    </row>
    <row r="7838" spans="20:20" s="566" customFormat="1">
      <c r="T7838" s="41"/>
    </row>
    <row r="7839" spans="20:20" s="566" customFormat="1">
      <c r="T7839" s="41"/>
    </row>
    <row r="7840" spans="20:20" s="566" customFormat="1">
      <c r="T7840" s="41"/>
    </row>
    <row r="7841" spans="20:20" s="566" customFormat="1">
      <c r="T7841" s="41"/>
    </row>
    <row r="7842" spans="20:20" s="566" customFormat="1">
      <c r="T7842" s="41"/>
    </row>
    <row r="7843" spans="20:20" s="566" customFormat="1">
      <c r="T7843" s="41"/>
    </row>
    <row r="7844" spans="20:20" s="566" customFormat="1">
      <c r="T7844" s="41"/>
    </row>
    <row r="7845" spans="20:20" s="566" customFormat="1">
      <c r="T7845" s="41"/>
    </row>
    <row r="7846" spans="20:20" s="566" customFormat="1">
      <c r="T7846" s="41"/>
    </row>
    <row r="7847" spans="20:20" s="566" customFormat="1">
      <c r="T7847" s="41"/>
    </row>
    <row r="7848" spans="20:20" s="566" customFormat="1">
      <c r="T7848" s="41"/>
    </row>
    <row r="7849" spans="20:20" s="566" customFormat="1">
      <c r="T7849" s="41"/>
    </row>
    <row r="7850" spans="20:20" s="566" customFormat="1">
      <c r="T7850" s="41"/>
    </row>
    <row r="7851" spans="20:20" s="566" customFormat="1">
      <c r="T7851" s="41"/>
    </row>
    <row r="7852" spans="20:20" s="566" customFormat="1">
      <c r="T7852" s="41"/>
    </row>
    <row r="7853" spans="20:20" s="566" customFormat="1">
      <c r="T7853" s="41"/>
    </row>
    <row r="7854" spans="20:20" s="566" customFormat="1">
      <c r="T7854" s="41"/>
    </row>
    <row r="7855" spans="20:20" s="566" customFormat="1">
      <c r="T7855" s="41"/>
    </row>
    <row r="7856" spans="20:20" s="566" customFormat="1">
      <c r="T7856" s="41"/>
    </row>
    <row r="7857" spans="20:20" s="566" customFormat="1">
      <c r="T7857" s="41"/>
    </row>
    <row r="7858" spans="20:20" s="566" customFormat="1">
      <c r="T7858" s="41"/>
    </row>
    <row r="7859" spans="20:20" s="566" customFormat="1">
      <c r="T7859" s="41"/>
    </row>
    <row r="7860" spans="20:20" s="566" customFormat="1">
      <c r="T7860" s="41"/>
    </row>
    <row r="7861" spans="20:20" s="566" customFormat="1">
      <c r="T7861" s="41"/>
    </row>
    <row r="7862" spans="20:20" s="566" customFormat="1">
      <c r="T7862" s="41"/>
    </row>
    <row r="7863" spans="20:20" s="566" customFormat="1">
      <c r="T7863" s="41"/>
    </row>
    <row r="7864" spans="20:20" s="566" customFormat="1">
      <c r="T7864" s="41"/>
    </row>
    <row r="7865" spans="20:20" s="566" customFormat="1">
      <c r="T7865" s="41"/>
    </row>
    <row r="7866" spans="20:20" s="566" customFormat="1">
      <c r="T7866" s="41"/>
    </row>
    <row r="7867" spans="20:20" s="566" customFormat="1">
      <c r="T7867" s="41"/>
    </row>
    <row r="7868" spans="20:20" s="566" customFormat="1">
      <c r="T7868" s="41"/>
    </row>
    <row r="7869" spans="20:20" s="566" customFormat="1">
      <c r="T7869" s="41"/>
    </row>
    <row r="7870" spans="20:20" s="566" customFormat="1">
      <c r="T7870" s="41"/>
    </row>
    <row r="7871" spans="20:20" s="566" customFormat="1">
      <c r="T7871" s="41"/>
    </row>
    <row r="7872" spans="20:20" s="566" customFormat="1">
      <c r="T7872" s="41"/>
    </row>
    <row r="7873" spans="20:20" s="566" customFormat="1">
      <c r="T7873" s="41"/>
    </row>
    <row r="7874" spans="20:20" s="566" customFormat="1">
      <c r="T7874" s="41"/>
    </row>
    <row r="7875" spans="20:20" s="566" customFormat="1">
      <c r="T7875" s="41"/>
    </row>
    <row r="7876" spans="20:20" s="566" customFormat="1">
      <c r="T7876" s="41"/>
    </row>
    <row r="7877" spans="20:20" s="566" customFormat="1">
      <c r="T7877" s="41"/>
    </row>
    <row r="7878" spans="20:20" s="566" customFormat="1">
      <c r="T7878" s="41"/>
    </row>
    <row r="7879" spans="20:20" s="566" customFormat="1">
      <c r="T7879" s="41"/>
    </row>
    <row r="7880" spans="20:20" s="566" customFormat="1">
      <c r="T7880" s="41"/>
    </row>
    <row r="7881" spans="20:20" s="566" customFormat="1">
      <c r="T7881" s="41"/>
    </row>
    <row r="7882" spans="20:20" s="566" customFormat="1">
      <c r="T7882" s="41"/>
    </row>
    <row r="7883" spans="20:20" s="566" customFormat="1">
      <c r="T7883" s="41"/>
    </row>
    <row r="7884" spans="20:20" s="566" customFormat="1">
      <c r="T7884" s="41"/>
    </row>
    <row r="7885" spans="20:20" s="566" customFormat="1">
      <c r="T7885" s="41"/>
    </row>
    <row r="7886" spans="20:20" s="566" customFormat="1">
      <c r="T7886" s="41"/>
    </row>
    <row r="7887" spans="20:20" s="566" customFormat="1">
      <c r="T7887" s="41"/>
    </row>
    <row r="7888" spans="20:20" s="566" customFormat="1">
      <c r="T7888" s="41"/>
    </row>
    <row r="7889" spans="20:20" s="566" customFormat="1">
      <c r="T7889" s="41"/>
    </row>
    <row r="7890" spans="20:20" s="566" customFormat="1">
      <c r="T7890" s="41"/>
    </row>
    <row r="7891" spans="20:20" s="566" customFormat="1">
      <c r="T7891" s="41"/>
    </row>
    <row r="7892" spans="20:20" s="566" customFormat="1">
      <c r="T7892" s="41"/>
    </row>
    <row r="7893" spans="20:20" s="566" customFormat="1">
      <c r="T7893" s="41"/>
    </row>
    <row r="7894" spans="20:20" s="566" customFormat="1">
      <c r="T7894" s="41"/>
    </row>
    <row r="7895" spans="20:20" s="566" customFormat="1">
      <c r="T7895" s="41"/>
    </row>
    <row r="7896" spans="20:20" s="566" customFormat="1">
      <c r="T7896" s="41"/>
    </row>
    <row r="7897" spans="20:20" s="566" customFormat="1">
      <c r="T7897" s="41"/>
    </row>
    <row r="7898" spans="20:20" s="566" customFormat="1">
      <c r="T7898" s="41"/>
    </row>
    <row r="7899" spans="20:20" s="566" customFormat="1">
      <c r="T7899" s="41"/>
    </row>
    <row r="7900" spans="20:20" s="566" customFormat="1">
      <c r="T7900" s="41"/>
    </row>
    <row r="7901" spans="20:20" s="566" customFormat="1">
      <c r="T7901" s="41"/>
    </row>
    <row r="7902" spans="20:20" s="566" customFormat="1">
      <c r="T7902" s="41"/>
    </row>
    <row r="7903" spans="20:20" s="566" customFormat="1">
      <c r="T7903" s="41"/>
    </row>
    <row r="7904" spans="20:20" s="566" customFormat="1">
      <c r="T7904" s="41"/>
    </row>
    <row r="7905" spans="20:20" s="566" customFormat="1">
      <c r="T7905" s="41"/>
    </row>
    <row r="7906" spans="20:20" s="566" customFormat="1">
      <c r="T7906" s="41"/>
    </row>
    <row r="7907" spans="20:20" s="566" customFormat="1">
      <c r="T7907" s="41"/>
    </row>
    <row r="7908" spans="20:20" s="566" customFormat="1">
      <c r="T7908" s="41"/>
    </row>
    <row r="7909" spans="20:20" s="566" customFormat="1">
      <c r="T7909" s="41"/>
    </row>
    <row r="7910" spans="20:20" s="566" customFormat="1">
      <c r="T7910" s="41"/>
    </row>
    <row r="7911" spans="20:20" s="566" customFormat="1">
      <c r="T7911" s="41"/>
    </row>
    <row r="7912" spans="20:20" s="566" customFormat="1">
      <c r="T7912" s="41"/>
    </row>
    <row r="7913" spans="20:20" s="566" customFormat="1">
      <c r="T7913" s="41"/>
    </row>
    <row r="7914" spans="20:20" s="566" customFormat="1">
      <c r="T7914" s="41"/>
    </row>
    <row r="7915" spans="20:20" s="566" customFormat="1">
      <c r="T7915" s="41"/>
    </row>
    <row r="7916" spans="20:20" s="566" customFormat="1">
      <c r="T7916" s="41"/>
    </row>
    <row r="7917" spans="20:20" s="566" customFormat="1">
      <c r="T7917" s="41"/>
    </row>
    <row r="7918" spans="20:20" s="566" customFormat="1">
      <c r="T7918" s="41"/>
    </row>
    <row r="7919" spans="20:20" s="566" customFormat="1">
      <c r="T7919" s="41"/>
    </row>
    <row r="7920" spans="20:20" s="566" customFormat="1">
      <c r="T7920" s="41"/>
    </row>
    <row r="7921" spans="20:20" s="566" customFormat="1">
      <c r="T7921" s="41"/>
    </row>
    <row r="7922" spans="20:20" s="566" customFormat="1">
      <c r="T7922" s="41"/>
    </row>
    <row r="7923" spans="20:20" s="566" customFormat="1">
      <c r="T7923" s="41"/>
    </row>
    <row r="7924" spans="20:20" s="566" customFormat="1">
      <c r="T7924" s="41"/>
    </row>
    <row r="7925" spans="20:20" s="566" customFormat="1">
      <c r="T7925" s="41"/>
    </row>
    <row r="7926" spans="20:20" s="566" customFormat="1">
      <c r="T7926" s="41"/>
    </row>
    <row r="7927" spans="20:20" s="566" customFormat="1">
      <c r="T7927" s="41"/>
    </row>
    <row r="7928" spans="20:20" s="566" customFormat="1">
      <c r="T7928" s="41"/>
    </row>
    <row r="7929" spans="20:20" s="566" customFormat="1">
      <c r="T7929" s="41"/>
    </row>
    <row r="7930" spans="20:20" s="566" customFormat="1">
      <c r="T7930" s="41"/>
    </row>
    <row r="7931" spans="20:20" s="566" customFormat="1">
      <c r="T7931" s="41"/>
    </row>
    <row r="7932" spans="20:20" s="566" customFormat="1">
      <c r="T7932" s="41"/>
    </row>
    <row r="7933" spans="20:20" s="566" customFormat="1">
      <c r="T7933" s="41"/>
    </row>
    <row r="7934" spans="20:20" s="566" customFormat="1">
      <c r="T7934" s="41"/>
    </row>
    <row r="7935" spans="20:20" s="566" customFormat="1">
      <c r="T7935" s="41"/>
    </row>
    <row r="7936" spans="20:20" s="566" customFormat="1">
      <c r="T7936" s="41"/>
    </row>
    <row r="7937" spans="20:20" s="566" customFormat="1">
      <c r="T7937" s="41"/>
    </row>
    <row r="7938" spans="20:20" s="566" customFormat="1">
      <c r="T7938" s="41"/>
    </row>
    <row r="7939" spans="20:20" s="566" customFormat="1">
      <c r="T7939" s="41"/>
    </row>
    <row r="7940" spans="20:20" s="566" customFormat="1">
      <c r="T7940" s="41"/>
    </row>
    <row r="7941" spans="20:20" s="566" customFormat="1">
      <c r="T7941" s="41"/>
    </row>
    <row r="7942" spans="20:20" s="566" customFormat="1">
      <c r="T7942" s="41"/>
    </row>
    <row r="7943" spans="20:20" s="566" customFormat="1">
      <c r="T7943" s="41"/>
    </row>
    <row r="7944" spans="20:20" s="566" customFormat="1">
      <c r="T7944" s="41"/>
    </row>
    <row r="7945" spans="20:20" s="566" customFormat="1">
      <c r="T7945" s="41"/>
    </row>
    <row r="7946" spans="20:20" s="566" customFormat="1">
      <c r="T7946" s="41"/>
    </row>
    <row r="7947" spans="20:20" s="566" customFormat="1">
      <c r="T7947" s="41"/>
    </row>
    <row r="7948" spans="20:20" s="566" customFormat="1">
      <c r="T7948" s="41"/>
    </row>
    <row r="7949" spans="20:20" s="566" customFormat="1">
      <c r="T7949" s="41"/>
    </row>
    <row r="7950" spans="20:20" s="566" customFormat="1">
      <c r="T7950" s="41"/>
    </row>
    <row r="7951" spans="20:20" s="566" customFormat="1">
      <c r="T7951" s="41"/>
    </row>
    <row r="7952" spans="20:20" s="566" customFormat="1">
      <c r="T7952" s="41"/>
    </row>
    <row r="7953" spans="20:20" s="566" customFormat="1">
      <c r="T7953" s="41"/>
    </row>
    <row r="7954" spans="20:20" s="566" customFormat="1">
      <c r="T7954" s="41"/>
    </row>
    <row r="7955" spans="20:20" s="566" customFormat="1">
      <c r="T7955" s="41"/>
    </row>
    <row r="7956" spans="20:20" s="566" customFormat="1">
      <c r="T7956" s="41"/>
    </row>
    <row r="7957" spans="20:20" s="566" customFormat="1">
      <c r="T7957" s="41"/>
    </row>
    <row r="7958" spans="20:20" s="566" customFormat="1">
      <c r="T7958" s="41"/>
    </row>
    <row r="7959" spans="20:20" s="566" customFormat="1">
      <c r="T7959" s="41"/>
    </row>
    <row r="7960" spans="20:20" s="566" customFormat="1">
      <c r="T7960" s="41"/>
    </row>
    <row r="7961" spans="20:20" s="566" customFormat="1">
      <c r="T7961" s="41"/>
    </row>
    <row r="7962" spans="20:20" s="566" customFormat="1">
      <c r="T7962" s="41"/>
    </row>
    <row r="7963" spans="20:20" s="566" customFormat="1">
      <c r="T7963" s="41"/>
    </row>
    <row r="7964" spans="20:20" s="566" customFormat="1">
      <c r="T7964" s="41"/>
    </row>
    <row r="7965" spans="20:20" s="566" customFormat="1">
      <c r="T7965" s="41"/>
    </row>
    <row r="7966" spans="20:20" s="566" customFormat="1">
      <c r="T7966" s="41"/>
    </row>
    <row r="7967" spans="20:20" s="566" customFormat="1">
      <c r="T7967" s="41"/>
    </row>
    <row r="7968" spans="20:20" s="566" customFormat="1">
      <c r="T7968" s="41"/>
    </row>
    <row r="7969" spans="20:20" s="566" customFormat="1">
      <c r="T7969" s="41"/>
    </row>
    <row r="7970" spans="20:20" s="566" customFormat="1">
      <c r="T7970" s="41"/>
    </row>
    <row r="7971" spans="20:20" s="566" customFormat="1">
      <c r="T7971" s="41"/>
    </row>
    <row r="7972" spans="20:20" s="566" customFormat="1">
      <c r="T7972" s="41"/>
    </row>
    <row r="7973" spans="20:20" s="566" customFormat="1">
      <c r="T7973" s="41"/>
    </row>
    <row r="7974" spans="20:20" s="566" customFormat="1">
      <c r="T7974" s="41"/>
    </row>
    <row r="7975" spans="20:20" s="566" customFormat="1">
      <c r="T7975" s="41"/>
    </row>
    <row r="7976" spans="20:20" s="566" customFormat="1">
      <c r="T7976" s="41"/>
    </row>
    <row r="7977" spans="20:20" s="566" customFormat="1">
      <c r="T7977" s="41"/>
    </row>
    <row r="7978" spans="20:20" s="566" customFormat="1">
      <c r="T7978" s="41"/>
    </row>
    <row r="7979" spans="20:20" s="566" customFormat="1">
      <c r="T7979" s="41"/>
    </row>
    <row r="7980" spans="20:20" s="566" customFormat="1">
      <c r="T7980" s="41"/>
    </row>
    <row r="7981" spans="20:20" s="566" customFormat="1">
      <c r="T7981" s="41"/>
    </row>
    <row r="7982" spans="20:20" s="566" customFormat="1">
      <c r="T7982" s="41"/>
    </row>
    <row r="7983" spans="20:20" s="566" customFormat="1">
      <c r="T7983" s="41"/>
    </row>
    <row r="7984" spans="20:20" s="566" customFormat="1">
      <c r="T7984" s="41"/>
    </row>
    <row r="7985" spans="20:20" s="566" customFormat="1">
      <c r="T7985" s="41"/>
    </row>
    <row r="7986" spans="20:20" s="566" customFormat="1">
      <c r="T7986" s="41"/>
    </row>
    <row r="7987" spans="20:20" s="566" customFormat="1">
      <c r="T7987" s="41"/>
    </row>
    <row r="7988" spans="20:20" s="566" customFormat="1">
      <c r="T7988" s="41"/>
    </row>
    <row r="7989" spans="20:20" s="566" customFormat="1">
      <c r="T7989" s="41"/>
    </row>
    <row r="7990" spans="20:20" s="566" customFormat="1">
      <c r="T7990" s="41"/>
    </row>
    <row r="7991" spans="20:20" s="566" customFormat="1">
      <c r="T7991" s="41"/>
    </row>
    <row r="7992" spans="20:20" s="566" customFormat="1">
      <c r="T7992" s="41"/>
    </row>
    <row r="7993" spans="20:20" s="566" customFormat="1">
      <c r="T7993" s="41"/>
    </row>
    <row r="7994" spans="20:20" s="566" customFormat="1">
      <c r="T7994" s="41"/>
    </row>
    <row r="7995" spans="20:20" s="566" customFormat="1">
      <c r="T7995" s="41"/>
    </row>
    <row r="7996" spans="20:20" s="566" customFormat="1">
      <c r="T7996" s="41"/>
    </row>
    <row r="7997" spans="20:20" s="566" customFormat="1">
      <c r="T7997" s="41"/>
    </row>
    <row r="7998" spans="20:20" s="566" customFormat="1">
      <c r="T7998" s="41"/>
    </row>
    <row r="7999" spans="20:20" s="566" customFormat="1">
      <c r="T7999" s="41"/>
    </row>
    <row r="8000" spans="20:20" s="566" customFormat="1">
      <c r="T8000" s="41"/>
    </row>
    <row r="8001" spans="20:20" s="566" customFormat="1">
      <c r="T8001" s="41"/>
    </row>
    <row r="8002" spans="20:20" s="566" customFormat="1">
      <c r="T8002" s="41"/>
    </row>
    <row r="8003" spans="20:20" s="566" customFormat="1">
      <c r="T8003" s="41"/>
    </row>
    <row r="8004" spans="20:20" s="566" customFormat="1">
      <c r="T8004" s="41"/>
    </row>
    <row r="8005" spans="20:20" s="566" customFormat="1">
      <c r="T8005" s="41"/>
    </row>
    <row r="8006" spans="20:20" s="566" customFormat="1">
      <c r="T8006" s="41"/>
    </row>
    <row r="8007" spans="20:20" s="566" customFormat="1">
      <c r="T8007" s="41"/>
    </row>
    <row r="8008" spans="20:20" s="566" customFormat="1">
      <c r="T8008" s="41"/>
    </row>
    <row r="8009" spans="20:20" s="566" customFormat="1">
      <c r="T8009" s="41"/>
    </row>
    <row r="8010" spans="20:20" s="566" customFormat="1">
      <c r="T8010" s="41"/>
    </row>
    <row r="8011" spans="20:20" s="566" customFormat="1">
      <c r="T8011" s="41"/>
    </row>
    <row r="8012" spans="20:20" s="566" customFormat="1">
      <c r="T8012" s="41"/>
    </row>
    <row r="8013" spans="20:20" s="566" customFormat="1">
      <c r="T8013" s="41"/>
    </row>
    <row r="8014" spans="20:20" s="566" customFormat="1">
      <c r="T8014" s="41"/>
    </row>
    <row r="8015" spans="20:20" s="566" customFormat="1">
      <c r="T8015" s="41"/>
    </row>
    <row r="8016" spans="20:20" s="566" customFormat="1">
      <c r="T8016" s="41"/>
    </row>
    <row r="8017" spans="20:20" s="566" customFormat="1">
      <c r="T8017" s="41"/>
    </row>
    <row r="8018" spans="20:20" s="566" customFormat="1">
      <c r="T8018" s="41"/>
    </row>
    <row r="8019" spans="20:20" s="566" customFormat="1">
      <c r="T8019" s="41"/>
    </row>
    <row r="8020" spans="20:20" s="566" customFormat="1">
      <c r="T8020" s="41"/>
    </row>
    <row r="8021" spans="20:20" s="566" customFormat="1">
      <c r="T8021" s="41"/>
    </row>
    <row r="8022" spans="20:20" s="566" customFormat="1">
      <c r="T8022" s="41"/>
    </row>
    <row r="8023" spans="20:20" s="566" customFormat="1">
      <c r="T8023" s="41"/>
    </row>
    <row r="8024" spans="20:20" s="566" customFormat="1">
      <c r="T8024" s="41"/>
    </row>
    <row r="8025" spans="20:20" s="566" customFormat="1">
      <c r="T8025" s="41"/>
    </row>
    <row r="8026" spans="20:20" s="566" customFormat="1">
      <c r="T8026" s="41"/>
    </row>
    <row r="8027" spans="20:20" s="566" customFormat="1">
      <c r="T8027" s="41"/>
    </row>
    <row r="8028" spans="20:20" s="566" customFormat="1">
      <c r="T8028" s="41"/>
    </row>
    <row r="8029" spans="20:20" s="566" customFormat="1">
      <c r="T8029" s="41"/>
    </row>
    <row r="8030" spans="20:20" s="566" customFormat="1">
      <c r="T8030" s="41"/>
    </row>
    <row r="8031" spans="20:20" s="566" customFormat="1">
      <c r="T8031" s="41"/>
    </row>
    <row r="8032" spans="20:20" s="566" customFormat="1">
      <c r="T8032" s="41"/>
    </row>
    <row r="8033" spans="20:20" s="566" customFormat="1">
      <c r="T8033" s="41"/>
    </row>
    <row r="8034" spans="20:20" s="566" customFormat="1">
      <c r="T8034" s="41"/>
    </row>
    <row r="8035" spans="20:20" s="566" customFormat="1">
      <c r="T8035" s="41"/>
    </row>
    <row r="8036" spans="20:20" s="566" customFormat="1">
      <c r="T8036" s="41"/>
    </row>
    <row r="8037" spans="20:20" s="566" customFormat="1">
      <c r="T8037" s="41"/>
    </row>
    <row r="8038" spans="20:20" s="566" customFormat="1">
      <c r="T8038" s="41"/>
    </row>
    <row r="8039" spans="20:20" s="566" customFormat="1">
      <c r="T8039" s="41"/>
    </row>
    <row r="8040" spans="20:20" s="566" customFormat="1">
      <c r="T8040" s="41"/>
    </row>
    <row r="8041" spans="20:20" s="566" customFormat="1">
      <c r="T8041" s="41"/>
    </row>
    <row r="8042" spans="20:20" s="566" customFormat="1">
      <c r="T8042" s="41"/>
    </row>
    <row r="8043" spans="20:20" s="566" customFormat="1">
      <c r="T8043" s="41"/>
    </row>
    <row r="8044" spans="20:20" s="566" customFormat="1">
      <c r="T8044" s="41"/>
    </row>
    <row r="8045" spans="20:20" s="566" customFormat="1">
      <c r="T8045" s="41"/>
    </row>
    <row r="8046" spans="20:20" s="566" customFormat="1">
      <c r="T8046" s="41"/>
    </row>
    <row r="8047" spans="20:20" s="566" customFormat="1">
      <c r="T8047" s="41"/>
    </row>
    <row r="8048" spans="20:20" s="566" customFormat="1">
      <c r="T8048" s="41"/>
    </row>
    <row r="8049" spans="20:20" s="566" customFormat="1">
      <c r="T8049" s="41"/>
    </row>
    <row r="8050" spans="20:20" s="566" customFormat="1">
      <c r="T8050" s="41"/>
    </row>
    <row r="8051" spans="20:20" s="566" customFormat="1">
      <c r="T8051" s="41"/>
    </row>
    <row r="8052" spans="20:20" s="566" customFormat="1">
      <c r="T8052" s="41"/>
    </row>
    <row r="8053" spans="20:20" s="566" customFormat="1">
      <c r="T8053" s="41"/>
    </row>
    <row r="8054" spans="20:20" s="566" customFormat="1">
      <c r="T8054" s="41"/>
    </row>
    <row r="8055" spans="20:20" s="566" customFormat="1">
      <c r="T8055" s="41"/>
    </row>
    <row r="8056" spans="20:20" s="566" customFormat="1">
      <c r="T8056" s="41"/>
    </row>
    <row r="8057" spans="20:20" s="566" customFormat="1">
      <c r="T8057" s="41"/>
    </row>
    <row r="8058" spans="20:20" s="566" customFormat="1">
      <c r="T8058" s="41"/>
    </row>
    <row r="8059" spans="20:20" s="566" customFormat="1">
      <c r="T8059" s="41"/>
    </row>
    <row r="8060" spans="20:20" s="566" customFormat="1">
      <c r="T8060" s="41"/>
    </row>
    <row r="8061" spans="20:20" s="566" customFormat="1">
      <c r="T8061" s="41"/>
    </row>
    <row r="8062" spans="20:20" s="566" customFormat="1">
      <c r="T8062" s="41"/>
    </row>
    <row r="8063" spans="20:20" s="566" customFormat="1">
      <c r="T8063" s="41"/>
    </row>
    <row r="8064" spans="20:20" s="566" customFormat="1">
      <c r="T8064" s="41"/>
    </row>
    <row r="8065" spans="20:20" s="566" customFormat="1">
      <c r="T8065" s="41"/>
    </row>
    <row r="8066" spans="20:20" s="566" customFormat="1">
      <c r="T8066" s="41"/>
    </row>
    <row r="8067" spans="20:20" s="566" customFormat="1">
      <c r="T8067" s="41"/>
    </row>
    <row r="8068" spans="20:20" s="566" customFormat="1">
      <c r="T8068" s="41"/>
    </row>
    <row r="8069" spans="20:20" s="566" customFormat="1">
      <c r="T8069" s="41"/>
    </row>
    <row r="8070" spans="20:20" s="566" customFormat="1">
      <c r="T8070" s="41"/>
    </row>
    <row r="8071" spans="20:20" s="566" customFormat="1">
      <c r="T8071" s="41"/>
    </row>
    <row r="8072" spans="20:20" s="566" customFormat="1">
      <c r="T8072" s="41"/>
    </row>
    <row r="8073" spans="20:20" s="566" customFormat="1">
      <c r="T8073" s="41"/>
    </row>
    <row r="8074" spans="20:20" s="566" customFormat="1">
      <c r="T8074" s="41"/>
    </row>
    <row r="8075" spans="20:20" s="566" customFormat="1">
      <c r="T8075" s="41"/>
    </row>
    <row r="8076" spans="20:20" s="566" customFormat="1">
      <c r="T8076" s="41"/>
    </row>
    <row r="8077" spans="20:20" s="566" customFormat="1">
      <c r="T8077" s="41"/>
    </row>
    <row r="8078" spans="20:20" s="566" customFormat="1">
      <c r="T8078" s="41"/>
    </row>
    <row r="8079" spans="20:20" s="566" customFormat="1">
      <c r="T8079" s="41"/>
    </row>
    <row r="8080" spans="20:20" s="566" customFormat="1">
      <c r="T8080" s="41"/>
    </row>
    <row r="8081" spans="20:20" s="566" customFormat="1">
      <c r="T8081" s="41"/>
    </row>
    <row r="8082" spans="20:20" s="566" customFormat="1">
      <c r="T8082" s="41"/>
    </row>
    <row r="8083" spans="20:20" s="566" customFormat="1">
      <c r="T8083" s="41"/>
    </row>
    <row r="8084" spans="20:20" s="566" customFormat="1">
      <c r="T8084" s="41"/>
    </row>
    <row r="8085" spans="20:20" s="566" customFormat="1">
      <c r="T8085" s="41"/>
    </row>
    <row r="8086" spans="20:20" s="566" customFormat="1">
      <c r="T8086" s="41"/>
    </row>
    <row r="8087" spans="20:20" s="566" customFormat="1">
      <c r="T8087" s="41"/>
    </row>
    <row r="8088" spans="20:20" s="566" customFormat="1">
      <c r="T8088" s="41"/>
    </row>
    <row r="8089" spans="20:20" s="566" customFormat="1">
      <c r="T8089" s="41"/>
    </row>
    <row r="8090" spans="20:20" s="566" customFormat="1">
      <c r="T8090" s="41"/>
    </row>
    <row r="8091" spans="20:20" s="566" customFormat="1">
      <c r="T8091" s="41"/>
    </row>
    <row r="8092" spans="20:20" s="566" customFormat="1">
      <c r="T8092" s="41"/>
    </row>
    <row r="8093" spans="20:20" s="566" customFormat="1">
      <c r="T8093" s="41"/>
    </row>
    <row r="8094" spans="20:20" s="566" customFormat="1">
      <c r="T8094" s="41"/>
    </row>
    <row r="8095" spans="20:20" s="566" customFormat="1">
      <c r="T8095" s="41"/>
    </row>
    <row r="8096" spans="20:20" s="566" customFormat="1">
      <c r="T8096" s="41"/>
    </row>
    <row r="8097" spans="20:20" s="566" customFormat="1">
      <c r="T8097" s="41"/>
    </row>
    <row r="8098" spans="20:20" s="566" customFormat="1">
      <c r="T8098" s="41"/>
    </row>
    <row r="8099" spans="20:20" s="566" customFormat="1">
      <c r="T8099" s="41"/>
    </row>
    <row r="8100" spans="20:20" s="566" customFormat="1">
      <c r="T8100" s="41"/>
    </row>
    <row r="8101" spans="20:20" s="566" customFormat="1">
      <c r="T8101" s="41"/>
    </row>
    <row r="8102" spans="20:20" s="566" customFormat="1">
      <c r="T8102" s="41"/>
    </row>
    <row r="8103" spans="20:20" s="566" customFormat="1">
      <c r="T8103" s="41"/>
    </row>
    <row r="8104" spans="20:20" s="566" customFormat="1">
      <c r="T8104" s="41"/>
    </row>
    <row r="8105" spans="20:20" s="566" customFormat="1">
      <c r="T8105" s="41"/>
    </row>
    <row r="8106" spans="20:20" s="566" customFormat="1">
      <c r="T8106" s="41"/>
    </row>
    <row r="8107" spans="20:20" s="566" customFormat="1">
      <c r="T8107" s="41"/>
    </row>
    <row r="8108" spans="20:20" s="566" customFormat="1">
      <c r="T8108" s="41"/>
    </row>
    <row r="8109" spans="20:20" s="566" customFormat="1">
      <c r="T8109" s="41"/>
    </row>
    <row r="8110" spans="20:20" s="566" customFormat="1">
      <c r="T8110" s="41"/>
    </row>
    <row r="8111" spans="20:20" s="566" customFormat="1">
      <c r="T8111" s="41"/>
    </row>
    <row r="8112" spans="20:20" s="566" customFormat="1">
      <c r="T8112" s="41"/>
    </row>
    <row r="8113" spans="20:20" s="566" customFormat="1">
      <c r="T8113" s="41"/>
    </row>
    <row r="8114" spans="20:20" s="566" customFormat="1">
      <c r="T8114" s="41"/>
    </row>
    <row r="8115" spans="20:20" s="566" customFormat="1">
      <c r="T8115" s="41"/>
    </row>
    <row r="8116" spans="20:20" s="566" customFormat="1">
      <c r="T8116" s="41"/>
    </row>
    <row r="8117" spans="20:20" s="566" customFormat="1">
      <c r="T8117" s="41"/>
    </row>
    <row r="8118" spans="20:20" s="566" customFormat="1">
      <c r="T8118" s="41"/>
    </row>
    <row r="8119" spans="20:20" s="566" customFormat="1">
      <c r="T8119" s="41"/>
    </row>
    <row r="8120" spans="20:20" s="566" customFormat="1">
      <c r="T8120" s="41"/>
    </row>
    <row r="8121" spans="20:20" s="566" customFormat="1">
      <c r="T8121" s="41"/>
    </row>
    <row r="8122" spans="20:20" s="566" customFormat="1">
      <c r="T8122" s="41"/>
    </row>
    <row r="8123" spans="20:20" s="566" customFormat="1">
      <c r="T8123" s="41"/>
    </row>
    <row r="8124" spans="20:20" s="566" customFormat="1">
      <c r="T8124" s="41"/>
    </row>
    <row r="8125" spans="20:20" s="566" customFormat="1">
      <c r="T8125" s="41"/>
    </row>
    <row r="8126" spans="20:20" s="566" customFormat="1">
      <c r="T8126" s="41"/>
    </row>
    <row r="8127" spans="20:20" s="566" customFormat="1">
      <c r="T8127" s="41"/>
    </row>
    <row r="8128" spans="20:20" s="566" customFormat="1">
      <c r="T8128" s="41"/>
    </row>
    <row r="8129" spans="20:20" s="566" customFormat="1">
      <c r="T8129" s="41"/>
    </row>
    <row r="8130" spans="20:20" s="566" customFormat="1">
      <c r="T8130" s="41"/>
    </row>
    <row r="8131" spans="20:20" s="566" customFormat="1">
      <c r="T8131" s="41"/>
    </row>
    <row r="8132" spans="20:20" s="566" customFormat="1">
      <c r="T8132" s="41"/>
    </row>
    <row r="8133" spans="20:20" s="566" customFormat="1">
      <c r="T8133" s="41"/>
    </row>
    <row r="8134" spans="20:20" s="566" customFormat="1">
      <c r="T8134" s="41"/>
    </row>
    <row r="8135" spans="20:20" s="566" customFormat="1">
      <c r="T8135" s="41"/>
    </row>
    <row r="8136" spans="20:20" s="566" customFormat="1">
      <c r="T8136" s="41"/>
    </row>
    <row r="8137" spans="20:20" s="566" customFormat="1">
      <c r="T8137" s="41"/>
    </row>
    <row r="8138" spans="20:20" s="566" customFormat="1">
      <c r="T8138" s="41"/>
    </row>
    <row r="8139" spans="20:20" s="566" customFormat="1">
      <c r="T8139" s="41"/>
    </row>
    <row r="8140" spans="20:20" s="566" customFormat="1">
      <c r="T8140" s="41"/>
    </row>
    <row r="8141" spans="20:20" s="566" customFormat="1">
      <c r="T8141" s="41"/>
    </row>
    <row r="8142" spans="20:20" s="566" customFormat="1">
      <c r="T8142" s="41"/>
    </row>
    <row r="8143" spans="20:20" s="566" customFormat="1">
      <c r="T8143" s="41"/>
    </row>
    <row r="8144" spans="20:20" s="566" customFormat="1">
      <c r="T8144" s="41"/>
    </row>
    <row r="8145" spans="20:20" s="566" customFormat="1">
      <c r="T8145" s="41"/>
    </row>
    <row r="8146" spans="20:20" s="566" customFormat="1">
      <c r="T8146" s="41"/>
    </row>
    <row r="8147" spans="20:20" s="566" customFormat="1">
      <c r="T8147" s="41"/>
    </row>
    <row r="8148" spans="20:20" s="566" customFormat="1">
      <c r="T8148" s="41"/>
    </row>
    <row r="8149" spans="20:20" s="566" customFormat="1">
      <c r="T8149" s="41"/>
    </row>
    <row r="8150" spans="20:20" s="566" customFormat="1">
      <c r="T8150" s="41"/>
    </row>
    <row r="8151" spans="20:20" s="566" customFormat="1">
      <c r="T8151" s="41"/>
    </row>
    <row r="8152" spans="20:20" s="566" customFormat="1">
      <c r="T8152" s="41"/>
    </row>
    <row r="8153" spans="20:20" s="566" customFormat="1">
      <c r="T8153" s="41"/>
    </row>
    <row r="8154" spans="20:20" s="566" customFormat="1">
      <c r="T8154" s="41"/>
    </row>
    <row r="8155" spans="20:20" s="566" customFormat="1">
      <c r="T8155" s="41"/>
    </row>
    <row r="8156" spans="20:20" s="566" customFormat="1">
      <c r="T8156" s="41"/>
    </row>
    <row r="8157" spans="20:20" s="566" customFormat="1">
      <c r="T8157" s="41"/>
    </row>
    <row r="8158" spans="20:20" s="566" customFormat="1">
      <c r="T8158" s="41"/>
    </row>
    <row r="8159" spans="20:20" s="566" customFormat="1">
      <c r="T8159" s="41"/>
    </row>
    <row r="8160" spans="20:20" s="566" customFormat="1">
      <c r="T8160" s="41"/>
    </row>
    <row r="8161" spans="20:20" s="566" customFormat="1">
      <c r="T8161" s="41"/>
    </row>
    <row r="8162" spans="20:20" s="566" customFormat="1">
      <c r="T8162" s="41"/>
    </row>
    <row r="8163" spans="20:20" s="566" customFormat="1">
      <c r="T8163" s="41"/>
    </row>
    <row r="8164" spans="20:20" s="566" customFormat="1">
      <c r="T8164" s="41"/>
    </row>
    <row r="8165" spans="20:20" s="566" customFormat="1">
      <c r="T8165" s="41"/>
    </row>
    <row r="8166" spans="20:20" s="566" customFormat="1">
      <c r="T8166" s="41"/>
    </row>
    <row r="8167" spans="20:20" s="566" customFormat="1">
      <c r="T8167" s="41"/>
    </row>
    <row r="8168" spans="20:20" s="566" customFormat="1">
      <c r="T8168" s="41"/>
    </row>
    <row r="8169" spans="20:20" s="566" customFormat="1">
      <c r="T8169" s="41"/>
    </row>
    <row r="8170" spans="20:20" s="566" customFormat="1">
      <c r="T8170" s="41"/>
    </row>
    <row r="8171" spans="20:20" s="566" customFormat="1">
      <c r="T8171" s="41"/>
    </row>
    <row r="8172" spans="20:20" s="566" customFormat="1">
      <c r="T8172" s="41"/>
    </row>
    <row r="8173" spans="20:20" s="566" customFormat="1">
      <c r="T8173" s="41"/>
    </row>
    <row r="8174" spans="20:20" s="566" customFormat="1">
      <c r="T8174" s="41"/>
    </row>
    <row r="8175" spans="20:20" s="566" customFormat="1">
      <c r="T8175" s="41"/>
    </row>
    <row r="8176" spans="20:20" s="566" customFormat="1">
      <c r="T8176" s="41"/>
    </row>
    <row r="8177" spans="20:20" s="566" customFormat="1">
      <c r="T8177" s="41"/>
    </row>
    <row r="8178" spans="20:20" s="566" customFormat="1">
      <c r="T8178" s="41"/>
    </row>
    <row r="8179" spans="20:20" s="566" customFormat="1">
      <c r="T8179" s="41"/>
    </row>
    <row r="8180" spans="20:20" s="566" customFormat="1">
      <c r="T8180" s="41"/>
    </row>
    <row r="8181" spans="20:20" s="566" customFormat="1">
      <c r="T8181" s="41"/>
    </row>
    <row r="8182" spans="20:20" s="566" customFormat="1">
      <c r="T8182" s="41"/>
    </row>
    <row r="8183" spans="20:20" s="566" customFormat="1">
      <c r="T8183" s="41"/>
    </row>
    <row r="8184" spans="20:20" s="566" customFormat="1">
      <c r="T8184" s="41"/>
    </row>
    <row r="8185" spans="20:20" s="566" customFormat="1">
      <c r="T8185" s="41"/>
    </row>
    <row r="8186" spans="20:20" s="566" customFormat="1">
      <c r="T8186" s="41"/>
    </row>
    <row r="8187" spans="20:20" s="566" customFormat="1">
      <c r="T8187" s="41"/>
    </row>
    <row r="8188" spans="20:20" s="566" customFormat="1">
      <c r="T8188" s="41"/>
    </row>
    <row r="8189" spans="20:20" s="566" customFormat="1">
      <c r="T8189" s="41"/>
    </row>
    <row r="8190" spans="20:20" s="566" customFormat="1">
      <c r="T8190" s="41"/>
    </row>
    <row r="8191" spans="20:20" s="566" customFormat="1">
      <c r="T8191" s="41"/>
    </row>
    <row r="8192" spans="20:20" s="566" customFormat="1">
      <c r="T8192" s="41"/>
    </row>
    <row r="8193" spans="20:20" s="566" customFormat="1">
      <c r="T8193" s="41"/>
    </row>
    <row r="8194" spans="20:20" s="566" customFormat="1">
      <c r="T8194" s="41"/>
    </row>
    <row r="8195" spans="20:20" s="566" customFormat="1">
      <c r="T8195" s="41"/>
    </row>
    <row r="8196" spans="20:20" s="566" customFormat="1">
      <c r="T8196" s="41"/>
    </row>
    <row r="8197" spans="20:20" s="566" customFormat="1">
      <c r="T8197" s="41"/>
    </row>
    <row r="8198" spans="20:20" s="566" customFormat="1">
      <c r="T8198" s="41"/>
    </row>
    <row r="8199" spans="20:20" s="566" customFormat="1">
      <c r="T8199" s="41"/>
    </row>
    <row r="8200" spans="20:20" s="566" customFormat="1">
      <c r="T8200" s="41"/>
    </row>
    <row r="8201" spans="20:20" s="566" customFormat="1">
      <c r="T8201" s="41"/>
    </row>
    <row r="8202" spans="20:20" s="566" customFormat="1">
      <c r="T8202" s="41"/>
    </row>
    <row r="8203" spans="20:20" s="566" customFormat="1">
      <c r="T8203" s="41"/>
    </row>
    <row r="8204" spans="20:20" s="566" customFormat="1">
      <c r="T8204" s="41"/>
    </row>
    <row r="8205" spans="20:20" s="566" customFormat="1">
      <c r="T8205" s="41"/>
    </row>
    <row r="8206" spans="20:20" s="566" customFormat="1">
      <c r="T8206" s="41"/>
    </row>
    <row r="8207" spans="20:20" s="566" customFormat="1">
      <c r="T8207" s="41"/>
    </row>
    <row r="8208" spans="20:20" s="566" customFormat="1">
      <c r="T8208" s="41"/>
    </row>
    <row r="8209" spans="20:20" s="566" customFormat="1">
      <c r="T8209" s="41"/>
    </row>
    <row r="8210" spans="20:20" s="566" customFormat="1">
      <c r="T8210" s="41"/>
    </row>
    <row r="8211" spans="20:20" s="566" customFormat="1">
      <c r="T8211" s="41"/>
    </row>
    <row r="8212" spans="20:20" s="566" customFormat="1">
      <c r="T8212" s="41"/>
    </row>
    <row r="8213" spans="20:20" s="566" customFormat="1">
      <c r="T8213" s="41"/>
    </row>
    <row r="8214" spans="20:20" s="566" customFormat="1">
      <c r="T8214" s="41"/>
    </row>
    <row r="8215" spans="20:20" s="566" customFormat="1">
      <c r="T8215" s="41"/>
    </row>
    <row r="8216" spans="20:20" s="566" customFormat="1">
      <c r="T8216" s="41"/>
    </row>
    <row r="8217" spans="20:20" s="566" customFormat="1">
      <c r="T8217" s="41"/>
    </row>
    <row r="8218" spans="20:20" s="566" customFormat="1">
      <c r="T8218" s="41"/>
    </row>
    <row r="8219" spans="20:20" s="566" customFormat="1">
      <c r="T8219" s="41"/>
    </row>
    <row r="8220" spans="20:20" s="566" customFormat="1">
      <c r="T8220" s="41"/>
    </row>
    <row r="8221" spans="20:20" s="566" customFormat="1">
      <c r="T8221" s="41"/>
    </row>
    <row r="8222" spans="20:20" s="566" customFormat="1">
      <c r="T8222" s="41"/>
    </row>
    <row r="8223" spans="20:20" s="566" customFormat="1">
      <c r="T8223" s="41"/>
    </row>
    <row r="8224" spans="20:20" s="566" customFormat="1">
      <c r="T8224" s="41"/>
    </row>
    <row r="8225" spans="20:20" s="566" customFormat="1">
      <c r="T8225" s="41"/>
    </row>
    <row r="8226" spans="20:20" s="566" customFormat="1">
      <c r="T8226" s="41"/>
    </row>
    <row r="8227" spans="20:20" s="566" customFormat="1">
      <c r="T8227" s="41"/>
    </row>
    <row r="8228" spans="20:20" s="566" customFormat="1">
      <c r="T8228" s="41"/>
    </row>
    <row r="8229" spans="20:20" s="566" customFormat="1">
      <c r="T8229" s="41"/>
    </row>
    <row r="8230" spans="20:20" s="566" customFormat="1">
      <c r="T8230" s="41"/>
    </row>
    <row r="8231" spans="20:20" s="566" customFormat="1">
      <c r="T8231" s="41"/>
    </row>
    <row r="8232" spans="20:20" s="566" customFormat="1">
      <c r="T8232" s="41"/>
    </row>
    <row r="8233" spans="20:20" s="566" customFormat="1">
      <c r="T8233" s="41"/>
    </row>
    <row r="8234" spans="20:20" s="566" customFormat="1">
      <c r="T8234" s="41"/>
    </row>
    <row r="8235" spans="20:20" s="566" customFormat="1">
      <c r="T8235" s="41"/>
    </row>
    <row r="8236" spans="20:20" s="566" customFormat="1">
      <c r="T8236" s="41"/>
    </row>
    <row r="8237" spans="20:20" s="566" customFormat="1">
      <c r="T8237" s="41"/>
    </row>
    <row r="8238" spans="20:20" s="566" customFormat="1">
      <c r="T8238" s="41"/>
    </row>
    <row r="8239" spans="20:20" s="566" customFormat="1">
      <c r="T8239" s="41"/>
    </row>
    <row r="8240" spans="20:20" s="566" customFormat="1">
      <c r="T8240" s="41"/>
    </row>
    <row r="8241" spans="20:20" s="566" customFormat="1">
      <c r="T8241" s="41"/>
    </row>
    <row r="8242" spans="20:20" s="566" customFormat="1">
      <c r="T8242" s="41"/>
    </row>
    <row r="8243" spans="20:20" s="566" customFormat="1">
      <c r="T8243" s="41"/>
    </row>
    <row r="8244" spans="20:20" s="566" customFormat="1">
      <c r="T8244" s="41"/>
    </row>
    <row r="8245" spans="20:20" s="566" customFormat="1">
      <c r="T8245" s="41"/>
    </row>
    <row r="8246" spans="20:20" s="566" customFormat="1">
      <c r="T8246" s="41"/>
    </row>
    <row r="8247" spans="20:20" s="566" customFormat="1">
      <c r="T8247" s="41"/>
    </row>
    <row r="8248" spans="20:20" s="566" customFormat="1">
      <c r="T8248" s="41"/>
    </row>
    <row r="8249" spans="20:20" s="566" customFormat="1">
      <c r="T8249" s="41"/>
    </row>
    <row r="8250" spans="20:20" s="566" customFormat="1">
      <c r="T8250" s="41"/>
    </row>
    <row r="8251" spans="20:20" s="566" customFormat="1">
      <c r="T8251" s="41"/>
    </row>
    <row r="8252" spans="20:20" s="566" customFormat="1">
      <c r="T8252" s="41"/>
    </row>
    <row r="8253" spans="20:20" s="566" customFormat="1">
      <c r="T8253" s="41"/>
    </row>
    <row r="8254" spans="20:20" s="566" customFormat="1">
      <c r="T8254" s="41"/>
    </row>
    <row r="8255" spans="20:20" s="566" customFormat="1">
      <c r="T8255" s="41"/>
    </row>
    <row r="8256" spans="20:20" s="566" customFormat="1">
      <c r="T8256" s="41"/>
    </row>
    <row r="8257" spans="20:20" s="566" customFormat="1">
      <c r="T8257" s="41"/>
    </row>
    <row r="8258" spans="20:20" s="566" customFormat="1">
      <c r="T8258" s="41"/>
    </row>
    <row r="8259" spans="20:20" s="566" customFormat="1">
      <c r="T8259" s="41"/>
    </row>
    <row r="8260" spans="20:20" s="566" customFormat="1">
      <c r="T8260" s="41"/>
    </row>
    <row r="8261" spans="20:20" s="566" customFormat="1">
      <c r="T8261" s="41"/>
    </row>
    <row r="8262" spans="20:20" s="566" customFormat="1">
      <c r="T8262" s="41"/>
    </row>
    <row r="8263" spans="20:20" s="566" customFormat="1">
      <c r="T8263" s="41"/>
    </row>
    <row r="8264" spans="20:20" s="566" customFormat="1">
      <c r="T8264" s="41"/>
    </row>
    <row r="8265" spans="20:20" s="566" customFormat="1">
      <c r="T8265" s="41"/>
    </row>
    <row r="8266" spans="20:20" s="566" customFormat="1">
      <c r="T8266" s="41"/>
    </row>
    <row r="8267" spans="20:20" s="566" customFormat="1">
      <c r="T8267" s="41"/>
    </row>
    <row r="8268" spans="20:20" s="566" customFormat="1">
      <c r="T8268" s="41"/>
    </row>
    <row r="8269" spans="20:20" s="566" customFormat="1">
      <c r="T8269" s="41"/>
    </row>
    <row r="8270" spans="20:20" s="566" customFormat="1">
      <c r="T8270" s="41"/>
    </row>
    <row r="8271" spans="20:20" s="566" customFormat="1">
      <c r="T8271" s="41"/>
    </row>
    <row r="8272" spans="20:20" s="566" customFormat="1">
      <c r="T8272" s="41"/>
    </row>
    <row r="8273" spans="20:20" s="566" customFormat="1">
      <c r="T8273" s="41"/>
    </row>
    <row r="8274" spans="20:20" s="566" customFormat="1">
      <c r="T8274" s="41"/>
    </row>
    <row r="8275" spans="20:20" s="566" customFormat="1">
      <c r="T8275" s="41"/>
    </row>
    <row r="8276" spans="20:20" s="566" customFormat="1">
      <c r="T8276" s="41"/>
    </row>
    <row r="8277" spans="20:20" s="566" customFormat="1">
      <c r="T8277" s="41"/>
    </row>
    <row r="8278" spans="20:20" s="566" customFormat="1">
      <c r="T8278" s="41"/>
    </row>
    <row r="8279" spans="20:20" s="566" customFormat="1">
      <c r="T8279" s="41"/>
    </row>
    <row r="8280" spans="20:20" s="566" customFormat="1">
      <c r="T8280" s="41"/>
    </row>
    <row r="8281" spans="20:20" s="566" customFormat="1">
      <c r="T8281" s="41"/>
    </row>
    <row r="8282" spans="20:20" s="566" customFormat="1">
      <c r="T8282" s="41"/>
    </row>
    <row r="8283" spans="20:20" s="566" customFormat="1">
      <c r="T8283" s="41"/>
    </row>
    <row r="8284" spans="20:20" s="566" customFormat="1">
      <c r="T8284" s="41"/>
    </row>
    <row r="8285" spans="20:20" s="566" customFormat="1">
      <c r="T8285" s="41"/>
    </row>
    <row r="8286" spans="20:20" s="566" customFormat="1">
      <c r="T8286" s="41"/>
    </row>
    <row r="8287" spans="20:20" s="566" customFormat="1">
      <c r="T8287" s="41"/>
    </row>
    <row r="8288" spans="20:20" s="566" customFormat="1">
      <c r="T8288" s="41"/>
    </row>
    <row r="8289" spans="20:20" s="566" customFormat="1">
      <c r="T8289" s="41"/>
    </row>
    <row r="8290" spans="20:20" s="566" customFormat="1">
      <c r="T8290" s="41"/>
    </row>
    <row r="8291" spans="20:20" s="566" customFormat="1">
      <c r="T8291" s="41"/>
    </row>
    <row r="8292" spans="20:20" s="566" customFormat="1">
      <c r="T8292" s="41"/>
    </row>
    <row r="8293" spans="20:20" s="566" customFormat="1">
      <c r="T8293" s="41"/>
    </row>
    <row r="8294" spans="20:20" s="566" customFormat="1">
      <c r="T8294" s="41"/>
    </row>
    <row r="8295" spans="20:20" s="566" customFormat="1">
      <c r="T8295" s="41"/>
    </row>
    <row r="8296" spans="20:20" s="566" customFormat="1">
      <c r="T8296" s="41"/>
    </row>
    <row r="8297" spans="20:20" s="566" customFormat="1">
      <c r="T8297" s="41"/>
    </row>
    <row r="8298" spans="20:20" s="566" customFormat="1">
      <c r="T8298" s="41"/>
    </row>
    <row r="8299" spans="20:20" s="566" customFormat="1">
      <c r="T8299" s="41"/>
    </row>
    <row r="8300" spans="20:20" s="566" customFormat="1">
      <c r="T8300" s="41"/>
    </row>
    <row r="8301" spans="20:20" s="566" customFormat="1">
      <c r="T8301" s="41"/>
    </row>
    <row r="8302" spans="20:20" s="566" customFormat="1">
      <c r="T8302" s="41"/>
    </row>
    <row r="8303" spans="20:20" s="566" customFormat="1">
      <c r="T8303" s="41"/>
    </row>
    <row r="8304" spans="20:20" s="566" customFormat="1">
      <c r="T8304" s="41"/>
    </row>
    <row r="8305" spans="20:20" s="566" customFormat="1">
      <c r="T8305" s="41"/>
    </row>
    <row r="8306" spans="20:20" s="566" customFormat="1">
      <c r="T8306" s="41"/>
    </row>
    <row r="8307" spans="20:20" s="566" customFormat="1">
      <c r="T8307" s="41"/>
    </row>
    <row r="8308" spans="20:20" s="566" customFormat="1">
      <c r="T8308" s="41"/>
    </row>
    <row r="8309" spans="20:20" s="566" customFormat="1">
      <c r="T8309" s="41"/>
    </row>
    <row r="8310" spans="20:20" s="566" customFormat="1">
      <c r="T8310" s="41"/>
    </row>
    <row r="8311" spans="20:20" s="566" customFormat="1">
      <c r="T8311" s="41"/>
    </row>
    <row r="8312" spans="20:20" s="566" customFormat="1">
      <c r="T8312" s="41"/>
    </row>
    <row r="8313" spans="20:20" s="566" customFormat="1">
      <c r="T8313" s="41"/>
    </row>
    <row r="8314" spans="20:20" s="566" customFormat="1">
      <c r="T8314" s="41"/>
    </row>
    <row r="8315" spans="20:20" s="566" customFormat="1">
      <c r="T8315" s="41"/>
    </row>
    <row r="8316" spans="20:20" s="566" customFormat="1">
      <c r="T8316" s="41"/>
    </row>
    <row r="8317" spans="20:20" s="566" customFormat="1">
      <c r="T8317" s="41"/>
    </row>
    <row r="8318" spans="20:20" s="566" customFormat="1">
      <c r="T8318" s="41"/>
    </row>
    <row r="8319" spans="20:20" s="566" customFormat="1">
      <c r="T8319" s="41"/>
    </row>
    <row r="8320" spans="20:20" s="566" customFormat="1">
      <c r="T8320" s="41"/>
    </row>
    <row r="8321" spans="20:20" s="566" customFormat="1">
      <c r="T8321" s="41"/>
    </row>
    <row r="8322" spans="20:20" s="566" customFormat="1">
      <c r="T8322" s="41"/>
    </row>
    <row r="8323" spans="20:20" s="566" customFormat="1">
      <c r="T8323" s="41"/>
    </row>
    <row r="8324" spans="20:20" s="566" customFormat="1">
      <c r="T8324" s="41"/>
    </row>
    <row r="8325" spans="20:20" s="566" customFormat="1">
      <c r="T8325" s="41"/>
    </row>
    <row r="8326" spans="20:20" s="566" customFormat="1">
      <c r="T8326" s="41"/>
    </row>
    <row r="8327" spans="20:20" s="566" customFormat="1">
      <c r="T8327" s="41"/>
    </row>
    <row r="8328" spans="20:20" s="566" customFormat="1">
      <c r="T8328" s="41"/>
    </row>
    <row r="8329" spans="20:20" s="566" customFormat="1">
      <c r="T8329" s="41"/>
    </row>
    <row r="8330" spans="20:20" s="566" customFormat="1">
      <c r="T8330" s="41"/>
    </row>
    <row r="8331" spans="20:20" s="566" customFormat="1">
      <c r="T8331" s="41"/>
    </row>
    <row r="8332" spans="20:20" s="566" customFormat="1">
      <c r="T8332" s="41"/>
    </row>
    <row r="8333" spans="20:20" s="566" customFormat="1">
      <c r="T8333" s="41"/>
    </row>
    <row r="8334" spans="20:20" s="566" customFormat="1">
      <c r="T8334" s="41"/>
    </row>
    <row r="8335" spans="20:20" s="566" customFormat="1">
      <c r="T8335" s="41"/>
    </row>
    <row r="8336" spans="20:20" s="566" customFormat="1">
      <c r="T8336" s="41"/>
    </row>
    <row r="8337" spans="20:20" s="566" customFormat="1">
      <c r="T8337" s="41"/>
    </row>
    <row r="8338" spans="20:20" s="566" customFormat="1">
      <c r="T8338" s="41"/>
    </row>
    <row r="8339" spans="20:20" s="566" customFormat="1">
      <c r="T8339" s="41"/>
    </row>
    <row r="8340" spans="20:20" s="566" customFormat="1">
      <c r="T8340" s="41"/>
    </row>
    <row r="8341" spans="20:20" s="566" customFormat="1">
      <c r="T8341" s="41"/>
    </row>
    <row r="8342" spans="20:20" s="566" customFormat="1">
      <c r="T8342" s="41"/>
    </row>
    <row r="8343" spans="20:20" s="566" customFormat="1">
      <c r="T8343" s="41"/>
    </row>
    <row r="8344" spans="20:20" s="566" customFormat="1">
      <c r="T8344" s="41"/>
    </row>
    <row r="8345" spans="20:20" s="566" customFormat="1">
      <c r="T8345" s="41"/>
    </row>
    <row r="8346" spans="20:20" s="566" customFormat="1">
      <c r="T8346" s="41"/>
    </row>
    <row r="8347" spans="20:20" s="566" customFormat="1">
      <c r="T8347" s="41"/>
    </row>
    <row r="8348" spans="20:20" s="566" customFormat="1">
      <c r="T8348" s="41"/>
    </row>
    <row r="8349" spans="20:20" s="566" customFormat="1">
      <c r="T8349" s="41"/>
    </row>
    <row r="8350" spans="20:20" s="566" customFormat="1">
      <c r="T8350" s="41"/>
    </row>
    <row r="8351" spans="20:20" s="566" customFormat="1">
      <c r="T8351" s="41"/>
    </row>
    <row r="8352" spans="20:20" s="566" customFormat="1">
      <c r="T8352" s="41"/>
    </row>
    <row r="8353" spans="20:20" s="566" customFormat="1">
      <c r="T8353" s="41"/>
    </row>
    <row r="8354" spans="20:20" s="566" customFormat="1">
      <c r="T8354" s="41"/>
    </row>
    <row r="8355" spans="20:20" s="566" customFormat="1">
      <c r="T8355" s="41"/>
    </row>
    <row r="8356" spans="20:20" s="566" customFormat="1">
      <c r="T8356" s="41"/>
    </row>
    <row r="8357" spans="20:20" s="566" customFormat="1">
      <c r="T8357" s="41"/>
    </row>
    <row r="8358" spans="20:20" s="566" customFormat="1">
      <c r="T8358" s="41"/>
    </row>
    <row r="8359" spans="20:20" s="566" customFormat="1">
      <c r="T8359" s="41"/>
    </row>
    <row r="8360" spans="20:20" s="566" customFormat="1">
      <c r="T8360" s="41"/>
    </row>
    <row r="8361" spans="20:20" s="566" customFormat="1">
      <c r="T8361" s="41"/>
    </row>
    <row r="8362" spans="20:20" s="566" customFormat="1">
      <c r="T8362" s="41"/>
    </row>
    <row r="8363" spans="20:20" s="566" customFormat="1">
      <c r="T8363" s="41"/>
    </row>
    <row r="8364" spans="20:20" s="566" customFormat="1">
      <c r="T8364" s="41"/>
    </row>
    <row r="8365" spans="20:20" s="566" customFormat="1">
      <c r="T8365" s="41"/>
    </row>
    <row r="8366" spans="20:20" s="566" customFormat="1">
      <c r="T8366" s="41"/>
    </row>
    <row r="8367" spans="20:20" s="566" customFormat="1">
      <c r="T8367" s="41"/>
    </row>
    <row r="8368" spans="20:20" s="566" customFormat="1">
      <c r="T8368" s="41"/>
    </row>
    <row r="8369" spans="20:20" s="566" customFormat="1">
      <c r="T8369" s="41"/>
    </row>
    <row r="8370" spans="20:20" s="566" customFormat="1">
      <c r="T8370" s="41"/>
    </row>
    <row r="8371" spans="20:20" s="566" customFormat="1">
      <c r="T8371" s="41"/>
    </row>
    <row r="8372" spans="20:20" s="566" customFormat="1">
      <c r="T8372" s="41"/>
    </row>
    <row r="8373" spans="20:20" s="566" customFormat="1">
      <c r="T8373" s="41"/>
    </row>
    <row r="8374" spans="20:20" s="566" customFormat="1">
      <c r="T8374" s="41"/>
    </row>
    <row r="8375" spans="20:20" s="566" customFormat="1">
      <c r="T8375" s="41"/>
    </row>
    <row r="8376" spans="20:20" s="566" customFormat="1">
      <c r="T8376" s="41"/>
    </row>
    <row r="8377" spans="20:20" s="566" customFormat="1">
      <c r="T8377" s="41"/>
    </row>
    <row r="8378" spans="20:20" s="566" customFormat="1">
      <c r="T8378" s="41"/>
    </row>
    <row r="8379" spans="20:20" s="566" customFormat="1">
      <c r="T8379" s="41"/>
    </row>
    <row r="8380" spans="20:20" s="566" customFormat="1">
      <c r="T8380" s="41"/>
    </row>
    <row r="8381" spans="20:20" s="566" customFormat="1">
      <c r="T8381" s="41"/>
    </row>
    <row r="8382" spans="20:20" s="566" customFormat="1">
      <c r="T8382" s="41"/>
    </row>
    <row r="8383" spans="20:20" s="566" customFormat="1">
      <c r="T8383" s="41"/>
    </row>
    <row r="8384" spans="20:20" s="566" customFormat="1">
      <c r="T8384" s="41"/>
    </row>
    <row r="8385" spans="20:20" s="566" customFormat="1">
      <c r="T8385" s="41"/>
    </row>
    <row r="8386" spans="20:20" s="566" customFormat="1">
      <c r="T8386" s="41"/>
    </row>
    <row r="8387" spans="20:20" s="566" customFormat="1">
      <c r="T8387" s="41"/>
    </row>
    <row r="8388" spans="20:20" s="566" customFormat="1">
      <c r="T8388" s="41"/>
    </row>
    <row r="8389" spans="20:20" s="566" customFormat="1">
      <c r="T8389" s="41"/>
    </row>
    <row r="8390" spans="20:20" s="566" customFormat="1">
      <c r="T8390" s="41"/>
    </row>
    <row r="8391" spans="20:20" s="566" customFormat="1">
      <c r="T8391" s="41"/>
    </row>
    <row r="8392" spans="20:20" s="566" customFormat="1">
      <c r="T8392" s="41"/>
    </row>
    <row r="8393" spans="20:20" s="566" customFormat="1">
      <c r="T8393" s="41"/>
    </row>
    <row r="8394" spans="20:20" s="566" customFormat="1">
      <c r="T8394" s="41"/>
    </row>
    <row r="8395" spans="20:20" s="566" customFormat="1">
      <c r="T8395" s="41"/>
    </row>
    <row r="8396" spans="20:20" s="566" customFormat="1">
      <c r="T8396" s="41"/>
    </row>
    <row r="8397" spans="20:20" s="566" customFormat="1">
      <c r="T8397" s="41"/>
    </row>
    <row r="8398" spans="20:20" s="566" customFormat="1">
      <c r="T8398" s="41"/>
    </row>
    <row r="8399" spans="20:20" s="566" customFormat="1">
      <c r="T8399" s="41"/>
    </row>
    <row r="8400" spans="20:20" s="566" customFormat="1">
      <c r="T8400" s="41"/>
    </row>
    <row r="8401" spans="20:20" s="566" customFormat="1">
      <c r="T8401" s="41"/>
    </row>
    <row r="8402" spans="20:20" s="566" customFormat="1">
      <c r="T8402" s="41"/>
    </row>
    <row r="8403" spans="20:20" s="566" customFormat="1">
      <c r="T8403" s="41"/>
    </row>
    <row r="8404" spans="20:20" s="566" customFormat="1">
      <c r="T8404" s="41"/>
    </row>
    <row r="8405" spans="20:20" s="566" customFormat="1">
      <c r="T8405" s="41"/>
    </row>
    <row r="8406" spans="20:20" s="566" customFormat="1">
      <c r="T8406" s="41"/>
    </row>
    <row r="8407" spans="20:20" s="566" customFormat="1">
      <c r="T8407" s="41"/>
    </row>
    <row r="8408" spans="20:20" s="566" customFormat="1">
      <c r="T8408" s="41"/>
    </row>
    <row r="8409" spans="20:20" s="566" customFormat="1">
      <c r="T8409" s="41"/>
    </row>
    <row r="8410" spans="20:20" s="566" customFormat="1">
      <c r="T8410" s="41"/>
    </row>
    <row r="8411" spans="20:20" s="566" customFormat="1">
      <c r="T8411" s="41"/>
    </row>
    <row r="8412" spans="20:20" s="566" customFormat="1">
      <c r="T8412" s="41"/>
    </row>
    <row r="8413" spans="20:20" s="566" customFormat="1">
      <c r="T8413" s="41"/>
    </row>
    <row r="8414" spans="20:20" s="566" customFormat="1">
      <c r="T8414" s="41"/>
    </row>
    <row r="8415" spans="20:20" s="566" customFormat="1">
      <c r="T8415" s="41"/>
    </row>
    <row r="8416" spans="20:20" s="566" customFormat="1">
      <c r="T8416" s="41"/>
    </row>
    <row r="8417" spans="20:20" s="566" customFormat="1">
      <c r="T8417" s="41"/>
    </row>
    <row r="8418" spans="20:20" s="566" customFormat="1">
      <c r="T8418" s="41"/>
    </row>
    <row r="8419" spans="20:20" s="566" customFormat="1">
      <c r="T8419" s="41"/>
    </row>
    <row r="8420" spans="20:20" s="566" customFormat="1">
      <c r="T8420" s="41"/>
    </row>
    <row r="8421" spans="20:20" s="566" customFormat="1">
      <c r="T8421" s="41"/>
    </row>
    <row r="8422" spans="20:20" s="566" customFormat="1">
      <c r="T8422" s="41"/>
    </row>
    <row r="8423" spans="20:20" s="566" customFormat="1">
      <c r="T8423" s="41"/>
    </row>
    <row r="8424" spans="20:20" s="566" customFormat="1">
      <c r="T8424" s="41"/>
    </row>
    <row r="8425" spans="20:20" s="566" customFormat="1">
      <c r="T8425" s="41"/>
    </row>
    <row r="8426" spans="20:20" s="566" customFormat="1">
      <c r="T8426" s="41"/>
    </row>
    <row r="8427" spans="20:20" s="566" customFormat="1">
      <c r="T8427" s="41"/>
    </row>
    <row r="8428" spans="20:20" s="566" customFormat="1">
      <c r="T8428" s="41"/>
    </row>
    <row r="8429" spans="20:20" s="566" customFormat="1">
      <c r="T8429" s="41"/>
    </row>
    <row r="8430" spans="20:20" s="566" customFormat="1">
      <c r="T8430" s="41"/>
    </row>
    <row r="8431" spans="20:20" s="566" customFormat="1">
      <c r="T8431" s="41"/>
    </row>
    <row r="8432" spans="20:20" s="566" customFormat="1">
      <c r="T8432" s="41"/>
    </row>
    <row r="8433" spans="20:20" s="566" customFormat="1">
      <c r="T8433" s="41"/>
    </row>
    <row r="8434" spans="20:20" s="566" customFormat="1">
      <c r="T8434" s="41"/>
    </row>
    <row r="8435" spans="20:20" s="566" customFormat="1">
      <c r="T8435" s="41"/>
    </row>
    <row r="8436" spans="20:20" s="566" customFormat="1">
      <c r="T8436" s="41"/>
    </row>
    <row r="8437" spans="20:20" s="566" customFormat="1">
      <c r="T8437" s="41"/>
    </row>
    <row r="8438" spans="20:20" s="566" customFormat="1">
      <c r="T8438" s="41"/>
    </row>
    <row r="8439" spans="20:20" s="566" customFormat="1">
      <c r="T8439" s="41"/>
    </row>
    <row r="8440" spans="20:20" s="566" customFormat="1">
      <c r="T8440" s="41"/>
    </row>
    <row r="8441" spans="20:20" s="566" customFormat="1">
      <c r="T8441" s="41"/>
    </row>
    <row r="8442" spans="20:20" s="566" customFormat="1">
      <c r="T8442" s="41"/>
    </row>
    <row r="8443" spans="20:20" s="566" customFormat="1">
      <c r="T8443" s="41"/>
    </row>
    <row r="8444" spans="20:20" s="566" customFormat="1">
      <c r="T8444" s="41"/>
    </row>
    <row r="8445" spans="20:20" s="566" customFormat="1">
      <c r="T8445" s="41"/>
    </row>
    <row r="8446" spans="20:20" s="566" customFormat="1">
      <c r="T8446" s="41"/>
    </row>
    <row r="8447" spans="20:20" s="566" customFormat="1">
      <c r="T8447" s="41"/>
    </row>
    <row r="8448" spans="20:20" s="566" customFormat="1">
      <c r="T8448" s="41"/>
    </row>
    <row r="8449" spans="20:20" s="566" customFormat="1">
      <c r="T8449" s="41"/>
    </row>
    <row r="8450" spans="20:20" s="566" customFormat="1">
      <c r="T8450" s="41"/>
    </row>
    <row r="8451" spans="20:20" s="566" customFormat="1">
      <c r="T8451" s="41"/>
    </row>
    <row r="8452" spans="20:20" s="566" customFormat="1">
      <c r="T8452" s="41"/>
    </row>
    <row r="8453" spans="20:20" s="566" customFormat="1">
      <c r="T8453" s="41"/>
    </row>
    <row r="8454" spans="20:20" s="566" customFormat="1">
      <c r="T8454" s="41"/>
    </row>
    <row r="8455" spans="20:20" s="566" customFormat="1">
      <c r="T8455" s="41"/>
    </row>
    <row r="8456" spans="20:20" s="566" customFormat="1">
      <c r="T8456" s="41"/>
    </row>
    <row r="8457" spans="20:20" s="566" customFormat="1">
      <c r="T8457" s="41"/>
    </row>
    <row r="8458" spans="20:20" s="566" customFormat="1">
      <c r="T8458" s="41"/>
    </row>
    <row r="8459" spans="20:20" s="566" customFormat="1">
      <c r="T8459" s="41"/>
    </row>
    <row r="8460" spans="20:20" s="566" customFormat="1">
      <c r="T8460" s="41"/>
    </row>
    <row r="8461" spans="20:20" s="566" customFormat="1">
      <c r="T8461" s="41"/>
    </row>
    <row r="8462" spans="20:20" s="566" customFormat="1">
      <c r="T8462" s="41"/>
    </row>
    <row r="8463" spans="20:20" s="566" customFormat="1">
      <c r="T8463" s="41"/>
    </row>
    <row r="8464" spans="20:20" s="566" customFormat="1">
      <c r="T8464" s="41"/>
    </row>
    <row r="8465" spans="20:20" s="566" customFormat="1">
      <c r="T8465" s="41"/>
    </row>
    <row r="8466" spans="20:20" s="566" customFormat="1">
      <c r="T8466" s="41"/>
    </row>
    <row r="8467" spans="20:20" s="566" customFormat="1">
      <c r="T8467" s="41"/>
    </row>
    <row r="8468" spans="20:20" s="566" customFormat="1">
      <c r="T8468" s="41"/>
    </row>
    <row r="8469" spans="20:20" s="566" customFormat="1">
      <c r="T8469" s="41"/>
    </row>
    <row r="8470" spans="20:20" s="566" customFormat="1">
      <c r="T8470" s="41"/>
    </row>
    <row r="8471" spans="20:20" s="566" customFormat="1">
      <c r="T8471" s="41"/>
    </row>
    <row r="8472" spans="20:20" s="566" customFormat="1">
      <c r="T8472" s="41"/>
    </row>
    <row r="8473" spans="20:20" s="566" customFormat="1">
      <c r="T8473" s="41"/>
    </row>
    <row r="8474" spans="20:20" s="566" customFormat="1">
      <c r="T8474" s="41"/>
    </row>
    <row r="8475" spans="20:20" s="566" customFormat="1">
      <c r="T8475" s="41"/>
    </row>
    <row r="8476" spans="20:20" s="566" customFormat="1">
      <c r="T8476" s="41"/>
    </row>
    <row r="8477" spans="20:20" s="566" customFormat="1">
      <c r="T8477" s="41"/>
    </row>
    <row r="8478" spans="20:20" s="566" customFormat="1">
      <c r="T8478" s="41"/>
    </row>
    <row r="8479" spans="20:20" s="566" customFormat="1">
      <c r="T8479" s="41"/>
    </row>
    <row r="8480" spans="20:20" s="566" customFormat="1">
      <c r="T8480" s="41"/>
    </row>
    <row r="8481" spans="20:20" s="566" customFormat="1">
      <c r="T8481" s="41"/>
    </row>
    <row r="8482" spans="20:20" s="566" customFormat="1">
      <c r="T8482" s="41"/>
    </row>
    <row r="8483" spans="20:20" s="566" customFormat="1">
      <c r="T8483" s="41"/>
    </row>
    <row r="8484" spans="20:20" s="566" customFormat="1">
      <c r="T8484" s="41"/>
    </row>
    <row r="8485" spans="20:20" s="566" customFormat="1">
      <c r="T8485" s="41"/>
    </row>
    <row r="8486" spans="20:20" s="566" customFormat="1">
      <c r="T8486" s="41"/>
    </row>
    <row r="8487" spans="20:20" s="566" customFormat="1">
      <c r="T8487" s="41"/>
    </row>
    <row r="8488" spans="20:20" s="566" customFormat="1">
      <c r="T8488" s="41"/>
    </row>
    <row r="8489" spans="20:20" s="566" customFormat="1">
      <c r="T8489" s="41"/>
    </row>
    <row r="8490" spans="20:20" s="566" customFormat="1">
      <c r="T8490" s="41"/>
    </row>
    <row r="8491" spans="20:20" s="566" customFormat="1">
      <c r="T8491" s="41"/>
    </row>
    <row r="8492" spans="20:20" s="566" customFormat="1">
      <c r="T8492" s="41"/>
    </row>
    <row r="8493" spans="20:20" s="566" customFormat="1">
      <c r="T8493" s="41"/>
    </row>
    <row r="8494" spans="20:20" s="566" customFormat="1">
      <c r="T8494" s="41"/>
    </row>
    <row r="8495" spans="20:20" s="566" customFormat="1">
      <c r="T8495" s="41"/>
    </row>
    <row r="8496" spans="20:20" s="566" customFormat="1">
      <c r="T8496" s="41"/>
    </row>
    <row r="8497" spans="20:20" s="566" customFormat="1">
      <c r="T8497" s="41"/>
    </row>
    <row r="8498" spans="20:20" s="566" customFormat="1">
      <c r="T8498" s="41"/>
    </row>
    <row r="8499" spans="20:20" s="566" customFormat="1">
      <c r="T8499" s="41"/>
    </row>
    <row r="8500" spans="20:20" s="566" customFormat="1">
      <c r="T8500" s="41"/>
    </row>
    <row r="8501" spans="20:20" s="566" customFormat="1">
      <c r="T8501" s="41"/>
    </row>
    <row r="8502" spans="20:20" s="566" customFormat="1">
      <c r="T8502" s="41"/>
    </row>
    <row r="8503" spans="20:20" s="566" customFormat="1">
      <c r="T8503" s="41"/>
    </row>
    <row r="8504" spans="20:20" s="566" customFormat="1">
      <c r="T8504" s="41"/>
    </row>
    <row r="8505" spans="20:20" s="566" customFormat="1">
      <c r="T8505" s="41"/>
    </row>
    <row r="8506" spans="20:20" s="566" customFormat="1">
      <c r="T8506" s="41"/>
    </row>
    <row r="8507" spans="20:20" s="566" customFormat="1">
      <c r="T8507" s="41"/>
    </row>
    <row r="8508" spans="20:20" s="566" customFormat="1">
      <c r="T8508" s="41"/>
    </row>
    <row r="8509" spans="20:20" s="566" customFormat="1">
      <c r="T8509" s="41"/>
    </row>
    <row r="8510" spans="20:20" s="566" customFormat="1">
      <c r="T8510" s="41"/>
    </row>
    <row r="8511" spans="20:20" s="566" customFormat="1">
      <c r="T8511" s="41"/>
    </row>
    <row r="8512" spans="20:20" s="566" customFormat="1">
      <c r="T8512" s="41"/>
    </row>
    <row r="8513" spans="20:20" s="566" customFormat="1">
      <c r="T8513" s="41"/>
    </row>
    <row r="8514" spans="20:20" s="566" customFormat="1">
      <c r="T8514" s="41"/>
    </row>
    <row r="8515" spans="20:20" s="566" customFormat="1">
      <c r="T8515" s="41"/>
    </row>
    <row r="8516" spans="20:20" s="566" customFormat="1">
      <c r="T8516" s="41"/>
    </row>
    <row r="8517" spans="20:20" s="566" customFormat="1">
      <c r="T8517" s="41"/>
    </row>
    <row r="8518" spans="20:20" s="566" customFormat="1">
      <c r="T8518" s="41"/>
    </row>
    <row r="8519" spans="20:20" s="566" customFormat="1">
      <c r="T8519" s="41"/>
    </row>
    <row r="8520" spans="20:20" s="566" customFormat="1">
      <c r="T8520" s="41"/>
    </row>
    <row r="8521" spans="20:20" s="566" customFormat="1">
      <c r="T8521" s="41"/>
    </row>
    <row r="8522" spans="20:20" s="566" customFormat="1">
      <c r="T8522" s="41"/>
    </row>
    <row r="8523" spans="20:20" s="566" customFormat="1">
      <c r="T8523" s="41"/>
    </row>
    <row r="8524" spans="20:20" s="566" customFormat="1">
      <c r="T8524" s="41"/>
    </row>
    <row r="8525" spans="20:20" s="566" customFormat="1">
      <c r="T8525" s="41"/>
    </row>
    <row r="8526" spans="20:20" s="566" customFormat="1">
      <c r="T8526" s="41"/>
    </row>
    <row r="8527" spans="20:20" s="566" customFormat="1">
      <c r="T8527" s="41"/>
    </row>
    <row r="8528" spans="20:20" s="566" customFormat="1">
      <c r="T8528" s="41"/>
    </row>
    <row r="8529" spans="20:20" s="566" customFormat="1">
      <c r="T8529" s="41"/>
    </row>
    <row r="8530" spans="20:20" s="566" customFormat="1">
      <c r="T8530" s="41"/>
    </row>
    <row r="8531" spans="20:20" s="566" customFormat="1">
      <c r="T8531" s="41"/>
    </row>
    <row r="8532" spans="20:20" s="566" customFormat="1">
      <c r="T8532" s="41"/>
    </row>
    <row r="8533" spans="20:20" s="566" customFormat="1">
      <c r="T8533" s="41"/>
    </row>
    <row r="8534" spans="20:20" s="566" customFormat="1">
      <c r="T8534" s="41"/>
    </row>
    <row r="8535" spans="20:20" s="566" customFormat="1">
      <c r="T8535" s="41"/>
    </row>
    <row r="8536" spans="20:20" s="566" customFormat="1">
      <c r="T8536" s="41"/>
    </row>
    <row r="8537" spans="20:20" s="566" customFormat="1">
      <c r="T8537" s="41"/>
    </row>
    <row r="8538" spans="20:20" s="566" customFormat="1">
      <c r="T8538" s="41"/>
    </row>
    <row r="8539" spans="20:20" s="566" customFormat="1">
      <c r="T8539" s="41"/>
    </row>
    <row r="8540" spans="20:20" s="566" customFormat="1">
      <c r="T8540" s="41"/>
    </row>
    <row r="8541" spans="20:20" s="566" customFormat="1">
      <c r="T8541" s="41"/>
    </row>
    <row r="8542" spans="20:20" s="566" customFormat="1">
      <c r="T8542" s="41"/>
    </row>
    <row r="8543" spans="20:20" s="566" customFormat="1">
      <c r="T8543" s="41"/>
    </row>
    <row r="8544" spans="20:20" s="566" customFormat="1">
      <c r="T8544" s="41"/>
    </row>
    <row r="8545" spans="20:20" s="566" customFormat="1">
      <c r="T8545" s="41"/>
    </row>
    <row r="8546" spans="20:20" s="566" customFormat="1">
      <c r="T8546" s="41"/>
    </row>
    <row r="8547" spans="20:20" s="566" customFormat="1">
      <c r="T8547" s="41"/>
    </row>
    <row r="8548" spans="20:20" s="566" customFormat="1">
      <c r="T8548" s="41"/>
    </row>
    <row r="8549" spans="20:20" s="566" customFormat="1">
      <c r="T8549" s="41"/>
    </row>
    <row r="8550" spans="20:20" s="566" customFormat="1">
      <c r="T8550" s="41"/>
    </row>
    <row r="8551" spans="20:20" s="566" customFormat="1">
      <c r="T8551" s="41"/>
    </row>
    <row r="8552" spans="20:20" s="566" customFormat="1">
      <c r="T8552" s="41"/>
    </row>
    <row r="8553" spans="20:20" s="566" customFormat="1">
      <c r="T8553" s="41"/>
    </row>
    <row r="8554" spans="20:20" s="566" customFormat="1">
      <c r="T8554" s="41"/>
    </row>
    <row r="8555" spans="20:20" s="566" customFormat="1">
      <c r="T8555" s="41"/>
    </row>
    <row r="8556" spans="20:20" s="566" customFormat="1">
      <c r="T8556" s="41"/>
    </row>
    <row r="8557" spans="20:20" s="566" customFormat="1">
      <c r="T8557" s="41"/>
    </row>
    <row r="8558" spans="20:20" s="566" customFormat="1">
      <c r="T8558" s="41"/>
    </row>
    <row r="8559" spans="20:20" s="566" customFormat="1">
      <c r="T8559" s="41"/>
    </row>
    <row r="8560" spans="20:20" s="566" customFormat="1">
      <c r="T8560" s="41"/>
    </row>
    <row r="8561" spans="20:20" s="566" customFormat="1">
      <c r="T8561" s="41"/>
    </row>
    <row r="8562" spans="20:20" s="566" customFormat="1">
      <c r="T8562" s="41"/>
    </row>
    <row r="8563" spans="20:20" s="566" customFormat="1">
      <c r="T8563" s="41"/>
    </row>
    <row r="8564" spans="20:20" s="566" customFormat="1">
      <c r="T8564" s="41"/>
    </row>
    <row r="8565" spans="20:20" s="566" customFormat="1">
      <c r="T8565" s="41"/>
    </row>
    <row r="8566" spans="20:20" s="566" customFormat="1">
      <c r="T8566" s="41"/>
    </row>
    <row r="8567" spans="20:20" s="566" customFormat="1">
      <c r="T8567" s="41"/>
    </row>
    <row r="8568" spans="20:20" s="566" customFormat="1">
      <c r="T8568" s="41"/>
    </row>
    <row r="8569" spans="20:20" s="566" customFormat="1">
      <c r="T8569" s="41"/>
    </row>
    <row r="8570" spans="20:20" s="566" customFormat="1">
      <c r="T8570" s="41"/>
    </row>
    <row r="8571" spans="20:20" s="566" customFormat="1">
      <c r="T8571" s="41"/>
    </row>
    <row r="8572" spans="20:20" s="566" customFormat="1">
      <c r="T8572" s="41"/>
    </row>
    <row r="8573" spans="20:20" s="566" customFormat="1">
      <c r="T8573" s="41"/>
    </row>
    <row r="8574" spans="20:20" s="566" customFormat="1">
      <c r="T8574" s="41"/>
    </row>
    <row r="8575" spans="20:20" s="566" customFormat="1">
      <c r="T8575" s="41"/>
    </row>
    <row r="8576" spans="20:20" s="566" customFormat="1">
      <c r="T8576" s="41"/>
    </row>
    <row r="8577" spans="20:20" s="566" customFormat="1">
      <c r="T8577" s="41"/>
    </row>
    <row r="8578" spans="20:20" s="566" customFormat="1">
      <c r="T8578" s="41"/>
    </row>
    <row r="8579" spans="20:20" s="566" customFormat="1">
      <c r="T8579" s="41"/>
    </row>
    <row r="8580" spans="20:20" s="566" customFormat="1">
      <c r="T8580" s="41"/>
    </row>
    <row r="8581" spans="20:20" s="566" customFormat="1">
      <c r="T8581" s="41"/>
    </row>
    <row r="8582" spans="20:20" s="566" customFormat="1">
      <c r="T8582" s="41"/>
    </row>
    <row r="8583" spans="20:20" s="566" customFormat="1">
      <c r="T8583" s="41"/>
    </row>
    <row r="8584" spans="20:20" s="566" customFormat="1">
      <c r="T8584" s="41"/>
    </row>
    <row r="8585" spans="20:20" s="566" customFormat="1">
      <c r="T8585" s="41"/>
    </row>
    <row r="8586" spans="20:20" s="566" customFormat="1">
      <c r="T8586" s="41"/>
    </row>
    <row r="8587" spans="20:20" s="566" customFormat="1">
      <c r="T8587" s="41"/>
    </row>
    <row r="8588" spans="20:20" s="566" customFormat="1">
      <c r="T8588" s="41"/>
    </row>
    <row r="8589" spans="20:20" s="566" customFormat="1">
      <c r="T8589" s="41"/>
    </row>
    <row r="8590" spans="20:20" s="566" customFormat="1">
      <c r="T8590" s="41"/>
    </row>
    <row r="8591" spans="20:20" s="566" customFormat="1">
      <c r="T8591" s="41"/>
    </row>
    <row r="8592" spans="20:20" s="566" customFormat="1">
      <c r="T8592" s="41"/>
    </row>
    <row r="8593" spans="20:20" s="566" customFormat="1">
      <c r="T8593" s="41"/>
    </row>
    <row r="8594" spans="20:20" s="566" customFormat="1">
      <c r="T8594" s="41"/>
    </row>
    <row r="8595" spans="20:20" s="566" customFormat="1">
      <c r="T8595" s="41"/>
    </row>
    <row r="8596" spans="20:20" s="566" customFormat="1">
      <c r="T8596" s="41"/>
    </row>
    <row r="8597" spans="20:20" s="566" customFormat="1">
      <c r="T8597" s="41"/>
    </row>
    <row r="8598" spans="20:20" s="566" customFormat="1">
      <c r="T8598" s="41"/>
    </row>
    <row r="8599" spans="20:20" s="566" customFormat="1">
      <c r="T8599" s="41"/>
    </row>
    <row r="8600" spans="20:20" s="566" customFormat="1">
      <c r="T8600" s="41"/>
    </row>
    <row r="8601" spans="20:20" s="566" customFormat="1">
      <c r="T8601" s="41"/>
    </row>
    <row r="8602" spans="20:20" s="566" customFormat="1">
      <c r="T8602" s="41"/>
    </row>
    <row r="8603" spans="20:20" s="566" customFormat="1">
      <c r="T8603" s="41"/>
    </row>
    <row r="8604" spans="20:20" s="566" customFormat="1">
      <c r="T8604" s="41"/>
    </row>
    <row r="8605" spans="20:20" s="566" customFormat="1">
      <c r="T8605" s="41"/>
    </row>
    <row r="8606" spans="20:20" s="566" customFormat="1">
      <c r="T8606" s="41"/>
    </row>
    <row r="8607" spans="20:20" s="566" customFormat="1">
      <c r="T8607" s="41"/>
    </row>
    <row r="8608" spans="20:20" s="566" customFormat="1">
      <c r="T8608" s="41"/>
    </row>
    <row r="8609" spans="20:20" s="566" customFormat="1">
      <c r="T8609" s="41"/>
    </row>
    <row r="8610" spans="20:20" s="566" customFormat="1">
      <c r="T8610" s="41"/>
    </row>
    <row r="8611" spans="20:20" s="566" customFormat="1">
      <c r="T8611" s="41"/>
    </row>
    <row r="8612" spans="20:20" s="566" customFormat="1">
      <c r="T8612" s="41"/>
    </row>
    <row r="8613" spans="20:20" s="566" customFormat="1">
      <c r="T8613" s="41"/>
    </row>
    <row r="8614" spans="20:20" s="566" customFormat="1">
      <c r="T8614" s="41"/>
    </row>
    <row r="8615" spans="20:20" s="566" customFormat="1">
      <c r="T8615" s="41"/>
    </row>
    <row r="8616" spans="20:20" s="566" customFormat="1">
      <c r="T8616" s="41"/>
    </row>
    <row r="8617" spans="20:20" s="566" customFormat="1">
      <c r="T8617" s="41"/>
    </row>
    <row r="8618" spans="20:20" s="566" customFormat="1">
      <c r="T8618" s="41"/>
    </row>
    <row r="8619" spans="20:20" s="566" customFormat="1">
      <c r="T8619" s="41"/>
    </row>
    <row r="8620" spans="20:20" s="566" customFormat="1">
      <c r="T8620" s="41"/>
    </row>
    <row r="8621" spans="20:20" s="566" customFormat="1">
      <c r="T8621" s="41"/>
    </row>
    <row r="8622" spans="20:20" s="566" customFormat="1">
      <c r="T8622" s="41"/>
    </row>
    <row r="8623" spans="20:20" s="566" customFormat="1">
      <c r="T8623" s="41"/>
    </row>
    <row r="8624" spans="20:20" s="566" customFormat="1">
      <c r="T8624" s="41"/>
    </row>
    <row r="8625" spans="20:20" s="566" customFormat="1">
      <c r="T8625" s="41"/>
    </row>
    <row r="8626" spans="20:20" s="566" customFormat="1">
      <c r="T8626" s="41"/>
    </row>
    <row r="8627" spans="20:20" s="566" customFormat="1">
      <c r="T8627" s="41"/>
    </row>
    <row r="8628" spans="20:20" s="566" customFormat="1">
      <c r="T8628" s="41"/>
    </row>
    <row r="8629" spans="20:20" s="566" customFormat="1">
      <c r="T8629" s="41"/>
    </row>
    <row r="8630" spans="20:20" s="566" customFormat="1">
      <c r="T8630" s="41"/>
    </row>
    <row r="8631" spans="20:20" s="566" customFormat="1">
      <c r="T8631" s="41"/>
    </row>
    <row r="8632" spans="20:20" s="566" customFormat="1">
      <c r="T8632" s="41"/>
    </row>
    <row r="8633" spans="20:20" s="566" customFormat="1">
      <c r="T8633" s="41"/>
    </row>
    <row r="8634" spans="20:20" s="566" customFormat="1">
      <c r="T8634" s="41"/>
    </row>
    <row r="8635" spans="20:20" s="566" customFormat="1">
      <c r="T8635" s="41"/>
    </row>
    <row r="8636" spans="20:20" s="566" customFormat="1">
      <c r="T8636" s="41"/>
    </row>
    <row r="8637" spans="20:20" s="566" customFormat="1">
      <c r="T8637" s="41"/>
    </row>
    <row r="8638" spans="20:20" s="566" customFormat="1">
      <c r="T8638" s="41"/>
    </row>
    <row r="8639" spans="20:20" s="566" customFormat="1">
      <c r="T8639" s="41"/>
    </row>
    <row r="8640" spans="20:20" s="566" customFormat="1">
      <c r="T8640" s="41"/>
    </row>
    <row r="8641" spans="20:20" s="566" customFormat="1">
      <c r="T8641" s="41"/>
    </row>
    <row r="8642" spans="20:20" s="566" customFormat="1">
      <c r="T8642" s="41"/>
    </row>
    <row r="8643" spans="20:20" s="566" customFormat="1">
      <c r="T8643" s="41"/>
    </row>
    <row r="8644" spans="20:20" s="566" customFormat="1">
      <c r="T8644" s="41"/>
    </row>
    <row r="8645" spans="20:20" s="566" customFormat="1">
      <c r="T8645" s="41"/>
    </row>
    <row r="8646" spans="20:20" s="566" customFormat="1">
      <c r="T8646" s="41"/>
    </row>
    <row r="8647" spans="20:20" s="566" customFormat="1">
      <c r="T8647" s="41"/>
    </row>
    <row r="8648" spans="20:20" s="566" customFormat="1">
      <c r="T8648" s="41"/>
    </row>
    <row r="8649" spans="20:20" s="566" customFormat="1">
      <c r="T8649" s="41"/>
    </row>
    <row r="8650" spans="20:20" s="566" customFormat="1">
      <c r="T8650" s="41"/>
    </row>
    <row r="8651" spans="20:20" s="566" customFormat="1">
      <c r="T8651" s="41"/>
    </row>
    <row r="8652" spans="20:20" s="566" customFormat="1">
      <c r="T8652" s="41"/>
    </row>
    <row r="8653" spans="20:20" s="566" customFormat="1">
      <c r="T8653" s="41"/>
    </row>
    <row r="8654" spans="20:20" s="566" customFormat="1">
      <c r="T8654" s="41"/>
    </row>
    <row r="8655" spans="20:20" s="566" customFormat="1">
      <c r="T8655" s="41"/>
    </row>
    <row r="8656" spans="20:20" s="566" customFormat="1">
      <c r="T8656" s="41"/>
    </row>
    <row r="8657" spans="20:20" s="566" customFormat="1">
      <c r="T8657" s="41"/>
    </row>
    <row r="8658" spans="20:20" s="566" customFormat="1">
      <c r="T8658" s="41"/>
    </row>
    <row r="8659" spans="20:20" s="566" customFormat="1">
      <c r="T8659" s="41"/>
    </row>
    <row r="8660" spans="20:20" s="566" customFormat="1">
      <c r="T8660" s="41"/>
    </row>
    <row r="8661" spans="20:20" s="566" customFormat="1">
      <c r="T8661" s="41"/>
    </row>
    <row r="8662" spans="20:20" s="566" customFormat="1">
      <c r="T8662" s="41"/>
    </row>
    <row r="8663" spans="20:20" s="566" customFormat="1">
      <c r="T8663" s="41"/>
    </row>
    <row r="8664" spans="20:20" s="566" customFormat="1">
      <c r="T8664" s="41"/>
    </row>
    <row r="8665" spans="20:20" s="566" customFormat="1">
      <c r="T8665" s="41"/>
    </row>
    <row r="8666" spans="20:20" s="566" customFormat="1">
      <c r="T8666" s="41"/>
    </row>
    <row r="8667" spans="20:20" s="566" customFormat="1">
      <c r="T8667" s="41"/>
    </row>
    <row r="8668" spans="20:20" s="566" customFormat="1">
      <c r="T8668" s="41"/>
    </row>
    <row r="8669" spans="20:20" s="566" customFormat="1">
      <c r="T8669" s="41"/>
    </row>
    <row r="8670" spans="20:20" s="566" customFormat="1">
      <c r="T8670" s="41"/>
    </row>
    <row r="8671" spans="20:20" s="566" customFormat="1">
      <c r="T8671" s="41"/>
    </row>
    <row r="8672" spans="20:20" s="566" customFormat="1">
      <c r="T8672" s="41"/>
    </row>
    <row r="8673" spans="20:20" s="566" customFormat="1">
      <c r="T8673" s="41"/>
    </row>
    <row r="8674" spans="20:20" s="566" customFormat="1">
      <c r="T8674" s="41"/>
    </row>
    <row r="8675" spans="20:20" s="566" customFormat="1">
      <c r="T8675" s="41"/>
    </row>
    <row r="8676" spans="20:20" s="566" customFormat="1">
      <c r="T8676" s="41"/>
    </row>
    <row r="8677" spans="20:20" s="566" customFormat="1">
      <c r="T8677" s="41"/>
    </row>
    <row r="8678" spans="20:20" s="566" customFormat="1">
      <c r="T8678" s="41"/>
    </row>
    <row r="8679" spans="20:20" s="566" customFormat="1">
      <c r="T8679" s="41"/>
    </row>
    <row r="8680" spans="20:20" s="566" customFormat="1">
      <c r="T8680" s="41"/>
    </row>
    <row r="8681" spans="20:20" s="566" customFormat="1">
      <c r="T8681" s="41"/>
    </row>
    <row r="8682" spans="20:20" s="566" customFormat="1">
      <c r="T8682" s="41"/>
    </row>
    <row r="8683" spans="20:20" s="566" customFormat="1">
      <c r="T8683" s="41"/>
    </row>
    <row r="8684" spans="20:20" s="566" customFormat="1">
      <c r="T8684" s="41"/>
    </row>
    <row r="8685" spans="20:20" s="566" customFormat="1">
      <c r="T8685" s="41"/>
    </row>
    <row r="8686" spans="20:20" s="566" customFormat="1">
      <c r="T8686" s="41"/>
    </row>
    <row r="8687" spans="20:20" s="566" customFormat="1">
      <c r="T8687" s="41"/>
    </row>
    <row r="8688" spans="20:20" s="566" customFormat="1">
      <c r="T8688" s="41"/>
    </row>
    <row r="8689" spans="20:20" s="566" customFormat="1">
      <c r="T8689" s="41"/>
    </row>
    <row r="8690" spans="20:20" s="566" customFormat="1">
      <c r="T8690" s="41"/>
    </row>
    <row r="8691" spans="20:20" s="566" customFormat="1">
      <c r="T8691" s="41"/>
    </row>
    <row r="8692" spans="20:20" s="566" customFormat="1">
      <c r="T8692" s="41"/>
    </row>
    <row r="8693" spans="20:20" s="566" customFormat="1">
      <c r="T8693" s="41"/>
    </row>
    <row r="8694" spans="20:20" s="566" customFormat="1">
      <c r="T8694" s="41"/>
    </row>
    <row r="8695" spans="20:20" s="566" customFormat="1">
      <c r="T8695" s="41"/>
    </row>
    <row r="8696" spans="20:20" s="566" customFormat="1">
      <c r="T8696" s="41"/>
    </row>
    <row r="8697" spans="20:20" s="566" customFormat="1">
      <c r="T8697" s="41"/>
    </row>
    <row r="8698" spans="20:20" s="566" customFormat="1">
      <c r="T8698" s="41"/>
    </row>
    <row r="8699" spans="20:20" s="566" customFormat="1">
      <c r="T8699" s="41"/>
    </row>
    <row r="8700" spans="20:20" s="566" customFormat="1">
      <c r="T8700" s="41"/>
    </row>
    <row r="8701" spans="20:20" s="566" customFormat="1">
      <c r="T8701" s="41"/>
    </row>
    <row r="8702" spans="20:20" s="566" customFormat="1">
      <c r="T8702" s="41"/>
    </row>
    <row r="8703" spans="20:20" s="566" customFormat="1">
      <c r="T8703" s="41"/>
    </row>
    <row r="8704" spans="20:20" s="566" customFormat="1">
      <c r="T8704" s="41"/>
    </row>
    <row r="8705" spans="20:20" s="566" customFormat="1">
      <c r="T8705" s="41"/>
    </row>
    <row r="8706" spans="20:20" s="566" customFormat="1">
      <c r="T8706" s="41"/>
    </row>
    <row r="8707" spans="20:20" s="566" customFormat="1">
      <c r="T8707" s="41"/>
    </row>
    <row r="8708" spans="20:20" s="566" customFormat="1">
      <c r="T8708" s="41"/>
    </row>
    <row r="8709" spans="20:20" s="566" customFormat="1">
      <c r="T8709" s="41"/>
    </row>
    <row r="8710" spans="20:20" s="566" customFormat="1">
      <c r="T8710" s="41"/>
    </row>
    <row r="8711" spans="20:20" s="566" customFormat="1">
      <c r="T8711" s="41"/>
    </row>
    <row r="8712" spans="20:20" s="566" customFormat="1">
      <c r="T8712" s="41"/>
    </row>
    <row r="8713" spans="20:20" s="566" customFormat="1">
      <c r="T8713" s="41"/>
    </row>
    <row r="8714" spans="20:20" s="566" customFormat="1">
      <c r="T8714" s="41"/>
    </row>
    <row r="8715" spans="20:20" s="566" customFormat="1">
      <c r="T8715" s="41"/>
    </row>
    <row r="8716" spans="20:20" s="566" customFormat="1">
      <c r="T8716" s="41"/>
    </row>
    <row r="8717" spans="20:20" s="566" customFormat="1">
      <c r="T8717" s="41"/>
    </row>
    <row r="8718" spans="20:20" s="566" customFormat="1">
      <c r="T8718" s="41"/>
    </row>
    <row r="8719" spans="20:20" s="566" customFormat="1">
      <c r="T8719" s="41"/>
    </row>
    <row r="8720" spans="20:20" s="566" customFormat="1">
      <c r="T8720" s="41"/>
    </row>
    <row r="8721" spans="20:20" s="566" customFormat="1">
      <c r="T8721" s="41"/>
    </row>
    <row r="8722" spans="20:20" s="566" customFormat="1">
      <c r="T8722" s="41"/>
    </row>
    <row r="8723" spans="20:20" s="566" customFormat="1">
      <c r="T8723" s="41"/>
    </row>
    <row r="8724" spans="20:20" s="566" customFormat="1">
      <c r="T8724" s="41"/>
    </row>
    <row r="8725" spans="20:20" s="566" customFormat="1">
      <c r="T8725" s="41"/>
    </row>
    <row r="8726" spans="20:20" s="566" customFormat="1">
      <c r="T8726" s="41"/>
    </row>
    <row r="8727" spans="20:20" s="566" customFormat="1">
      <c r="T8727" s="41"/>
    </row>
    <row r="8728" spans="20:20" s="566" customFormat="1">
      <c r="T8728" s="41"/>
    </row>
    <row r="8729" spans="20:20" s="566" customFormat="1">
      <c r="T8729" s="41"/>
    </row>
    <row r="8730" spans="20:20" s="566" customFormat="1">
      <c r="T8730" s="41"/>
    </row>
    <row r="8731" spans="20:20" s="566" customFormat="1">
      <c r="T8731" s="41"/>
    </row>
    <row r="8732" spans="20:20" s="566" customFormat="1">
      <c r="T8732" s="41"/>
    </row>
    <row r="8733" spans="20:20" s="566" customFormat="1">
      <c r="T8733" s="41"/>
    </row>
    <row r="8734" spans="20:20" s="566" customFormat="1">
      <c r="T8734" s="41"/>
    </row>
    <row r="8735" spans="20:20" s="566" customFormat="1">
      <c r="T8735" s="41"/>
    </row>
    <row r="8736" spans="20:20" s="566" customFormat="1">
      <c r="T8736" s="41"/>
    </row>
    <row r="8737" spans="20:20" s="566" customFormat="1">
      <c r="T8737" s="41"/>
    </row>
    <row r="8738" spans="20:20" s="566" customFormat="1">
      <c r="T8738" s="41"/>
    </row>
    <row r="8739" spans="20:20" s="566" customFormat="1">
      <c r="T8739" s="41"/>
    </row>
    <row r="8740" spans="20:20" s="566" customFormat="1">
      <c r="T8740" s="41"/>
    </row>
    <row r="8741" spans="20:20" s="566" customFormat="1">
      <c r="T8741" s="41"/>
    </row>
    <row r="8742" spans="20:20" s="566" customFormat="1">
      <c r="T8742" s="41"/>
    </row>
    <row r="8743" spans="20:20" s="566" customFormat="1">
      <c r="T8743" s="41"/>
    </row>
    <row r="8744" spans="20:20" s="566" customFormat="1">
      <c r="T8744" s="41"/>
    </row>
    <row r="8745" spans="20:20" s="566" customFormat="1">
      <c r="T8745" s="41"/>
    </row>
    <row r="8746" spans="20:20" s="566" customFormat="1">
      <c r="T8746" s="41"/>
    </row>
    <row r="8747" spans="20:20" s="566" customFormat="1">
      <c r="T8747" s="41"/>
    </row>
    <row r="8748" spans="20:20" s="566" customFormat="1">
      <c r="T8748" s="41"/>
    </row>
    <row r="8749" spans="20:20" s="566" customFormat="1">
      <c r="T8749" s="41"/>
    </row>
    <row r="8750" spans="20:20" s="566" customFormat="1">
      <c r="T8750" s="41"/>
    </row>
    <row r="8751" spans="20:20" s="566" customFormat="1">
      <c r="T8751" s="41"/>
    </row>
    <row r="8752" spans="20:20" s="566" customFormat="1">
      <c r="T8752" s="41"/>
    </row>
    <row r="8753" spans="20:20" s="566" customFormat="1">
      <c r="T8753" s="41"/>
    </row>
    <row r="8754" spans="20:20" s="566" customFormat="1">
      <c r="T8754" s="41"/>
    </row>
    <row r="8755" spans="20:20" s="566" customFormat="1">
      <c r="T8755" s="41"/>
    </row>
    <row r="8756" spans="20:20" s="566" customFormat="1">
      <c r="T8756" s="41"/>
    </row>
    <row r="8757" spans="20:20" s="566" customFormat="1">
      <c r="T8757" s="41"/>
    </row>
    <row r="8758" spans="20:20" s="566" customFormat="1">
      <c r="T8758" s="41"/>
    </row>
    <row r="8759" spans="20:20" s="566" customFormat="1">
      <c r="T8759" s="41"/>
    </row>
    <row r="8760" spans="20:20" s="566" customFormat="1">
      <c r="T8760" s="41"/>
    </row>
    <row r="8761" spans="20:20" s="566" customFormat="1">
      <c r="T8761" s="41"/>
    </row>
    <row r="8762" spans="20:20" s="566" customFormat="1">
      <c r="T8762" s="41"/>
    </row>
    <row r="8763" spans="20:20" s="566" customFormat="1">
      <c r="T8763" s="41"/>
    </row>
    <row r="8764" spans="20:20" s="566" customFormat="1">
      <c r="T8764" s="41"/>
    </row>
    <row r="8765" spans="20:20" s="566" customFormat="1">
      <c r="T8765" s="41"/>
    </row>
    <row r="8766" spans="20:20" s="566" customFormat="1">
      <c r="T8766" s="41"/>
    </row>
    <row r="8767" spans="20:20" s="566" customFormat="1">
      <c r="T8767" s="41"/>
    </row>
    <row r="8768" spans="20:20" s="566" customFormat="1">
      <c r="T8768" s="41"/>
    </row>
    <row r="8769" spans="20:20" s="566" customFormat="1">
      <c r="T8769" s="41"/>
    </row>
    <row r="8770" spans="20:20" s="566" customFormat="1">
      <c r="T8770" s="41"/>
    </row>
    <row r="8771" spans="20:20" s="566" customFormat="1">
      <c r="T8771" s="41"/>
    </row>
    <row r="8772" spans="20:20" s="566" customFormat="1">
      <c r="T8772" s="41"/>
    </row>
    <row r="8773" spans="20:20" s="566" customFormat="1">
      <c r="T8773" s="41"/>
    </row>
    <row r="8774" spans="20:20" s="566" customFormat="1">
      <c r="T8774" s="41"/>
    </row>
    <row r="8775" spans="20:20" s="566" customFormat="1">
      <c r="T8775" s="41"/>
    </row>
    <row r="8776" spans="20:20" s="566" customFormat="1">
      <c r="T8776" s="41"/>
    </row>
    <row r="8777" spans="20:20" s="566" customFormat="1">
      <c r="T8777" s="41"/>
    </row>
    <row r="8778" spans="20:20" s="566" customFormat="1">
      <c r="T8778" s="41"/>
    </row>
    <row r="8779" spans="20:20" s="566" customFormat="1">
      <c r="T8779" s="41"/>
    </row>
    <row r="8780" spans="20:20" s="566" customFormat="1">
      <c r="T8780" s="41"/>
    </row>
    <row r="8781" spans="20:20" s="566" customFormat="1">
      <c r="T8781" s="41"/>
    </row>
    <row r="8782" spans="20:20" s="566" customFormat="1">
      <c r="T8782" s="41"/>
    </row>
    <row r="8783" spans="20:20" s="566" customFormat="1">
      <c r="T8783" s="41"/>
    </row>
    <row r="8784" spans="20:20" s="566" customFormat="1">
      <c r="T8784" s="41"/>
    </row>
    <row r="8785" spans="20:20" s="566" customFormat="1">
      <c r="T8785" s="41"/>
    </row>
    <row r="8786" spans="20:20" s="566" customFormat="1">
      <c r="T8786" s="41"/>
    </row>
    <row r="8787" spans="20:20" s="566" customFormat="1">
      <c r="T8787" s="41"/>
    </row>
    <row r="8788" spans="20:20" s="566" customFormat="1">
      <c r="T8788" s="41"/>
    </row>
    <row r="8789" spans="20:20" s="566" customFormat="1">
      <c r="T8789" s="41"/>
    </row>
    <row r="8790" spans="20:20" s="566" customFormat="1">
      <c r="T8790" s="41"/>
    </row>
    <row r="8791" spans="20:20" s="566" customFormat="1">
      <c r="T8791" s="41"/>
    </row>
    <row r="8792" spans="20:20" s="566" customFormat="1">
      <c r="T8792" s="41"/>
    </row>
    <row r="8793" spans="20:20" s="566" customFormat="1">
      <c r="T8793" s="41"/>
    </row>
    <row r="8794" spans="20:20" s="566" customFormat="1">
      <c r="T8794" s="41"/>
    </row>
    <row r="8795" spans="20:20" s="566" customFormat="1">
      <c r="T8795" s="41"/>
    </row>
    <row r="8796" spans="20:20" s="566" customFormat="1">
      <c r="T8796" s="41"/>
    </row>
    <row r="8797" spans="20:20" s="566" customFormat="1">
      <c r="T8797" s="41"/>
    </row>
    <row r="8798" spans="20:20" s="566" customFormat="1">
      <c r="T8798" s="41"/>
    </row>
    <row r="8799" spans="20:20" s="566" customFormat="1">
      <c r="T8799" s="41"/>
    </row>
    <row r="8800" spans="20:20" s="566" customFormat="1">
      <c r="T8800" s="41"/>
    </row>
    <row r="8801" spans="20:20" s="566" customFormat="1">
      <c r="T8801" s="41"/>
    </row>
    <row r="8802" spans="20:20" s="566" customFormat="1">
      <c r="T8802" s="41"/>
    </row>
    <row r="8803" spans="20:20" s="566" customFormat="1">
      <c r="T8803" s="41"/>
    </row>
    <row r="8804" spans="20:20" s="566" customFormat="1">
      <c r="T8804" s="41"/>
    </row>
    <row r="8805" spans="20:20" s="566" customFormat="1">
      <c r="T8805" s="41"/>
    </row>
    <row r="8806" spans="20:20" s="566" customFormat="1">
      <c r="T8806" s="41"/>
    </row>
    <row r="8807" spans="20:20" s="566" customFormat="1">
      <c r="T8807" s="41"/>
    </row>
    <row r="8808" spans="20:20" s="566" customFormat="1">
      <c r="T8808" s="41"/>
    </row>
    <row r="8809" spans="20:20" s="566" customFormat="1">
      <c r="T8809" s="41"/>
    </row>
    <row r="8810" spans="20:20" s="566" customFormat="1">
      <c r="T8810" s="41"/>
    </row>
    <row r="8811" spans="20:20" s="566" customFormat="1">
      <c r="T8811" s="41"/>
    </row>
    <row r="8812" spans="20:20" s="566" customFormat="1">
      <c r="T8812" s="41"/>
    </row>
    <row r="8813" spans="20:20" s="566" customFormat="1">
      <c r="T8813" s="41"/>
    </row>
    <row r="8814" spans="20:20" s="566" customFormat="1">
      <c r="T8814" s="41"/>
    </row>
    <row r="8815" spans="20:20" s="566" customFormat="1">
      <c r="T8815" s="41"/>
    </row>
    <row r="8816" spans="20:20" s="566" customFormat="1">
      <c r="T8816" s="41"/>
    </row>
    <row r="8817" spans="20:20" s="566" customFormat="1">
      <c r="T8817" s="41"/>
    </row>
    <row r="8818" spans="20:20" s="566" customFormat="1">
      <c r="T8818" s="41"/>
    </row>
    <row r="8819" spans="20:20" s="566" customFormat="1">
      <c r="T8819" s="41"/>
    </row>
    <row r="8820" spans="20:20" s="566" customFormat="1">
      <c r="T8820" s="41"/>
    </row>
    <row r="8821" spans="20:20" s="566" customFormat="1">
      <c r="T8821" s="41"/>
    </row>
    <row r="8822" spans="20:20" s="566" customFormat="1">
      <c r="T8822" s="41"/>
    </row>
    <row r="8823" spans="20:20" s="566" customFormat="1">
      <c r="T8823" s="41"/>
    </row>
    <row r="8824" spans="20:20" s="566" customFormat="1">
      <c r="T8824" s="41"/>
    </row>
    <row r="8825" spans="20:20" s="566" customFormat="1">
      <c r="T8825" s="41"/>
    </row>
    <row r="8826" spans="20:20" s="566" customFormat="1">
      <c r="T8826" s="41"/>
    </row>
    <row r="8827" spans="20:20" s="566" customFormat="1">
      <c r="T8827" s="41"/>
    </row>
    <row r="8828" spans="20:20" s="566" customFormat="1">
      <c r="T8828" s="41"/>
    </row>
    <row r="8829" spans="20:20" s="566" customFormat="1">
      <c r="T8829" s="41"/>
    </row>
    <row r="8830" spans="20:20" s="566" customFormat="1">
      <c r="T8830" s="41"/>
    </row>
    <row r="8831" spans="20:20" s="566" customFormat="1">
      <c r="T8831" s="41"/>
    </row>
    <row r="8832" spans="20:20" s="566" customFormat="1">
      <c r="T8832" s="41"/>
    </row>
    <row r="8833" spans="20:20" s="566" customFormat="1">
      <c r="T8833" s="41"/>
    </row>
    <row r="8834" spans="20:20" s="566" customFormat="1">
      <c r="T8834" s="41"/>
    </row>
    <row r="8835" spans="20:20" s="566" customFormat="1">
      <c r="T8835" s="41"/>
    </row>
    <row r="8836" spans="20:20" s="566" customFormat="1">
      <c r="T8836" s="41"/>
    </row>
    <row r="8837" spans="20:20" s="566" customFormat="1">
      <c r="T8837" s="41"/>
    </row>
    <row r="8838" spans="20:20" s="566" customFormat="1">
      <c r="T8838" s="41"/>
    </row>
    <row r="8839" spans="20:20" s="566" customFormat="1">
      <c r="T8839" s="41"/>
    </row>
    <row r="8840" spans="20:20" s="566" customFormat="1">
      <c r="T8840" s="41"/>
    </row>
    <row r="8841" spans="20:20" s="566" customFormat="1">
      <c r="T8841" s="41"/>
    </row>
    <row r="8842" spans="20:20" s="566" customFormat="1">
      <c r="T8842" s="41"/>
    </row>
    <row r="8843" spans="20:20" s="566" customFormat="1">
      <c r="T8843" s="41"/>
    </row>
    <row r="8844" spans="20:20" s="566" customFormat="1">
      <c r="T8844" s="41"/>
    </row>
    <row r="8845" spans="20:20" s="566" customFormat="1">
      <c r="T8845" s="41"/>
    </row>
    <row r="8846" spans="20:20" s="566" customFormat="1">
      <c r="T8846" s="41"/>
    </row>
    <row r="8847" spans="20:20" s="566" customFormat="1">
      <c r="T8847" s="41"/>
    </row>
    <row r="8848" spans="20:20" s="566" customFormat="1">
      <c r="T8848" s="41"/>
    </row>
    <row r="8849" spans="20:20" s="566" customFormat="1">
      <c r="T8849" s="41"/>
    </row>
    <row r="8850" spans="20:20" s="566" customFormat="1">
      <c r="T8850" s="41"/>
    </row>
    <row r="8851" spans="20:20" s="566" customFormat="1">
      <c r="T8851" s="41"/>
    </row>
    <row r="8852" spans="20:20" s="566" customFormat="1">
      <c r="T8852" s="41"/>
    </row>
    <row r="8853" spans="20:20" s="566" customFormat="1">
      <c r="T8853" s="41"/>
    </row>
    <row r="8854" spans="20:20" s="566" customFormat="1">
      <c r="T8854" s="41"/>
    </row>
    <row r="8855" spans="20:20" s="566" customFormat="1">
      <c r="T8855" s="41"/>
    </row>
    <row r="8856" spans="20:20" s="566" customFormat="1">
      <c r="T8856" s="41"/>
    </row>
    <row r="8857" spans="20:20" s="566" customFormat="1">
      <c r="T8857" s="41"/>
    </row>
    <row r="8858" spans="20:20" s="566" customFormat="1">
      <c r="T8858" s="41"/>
    </row>
    <row r="8859" spans="20:20" s="566" customFormat="1">
      <c r="T8859" s="41"/>
    </row>
    <row r="8860" spans="20:20" s="566" customFormat="1">
      <c r="T8860" s="41"/>
    </row>
    <row r="8861" spans="20:20" s="566" customFormat="1">
      <c r="T8861" s="41"/>
    </row>
    <row r="8862" spans="20:20" s="566" customFormat="1">
      <c r="T8862" s="41"/>
    </row>
    <row r="8863" spans="20:20" s="566" customFormat="1">
      <c r="T8863" s="41"/>
    </row>
    <row r="8864" spans="20:20" s="566" customFormat="1">
      <c r="T8864" s="41"/>
    </row>
    <row r="8865" spans="20:20" s="566" customFormat="1">
      <c r="T8865" s="41"/>
    </row>
    <row r="8866" spans="20:20" s="566" customFormat="1">
      <c r="T8866" s="41"/>
    </row>
    <row r="8867" spans="20:20" s="566" customFormat="1">
      <c r="T8867" s="41"/>
    </row>
    <row r="8868" spans="20:20" s="566" customFormat="1">
      <c r="T8868" s="41"/>
    </row>
    <row r="8869" spans="20:20" s="566" customFormat="1">
      <c r="T8869" s="41"/>
    </row>
    <row r="8870" spans="20:20" s="566" customFormat="1">
      <c r="T8870" s="41"/>
    </row>
    <row r="8871" spans="20:20" s="566" customFormat="1">
      <c r="T8871" s="41"/>
    </row>
    <row r="8872" spans="20:20" s="566" customFormat="1">
      <c r="T8872" s="41"/>
    </row>
    <row r="8873" spans="20:20" s="566" customFormat="1">
      <c r="T8873" s="41"/>
    </row>
    <row r="8874" spans="20:20" s="566" customFormat="1">
      <c r="T8874" s="41"/>
    </row>
    <row r="8875" spans="20:20" s="566" customFormat="1">
      <c r="T8875" s="41"/>
    </row>
    <row r="8876" spans="20:20" s="566" customFormat="1">
      <c r="T8876" s="41"/>
    </row>
    <row r="8877" spans="20:20" s="566" customFormat="1">
      <c r="T8877" s="41"/>
    </row>
    <row r="8878" spans="20:20" s="566" customFormat="1">
      <c r="T8878" s="41"/>
    </row>
    <row r="8879" spans="20:20" s="566" customFormat="1">
      <c r="T8879" s="41"/>
    </row>
    <row r="8880" spans="20:20" s="566" customFormat="1">
      <c r="T8880" s="41"/>
    </row>
    <row r="8881" spans="20:20" s="566" customFormat="1">
      <c r="T8881" s="41"/>
    </row>
    <row r="8882" spans="20:20" s="566" customFormat="1">
      <c r="T8882" s="41"/>
    </row>
    <row r="8883" spans="20:20" s="566" customFormat="1">
      <c r="T8883" s="41"/>
    </row>
    <row r="8884" spans="20:20" s="566" customFormat="1">
      <c r="T8884" s="41"/>
    </row>
    <row r="8885" spans="20:20" s="566" customFormat="1">
      <c r="T8885" s="41"/>
    </row>
    <row r="8886" spans="20:20" s="566" customFormat="1">
      <c r="T8886" s="41"/>
    </row>
    <row r="8887" spans="20:20" s="566" customFormat="1">
      <c r="T8887" s="41"/>
    </row>
    <row r="8888" spans="20:20" s="566" customFormat="1">
      <c r="T8888" s="41"/>
    </row>
    <row r="8889" spans="20:20" s="566" customFormat="1">
      <c r="T8889" s="41"/>
    </row>
    <row r="8890" spans="20:20" s="566" customFormat="1">
      <c r="T8890" s="41"/>
    </row>
    <row r="8891" spans="20:20" s="566" customFormat="1">
      <c r="T8891" s="41"/>
    </row>
    <row r="8892" spans="20:20" s="566" customFormat="1">
      <c r="T8892" s="41"/>
    </row>
    <row r="8893" spans="20:20" s="566" customFormat="1">
      <c r="T8893" s="41"/>
    </row>
    <row r="8894" spans="20:20" s="566" customFormat="1">
      <c r="T8894" s="41"/>
    </row>
    <row r="8895" spans="20:20" s="566" customFormat="1">
      <c r="T8895" s="41"/>
    </row>
    <row r="8896" spans="20:20" s="566" customFormat="1">
      <c r="T8896" s="41"/>
    </row>
    <row r="8897" spans="20:20" s="566" customFormat="1">
      <c r="T8897" s="41"/>
    </row>
    <row r="8898" spans="20:20" s="566" customFormat="1">
      <c r="T8898" s="41"/>
    </row>
    <row r="8899" spans="20:20" s="566" customFormat="1">
      <c r="T8899" s="41"/>
    </row>
    <row r="8900" spans="20:20" s="566" customFormat="1">
      <c r="T8900" s="41"/>
    </row>
    <row r="8901" spans="20:20" s="566" customFormat="1">
      <c r="T8901" s="41"/>
    </row>
    <row r="8902" spans="20:20" s="566" customFormat="1">
      <c r="T8902" s="41"/>
    </row>
    <row r="8903" spans="20:20" s="566" customFormat="1">
      <c r="T8903" s="41"/>
    </row>
    <row r="8904" spans="20:20" s="566" customFormat="1">
      <c r="T8904" s="41"/>
    </row>
    <row r="8905" spans="20:20" s="566" customFormat="1">
      <c r="T8905" s="41"/>
    </row>
    <row r="8906" spans="20:20" s="566" customFormat="1">
      <c r="T8906" s="41"/>
    </row>
    <row r="8907" spans="20:20" s="566" customFormat="1">
      <c r="T8907" s="41"/>
    </row>
    <row r="8908" spans="20:20" s="566" customFormat="1">
      <c r="T8908" s="41"/>
    </row>
    <row r="8909" spans="20:20" s="566" customFormat="1">
      <c r="T8909" s="41"/>
    </row>
    <row r="8910" spans="20:20" s="566" customFormat="1">
      <c r="T8910" s="41"/>
    </row>
    <row r="8911" spans="20:20" s="566" customFormat="1">
      <c r="T8911" s="41"/>
    </row>
    <row r="8912" spans="20:20" s="566" customFormat="1">
      <c r="T8912" s="41"/>
    </row>
    <row r="8913" spans="20:20" s="566" customFormat="1">
      <c r="T8913" s="41"/>
    </row>
    <row r="8914" spans="20:20" s="566" customFormat="1">
      <c r="T8914" s="41"/>
    </row>
    <row r="8915" spans="20:20" s="566" customFormat="1">
      <c r="T8915" s="41"/>
    </row>
    <row r="8916" spans="20:20" s="566" customFormat="1">
      <c r="T8916" s="41"/>
    </row>
    <row r="8917" spans="20:20" s="566" customFormat="1">
      <c r="T8917" s="41"/>
    </row>
    <row r="8918" spans="20:20" s="566" customFormat="1">
      <c r="T8918" s="41"/>
    </row>
    <row r="8919" spans="20:20" s="566" customFormat="1">
      <c r="T8919" s="41"/>
    </row>
    <row r="8920" spans="20:20" s="566" customFormat="1">
      <c r="T8920" s="41"/>
    </row>
    <row r="8921" spans="20:20" s="566" customFormat="1">
      <c r="T8921" s="41"/>
    </row>
    <row r="8922" spans="20:20" s="566" customFormat="1">
      <c r="T8922" s="41"/>
    </row>
    <row r="8923" spans="20:20" s="566" customFormat="1">
      <c r="T8923" s="41"/>
    </row>
    <row r="8924" spans="20:20" s="566" customFormat="1">
      <c r="T8924" s="41"/>
    </row>
    <row r="8925" spans="20:20" s="566" customFormat="1">
      <c r="T8925" s="41"/>
    </row>
    <row r="8926" spans="20:20" s="566" customFormat="1">
      <c r="T8926" s="41"/>
    </row>
    <row r="8927" spans="20:20" s="566" customFormat="1">
      <c r="T8927" s="41"/>
    </row>
    <row r="8928" spans="20:20" s="566" customFormat="1">
      <c r="T8928" s="41"/>
    </row>
    <row r="8929" spans="20:20" s="566" customFormat="1">
      <c r="T8929" s="41"/>
    </row>
    <row r="8930" spans="20:20" s="566" customFormat="1">
      <c r="T8930" s="41"/>
    </row>
    <row r="8931" spans="20:20" s="566" customFormat="1">
      <c r="T8931" s="41"/>
    </row>
    <row r="8932" spans="20:20" s="566" customFormat="1">
      <c r="T8932" s="41"/>
    </row>
    <row r="8933" spans="20:20" s="566" customFormat="1">
      <c r="T8933" s="41"/>
    </row>
    <row r="8934" spans="20:20" s="566" customFormat="1">
      <c r="T8934" s="41"/>
    </row>
    <row r="8935" spans="20:20" s="566" customFormat="1">
      <c r="T8935" s="41"/>
    </row>
    <row r="8936" spans="20:20" s="566" customFormat="1">
      <c r="T8936" s="41"/>
    </row>
    <row r="8937" spans="20:20" s="566" customFormat="1">
      <c r="T8937" s="41"/>
    </row>
    <row r="8938" spans="20:20" s="566" customFormat="1">
      <c r="T8938" s="41"/>
    </row>
    <row r="8939" spans="20:20" s="566" customFormat="1">
      <c r="T8939" s="41"/>
    </row>
    <row r="8940" spans="20:20" s="566" customFormat="1">
      <c r="T8940" s="41"/>
    </row>
    <row r="8941" spans="20:20" s="566" customFormat="1">
      <c r="T8941" s="41"/>
    </row>
    <row r="8942" spans="20:20" s="566" customFormat="1">
      <c r="T8942" s="41"/>
    </row>
    <row r="8943" spans="20:20" s="566" customFormat="1">
      <c r="T8943" s="41"/>
    </row>
    <row r="8944" spans="20:20" s="566" customFormat="1">
      <c r="T8944" s="41"/>
    </row>
    <row r="8945" spans="20:20" s="566" customFormat="1">
      <c r="T8945" s="41"/>
    </row>
    <row r="8946" spans="20:20" s="566" customFormat="1">
      <c r="T8946" s="41"/>
    </row>
    <row r="8947" spans="20:20" s="566" customFormat="1">
      <c r="T8947" s="41"/>
    </row>
    <row r="8948" spans="20:20" s="566" customFormat="1">
      <c r="T8948" s="41"/>
    </row>
    <row r="8949" spans="20:20" s="566" customFormat="1">
      <c r="T8949" s="41"/>
    </row>
    <row r="8950" spans="20:20" s="566" customFormat="1">
      <c r="T8950" s="41"/>
    </row>
    <row r="8951" spans="20:20" s="566" customFormat="1">
      <c r="T8951" s="41"/>
    </row>
    <row r="8952" spans="20:20" s="566" customFormat="1">
      <c r="T8952" s="41"/>
    </row>
    <row r="8953" spans="20:20" s="566" customFormat="1">
      <c r="T8953" s="41"/>
    </row>
    <row r="8954" spans="20:20" s="566" customFormat="1">
      <c r="T8954" s="41"/>
    </row>
    <row r="8955" spans="20:20" s="566" customFormat="1">
      <c r="T8955" s="41"/>
    </row>
    <row r="8956" spans="20:20" s="566" customFormat="1">
      <c r="T8956" s="41"/>
    </row>
    <row r="8957" spans="20:20" s="566" customFormat="1">
      <c r="T8957" s="41"/>
    </row>
    <row r="8958" spans="20:20" s="566" customFormat="1">
      <c r="T8958" s="41"/>
    </row>
    <row r="8959" spans="20:20" s="566" customFormat="1">
      <c r="T8959" s="41"/>
    </row>
    <row r="8960" spans="20:20" s="566" customFormat="1">
      <c r="T8960" s="41"/>
    </row>
    <row r="8961" spans="20:20" s="566" customFormat="1">
      <c r="T8961" s="41"/>
    </row>
    <row r="8962" spans="20:20" s="566" customFormat="1">
      <c r="T8962" s="41"/>
    </row>
    <row r="8963" spans="20:20" s="566" customFormat="1">
      <c r="T8963" s="41"/>
    </row>
    <row r="8964" spans="20:20" s="566" customFormat="1">
      <c r="T8964" s="41"/>
    </row>
    <row r="8965" spans="20:20" s="566" customFormat="1">
      <c r="T8965" s="41"/>
    </row>
    <row r="8966" spans="20:20" s="566" customFormat="1">
      <c r="T8966" s="41"/>
    </row>
    <row r="8967" spans="20:20" s="566" customFormat="1">
      <c r="T8967" s="41"/>
    </row>
    <row r="8968" spans="20:20" s="566" customFormat="1">
      <c r="T8968" s="41"/>
    </row>
    <row r="8969" spans="20:20" s="566" customFormat="1">
      <c r="T8969" s="41"/>
    </row>
    <row r="8970" spans="20:20" s="566" customFormat="1">
      <c r="T8970" s="41"/>
    </row>
    <row r="8971" spans="20:20" s="566" customFormat="1">
      <c r="T8971" s="41"/>
    </row>
    <row r="8972" spans="20:20" s="566" customFormat="1">
      <c r="T8972" s="41"/>
    </row>
    <row r="8973" spans="20:20" s="566" customFormat="1">
      <c r="T8973" s="41"/>
    </row>
    <row r="8974" spans="20:20" s="566" customFormat="1">
      <c r="T8974" s="41"/>
    </row>
    <row r="8975" spans="20:20" s="566" customFormat="1">
      <c r="T8975" s="41"/>
    </row>
    <row r="8976" spans="20:20" s="566" customFormat="1">
      <c r="T8976" s="41"/>
    </row>
    <row r="8977" spans="20:20" s="566" customFormat="1">
      <c r="T8977" s="41"/>
    </row>
    <row r="8978" spans="20:20" s="566" customFormat="1">
      <c r="T8978" s="41"/>
    </row>
    <row r="8979" spans="20:20" s="566" customFormat="1">
      <c r="T8979" s="41"/>
    </row>
    <row r="8980" spans="20:20" s="566" customFormat="1">
      <c r="T8980" s="41"/>
    </row>
    <row r="8981" spans="20:20" s="566" customFormat="1">
      <c r="T8981" s="41"/>
    </row>
    <row r="8982" spans="20:20" s="566" customFormat="1">
      <c r="T8982" s="41"/>
    </row>
    <row r="8983" spans="20:20" s="566" customFormat="1">
      <c r="T8983" s="41"/>
    </row>
    <row r="8984" spans="20:20" s="566" customFormat="1">
      <c r="T8984" s="41"/>
    </row>
    <row r="8985" spans="20:20" s="566" customFormat="1">
      <c r="T8985" s="41"/>
    </row>
    <row r="8986" spans="20:20" s="566" customFormat="1">
      <c r="T8986" s="41"/>
    </row>
    <row r="8987" spans="20:20" s="566" customFormat="1">
      <c r="T8987" s="41"/>
    </row>
    <row r="8988" spans="20:20" s="566" customFormat="1">
      <c r="T8988" s="41"/>
    </row>
    <row r="8989" spans="20:20" s="566" customFormat="1">
      <c r="T8989" s="41"/>
    </row>
    <row r="8990" spans="20:20" s="566" customFormat="1">
      <c r="T8990" s="41"/>
    </row>
    <row r="8991" spans="20:20" s="566" customFormat="1">
      <c r="T8991" s="41"/>
    </row>
    <row r="8992" spans="20:20" s="566" customFormat="1">
      <c r="T8992" s="41"/>
    </row>
    <row r="8993" spans="20:20" s="566" customFormat="1">
      <c r="T8993" s="41"/>
    </row>
    <row r="8994" spans="20:20" s="566" customFormat="1">
      <c r="T8994" s="41"/>
    </row>
    <row r="8995" spans="20:20" s="566" customFormat="1">
      <c r="T8995" s="41"/>
    </row>
    <row r="8996" spans="20:20" s="566" customFormat="1">
      <c r="T8996" s="41"/>
    </row>
    <row r="8997" spans="20:20" s="566" customFormat="1">
      <c r="T8997" s="41"/>
    </row>
    <row r="8998" spans="20:20" s="566" customFormat="1">
      <c r="T8998" s="41"/>
    </row>
    <row r="8999" spans="20:20" s="566" customFormat="1">
      <c r="T8999" s="41"/>
    </row>
    <row r="9000" spans="20:20" s="566" customFormat="1">
      <c r="T9000" s="41"/>
    </row>
    <row r="9001" spans="20:20" s="566" customFormat="1">
      <c r="T9001" s="41"/>
    </row>
    <row r="9002" spans="20:20" s="566" customFormat="1">
      <c r="T9002" s="41"/>
    </row>
    <row r="9003" spans="20:20" s="566" customFormat="1">
      <c r="T9003" s="41"/>
    </row>
    <row r="9004" spans="20:20" s="566" customFormat="1">
      <c r="T9004" s="41"/>
    </row>
    <row r="9005" spans="20:20" s="566" customFormat="1">
      <c r="T9005" s="41"/>
    </row>
    <row r="9006" spans="20:20" s="566" customFormat="1">
      <c r="T9006" s="41"/>
    </row>
    <row r="9007" spans="20:20" s="566" customFormat="1">
      <c r="T9007" s="41"/>
    </row>
    <row r="9008" spans="20:20" s="566" customFormat="1">
      <c r="T9008" s="41"/>
    </row>
    <row r="9009" spans="20:20" s="566" customFormat="1">
      <c r="T9009" s="41"/>
    </row>
    <row r="9010" spans="20:20" s="566" customFormat="1">
      <c r="T9010" s="41"/>
    </row>
    <row r="9011" spans="20:20" s="566" customFormat="1">
      <c r="T9011" s="41"/>
    </row>
    <row r="9012" spans="20:20" s="566" customFormat="1">
      <c r="T9012" s="41"/>
    </row>
    <row r="9013" spans="20:20" s="566" customFormat="1">
      <c r="T9013" s="41"/>
    </row>
    <row r="9014" spans="20:20" s="566" customFormat="1">
      <c r="T9014" s="41"/>
    </row>
    <row r="9015" spans="20:20" s="566" customFormat="1">
      <c r="T9015" s="41"/>
    </row>
    <row r="9016" spans="20:20" s="566" customFormat="1">
      <c r="T9016" s="41"/>
    </row>
    <row r="9017" spans="20:20" s="566" customFormat="1">
      <c r="T9017" s="41"/>
    </row>
    <row r="9018" spans="20:20" s="566" customFormat="1">
      <c r="T9018" s="41"/>
    </row>
    <row r="9019" spans="20:20" s="566" customFormat="1">
      <c r="T9019" s="41"/>
    </row>
    <row r="9020" spans="20:20" s="566" customFormat="1">
      <c r="T9020" s="41"/>
    </row>
    <row r="9021" spans="20:20" s="566" customFormat="1">
      <c r="T9021" s="41"/>
    </row>
    <row r="9022" spans="20:20" s="566" customFormat="1">
      <c r="T9022" s="41"/>
    </row>
    <row r="9023" spans="20:20" s="566" customFormat="1">
      <c r="T9023" s="41"/>
    </row>
    <row r="9024" spans="20:20" s="566" customFormat="1">
      <c r="T9024" s="41"/>
    </row>
    <row r="9025" spans="20:20" s="566" customFormat="1">
      <c r="T9025" s="41"/>
    </row>
    <row r="9026" spans="20:20" s="566" customFormat="1">
      <c r="T9026" s="41"/>
    </row>
    <row r="9027" spans="20:20" s="566" customFormat="1">
      <c r="T9027" s="41"/>
    </row>
    <row r="9028" spans="20:20" s="566" customFormat="1">
      <c r="T9028" s="41"/>
    </row>
    <row r="9029" spans="20:20" s="566" customFormat="1">
      <c r="T9029" s="41"/>
    </row>
    <row r="9030" spans="20:20" s="566" customFormat="1">
      <c r="T9030" s="41"/>
    </row>
    <row r="9031" spans="20:20" s="566" customFormat="1">
      <c r="T9031" s="41"/>
    </row>
    <row r="9032" spans="20:20" s="566" customFormat="1">
      <c r="T9032" s="41"/>
    </row>
    <row r="9033" spans="20:20" s="566" customFormat="1">
      <c r="T9033" s="41"/>
    </row>
    <row r="9034" spans="20:20" s="566" customFormat="1">
      <c r="T9034" s="41"/>
    </row>
    <row r="9035" spans="20:20" s="566" customFormat="1">
      <c r="T9035" s="41"/>
    </row>
    <row r="9036" spans="20:20" s="566" customFormat="1">
      <c r="T9036" s="41"/>
    </row>
    <row r="9037" spans="20:20" s="566" customFormat="1">
      <c r="T9037" s="41"/>
    </row>
    <row r="9038" spans="20:20" s="566" customFormat="1">
      <c r="T9038" s="41"/>
    </row>
    <row r="9039" spans="20:20" s="566" customFormat="1">
      <c r="T9039" s="41"/>
    </row>
    <row r="9040" spans="20:20" s="566" customFormat="1">
      <c r="T9040" s="41"/>
    </row>
    <row r="9041" spans="20:20" s="566" customFormat="1">
      <c r="T9041" s="41"/>
    </row>
    <row r="9042" spans="20:20" s="566" customFormat="1">
      <c r="T9042" s="41"/>
    </row>
    <row r="9043" spans="20:20" s="566" customFormat="1">
      <c r="T9043" s="41"/>
    </row>
    <row r="9044" spans="20:20" s="566" customFormat="1">
      <c r="T9044" s="41"/>
    </row>
    <row r="9045" spans="20:20" s="566" customFormat="1">
      <c r="T9045" s="41"/>
    </row>
    <row r="9046" spans="20:20" s="566" customFormat="1">
      <c r="T9046" s="41"/>
    </row>
    <row r="9047" spans="20:20" s="566" customFormat="1">
      <c r="T9047" s="41"/>
    </row>
    <row r="9048" spans="20:20" s="566" customFormat="1">
      <c r="T9048" s="41"/>
    </row>
    <row r="9049" spans="20:20" s="566" customFormat="1">
      <c r="T9049" s="41"/>
    </row>
    <row r="9050" spans="20:20" s="566" customFormat="1">
      <c r="T9050" s="41"/>
    </row>
    <row r="9051" spans="20:20" s="566" customFormat="1">
      <c r="T9051" s="41"/>
    </row>
    <row r="9052" spans="20:20" s="566" customFormat="1">
      <c r="T9052" s="41"/>
    </row>
    <row r="9053" spans="20:20" s="566" customFormat="1">
      <c r="T9053" s="41"/>
    </row>
    <row r="9054" spans="20:20" s="566" customFormat="1">
      <c r="T9054" s="41"/>
    </row>
    <row r="9055" spans="20:20" s="566" customFormat="1">
      <c r="T9055" s="41"/>
    </row>
    <row r="9056" spans="20:20" s="566" customFormat="1">
      <c r="T9056" s="41"/>
    </row>
    <row r="9057" spans="20:20" s="566" customFormat="1">
      <c r="T9057" s="41"/>
    </row>
    <row r="9058" spans="20:20" s="566" customFormat="1">
      <c r="T9058" s="41"/>
    </row>
    <row r="9059" spans="20:20" s="566" customFormat="1">
      <c r="T9059" s="41"/>
    </row>
    <row r="9060" spans="20:20" s="566" customFormat="1">
      <c r="T9060" s="41"/>
    </row>
    <row r="9061" spans="20:20" s="566" customFormat="1">
      <c r="T9061" s="41"/>
    </row>
    <row r="9062" spans="20:20" s="566" customFormat="1">
      <c r="T9062" s="41"/>
    </row>
    <row r="9063" spans="20:20" s="566" customFormat="1">
      <c r="T9063" s="41"/>
    </row>
    <row r="9064" spans="20:20" s="566" customFormat="1">
      <c r="T9064" s="41"/>
    </row>
    <row r="9065" spans="20:20" s="566" customFormat="1">
      <c r="T9065" s="41"/>
    </row>
    <row r="9066" spans="20:20" s="566" customFormat="1">
      <c r="T9066" s="41"/>
    </row>
    <row r="9067" spans="20:20" s="566" customFormat="1">
      <c r="T9067" s="41"/>
    </row>
    <row r="9068" spans="20:20" s="566" customFormat="1">
      <c r="T9068" s="41"/>
    </row>
    <row r="9069" spans="20:20" s="566" customFormat="1">
      <c r="T9069" s="41"/>
    </row>
    <row r="9070" spans="20:20" s="566" customFormat="1">
      <c r="T9070" s="41"/>
    </row>
    <row r="9071" spans="20:20" s="566" customFormat="1">
      <c r="T9071" s="41"/>
    </row>
    <row r="9072" spans="20:20" s="566" customFormat="1">
      <c r="T9072" s="41"/>
    </row>
    <row r="9073" spans="20:20" s="566" customFormat="1">
      <c r="T9073" s="41"/>
    </row>
    <row r="9074" spans="20:20" s="566" customFormat="1">
      <c r="T9074" s="41"/>
    </row>
    <row r="9075" spans="20:20" s="566" customFormat="1">
      <c r="T9075" s="41"/>
    </row>
    <row r="9076" spans="20:20" s="566" customFormat="1">
      <c r="T9076" s="41"/>
    </row>
    <row r="9077" spans="20:20" s="566" customFormat="1">
      <c r="T9077" s="41"/>
    </row>
    <row r="9078" spans="20:20" s="566" customFormat="1">
      <c r="T9078" s="41"/>
    </row>
    <row r="9079" spans="20:20" s="566" customFormat="1">
      <c r="T9079" s="41"/>
    </row>
    <row r="9080" spans="20:20" s="566" customFormat="1">
      <c r="T9080" s="41"/>
    </row>
    <row r="9081" spans="20:20" s="566" customFormat="1">
      <c r="T9081" s="41"/>
    </row>
    <row r="9082" spans="20:20" s="566" customFormat="1">
      <c r="T9082" s="41"/>
    </row>
    <row r="9083" spans="20:20" s="566" customFormat="1">
      <c r="T9083" s="41"/>
    </row>
    <row r="9084" spans="20:20" s="566" customFormat="1">
      <c r="T9084" s="41"/>
    </row>
    <row r="9085" spans="20:20" s="566" customFormat="1">
      <c r="T9085" s="41"/>
    </row>
    <row r="9086" spans="20:20" s="566" customFormat="1">
      <c r="T9086" s="41"/>
    </row>
    <row r="9087" spans="20:20" s="566" customFormat="1">
      <c r="T9087" s="41"/>
    </row>
    <row r="9088" spans="20:20" s="566" customFormat="1">
      <c r="T9088" s="41"/>
    </row>
    <row r="9089" spans="20:20" s="566" customFormat="1">
      <c r="T9089" s="41"/>
    </row>
    <row r="9090" spans="20:20" s="566" customFormat="1">
      <c r="T9090" s="41"/>
    </row>
    <row r="9091" spans="20:20" s="566" customFormat="1">
      <c r="T9091" s="41"/>
    </row>
    <row r="9092" spans="20:20" s="566" customFormat="1">
      <c r="T9092" s="41"/>
    </row>
    <row r="9093" spans="20:20" s="566" customFormat="1">
      <c r="T9093" s="41"/>
    </row>
    <row r="9094" spans="20:20" s="566" customFormat="1">
      <c r="T9094" s="41"/>
    </row>
    <row r="9095" spans="20:20" s="566" customFormat="1">
      <c r="T9095" s="41"/>
    </row>
    <row r="9096" spans="20:20" s="566" customFormat="1">
      <c r="T9096" s="41"/>
    </row>
    <row r="9097" spans="20:20" s="566" customFormat="1">
      <c r="T9097" s="41"/>
    </row>
    <row r="9098" spans="20:20" s="566" customFormat="1">
      <c r="T9098" s="41"/>
    </row>
    <row r="9099" spans="20:20" s="566" customFormat="1">
      <c r="T9099" s="41"/>
    </row>
    <row r="9100" spans="20:20" s="566" customFormat="1">
      <c r="T9100" s="41"/>
    </row>
    <row r="9101" spans="20:20" s="566" customFormat="1">
      <c r="T9101" s="41"/>
    </row>
    <row r="9102" spans="20:20" s="566" customFormat="1">
      <c r="T9102" s="41"/>
    </row>
    <row r="9103" spans="20:20" s="566" customFormat="1">
      <c r="T9103" s="41"/>
    </row>
    <row r="9104" spans="20:20" s="566" customFormat="1">
      <c r="T9104" s="41"/>
    </row>
    <row r="9105" spans="20:20" s="566" customFormat="1">
      <c r="T9105" s="41"/>
    </row>
    <row r="9106" spans="20:20" s="566" customFormat="1">
      <c r="T9106" s="41"/>
    </row>
    <row r="9107" spans="20:20" s="566" customFormat="1">
      <c r="T9107" s="41"/>
    </row>
    <row r="9108" spans="20:20" s="566" customFormat="1">
      <c r="T9108" s="41"/>
    </row>
    <row r="9109" spans="20:20" s="566" customFormat="1">
      <c r="T9109" s="41"/>
    </row>
    <row r="9110" spans="20:20" s="566" customFormat="1">
      <c r="T9110" s="41"/>
    </row>
    <row r="9111" spans="20:20" s="566" customFormat="1">
      <c r="T9111" s="41"/>
    </row>
    <row r="9112" spans="20:20" s="566" customFormat="1">
      <c r="T9112" s="41"/>
    </row>
    <row r="9113" spans="20:20" s="566" customFormat="1">
      <c r="T9113" s="41"/>
    </row>
    <row r="9114" spans="20:20" s="566" customFormat="1">
      <c r="T9114" s="41"/>
    </row>
    <row r="9115" spans="20:20" s="566" customFormat="1">
      <c r="T9115" s="41"/>
    </row>
    <row r="9116" spans="20:20" s="566" customFormat="1">
      <c r="T9116" s="41"/>
    </row>
    <row r="9117" spans="20:20" s="566" customFormat="1">
      <c r="T9117" s="41"/>
    </row>
    <row r="9118" spans="20:20" s="566" customFormat="1">
      <c r="T9118" s="41"/>
    </row>
    <row r="9119" spans="20:20" s="566" customFormat="1">
      <c r="T9119" s="41"/>
    </row>
    <row r="9120" spans="20:20" s="566" customFormat="1">
      <c r="T9120" s="41"/>
    </row>
    <row r="9121" spans="20:20" s="566" customFormat="1">
      <c r="T9121" s="41"/>
    </row>
    <row r="9122" spans="20:20" s="566" customFormat="1">
      <c r="T9122" s="41"/>
    </row>
    <row r="9123" spans="20:20" s="566" customFormat="1">
      <c r="T9123" s="41"/>
    </row>
    <row r="9124" spans="20:20" s="566" customFormat="1">
      <c r="T9124" s="41"/>
    </row>
    <row r="9125" spans="20:20" s="566" customFormat="1">
      <c r="T9125" s="41"/>
    </row>
    <row r="9126" spans="20:20" s="566" customFormat="1">
      <c r="T9126" s="41"/>
    </row>
    <row r="9127" spans="20:20" s="566" customFormat="1">
      <c r="T9127" s="41"/>
    </row>
    <row r="9128" spans="20:20" s="566" customFormat="1">
      <c r="T9128" s="41"/>
    </row>
    <row r="9129" spans="20:20" s="566" customFormat="1">
      <c r="T9129" s="41"/>
    </row>
    <row r="9130" spans="20:20" s="566" customFormat="1">
      <c r="T9130" s="41"/>
    </row>
    <row r="9131" spans="20:20" s="566" customFormat="1">
      <c r="T9131" s="41"/>
    </row>
    <row r="9132" spans="20:20" s="566" customFormat="1">
      <c r="T9132" s="41"/>
    </row>
    <row r="9133" spans="20:20" s="566" customFormat="1">
      <c r="T9133" s="41"/>
    </row>
    <row r="9134" spans="20:20" s="566" customFormat="1">
      <c r="T9134" s="41"/>
    </row>
    <row r="9135" spans="20:20" s="566" customFormat="1">
      <c r="T9135" s="41"/>
    </row>
    <row r="9136" spans="20:20" s="566" customFormat="1">
      <c r="T9136" s="41"/>
    </row>
    <row r="9137" spans="20:20" s="566" customFormat="1">
      <c r="T9137" s="41"/>
    </row>
    <row r="9138" spans="20:20" s="566" customFormat="1">
      <c r="T9138" s="41"/>
    </row>
    <row r="9139" spans="20:20" s="566" customFormat="1">
      <c r="T9139" s="41"/>
    </row>
    <row r="9140" spans="20:20" s="566" customFormat="1">
      <c r="T9140" s="41"/>
    </row>
    <row r="9141" spans="20:20" s="566" customFormat="1">
      <c r="T9141" s="41"/>
    </row>
    <row r="9142" spans="20:20" s="566" customFormat="1">
      <c r="T9142" s="41"/>
    </row>
    <row r="9143" spans="20:20" s="566" customFormat="1">
      <c r="T9143" s="41"/>
    </row>
    <row r="9144" spans="20:20" s="566" customFormat="1">
      <c r="T9144" s="41"/>
    </row>
    <row r="9145" spans="20:20" s="566" customFormat="1">
      <c r="T9145" s="41"/>
    </row>
    <row r="9146" spans="20:20" s="566" customFormat="1">
      <c r="T9146" s="41"/>
    </row>
    <row r="9147" spans="20:20" s="566" customFormat="1">
      <c r="T9147" s="41"/>
    </row>
    <row r="9148" spans="20:20" s="566" customFormat="1">
      <c r="T9148" s="41"/>
    </row>
    <row r="9149" spans="20:20" s="566" customFormat="1">
      <c r="T9149" s="41"/>
    </row>
    <row r="9150" spans="20:20" s="566" customFormat="1">
      <c r="T9150" s="41"/>
    </row>
    <row r="9151" spans="20:20" s="566" customFormat="1">
      <c r="T9151" s="41"/>
    </row>
    <row r="9152" spans="20:20" s="566" customFormat="1">
      <c r="T9152" s="41"/>
    </row>
    <row r="9153" spans="20:20" s="566" customFormat="1">
      <c r="T9153" s="41"/>
    </row>
    <row r="9154" spans="20:20" s="566" customFormat="1">
      <c r="T9154" s="41"/>
    </row>
    <row r="9155" spans="20:20" s="566" customFormat="1">
      <c r="T9155" s="41"/>
    </row>
    <row r="9156" spans="20:20" s="566" customFormat="1">
      <c r="T9156" s="41"/>
    </row>
    <row r="9157" spans="20:20" s="566" customFormat="1">
      <c r="T9157" s="41"/>
    </row>
    <row r="9158" spans="20:20" s="566" customFormat="1">
      <c r="T9158" s="41"/>
    </row>
    <row r="9159" spans="20:20" s="566" customFormat="1">
      <c r="T9159" s="41"/>
    </row>
    <row r="9160" spans="20:20" s="566" customFormat="1">
      <c r="T9160" s="41"/>
    </row>
    <row r="9161" spans="20:20" s="566" customFormat="1">
      <c r="T9161" s="41"/>
    </row>
    <row r="9162" spans="20:20" s="566" customFormat="1">
      <c r="T9162" s="41"/>
    </row>
    <row r="9163" spans="20:20" s="566" customFormat="1">
      <c r="T9163" s="41"/>
    </row>
    <row r="9164" spans="20:20" s="566" customFormat="1">
      <c r="T9164" s="41"/>
    </row>
    <row r="9165" spans="20:20" s="566" customFormat="1">
      <c r="T9165" s="41"/>
    </row>
    <row r="9166" spans="20:20" s="566" customFormat="1">
      <c r="T9166" s="41"/>
    </row>
    <row r="9167" spans="20:20" s="566" customFormat="1">
      <c r="T9167" s="41"/>
    </row>
    <row r="9168" spans="20:20" s="566" customFormat="1">
      <c r="T9168" s="41"/>
    </row>
    <row r="9169" spans="20:20" s="566" customFormat="1">
      <c r="T9169" s="41"/>
    </row>
    <row r="9170" spans="20:20" s="566" customFormat="1">
      <c r="T9170" s="41"/>
    </row>
    <row r="9171" spans="20:20" s="566" customFormat="1">
      <c r="T9171" s="41"/>
    </row>
    <row r="9172" spans="20:20" s="566" customFormat="1">
      <c r="T9172" s="41"/>
    </row>
    <row r="9173" spans="20:20" s="566" customFormat="1">
      <c r="T9173" s="41"/>
    </row>
    <row r="9174" spans="20:20" s="566" customFormat="1">
      <c r="T9174" s="41"/>
    </row>
    <row r="9175" spans="20:20" s="566" customFormat="1">
      <c r="T9175" s="41"/>
    </row>
    <row r="9176" spans="20:20" s="566" customFormat="1">
      <c r="T9176" s="41"/>
    </row>
    <row r="9177" spans="20:20" s="566" customFormat="1">
      <c r="T9177" s="41"/>
    </row>
    <row r="9178" spans="20:20" s="566" customFormat="1">
      <c r="T9178" s="41"/>
    </row>
    <row r="9179" spans="20:20" s="566" customFormat="1">
      <c r="T9179" s="41"/>
    </row>
    <row r="9180" spans="20:20" s="566" customFormat="1">
      <c r="T9180" s="41"/>
    </row>
    <row r="9181" spans="20:20" s="566" customFormat="1">
      <c r="T9181" s="41"/>
    </row>
    <row r="9182" spans="20:20" s="566" customFormat="1">
      <c r="T9182" s="41"/>
    </row>
    <row r="9183" spans="20:20" s="566" customFormat="1">
      <c r="T9183" s="41"/>
    </row>
    <row r="9184" spans="20:20" s="566" customFormat="1">
      <c r="T9184" s="41"/>
    </row>
    <row r="9185" spans="20:20" s="566" customFormat="1">
      <c r="T9185" s="41"/>
    </row>
    <row r="9186" spans="20:20" s="566" customFormat="1">
      <c r="T9186" s="41"/>
    </row>
    <row r="9187" spans="20:20" s="566" customFormat="1">
      <c r="T9187" s="41"/>
    </row>
    <row r="9188" spans="20:20" s="566" customFormat="1">
      <c r="T9188" s="41"/>
    </row>
    <row r="9189" spans="20:20" s="566" customFormat="1">
      <c r="T9189" s="41"/>
    </row>
    <row r="9190" spans="20:20" s="566" customFormat="1">
      <c r="T9190" s="41"/>
    </row>
    <row r="9191" spans="20:20" s="566" customFormat="1">
      <c r="T9191" s="41"/>
    </row>
    <row r="9192" spans="20:20" s="566" customFormat="1">
      <c r="T9192" s="41"/>
    </row>
    <row r="9193" spans="20:20" s="566" customFormat="1">
      <c r="T9193" s="41"/>
    </row>
    <row r="9194" spans="20:20" s="566" customFormat="1">
      <c r="T9194" s="41"/>
    </row>
    <row r="9195" spans="20:20" s="566" customFormat="1">
      <c r="T9195" s="41"/>
    </row>
    <row r="9196" spans="20:20" s="566" customFormat="1">
      <c r="T9196" s="41"/>
    </row>
    <row r="9197" spans="20:20" s="566" customFormat="1">
      <c r="T9197" s="41"/>
    </row>
    <row r="9198" spans="20:20" s="566" customFormat="1">
      <c r="T9198" s="41"/>
    </row>
    <row r="9199" spans="20:20" s="566" customFormat="1">
      <c r="T9199" s="41"/>
    </row>
    <row r="9200" spans="20:20" s="566" customFormat="1">
      <c r="T9200" s="41"/>
    </row>
    <row r="9201" spans="20:20" s="566" customFormat="1">
      <c r="T9201" s="41"/>
    </row>
    <row r="9202" spans="20:20" s="566" customFormat="1">
      <c r="T9202" s="41"/>
    </row>
    <row r="9203" spans="20:20" s="566" customFormat="1">
      <c r="T9203" s="41"/>
    </row>
    <row r="9204" spans="20:20" s="566" customFormat="1">
      <c r="T9204" s="41"/>
    </row>
    <row r="9205" spans="20:20" s="566" customFormat="1">
      <c r="T9205" s="41"/>
    </row>
    <row r="9206" spans="20:20" s="566" customFormat="1">
      <c r="T9206" s="41"/>
    </row>
    <row r="9207" spans="20:20" s="566" customFormat="1">
      <c r="T9207" s="41"/>
    </row>
    <row r="9208" spans="20:20" s="566" customFormat="1">
      <c r="T9208" s="41"/>
    </row>
    <row r="9209" spans="20:20" s="566" customFormat="1">
      <c r="T9209" s="41"/>
    </row>
    <row r="9210" spans="20:20" s="566" customFormat="1">
      <c r="T9210" s="41"/>
    </row>
    <row r="9211" spans="20:20" s="566" customFormat="1">
      <c r="T9211" s="41"/>
    </row>
    <row r="9212" spans="20:20" s="566" customFormat="1">
      <c r="T9212" s="41"/>
    </row>
    <row r="9213" spans="20:20" s="566" customFormat="1">
      <c r="T9213" s="41"/>
    </row>
    <row r="9214" spans="20:20" s="566" customFormat="1">
      <c r="T9214" s="41"/>
    </row>
    <row r="9215" spans="20:20" s="566" customFormat="1">
      <c r="T9215" s="41"/>
    </row>
    <row r="9216" spans="20:20" s="566" customFormat="1">
      <c r="T9216" s="41"/>
    </row>
    <row r="9217" spans="20:20" s="566" customFormat="1">
      <c r="T9217" s="41"/>
    </row>
    <row r="9218" spans="20:20" s="566" customFormat="1">
      <c r="T9218" s="41"/>
    </row>
    <row r="9219" spans="20:20" s="566" customFormat="1">
      <c r="T9219" s="41"/>
    </row>
    <row r="9220" spans="20:20" s="566" customFormat="1">
      <c r="T9220" s="41"/>
    </row>
    <row r="9221" spans="20:20" s="566" customFormat="1">
      <c r="T9221" s="41"/>
    </row>
    <row r="9222" spans="20:20" s="566" customFormat="1">
      <c r="T9222" s="41"/>
    </row>
    <row r="9223" spans="20:20" s="566" customFormat="1">
      <c r="T9223" s="41"/>
    </row>
    <row r="9224" spans="20:20" s="566" customFormat="1">
      <c r="T9224" s="41"/>
    </row>
    <row r="9225" spans="20:20" s="566" customFormat="1">
      <c r="T9225" s="41"/>
    </row>
    <row r="9226" spans="20:20" s="566" customFormat="1">
      <c r="T9226" s="41"/>
    </row>
    <row r="9227" spans="20:20" s="566" customFormat="1">
      <c r="T9227" s="41"/>
    </row>
    <row r="9228" spans="20:20" s="566" customFormat="1">
      <c r="T9228" s="41"/>
    </row>
    <row r="9229" spans="20:20" s="566" customFormat="1">
      <c r="T9229" s="41"/>
    </row>
    <row r="9230" spans="20:20" s="566" customFormat="1">
      <c r="T9230" s="41"/>
    </row>
    <row r="9231" spans="20:20" s="566" customFormat="1">
      <c r="T9231" s="41"/>
    </row>
    <row r="9232" spans="20:20" s="566" customFormat="1">
      <c r="T9232" s="41"/>
    </row>
    <row r="9233" spans="20:20" s="566" customFormat="1">
      <c r="T9233" s="41"/>
    </row>
    <row r="9234" spans="20:20" s="566" customFormat="1">
      <c r="T9234" s="41"/>
    </row>
    <row r="9235" spans="20:20" s="566" customFormat="1">
      <c r="T9235" s="41"/>
    </row>
    <row r="9236" spans="20:20" s="566" customFormat="1">
      <c r="T9236" s="41"/>
    </row>
    <row r="9237" spans="20:20" s="566" customFormat="1">
      <c r="T9237" s="41"/>
    </row>
    <row r="9238" spans="20:20" s="566" customFormat="1">
      <c r="T9238" s="41"/>
    </row>
    <row r="9239" spans="20:20" s="566" customFormat="1">
      <c r="T9239" s="41"/>
    </row>
    <row r="9240" spans="20:20" s="566" customFormat="1">
      <c r="T9240" s="41"/>
    </row>
    <row r="9241" spans="20:20" s="566" customFormat="1">
      <c r="T9241" s="41"/>
    </row>
    <row r="9242" spans="20:20" s="566" customFormat="1">
      <c r="T9242" s="41"/>
    </row>
    <row r="9243" spans="20:20" s="566" customFormat="1">
      <c r="T9243" s="41"/>
    </row>
    <row r="9244" spans="20:20" s="566" customFormat="1">
      <c r="T9244" s="41"/>
    </row>
    <row r="9245" spans="20:20" s="566" customFormat="1">
      <c r="T9245" s="41"/>
    </row>
    <row r="9246" spans="20:20" s="566" customFormat="1">
      <c r="T9246" s="41"/>
    </row>
    <row r="9247" spans="20:20" s="566" customFormat="1">
      <c r="T9247" s="41"/>
    </row>
    <row r="9248" spans="20:20" s="566" customFormat="1">
      <c r="T9248" s="41"/>
    </row>
    <row r="9249" spans="20:20" s="566" customFormat="1">
      <c r="T9249" s="41"/>
    </row>
    <row r="9250" spans="20:20" s="566" customFormat="1">
      <c r="T9250" s="41"/>
    </row>
    <row r="9251" spans="20:20" s="566" customFormat="1">
      <c r="T9251" s="41"/>
    </row>
    <row r="9252" spans="20:20" s="566" customFormat="1">
      <c r="T9252" s="41"/>
    </row>
    <row r="9253" spans="20:20" s="566" customFormat="1">
      <c r="T9253" s="41"/>
    </row>
    <row r="9254" spans="20:20" s="566" customFormat="1">
      <c r="T9254" s="41"/>
    </row>
    <row r="9255" spans="20:20" s="566" customFormat="1">
      <c r="T9255" s="41"/>
    </row>
    <row r="9256" spans="20:20" s="566" customFormat="1">
      <c r="T9256" s="41"/>
    </row>
    <row r="9257" spans="20:20" s="566" customFormat="1">
      <c r="T9257" s="41"/>
    </row>
    <row r="9258" spans="20:20" s="566" customFormat="1">
      <c r="T9258" s="41"/>
    </row>
    <row r="9259" spans="20:20" s="566" customFormat="1">
      <c r="T9259" s="41"/>
    </row>
    <row r="9260" spans="20:20" s="566" customFormat="1">
      <c r="T9260" s="41"/>
    </row>
    <row r="9261" spans="20:20" s="566" customFormat="1">
      <c r="T9261" s="41"/>
    </row>
    <row r="9262" spans="20:20" s="566" customFormat="1">
      <c r="T9262" s="41"/>
    </row>
    <row r="9263" spans="20:20" s="566" customFormat="1">
      <c r="T9263" s="41"/>
    </row>
    <row r="9264" spans="20:20" s="566" customFormat="1">
      <c r="T9264" s="41"/>
    </row>
    <row r="9265" spans="20:20" s="566" customFormat="1">
      <c r="T9265" s="41"/>
    </row>
    <row r="9266" spans="20:20" s="566" customFormat="1">
      <c r="T9266" s="41"/>
    </row>
    <row r="9267" spans="20:20" s="566" customFormat="1">
      <c r="T9267" s="41"/>
    </row>
    <row r="9268" spans="20:20" s="566" customFormat="1">
      <c r="T9268" s="41"/>
    </row>
    <row r="9269" spans="20:20" s="566" customFormat="1">
      <c r="T9269" s="41"/>
    </row>
    <row r="9270" spans="20:20" s="566" customFormat="1">
      <c r="T9270" s="41"/>
    </row>
    <row r="9271" spans="20:20" s="566" customFormat="1">
      <c r="T9271" s="41"/>
    </row>
    <row r="9272" spans="20:20" s="566" customFormat="1">
      <c r="T9272" s="41"/>
    </row>
    <row r="9273" spans="20:20" s="566" customFormat="1">
      <c r="T9273" s="41"/>
    </row>
    <row r="9274" spans="20:20" s="566" customFormat="1">
      <c r="T9274" s="41"/>
    </row>
    <row r="9275" spans="20:20" s="566" customFormat="1">
      <c r="T9275" s="41"/>
    </row>
    <row r="9276" spans="20:20" s="566" customFormat="1">
      <c r="T9276" s="41"/>
    </row>
    <row r="9277" spans="20:20" s="566" customFormat="1">
      <c r="T9277" s="41"/>
    </row>
    <row r="9278" spans="20:20" s="566" customFormat="1">
      <c r="T9278" s="41"/>
    </row>
    <row r="9279" spans="20:20" s="566" customFormat="1">
      <c r="T9279" s="41"/>
    </row>
    <row r="9280" spans="20:20" s="566" customFormat="1">
      <c r="T9280" s="41"/>
    </row>
    <row r="9281" spans="20:20" s="566" customFormat="1">
      <c r="T9281" s="41"/>
    </row>
    <row r="9282" spans="20:20" s="566" customFormat="1">
      <c r="T9282" s="41"/>
    </row>
    <row r="9283" spans="20:20" s="566" customFormat="1">
      <c r="T9283" s="41"/>
    </row>
    <row r="9284" spans="20:20" s="566" customFormat="1">
      <c r="T9284" s="41"/>
    </row>
    <row r="9285" spans="20:20" s="566" customFormat="1">
      <c r="T9285" s="41"/>
    </row>
    <row r="9286" spans="20:20" s="566" customFormat="1">
      <c r="T9286" s="41"/>
    </row>
    <row r="9287" spans="20:20" s="566" customFormat="1">
      <c r="T9287" s="41"/>
    </row>
    <row r="9288" spans="20:20" s="566" customFormat="1">
      <c r="T9288" s="41"/>
    </row>
    <row r="9289" spans="20:20" s="566" customFormat="1">
      <c r="T9289" s="41"/>
    </row>
    <row r="9290" spans="20:20" s="566" customFormat="1">
      <c r="T9290" s="41"/>
    </row>
    <row r="9291" spans="20:20" s="566" customFormat="1">
      <c r="T9291" s="41"/>
    </row>
    <row r="9292" spans="20:20" s="566" customFormat="1">
      <c r="T9292" s="41"/>
    </row>
    <row r="9293" spans="20:20" s="566" customFormat="1">
      <c r="T9293" s="41"/>
    </row>
    <row r="9294" spans="20:20" s="566" customFormat="1">
      <c r="T9294" s="41"/>
    </row>
    <row r="9295" spans="20:20" s="566" customFormat="1">
      <c r="T9295" s="41"/>
    </row>
    <row r="9296" spans="20:20" s="566" customFormat="1">
      <c r="T9296" s="41"/>
    </row>
    <row r="9297" spans="20:20" s="566" customFormat="1">
      <c r="T9297" s="41"/>
    </row>
    <row r="9298" spans="20:20" s="566" customFormat="1">
      <c r="T9298" s="41"/>
    </row>
    <row r="9299" spans="20:20" s="566" customFormat="1">
      <c r="T9299" s="41"/>
    </row>
    <row r="9300" spans="20:20" s="566" customFormat="1">
      <c r="T9300" s="41"/>
    </row>
    <row r="9301" spans="20:20" s="566" customFormat="1">
      <c r="T9301" s="41"/>
    </row>
    <row r="9302" spans="20:20" s="566" customFormat="1">
      <c r="T9302" s="41"/>
    </row>
    <row r="9303" spans="20:20" s="566" customFormat="1">
      <c r="T9303" s="41"/>
    </row>
    <row r="9304" spans="20:20" s="566" customFormat="1">
      <c r="T9304" s="41"/>
    </row>
    <row r="9305" spans="20:20" s="566" customFormat="1">
      <c r="T9305" s="41"/>
    </row>
    <row r="9306" spans="20:20" s="566" customFormat="1">
      <c r="T9306" s="41"/>
    </row>
    <row r="9307" spans="20:20" s="566" customFormat="1">
      <c r="T9307" s="41"/>
    </row>
    <row r="9308" spans="20:20" s="566" customFormat="1">
      <c r="T9308" s="41"/>
    </row>
    <row r="9309" spans="20:20" s="566" customFormat="1">
      <c r="T9309" s="41"/>
    </row>
    <row r="9310" spans="20:20" s="566" customFormat="1">
      <c r="T9310" s="41"/>
    </row>
    <row r="9311" spans="20:20" s="566" customFormat="1">
      <c r="T9311" s="41"/>
    </row>
    <row r="9312" spans="20:20" s="566" customFormat="1">
      <c r="T9312" s="41"/>
    </row>
    <row r="9313" spans="20:20" s="566" customFormat="1">
      <c r="T9313" s="41"/>
    </row>
    <row r="9314" spans="20:20" s="566" customFormat="1">
      <c r="T9314" s="41"/>
    </row>
    <row r="9315" spans="20:20" s="566" customFormat="1">
      <c r="T9315" s="41"/>
    </row>
    <row r="9316" spans="20:20" s="566" customFormat="1">
      <c r="T9316" s="41"/>
    </row>
    <row r="9317" spans="20:20" s="566" customFormat="1">
      <c r="T9317" s="41"/>
    </row>
    <row r="9318" spans="20:20" s="566" customFormat="1">
      <c r="T9318" s="41"/>
    </row>
    <row r="9319" spans="20:20" s="566" customFormat="1">
      <c r="T9319" s="41"/>
    </row>
    <row r="9320" spans="20:20" s="566" customFormat="1">
      <c r="T9320" s="41"/>
    </row>
    <row r="9321" spans="20:20" s="566" customFormat="1">
      <c r="T9321" s="41"/>
    </row>
    <row r="9322" spans="20:20" s="566" customFormat="1">
      <c r="T9322" s="41"/>
    </row>
    <row r="9323" spans="20:20" s="566" customFormat="1">
      <c r="T9323" s="41"/>
    </row>
    <row r="9324" spans="20:20" s="566" customFormat="1">
      <c r="T9324" s="41"/>
    </row>
    <row r="9325" spans="20:20" s="566" customFormat="1">
      <c r="T9325" s="41"/>
    </row>
    <row r="9326" spans="20:20" s="566" customFormat="1">
      <c r="T9326" s="41"/>
    </row>
    <row r="9327" spans="20:20" s="566" customFormat="1">
      <c r="T9327" s="41"/>
    </row>
    <row r="9328" spans="20:20" s="566" customFormat="1">
      <c r="T9328" s="41"/>
    </row>
    <row r="9329" spans="20:20" s="566" customFormat="1">
      <c r="T9329" s="41"/>
    </row>
    <row r="9330" spans="20:20" s="566" customFormat="1">
      <c r="T9330" s="41"/>
    </row>
    <row r="9331" spans="20:20" s="566" customFormat="1">
      <c r="T9331" s="41"/>
    </row>
    <row r="9332" spans="20:20" s="566" customFormat="1">
      <c r="T9332" s="41"/>
    </row>
    <row r="9333" spans="20:20" s="566" customFormat="1">
      <c r="T9333" s="41"/>
    </row>
    <row r="9334" spans="20:20" s="566" customFormat="1">
      <c r="T9334" s="41"/>
    </row>
    <row r="9335" spans="20:20" s="566" customFormat="1">
      <c r="T9335" s="41"/>
    </row>
    <row r="9336" spans="20:20" s="566" customFormat="1">
      <c r="T9336" s="41"/>
    </row>
    <row r="9337" spans="20:20" s="566" customFormat="1">
      <c r="T9337" s="41"/>
    </row>
    <row r="9338" spans="20:20" s="566" customFormat="1">
      <c r="T9338" s="41"/>
    </row>
    <row r="9339" spans="20:20" s="566" customFormat="1">
      <c r="T9339" s="41"/>
    </row>
    <row r="9340" spans="20:20" s="566" customFormat="1">
      <c r="T9340" s="41"/>
    </row>
    <row r="9341" spans="20:20" s="566" customFormat="1">
      <c r="T9341" s="41"/>
    </row>
    <row r="9342" spans="20:20" s="566" customFormat="1">
      <c r="T9342" s="41"/>
    </row>
    <row r="9343" spans="20:20" s="566" customFormat="1">
      <c r="T9343" s="41"/>
    </row>
    <row r="9344" spans="20:20" s="566" customFormat="1">
      <c r="T9344" s="41"/>
    </row>
    <row r="9345" spans="20:20" s="566" customFormat="1">
      <c r="T9345" s="41"/>
    </row>
    <row r="9346" spans="20:20" s="566" customFormat="1">
      <c r="T9346" s="41"/>
    </row>
    <row r="9347" spans="20:20" s="566" customFormat="1">
      <c r="T9347" s="41"/>
    </row>
    <row r="9348" spans="20:20" s="566" customFormat="1">
      <c r="T9348" s="41"/>
    </row>
    <row r="9349" spans="20:20" s="566" customFormat="1">
      <c r="T9349" s="41"/>
    </row>
    <row r="9350" spans="20:20" s="566" customFormat="1">
      <c r="T9350" s="41"/>
    </row>
    <row r="9351" spans="20:20" s="566" customFormat="1">
      <c r="T9351" s="41"/>
    </row>
    <row r="9352" spans="20:20" s="566" customFormat="1">
      <c r="T9352" s="41"/>
    </row>
    <row r="9353" spans="20:20" s="566" customFormat="1">
      <c r="T9353" s="41"/>
    </row>
    <row r="9354" spans="20:20" s="566" customFormat="1">
      <c r="T9354" s="41"/>
    </row>
    <row r="9355" spans="20:20" s="566" customFormat="1">
      <c r="T9355" s="41"/>
    </row>
    <row r="9356" spans="20:20" s="566" customFormat="1">
      <c r="T9356" s="41"/>
    </row>
    <row r="9357" spans="20:20" s="566" customFormat="1">
      <c r="T9357" s="41"/>
    </row>
    <row r="9358" spans="20:20" s="566" customFormat="1">
      <c r="T9358" s="41"/>
    </row>
    <row r="9359" spans="20:20" s="566" customFormat="1">
      <c r="T9359" s="41"/>
    </row>
    <row r="9360" spans="20:20" s="566" customFormat="1">
      <c r="T9360" s="41"/>
    </row>
    <row r="9361" spans="20:20" s="566" customFormat="1">
      <c r="T9361" s="41"/>
    </row>
    <row r="9362" spans="20:20" s="566" customFormat="1">
      <c r="T9362" s="41"/>
    </row>
    <row r="9363" spans="20:20" s="566" customFormat="1">
      <c r="T9363" s="41"/>
    </row>
    <row r="9364" spans="20:20" s="566" customFormat="1">
      <c r="T9364" s="41"/>
    </row>
    <row r="9365" spans="20:20" s="566" customFormat="1">
      <c r="T9365" s="41"/>
    </row>
    <row r="9366" spans="20:20" s="566" customFormat="1">
      <c r="T9366" s="41"/>
    </row>
    <row r="9367" spans="20:20" s="566" customFormat="1">
      <c r="T9367" s="41"/>
    </row>
    <row r="9368" spans="20:20" s="566" customFormat="1">
      <c r="T9368" s="41"/>
    </row>
    <row r="9369" spans="20:20" s="566" customFormat="1">
      <c r="T9369" s="41"/>
    </row>
    <row r="9370" spans="20:20" s="566" customFormat="1">
      <c r="T9370" s="41"/>
    </row>
    <row r="9371" spans="20:20" s="566" customFormat="1">
      <c r="T9371" s="41"/>
    </row>
    <row r="9372" spans="20:20" s="566" customFormat="1">
      <c r="T9372" s="41"/>
    </row>
    <row r="9373" spans="20:20" s="566" customFormat="1">
      <c r="T9373" s="41"/>
    </row>
    <row r="9374" spans="20:20" s="566" customFormat="1">
      <c r="T9374" s="41"/>
    </row>
    <row r="9375" spans="20:20" s="566" customFormat="1">
      <c r="T9375" s="41"/>
    </row>
    <row r="9376" spans="20:20" s="566" customFormat="1">
      <c r="T9376" s="41"/>
    </row>
    <row r="9377" spans="20:20" s="566" customFormat="1">
      <c r="T9377" s="41"/>
    </row>
    <row r="9378" spans="20:20" s="566" customFormat="1">
      <c r="T9378" s="41"/>
    </row>
    <row r="9379" spans="20:20" s="566" customFormat="1">
      <c r="T9379" s="41"/>
    </row>
    <row r="9380" spans="20:20" s="566" customFormat="1">
      <c r="T9380" s="41"/>
    </row>
    <row r="9381" spans="20:20" s="566" customFormat="1">
      <c r="T9381" s="41"/>
    </row>
    <row r="9382" spans="20:20" s="566" customFormat="1">
      <c r="T9382" s="41"/>
    </row>
    <row r="9383" spans="20:20" s="566" customFormat="1">
      <c r="T9383" s="41"/>
    </row>
    <row r="9384" spans="20:20" s="566" customFormat="1">
      <c r="T9384" s="41"/>
    </row>
    <row r="9385" spans="20:20" s="566" customFormat="1">
      <c r="T9385" s="41"/>
    </row>
    <row r="9386" spans="20:20" s="566" customFormat="1">
      <c r="T9386" s="41"/>
    </row>
    <row r="9387" spans="20:20" s="566" customFormat="1">
      <c r="T9387" s="41"/>
    </row>
    <row r="9388" spans="20:20" s="566" customFormat="1">
      <c r="T9388" s="41"/>
    </row>
    <row r="9389" spans="20:20" s="566" customFormat="1">
      <c r="T9389" s="41"/>
    </row>
    <row r="9390" spans="20:20" s="566" customFormat="1">
      <c r="T9390" s="41"/>
    </row>
    <row r="9391" spans="20:20" s="566" customFormat="1">
      <c r="T9391" s="41"/>
    </row>
    <row r="9392" spans="20:20" s="566" customFormat="1">
      <c r="T9392" s="41"/>
    </row>
    <row r="9393" spans="20:20" s="566" customFormat="1">
      <c r="T9393" s="41"/>
    </row>
    <row r="9394" spans="20:20" s="566" customFormat="1">
      <c r="T9394" s="41"/>
    </row>
    <row r="9395" spans="20:20" s="566" customFormat="1">
      <c r="T9395" s="41"/>
    </row>
    <row r="9396" spans="20:20" s="566" customFormat="1">
      <c r="T9396" s="41"/>
    </row>
    <row r="9397" spans="20:20" s="566" customFormat="1">
      <c r="T9397" s="41"/>
    </row>
    <row r="9398" spans="20:20" s="566" customFormat="1">
      <c r="T9398" s="41"/>
    </row>
    <row r="9399" spans="20:20" s="566" customFormat="1">
      <c r="T9399" s="41"/>
    </row>
    <row r="9400" spans="20:20" s="566" customFormat="1">
      <c r="T9400" s="41"/>
    </row>
    <row r="9401" spans="20:20" s="566" customFormat="1">
      <c r="T9401" s="41"/>
    </row>
    <row r="9402" spans="20:20" s="566" customFormat="1">
      <c r="T9402" s="41"/>
    </row>
    <row r="9403" spans="20:20" s="566" customFormat="1">
      <c r="T9403" s="41"/>
    </row>
    <row r="9404" spans="20:20" s="566" customFormat="1">
      <c r="T9404" s="41"/>
    </row>
    <row r="9405" spans="20:20" s="566" customFormat="1">
      <c r="T9405" s="41"/>
    </row>
    <row r="9406" spans="20:20" s="566" customFormat="1">
      <c r="T9406" s="41"/>
    </row>
    <row r="9407" spans="20:20" s="566" customFormat="1">
      <c r="T9407" s="41"/>
    </row>
    <row r="9408" spans="20:20" s="566" customFormat="1">
      <c r="T9408" s="41"/>
    </row>
    <row r="9409" spans="20:20" s="566" customFormat="1">
      <c r="T9409" s="41"/>
    </row>
    <row r="9410" spans="20:20" s="566" customFormat="1">
      <c r="T9410" s="41"/>
    </row>
    <row r="9411" spans="20:20" s="566" customFormat="1">
      <c r="T9411" s="41"/>
    </row>
    <row r="9412" spans="20:20" s="566" customFormat="1">
      <c r="T9412" s="41"/>
    </row>
    <row r="9413" spans="20:20" s="566" customFormat="1">
      <c r="T9413" s="41"/>
    </row>
    <row r="9414" spans="20:20" s="566" customFormat="1">
      <c r="T9414" s="41"/>
    </row>
    <row r="9415" spans="20:20" s="566" customFormat="1">
      <c r="T9415" s="41"/>
    </row>
    <row r="9416" spans="20:20" s="566" customFormat="1">
      <c r="T9416" s="41"/>
    </row>
    <row r="9417" spans="20:20" s="566" customFormat="1">
      <c r="T9417" s="41"/>
    </row>
    <row r="9418" spans="20:20" s="566" customFormat="1">
      <c r="T9418" s="41"/>
    </row>
    <row r="9419" spans="20:20" s="566" customFormat="1">
      <c r="T9419" s="41"/>
    </row>
    <row r="9420" spans="20:20" s="566" customFormat="1">
      <c r="T9420" s="41"/>
    </row>
    <row r="9421" spans="20:20" s="566" customFormat="1">
      <c r="T9421" s="41"/>
    </row>
    <row r="9422" spans="20:20" s="566" customFormat="1">
      <c r="T9422" s="41"/>
    </row>
    <row r="9423" spans="20:20" s="566" customFormat="1">
      <c r="T9423" s="41"/>
    </row>
    <row r="9424" spans="20:20" s="566" customFormat="1">
      <c r="T9424" s="41"/>
    </row>
    <row r="9425" spans="20:20" s="566" customFormat="1">
      <c r="T9425" s="41"/>
    </row>
    <row r="9426" spans="20:20" s="566" customFormat="1">
      <c r="T9426" s="41"/>
    </row>
    <row r="9427" spans="20:20" s="566" customFormat="1">
      <c r="T9427" s="41"/>
    </row>
    <row r="9428" spans="20:20" s="566" customFormat="1">
      <c r="T9428" s="41"/>
    </row>
    <row r="9429" spans="20:20" s="566" customFormat="1">
      <c r="T9429" s="41"/>
    </row>
    <row r="9430" spans="20:20" s="566" customFormat="1">
      <c r="T9430" s="41"/>
    </row>
    <row r="9431" spans="20:20" s="566" customFormat="1">
      <c r="T9431" s="41"/>
    </row>
    <row r="9432" spans="20:20" s="566" customFormat="1">
      <c r="T9432" s="41"/>
    </row>
    <row r="9433" spans="20:20" s="566" customFormat="1">
      <c r="T9433" s="41"/>
    </row>
    <row r="9434" spans="20:20" s="566" customFormat="1">
      <c r="T9434" s="41"/>
    </row>
    <row r="9435" spans="20:20" s="566" customFormat="1">
      <c r="T9435" s="41"/>
    </row>
    <row r="9436" spans="20:20" s="566" customFormat="1">
      <c r="T9436" s="41"/>
    </row>
    <row r="9437" spans="20:20" s="566" customFormat="1">
      <c r="T9437" s="41"/>
    </row>
    <row r="9438" spans="20:20" s="566" customFormat="1">
      <c r="T9438" s="41"/>
    </row>
    <row r="9439" spans="20:20" s="566" customFormat="1">
      <c r="T9439" s="41"/>
    </row>
    <row r="9440" spans="20:20" s="566" customFormat="1">
      <c r="T9440" s="41"/>
    </row>
    <row r="9441" spans="20:20" s="566" customFormat="1">
      <c r="T9441" s="41"/>
    </row>
    <row r="9442" spans="20:20" s="566" customFormat="1">
      <c r="T9442" s="41"/>
    </row>
    <row r="9443" spans="20:20" s="566" customFormat="1">
      <c r="T9443" s="41"/>
    </row>
    <row r="9444" spans="20:20" s="566" customFormat="1">
      <c r="T9444" s="41"/>
    </row>
    <row r="9445" spans="20:20" s="566" customFormat="1">
      <c r="T9445" s="41"/>
    </row>
    <row r="9446" spans="20:20" s="566" customFormat="1">
      <c r="T9446" s="41"/>
    </row>
    <row r="9447" spans="20:20" s="566" customFormat="1">
      <c r="T9447" s="41"/>
    </row>
    <row r="9448" spans="20:20" s="566" customFormat="1">
      <c r="T9448" s="41"/>
    </row>
    <row r="9449" spans="20:20" s="566" customFormat="1">
      <c r="T9449" s="41"/>
    </row>
    <row r="9450" spans="20:20" s="566" customFormat="1">
      <c r="T9450" s="41"/>
    </row>
    <row r="9451" spans="20:20" s="566" customFormat="1">
      <c r="T9451" s="41"/>
    </row>
    <row r="9452" spans="20:20" s="566" customFormat="1">
      <c r="T9452" s="41"/>
    </row>
    <row r="9453" spans="20:20" s="566" customFormat="1">
      <c r="T9453" s="41"/>
    </row>
    <row r="9454" spans="20:20" s="566" customFormat="1">
      <c r="T9454" s="41"/>
    </row>
    <row r="9455" spans="20:20" s="566" customFormat="1">
      <c r="T9455" s="41"/>
    </row>
    <row r="9456" spans="20:20" s="566" customFormat="1">
      <c r="T9456" s="41"/>
    </row>
    <row r="9457" spans="20:20" s="566" customFormat="1">
      <c r="T9457" s="41"/>
    </row>
    <row r="9458" spans="20:20" s="566" customFormat="1">
      <c r="T9458" s="41"/>
    </row>
    <row r="9459" spans="20:20" s="566" customFormat="1">
      <c r="T9459" s="41"/>
    </row>
    <row r="9460" spans="20:20" s="566" customFormat="1">
      <c r="T9460" s="41"/>
    </row>
    <row r="9461" spans="20:20" s="566" customFormat="1">
      <c r="T9461" s="41"/>
    </row>
    <row r="9462" spans="20:20" s="566" customFormat="1">
      <c r="T9462" s="41"/>
    </row>
    <row r="9463" spans="20:20" s="566" customFormat="1">
      <c r="T9463" s="41"/>
    </row>
    <row r="9464" spans="20:20" s="566" customFormat="1">
      <c r="T9464" s="41"/>
    </row>
    <row r="9465" spans="20:20" s="566" customFormat="1">
      <c r="T9465" s="41"/>
    </row>
    <row r="9466" spans="20:20" s="566" customFormat="1">
      <c r="T9466" s="41"/>
    </row>
    <row r="9467" spans="20:20" s="566" customFormat="1">
      <c r="T9467" s="41"/>
    </row>
    <row r="9468" spans="20:20" s="566" customFormat="1">
      <c r="T9468" s="41"/>
    </row>
    <row r="9469" spans="20:20" s="566" customFormat="1">
      <c r="T9469" s="41"/>
    </row>
    <row r="9470" spans="20:20" s="566" customFormat="1">
      <c r="T9470" s="41"/>
    </row>
    <row r="9471" spans="20:20" s="566" customFormat="1">
      <c r="T9471" s="41"/>
    </row>
    <row r="9472" spans="20:20" s="566" customFormat="1">
      <c r="T9472" s="41"/>
    </row>
    <row r="9473" spans="20:20" s="566" customFormat="1">
      <c r="T9473" s="41"/>
    </row>
    <row r="9474" spans="20:20" s="566" customFormat="1">
      <c r="T9474" s="41"/>
    </row>
    <row r="9475" spans="20:20" s="566" customFormat="1">
      <c r="T9475" s="41"/>
    </row>
    <row r="9476" spans="20:20" s="566" customFormat="1">
      <c r="T9476" s="41"/>
    </row>
    <row r="9477" spans="20:20" s="566" customFormat="1">
      <c r="T9477" s="41"/>
    </row>
    <row r="9478" spans="20:20" s="566" customFormat="1">
      <c r="T9478" s="41"/>
    </row>
    <row r="9479" spans="20:20" s="566" customFormat="1">
      <c r="T9479" s="41"/>
    </row>
    <row r="9480" spans="20:20" s="566" customFormat="1">
      <c r="T9480" s="41"/>
    </row>
    <row r="9481" spans="20:20" s="566" customFormat="1">
      <c r="T9481" s="41"/>
    </row>
    <row r="9482" spans="20:20" s="566" customFormat="1">
      <c r="T9482" s="41"/>
    </row>
    <row r="9483" spans="20:20" s="566" customFormat="1">
      <c r="T9483" s="41"/>
    </row>
    <row r="9484" spans="20:20" s="566" customFormat="1">
      <c r="T9484" s="41"/>
    </row>
    <row r="9485" spans="20:20" s="566" customFormat="1">
      <c r="T9485" s="41"/>
    </row>
    <row r="9486" spans="20:20" s="566" customFormat="1">
      <c r="T9486" s="41"/>
    </row>
    <row r="9487" spans="20:20" s="566" customFormat="1">
      <c r="T9487" s="41"/>
    </row>
    <row r="9488" spans="20:20" s="566" customFormat="1">
      <c r="T9488" s="41"/>
    </row>
    <row r="9489" spans="20:20" s="566" customFormat="1">
      <c r="T9489" s="41"/>
    </row>
    <row r="9490" spans="20:20" s="566" customFormat="1">
      <c r="T9490" s="41"/>
    </row>
    <row r="9491" spans="20:20" s="566" customFormat="1">
      <c r="T9491" s="41"/>
    </row>
    <row r="9492" spans="20:20" s="566" customFormat="1">
      <c r="T9492" s="41"/>
    </row>
    <row r="9493" spans="20:20" s="566" customFormat="1">
      <c r="T9493" s="41"/>
    </row>
    <row r="9494" spans="20:20" s="566" customFormat="1">
      <c r="T9494" s="41"/>
    </row>
    <row r="9495" spans="20:20" s="566" customFormat="1">
      <c r="T9495" s="41"/>
    </row>
    <row r="9496" spans="20:20" s="566" customFormat="1">
      <c r="T9496" s="41"/>
    </row>
    <row r="9497" spans="20:20" s="566" customFormat="1">
      <c r="T9497" s="41"/>
    </row>
    <row r="9498" spans="20:20" s="566" customFormat="1">
      <c r="T9498" s="41"/>
    </row>
    <row r="9499" spans="20:20" s="566" customFormat="1">
      <c r="T9499" s="41"/>
    </row>
    <row r="9500" spans="20:20" s="566" customFormat="1">
      <c r="T9500" s="41"/>
    </row>
    <row r="9501" spans="20:20" s="566" customFormat="1">
      <c r="T9501" s="41"/>
    </row>
    <row r="9502" spans="20:20" s="566" customFormat="1">
      <c r="T9502" s="41"/>
    </row>
    <row r="9503" spans="20:20" s="566" customFormat="1">
      <c r="T9503" s="41"/>
    </row>
    <row r="9504" spans="20:20" s="566" customFormat="1">
      <c r="T9504" s="41"/>
    </row>
    <row r="9505" spans="20:20" s="566" customFormat="1">
      <c r="T9505" s="41"/>
    </row>
    <row r="9506" spans="20:20" s="566" customFormat="1">
      <c r="T9506" s="41"/>
    </row>
    <row r="9507" spans="20:20" s="566" customFormat="1">
      <c r="T9507" s="41"/>
    </row>
    <row r="9508" spans="20:20" s="566" customFormat="1">
      <c r="T9508" s="41"/>
    </row>
    <row r="9509" spans="20:20" s="566" customFormat="1">
      <c r="T9509" s="41"/>
    </row>
    <row r="9510" spans="20:20" s="566" customFormat="1">
      <c r="T9510" s="41"/>
    </row>
    <row r="9511" spans="20:20" s="566" customFormat="1">
      <c r="T9511" s="41"/>
    </row>
    <row r="9512" spans="20:20" s="566" customFormat="1">
      <c r="T9512" s="41"/>
    </row>
    <row r="9513" spans="20:20" s="566" customFormat="1">
      <c r="T9513" s="41"/>
    </row>
    <row r="9514" spans="20:20" s="566" customFormat="1">
      <c r="T9514" s="41"/>
    </row>
    <row r="9515" spans="20:20" s="566" customFormat="1">
      <c r="T9515" s="41"/>
    </row>
    <row r="9516" spans="20:20" s="566" customFormat="1">
      <c r="T9516" s="41"/>
    </row>
    <row r="9517" spans="20:20" s="566" customFormat="1">
      <c r="T9517" s="41"/>
    </row>
    <row r="9518" spans="20:20" s="566" customFormat="1">
      <c r="T9518" s="41"/>
    </row>
    <row r="9519" spans="20:20" s="566" customFormat="1">
      <c r="T9519" s="41"/>
    </row>
    <row r="9520" spans="20:20" s="566" customFormat="1">
      <c r="T9520" s="41"/>
    </row>
    <row r="9521" spans="20:20" s="566" customFormat="1">
      <c r="T9521" s="41"/>
    </row>
    <row r="9522" spans="20:20" s="566" customFormat="1">
      <c r="T9522" s="41"/>
    </row>
    <row r="9523" spans="20:20" s="566" customFormat="1">
      <c r="T9523" s="41"/>
    </row>
    <row r="9524" spans="20:20" s="566" customFormat="1">
      <c r="T9524" s="41"/>
    </row>
    <row r="9525" spans="20:20" s="566" customFormat="1">
      <c r="T9525" s="41"/>
    </row>
    <row r="9526" spans="20:20" s="566" customFormat="1">
      <c r="T9526" s="41"/>
    </row>
    <row r="9527" spans="20:20" s="566" customFormat="1">
      <c r="T9527" s="41"/>
    </row>
    <row r="9528" spans="20:20" s="566" customFormat="1">
      <c r="T9528" s="41"/>
    </row>
    <row r="9529" spans="20:20" s="566" customFormat="1">
      <c r="T9529" s="41"/>
    </row>
    <row r="9530" spans="20:20" s="566" customFormat="1">
      <c r="T9530" s="41"/>
    </row>
    <row r="9531" spans="20:20" s="566" customFormat="1">
      <c r="T9531" s="41"/>
    </row>
    <row r="9532" spans="20:20" s="566" customFormat="1">
      <c r="T9532" s="41"/>
    </row>
    <row r="9533" spans="20:20" s="566" customFormat="1">
      <c r="T9533" s="41"/>
    </row>
    <row r="9534" spans="20:20" s="566" customFormat="1">
      <c r="T9534" s="41"/>
    </row>
    <row r="9535" spans="20:20" s="566" customFormat="1">
      <c r="T9535" s="41"/>
    </row>
    <row r="9536" spans="20:20" s="566" customFormat="1">
      <c r="T9536" s="41"/>
    </row>
    <row r="9537" spans="20:20" s="566" customFormat="1">
      <c r="T9537" s="41"/>
    </row>
    <row r="9538" spans="20:20" s="566" customFormat="1">
      <c r="T9538" s="41"/>
    </row>
    <row r="9539" spans="20:20" s="566" customFormat="1">
      <c r="T9539" s="41"/>
    </row>
    <row r="9540" spans="20:20" s="566" customFormat="1">
      <c r="T9540" s="41"/>
    </row>
    <row r="9541" spans="20:20" s="566" customFormat="1">
      <c r="T9541" s="41"/>
    </row>
    <row r="9542" spans="20:20" s="566" customFormat="1">
      <c r="T9542" s="41"/>
    </row>
    <row r="9543" spans="20:20" s="566" customFormat="1">
      <c r="T9543" s="41"/>
    </row>
    <row r="9544" spans="20:20" s="566" customFormat="1">
      <c r="T9544" s="41"/>
    </row>
    <row r="9545" spans="20:20" s="566" customFormat="1">
      <c r="T9545" s="41"/>
    </row>
    <row r="9546" spans="20:20" s="566" customFormat="1">
      <c r="T9546" s="41"/>
    </row>
    <row r="9547" spans="20:20" s="566" customFormat="1">
      <c r="T9547" s="41"/>
    </row>
    <row r="9548" spans="20:20" s="566" customFormat="1">
      <c r="T9548" s="41"/>
    </row>
    <row r="9549" spans="20:20" s="566" customFormat="1">
      <c r="T9549" s="41"/>
    </row>
    <row r="9550" spans="20:20" s="566" customFormat="1">
      <c r="T9550" s="41"/>
    </row>
    <row r="9551" spans="20:20" s="566" customFormat="1">
      <c r="T9551" s="41"/>
    </row>
    <row r="9552" spans="20:20" s="566" customFormat="1">
      <c r="T9552" s="41"/>
    </row>
    <row r="9553" spans="20:20" s="566" customFormat="1">
      <c r="T9553" s="41"/>
    </row>
    <row r="9554" spans="20:20" s="566" customFormat="1">
      <c r="T9554" s="41"/>
    </row>
    <row r="9555" spans="20:20" s="566" customFormat="1">
      <c r="T9555" s="41"/>
    </row>
    <row r="9556" spans="20:20" s="566" customFormat="1">
      <c r="T9556" s="41"/>
    </row>
    <row r="9557" spans="20:20" s="566" customFormat="1">
      <c r="T9557" s="41"/>
    </row>
    <row r="9558" spans="20:20" s="566" customFormat="1">
      <c r="T9558" s="41"/>
    </row>
    <row r="9559" spans="20:20" s="566" customFormat="1">
      <c r="T9559" s="41"/>
    </row>
    <row r="9560" spans="20:20" s="566" customFormat="1">
      <c r="T9560" s="41"/>
    </row>
    <row r="9561" spans="20:20" s="566" customFormat="1">
      <c r="T9561" s="41"/>
    </row>
    <row r="9562" spans="20:20" s="566" customFormat="1">
      <c r="T9562" s="41"/>
    </row>
    <row r="9563" spans="20:20" s="566" customFormat="1">
      <c r="T9563" s="41"/>
    </row>
    <row r="9564" spans="20:20" s="566" customFormat="1">
      <c r="T9564" s="41"/>
    </row>
    <row r="9565" spans="20:20" s="566" customFormat="1">
      <c r="T9565" s="41"/>
    </row>
    <row r="9566" spans="20:20" s="566" customFormat="1">
      <c r="T9566" s="41"/>
    </row>
    <row r="9567" spans="20:20" s="566" customFormat="1">
      <c r="T9567" s="41"/>
    </row>
    <row r="9568" spans="20:20" s="566" customFormat="1">
      <c r="T9568" s="41"/>
    </row>
    <row r="9569" spans="20:20" s="566" customFormat="1">
      <c r="T9569" s="41"/>
    </row>
    <row r="9570" spans="20:20" s="566" customFormat="1">
      <c r="T9570" s="41"/>
    </row>
    <row r="9571" spans="20:20" s="566" customFormat="1">
      <c r="T9571" s="41"/>
    </row>
    <row r="9572" spans="20:20" s="566" customFormat="1">
      <c r="T9572" s="41"/>
    </row>
    <row r="9573" spans="20:20" s="566" customFormat="1">
      <c r="T9573" s="41"/>
    </row>
    <row r="9574" spans="20:20" s="566" customFormat="1">
      <c r="T9574" s="41"/>
    </row>
    <row r="9575" spans="20:20" s="566" customFormat="1">
      <c r="T9575" s="41"/>
    </row>
    <row r="9576" spans="20:20" s="566" customFormat="1">
      <c r="T9576" s="41"/>
    </row>
    <row r="9577" spans="20:20" s="566" customFormat="1">
      <c r="T9577" s="41"/>
    </row>
    <row r="9578" spans="20:20" s="566" customFormat="1">
      <c r="T9578" s="41"/>
    </row>
    <row r="9579" spans="20:20" s="566" customFormat="1">
      <c r="T9579" s="41"/>
    </row>
    <row r="9580" spans="20:20" s="566" customFormat="1">
      <c r="T9580" s="41"/>
    </row>
    <row r="9581" spans="20:20" s="566" customFormat="1">
      <c r="T9581" s="41"/>
    </row>
    <row r="9582" spans="20:20" s="566" customFormat="1">
      <c r="T9582" s="41"/>
    </row>
    <row r="9583" spans="20:20" s="566" customFormat="1">
      <c r="T9583" s="41"/>
    </row>
    <row r="9584" spans="20:20" s="566" customFormat="1">
      <c r="T9584" s="41"/>
    </row>
    <row r="9585" spans="20:20" s="566" customFormat="1">
      <c r="T9585" s="41"/>
    </row>
    <row r="9586" spans="20:20" s="566" customFormat="1">
      <c r="T9586" s="41"/>
    </row>
    <row r="9587" spans="20:20" s="566" customFormat="1">
      <c r="T9587" s="41"/>
    </row>
    <row r="9588" spans="20:20" s="566" customFormat="1">
      <c r="T9588" s="41"/>
    </row>
    <row r="9589" spans="20:20" s="566" customFormat="1">
      <c r="T9589" s="41"/>
    </row>
    <row r="9590" spans="20:20" s="566" customFormat="1">
      <c r="T9590" s="41"/>
    </row>
    <row r="9591" spans="20:20" s="566" customFormat="1">
      <c r="T9591" s="41"/>
    </row>
    <row r="9592" spans="20:20" s="566" customFormat="1">
      <c r="T9592" s="41"/>
    </row>
    <row r="9593" spans="20:20" s="566" customFormat="1">
      <c r="T9593" s="41"/>
    </row>
    <row r="9594" spans="20:20" s="566" customFormat="1">
      <c r="T9594" s="41"/>
    </row>
    <row r="9595" spans="20:20" s="566" customFormat="1">
      <c r="T9595" s="41"/>
    </row>
    <row r="9596" spans="20:20" s="566" customFormat="1">
      <c r="T9596" s="41"/>
    </row>
    <row r="9597" spans="20:20" s="566" customFormat="1">
      <c r="T9597" s="41"/>
    </row>
    <row r="9598" spans="20:20" s="566" customFormat="1">
      <c r="T9598" s="41"/>
    </row>
    <row r="9599" spans="20:20" s="566" customFormat="1">
      <c r="T9599" s="41"/>
    </row>
    <row r="9600" spans="20:20" s="566" customFormat="1">
      <c r="T9600" s="41"/>
    </row>
    <row r="9601" spans="20:20" s="566" customFormat="1">
      <c r="T9601" s="41"/>
    </row>
    <row r="9602" spans="20:20" s="566" customFormat="1">
      <c r="T9602" s="41"/>
    </row>
    <row r="9603" spans="20:20" s="566" customFormat="1">
      <c r="T9603" s="41"/>
    </row>
    <row r="9604" spans="20:20" s="566" customFormat="1">
      <c r="T9604" s="41"/>
    </row>
    <row r="9605" spans="20:20" s="566" customFormat="1">
      <c r="T9605" s="41"/>
    </row>
    <row r="9606" spans="20:20" s="566" customFormat="1">
      <c r="T9606" s="41"/>
    </row>
    <row r="9607" spans="20:20" s="566" customFormat="1">
      <c r="T9607" s="41"/>
    </row>
    <row r="9608" spans="20:20" s="566" customFormat="1">
      <c r="T9608" s="41"/>
    </row>
    <row r="9609" spans="20:20" s="566" customFormat="1">
      <c r="T9609" s="41"/>
    </row>
    <row r="9610" spans="20:20" s="566" customFormat="1">
      <c r="T9610" s="41"/>
    </row>
    <row r="9611" spans="20:20" s="566" customFormat="1">
      <c r="T9611" s="41"/>
    </row>
    <row r="9612" spans="20:20" s="566" customFormat="1">
      <c r="T9612" s="41"/>
    </row>
    <row r="9613" spans="20:20" s="566" customFormat="1">
      <c r="T9613" s="41"/>
    </row>
    <row r="9614" spans="20:20" s="566" customFormat="1">
      <c r="T9614" s="41"/>
    </row>
    <row r="9615" spans="20:20" s="566" customFormat="1">
      <c r="T9615" s="41"/>
    </row>
    <row r="9616" spans="20:20" s="566" customFormat="1">
      <c r="T9616" s="41"/>
    </row>
    <row r="9617" spans="20:20" s="566" customFormat="1">
      <c r="T9617" s="41"/>
    </row>
    <row r="9618" spans="20:20" s="566" customFormat="1">
      <c r="T9618" s="41"/>
    </row>
    <row r="9619" spans="20:20" s="566" customFormat="1">
      <c r="T9619" s="41"/>
    </row>
    <row r="9620" spans="20:20" s="566" customFormat="1">
      <c r="T9620" s="41"/>
    </row>
    <row r="9621" spans="20:20" s="566" customFormat="1">
      <c r="T9621" s="41"/>
    </row>
    <row r="9622" spans="20:20" s="566" customFormat="1">
      <c r="T9622" s="41"/>
    </row>
    <row r="9623" spans="20:20" s="566" customFormat="1">
      <c r="T9623" s="41"/>
    </row>
    <row r="9624" spans="20:20" s="566" customFormat="1">
      <c r="T9624" s="41"/>
    </row>
    <row r="9625" spans="20:20" s="566" customFormat="1">
      <c r="T9625" s="41"/>
    </row>
    <row r="9626" spans="20:20" s="566" customFormat="1">
      <c r="T9626" s="41"/>
    </row>
    <row r="9627" spans="20:20" s="566" customFormat="1">
      <c r="T9627" s="41"/>
    </row>
    <row r="9628" spans="20:20" s="566" customFormat="1">
      <c r="T9628" s="41"/>
    </row>
    <row r="9629" spans="20:20" s="566" customFormat="1">
      <c r="T9629" s="41"/>
    </row>
    <row r="9630" spans="20:20" s="566" customFormat="1">
      <c r="T9630" s="41"/>
    </row>
    <row r="9631" spans="20:20" s="566" customFormat="1">
      <c r="T9631" s="41"/>
    </row>
    <row r="9632" spans="20:20" s="566" customFormat="1">
      <c r="T9632" s="41"/>
    </row>
    <row r="9633" spans="20:20" s="566" customFormat="1">
      <c r="T9633" s="41"/>
    </row>
    <row r="9634" spans="20:20" s="566" customFormat="1">
      <c r="T9634" s="41"/>
    </row>
    <row r="9635" spans="20:20" s="566" customFormat="1">
      <c r="T9635" s="41"/>
    </row>
    <row r="9636" spans="20:20" s="566" customFormat="1">
      <c r="T9636" s="41"/>
    </row>
    <row r="9637" spans="20:20" s="566" customFormat="1">
      <c r="T9637" s="41"/>
    </row>
    <row r="9638" spans="20:20" s="566" customFormat="1">
      <c r="T9638" s="41"/>
    </row>
    <row r="9639" spans="20:20" s="566" customFormat="1">
      <c r="T9639" s="41"/>
    </row>
    <row r="9640" spans="20:20" s="566" customFormat="1">
      <c r="T9640" s="41"/>
    </row>
    <row r="9641" spans="20:20" s="566" customFormat="1">
      <c r="T9641" s="41"/>
    </row>
    <row r="9642" spans="20:20" s="566" customFormat="1">
      <c r="T9642" s="41"/>
    </row>
    <row r="9643" spans="20:20" s="566" customFormat="1">
      <c r="T9643" s="41"/>
    </row>
    <row r="9644" spans="20:20" s="566" customFormat="1">
      <c r="T9644" s="41"/>
    </row>
    <row r="9645" spans="20:20" s="566" customFormat="1">
      <c r="T9645" s="41"/>
    </row>
    <row r="9646" spans="20:20" s="566" customFormat="1">
      <c r="T9646" s="41"/>
    </row>
    <row r="9647" spans="20:20" s="566" customFormat="1">
      <c r="T9647" s="41"/>
    </row>
    <row r="9648" spans="20:20" s="566" customFormat="1">
      <c r="T9648" s="41"/>
    </row>
    <row r="9649" spans="20:20" s="566" customFormat="1">
      <c r="T9649" s="41"/>
    </row>
    <row r="9650" spans="20:20" s="566" customFormat="1">
      <c r="T9650" s="41"/>
    </row>
    <row r="9651" spans="20:20" s="566" customFormat="1">
      <c r="T9651" s="41"/>
    </row>
    <row r="9652" spans="20:20" s="566" customFormat="1">
      <c r="T9652" s="41"/>
    </row>
    <row r="9653" spans="20:20" s="566" customFormat="1">
      <c r="T9653" s="41"/>
    </row>
    <row r="9654" spans="20:20" s="566" customFormat="1">
      <c r="T9654" s="41"/>
    </row>
    <row r="9655" spans="20:20" s="566" customFormat="1">
      <c r="T9655" s="41"/>
    </row>
    <row r="9656" spans="20:20" s="566" customFormat="1">
      <c r="T9656" s="41"/>
    </row>
    <row r="9657" spans="20:20" s="566" customFormat="1">
      <c r="T9657" s="41"/>
    </row>
    <row r="9658" spans="20:20" s="566" customFormat="1">
      <c r="T9658" s="41"/>
    </row>
    <row r="9659" spans="20:20" s="566" customFormat="1">
      <c r="T9659" s="41"/>
    </row>
    <row r="9660" spans="20:20" s="566" customFormat="1">
      <c r="T9660" s="41"/>
    </row>
    <row r="9661" spans="20:20" s="566" customFormat="1">
      <c r="T9661" s="41"/>
    </row>
    <row r="9662" spans="20:20" s="566" customFormat="1">
      <c r="T9662" s="41"/>
    </row>
    <row r="9663" spans="20:20" s="566" customFormat="1">
      <c r="T9663" s="41"/>
    </row>
    <row r="9664" spans="20:20" s="566" customFormat="1">
      <c r="T9664" s="41"/>
    </row>
    <row r="9665" spans="20:20" s="566" customFormat="1">
      <c r="T9665" s="41"/>
    </row>
    <row r="9666" spans="20:20" s="566" customFormat="1">
      <c r="T9666" s="41"/>
    </row>
    <row r="9667" spans="20:20" s="566" customFormat="1">
      <c r="T9667" s="41"/>
    </row>
    <row r="9668" spans="20:20" s="566" customFormat="1">
      <c r="T9668" s="41"/>
    </row>
    <row r="9669" spans="20:20" s="566" customFormat="1">
      <c r="T9669" s="41"/>
    </row>
    <row r="9670" spans="20:20" s="566" customFormat="1">
      <c r="T9670" s="41"/>
    </row>
    <row r="9671" spans="20:20" s="566" customFormat="1">
      <c r="T9671" s="41"/>
    </row>
    <row r="9672" spans="20:20" s="566" customFormat="1">
      <c r="T9672" s="41"/>
    </row>
    <row r="9673" spans="20:20" s="566" customFormat="1">
      <c r="T9673" s="41"/>
    </row>
    <row r="9674" spans="20:20" s="566" customFormat="1">
      <c r="T9674" s="41"/>
    </row>
    <row r="9675" spans="20:20" s="566" customFormat="1">
      <c r="T9675" s="41"/>
    </row>
    <row r="9676" spans="20:20" s="566" customFormat="1">
      <c r="T9676" s="41"/>
    </row>
    <row r="9677" spans="20:20" s="566" customFormat="1">
      <c r="T9677" s="41"/>
    </row>
    <row r="9678" spans="20:20" s="566" customFormat="1">
      <c r="T9678" s="41"/>
    </row>
    <row r="9679" spans="20:20" s="566" customFormat="1">
      <c r="T9679" s="41"/>
    </row>
    <row r="9680" spans="20:20" s="566" customFormat="1">
      <c r="T9680" s="41"/>
    </row>
    <row r="9681" spans="20:20" s="566" customFormat="1">
      <c r="T9681" s="41"/>
    </row>
    <row r="9682" spans="20:20" s="566" customFormat="1">
      <c r="T9682" s="41"/>
    </row>
    <row r="9683" spans="20:20" s="566" customFormat="1">
      <c r="T9683" s="41"/>
    </row>
    <row r="9684" spans="20:20" s="566" customFormat="1">
      <c r="T9684" s="41"/>
    </row>
    <row r="9685" spans="20:20" s="566" customFormat="1">
      <c r="T9685" s="41"/>
    </row>
    <row r="9686" spans="20:20" s="566" customFormat="1">
      <c r="T9686" s="41"/>
    </row>
    <row r="9687" spans="20:20" s="566" customFormat="1">
      <c r="T9687" s="41"/>
    </row>
    <row r="9688" spans="20:20" s="566" customFormat="1">
      <c r="T9688" s="41"/>
    </row>
    <row r="9689" spans="20:20" s="566" customFormat="1">
      <c r="T9689" s="41"/>
    </row>
    <row r="9690" spans="20:20" s="566" customFormat="1">
      <c r="T9690" s="41"/>
    </row>
    <row r="9691" spans="20:20" s="566" customFormat="1">
      <c r="T9691" s="41"/>
    </row>
    <row r="9692" spans="20:20" s="566" customFormat="1">
      <c r="T9692" s="41"/>
    </row>
    <row r="9693" spans="20:20" s="566" customFormat="1">
      <c r="T9693" s="41"/>
    </row>
    <row r="9694" spans="20:20" s="566" customFormat="1">
      <c r="T9694" s="41"/>
    </row>
    <row r="9695" spans="20:20" s="566" customFormat="1">
      <c r="T9695" s="41"/>
    </row>
    <row r="9696" spans="20:20" s="566" customFormat="1">
      <c r="T9696" s="41"/>
    </row>
    <row r="9697" spans="20:20" s="566" customFormat="1">
      <c r="T9697" s="41"/>
    </row>
    <row r="9698" spans="20:20" s="566" customFormat="1">
      <c r="T9698" s="41"/>
    </row>
    <row r="9699" spans="20:20" s="566" customFormat="1">
      <c r="T9699" s="41"/>
    </row>
    <row r="9700" spans="20:20" s="566" customFormat="1">
      <c r="T9700" s="41"/>
    </row>
    <row r="9701" spans="20:20" s="566" customFormat="1">
      <c r="T9701" s="41"/>
    </row>
    <row r="9702" spans="20:20" s="566" customFormat="1">
      <c r="T9702" s="41"/>
    </row>
    <row r="9703" spans="20:20" s="566" customFormat="1">
      <c r="T9703" s="41"/>
    </row>
    <row r="9704" spans="20:20" s="566" customFormat="1">
      <c r="T9704" s="41"/>
    </row>
    <row r="9705" spans="20:20" s="566" customFormat="1">
      <c r="T9705" s="41"/>
    </row>
    <row r="9706" spans="20:20" s="566" customFormat="1">
      <c r="T9706" s="41"/>
    </row>
    <row r="9707" spans="20:20" s="566" customFormat="1">
      <c r="T9707" s="41"/>
    </row>
    <row r="9708" spans="20:20" s="566" customFormat="1">
      <c r="T9708" s="41"/>
    </row>
    <row r="9709" spans="20:20" s="566" customFormat="1">
      <c r="T9709" s="41"/>
    </row>
    <row r="9710" spans="20:20" s="566" customFormat="1">
      <c r="T9710" s="41"/>
    </row>
    <row r="9711" spans="20:20" s="566" customFormat="1">
      <c r="T9711" s="41"/>
    </row>
    <row r="9712" spans="20:20" s="566" customFormat="1">
      <c r="T9712" s="41"/>
    </row>
    <row r="9713" spans="20:20" s="566" customFormat="1">
      <c r="T9713" s="41"/>
    </row>
    <row r="9714" spans="20:20" s="566" customFormat="1">
      <c r="T9714" s="41"/>
    </row>
    <row r="9715" spans="20:20" s="566" customFormat="1">
      <c r="T9715" s="41"/>
    </row>
    <row r="9716" spans="20:20" s="566" customFormat="1">
      <c r="T9716" s="41"/>
    </row>
    <row r="9717" spans="20:20" s="566" customFormat="1">
      <c r="T9717" s="41"/>
    </row>
    <row r="9718" spans="20:20" s="566" customFormat="1">
      <c r="T9718" s="41"/>
    </row>
    <row r="9719" spans="20:20" s="566" customFormat="1">
      <c r="T9719" s="41"/>
    </row>
    <row r="9720" spans="20:20" s="566" customFormat="1">
      <c r="T9720" s="41"/>
    </row>
    <row r="9721" spans="20:20" s="566" customFormat="1">
      <c r="T9721" s="41"/>
    </row>
    <row r="9722" spans="20:20" s="566" customFormat="1">
      <c r="T9722" s="41"/>
    </row>
    <row r="9723" spans="20:20" s="566" customFormat="1">
      <c r="T9723" s="41"/>
    </row>
    <row r="9724" spans="20:20" s="566" customFormat="1">
      <c r="T9724" s="41"/>
    </row>
    <row r="9725" spans="20:20" s="566" customFormat="1">
      <c r="T9725" s="41"/>
    </row>
    <row r="9726" spans="20:20" s="566" customFormat="1">
      <c r="T9726" s="41"/>
    </row>
    <row r="9727" spans="20:20" s="566" customFormat="1">
      <c r="T9727" s="41"/>
    </row>
    <row r="9728" spans="20:20" s="566" customFormat="1">
      <c r="T9728" s="41"/>
    </row>
    <row r="9729" spans="20:20" s="566" customFormat="1">
      <c r="T9729" s="41"/>
    </row>
    <row r="9730" spans="20:20" s="566" customFormat="1">
      <c r="T9730" s="41"/>
    </row>
    <row r="9731" spans="20:20" s="566" customFormat="1">
      <c r="T9731" s="41"/>
    </row>
    <row r="9732" spans="20:20" s="566" customFormat="1">
      <c r="T9732" s="41"/>
    </row>
    <row r="9733" spans="20:20" s="566" customFormat="1">
      <c r="T9733" s="41"/>
    </row>
    <row r="9734" spans="20:20" s="566" customFormat="1">
      <c r="T9734" s="41"/>
    </row>
    <row r="9735" spans="20:20" s="566" customFormat="1">
      <c r="T9735" s="41"/>
    </row>
    <row r="9736" spans="20:20" s="566" customFormat="1">
      <c r="T9736" s="41"/>
    </row>
    <row r="9737" spans="20:20" s="566" customFormat="1">
      <c r="T9737" s="41"/>
    </row>
    <row r="9738" spans="20:20" s="566" customFormat="1">
      <c r="T9738" s="41"/>
    </row>
    <row r="9739" spans="20:20" s="566" customFormat="1">
      <c r="T9739" s="41"/>
    </row>
    <row r="9740" spans="20:20" s="566" customFormat="1">
      <c r="T9740" s="41"/>
    </row>
    <row r="9741" spans="20:20" s="566" customFormat="1">
      <c r="T9741" s="41"/>
    </row>
    <row r="9742" spans="20:20" s="566" customFormat="1">
      <c r="T9742" s="41"/>
    </row>
    <row r="9743" spans="20:20" s="566" customFormat="1">
      <c r="T9743" s="41"/>
    </row>
    <row r="9744" spans="20:20" s="566" customFormat="1">
      <c r="T9744" s="41"/>
    </row>
    <row r="9745" spans="20:20" s="566" customFormat="1">
      <c r="T9745" s="41"/>
    </row>
    <row r="9746" spans="20:20" s="566" customFormat="1">
      <c r="T9746" s="41"/>
    </row>
    <row r="9747" spans="20:20" s="566" customFormat="1">
      <c r="T9747" s="41"/>
    </row>
    <row r="9748" spans="20:20" s="566" customFormat="1">
      <c r="T9748" s="41"/>
    </row>
    <row r="9749" spans="20:20" s="566" customFormat="1">
      <c r="T9749" s="41"/>
    </row>
    <row r="9750" spans="20:20" s="566" customFormat="1">
      <c r="T9750" s="41"/>
    </row>
    <row r="9751" spans="20:20" s="566" customFormat="1">
      <c r="T9751" s="41"/>
    </row>
    <row r="9752" spans="20:20" s="566" customFormat="1">
      <c r="T9752" s="41"/>
    </row>
    <row r="9753" spans="20:20" s="566" customFormat="1">
      <c r="T9753" s="41"/>
    </row>
    <row r="9754" spans="20:20" s="566" customFormat="1">
      <c r="T9754" s="41"/>
    </row>
    <row r="9755" spans="20:20" s="566" customFormat="1">
      <c r="T9755" s="41"/>
    </row>
    <row r="9756" spans="20:20" s="566" customFormat="1">
      <c r="T9756" s="41"/>
    </row>
    <row r="9757" spans="20:20" s="566" customFormat="1">
      <c r="T9757" s="41"/>
    </row>
    <row r="9758" spans="20:20" s="566" customFormat="1">
      <c r="T9758" s="41"/>
    </row>
    <row r="9759" spans="20:20" s="566" customFormat="1">
      <c r="T9759" s="41"/>
    </row>
    <row r="9760" spans="20:20" s="566" customFormat="1">
      <c r="T9760" s="41"/>
    </row>
    <row r="9761" spans="20:20" s="566" customFormat="1">
      <c r="T9761" s="41"/>
    </row>
    <row r="9762" spans="20:20" s="566" customFormat="1">
      <c r="T9762" s="41"/>
    </row>
    <row r="9763" spans="20:20" s="566" customFormat="1">
      <c r="T9763" s="41"/>
    </row>
    <row r="9764" spans="20:20" s="566" customFormat="1">
      <c r="T9764" s="41"/>
    </row>
    <row r="9765" spans="20:20" s="566" customFormat="1">
      <c r="T9765" s="41"/>
    </row>
    <row r="9766" spans="20:20" s="566" customFormat="1">
      <c r="T9766" s="41"/>
    </row>
    <row r="9767" spans="20:20" s="566" customFormat="1">
      <c r="T9767" s="41"/>
    </row>
    <row r="9768" spans="20:20" s="566" customFormat="1">
      <c r="T9768" s="41"/>
    </row>
    <row r="9769" spans="20:20" s="566" customFormat="1">
      <c r="T9769" s="41"/>
    </row>
    <row r="9770" spans="20:20" s="566" customFormat="1">
      <c r="T9770" s="41"/>
    </row>
    <row r="9771" spans="20:20" s="566" customFormat="1">
      <c r="T9771" s="41"/>
    </row>
    <row r="9772" spans="20:20" s="566" customFormat="1">
      <c r="T9772" s="41"/>
    </row>
    <row r="9773" spans="20:20" s="566" customFormat="1">
      <c r="T9773" s="41"/>
    </row>
    <row r="9774" spans="20:20" s="566" customFormat="1">
      <c r="T9774" s="41"/>
    </row>
    <row r="9775" spans="20:20" s="566" customFormat="1">
      <c r="T9775" s="41"/>
    </row>
    <row r="9776" spans="20:20" s="566" customFormat="1">
      <c r="T9776" s="41"/>
    </row>
    <row r="9777" spans="20:20" s="566" customFormat="1">
      <c r="T9777" s="41"/>
    </row>
    <row r="9778" spans="20:20" s="566" customFormat="1">
      <c r="T9778" s="41"/>
    </row>
    <row r="9779" spans="20:20" s="566" customFormat="1">
      <c r="T9779" s="41"/>
    </row>
    <row r="9780" spans="20:20" s="566" customFormat="1">
      <c r="T9780" s="41"/>
    </row>
    <row r="9781" spans="20:20" s="566" customFormat="1">
      <c r="T9781" s="41"/>
    </row>
    <row r="9782" spans="20:20" s="566" customFormat="1">
      <c r="T9782" s="41"/>
    </row>
    <row r="9783" spans="20:20" s="566" customFormat="1">
      <c r="T9783" s="41"/>
    </row>
    <row r="9784" spans="20:20" s="566" customFormat="1">
      <c r="T9784" s="41"/>
    </row>
    <row r="9785" spans="20:20" s="566" customFormat="1">
      <c r="T9785" s="41"/>
    </row>
    <row r="9786" spans="20:20" s="566" customFormat="1">
      <c r="T9786" s="41"/>
    </row>
    <row r="9787" spans="20:20" s="566" customFormat="1">
      <c r="T9787" s="41"/>
    </row>
    <row r="9788" spans="20:20" s="566" customFormat="1">
      <c r="T9788" s="41"/>
    </row>
    <row r="9789" spans="20:20" s="566" customFormat="1">
      <c r="T9789" s="41"/>
    </row>
    <row r="9790" spans="20:20" s="566" customFormat="1">
      <c r="T9790" s="41"/>
    </row>
    <row r="9791" spans="20:20" s="566" customFormat="1">
      <c r="T9791" s="41"/>
    </row>
    <row r="9792" spans="20:20" s="566" customFormat="1">
      <c r="T9792" s="41"/>
    </row>
    <row r="9793" spans="20:20" s="566" customFormat="1">
      <c r="T9793" s="41"/>
    </row>
    <row r="9794" spans="20:20" s="566" customFormat="1">
      <c r="T9794" s="41"/>
    </row>
    <row r="9795" spans="20:20" s="566" customFormat="1">
      <c r="T9795" s="41"/>
    </row>
    <row r="9796" spans="20:20" s="566" customFormat="1">
      <c r="T9796" s="41"/>
    </row>
    <row r="9797" spans="20:20" s="566" customFormat="1">
      <c r="T9797" s="41"/>
    </row>
    <row r="9798" spans="20:20" s="566" customFormat="1">
      <c r="T9798" s="41"/>
    </row>
    <row r="9799" spans="20:20" s="566" customFormat="1">
      <c r="T9799" s="41"/>
    </row>
    <row r="9800" spans="20:20" s="566" customFormat="1">
      <c r="T9800" s="41"/>
    </row>
    <row r="9801" spans="20:20" s="566" customFormat="1">
      <c r="T9801" s="41"/>
    </row>
    <row r="9802" spans="20:20" s="566" customFormat="1">
      <c r="T9802" s="41"/>
    </row>
    <row r="9803" spans="20:20" s="566" customFormat="1">
      <c r="T9803" s="41"/>
    </row>
    <row r="9804" spans="20:20" s="566" customFormat="1">
      <c r="T9804" s="41"/>
    </row>
    <row r="9805" spans="20:20" s="566" customFormat="1">
      <c r="T9805" s="41"/>
    </row>
    <row r="9806" spans="20:20" s="566" customFormat="1">
      <c r="T9806" s="41"/>
    </row>
    <row r="9807" spans="20:20" s="566" customFormat="1">
      <c r="T9807" s="41"/>
    </row>
    <row r="9808" spans="20:20" s="566" customFormat="1">
      <c r="T9808" s="41"/>
    </row>
    <row r="9809" spans="20:20" s="566" customFormat="1">
      <c r="T9809" s="41"/>
    </row>
    <row r="9810" spans="20:20" s="566" customFormat="1">
      <c r="T9810" s="41"/>
    </row>
    <row r="9811" spans="20:20" s="566" customFormat="1">
      <c r="T9811" s="41"/>
    </row>
    <row r="9812" spans="20:20" s="566" customFormat="1">
      <c r="T9812" s="41"/>
    </row>
    <row r="9813" spans="20:20" s="566" customFormat="1">
      <c r="T9813" s="41"/>
    </row>
    <row r="9814" spans="20:20" s="566" customFormat="1">
      <c r="T9814" s="41"/>
    </row>
    <row r="9815" spans="20:20" s="566" customFormat="1">
      <c r="T9815" s="41"/>
    </row>
    <row r="9816" spans="20:20" s="566" customFormat="1">
      <c r="T9816" s="41"/>
    </row>
    <row r="9817" spans="20:20" s="566" customFormat="1">
      <c r="T9817" s="41"/>
    </row>
    <row r="9818" spans="20:20" s="566" customFormat="1">
      <c r="T9818" s="41"/>
    </row>
    <row r="9819" spans="20:20" s="566" customFormat="1">
      <c r="T9819" s="41"/>
    </row>
    <row r="9820" spans="20:20" s="566" customFormat="1">
      <c r="T9820" s="41"/>
    </row>
    <row r="9821" spans="20:20" s="566" customFormat="1">
      <c r="T9821" s="41"/>
    </row>
    <row r="9822" spans="20:20" s="566" customFormat="1">
      <c r="T9822" s="41"/>
    </row>
    <row r="9823" spans="20:20" s="566" customFormat="1">
      <c r="T9823" s="41"/>
    </row>
    <row r="9824" spans="20:20" s="566" customFormat="1">
      <c r="T9824" s="41"/>
    </row>
    <row r="9825" spans="20:20" s="566" customFormat="1">
      <c r="T9825" s="41"/>
    </row>
    <row r="9826" spans="20:20" s="566" customFormat="1">
      <c r="T9826" s="41"/>
    </row>
    <row r="9827" spans="20:20" s="566" customFormat="1">
      <c r="T9827" s="41"/>
    </row>
    <row r="9828" spans="20:20" s="566" customFormat="1">
      <c r="T9828" s="41"/>
    </row>
    <row r="9829" spans="20:20" s="566" customFormat="1">
      <c r="T9829" s="41"/>
    </row>
    <row r="9830" spans="20:20" s="566" customFormat="1">
      <c r="T9830" s="41"/>
    </row>
    <row r="9831" spans="20:20" s="566" customFormat="1">
      <c r="T9831" s="41"/>
    </row>
    <row r="9832" spans="20:20" s="566" customFormat="1">
      <c r="T9832" s="41"/>
    </row>
    <row r="9833" spans="20:20" s="566" customFormat="1">
      <c r="T9833" s="41"/>
    </row>
    <row r="9834" spans="20:20" s="566" customFormat="1">
      <c r="T9834" s="41"/>
    </row>
    <row r="9835" spans="20:20" s="566" customFormat="1">
      <c r="T9835" s="41"/>
    </row>
    <row r="9836" spans="20:20" s="566" customFormat="1">
      <c r="T9836" s="41"/>
    </row>
    <row r="9837" spans="20:20" s="566" customFormat="1">
      <c r="T9837" s="41"/>
    </row>
    <row r="9838" spans="20:20" s="566" customFormat="1">
      <c r="T9838" s="41"/>
    </row>
    <row r="9839" spans="20:20" s="566" customFormat="1">
      <c r="T9839" s="41"/>
    </row>
    <row r="9840" spans="20:20" s="566" customFormat="1">
      <c r="T9840" s="41"/>
    </row>
    <row r="9841" spans="20:20" s="566" customFormat="1">
      <c r="T9841" s="41"/>
    </row>
    <row r="9842" spans="20:20" s="566" customFormat="1">
      <c r="T9842" s="41"/>
    </row>
    <row r="9843" spans="20:20" s="566" customFormat="1">
      <c r="T9843" s="41"/>
    </row>
    <row r="9844" spans="20:20" s="566" customFormat="1">
      <c r="T9844" s="41"/>
    </row>
    <row r="9845" spans="20:20" s="566" customFormat="1">
      <c r="T9845" s="41"/>
    </row>
    <row r="9846" spans="20:20" s="566" customFormat="1">
      <c r="T9846" s="41"/>
    </row>
    <row r="9847" spans="20:20" s="566" customFormat="1">
      <c r="T9847" s="41"/>
    </row>
    <row r="9848" spans="20:20" s="566" customFormat="1">
      <c r="T9848" s="41"/>
    </row>
    <row r="9849" spans="20:20" s="566" customFormat="1">
      <c r="T9849" s="41"/>
    </row>
    <row r="9850" spans="20:20" s="566" customFormat="1">
      <c r="T9850" s="41"/>
    </row>
    <row r="9851" spans="20:20" s="566" customFormat="1">
      <c r="T9851" s="41"/>
    </row>
    <row r="9852" spans="20:20" s="566" customFormat="1">
      <c r="T9852" s="41"/>
    </row>
    <row r="9853" spans="20:20" s="566" customFormat="1">
      <c r="T9853" s="41"/>
    </row>
    <row r="9854" spans="20:20" s="566" customFormat="1">
      <c r="T9854" s="41"/>
    </row>
    <row r="9855" spans="20:20" s="566" customFormat="1">
      <c r="T9855" s="41"/>
    </row>
    <row r="9856" spans="20:20" s="566" customFormat="1">
      <c r="T9856" s="41"/>
    </row>
    <row r="9857" spans="20:20" s="566" customFormat="1">
      <c r="T9857" s="41"/>
    </row>
    <row r="9858" spans="20:20" s="566" customFormat="1">
      <c r="T9858" s="41"/>
    </row>
    <row r="9859" spans="20:20" s="566" customFormat="1">
      <c r="T9859" s="41"/>
    </row>
    <row r="9860" spans="20:20" s="566" customFormat="1">
      <c r="T9860" s="41"/>
    </row>
    <row r="9861" spans="20:20" s="566" customFormat="1">
      <c r="T9861" s="41"/>
    </row>
    <row r="9862" spans="20:20" s="566" customFormat="1">
      <c r="T9862" s="41"/>
    </row>
    <row r="9863" spans="20:20" s="566" customFormat="1">
      <c r="T9863" s="41"/>
    </row>
    <row r="9864" spans="20:20" s="566" customFormat="1">
      <c r="T9864" s="41"/>
    </row>
    <row r="9865" spans="20:20" s="566" customFormat="1">
      <c r="T9865" s="41"/>
    </row>
    <row r="9866" spans="20:20" s="566" customFormat="1">
      <c r="T9866" s="41"/>
    </row>
    <row r="9867" spans="20:20" s="566" customFormat="1">
      <c r="T9867" s="41"/>
    </row>
    <row r="9868" spans="20:20" s="566" customFormat="1">
      <c r="T9868" s="41"/>
    </row>
    <row r="9869" spans="20:20" s="566" customFormat="1">
      <c r="T9869" s="41"/>
    </row>
    <row r="9870" spans="20:20" s="566" customFormat="1">
      <c r="T9870" s="41"/>
    </row>
    <row r="9871" spans="20:20" s="566" customFormat="1">
      <c r="T9871" s="41"/>
    </row>
    <row r="9872" spans="20:20" s="566" customFormat="1">
      <c r="T9872" s="41"/>
    </row>
    <row r="9873" spans="20:20" s="566" customFormat="1">
      <c r="T9873" s="41"/>
    </row>
    <row r="9874" spans="20:20" s="566" customFormat="1">
      <c r="T9874" s="41"/>
    </row>
    <row r="9875" spans="20:20" s="566" customFormat="1">
      <c r="T9875" s="41"/>
    </row>
    <row r="9876" spans="20:20" s="566" customFormat="1">
      <c r="T9876" s="41"/>
    </row>
    <row r="9877" spans="20:20" s="566" customFormat="1">
      <c r="T9877" s="41"/>
    </row>
    <row r="9878" spans="20:20" s="566" customFormat="1">
      <c r="T9878" s="41"/>
    </row>
    <row r="9879" spans="20:20" s="566" customFormat="1">
      <c r="T9879" s="41"/>
    </row>
    <row r="9880" spans="20:20" s="566" customFormat="1">
      <c r="T9880" s="41"/>
    </row>
    <row r="9881" spans="20:20" s="566" customFormat="1">
      <c r="T9881" s="41"/>
    </row>
    <row r="9882" spans="20:20" s="566" customFormat="1">
      <c r="T9882" s="41"/>
    </row>
    <row r="9883" spans="20:20" s="566" customFormat="1">
      <c r="T9883" s="41"/>
    </row>
    <row r="9884" spans="20:20" s="566" customFormat="1">
      <c r="T9884" s="41"/>
    </row>
    <row r="9885" spans="20:20" s="566" customFormat="1">
      <c r="T9885" s="41"/>
    </row>
    <row r="9886" spans="20:20" s="566" customFormat="1">
      <c r="T9886" s="41"/>
    </row>
    <row r="9887" spans="20:20" s="566" customFormat="1">
      <c r="T9887" s="41"/>
    </row>
    <row r="9888" spans="20:20" s="566" customFormat="1">
      <c r="T9888" s="41"/>
    </row>
    <row r="9889" spans="20:20" s="566" customFormat="1">
      <c r="T9889" s="41"/>
    </row>
    <row r="9890" spans="20:20" s="566" customFormat="1">
      <c r="T9890" s="41"/>
    </row>
    <row r="9891" spans="20:20" s="566" customFormat="1">
      <c r="T9891" s="41"/>
    </row>
    <row r="9892" spans="20:20" s="566" customFormat="1">
      <c r="T9892" s="41"/>
    </row>
    <row r="9893" spans="20:20" s="566" customFormat="1">
      <c r="T9893" s="41"/>
    </row>
    <row r="9894" spans="20:20" s="566" customFormat="1">
      <c r="T9894" s="41"/>
    </row>
    <row r="9895" spans="20:20" s="566" customFormat="1">
      <c r="T9895" s="41"/>
    </row>
    <row r="9896" spans="20:20" s="566" customFormat="1">
      <c r="T9896" s="41"/>
    </row>
    <row r="9897" spans="20:20" s="566" customFormat="1">
      <c r="T9897" s="41"/>
    </row>
    <row r="9898" spans="20:20" s="566" customFormat="1">
      <c r="T9898" s="41"/>
    </row>
    <row r="9899" spans="20:20" s="566" customFormat="1">
      <c r="T9899" s="41"/>
    </row>
    <row r="9900" spans="20:20" s="566" customFormat="1">
      <c r="T9900" s="41"/>
    </row>
    <row r="9901" spans="20:20" s="566" customFormat="1">
      <c r="T9901" s="41"/>
    </row>
    <row r="9902" spans="20:20" s="566" customFormat="1">
      <c r="T9902" s="41"/>
    </row>
    <row r="9903" spans="20:20" s="566" customFormat="1">
      <c r="T9903" s="41"/>
    </row>
    <row r="9904" spans="20:20" s="566" customFormat="1">
      <c r="T9904" s="41"/>
    </row>
    <row r="9905" spans="20:20" s="566" customFormat="1">
      <c r="T9905" s="41"/>
    </row>
    <row r="9906" spans="20:20" s="566" customFormat="1">
      <c r="T9906" s="41"/>
    </row>
    <row r="9907" spans="20:20" s="566" customFormat="1">
      <c r="T9907" s="41"/>
    </row>
    <row r="9908" spans="20:20" s="566" customFormat="1">
      <c r="T9908" s="41"/>
    </row>
    <row r="9909" spans="20:20" s="566" customFormat="1">
      <c r="T9909" s="41"/>
    </row>
    <row r="9910" spans="20:20" s="566" customFormat="1">
      <c r="T9910" s="41"/>
    </row>
    <row r="9911" spans="20:20" s="566" customFormat="1">
      <c r="T9911" s="41"/>
    </row>
    <row r="9912" spans="20:20" s="566" customFormat="1">
      <c r="T9912" s="41"/>
    </row>
    <row r="9913" spans="20:20" s="566" customFormat="1">
      <c r="T9913" s="41"/>
    </row>
    <row r="9914" spans="20:20" s="566" customFormat="1">
      <c r="T9914" s="41"/>
    </row>
    <row r="9915" spans="20:20" s="566" customFormat="1">
      <c r="T9915" s="41"/>
    </row>
    <row r="9916" spans="20:20" s="566" customFormat="1">
      <c r="T9916" s="41"/>
    </row>
    <row r="9917" spans="20:20" s="566" customFormat="1">
      <c r="T9917" s="41"/>
    </row>
    <row r="9918" spans="20:20" s="566" customFormat="1">
      <c r="T9918" s="41"/>
    </row>
    <row r="9919" spans="20:20" s="566" customFormat="1">
      <c r="T9919" s="41"/>
    </row>
    <row r="9920" spans="20:20" s="566" customFormat="1">
      <c r="T9920" s="41"/>
    </row>
    <row r="9921" spans="20:20" s="566" customFormat="1">
      <c r="T9921" s="41"/>
    </row>
    <row r="9922" spans="20:20" s="566" customFormat="1">
      <c r="T9922" s="41"/>
    </row>
    <row r="9923" spans="20:20" s="566" customFormat="1">
      <c r="T9923" s="41"/>
    </row>
    <row r="9924" spans="20:20" s="566" customFormat="1">
      <c r="T9924" s="41"/>
    </row>
    <row r="9925" spans="20:20" s="566" customFormat="1">
      <c r="T9925" s="41"/>
    </row>
    <row r="9926" spans="20:20" s="566" customFormat="1">
      <c r="T9926" s="41"/>
    </row>
    <row r="9927" spans="20:20" s="566" customFormat="1">
      <c r="T9927" s="41"/>
    </row>
    <row r="9928" spans="20:20" s="566" customFormat="1">
      <c r="T9928" s="41"/>
    </row>
    <row r="9929" spans="20:20" s="566" customFormat="1">
      <c r="T9929" s="41"/>
    </row>
    <row r="9930" spans="20:20" s="566" customFormat="1">
      <c r="T9930" s="41"/>
    </row>
    <row r="9931" spans="20:20" s="566" customFormat="1">
      <c r="T9931" s="41"/>
    </row>
    <row r="9932" spans="20:20" s="566" customFormat="1">
      <c r="T9932" s="41"/>
    </row>
    <row r="9933" spans="20:20" s="566" customFormat="1">
      <c r="T9933" s="41"/>
    </row>
    <row r="9934" spans="20:20" s="566" customFormat="1">
      <c r="T9934" s="41"/>
    </row>
    <row r="9935" spans="20:20" s="566" customFormat="1">
      <c r="T9935" s="41"/>
    </row>
    <row r="9936" spans="20:20" s="566" customFormat="1">
      <c r="T9936" s="41"/>
    </row>
    <row r="9937" spans="20:20" s="566" customFormat="1">
      <c r="T9937" s="41"/>
    </row>
    <row r="9938" spans="20:20" s="566" customFormat="1">
      <c r="T9938" s="41"/>
    </row>
    <row r="9939" spans="20:20" s="566" customFormat="1">
      <c r="T9939" s="41"/>
    </row>
    <row r="9940" spans="20:20" s="566" customFormat="1">
      <c r="T9940" s="41"/>
    </row>
    <row r="9941" spans="20:20" s="566" customFormat="1">
      <c r="T9941" s="41"/>
    </row>
    <row r="9942" spans="20:20" s="566" customFormat="1">
      <c r="T9942" s="41"/>
    </row>
    <row r="9943" spans="20:20" s="566" customFormat="1">
      <c r="T9943" s="41"/>
    </row>
    <row r="9944" spans="20:20" s="566" customFormat="1">
      <c r="T9944" s="41"/>
    </row>
    <row r="9945" spans="20:20" s="566" customFormat="1">
      <c r="T9945" s="41"/>
    </row>
    <row r="9946" spans="20:20" s="566" customFormat="1">
      <c r="T9946" s="41"/>
    </row>
    <row r="9947" spans="20:20" s="566" customFormat="1">
      <c r="T9947" s="41"/>
    </row>
    <row r="9948" spans="20:20" s="566" customFormat="1">
      <c r="T9948" s="41"/>
    </row>
    <row r="9949" spans="20:20" s="566" customFormat="1">
      <c r="T9949" s="41"/>
    </row>
    <row r="9950" spans="20:20" s="566" customFormat="1">
      <c r="T9950" s="41"/>
    </row>
    <row r="9951" spans="20:20" s="566" customFormat="1">
      <c r="T9951" s="41"/>
    </row>
    <row r="9952" spans="20:20" s="566" customFormat="1">
      <c r="T9952" s="41"/>
    </row>
    <row r="9953" spans="20:20" s="566" customFormat="1">
      <c r="T9953" s="41"/>
    </row>
    <row r="9954" spans="20:20" s="566" customFormat="1">
      <c r="T9954" s="41"/>
    </row>
    <row r="9955" spans="20:20" s="566" customFormat="1">
      <c r="T9955" s="41"/>
    </row>
    <row r="9956" spans="20:20" s="566" customFormat="1">
      <c r="T9956" s="41"/>
    </row>
    <row r="9957" spans="20:20" s="566" customFormat="1">
      <c r="T9957" s="41"/>
    </row>
    <row r="9958" spans="20:20" s="566" customFormat="1">
      <c r="T9958" s="41"/>
    </row>
    <row r="9959" spans="20:20" s="566" customFormat="1">
      <c r="T9959" s="41"/>
    </row>
    <row r="9960" spans="20:20" s="566" customFormat="1">
      <c r="T9960" s="41"/>
    </row>
    <row r="9961" spans="20:20" s="566" customFormat="1">
      <c r="T9961" s="41"/>
    </row>
    <row r="9962" spans="20:20" s="566" customFormat="1">
      <c r="T9962" s="41"/>
    </row>
    <row r="9963" spans="20:20" s="566" customFormat="1">
      <c r="T9963" s="41"/>
    </row>
    <row r="9964" spans="20:20" s="566" customFormat="1">
      <c r="T9964" s="41"/>
    </row>
    <row r="9965" spans="20:20" s="566" customFormat="1">
      <c r="T9965" s="41"/>
    </row>
    <row r="9966" spans="20:20" s="566" customFormat="1">
      <c r="T9966" s="41"/>
    </row>
    <row r="9967" spans="20:20" s="566" customFormat="1">
      <c r="T9967" s="41"/>
    </row>
    <row r="9968" spans="20:20" s="566" customFormat="1">
      <c r="T9968" s="41"/>
    </row>
    <row r="9969" spans="20:20" s="566" customFormat="1">
      <c r="T9969" s="41"/>
    </row>
    <row r="9970" spans="20:20" s="566" customFormat="1">
      <c r="T9970" s="41"/>
    </row>
    <row r="9971" spans="20:20" s="566" customFormat="1">
      <c r="T9971" s="41"/>
    </row>
    <row r="9972" spans="20:20" s="566" customFormat="1">
      <c r="T9972" s="41"/>
    </row>
    <row r="9973" spans="20:20" s="566" customFormat="1">
      <c r="T9973" s="41"/>
    </row>
    <row r="9974" spans="20:20" s="566" customFormat="1">
      <c r="T9974" s="41"/>
    </row>
    <row r="9975" spans="20:20" s="566" customFormat="1">
      <c r="T9975" s="41"/>
    </row>
    <row r="9976" spans="20:20" s="566" customFormat="1">
      <c r="T9976" s="41"/>
    </row>
    <row r="9977" spans="20:20" s="566" customFormat="1">
      <c r="T9977" s="41"/>
    </row>
    <row r="9978" spans="20:20" s="566" customFormat="1">
      <c r="T9978" s="41"/>
    </row>
    <row r="9979" spans="20:20" s="566" customFormat="1">
      <c r="T9979" s="41"/>
    </row>
    <row r="9980" spans="20:20" s="566" customFormat="1">
      <c r="T9980" s="41"/>
    </row>
    <row r="9981" spans="20:20" s="566" customFormat="1">
      <c r="T9981" s="41"/>
    </row>
    <row r="9982" spans="20:20" s="566" customFormat="1">
      <c r="T9982" s="41"/>
    </row>
    <row r="9983" spans="20:20" s="566" customFormat="1">
      <c r="T9983" s="41"/>
    </row>
    <row r="9984" spans="20:20" s="566" customFormat="1">
      <c r="T9984" s="41"/>
    </row>
    <row r="9985" spans="20:20" s="566" customFormat="1">
      <c r="T9985" s="41"/>
    </row>
    <row r="9986" spans="20:20" s="566" customFormat="1">
      <c r="T9986" s="41"/>
    </row>
    <row r="9987" spans="20:20" s="566" customFormat="1">
      <c r="T9987" s="41"/>
    </row>
    <row r="9988" spans="20:20" s="566" customFormat="1">
      <c r="T9988" s="41"/>
    </row>
    <row r="9989" spans="20:20" s="566" customFormat="1">
      <c r="T9989" s="41"/>
    </row>
    <row r="9990" spans="20:20" s="566" customFormat="1">
      <c r="T9990" s="41"/>
    </row>
    <row r="9991" spans="20:20" s="566" customFormat="1">
      <c r="T9991" s="41"/>
    </row>
    <row r="9992" spans="20:20" s="566" customFormat="1">
      <c r="T9992" s="41"/>
    </row>
    <row r="9993" spans="20:20" s="566" customFormat="1">
      <c r="T9993" s="41"/>
    </row>
    <row r="9994" spans="20:20" s="566" customFormat="1">
      <c r="T9994" s="41"/>
    </row>
    <row r="9995" spans="20:20" s="566" customFormat="1">
      <c r="T9995" s="41"/>
    </row>
    <row r="9996" spans="20:20" s="566" customFormat="1">
      <c r="T9996" s="41"/>
    </row>
    <row r="9997" spans="20:20" s="566" customFormat="1">
      <c r="T9997" s="41"/>
    </row>
    <row r="9998" spans="20:20" s="566" customFormat="1">
      <c r="T9998" s="41"/>
    </row>
    <row r="9999" spans="20:20" s="566" customFormat="1">
      <c r="T9999" s="41"/>
    </row>
    <row r="10000" spans="20:20" s="566" customFormat="1">
      <c r="T10000" s="41"/>
    </row>
    <row r="10001" spans="20:20" s="566" customFormat="1">
      <c r="T10001" s="41"/>
    </row>
    <row r="10002" spans="20:20" s="566" customFormat="1">
      <c r="T10002" s="41"/>
    </row>
    <row r="10003" spans="20:20" s="566" customFormat="1">
      <c r="T10003" s="41"/>
    </row>
    <row r="10004" spans="20:20" s="566" customFormat="1">
      <c r="T10004" s="41"/>
    </row>
    <row r="10005" spans="20:20" s="566" customFormat="1">
      <c r="T10005" s="41"/>
    </row>
    <row r="10006" spans="20:20" s="566" customFormat="1">
      <c r="T10006" s="41"/>
    </row>
    <row r="10007" spans="20:20" s="566" customFormat="1">
      <c r="T10007" s="41"/>
    </row>
    <row r="10008" spans="20:20" s="566" customFormat="1">
      <c r="T10008" s="41"/>
    </row>
    <row r="10009" spans="20:20" s="566" customFormat="1">
      <c r="T10009" s="41"/>
    </row>
    <row r="10010" spans="20:20" s="566" customFormat="1">
      <c r="T10010" s="41"/>
    </row>
    <row r="10011" spans="20:20" s="566" customFormat="1">
      <c r="T10011" s="41"/>
    </row>
    <row r="10012" spans="20:20" s="566" customFormat="1">
      <c r="T10012" s="41"/>
    </row>
    <row r="10013" spans="20:20" s="566" customFormat="1">
      <c r="T10013" s="41"/>
    </row>
    <row r="10014" spans="20:20" s="566" customFormat="1">
      <c r="T10014" s="41"/>
    </row>
    <row r="10015" spans="20:20" s="566" customFormat="1">
      <c r="T10015" s="41"/>
    </row>
    <row r="10016" spans="20:20" s="566" customFormat="1">
      <c r="T10016" s="41"/>
    </row>
    <row r="10017" spans="20:20" s="566" customFormat="1">
      <c r="T10017" s="41"/>
    </row>
    <row r="10018" spans="20:20" s="566" customFormat="1">
      <c r="T10018" s="41"/>
    </row>
    <row r="10019" spans="20:20" s="566" customFormat="1">
      <c r="T10019" s="41"/>
    </row>
    <row r="10020" spans="20:20" s="566" customFormat="1">
      <c r="T10020" s="41"/>
    </row>
    <row r="10021" spans="20:20" s="566" customFormat="1">
      <c r="T10021" s="41"/>
    </row>
    <row r="10022" spans="20:20" s="566" customFormat="1">
      <c r="T10022" s="41"/>
    </row>
    <row r="10023" spans="20:20" s="566" customFormat="1">
      <c r="T10023" s="41"/>
    </row>
    <row r="10024" spans="20:20" s="566" customFormat="1">
      <c r="T10024" s="41"/>
    </row>
    <row r="10025" spans="20:20" s="566" customFormat="1">
      <c r="T10025" s="41"/>
    </row>
    <row r="10026" spans="20:20" s="566" customFormat="1">
      <c r="T10026" s="41"/>
    </row>
    <row r="10027" spans="20:20" s="566" customFormat="1">
      <c r="T10027" s="41"/>
    </row>
    <row r="10028" spans="20:20" s="566" customFormat="1">
      <c r="T10028" s="41"/>
    </row>
    <row r="10029" spans="20:20" s="566" customFormat="1">
      <c r="T10029" s="41"/>
    </row>
    <row r="10030" spans="20:20" s="566" customFormat="1">
      <c r="T10030" s="41"/>
    </row>
    <row r="10031" spans="20:20" s="566" customFormat="1">
      <c r="T10031" s="41"/>
    </row>
    <row r="10032" spans="20:20" s="566" customFormat="1">
      <c r="T10032" s="41"/>
    </row>
    <row r="10033" spans="20:20" s="566" customFormat="1">
      <c r="T10033" s="41"/>
    </row>
    <row r="10034" spans="20:20" s="566" customFormat="1">
      <c r="T10034" s="41"/>
    </row>
    <row r="10035" spans="20:20" s="566" customFormat="1">
      <c r="T10035" s="41"/>
    </row>
    <row r="10036" spans="20:20" s="566" customFormat="1">
      <c r="T10036" s="41"/>
    </row>
    <row r="10037" spans="20:20" s="566" customFormat="1">
      <c r="T10037" s="41"/>
    </row>
    <row r="10038" spans="20:20" s="566" customFormat="1">
      <c r="T10038" s="41"/>
    </row>
    <row r="10039" spans="20:20" s="566" customFormat="1">
      <c r="T10039" s="41"/>
    </row>
    <row r="10040" spans="20:20" s="566" customFormat="1">
      <c r="T10040" s="41"/>
    </row>
    <row r="10041" spans="20:20" s="566" customFormat="1">
      <c r="T10041" s="41"/>
    </row>
    <row r="10042" spans="20:20" s="566" customFormat="1">
      <c r="T10042" s="41"/>
    </row>
    <row r="10043" spans="20:20" s="566" customFormat="1">
      <c r="T10043" s="41"/>
    </row>
    <row r="10044" spans="20:20" s="566" customFormat="1">
      <c r="T10044" s="41"/>
    </row>
    <row r="10045" spans="20:20" s="566" customFormat="1">
      <c r="T10045" s="41"/>
    </row>
    <row r="10046" spans="20:20" s="566" customFormat="1">
      <c r="T10046" s="41"/>
    </row>
    <row r="10047" spans="20:20" s="566" customFormat="1">
      <c r="T10047" s="41"/>
    </row>
    <row r="10048" spans="20:20" s="566" customFormat="1">
      <c r="T10048" s="41"/>
    </row>
    <row r="10049" spans="20:20" s="566" customFormat="1">
      <c r="T10049" s="41"/>
    </row>
    <row r="10050" spans="20:20" s="566" customFormat="1">
      <c r="T10050" s="41"/>
    </row>
    <row r="10051" spans="20:20" s="566" customFormat="1">
      <c r="T10051" s="41"/>
    </row>
    <row r="10052" spans="20:20" s="566" customFormat="1">
      <c r="T10052" s="41"/>
    </row>
    <row r="10053" spans="20:20" s="566" customFormat="1">
      <c r="T10053" s="41"/>
    </row>
    <row r="10054" spans="20:20" s="566" customFormat="1">
      <c r="T10054" s="41"/>
    </row>
    <row r="10055" spans="20:20" s="566" customFormat="1">
      <c r="T10055" s="41"/>
    </row>
    <row r="10056" spans="20:20" s="566" customFormat="1">
      <c r="T10056" s="41"/>
    </row>
    <row r="10057" spans="20:20" s="566" customFormat="1">
      <c r="T10057" s="41"/>
    </row>
    <row r="10058" spans="20:20" s="566" customFormat="1">
      <c r="T10058" s="41"/>
    </row>
    <row r="10059" spans="20:20" s="566" customFormat="1">
      <c r="T10059" s="41"/>
    </row>
    <row r="10060" spans="20:20" s="566" customFormat="1">
      <c r="T10060" s="41"/>
    </row>
    <row r="10061" spans="20:20" s="566" customFormat="1">
      <c r="T10061" s="41"/>
    </row>
    <row r="10062" spans="20:20" s="566" customFormat="1">
      <c r="T10062" s="41"/>
    </row>
    <row r="10063" spans="20:20" s="566" customFormat="1">
      <c r="T10063" s="41"/>
    </row>
    <row r="10064" spans="20:20" s="566" customFormat="1">
      <c r="T10064" s="41"/>
    </row>
    <row r="10065" spans="20:20" s="566" customFormat="1">
      <c r="T10065" s="41"/>
    </row>
    <row r="10066" spans="20:20" s="566" customFormat="1">
      <c r="T10066" s="41"/>
    </row>
    <row r="10067" spans="20:20" s="566" customFormat="1">
      <c r="T10067" s="41"/>
    </row>
    <row r="10068" spans="20:20" s="566" customFormat="1">
      <c r="T10068" s="41"/>
    </row>
    <row r="10069" spans="20:20" s="566" customFormat="1">
      <c r="T10069" s="41"/>
    </row>
    <row r="10070" spans="20:20" s="566" customFormat="1">
      <c r="T10070" s="41"/>
    </row>
    <row r="10071" spans="20:20" s="566" customFormat="1">
      <c r="T10071" s="41"/>
    </row>
    <row r="10072" spans="20:20" s="566" customFormat="1">
      <c r="T10072" s="41"/>
    </row>
    <row r="10073" spans="20:20" s="566" customFormat="1">
      <c r="T10073" s="41"/>
    </row>
    <row r="10074" spans="20:20" s="566" customFormat="1">
      <c r="T10074" s="41"/>
    </row>
    <row r="10075" spans="20:20" s="566" customFormat="1">
      <c r="T10075" s="41"/>
    </row>
    <row r="10076" spans="20:20" s="566" customFormat="1">
      <c r="T10076" s="41"/>
    </row>
    <row r="10077" spans="20:20" s="566" customFormat="1">
      <c r="T10077" s="41"/>
    </row>
    <row r="10078" spans="20:20" s="566" customFormat="1">
      <c r="T10078" s="41"/>
    </row>
    <row r="10079" spans="20:20" s="566" customFormat="1">
      <c r="T10079" s="41"/>
    </row>
    <row r="10080" spans="20:20" s="566" customFormat="1">
      <c r="T10080" s="41"/>
    </row>
    <row r="10081" spans="20:20" s="566" customFormat="1">
      <c r="T10081" s="41"/>
    </row>
    <row r="10082" spans="20:20" s="566" customFormat="1">
      <c r="T10082" s="41"/>
    </row>
    <row r="10083" spans="20:20" s="566" customFormat="1">
      <c r="T10083" s="41"/>
    </row>
    <row r="10084" spans="20:20" s="566" customFormat="1">
      <c r="T10084" s="41"/>
    </row>
    <row r="10085" spans="20:20" s="566" customFormat="1">
      <c r="T10085" s="41"/>
    </row>
    <row r="10086" spans="20:20" s="566" customFormat="1">
      <c r="T10086" s="41"/>
    </row>
    <row r="10087" spans="20:20" s="566" customFormat="1">
      <c r="T10087" s="41"/>
    </row>
    <row r="10088" spans="20:20" s="566" customFormat="1">
      <c r="T10088" s="41"/>
    </row>
    <row r="10089" spans="20:20" s="566" customFormat="1">
      <c r="T10089" s="41"/>
    </row>
    <row r="10090" spans="20:20" s="566" customFormat="1">
      <c r="T10090" s="41"/>
    </row>
    <row r="10091" spans="20:20" s="566" customFormat="1">
      <c r="T10091" s="41"/>
    </row>
    <row r="10092" spans="20:20" s="566" customFormat="1">
      <c r="T10092" s="41"/>
    </row>
    <row r="10093" spans="20:20" s="566" customFormat="1">
      <c r="T10093" s="41"/>
    </row>
    <row r="10094" spans="20:20" s="566" customFormat="1">
      <c r="T10094" s="41"/>
    </row>
    <row r="10095" spans="20:20" s="566" customFormat="1">
      <c r="T10095" s="41"/>
    </row>
    <row r="10096" spans="20:20" s="566" customFormat="1">
      <c r="T10096" s="41"/>
    </row>
    <row r="10097" spans="20:20" s="566" customFormat="1">
      <c r="T10097" s="41"/>
    </row>
    <row r="10098" spans="20:20" s="566" customFormat="1">
      <c r="T10098" s="41"/>
    </row>
    <row r="10099" spans="20:20" s="566" customFormat="1">
      <c r="T10099" s="41"/>
    </row>
    <row r="10100" spans="20:20" s="566" customFormat="1">
      <c r="T10100" s="41"/>
    </row>
    <row r="10101" spans="20:20" s="566" customFormat="1">
      <c r="T10101" s="41"/>
    </row>
    <row r="10102" spans="20:20" s="566" customFormat="1">
      <c r="T10102" s="41"/>
    </row>
    <row r="10103" spans="20:20" s="566" customFormat="1">
      <c r="T10103" s="41"/>
    </row>
    <row r="10104" spans="20:20" s="566" customFormat="1">
      <c r="T10104" s="41"/>
    </row>
    <row r="10105" spans="20:20" s="566" customFormat="1">
      <c r="T10105" s="41"/>
    </row>
    <row r="10106" spans="20:20" s="566" customFormat="1">
      <c r="T10106" s="41"/>
    </row>
    <row r="10107" spans="20:20" s="566" customFormat="1">
      <c r="T10107" s="41"/>
    </row>
    <row r="10108" spans="20:20" s="566" customFormat="1">
      <c r="T10108" s="41"/>
    </row>
    <row r="10109" spans="20:20" s="566" customFormat="1">
      <c r="T10109" s="41"/>
    </row>
    <row r="10110" spans="20:20" s="566" customFormat="1">
      <c r="T10110" s="41"/>
    </row>
    <row r="10111" spans="20:20" s="566" customFormat="1">
      <c r="T10111" s="41"/>
    </row>
    <row r="10112" spans="20:20" s="566" customFormat="1">
      <c r="T10112" s="41"/>
    </row>
    <row r="10113" spans="20:20" s="566" customFormat="1">
      <c r="T10113" s="41"/>
    </row>
    <row r="10114" spans="20:20" s="566" customFormat="1">
      <c r="T10114" s="41"/>
    </row>
    <row r="10115" spans="20:20" s="566" customFormat="1">
      <c r="T10115" s="41"/>
    </row>
    <row r="10116" spans="20:20" s="566" customFormat="1">
      <c r="T10116" s="41"/>
    </row>
    <row r="10117" spans="20:20" s="566" customFormat="1">
      <c r="T10117" s="41"/>
    </row>
    <row r="10118" spans="20:20" s="566" customFormat="1">
      <c r="T10118" s="41"/>
    </row>
    <row r="10119" spans="20:20" s="566" customFormat="1">
      <c r="T10119" s="41"/>
    </row>
    <row r="10120" spans="20:20" s="566" customFormat="1">
      <c r="T10120" s="41"/>
    </row>
    <row r="10121" spans="20:20" s="566" customFormat="1">
      <c r="T10121" s="41"/>
    </row>
    <row r="10122" spans="20:20" s="566" customFormat="1">
      <c r="T10122" s="41"/>
    </row>
    <row r="10123" spans="20:20" s="566" customFormat="1">
      <c r="T10123" s="41"/>
    </row>
    <row r="10124" spans="20:20" s="566" customFormat="1">
      <c r="T10124" s="41"/>
    </row>
    <row r="10125" spans="20:20" s="566" customFormat="1">
      <c r="T10125" s="41"/>
    </row>
    <row r="10126" spans="20:20" s="566" customFormat="1">
      <c r="T10126" s="41"/>
    </row>
    <row r="10127" spans="20:20" s="566" customFormat="1">
      <c r="T10127" s="41"/>
    </row>
    <row r="10128" spans="20:20" s="566" customFormat="1">
      <c r="T10128" s="41"/>
    </row>
    <row r="10129" spans="20:20" s="566" customFormat="1">
      <c r="T10129" s="41"/>
    </row>
    <row r="10130" spans="20:20" s="566" customFormat="1">
      <c r="T10130" s="41"/>
    </row>
    <row r="10131" spans="20:20" s="566" customFormat="1">
      <c r="T10131" s="41"/>
    </row>
    <row r="10132" spans="20:20" s="566" customFormat="1">
      <c r="T10132" s="41"/>
    </row>
    <row r="10133" spans="20:20" s="566" customFormat="1">
      <c r="T10133" s="41"/>
    </row>
    <row r="10134" spans="20:20" s="566" customFormat="1">
      <c r="T10134" s="41"/>
    </row>
    <row r="10135" spans="20:20" s="566" customFormat="1">
      <c r="T10135" s="41"/>
    </row>
    <row r="10136" spans="20:20" s="566" customFormat="1">
      <c r="T10136" s="41"/>
    </row>
    <row r="10137" spans="20:20" s="566" customFormat="1">
      <c r="T10137" s="41"/>
    </row>
    <row r="10138" spans="20:20" s="566" customFormat="1">
      <c r="T10138" s="41"/>
    </row>
    <row r="10139" spans="20:20" s="566" customFormat="1">
      <c r="T10139" s="41"/>
    </row>
    <row r="10140" spans="20:20" s="566" customFormat="1">
      <c r="T10140" s="41"/>
    </row>
    <row r="10141" spans="20:20" s="566" customFormat="1">
      <c r="T10141" s="41"/>
    </row>
    <row r="10142" spans="20:20" s="566" customFormat="1">
      <c r="T10142" s="41"/>
    </row>
    <row r="10143" spans="20:20" s="566" customFormat="1">
      <c r="T10143" s="41"/>
    </row>
    <row r="10144" spans="20:20" s="566" customFormat="1">
      <c r="T10144" s="41"/>
    </row>
    <row r="10145" spans="20:20" s="566" customFormat="1">
      <c r="T10145" s="41"/>
    </row>
    <row r="10146" spans="20:20" s="566" customFormat="1">
      <c r="T10146" s="41"/>
    </row>
    <row r="10147" spans="20:20" s="566" customFormat="1">
      <c r="T10147" s="41"/>
    </row>
    <row r="10148" spans="20:20" s="566" customFormat="1">
      <c r="T10148" s="41"/>
    </row>
    <row r="10149" spans="20:20" s="566" customFormat="1">
      <c r="T10149" s="41"/>
    </row>
    <row r="10150" spans="20:20" s="566" customFormat="1">
      <c r="T10150" s="41"/>
    </row>
    <row r="10151" spans="20:20" s="566" customFormat="1">
      <c r="T10151" s="41"/>
    </row>
    <row r="10152" spans="20:20" s="566" customFormat="1">
      <c r="T10152" s="41"/>
    </row>
    <row r="10153" spans="20:20" s="566" customFormat="1">
      <c r="T10153" s="41"/>
    </row>
    <row r="10154" spans="20:20" s="566" customFormat="1">
      <c r="T10154" s="41"/>
    </row>
    <row r="10155" spans="20:20" s="566" customFormat="1">
      <c r="T10155" s="41"/>
    </row>
    <row r="10156" spans="20:20" s="566" customFormat="1">
      <c r="T10156" s="41"/>
    </row>
    <row r="10157" spans="20:20" s="566" customFormat="1">
      <c r="T10157" s="41"/>
    </row>
    <row r="10158" spans="20:20" s="566" customFormat="1">
      <c r="T10158" s="41"/>
    </row>
    <row r="10159" spans="20:20" s="566" customFormat="1">
      <c r="T10159" s="41"/>
    </row>
    <row r="10160" spans="20:20" s="566" customFormat="1">
      <c r="T10160" s="41"/>
    </row>
    <row r="10161" spans="20:20" s="566" customFormat="1">
      <c r="T10161" s="41"/>
    </row>
    <row r="10162" spans="20:20" s="566" customFormat="1">
      <c r="T10162" s="41"/>
    </row>
    <row r="10163" spans="20:20" s="566" customFormat="1">
      <c r="T10163" s="41"/>
    </row>
    <row r="10164" spans="20:20" s="566" customFormat="1">
      <c r="T10164" s="41"/>
    </row>
    <row r="10165" spans="20:20" s="566" customFormat="1">
      <c r="T10165" s="41"/>
    </row>
    <row r="10166" spans="20:20" s="566" customFormat="1">
      <c r="T10166" s="41"/>
    </row>
    <row r="10167" spans="20:20" s="566" customFormat="1">
      <c r="T10167" s="41"/>
    </row>
    <row r="10168" spans="20:20" s="566" customFormat="1">
      <c r="T10168" s="41"/>
    </row>
    <row r="10169" spans="20:20" s="566" customFormat="1">
      <c r="T10169" s="41"/>
    </row>
    <row r="10170" spans="20:20" s="566" customFormat="1">
      <c r="T10170" s="41"/>
    </row>
    <row r="10171" spans="20:20" s="566" customFormat="1">
      <c r="T10171" s="41"/>
    </row>
    <row r="10172" spans="20:20" s="566" customFormat="1">
      <c r="T10172" s="41"/>
    </row>
    <row r="10173" spans="20:20" s="566" customFormat="1">
      <c r="T10173" s="41"/>
    </row>
    <row r="10174" spans="20:20" s="566" customFormat="1">
      <c r="T10174" s="41"/>
    </row>
    <row r="10175" spans="20:20" s="566" customFormat="1">
      <c r="T10175" s="41"/>
    </row>
    <row r="10176" spans="20:20" s="566" customFormat="1">
      <c r="T10176" s="41"/>
    </row>
    <row r="10177" spans="20:20" s="566" customFormat="1">
      <c r="T10177" s="41"/>
    </row>
    <row r="10178" spans="20:20" s="566" customFormat="1">
      <c r="T10178" s="41"/>
    </row>
    <row r="10179" spans="20:20" s="566" customFormat="1">
      <c r="T10179" s="41"/>
    </row>
    <row r="10180" spans="20:20" s="566" customFormat="1">
      <c r="T10180" s="41"/>
    </row>
    <row r="10181" spans="20:20" s="566" customFormat="1">
      <c r="T10181" s="41"/>
    </row>
    <row r="10182" spans="20:20" s="566" customFormat="1">
      <c r="T10182" s="41"/>
    </row>
    <row r="10183" spans="20:20" s="566" customFormat="1">
      <c r="T10183" s="41"/>
    </row>
    <row r="10184" spans="20:20" s="566" customFormat="1">
      <c r="T10184" s="41"/>
    </row>
    <row r="10185" spans="20:20" s="566" customFormat="1">
      <c r="T10185" s="41"/>
    </row>
    <row r="10186" spans="20:20" s="566" customFormat="1">
      <c r="T10186" s="41"/>
    </row>
    <row r="10187" spans="20:20" s="566" customFormat="1">
      <c r="T10187" s="41"/>
    </row>
    <row r="10188" spans="20:20" s="566" customFormat="1">
      <c r="T10188" s="41"/>
    </row>
    <row r="10189" spans="20:20" s="566" customFormat="1">
      <c r="T10189" s="41"/>
    </row>
    <row r="10190" spans="20:20" s="566" customFormat="1">
      <c r="T10190" s="41"/>
    </row>
    <row r="10191" spans="20:20" s="566" customFormat="1">
      <c r="T10191" s="41"/>
    </row>
    <row r="10192" spans="20:20" s="566" customFormat="1">
      <c r="T10192" s="41"/>
    </row>
    <row r="10193" spans="20:20" s="566" customFormat="1">
      <c r="T10193" s="41"/>
    </row>
    <row r="10194" spans="20:20" s="566" customFormat="1">
      <c r="T10194" s="41"/>
    </row>
    <row r="10195" spans="20:20" s="566" customFormat="1">
      <c r="T10195" s="41"/>
    </row>
    <row r="10196" spans="20:20" s="566" customFormat="1">
      <c r="T10196" s="41"/>
    </row>
    <row r="10197" spans="20:20" s="566" customFormat="1">
      <c r="T10197" s="41"/>
    </row>
    <row r="10198" spans="20:20" s="566" customFormat="1">
      <c r="T10198" s="41"/>
    </row>
    <row r="10199" spans="20:20" s="566" customFormat="1">
      <c r="T10199" s="41"/>
    </row>
    <row r="10200" spans="20:20" s="566" customFormat="1">
      <c r="T10200" s="41"/>
    </row>
    <row r="10201" spans="20:20" s="566" customFormat="1">
      <c r="T10201" s="41"/>
    </row>
    <row r="10202" spans="20:20" s="566" customFormat="1">
      <c r="T10202" s="41"/>
    </row>
    <row r="10203" spans="20:20" s="566" customFormat="1">
      <c r="T10203" s="41"/>
    </row>
    <row r="10204" spans="20:20" s="566" customFormat="1">
      <c r="T10204" s="41"/>
    </row>
    <row r="10205" spans="20:20" s="566" customFormat="1">
      <c r="T10205" s="41"/>
    </row>
    <row r="10206" spans="20:20" s="566" customFormat="1">
      <c r="T10206" s="41"/>
    </row>
    <row r="10207" spans="20:20" s="566" customFormat="1">
      <c r="T10207" s="41"/>
    </row>
    <row r="10208" spans="20:20" s="566" customFormat="1">
      <c r="T10208" s="41"/>
    </row>
    <row r="10209" spans="20:20" s="566" customFormat="1">
      <c r="T10209" s="41"/>
    </row>
    <row r="10210" spans="20:20" s="566" customFormat="1">
      <c r="T10210" s="41"/>
    </row>
    <row r="10211" spans="20:20" s="566" customFormat="1">
      <c r="T10211" s="41"/>
    </row>
    <row r="10212" spans="20:20" s="566" customFormat="1">
      <c r="T10212" s="41"/>
    </row>
    <row r="10213" spans="20:20" s="566" customFormat="1">
      <c r="T10213" s="41"/>
    </row>
    <row r="10214" spans="20:20" s="566" customFormat="1">
      <c r="T10214" s="41"/>
    </row>
    <row r="10215" spans="20:20" s="566" customFormat="1">
      <c r="T10215" s="41"/>
    </row>
    <row r="10216" spans="20:20" s="566" customFormat="1">
      <c r="T10216" s="41"/>
    </row>
    <row r="10217" spans="20:20" s="566" customFormat="1">
      <c r="T10217" s="41"/>
    </row>
    <row r="10218" spans="20:20" s="566" customFormat="1">
      <c r="T10218" s="41"/>
    </row>
    <row r="10219" spans="20:20" s="566" customFormat="1">
      <c r="T10219" s="41"/>
    </row>
    <row r="10220" spans="20:20" s="566" customFormat="1">
      <c r="T10220" s="41"/>
    </row>
    <row r="10221" spans="20:20" s="566" customFormat="1">
      <c r="T10221" s="41"/>
    </row>
    <row r="10222" spans="20:20" s="566" customFormat="1">
      <c r="T10222" s="41"/>
    </row>
    <row r="10223" spans="20:20" s="566" customFormat="1">
      <c r="T10223" s="41"/>
    </row>
    <row r="10224" spans="20:20" s="566" customFormat="1">
      <c r="T10224" s="41"/>
    </row>
    <row r="10225" spans="20:20" s="566" customFormat="1">
      <c r="T10225" s="41"/>
    </row>
    <row r="10226" spans="20:20" s="566" customFormat="1">
      <c r="T10226" s="41"/>
    </row>
    <row r="10227" spans="20:20" s="566" customFormat="1">
      <c r="T10227" s="41"/>
    </row>
    <row r="10228" spans="20:20" s="566" customFormat="1">
      <c r="T10228" s="41"/>
    </row>
    <row r="10229" spans="20:20" s="566" customFormat="1">
      <c r="T10229" s="41"/>
    </row>
    <row r="10230" spans="20:20" s="566" customFormat="1">
      <c r="T10230" s="41"/>
    </row>
    <row r="10231" spans="20:20" s="566" customFormat="1">
      <c r="T10231" s="41"/>
    </row>
    <row r="10232" spans="20:20" s="566" customFormat="1">
      <c r="T10232" s="41"/>
    </row>
    <row r="10233" spans="20:20" s="566" customFormat="1">
      <c r="T10233" s="41"/>
    </row>
    <row r="10234" spans="20:20" s="566" customFormat="1">
      <c r="T10234" s="41"/>
    </row>
    <row r="10235" spans="20:20" s="566" customFormat="1">
      <c r="T10235" s="41"/>
    </row>
    <row r="10236" spans="20:20" s="566" customFormat="1">
      <c r="T10236" s="41"/>
    </row>
    <row r="10237" spans="20:20" s="566" customFormat="1">
      <c r="T10237" s="41"/>
    </row>
    <row r="10238" spans="20:20" s="566" customFormat="1">
      <c r="T10238" s="41"/>
    </row>
    <row r="10239" spans="20:20" s="566" customFormat="1">
      <c r="T10239" s="41"/>
    </row>
    <row r="10240" spans="20:20" s="566" customFormat="1">
      <c r="T10240" s="41"/>
    </row>
    <row r="10241" spans="20:20" s="566" customFormat="1">
      <c r="T10241" s="41"/>
    </row>
    <row r="10242" spans="20:20" s="566" customFormat="1">
      <c r="T10242" s="41"/>
    </row>
    <row r="10243" spans="20:20" s="566" customFormat="1">
      <c r="T10243" s="41"/>
    </row>
    <row r="10244" spans="20:20" s="566" customFormat="1">
      <c r="T10244" s="41"/>
    </row>
    <row r="10245" spans="20:20" s="566" customFormat="1">
      <c r="T10245" s="41"/>
    </row>
    <row r="10246" spans="20:20" s="566" customFormat="1">
      <c r="T10246" s="41"/>
    </row>
    <row r="10247" spans="20:20" s="566" customFormat="1">
      <c r="T10247" s="41"/>
    </row>
    <row r="10248" spans="20:20" s="566" customFormat="1">
      <c r="T10248" s="41"/>
    </row>
    <row r="10249" spans="20:20" s="566" customFormat="1">
      <c r="T10249" s="41"/>
    </row>
    <row r="10250" spans="20:20" s="566" customFormat="1">
      <c r="T10250" s="41"/>
    </row>
    <row r="10251" spans="20:20" s="566" customFormat="1">
      <c r="T10251" s="41"/>
    </row>
    <row r="10252" spans="20:20" s="566" customFormat="1">
      <c r="T10252" s="41"/>
    </row>
    <row r="10253" spans="20:20" s="566" customFormat="1">
      <c r="T10253" s="41"/>
    </row>
    <row r="10254" spans="20:20" s="566" customFormat="1">
      <c r="T10254" s="41"/>
    </row>
    <row r="10255" spans="20:20" s="566" customFormat="1">
      <c r="T10255" s="41"/>
    </row>
    <row r="10256" spans="20:20" s="566" customFormat="1">
      <c r="T10256" s="41"/>
    </row>
    <row r="10257" spans="20:20" s="566" customFormat="1">
      <c r="T10257" s="41"/>
    </row>
    <row r="10258" spans="20:20" s="566" customFormat="1">
      <c r="T10258" s="41"/>
    </row>
    <row r="10259" spans="20:20" s="566" customFormat="1">
      <c r="T10259" s="41"/>
    </row>
    <row r="10260" spans="20:20" s="566" customFormat="1">
      <c r="T10260" s="41"/>
    </row>
    <row r="10261" spans="20:20" s="566" customFormat="1">
      <c r="T10261" s="41"/>
    </row>
    <row r="10262" spans="20:20" s="566" customFormat="1">
      <c r="T10262" s="41"/>
    </row>
    <row r="10263" spans="20:20" s="566" customFormat="1">
      <c r="T10263" s="41"/>
    </row>
    <row r="10264" spans="20:20" s="566" customFormat="1">
      <c r="T10264" s="41"/>
    </row>
    <row r="10265" spans="20:20" s="566" customFormat="1">
      <c r="T10265" s="41"/>
    </row>
    <row r="10266" spans="20:20" s="566" customFormat="1">
      <c r="T10266" s="41"/>
    </row>
    <row r="10267" spans="20:20" s="566" customFormat="1">
      <c r="T10267" s="41"/>
    </row>
    <row r="10268" spans="20:20" s="566" customFormat="1">
      <c r="T10268" s="41"/>
    </row>
    <row r="10269" spans="20:20" s="566" customFormat="1">
      <c r="T10269" s="41"/>
    </row>
    <row r="10270" spans="20:20" s="566" customFormat="1">
      <c r="T10270" s="41"/>
    </row>
    <row r="10271" spans="20:20" s="566" customFormat="1">
      <c r="T10271" s="41"/>
    </row>
    <row r="10272" spans="20:20" s="566" customFormat="1">
      <c r="T10272" s="41"/>
    </row>
    <row r="10273" spans="20:20" s="566" customFormat="1">
      <c r="T10273" s="41"/>
    </row>
    <row r="10274" spans="20:20" s="566" customFormat="1">
      <c r="T10274" s="41"/>
    </row>
    <row r="10275" spans="20:20" s="566" customFormat="1">
      <c r="T10275" s="41"/>
    </row>
    <row r="10276" spans="20:20" s="566" customFormat="1">
      <c r="T10276" s="41"/>
    </row>
    <row r="10277" spans="20:20" s="566" customFormat="1">
      <c r="T10277" s="41"/>
    </row>
    <row r="10278" spans="20:20" s="566" customFormat="1">
      <c r="T10278" s="41"/>
    </row>
    <row r="10279" spans="20:20" s="566" customFormat="1">
      <c r="T10279" s="41"/>
    </row>
    <row r="10280" spans="20:20" s="566" customFormat="1">
      <c r="T10280" s="41"/>
    </row>
    <row r="10281" spans="20:20" s="566" customFormat="1">
      <c r="T10281" s="41"/>
    </row>
    <row r="10282" spans="20:20" s="566" customFormat="1">
      <c r="T10282" s="41"/>
    </row>
    <row r="10283" spans="20:20" s="566" customFormat="1">
      <c r="T10283" s="41"/>
    </row>
    <row r="10284" spans="20:20" s="566" customFormat="1">
      <c r="T10284" s="41"/>
    </row>
    <row r="10285" spans="20:20" s="566" customFormat="1">
      <c r="T10285" s="41"/>
    </row>
    <row r="10286" spans="20:20" s="566" customFormat="1">
      <c r="T10286" s="41"/>
    </row>
    <row r="10287" spans="20:20" s="566" customFormat="1">
      <c r="T10287" s="41"/>
    </row>
    <row r="10288" spans="20:20" s="566" customFormat="1">
      <c r="T10288" s="41"/>
    </row>
    <row r="10289" spans="20:20" s="566" customFormat="1">
      <c r="T10289" s="41"/>
    </row>
    <row r="10290" spans="20:20" s="566" customFormat="1">
      <c r="T10290" s="41"/>
    </row>
    <row r="10291" spans="20:20" s="566" customFormat="1">
      <c r="T10291" s="41"/>
    </row>
    <row r="10292" spans="20:20" s="566" customFormat="1">
      <c r="T10292" s="41"/>
    </row>
    <row r="10293" spans="20:20" s="566" customFormat="1">
      <c r="T10293" s="41"/>
    </row>
    <row r="10294" spans="20:20" s="566" customFormat="1">
      <c r="T10294" s="41"/>
    </row>
    <row r="10295" spans="20:20" s="566" customFormat="1">
      <c r="T10295" s="41"/>
    </row>
    <row r="10296" spans="20:20" s="566" customFormat="1">
      <c r="T10296" s="41"/>
    </row>
    <row r="10297" spans="20:20" s="566" customFormat="1">
      <c r="T10297" s="41"/>
    </row>
    <row r="10298" spans="20:20" s="566" customFormat="1">
      <c r="T10298" s="41"/>
    </row>
    <row r="10299" spans="20:20" s="566" customFormat="1">
      <c r="T10299" s="41"/>
    </row>
    <row r="10300" spans="20:20" s="566" customFormat="1">
      <c r="T10300" s="41"/>
    </row>
    <row r="10301" spans="20:20" s="566" customFormat="1">
      <c r="T10301" s="41"/>
    </row>
    <row r="10302" spans="20:20" s="566" customFormat="1">
      <c r="T10302" s="41"/>
    </row>
    <row r="10303" spans="20:20" s="566" customFormat="1">
      <c r="T10303" s="41"/>
    </row>
    <row r="10304" spans="20:20" s="566" customFormat="1">
      <c r="T10304" s="41"/>
    </row>
    <row r="10305" spans="20:20" s="566" customFormat="1">
      <c r="T10305" s="41"/>
    </row>
    <row r="10306" spans="20:20" s="566" customFormat="1">
      <c r="T10306" s="41"/>
    </row>
    <row r="10307" spans="20:20" s="566" customFormat="1">
      <c r="T10307" s="41"/>
    </row>
    <row r="10308" spans="20:20" s="566" customFormat="1">
      <c r="T10308" s="41"/>
    </row>
    <row r="10309" spans="20:20" s="566" customFormat="1">
      <c r="T10309" s="41"/>
    </row>
    <row r="10310" spans="20:20" s="566" customFormat="1">
      <c r="T10310" s="41"/>
    </row>
    <row r="10311" spans="20:20" s="566" customFormat="1">
      <c r="T10311" s="41"/>
    </row>
    <row r="10312" spans="20:20" s="566" customFormat="1">
      <c r="T10312" s="41"/>
    </row>
    <row r="10313" spans="20:20" s="566" customFormat="1">
      <c r="T10313" s="41"/>
    </row>
    <row r="10314" spans="20:20" s="566" customFormat="1">
      <c r="T10314" s="41"/>
    </row>
    <row r="10315" spans="20:20" s="566" customFormat="1">
      <c r="T10315" s="41"/>
    </row>
    <row r="10316" spans="20:20" s="566" customFormat="1">
      <c r="T10316" s="41"/>
    </row>
    <row r="10317" spans="20:20" s="566" customFormat="1">
      <c r="T10317" s="41"/>
    </row>
    <row r="10318" spans="20:20" s="566" customFormat="1">
      <c r="T10318" s="41"/>
    </row>
    <row r="10319" spans="20:20" s="566" customFormat="1">
      <c r="T10319" s="41"/>
    </row>
    <row r="10320" spans="20:20" s="566" customFormat="1">
      <c r="T10320" s="41"/>
    </row>
    <row r="10321" spans="20:20" s="566" customFormat="1">
      <c r="T10321" s="41"/>
    </row>
    <row r="10322" spans="20:20" s="566" customFormat="1">
      <c r="T10322" s="41"/>
    </row>
    <row r="10323" spans="20:20" s="566" customFormat="1">
      <c r="T10323" s="41"/>
    </row>
    <row r="10324" spans="20:20" s="566" customFormat="1">
      <c r="T10324" s="41"/>
    </row>
    <row r="10325" spans="20:20" s="566" customFormat="1">
      <c r="T10325" s="41"/>
    </row>
    <row r="10326" spans="20:20" s="566" customFormat="1">
      <c r="T10326" s="41"/>
    </row>
    <row r="10327" spans="20:20" s="566" customFormat="1">
      <c r="T10327" s="41"/>
    </row>
    <row r="10328" spans="20:20" s="566" customFormat="1">
      <c r="T10328" s="41"/>
    </row>
    <row r="10329" spans="20:20" s="566" customFormat="1">
      <c r="T10329" s="41"/>
    </row>
    <row r="10330" spans="20:20" s="566" customFormat="1">
      <c r="T10330" s="41"/>
    </row>
    <row r="10331" spans="20:20" s="566" customFormat="1">
      <c r="T10331" s="41"/>
    </row>
    <row r="10332" spans="20:20" s="566" customFormat="1">
      <c r="T10332" s="41"/>
    </row>
    <row r="10333" spans="20:20" s="566" customFormat="1">
      <c r="T10333" s="41"/>
    </row>
    <row r="10334" spans="20:20" s="566" customFormat="1">
      <c r="T10334" s="41"/>
    </row>
    <row r="10335" spans="20:20" s="566" customFormat="1">
      <c r="T10335" s="41"/>
    </row>
    <row r="10336" spans="20:20" s="566" customFormat="1">
      <c r="T10336" s="41"/>
    </row>
    <row r="10337" spans="20:20" s="566" customFormat="1">
      <c r="T10337" s="41"/>
    </row>
    <row r="10338" spans="20:20" s="566" customFormat="1">
      <c r="T10338" s="41"/>
    </row>
    <row r="10339" spans="20:20" s="566" customFormat="1">
      <c r="T10339" s="41"/>
    </row>
    <row r="10340" spans="20:20" s="566" customFormat="1">
      <c r="T10340" s="41"/>
    </row>
    <row r="10341" spans="20:20" s="566" customFormat="1">
      <c r="T10341" s="41"/>
    </row>
    <row r="10342" spans="20:20" s="566" customFormat="1">
      <c r="T10342" s="41"/>
    </row>
    <row r="10343" spans="20:20" s="566" customFormat="1">
      <c r="T10343" s="41"/>
    </row>
    <row r="10344" spans="20:20" s="566" customFormat="1">
      <c r="T10344" s="41"/>
    </row>
    <row r="10345" spans="20:20" s="566" customFormat="1">
      <c r="T10345" s="41"/>
    </row>
    <row r="10346" spans="20:20" s="566" customFormat="1">
      <c r="T10346" s="41"/>
    </row>
    <row r="10347" spans="20:20" s="566" customFormat="1">
      <c r="T10347" s="41"/>
    </row>
    <row r="10348" spans="20:20" s="566" customFormat="1">
      <c r="T10348" s="41"/>
    </row>
    <row r="10349" spans="20:20" s="566" customFormat="1">
      <c r="T10349" s="41"/>
    </row>
    <row r="10350" spans="20:20" s="566" customFormat="1">
      <c r="T10350" s="41"/>
    </row>
    <row r="10351" spans="20:20" s="566" customFormat="1">
      <c r="T10351" s="41"/>
    </row>
    <row r="10352" spans="20:20" s="566" customFormat="1">
      <c r="T10352" s="41"/>
    </row>
    <row r="10353" spans="20:20" s="566" customFormat="1">
      <c r="T10353" s="41"/>
    </row>
    <row r="10354" spans="20:20" s="566" customFormat="1">
      <c r="T10354" s="41"/>
    </row>
    <row r="10355" spans="20:20" s="566" customFormat="1">
      <c r="T10355" s="41"/>
    </row>
    <row r="10356" spans="20:20" s="566" customFormat="1">
      <c r="T10356" s="41"/>
    </row>
    <row r="10357" spans="20:20" s="566" customFormat="1">
      <c r="T10357" s="41"/>
    </row>
    <row r="10358" spans="20:20" s="566" customFormat="1">
      <c r="T10358" s="41"/>
    </row>
    <row r="10359" spans="20:20" s="566" customFormat="1">
      <c r="T10359" s="41"/>
    </row>
    <row r="10360" spans="20:20" s="566" customFormat="1">
      <c r="T10360" s="41"/>
    </row>
    <row r="10361" spans="20:20" s="566" customFormat="1">
      <c r="T10361" s="41"/>
    </row>
    <row r="10362" spans="20:20" s="566" customFormat="1">
      <c r="T10362" s="41"/>
    </row>
    <row r="10363" spans="20:20" s="566" customFormat="1">
      <c r="T10363" s="41"/>
    </row>
    <row r="10364" spans="20:20" s="566" customFormat="1">
      <c r="T10364" s="41"/>
    </row>
    <row r="10365" spans="20:20" s="566" customFormat="1">
      <c r="T10365" s="41"/>
    </row>
    <row r="10366" spans="20:20" s="566" customFormat="1">
      <c r="T10366" s="41"/>
    </row>
    <row r="10367" spans="20:20" s="566" customFormat="1">
      <c r="T10367" s="41"/>
    </row>
    <row r="10368" spans="20:20" s="566" customFormat="1">
      <c r="T10368" s="41"/>
    </row>
    <row r="10369" spans="20:20" s="566" customFormat="1">
      <c r="T10369" s="41"/>
    </row>
    <row r="10370" spans="20:20" s="566" customFormat="1">
      <c r="T10370" s="41"/>
    </row>
    <row r="10371" spans="20:20" s="566" customFormat="1">
      <c r="T10371" s="41"/>
    </row>
    <row r="10372" spans="20:20" s="566" customFormat="1">
      <c r="T10372" s="41"/>
    </row>
    <row r="10373" spans="20:20" s="566" customFormat="1">
      <c r="T10373" s="41"/>
    </row>
    <row r="10374" spans="20:20" s="566" customFormat="1">
      <c r="T10374" s="41"/>
    </row>
    <row r="10375" spans="20:20" s="566" customFormat="1">
      <c r="T10375" s="41"/>
    </row>
    <row r="10376" spans="20:20" s="566" customFormat="1">
      <c r="T10376" s="41"/>
    </row>
    <row r="10377" spans="20:20" s="566" customFormat="1">
      <c r="T10377" s="41"/>
    </row>
    <row r="10378" spans="20:20" s="566" customFormat="1">
      <c r="T10378" s="41"/>
    </row>
    <row r="10379" spans="20:20" s="566" customFormat="1">
      <c r="T10379" s="41"/>
    </row>
    <row r="10380" spans="20:20" s="566" customFormat="1">
      <c r="T10380" s="41"/>
    </row>
    <row r="10381" spans="20:20" s="566" customFormat="1">
      <c r="T10381" s="41"/>
    </row>
    <row r="10382" spans="20:20" s="566" customFormat="1">
      <c r="T10382" s="41"/>
    </row>
    <row r="10383" spans="20:20" s="566" customFormat="1">
      <c r="T10383" s="41"/>
    </row>
    <row r="10384" spans="20:20" s="566" customFormat="1">
      <c r="T10384" s="41"/>
    </row>
    <row r="10385" spans="20:20" s="566" customFormat="1">
      <c r="T10385" s="41"/>
    </row>
    <row r="10386" spans="20:20" s="566" customFormat="1">
      <c r="T10386" s="41"/>
    </row>
    <row r="10387" spans="20:20" s="566" customFormat="1">
      <c r="T10387" s="41"/>
    </row>
    <row r="10388" spans="20:20" s="566" customFormat="1">
      <c r="T10388" s="41"/>
    </row>
    <row r="10389" spans="20:20" s="566" customFormat="1">
      <c r="T10389" s="41"/>
    </row>
    <row r="10390" spans="20:20" s="566" customFormat="1">
      <c r="T10390" s="41"/>
    </row>
    <row r="10391" spans="20:20" s="566" customFormat="1">
      <c r="T10391" s="41"/>
    </row>
    <row r="10392" spans="20:20" s="566" customFormat="1">
      <c r="T10392" s="41"/>
    </row>
    <row r="10393" spans="20:20" s="566" customFormat="1">
      <c r="T10393" s="41"/>
    </row>
    <row r="10394" spans="20:20" s="566" customFormat="1">
      <c r="T10394" s="41"/>
    </row>
    <row r="10395" spans="20:20" s="566" customFormat="1">
      <c r="T10395" s="41"/>
    </row>
    <row r="10396" spans="20:20" s="566" customFormat="1">
      <c r="T10396" s="41"/>
    </row>
    <row r="10397" spans="20:20" s="566" customFormat="1">
      <c r="T10397" s="41"/>
    </row>
    <row r="10398" spans="20:20" s="566" customFormat="1">
      <c r="T10398" s="41"/>
    </row>
    <row r="10399" spans="20:20" s="566" customFormat="1">
      <c r="T10399" s="41"/>
    </row>
    <row r="10400" spans="20:20" s="566" customFormat="1">
      <c r="T10400" s="41"/>
    </row>
    <row r="10401" spans="20:20" s="566" customFormat="1">
      <c r="T10401" s="41"/>
    </row>
    <row r="10402" spans="20:20" s="566" customFormat="1">
      <c r="T10402" s="41"/>
    </row>
    <row r="10403" spans="20:20" s="566" customFormat="1">
      <c r="T10403" s="41"/>
    </row>
    <row r="10404" spans="20:20" s="566" customFormat="1">
      <c r="T10404" s="41"/>
    </row>
    <row r="10405" spans="20:20" s="566" customFormat="1">
      <c r="T10405" s="41"/>
    </row>
    <row r="10406" spans="20:20" s="566" customFormat="1">
      <c r="T10406" s="41"/>
    </row>
    <row r="10407" spans="20:20" s="566" customFormat="1">
      <c r="T10407" s="41"/>
    </row>
    <row r="10408" spans="20:20" s="566" customFormat="1">
      <c r="T10408" s="41"/>
    </row>
    <row r="10409" spans="20:20" s="566" customFormat="1">
      <c r="T10409" s="41"/>
    </row>
    <row r="10410" spans="20:20" s="566" customFormat="1">
      <c r="T10410" s="41"/>
    </row>
    <row r="10411" spans="20:20" s="566" customFormat="1">
      <c r="T10411" s="41"/>
    </row>
    <row r="10412" spans="20:20" s="566" customFormat="1">
      <c r="T10412" s="41"/>
    </row>
    <row r="10413" spans="20:20" s="566" customFormat="1">
      <c r="T10413" s="41"/>
    </row>
    <row r="10414" spans="20:20" s="566" customFormat="1">
      <c r="T10414" s="41"/>
    </row>
    <row r="10415" spans="20:20" s="566" customFormat="1">
      <c r="T10415" s="41"/>
    </row>
    <row r="10416" spans="20:20" s="566" customFormat="1">
      <c r="T10416" s="41"/>
    </row>
    <row r="10417" spans="20:20" s="566" customFormat="1">
      <c r="T10417" s="41"/>
    </row>
    <row r="10418" spans="20:20" s="566" customFormat="1">
      <c r="T10418" s="41"/>
    </row>
    <row r="10419" spans="20:20" s="566" customFormat="1">
      <c r="T10419" s="41"/>
    </row>
    <row r="10420" spans="20:20" s="566" customFormat="1">
      <c r="T10420" s="41"/>
    </row>
    <row r="10421" spans="20:20" s="566" customFormat="1">
      <c r="T10421" s="41"/>
    </row>
    <row r="10422" spans="20:20" s="566" customFormat="1">
      <c r="T10422" s="41"/>
    </row>
    <row r="10423" spans="20:20" s="566" customFormat="1">
      <c r="T10423" s="41"/>
    </row>
    <row r="10424" spans="20:20" s="566" customFormat="1">
      <c r="T10424" s="41"/>
    </row>
    <row r="10425" spans="20:20" s="566" customFormat="1">
      <c r="T10425" s="41"/>
    </row>
    <row r="10426" spans="20:20" s="566" customFormat="1">
      <c r="T10426" s="41"/>
    </row>
    <row r="10427" spans="20:20" s="566" customFormat="1">
      <c r="T10427" s="41"/>
    </row>
    <row r="10428" spans="20:20" s="566" customFormat="1">
      <c r="T10428" s="41"/>
    </row>
    <row r="10429" spans="20:20" s="566" customFormat="1">
      <c r="T10429" s="41"/>
    </row>
    <row r="10430" spans="20:20" s="566" customFormat="1">
      <c r="T10430" s="41"/>
    </row>
    <row r="10431" spans="20:20" s="566" customFormat="1">
      <c r="T10431" s="41"/>
    </row>
    <row r="10432" spans="20:20" s="566" customFormat="1">
      <c r="T10432" s="41"/>
    </row>
    <row r="10433" spans="20:20" s="566" customFormat="1">
      <c r="T10433" s="41"/>
    </row>
    <row r="10434" spans="20:20" s="566" customFormat="1">
      <c r="T10434" s="41"/>
    </row>
    <row r="10435" spans="20:20" s="566" customFormat="1">
      <c r="T10435" s="41"/>
    </row>
    <row r="10436" spans="20:20" s="566" customFormat="1">
      <c r="T10436" s="41"/>
    </row>
    <row r="10437" spans="20:20" s="566" customFormat="1">
      <c r="T10437" s="41"/>
    </row>
    <row r="10438" spans="20:20" s="566" customFormat="1">
      <c r="T10438" s="41"/>
    </row>
    <row r="10439" spans="20:20" s="566" customFormat="1">
      <c r="T10439" s="41"/>
    </row>
    <row r="10440" spans="20:20" s="566" customFormat="1">
      <c r="T10440" s="41"/>
    </row>
    <row r="10441" spans="20:20" s="566" customFormat="1">
      <c r="T10441" s="41"/>
    </row>
    <row r="10442" spans="20:20" s="566" customFormat="1">
      <c r="T10442" s="41"/>
    </row>
    <row r="10443" spans="20:20" s="566" customFormat="1">
      <c r="T10443" s="41"/>
    </row>
    <row r="10444" spans="20:20" s="566" customFormat="1">
      <c r="T10444" s="41"/>
    </row>
    <row r="10445" spans="20:20" s="566" customFormat="1">
      <c r="T10445" s="41"/>
    </row>
    <row r="10446" spans="20:20" s="566" customFormat="1">
      <c r="T10446" s="41"/>
    </row>
    <row r="10447" spans="20:20" s="566" customFormat="1">
      <c r="T10447" s="41"/>
    </row>
    <row r="10448" spans="20:20" s="566" customFormat="1">
      <c r="T10448" s="41"/>
    </row>
    <row r="10449" spans="20:20" s="566" customFormat="1">
      <c r="T10449" s="41"/>
    </row>
    <row r="10450" spans="20:20" s="566" customFormat="1">
      <c r="T10450" s="41"/>
    </row>
    <row r="10451" spans="20:20" s="566" customFormat="1">
      <c r="T10451" s="41"/>
    </row>
    <row r="10452" spans="20:20" s="566" customFormat="1">
      <c r="T10452" s="41"/>
    </row>
    <row r="10453" spans="20:20" s="566" customFormat="1">
      <c r="T10453" s="41"/>
    </row>
    <row r="10454" spans="20:20" s="566" customFormat="1">
      <c r="T10454" s="41"/>
    </row>
    <row r="10455" spans="20:20" s="566" customFormat="1">
      <c r="T10455" s="41"/>
    </row>
    <row r="10456" spans="20:20" s="566" customFormat="1">
      <c r="T10456" s="41"/>
    </row>
    <row r="10457" spans="20:20" s="566" customFormat="1">
      <c r="T10457" s="41"/>
    </row>
    <row r="10458" spans="20:20" s="566" customFormat="1">
      <c r="T10458" s="41"/>
    </row>
    <row r="10459" spans="20:20" s="566" customFormat="1">
      <c r="T10459" s="41"/>
    </row>
    <row r="10460" spans="20:20" s="566" customFormat="1">
      <c r="T10460" s="41"/>
    </row>
    <row r="10461" spans="20:20" s="566" customFormat="1">
      <c r="T10461" s="41"/>
    </row>
    <row r="10462" spans="20:20" s="566" customFormat="1">
      <c r="T10462" s="41"/>
    </row>
    <row r="10463" spans="20:20" s="566" customFormat="1">
      <c r="T10463" s="41"/>
    </row>
    <row r="10464" spans="20:20" s="566" customFormat="1">
      <c r="T10464" s="41"/>
    </row>
    <row r="10465" spans="20:20" s="566" customFormat="1">
      <c r="T10465" s="41"/>
    </row>
    <row r="10466" spans="20:20" s="566" customFormat="1">
      <c r="T10466" s="41"/>
    </row>
    <row r="10467" spans="20:20" s="566" customFormat="1">
      <c r="T10467" s="41"/>
    </row>
    <row r="10468" spans="20:20" s="566" customFormat="1">
      <c r="T10468" s="41"/>
    </row>
    <row r="10469" spans="20:20" s="566" customFormat="1">
      <c r="T10469" s="41"/>
    </row>
    <row r="10470" spans="20:20" s="566" customFormat="1">
      <c r="T10470" s="41"/>
    </row>
    <row r="10471" spans="20:20" s="566" customFormat="1">
      <c r="T10471" s="41"/>
    </row>
    <row r="10472" spans="20:20" s="566" customFormat="1">
      <c r="T10472" s="41"/>
    </row>
    <row r="10473" spans="20:20" s="566" customFormat="1">
      <c r="T10473" s="41"/>
    </row>
    <row r="10474" spans="20:20" s="566" customFormat="1">
      <c r="T10474" s="41"/>
    </row>
    <row r="10475" spans="20:20" s="566" customFormat="1">
      <c r="T10475" s="41"/>
    </row>
    <row r="10476" spans="20:20" s="566" customFormat="1">
      <c r="T10476" s="41"/>
    </row>
    <row r="10477" spans="20:20" s="566" customFormat="1">
      <c r="T10477" s="41"/>
    </row>
    <row r="10478" spans="20:20" s="566" customFormat="1">
      <c r="T10478" s="41"/>
    </row>
    <row r="10479" spans="20:20" s="566" customFormat="1">
      <c r="T10479" s="41"/>
    </row>
    <row r="10480" spans="20:20" s="566" customFormat="1">
      <c r="T10480" s="41"/>
    </row>
    <row r="10481" spans="20:20" s="566" customFormat="1">
      <c r="T10481" s="41"/>
    </row>
    <row r="10482" spans="20:20" s="566" customFormat="1">
      <c r="T10482" s="41"/>
    </row>
    <row r="10483" spans="20:20" s="566" customFormat="1">
      <c r="T10483" s="41"/>
    </row>
    <row r="10484" spans="20:20" s="566" customFormat="1">
      <c r="T10484" s="41"/>
    </row>
    <row r="10485" spans="20:20" s="566" customFormat="1">
      <c r="T10485" s="41"/>
    </row>
    <row r="10486" spans="20:20" s="566" customFormat="1">
      <c r="T10486" s="41"/>
    </row>
    <row r="10487" spans="20:20" s="566" customFormat="1">
      <c r="T10487" s="41"/>
    </row>
    <row r="10488" spans="20:20" s="566" customFormat="1">
      <c r="T10488" s="41"/>
    </row>
    <row r="10489" spans="20:20" s="566" customFormat="1">
      <c r="T10489" s="41"/>
    </row>
    <row r="10490" spans="20:20" s="566" customFormat="1">
      <c r="T10490" s="41"/>
    </row>
    <row r="10491" spans="20:20" s="566" customFormat="1">
      <c r="T10491" s="41"/>
    </row>
    <row r="10492" spans="20:20" s="566" customFormat="1">
      <c r="T10492" s="41"/>
    </row>
    <row r="10493" spans="20:20" s="566" customFormat="1">
      <c r="T10493" s="41"/>
    </row>
    <row r="10494" spans="20:20" s="566" customFormat="1">
      <c r="T10494" s="41"/>
    </row>
    <row r="10495" spans="20:20" s="566" customFormat="1">
      <c r="T10495" s="41"/>
    </row>
    <row r="10496" spans="20:20" s="566" customFormat="1">
      <c r="T10496" s="41"/>
    </row>
    <row r="10497" spans="20:20" s="566" customFormat="1">
      <c r="T10497" s="41"/>
    </row>
    <row r="10498" spans="20:20" s="566" customFormat="1">
      <c r="T10498" s="41"/>
    </row>
    <row r="10499" spans="20:20" s="566" customFormat="1">
      <c r="T10499" s="41"/>
    </row>
    <row r="10500" spans="20:20" s="566" customFormat="1">
      <c r="T10500" s="41"/>
    </row>
    <row r="10501" spans="20:20" s="566" customFormat="1">
      <c r="T10501" s="41"/>
    </row>
    <row r="10502" spans="20:20" s="566" customFormat="1">
      <c r="T10502" s="41"/>
    </row>
    <row r="10503" spans="20:20" s="566" customFormat="1">
      <c r="T10503" s="41"/>
    </row>
    <row r="10504" spans="20:20" s="566" customFormat="1">
      <c r="T10504" s="41"/>
    </row>
    <row r="10505" spans="20:20" s="566" customFormat="1">
      <c r="T10505" s="41"/>
    </row>
    <row r="10506" spans="20:20" s="566" customFormat="1">
      <c r="T10506" s="41"/>
    </row>
    <row r="10507" spans="20:20" s="566" customFormat="1">
      <c r="T10507" s="41"/>
    </row>
    <row r="10508" spans="20:20" s="566" customFormat="1">
      <c r="T10508" s="41"/>
    </row>
    <row r="10509" spans="20:20" s="566" customFormat="1">
      <c r="T10509" s="41"/>
    </row>
    <row r="10510" spans="20:20" s="566" customFormat="1">
      <c r="T10510" s="41"/>
    </row>
    <row r="10511" spans="20:20" s="566" customFormat="1">
      <c r="T10511" s="41"/>
    </row>
    <row r="10512" spans="20:20" s="566" customFormat="1">
      <c r="T10512" s="41"/>
    </row>
    <row r="10513" spans="20:20" s="566" customFormat="1">
      <c r="T10513" s="41"/>
    </row>
    <row r="10514" spans="20:20" s="566" customFormat="1">
      <c r="T10514" s="41"/>
    </row>
    <row r="10515" spans="20:20" s="566" customFormat="1">
      <c r="T10515" s="41"/>
    </row>
    <row r="10516" spans="20:20" s="566" customFormat="1">
      <c r="T10516" s="41"/>
    </row>
    <row r="10517" spans="20:20" s="566" customFormat="1">
      <c r="T10517" s="41"/>
    </row>
    <row r="10518" spans="20:20" s="566" customFormat="1">
      <c r="T10518" s="41"/>
    </row>
    <row r="10519" spans="20:20" s="566" customFormat="1">
      <c r="T10519" s="41"/>
    </row>
    <row r="10520" spans="20:20" s="566" customFormat="1">
      <c r="T10520" s="41"/>
    </row>
    <row r="10521" spans="20:20" s="566" customFormat="1">
      <c r="T10521" s="41"/>
    </row>
    <row r="10522" spans="20:20" s="566" customFormat="1">
      <c r="T10522" s="41"/>
    </row>
    <row r="10523" spans="20:20" s="566" customFormat="1">
      <c r="T10523" s="41"/>
    </row>
    <row r="10524" spans="20:20" s="566" customFormat="1">
      <c r="T10524" s="41"/>
    </row>
    <row r="10525" spans="20:20" s="566" customFormat="1">
      <c r="T10525" s="41"/>
    </row>
    <row r="10526" spans="20:20" s="566" customFormat="1">
      <c r="T10526" s="41"/>
    </row>
    <row r="10527" spans="20:20" s="566" customFormat="1">
      <c r="T10527" s="41"/>
    </row>
    <row r="10528" spans="20:20" s="566" customFormat="1">
      <c r="T10528" s="41"/>
    </row>
    <row r="10529" spans="20:20" s="566" customFormat="1">
      <c r="T10529" s="41"/>
    </row>
    <row r="10530" spans="20:20" s="566" customFormat="1">
      <c r="T10530" s="41"/>
    </row>
    <row r="10531" spans="20:20" s="566" customFormat="1">
      <c r="T10531" s="41"/>
    </row>
    <row r="10532" spans="20:20" s="566" customFormat="1">
      <c r="T10532" s="41"/>
    </row>
    <row r="10533" spans="20:20" s="566" customFormat="1">
      <c r="T10533" s="41"/>
    </row>
    <row r="10534" spans="20:20" s="566" customFormat="1">
      <c r="T10534" s="41"/>
    </row>
    <row r="10535" spans="20:20" s="566" customFormat="1">
      <c r="T10535" s="41"/>
    </row>
    <row r="10536" spans="20:20" s="566" customFormat="1">
      <c r="T10536" s="41"/>
    </row>
    <row r="10537" spans="20:20" s="566" customFormat="1">
      <c r="T10537" s="41"/>
    </row>
    <row r="10538" spans="20:20" s="566" customFormat="1">
      <c r="T10538" s="41"/>
    </row>
    <row r="10539" spans="20:20" s="566" customFormat="1">
      <c r="T10539" s="41"/>
    </row>
    <row r="10540" spans="20:20" s="566" customFormat="1">
      <c r="T10540" s="41"/>
    </row>
    <row r="10541" spans="20:20" s="566" customFormat="1">
      <c r="T10541" s="41"/>
    </row>
    <row r="10542" spans="20:20" s="566" customFormat="1">
      <c r="T10542" s="41"/>
    </row>
    <row r="10543" spans="20:20" s="566" customFormat="1">
      <c r="T10543" s="41"/>
    </row>
    <row r="10544" spans="20:20" s="566" customFormat="1">
      <c r="T10544" s="41"/>
    </row>
    <row r="10545" spans="20:20" s="566" customFormat="1">
      <c r="T10545" s="41"/>
    </row>
    <row r="10546" spans="20:20" s="566" customFormat="1">
      <c r="T10546" s="41"/>
    </row>
    <row r="10547" spans="20:20" s="566" customFormat="1">
      <c r="T10547" s="41"/>
    </row>
    <row r="10548" spans="20:20" s="566" customFormat="1">
      <c r="T10548" s="41"/>
    </row>
    <row r="10549" spans="20:20" s="566" customFormat="1">
      <c r="T10549" s="41"/>
    </row>
    <row r="10550" spans="20:20" s="566" customFormat="1">
      <c r="T10550" s="41"/>
    </row>
    <row r="10551" spans="20:20" s="566" customFormat="1">
      <c r="T10551" s="41"/>
    </row>
    <row r="10552" spans="20:20" s="566" customFormat="1">
      <c r="T10552" s="41"/>
    </row>
    <row r="10553" spans="20:20" s="566" customFormat="1">
      <c r="T10553" s="41"/>
    </row>
    <row r="10554" spans="20:20" s="566" customFormat="1">
      <c r="T10554" s="41"/>
    </row>
    <row r="10555" spans="20:20" s="566" customFormat="1">
      <c r="T10555" s="41"/>
    </row>
    <row r="10556" spans="20:20" s="566" customFormat="1">
      <c r="T10556" s="41"/>
    </row>
    <row r="10557" spans="20:20" s="566" customFormat="1">
      <c r="T10557" s="41"/>
    </row>
    <row r="10558" spans="20:20" s="566" customFormat="1">
      <c r="T10558" s="41"/>
    </row>
    <row r="10559" spans="20:20" s="566" customFormat="1">
      <c r="T10559" s="41"/>
    </row>
    <row r="10560" spans="20:20" s="566" customFormat="1">
      <c r="T10560" s="41"/>
    </row>
    <row r="10561" spans="20:20" s="566" customFormat="1">
      <c r="T10561" s="41"/>
    </row>
    <row r="10562" spans="20:20" s="566" customFormat="1">
      <c r="T10562" s="41"/>
    </row>
    <row r="10563" spans="20:20" s="566" customFormat="1">
      <c r="T10563" s="41"/>
    </row>
    <row r="10564" spans="20:20" s="566" customFormat="1">
      <c r="T10564" s="41"/>
    </row>
    <row r="10565" spans="20:20" s="566" customFormat="1">
      <c r="T10565" s="41"/>
    </row>
    <row r="10566" spans="20:20" s="566" customFormat="1">
      <c r="T10566" s="41"/>
    </row>
    <row r="10567" spans="20:20" s="566" customFormat="1">
      <c r="T10567" s="41"/>
    </row>
    <row r="10568" spans="20:20" s="566" customFormat="1">
      <c r="T10568" s="41"/>
    </row>
    <row r="10569" spans="20:20" s="566" customFormat="1">
      <c r="T10569" s="41"/>
    </row>
    <row r="10570" spans="20:20" s="566" customFormat="1">
      <c r="T10570" s="41"/>
    </row>
    <row r="10571" spans="20:20" s="566" customFormat="1">
      <c r="T10571" s="41"/>
    </row>
    <row r="10572" spans="20:20" s="566" customFormat="1">
      <c r="T10572" s="41"/>
    </row>
    <row r="10573" spans="20:20" s="566" customFormat="1">
      <c r="T10573" s="41"/>
    </row>
    <row r="10574" spans="20:20" s="566" customFormat="1">
      <c r="T10574" s="41"/>
    </row>
    <row r="10575" spans="20:20" s="566" customFormat="1">
      <c r="T10575" s="41"/>
    </row>
    <row r="10576" spans="20:20" s="566" customFormat="1">
      <c r="T10576" s="41"/>
    </row>
    <row r="10577" spans="20:20" s="566" customFormat="1">
      <c r="T10577" s="41"/>
    </row>
    <row r="10578" spans="20:20" s="566" customFormat="1">
      <c r="T10578" s="41"/>
    </row>
    <row r="10579" spans="20:20" s="566" customFormat="1">
      <c r="T10579" s="41"/>
    </row>
    <row r="10580" spans="20:20" s="566" customFormat="1">
      <c r="T10580" s="41"/>
    </row>
    <row r="10581" spans="20:20" s="566" customFormat="1">
      <c r="T10581" s="41"/>
    </row>
    <row r="10582" spans="20:20" s="566" customFormat="1">
      <c r="T10582" s="41"/>
    </row>
    <row r="10583" spans="20:20" s="566" customFormat="1">
      <c r="T10583" s="41"/>
    </row>
    <row r="10584" spans="20:20" s="566" customFormat="1">
      <c r="T10584" s="41"/>
    </row>
    <row r="10585" spans="20:20" s="566" customFormat="1">
      <c r="T10585" s="41"/>
    </row>
    <row r="10586" spans="20:20" s="566" customFormat="1">
      <c r="T10586" s="41"/>
    </row>
    <row r="10587" spans="20:20" s="566" customFormat="1">
      <c r="T10587" s="41"/>
    </row>
    <row r="10588" spans="20:20" s="566" customFormat="1">
      <c r="T10588" s="41"/>
    </row>
    <row r="10589" spans="20:20" s="566" customFormat="1">
      <c r="T10589" s="41"/>
    </row>
    <row r="10590" spans="20:20" s="566" customFormat="1">
      <c r="T10590" s="41"/>
    </row>
    <row r="10591" spans="20:20" s="566" customFormat="1">
      <c r="T10591" s="41"/>
    </row>
    <row r="10592" spans="20:20" s="566" customFormat="1">
      <c r="T10592" s="41"/>
    </row>
    <row r="10593" spans="20:20" s="566" customFormat="1">
      <c r="T10593" s="41"/>
    </row>
    <row r="10594" spans="20:20" s="566" customFormat="1">
      <c r="T10594" s="41"/>
    </row>
    <row r="10595" spans="20:20" s="566" customFormat="1">
      <c r="T10595" s="41"/>
    </row>
    <row r="10596" spans="20:20" s="566" customFormat="1">
      <c r="T10596" s="41"/>
    </row>
    <row r="10597" spans="20:20" s="566" customFormat="1">
      <c r="T10597" s="41"/>
    </row>
    <row r="10598" spans="20:20" s="566" customFormat="1">
      <c r="T10598" s="41"/>
    </row>
    <row r="10599" spans="20:20" s="566" customFormat="1">
      <c r="T10599" s="41"/>
    </row>
    <row r="10600" spans="20:20" s="566" customFormat="1">
      <c r="T10600" s="41"/>
    </row>
    <row r="10601" spans="20:20" s="566" customFormat="1">
      <c r="T10601" s="41"/>
    </row>
    <row r="10602" spans="20:20" s="566" customFormat="1">
      <c r="T10602" s="41"/>
    </row>
    <row r="10603" spans="20:20" s="566" customFormat="1">
      <c r="T10603" s="41"/>
    </row>
    <row r="10604" spans="20:20" s="566" customFormat="1">
      <c r="T10604" s="41"/>
    </row>
    <row r="10605" spans="20:20" s="566" customFormat="1">
      <c r="T10605" s="41"/>
    </row>
    <row r="10606" spans="20:20" s="566" customFormat="1">
      <c r="T10606" s="41"/>
    </row>
    <row r="10607" spans="20:20" s="566" customFormat="1">
      <c r="T10607" s="41"/>
    </row>
    <row r="10608" spans="20:20" s="566" customFormat="1">
      <c r="T10608" s="41"/>
    </row>
    <row r="10609" spans="20:20" s="566" customFormat="1">
      <c r="T10609" s="41"/>
    </row>
    <row r="10610" spans="20:20" s="566" customFormat="1">
      <c r="T10610" s="41"/>
    </row>
    <row r="10611" spans="20:20" s="566" customFormat="1">
      <c r="T10611" s="41"/>
    </row>
    <row r="10612" spans="20:20" s="566" customFormat="1">
      <c r="T10612" s="41"/>
    </row>
    <row r="10613" spans="20:20" s="566" customFormat="1">
      <c r="T10613" s="41"/>
    </row>
    <row r="10614" spans="20:20" s="566" customFormat="1">
      <c r="T10614" s="41"/>
    </row>
    <row r="10615" spans="20:20" s="566" customFormat="1">
      <c r="T10615" s="41"/>
    </row>
    <row r="10616" spans="20:20" s="566" customFormat="1">
      <c r="T10616" s="41"/>
    </row>
    <row r="10617" spans="20:20" s="566" customFormat="1">
      <c r="T10617" s="41"/>
    </row>
    <row r="10618" spans="20:20" s="566" customFormat="1">
      <c r="T10618" s="41"/>
    </row>
    <row r="10619" spans="20:20" s="566" customFormat="1">
      <c r="T10619" s="41"/>
    </row>
    <row r="10620" spans="20:20" s="566" customFormat="1">
      <c r="T10620" s="41"/>
    </row>
    <row r="10621" spans="20:20" s="566" customFormat="1">
      <c r="T10621" s="41"/>
    </row>
    <row r="10622" spans="20:20" s="566" customFormat="1">
      <c r="T10622" s="41"/>
    </row>
    <row r="10623" spans="20:20" s="566" customFormat="1">
      <c r="T10623" s="41"/>
    </row>
    <row r="10624" spans="20:20" s="566" customFormat="1">
      <c r="T10624" s="41"/>
    </row>
    <row r="10625" spans="20:20" s="566" customFormat="1">
      <c r="T10625" s="41"/>
    </row>
    <row r="10626" spans="20:20" s="566" customFormat="1">
      <c r="T10626" s="41"/>
    </row>
    <row r="10627" spans="20:20" s="566" customFormat="1">
      <c r="T10627" s="41"/>
    </row>
    <row r="10628" spans="20:20" s="566" customFormat="1">
      <c r="T10628" s="41"/>
    </row>
    <row r="10629" spans="20:20" s="566" customFormat="1">
      <c r="T10629" s="41"/>
    </row>
    <row r="10630" spans="20:20" s="566" customFormat="1">
      <c r="T10630" s="41"/>
    </row>
    <row r="10631" spans="20:20" s="566" customFormat="1">
      <c r="T10631" s="41"/>
    </row>
    <row r="10632" spans="20:20" s="566" customFormat="1">
      <c r="T10632" s="41"/>
    </row>
    <row r="10633" spans="20:20" s="566" customFormat="1">
      <c r="T10633" s="41"/>
    </row>
    <row r="10634" spans="20:20" s="566" customFormat="1">
      <c r="T10634" s="41"/>
    </row>
    <row r="10635" spans="20:20" s="566" customFormat="1">
      <c r="T10635" s="41"/>
    </row>
    <row r="10636" spans="20:20" s="566" customFormat="1">
      <c r="T10636" s="41"/>
    </row>
    <row r="10637" spans="20:20" s="566" customFormat="1">
      <c r="T10637" s="41"/>
    </row>
    <row r="10638" spans="20:20" s="566" customFormat="1">
      <c r="T10638" s="41"/>
    </row>
    <row r="10639" spans="20:20" s="566" customFormat="1">
      <c r="T10639" s="41"/>
    </row>
    <row r="10640" spans="20:20" s="566" customFormat="1">
      <c r="T10640" s="41"/>
    </row>
    <row r="10641" spans="20:20" s="566" customFormat="1">
      <c r="T10641" s="41"/>
    </row>
    <row r="10642" spans="20:20" s="566" customFormat="1">
      <c r="T10642" s="41"/>
    </row>
    <row r="10643" spans="20:20" s="566" customFormat="1">
      <c r="T10643" s="41"/>
    </row>
    <row r="10644" spans="20:20" s="566" customFormat="1">
      <c r="T10644" s="41"/>
    </row>
    <row r="10645" spans="20:20" s="566" customFormat="1">
      <c r="T10645" s="41"/>
    </row>
    <row r="10646" spans="20:20" s="566" customFormat="1">
      <c r="T10646" s="41"/>
    </row>
    <row r="10647" spans="20:20" s="566" customFormat="1">
      <c r="T10647" s="41"/>
    </row>
    <row r="10648" spans="20:20" s="566" customFormat="1">
      <c r="T10648" s="41"/>
    </row>
    <row r="10649" spans="20:20" s="566" customFormat="1">
      <c r="T10649" s="41"/>
    </row>
    <row r="10650" spans="20:20" s="566" customFormat="1">
      <c r="T10650" s="41"/>
    </row>
    <row r="10651" spans="20:20" s="566" customFormat="1">
      <c r="T10651" s="41"/>
    </row>
    <row r="10652" spans="20:20" s="566" customFormat="1">
      <c r="T10652" s="41"/>
    </row>
    <row r="10653" spans="20:20" s="566" customFormat="1">
      <c r="T10653" s="41"/>
    </row>
    <row r="10654" spans="20:20" s="566" customFormat="1">
      <c r="T10654" s="41"/>
    </row>
    <row r="10655" spans="20:20" s="566" customFormat="1">
      <c r="T10655" s="41"/>
    </row>
    <row r="10656" spans="20:20" s="566" customFormat="1">
      <c r="T10656" s="41"/>
    </row>
    <row r="10657" spans="20:20" s="566" customFormat="1">
      <c r="T10657" s="41"/>
    </row>
    <row r="10658" spans="20:20" s="566" customFormat="1">
      <c r="T10658" s="41"/>
    </row>
    <row r="10659" spans="20:20" s="566" customFormat="1">
      <c r="T10659" s="41"/>
    </row>
    <row r="10660" spans="20:20" s="566" customFormat="1">
      <c r="T10660" s="41"/>
    </row>
    <row r="10661" spans="20:20" s="566" customFormat="1">
      <c r="T10661" s="41"/>
    </row>
    <row r="10662" spans="20:20" s="566" customFormat="1">
      <c r="T10662" s="41"/>
    </row>
    <row r="10663" spans="20:20" s="566" customFormat="1">
      <c r="T10663" s="41"/>
    </row>
    <row r="10664" spans="20:20" s="566" customFormat="1">
      <c r="T10664" s="41"/>
    </row>
    <row r="10665" spans="20:20" s="566" customFormat="1">
      <c r="T10665" s="41"/>
    </row>
    <row r="10666" spans="20:20" s="566" customFormat="1">
      <c r="T10666" s="41"/>
    </row>
    <row r="10667" spans="20:20" s="566" customFormat="1">
      <c r="T10667" s="41"/>
    </row>
    <row r="10668" spans="20:20" s="566" customFormat="1">
      <c r="T10668" s="41"/>
    </row>
    <row r="10669" spans="20:20" s="566" customFormat="1">
      <c r="T10669" s="41"/>
    </row>
    <row r="10670" spans="20:20" s="566" customFormat="1">
      <c r="T10670" s="41"/>
    </row>
    <row r="10671" spans="20:20" s="566" customFormat="1">
      <c r="T10671" s="41"/>
    </row>
    <row r="10672" spans="20:20" s="566" customFormat="1">
      <c r="T10672" s="41"/>
    </row>
    <row r="10673" spans="20:20" s="566" customFormat="1">
      <c r="T10673" s="41"/>
    </row>
    <row r="10674" spans="20:20" s="566" customFormat="1">
      <c r="T10674" s="41"/>
    </row>
    <row r="10675" spans="20:20" s="566" customFormat="1">
      <c r="T10675" s="41"/>
    </row>
    <row r="10676" spans="20:20" s="566" customFormat="1">
      <c r="T10676" s="41"/>
    </row>
    <row r="10677" spans="20:20" s="566" customFormat="1">
      <c r="T10677" s="41"/>
    </row>
    <row r="10678" spans="20:20" s="566" customFormat="1">
      <c r="T10678" s="41"/>
    </row>
    <row r="10679" spans="20:20" s="566" customFormat="1">
      <c r="T10679" s="41"/>
    </row>
    <row r="10680" spans="20:20" s="566" customFormat="1">
      <c r="T10680" s="41"/>
    </row>
    <row r="10681" spans="20:20" s="566" customFormat="1">
      <c r="T10681" s="41"/>
    </row>
    <row r="10682" spans="20:20" s="566" customFormat="1">
      <c r="T10682" s="41"/>
    </row>
    <row r="10683" spans="20:20" s="566" customFormat="1">
      <c r="T10683" s="41"/>
    </row>
    <row r="10684" spans="20:20" s="566" customFormat="1">
      <c r="T10684" s="41"/>
    </row>
    <row r="10685" spans="20:20" s="566" customFormat="1">
      <c r="T10685" s="41"/>
    </row>
    <row r="10686" spans="20:20" s="566" customFormat="1">
      <c r="T10686" s="41"/>
    </row>
    <row r="10687" spans="20:20" s="566" customFormat="1">
      <c r="T10687" s="41"/>
    </row>
    <row r="10688" spans="20:20" s="566" customFormat="1">
      <c r="T10688" s="41"/>
    </row>
    <row r="10689" spans="20:20" s="566" customFormat="1">
      <c r="T10689" s="41"/>
    </row>
    <row r="10690" spans="20:20" s="566" customFormat="1">
      <c r="T10690" s="41"/>
    </row>
    <row r="10691" spans="20:20" s="566" customFormat="1">
      <c r="T10691" s="41"/>
    </row>
    <row r="10692" spans="20:20" s="566" customFormat="1">
      <c r="T10692" s="41"/>
    </row>
    <row r="10693" spans="20:20" s="566" customFormat="1">
      <c r="T10693" s="41"/>
    </row>
    <row r="10694" spans="20:20" s="566" customFormat="1">
      <c r="T10694" s="41"/>
    </row>
    <row r="10695" spans="20:20" s="566" customFormat="1">
      <c r="T10695" s="41"/>
    </row>
    <row r="10696" spans="20:20" s="566" customFormat="1">
      <c r="T10696" s="41"/>
    </row>
    <row r="10697" spans="20:20" s="566" customFormat="1">
      <c r="T10697" s="41"/>
    </row>
    <row r="10698" spans="20:20" s="566" customFormat="1">
      <c r="T10698" s="41"/>
    </row>
    <row r="10699" spans="20:20" s="566" customFormat="1">
      <c r="T10699" s="41"/>
    </row>
    <row r="10700" spans="20:20" s="566" customFormat="1">
      <c r="T10700" s="41"/>
    </row>
    <row r="10701" spans="20:20" s="566" customFormat="1">
      <c r="T10701" s="41"/>
    </row>
    <row r="10702" spans="20:20" s="566" customFormat="1">
      <c r="T10702" s="41"/>
    </row>
    <row r="10703" spans="20:20" s="566" customFormat="1">
      <c r="T10703" s="41"/>
    </row>
    <row r="10704" spans="20:20" s="566" customFormat="1">
      <c r="T10704" s="41"/>
    </row>
    <row r="10705" spans="20:20" s="566" customFormat="1">
      <c r="T10705" s="41"/>
    </row>
    <row r="10706" spans="20:20" s="566" customFormat="1">
      <c r="T10706" s="41"/>
    </row>
    <row r="10707" spans="20:20" s="566" customFormat="1">
      <c r="T10707" s="41"/>
    </row>
    <row r="10708" spans="20:20" s="566" customFormat="1">
      <c r="T10708" s="41"/>
    </row>
    <row r="10709" spans="20:20" s="566" customFormat="1">
      <c r="T10709" s="41"/>
    </row>
    <row r="10710" spans="20:20" s="566" customFormat="1">
      <c r="T10710" s="41"/>
    </row>
    <row r="10711" spans="20:20" s="566" customFormat="1">
      <c r="T10711" s="41"/>
    </row>
    <row r="10712" spans="20:20" s="566" customFormat="1">
      <c r="T10712" s="41"/>
    </row>
    <row r="10713" spans="20:20" s="566" customFormat="1">
      <c r="T10713" s="41"/>
    </row>
    <row r="10714" spans="20:20" s="566" customFormat="1">
      <c r="T10714" s="41"/>
    </row>
    <row r="10715" spans="20:20" s="566" customFormat="1">
      <c r="T10715" s="41"/>
    </row>
    <row r="10716" spans="20:20" s="566" customFormat="1">
      <c r="T10716" s="41"/>
    </row>
    <row r="10717" spans="20:20" s="566" customFormat="1">
      <c r="T10717" s="41"/>
    </row>
    <row r="10718" spans="20:20" s="566" customFormat="1">
      <c r="T10718" s="41"/>
    </row>
    <row r="10719" spans="20:20" s="566" customFormat="1">
      <c r="T10719" s="41"/>
    </row>
    <row r="10720" spans="20:20" s="566" customFormat="1">
      <c r="T10720" s="41"/>
    </row>
    <row r="10721" spans="20:20" s="566" customFormat="1">
      <c r="T10721" s="41"/>
    </row>
    <row r="10722" spans="20:20" s="566" customFormat="1">
      <c r="T10722" s="41"/>
    </row>
    <row r="10723" spans="20:20" s="566" customFormat="1">
      <c r="T10723" s="41"/>
    </row>
    <row r="10724" spans="20:20" s="566" customFormat="1">
      <c r="T10724" s="41"/>
    </row>
    <row r="10725" spans="20:20" s="566" customFormat="1">
      <c r="T10725" s="41"/>
    </row>
    <row r="10726" spans="20:20" s="566" customFormat="1">
      <c r="T10726" s="41"/>
    </row>
    <row r="10727" spans="20:20" s="566" customFormat="1">
      <c r="T10727" s="41"/>
    </row>
    <row r="10728" spans="20:20" s="566" customFormat="1">
      <c r="T10728" s="41"/>
    </row>
    <row r="10729" spans="20:20" s="566" customFormat="1">
      <c r="T10729" s="41"/>
    </row>
    <row r="10730" spans="20:20" s="566" customFormat="1">
      <c r="T10730" s="41"/>
    </row>
    <row r="10731" spans="20:20" s="566" customFormat="1">
      <c r="T10731" s="41"/>
    </row>
    <row r="10732" spans="20:20" s="566" customFormat="1">
      <c r="T10732" s="41"/>
    </row>
    <row r="10733" spans="20:20" s="566" customFormat="1">
      <c r="T10733" s="41"/>
    </row>
    <row r="10734" spans="20:20" s="566" customFormat="1">
      <c r="T10734" s="41"/>
    </row>
    <row r="10735" spans="20:20" s="566" customFormat="1">
      <c r="T10735" s="41"/>
    </row>
    <row r="10736" spans="20:20" s="566" customFormat="1">
      <c r="T10736" s="41"/>
    </row>
    <row r="10737" spans="20:20" s="566" customFormat="1">
      <c r="T10737" s="41"/>
    </row>
    <row r="10738" spans="20:20" s="566" customFormat="1">
      <c r="T10738" s="41"/>
    </row>
    <row r="10739" spans="20:20" s="566" customFormat="1">
      <c r="T10739" s="41"/>
    </row>
    <row r="10740" spans="20:20" s="566" customFormat="1">
      <c r="T10740" s="41"/>
    </row>
    <row r="10741" spans="20:20" s="566" customFormat="1">
      <c r="T10741" s="41"/>
    </row>
    <row r="10742" spans="20:20" s="566" customFormat="1">
      <c r="T10742" s="41"/>
    </row>
    <row r="10743" spans="20:20" s="566" customFormat="1">
      <c r="T10743" s="41"/>
    </row>
    <row r="10744" spans="20:20" s="566" customFormat="1">
      <c r="T10744" s="41"/>
    </row>
    <row r="10745" spans="20:20" s="566" customFormat="1">
      <c r="T10745" s="41"/>
    </row>
    <row r="10746" spans="20:20" s="566" customFormat="1">
      <c r="T10746" s="41"/>
    </row>
    <row r="10747" spans="20:20" s="566" customFormat="1">
      <c r="T10747" s="41"/>
    </row>
    <row r="10748" spans="20:20" s="566" customFormat="1">
      <c r="T10748" s="41"/>
    </row>
    <row r="10749" spans="20:20" s="566" customFormat="1">
      <c r="T10749" s="41"/>
    </row>
    <row r="10750" spans="20:20" s="566" customFormat="1">
      <c r="T10750" s="41"/>
    </row>
    <row r="10751" spans="20:20" s="566" customFormat="1">
      <c r="T10751" s="41"/>
    </row>
    <row r="10752" spans="20:20" s="566" customFormat="1">
      <c r="T10752" s="41"/>
    </row>
    <row r="10753" spans="20:20" s="566" customFormat="1">
      <c r="T10753" s="41"/>
    </row>
    <row r="10754" spans="20:20" s="566" customFormat="1">
      <c r="T10754" s="41"/>
    </row>
    <row r="10755" spans="20:20" s="566" customFormat="1">
      <c r="T10755" s="41"/>
    </row>
    <row r="10756" spans="20:20" s="566" customFormat="1">
      <c r="T10756" s="41"/>
    </row>
    <row r="10757" spans="20:20" s="566" customFormat="1">
      <c r="T10757" s="41"/>
    </row>
    <row r="10758" spans="20:20" s="566" customFormat="1">
      <c r="T10758" s="41"/>
    </row>
    <row r="10759" spans="20:20" s="566" customFormat="1">
      <c r="T10759" s="41"/>
    </row>
    <row r="10760" spans="20:20" s="566" customFormat="1">
      <c r="T10760" s="41"/>
    </row>
    <row r="10761" spans="20:20" s="566" customFormat="1">
      <c r="T10761" s="41"/>
    </row>
    <row r="10762" spans="20:20" s="566" customFormat="1">
      <c r="T10762" s="41"/>
    </row>
    <row r="10763" spans="20:20" s="566" customFormat="1">
      <c r="T10763" s="41"/>
    </row>
    <row r="10764" spans="20:20" s="566" customFormat="1">
      <c r="T10764" s="41"/>
    </row>
    <row r="10765" spans="20:20" s="566" customFormat="1">
      <c r="T10765" s="41"/>
    </row>
    <row r="10766" spans="20:20" s="566" customFormat="1">
      <c r="T10766" s="41"/>
    </row>
    <row r="10767" spans="20:20" s="566" customFormat="1">
      <c r="T10767" s="41"/>
    </row>
    <row r="10768" spans="20:20" s="566" customFormat="1">
      <c r="T10768" s="41"/>
    </row>
    <row r="10769" spans="20:20" s="566" customFormat="1">
      <c r="T10769" s="41"/>
    </row>
    <row r="10770" spans="20:20" s="566" customFormat="1">
      <c r="T10770" s="41"/>
    </row>
    <row r="10771" spans="20:20" s="566" customFormat="1">
      <c r="T10771" s="41"/>
    </row>
    <row r="10772" spans="20:20" s="566" customFormat="1">
      <c r="T10772" s="41"/>
    </row>
    <row r="10773" spans="20:20" s="566" customFormat="1">
      <c r="T10773" s="41"/>
    </row>
    <row r="10774" spans="20:20" s="566" customFormat="1">
      <c r="T10774" s="41"/>
    </row>
    <row r="10775" spans="20:20" s="566" customFormat="1">
      <c r="T10775" s="41"/>
    </row>
    <row r="10776" spans="20:20" s="566" customFormat="1">
      <c r="T10776" s="41"/>
    </row>
    <row r="10777" spans="20:20" s="566" customFormat="1">
      <c r="T10777" s="41"/>
    </row>
    <row r="10778" spans="20:20" s="566" customFormat="1">
      <c r="T10778" s="41"/>
    </row>
    <row r="10779" spans="20:20" s="566" customFormat="1">
      <c r="T10779" s="41"/>
    </row>
    <row r="10780" spans="20:20" s="566" customFormat="1">
      <c r="T10780" s="41"/>
    </row>
    <row r="10781" spans="20:20" s="566" customFormat="1">
      <c r="T10781" s="41"/>
    </row>
    <row r="10782" spans="20:20" s="566" customFormat="1">
      <c r="T10782" s="41"/>
    </row>
    <row r="10783" spans="20:20" s="566" customFormat="1">
      <c r="T10783" s="41"/>
    </row>
    <row r="10784" spans="20:20" s="566" customFormat="1">
      <c r="T10784" s="41"/>
    </row>
    <row r="10785" spans="20:20" s="566" customFormat="1">
      <c r="T10785" s="41"/>
    </row>
    <row r="10786" spans="20:20" s="566" customFormat="1">
      <c r="T10786" s="41"/>
    </row>
    <row r="10787" spans="20:20" s="566" customFormat="1">
      <c r="T10787" s="41"/>
    </row>
    <row r="10788" spans="20:20" s="566" customFormat="1">
      <c r="T10788" s="41"/>
    </row>
    <row r="10789" spans="20:20" s="566" customFormat="1">
      <c r="T10789" s="41"/>
    </row>
    <row r="10790" spans="20:20" s="566" customFormat="1">
      <c r="T10790" s="41"/>
    </row>
    <row r="10791" spans="20:20" s="566" customFormat="1">
      <c r="T10791" s="41"/>
    </row>
    <row r="10792" spans="20:20" s="566" customFormat="1">
      <c r="T10792" s="41"/>
    </row>
    <row r="10793" spans="20:20" s="566" customFormat="1">
      <c r="T10793" s="41"/>
    </row>
    <row r="10794" spans="20:20" s="566" customFormat="1">
      <c r="T10794" s="41"/>
    </row>
    <row r="10795" spans="20:20" s="566" customFormat="1">
      <c r="T10795" s="41"/>
    </row>
    <row r="10796" spans="20:20" s="566" customFormat="1">
      <c r="T10796" s="41"/>
    </row>
    <row r="10797" spans="20:20" s="566" customFormat="1">
      <c r="T10797" s="41"/>
    </row>
    <row r="10798" spans="20:20" s="566" customFormat="1">
      <c r="T10798" s="41"/>
    </row>
    <row r="10799" spans="20:20" s="566" customFormat="1">
      <c r="T10799" s="41"/>
    </row>
    <row r="10800" spans="20:20" s="566" customFormat="1">
      <c r="T10800" s="41"/>
    </row>
    <row r="10801" spans="20:20" s="566" customFormat="1">
      <c r="T10801" s="41"/>
    </row>
    <row r="10802" spans="20:20" s="566" customFormat="1">
      <c r="T10802" s="41"/>
    </row>
    <row r="10803" spans="20:20" s="566" customFormat="1">
      <c r="T10803" s="41"/>
    </row>
    <row r="10804" spans="20:20" s="566" customFormat="1">
      <c r="T10804" s="41"/>
    </row>
    <row r="10805" spans="20:20" s="566" customFormat="1">
      <c r="T10805" s="41"/>
    </row>
    <row r="10806" spans="20:20" s="566" customFormat="1">
      <c r="T10806" s="41"/>
    </row>
    <row r="10807" spans="20:20" s="566" customFormat="1">
      <c r="T10807" s="41"/>
    </row>
    <row r="10808" spans="20:20" s="566" customFormat="1">
      <c r="T10808" s="41"/>
    </row>
    <row r="10809" spans="20:20" s="566" customFormat="1">
      <c r="T10809" s="41"/>
    </row>
    <row r="10810" spans="20:20" s="566" customFormat="1">
      <c r="T10810" s="41"/>
    </row>
    <row r="10811" spans="20:20" s="566" customFormat="1">
      <c r="T10811" s="41"/>
    </row>
    <row r="10812" spans="20:20" s="566" customFormat="1">
      <c r="T10812" s="41"/>
    </row>
    <row r="10813" spans="20:20" s="566" customFormat="1">
      <c r="T10813" s="41"/>
    </row>
    <row r="10814" spans="20:20" s="566" customFormat="1">
      <c r="T10814" s="41"/>
    </row>
    <row r="10815" spans="20:20" s="566" customFormat="1">
      <c r="T10815" s="41"/>
    </row>
    <row r="10816" spans="20:20" s="566" customFormat="1">
      <c r="T10816" s="41"/>
    </row>
    <row r="10817" spans="20:20" s="566" customFormat="1">
      <c r="T10817" s="41"/>
    </row>
    <row r="10818" spans="20:20" s="566" customFormat="1">
      <c r="T10818" s="41"/>
    </row>
    <row r="10819" spans="20:20" s="566" customFormat="1">
      <c r="T10819" s="41"/>
    </row>
    <row r="10820" spans="20:20" s="566" customFormat="1">
      <c r="T10820" s="41"/>
    </row>
    <row r="10821" spans="20:20" s="566" customFormat="1">
      <c r="T10821" s="41"/>
    </row>
    <row r="10822" spans="20:20" s="566" customFormat="1">
      <c r="T10822" s="41"/>
    </row>
    <row r="10823" spans="20:20" s="566" customFormat="1">
      <c r="T10823" s="41"/>
    </row>
    <row r="10824" spans="20:20" s="566" customFormat="1">
      <c r="T10824" s="41"/>
    </row>
    <row r="10825" spans="20:20" s="566" customFormat="1">
      <c r="T10825" s="41"/>
    </row>
    <row r="10826" spans="20:20" s="566" customFormat="1">
      <c r="T10826" s="41"/>
    </row>
    <row r="10827" spans="20:20" s="566" customFormat="1">
      <c r="T10827" s="41"/>
    </row>
    <row r="10828" spans="20:20" s="566" customFormat="1">
      <c r="T10828" s="41"/>
    </row>
    <row r="10829" spans="20:20" s="566" customFormat="1">
      <c r="T10829" s="41"/>
    </row>
    <row r="10830" spans="20:20" s="566" customFormat="1">
      <c r="T10830" s="41"/>
    </row>
    <row r="10831" spans="20:20" s="566" customFormat="1">
      <c r="T10831" s="41"/>
    </row>
    <row r="10832" spans="20:20" s="566" customFormat="1">
      <c r="T10832" s="41"/>
    </row>
    <row r="10833" spans="20:20" s="566" customFormat="1">
      <c r="T10833" s="41"/>
    </row>
    <row r="10834" spans="20:20" s="566" customFormat="1">
      <c r="T10834" s="41"/>
    </row>
    <row r="10835" spans="20:20" s="566" customFormat="1">
      <c r="T10835" s="41"/>
    </row>
    <row r="10836" spans="20:20" s="566" customFormat="1">
      <c r="T10836" s="41"/>
    </row>
    <row r="10837" spans="20:20" s="566" customFormat="1">
      <c r="T10837" s="41"/>
    </row>
    <row r="10838" spans="20:20" s="566" customFormat="1">
      <c r="T10838" s="41"/>
    </row>
    <row r="10839" spans="20:20" s="566" customFormat="1">
      <c r="T10839" s="41"/>
    </row>
    <row r="10840" spans="20:20" s="566" customFormat="1">
      <c r="T10840" s="41"/>
    </row>
    <row r="10841" spans="20:20" s="566" customFormat="1">
      <c r="T10841" s="41"/>
    </row>
    <row r="10842" spans="20:20" s="566" customFormat="1">
      <c r="T10842" s="41"/>
    </row>
    <row r="10843" spans="20:20" s="566" customFormat="1">
      <c r="T10843" s="41"/>
    </row>
    <row r="10844" spans="20:20" s="566" customFormat="1">
      <c r="T10844" s="41"/>
    </row>
    <row r="10845" spans="20:20" s="566" customFormat="1">
      <c r="T10845" s="41"/>
    </row>
    <row r="10846" spans="20:20" s="566" customFormat="1">
      <c r="T10846" s="41"/>
    </row>
    <row r="10847" spans="20:20" s="566" customFormat="1">
      <c r="T10847" s="41"/>
    </row>
    <row r="10848" spans="20:20" s="566" customFormat="1">
      <c r="T10848" s="41"/>
    </row>
    <row r="10849" spans="20:20" s="566" customFormat="1">
      <c r="T10849" s="41"/>
    </row>
    <row r="10850" spans="20:20" s="566" customFormat="1">
      <c r="T10850" s="41"/>
    </row>
    <row r="10851" spans="20:20" s="566" customFormat="1">
      <c r="T10851" s="41"/>
    </row>
    <row r="10852" spans="20:20" s="566" customFormat="1">
      <c r="T10852" s="41"/>
    </row>
    <row r="10853" spans="20:20" s="566" customFormat="1">
      <c r="T10853" s="41"/>
    </row>
    <row r="10854" spans="20:20" s="566" customFormat="1">
      <c r="T10854" s="41"/>
    </row>
    <row r="10855" spans="20:20" s="566" customFormat="1">
      <c r="T10855" s="41"/>
    </row>
    <row r="10856" spans="20:20" s="566" customFormat="1">
      <c r="T10856" s="41"/>
    </row>
    <row r="10857" spans="20:20" s="566" customFormat="1">
      <c r="T10857" s="41"/>
    </row>
    <row r="10858" spans="20:20" s="566" customFormat="1">
      <c r="T10858" s="41"/>
    </row>
    <row r="10859" spans="20:20" s="566" customFormat="1">
      <c r="T10859" s="41"/>
    </row>
    <row r="10860" spans="20:20" s="566" customFormat="1">
      <c r="T10860" s="41"/>
    </row>
    <row r="10861" spans="20:20" s="566" customFormat="1">
      <c r="T10861" s="41"/>
    </row>
    <row r="10862" spans="20:20" s="566" customFormat="1">
      <c r="T10862" s="41"/>
    </row>
    <row r="10863" spans="20:20" s="566" customFormat="1">
      <c r="T10863" s="41"/>
    </row>
    <row r="10864" spans="20:20" s="566" customFormat="1">
      <c r="T10864" s="41"/>
    </row>
    <row r="10865" spans="20:20" s="566" customFormat="1">
      <c r="T10865" s="41"/>
    </row>
    <row r="10866" spans="20:20" s="566" customFormat="1">
      <c r="T10866" s="41"/>
    </row>
    <row r="10867" spans="20:20" s="566" customFormat="1">
      <c r="T10867" s="41"/>
    </row>
    <row r="10868" spans="20:20" s="566" customFormat="1">
      <c r="T10868" s="41"/>
    </row>
    <row r="10869" spans="20:20" s="566" customFormat="1">
      <c r="T10869" s="41"/>
    </row>
    <row r="10870" spans="20:20" s="566" customFormat="1">
      <c r="T10870" s="41"/>
    </row>
    <row r="10871" spans="20:20" s="566" customFormat="1">
      <c r="T10871" s="41"/>
    </row>
    <row r="10872" spans="20:20" s="566" customFormat="1">
      <c r="T10872" s="41"/>
    </row>
    <row r="10873" spans="20:20" s="566" customFormat="1">
      <c r="T10873" s="41"/>
    </row>
    <row r="10874" spans="20:20" s="566" customFormat="1">
      <c r="T10874" s="41"/>
    </row>
    <row r="10875" spans="20:20" s="566" customFormat="1">
      <c r="T10875" s="41"/>
    </row>
    <row r="10876" spans="20:20" s="566" customFormat="1">
      <c r="T10876" s="41"/>
    </row>
    <row r="10877" spans="20:20" s="566" customFormat="1">
      <c r="T10877" s="41"/>
    </row>
    <row r="10878" spans="20:20" s="566" customFormat="1">
      <c r="T10878" s="41"/>
    </row>
    <row r="10879" spans="20:20" s="566" customFormat="1">
      <c r="T10879" s="41"/>
    </row>
    <row r="10880" spans="20:20" s="566" customFormat="1">
      <c r="T10880" s="41"/>
    </row>
    <row r="10881" spans="20:20" s="566" customFormat="1">
      <c r="T10881" s="41"/>
    </row>
    <row r="10882" spans="20:20" s="566" customFormat="1">
      <c r="T10882" s="41"/>
    </row>
    <row r="10883" spans="20:20" s="566" customFormat="1">
      <c r="T10883" s="41"/>
    </row>
    <row r="10884" spans="20:20" s="566" customFormat="1">
      <c r="T10884" s="41"/>
    </row>
    <row r="10885" spans="20:20" s="566" customFormat="1">
      <c r="T10885" s="41"/>
    </row>
    <row r="10886" spans="20:20" s="566" customFormat="1">
      <c r="T10886" s="41"/>
    </row>
    <row r="10887" spans="20:20" s="566" customFormat="1">
      <c r="T10887" s="41"/>
    </row>
    <row r="10888" spans="20:20" s="566" customFormat="1">
      <c r="T10888" s="41"/>
    </row>
    <row r="10889" spans="20:20" s="566" customFormat="1">
      <c r="T10889" s="41"/>
    </row>
    <row r="10890" spans="20:20" s="566" customFormat="1">
      <c r="T10890" s="41"/>
    </row>
    <row r="10891" spans="20:20" s="566" customFormat="1">
      <c r="T10891" s="41"/>
    </row>
    <row r="10892" spans="20:20" s="566" customFormat="1">
      <c r="T10892" s="41"/>
    </row>
    <row r="10893" spans="20:20" s="566" customFormat="1">
      <c r="T10893" s="41"/>
    </row>
    <row r="10894" spans="20:20" s="566" customFormat="1">
      <c r="T10894" s="41"/>
    </row>
    <row r="10895" spans="20:20" s="566" customFormat="1">
      <c r="T10895" s="41"/>
    </row>
    <row r="10896" spans="20:20" s="566" customFormat="1">
      <c r="T10896" s="41"/>
    </row>
    <row r="10897" spans="20:20" s="566" customFormat="1">
      <c r="T10897" s="41"/>
    </row>
    <row r="10898" spans="20:20" s="566" customFormat="1">
      <c r="T10898" s="41"/>
    </row>
    <row r="10899" spans="20:20" s="566" customFormat="1">
      <c r="T10899" s="41"/>
    </row>
    <row r="10900" spans="20:20" s="566" customFormat="1">
      <c r="T10900" s="41"/>
    </row>
    <row r="10901" spans="20:20" s="566" customFormat="1">
      <c r="T10901" s="41"/>
    </row>
    <row r="10902" spans="20:20" s="566" customFormat="1">
      <c r="T10902" s="41"/>
    </row>
    <row r="10903" spans="20:20" s="566" customFormat="1">
      <c r="T10903" s="41"/>
    </row>
    <row r="10904" spans="20:20" s="566" customFormat="1">
      <c r="T10904" s="41"/>
    </row>
    <row r="10905" spans="20:20" s="566" customFormat="1">
      <c r="T10905" s="41"/>
    </row>
    <row r="10906" spans="20:20" s="566" customFormat="1">
      <c r="T10906" s="41"/>
    </row>
    <row r="10907" spans="20:20" s="566" customFormat="1">
      <c r="T10907" s="41"/>
    </row>
    <row r="10908" spans="20:20" s="566" customFormat="1">
      <c r="T10908" s="41"/>
    </row>
    <row r="10909" spans="20:20" s="566" customFormat="1">
      <c r="T10909" s="41"/>
    </row>
    <row r="10910" spans="20:20" s="566" customFormat="1">
      <c r="T10910" s="41"/>
    </row>
    <row r="10911" spans="20:20" s="566" customFormat="1">
      <c r="T10911" s="41"/>
    </row>
    <row r="10912" spans="20:20" s="566" customFormat="1">
      <c r="T10912" s="41"/>
    </row>
    <row r="10913" spans="20:20" s="566" customFormat="1">
      <c r="T10913" s="41"/>
    </row>
    <row r="10914" spans="20:20" s="566" customFormat="1">
      <c r="T10914" s="41"/>
    </row>
    <row r="10915" spans="20:20" s="566" customFormat="1">
      <c r="T10915" s="41"/>
    </row>
    <row r="10916" spans="20:20" s="566" customFormat="1">
      <c r="T10916" s="41"/>
    </row>
    <row r="10917" spans="20:20" s="566" customFormat="1">
      <c r="T10917" s="41"/>
    </row>
    <row r="10918" spans="20:20" s="566" customFormat="1">
      <c r="T10918" s="41"/>
    </row>
    <row r="10919" spans="20:20" s="566" customFormat="1">
      <c r="T10919" s="41"/>
    </row>
    <row r="10920" spans="20:20" s="566" customFormat="1">
      <c r="T10920" s="41"/>
    </row>
    <row r="10921" spans="20:20" s="566" customFormat="1">
      <c r="T10921" s="41"/>
    </row>
    <row r="10922" spans="20:20" s="566" customFormat="1">
      <c r="T10922" s="41"/>
    </row>
    <row r="10923" spans="20:20" s="566" customFormat="1">
      <c r="T10923" s="41"/>
    </row>
    <row r="10924" spans="20:20" s="566" customFormat="1">
      <c r="T10924" s="41"/>
    </row>
    <row r="10925" spans="20:20" s="566" customFormat="1">
      <c r="T10925" s="41"/>
    </row>
    <row r="10926" spans="20:20" s="566" customFormat="1">
      <c r="T10926" s="41"/>
    </row>
    <row r="10927" spans="20:20" s="566" customFormat="1">
      <c r="T10927" s="41"/>
    </row>
    <row r="10928" spans="20:20" s="566" customFormat="1">
      <c r="T10928" s="41"/>
    </row>
    <row r="10929" spans="20:20" s="566" customFormat="1">
      <c r="T10929" s="41"/>
    </row>
    <row r="10930" spans="20:20" s="566" customFormat="1">
      <c r="T10930" s="41"/>
    </row>
    <row r="10931" spans="20:20" s="566" customFormat="1">
      <c r="T10931" s="41"/>
    </row>
    <row r="10932" spans="20:20" s="566" customFormat="1">
      <c r="T10932" s="41"/>
    </row>
    <row r="10933" spans="20:20" s="566" customFormat="1">
      <c r="T10933" s="41"/>
    </row>
    <row r="10934" spans="20:20" s="566" customFormat="1">
      <c r="T10934" s="41"/>
    </row>
    <row r="10935" spans="20:20" s="566" customFormat="1">
      <c r="T10935" s="41"/>
    </row>
    <row r="10936" spans="20:20" s="566" customFormat="1">
      <c r="T10936" s="41"/>
    </row>
    <row r="10937" spans="20:20" s="566" customFormat="1">
      <c r="T10937" s="41"/>
    </row>
    <row r="10938" spans="20:20" s="566" customFormat="1">
      <c r="T10938" s="41"/>
    </row>
    <row r="10939" spans="20:20" s="566" customFormat="1">
      <c r="T10939" s="41"/>
    </row>
    <row r="10940" spans="20:20" s="566" customFormat="1">
      <c r="T10940" s="41"/>
    </row>
    <row r="10941" spans="20:20" s="566" customFormat="1">
      <c r="T10941" s="41"/>
    </row>
    <row r="10942" spans="20:20" s="566" customFormat="1">
      <c r="T10942" s="41"/>
    </row>
    <row r="10943" spans="20:20" s="566" customFormat="1">
      <c r="T10943" s="41"/>
    </row>
    <row r="10944" spans="20:20" s="566" customFormat="1">
      <c r="T10944" s="41"/>
    </row>
    <row r="10945" spans="20:20" s="566" customFormat="1">
      <c r="T10945" s="41"/>
    </row>
    <row r="10946" spans="20:20" s="566" customFormat="1">
      <c r="T10946" s="41"/>
    </row>
    <row r="10947" spans="20:20" s="566" customFormat="1">
      <c r="T10947" s="41"/>
    </row>
    <row r="10948" spans="20:20" s="566" customFormat="1">
      <c r="T10948" s="41"/>
    </row>
    <row r="10949" spans="20:20" s="566" customFormat="1">
      <c r="T10949" s="41"/>
    </row>
    <row r="10950" spans="20:20" s="566" customFormat="1">
      <c r="T10950" s="41"/>
    </row>
    <row r="10951" spans="20:20" s="566" customFormat="1">
      <c r="T10951" s="41"/>
    </row>
    <row r="10952" spans="20:20" s="566" customFormat="1">
      <c r="T10952" s="41"/>
    </row>
    <row r="10953" spans="20:20" s="566" customFormat="1">
      <c r="T10953" s="41"/>
    </row>
    <row r="10954" spans="20:20" s="566" customFormat="1">
      <c r="T10954" s="41"/>
    </row>
    <row r="10955" spans="20:20" s="566" customFormat="1">
      <c r="T10955" s="41"/>
    </row>
    <row r="10956" spans="20:20" s="566" customFormat="1">
      <c r="T10956" s="41"/>
    </row>
    <row r="10957" spans="20:20" s="566" customFormat="1">
      <c r="T10957" s="41"/>
    </row>
    <row r="10958" spans="20:20" s="566" customFormat="1">
      <c r="T10958" s="41"/>
    </row>
    <row r="10959" spans="20:20" s="566" customFormat="1">
      <c r="T10959" s="41"/>
    </row>
    <row r="10960" spans="20:20" s="566" customFormat="1">
      <c r="T10960" s="41"/>
    </row>
    <row r="10961" spans="20:20" s="566" customFormat="1">
      <c r="T10961" s="41"/>
    </row>
    <row r="10962" spans="20:20" s="566" customFormat="1">
      <c r="T10962" s="41"/>
    </row>
    <row r="10963" spans="20:20" s="566" customFormat="1">
      <c r="T10963" s="41"/>
    </row>
    <row r="10964" spans="20:20" s="566" customFormat="1">
      <c r="T10964" s="41"/>
    </row>
    <row r="10965" spans="20:20" s="566" customFormat="1">
      <c r="T10965" s="41"/>
    </row>
    <row r="10966" spans="20:20" s="566" customFormat="1">
      <c r="T10966" s="41"/>
    </row>
    <row r="10967" spans="20:20" s="566" customFormat="1">
      <c r="T10967" s="41"/>
    </row>
    <row r="10968" spans="20:20" s="566" customFormat="1">
      <c r="T10968" s="41"/>
    </row>
    <row r="10969" spans="20:20" s="566" customFormat="1">
      <c r="T10969" s="41"/>
    </row>
    <row r="10970" spans="20:20" s="566" customFormat="1">
      <c r="T10970" s="41"/>
    </row>
    <row r="10971" spans="20:20" s="566" customFormat="1">
      <c r="T10971" s="41"/>
    </row>
    <row r="10972" spans="20:20" s="566" customFormat="1">
      <c r="T10972" s="41"/>
    </row>
    <row r="10973" spans="20:20" s="566" customFormat="1">
      <c r="T10973" s="41"/>
    </row>
    <row r="10974" spans="20:20" s="566" customFormat="1">
      <c r="T10974" s="41"/>
    </row>
    <row r="10975" spans="20:20" s="566" customFormat="1">
      <c r="T10975" s="41"/>
    </row>
    <row r="10976" spans="20:20" s="566" customFormat="1">
      <c r="T10976" s="41"/>
    </row>
    <row r="10977" spans="20:20" s="566" customFormat="1">
      <c r="T10977" s="41"/>
    </row>
    <row r="10978" spans="20:20" s="566" customFormat="1">
      <c r="T10978" s="41"/>
    </row>
    <row r="10979" spans="20:20" s="566" customFormat="1">
      <c r="T10979" s="41"/>
    </row>
    <row r="10980" spans="20:20" s="566" customFormat="1">
      <c r="T10980" s="41"/>
    </row>
    <row r="10981" spans="20:20" s="566" customFormat="1">
      <c r="T10981" s="41"/>
    </row>
    <row r="10982" spans="20:20" s="566" customFormat="1">
      <c r="T10982" s="41"/>
    </row>
    <row r="10983" spans="20:20" s="566" customFormat="1">
      <c r="T10983" s="41"/>
    </row>
    <row r="10984" spans="20:20" s="566" customFormat="1">
      <c r="T10984" s="41"/>
    </row>
    <row r="10985" spans="20:20" s="566" customFormat="1">
      <c r="T10985" s="41"/>
    </row>
    <row r="10986" spans="20:20" s="566" customFormat="1">
      <c r="T10986" s="41"/>
    </row>
    <row r="10987" spans="20:20" s="566" customFormat="1">
      <c r="T10987" s="41"/>
    </row>
    <row r="10988" spans="20:20" s="566" customFormat="1">
      <c r="T10988" s="41"/>
    </row>
    <row r="10989" spans="20:20" s="566" customFormat="1">
      <c r="T10989" s="41"/>
    </row>
    <row r="10990" spans="20:20" s="566" customFormat="1">
      <c r="T10990" s="41"/>
    </row>
    <row r="10991" spans="20:20" s="566" customFormat="1">
      <c r="T10991" s="41"/>
    </row>
    <row r="10992" spans="20:20" s="566" customFormat="1">
      <c r="T10992" s="41"/>
    </row>
    <row r="10993" spans="20:20" s="566" customFormat="1">
      <c r="T10993" s="41"/>
    </row>
    <row r="10994" spans="20:20" s="566" customFormat="1">
      <c r="T10994" s="41"/>
    </row>
    <row r="10995" spans="20:20" s="566" customFormat="1">
      <c r="T10995" s="41"/>
    </row>
    <row r="10996" spans="20:20" s="566" customFormat="1">
      <c r="T10996" s="41"/>
    </row>
    <row r="10997" spans="20:20" s="566" customFormat="1">
      <c r="T10997" s="41"/>
    </row>
    <row r="10998" spans="20:20" s="566" customFormat="1">
      <c r="T10998" s="41"/>
    </row>
    <row r="10999" spans="20:20" s="566" customFormat="1">
      <c r="T10999" s="41"/>
    </row>
    <row r="11000" spans="20:20" s="566" customFormat="1">
      <c r="T11000" s="41"/>
    </row>
    <row r="11001" spans="20:20" s="566" customFormat="1">
      <c r="T11001" s="41"/>
    </row>
    <row r="11002" spans="20:20" s="566" customFormat="1">
      <c r="T11002" s="41"/>
    </row>
    <row r="11003" spans="20:20" s="566" customFormat="1">
      <c r="T11003" s="41"/>
    </row>
    <row r="11004" spans="20:20" s="566" customFormat="1">
      <c r="T11004" s="41"/>
    </row>
    <row r="11005" spans="20:20" s="566" customFormat="1">
      <c r="T11005" s="41"/>
    </row>
    <row r="11006" spans="20:20" s="566" customFormat="1">
      <c r="T11006" s="41"/>
    </row>
    <row r="11007" spans="20:20" s="566" customFormat="1">
      <c r="T11007" s="41"/>
    </row>
    <row r="11008" spans="20:20" s="566" customFormat="1">
      <c r="T11008" s="41"/>
    </row>
    <row r="11009" spans="20:20" s="566" customFormat="1">
      <c r="T11009" s="41"/>
    </row>
    <row r="11010" spans="20:20" s="566" customFormat="1">
      <c r="T11010" s="41"/>
    </row>
    <row r="11011" spans="20:20" s="566" customFormat="1">
      <c r="T11011" s="41"/>
    </row>
    <row r="11012" spans="20:20" s="566" customFormat="1">
      <c r="T11012" s="41"/>
    </row>
    <row r="11013" spans="20:20" s="566" customFormat="1">
      <c r="T11013" s="41"/>
    </row>
    <row r="11014" spans="20:20" s="566" customFormat="1">
      <c r="T11014" s="41"/>
    </row>
    <row r="11015" spans="20:20" s="566" customFormat="1">
      <c r="T11015" s="41"/>
    </row>
    <row r="11016" spans="20:20" s="566" customFormat="1">
      <c r="T11016" s="41"/>
    </row>
    <row r="11017" spans="20:20" s="566" customFormat="1">
      <c r="T11017" s="41"/>
    </row>
    <row r="11018" spans="20:20" s="566" customFormat="1">
      <c r="T11018" s="41"/>
    </row>
    <row r="11019" spans="20:20" s="566" customFormat="1">
      <c r="T11019" s="41"/>
    </row>
    <row r="11020" spans="20:20" s="566" customFormat="1">
      <c r="T11020" s="41"/>
    </row>
    <row r="11021" spans="20:20" s="566" customFormat="1">
      <c r="T11021" s="41"/>
    </row>
    <row r="11022" spans="20:20" s="566" customFormat="1">
      <c r="T11022" s="41"/>
    </row>
    <row r="11023" spans="20:20" s="566" customFormat="1">
      <c r="T11023" s="41"/>
    </row>
    <row r="11024" spans="20:20" s="566" customFormat="1">
      <c r="T11024" s="41"/>
    </row>
    <row r="11025" spans="20:20" s="566" customFormat="1">
      <c r="T11025" s="41"/>
    </row>
    <row r="11026" spans="20:20" s="566" customFormat="1">
      <c r="T11026" s="41"/>
    </row>
    <row r="11027" spans="20:20" s="566" customFormat="1">
      <c r="T11027" s="41"/>
    </row>
    <row r="11028" spans="20:20" s="566" customFormat="1">
      <c r="T11028" s="41"/>
    </row>
    <row r="11029" spans="20:20" s="566" customFormat="1">
      <c r="T11029" s="41"/>
    </row>
    <row r="11030" spans="20:20" s="566" customFormat="1">
      <c r="T11030" s="41"/>
    </row>
    <row r="11031" spans="20:20" s="566" customFormat="1">
      <c r="T11031" s="41"/>
    </row>
    <row r="11032" spans="20:20" s="566" customFormat="1">
      <c r="T11032" s="41"/>
    </row>
    <row r="11033" spans="20:20" s="566" customFormat="1">
      <c r="T11033" s="41"/>
    </row>
    <row r="11034" spans="20:20" s="566" customFormat="1">
      <c r="T11034" s="41"/>
    </row>
    <row r="11035" spans="20:20" s="566" customFormat="1">
      <c r="T11035" s="41"/>
    </row>
    <row r="11036" spans="20:20" s="566" customFormat="1">
      <c r="T11036" s="41"/>
    </row>
    <row r="11037" spans="20:20" s="566" customFormat="1">
      <c r="T11037" s="41"/>
    </row>
    <row r="11038" spans="20:20" s="566" customFormat="1">
      <c r="T11038" s="41"/>
    </row>
    <row r="11039" spans="20:20" s="566" customFormat="1">
      <c r="T11039" s="41"/>
    </row>
    <row r="11040" spans="20:20" s="566" customFormat="1">
      <c r="T11040" s="41"/>
    </row>
    <row r="11041" spans="20:20" s="566" customFormat="1">
      <c r="T11041" s="41"/>
    </row>
    <row r="11042" spans="20:20" s="566" customFormat="1">
      <c r="T11042" s="41"/>
    </row>
    <row r="11043" spans="20:20" s="566" customFormat="1">
      <c r="T11043" s="41"/>
    </row>
    <row r="11044" spans="20:20" s="566" customFormat="1">
      <c r="T11044" s="41"/>
    </row>
    <row r="11045" spans="20:20" s="566" customFormat="1">
      <c r="T11045" s="41"/>
    </row>
    <row r="11046" spans="20:20" s="566" customFormat="1">
      <c r="T11046" s="41"/>
    </row>
    <row r="11047" spans="20:20" s="566" customFormat="1">
      <c r="T11047" s="41"/>
    </row>
    <row r="11048" spans="20:20" s="566" customFormat="1">
      <c r="T11048" s="41"/>
    </row>
    <row r="11049" spans="20:20" s="566" customFormat="1">
      <c r="T11049" s="41"/>
    </row>
    <row r="11050" spans="20:20" s="566" customFormat="1">
      <c r="T11050" s="41"/>
    </row>
    <row r="11051" spans="20:20" s="566" customFormat="1">
      <c r="T11051" s="41"/>
    </row>
    <row r="11052" spans="20:20" s="566" customFormat="1">
      <c r="T11052" s="41"/>
    </row>
    <row r="11053" spans="20:20" s="566" customFormat="1">
      <c r="T11053" s="41"/>
    </row>
    <row r="11054" spans="20:20" s="566" customFormat="1">
      <c r="T11054" s="41"/>
    </row>
    <row r="11055" spans="20:20" s="566" customFormat="1">
      <c r="T11055" s="41"/>
    </row>
    <row r="11056" spans="20:20" s="566" customFormat="1">
      <c r="T11056" s="41"/>
    </row>
    <row r="11057" spans="20:20" s="566" customFormat="1">
      <c r="T11057" s="41"/>
    </row>
    <row r="11058" spans="20:20" s="566" customFormat="1">
      <c r="T11058" s="41"/>
    </row>
    <row r="11059" spans="20:20" s="566" customFormat="1">
      <c r="T11059" s="41"/>
    </row>
    <row r="11060" spans="20:20" s="566" customFormat="1">
      <c r="T11060" s="41"/>
    </row>
    <row r="11061" spans="20:20" s="566" customFormat="1">
      <c r="T11061" s="41"/>
    </row>
    <row r="11062" spans="20:20" s="566" customFormat="1">
      <c r="T11062" s="41"/>
    </row>
    <row r="11063" spans="20:20" s="566" customFormat="1">
      <c r="T11063" s="41"/>
    </row>
    <row r="11064" spans="20:20" s="566" customFormat="1">
      <c r="T11064" s="41"/>
    </row>
    <row r="11065" spans="20:20" s="566" customFormat="1">
      <c r="T11065" s="41"/>
    </row>
    <row r="11066" spans="20:20" s="566" customFormat="1">
      <c r="T11066" s="41"/>
    </row>
    <row r="11067" spans="20:20" s="566" customFormat="1">
      <c r="T11067" s="41"/>
    </row>
    <row r="11068" spans="20:20" s="566" customFormat="1">
      <c r="T11068" s="41"/>
    </row>
    <row r="11069" spans="20:20" s="566" customFormat="1">
      <c r="T11069" s="41"/>
    </row>
    <row r="11070" spans="20:20" s="566" customFormat="1">
      <c r="T11070" s="41"/>
    </row>
    <row r="11071" spans="20:20" s="566" customFormat="1">
      <c r="T11071" s="41"/>
    </row>
    <row r="11072" spans="20:20" s="566" customFormat="1">
      <c r="T11072" s="41"/>
    </row>
    <row r="11073" spans="20:20" s="566" customFormat="1">
      <c r="T11073" s="41"/>
    </row>
    <row r="11074" spans="20:20" s="566" customFormat="1">
      <c r="T11074" s="41"/>
    </row>
    <row r="11075" spans="20:20" s="566" customFormat="1">
      <c r="T11075" s="41"/>
    </row>
    <row r="11076" spans="20:20" s="566" customFormat="1">
      <c r="T11076" s="41"/>
    </row>
    <row r="11077" spans="20:20" s="566" customFormat="1">
      <c r="T11077" s="41"/>
    </row>
    <row r="11078" spans="20:20" s="566" customFormat="1">
      <c r="T11078" s="41"/>
    </row>
    <row r="11079" spans="20:20" s="566" customFormat="1">
      <c r="T11079" s="41"/>
    </row>
    <row r="11080" spans="20:20" s="566" customFormat="1">
      <c r="T11080" s="41"/>
    </row>
    <row r="11081" spans="20:20" s="566" customFormat="1">
      <c r="T11081" s="41"/>
    </row>
    <row r="11082" spans="20:20" s="566" customFormat="1">
      <c r="T11082" s="41"/>
    </row>
    <row r="11083" spans="20:20" s="566" customFormat="1">
      <c r="T11083" s="41"/>
    </row>
    <row r="11084" spans="20:20" s="566" customFormat="1">
      <c r="T11084" s="41"/>
    </row>
    <row r="11085" spans="20:20" s="566" customFormat="1">
      <c r="T11085" s="41"/>
    </row>
    <row r="11086" spans="20:20" s="566" customFormat="1">
      <c r="T11086" s="41"/>
    </row>
    <row r="11087" spans="20:20" s="566" customFormat="1">
      <c r="T11087" s="41"/>
    </row>
    <row r="11088" spans="20:20" s="566" customFormat="1">
      <c r="T11088" s="41"/>
    </row>
    <row r="11089" spans="20:20" s="566" customFormat="1">
      <c r="T11089" s="41"/>
    </row>
    <row r="11090" spans="20:20" s="566" customFormat="1">
      <c r="T11090" s="41"/>
    </row>
    <row r="11091" spans="20:20" s="566" customFormat="1">
      <c r="T11091" s="41"/>
    </row>
    <row r="11092" spans="20:20" s="566" customFormat="1">
      <c r="T11092" s="41"/>
    </row>
    <row r="11093" spans="20:20" s="566" customFormat="1">
      <c r="T11093" s="41"/>
    </row>
    <row r="11094" spans="20:20" s="566" customFormat="1">
      <c r="T11094" s="41"/>
    </row>
    <row r="11095" spans="20:20" s="566" customFormat="1">
      <c r="T11095" s="41"/>
    </row>
    <row r="11096" spans="20:20" s="566" customFormat="1">
      <c r="T11096" s="41"/>
    </row>
    <row r="11097" spans="20:20" s="566" customFormat="1">
      <c r="T11097" s="41"/>
    </row>
    <row r="11098" spans="20:20" s="566" customFormat="1">
      <c r="T11098" s="41"/>
    </row>
    <row r="11099" spans="20:20" s="566" customFormat="1">
      <c r="T11099" s="41"/>
    </row>
    <row r="11100" spans="20:20" s="566" customFormat="1">
      <c r="T11100" s="41"/>
    </row>
    <row r="11101" spans="20:20" s="566" customFormat="1">
      <c r="T11101" s="41"/>
    </row>
    <row r="11102" spans="20:20" s="566" customFormat="1">
      <c r="T11102" s="41"/>
    </row>
    <row r="11103" spans="20:20" s="566" customFormat="1">
      <c r="T11103" s="41"/>
    </row>
    <row r="11104" spans="20:20" s="566" customFormat="1">
      <c r="T11104" s="41"/>
    </row>
    <row r="11105" spans="20:20" s="566" customFormat="1">
      <c r="T11105" s="41"/>
    </row>
    <row r="11106" spans="20:20" s="566" customFormat="1">
      <c r="T11106" s="41"/>
    </row>
    <row r="11107" spans="20:20" s="566" customFormat="1">
      <c r="T11107" s="41"/>
    </row>
    <row r="11108" spans="20:20" s="566" customFormat="1">
      <c r="T11108" s="41"/>
    </row>
    <row r="11109" spans="20:20" s="566" customFormat="1">
      <c r="T11109" s="41"/>
    </row>
    <row r="11110" spans="20:20" s="566" customFormat="1">
      <c r="T11110" s="41"/>
    </row>
    <row r="11111" spans="20:20" s="566" customFormat="1">
      <c r="T11111" s="41"/>
    </row>
    <row r="11112" spans="20:20" s="566" customFormat="1">
      <c r="T11112" s="41"/>
    </row>
    <row r="11113" spans="20:20" s="566" customFormat="1">
      <c r="T11113" s="41"/>
    </row>
    <row r="11114" spans="20:20" s="566" customFormat="1">
      <c r="T11114" s="41"/>
    </row>
    <row r="11115" spans="20:20" s="566" customFormat="1">
      <c r="T11115" s="41"/>
    </row>
    <row r="11116" spans="20:20" s="566" customFormat="1">
      <c r="T11116" s="41"/>
    </row>
    <row r="11117" spans="20:20" s="566" customFormat="1">
      <c r="T11117" s="41"/>
    </row>
    <row r="11118" spans="20:20" s="566" customFormat="1">
      <c r="T11118" s="41"/>
    </row>
    <row r="11119" spans="20:20" s="566" customFormat="1">
      <c r="T11119" s="41"/>
    </row>
    <row r="11120" spans="20:20" s="566" customFormat="1">
      <c r="T11120" s="41"/>
    </row>
    <row r="11121" spans="20:20" s="566" customFormat="1">
      <c r="T11121" s="41"/>
    </row>
    <row r="11122" spans="20:20" s="566" customFormat="1">
      <c r="T11122" s="41"/>
    </row>
    <row r="11123" spans="20:20" s="566" customFormat="1">
      <c r="T11123" s="41"/>
    </row>
    <row r="11124" spans="20:20" s="566" customFormat="1">
      <c r="T11124" s="41"/>
    </row>
    <row r="11125" spans="20:20" s="566" customFormat="1">
      <c r="T11125" s="41"/>
    </row>
    <row r="11126" spans="20:20" s="566" customFormat="1">
      <c r="T11126" s="41"/>
    </row>
    <row r="11127" spans="20:20" s="566" customFormat="1">
      <c r="T11127" s="41"/>
    </row>
    <row r="11128" spans="20:20" s="566" customFormat="1">
      <c r="T11128" s="41"/>
    </row>
    <row r="11129" spans="20:20" s="566" customFormat="1">
      <c r="T11129" s="41"/>
    </row>
    <row r="11130" spans="20:20" s="566" customFormat="1">
      <c r="T11130" s="41"/>
    </row>
    <row r="11131" spans="20:20" s="566" customFormat="1">
      <c r="T11131" s="41"/>
    </row>
    <row r="11132" spans="20:20" s="566" customFormat="1">
      <c r="T11132" s="41"/>
    </row>
    <row r="11133" spans="20:20" s="566" customFormat="1">
      <c r="T11133" s="41"/>
    </row>
    <row r="11134" spans="20:20" s="566" customFormat="1">
      <c r="T11134" s="41"/>
    </row>
    <row r="11135" spans="20:20" s="566" customFormat="1">
      <c r="T11135" s="41"/>
    </row>
    <row r="11136" spans="20:20" s="566" customFormat="1">
      <c r="T11136" s="41"/>
    </row>
    <row r="11137" spans="20:20" s="566" customFormat="1">
      <c r="T11137" s="41"/>
    </row>
    <row r="11138" spans="20:20" s="566" customFormat="1">
      <c r="T11138" s="41"/>
    </row>
    <row r="11139" spans="20:20" s="566" customFormat="1">
      <c r="T11139" s="41"/>
    </row>
    <row r="11140" spans="20:20" s="566" customFormat="1">
      <c r="T11140" s="41"/>
    </row>
    <row r="11141" spans="20:20" s="566" customFormat="1">
      <c r="T11141" s="41"/>
    </row>
    <row r="11142" spans="20:20" s="566" customFormat="1">
      <c r="T11142" s="41"/>
    </row>
    <row r="11143" spans="20:20" s="566" customFormat="1">
      <c r="T11143" s="41"/>
    </row>
    <row r="11144" spans="20:20" s="566" customFormat="1">
      <c r="T11144" s="41"/>
    </row>
    <row r="11145" spans="20:20" s="566" customFormat="1">
      <c r="T11145" s="41"/>
    </row>
    <row r="11146" spans="20:20" s="566" customFormat="1">
      <c r="T11146" s="41"/>
    </row>
    <row r="11147" spans="20:20" s="566" customFormat="1">
      <c r="T11147" s="41"/>
    </row>
    <row r="11148" spans="20:20" s="566" customFormat="1">
      <c r="T11148" s="41"/>
    </row>
    <row r="11149" spans="20:20" s="566" customFormat="1">
      <c r="T11149" s="41"/>
    </row>
    <row r="11150" spans="20:20" s="566" customFormat="1">
      <c r="T11150" s="41"/>
    </row>
    <row r="11151" spans="20:20" s="566" customFormat="1">
      <c r="T11151" s="41"/>
    </row>
    <row r="11152" spans="20:20" s="566" customFormat="1">
      <c r="T11152" s="41"/>
    </row>
    <row r="11153" spans="20:20" s="566" customFormat="1">
      <c r="T11153" s="41"/>
    </row>
    <row r="11154" spans="20:20" s="566" customFormat="1">
      <c r="T11154" s="41"/>
    </row>
    <row r="11155" spans="20:20" s="566" customFormat="1">
      <c r="T11155" s="41"/>
    </row>
    <row r="11156" spans="20:20" s="566" customFormat="1">
      <c r="T11156" s="41"/>
    </row>
    <row r="11157" spans="20:20" s="566" customFormat="1">
      <c r="T11157" s="41"/>
    </row>
    <row r="11158" spans="20:20" s="566" customFormat="1">
      <c r="T11158" s="41"/>
    </row>
    <row r="11159" spans="20:20" s="566" customFormat="1">
      <c r="T11159" s="41"/>
    </row>
    <row r="11160" spans="20:20" s="566" customFormat="1">
      <c r="T11160" s="41"/>
    </row>
    <row r="11161" spans="20:20" s="566" customFormat="1">
      <c r="T11161" s="41"/>
    </row>
    <row r="11162" spans="20:20" s="566" customFormat="1">
      <c r="T11162" s="41"/>
    </row>
    <row r="11163" spans="20:20" s="566" customFormat="1">
      <c r="T11163" s="41"/>
    </row>
    <row r="11164" spans="20:20" s="566" customFormat="1">
      <c r="T11164" s="41"/>
    </row>
    <row r="11165" spans="20:20" s="566" customFormat="1">
      <c r="T11165" s="41"/>
    </row>
    <row r="11166" spans="20:20" s="566" customFormat="1">
      <c r="T11166" s="41"/>
    </row>
    <row r="11167" spans="20:20" s="566" customFormat="1">
      <c r="T11167" s="41"/>
    </row>
    <row r="11168" spans="20:20" s="566" customFormat="1">
      <c r="T11168" s="41"/>
    </row>
    <row r="11169" spans="20:20" s="566" customFormat="1">
      <c r="T11169" s="41"/>
    </row>
    <row r="11170" spans="20:20" s="566" customFormat="1">
      <c r="T11170" s="41"/>
    </row>
    <row r="11171" spans="20:20" s="566" customFormat="1">
      <c r="T11171" s="41"/>
    </row>
    <row r="11172" spans="20:20" s="566" customFormat="1">
      <c r="T11172" s="41"/>
    </row>
    <row r="11173" spans="20:20" s="566" customFormat="1">
      <c r="T11173" s="41"/>
    </row>
    <row r="11174" spans="20:20" s="566" customFormat="1">
      <c r="T11174" s="41"/>
    </row>
    <row r="11175" spans="20:20" s="566" customFormat="1">
      <c r="T11175" s="41"/>
    </row>
    <row r="11176" spans="20:20" s="566" customFormat="1">
      <c r="T11176" s="41"/>
    </row>
    <row r="11177" spans="20:20" s="566" customFormat="1">
      <c r="T11177" s="41"/>
    </row>
    <row r="11178" spans="20:20" s="566" customFormat="1">
      <c r="T11178" s="41"/>
    </row>
    <row r="11179" spans="20:20" s="566" customFormat="1">
      <c r="T11179" s="41"/>
    </row>
    <row r="11180" spans="20:20" s="566" customFormat="1">
      <c r="T11180" s="41"/>
    </row>
    <row r="11181" spans="20:20" s="566" customFormat="1">
      <c r="T11181" s="41"/>
    </row>
    <row r="11182" spans="20:20" s="566" customFormat="1">
      <c r="T11182" s="41"/>
    </row>
    <row r="11183" spans="20:20" s="566" customFormat="1">
      <c r="T11183" s="41"/>
    </row>
    <row r="11184" spans="20:20" s="566" customFormat="1">
      <c r="T11184" s="41"/>
    </row>
    <row r="11185" spans="20:20" s="566" customFormat="1">
      <c r="T11185" s="41"/>
    </row>
    <row r="11186" spans="20:20" s="566" customFormat="1">
      <c r="T11186" s="41"/>
    </row>
    <row r="11187" spans="20:20" s="566" customFormat="1">
      <c r="T11187" s="41"/>
    </row>
    <row r="11188" spans="20:20" s="566" customFormat="1">
      <c r="T11188" s="41"/>
    </row>
    <row r="11189" spans="20:20" s="566" customFormat="1">
      <c r="T11189" s="41"/>
    </row>
    <row r="11190" spans="20:20" s="566" customFormat="1">
      <c r="T11190" s="41"/>
    </row>
    <row r="11191" spans="20:20" s="566" customFormat="1">
      <c r="T11191" s="41"/>
    </row>
    <row r="11192" spans="20:20" s="566" customFormat="1">
      <c r="T11192" s="41"/>
    </row>
    <row r="11193" spans="20:20" s="566" customFormat="1">
      <c r="T11193" s="41"/>
    </row>
    <row r="11194" spans="20:20" s="566" customFormat="1">
      <c r="T11194" s="41"/>
    </row>
    <row r="11195" spans="20:20" s="566" customFormat="1">
      <c r="T11195" s="41"/>
    </row>
    <row r="11196" spans="20:20" s="566" customFormat="1">
      <c r="T11196" s="41"/>
    </row>
    <row r="11197" spans="20:20" s="566" customFormat="1">
      <c r="T11197" s="41"/>
    </row>
    <row r="11198" spans="20:20" s="566" customFormat="1">
      <c r="T11198" s="41"/>
    </row>
    <row r="11199" spans="20:20" s="566" customFormat="1">
      <c r="T11199" s="41"/>
    </row>
    <row r="11200" spans="20:20" s="566" customFormat="1">
      <c r="T11200" s="41"/>
    </row>
    <row r="11201" spans="20:20" s="566" customFormat="1">
      <c r="T11201" s="41"/>
    </row>
    <row r="11202" spans="20:20" s="566" customFormat="1">
      <c r="T11202" s="41"/>
    </row>
    <row r="11203" spans="20:20" s="566" customFormat="1">
      <c r="T11203" s="41"/>
    </row>
    <row r="11204" spans="20:20" s="566" customFormat="1">
      <c r="T11204" s="41"/>
    </row>
    <row r="11205" spans="20:20" s="566" customFormat="1">
      <c r="T11205" s="41"/>
    </row>
    <row r="11206" spans="20:20" s="566" customFormat="1">
      <c r="T11206" s="41"/>
    </row>
    <row r="11207" spans="20:20" s="566" customFormat="1">
      <c r="T11207" s="41"/>
    </row>
    <row r="11208" spans="20:20" s="566" customFormat="1">
      <c r="T11208" s="41"/>
    </row>
    <row r="11209" spans="20:20" s="566" customFormat="1">
      <c r="T11209" s="41"/>
    </row>
    <row r="11210" spans="20:20" s="566" customFormat="1">
      <c r="T11210" s="41"/>
    </row>
    <row r="11211" spans="20:20" s="566" customFormat="1">
      <c r="T11211" s="41"/>
    </row>
    <row r="11212" spans="20:20" s="566" customFormat="1">
      <c r="T11212" s="41"/>
    </row>
    <row r="11213" spans="20:20" s="566" customFormat="1">
      <c r="T11213" s="41"/>
    </row>
    <row r="11214" spans="20:20" s="566" customFormat="1">
      <c r="T11214" s="41"/>
    </row>
    <row r="11215" spans="20:20" s="566" customFormat="1">
      <c r="T11215" s="41"/>
    </row>
    <row r="11216" spans="20:20" s="566" customFormat="1">
      <c r="T11216" s="41"/>
    </row>
    <row r="11217" spans="20:20" s="566" customFormat="1">
      <c r="T11217" s="41"/>
    </row>
    <row r="11218" spans="20:20" s="566" customFormat="1">
      <c r="T11218" s="41"/>
    </row>
    <row r="11219" spans="20:20" s="566" customFormat="1">
      <c r="T11219" s="41"/>
    </row>
    <row r="11220" spans="20:20" s="566" customFormat="1">
      <c r="T11220" s="41"/>
    </row>
    <row r="11221" spans="20:20" s="566" customFormat="1">
      <c r="T11221" s="41"/>
    </row>
    <row r="11222" spans="20:20" s="566" customFormat="1">
      <c r="T11222" s="41"/>
    </row>
    <row r="11223" spans="20:20" s="566" customFormat="1">
      <c r="T11223" s="41"/>
    </row>
    <row r="11224" spans="20:20" s="566" customFormat="1">
      <c r="T11224" s="41"/>
    </row>
    <row r="11225" spans="20:20" s="566" customFormat="1">
      <c r="T11225" s="41"/>
    </row>
    <row r="11226" spans="20:20" s="566" customFormat="1">
      <c r="T11226" s="41"/>
    </row>
    <row r="11227" spans="20:20" s="566" customFormat="1">
      <c r="T11227" s="41"/>
    </row>
    <row r="11228" spans="20:20" s="566" customFormat="1">
      <c r="T11228" s="41"/>
    </row>
    <row r="11229" spans="20:20" s="566" customFormat="1">
      <c r="T11229" s="41"/>
    </row>
    <row r="11230" spans="20:20" s="566" customFormat="1">
      <c r="T11230" s="41"/>
    </row>
    <row r="11231" spans="20:20" s="566" customFormat="1">
      <c r="T11231" s="41"/>
    </row>
    <row r="11232" spans="20:20" s="566" customFormat="1">
      <c r="T11232" s="41"/>
    </row>
    <row r="11233" spans="20:20" s="566" customFormat="1">
      <c r="T11233" s="41"/>
    </row>
    <row r="11234" spans="20:20" s="566" customFormat="1">
      <c r="T11234" s="41"/>
    </row>
    <row r="11235" spans="20:20" s="566" customFormat="1">
      <c r="T11235" s="41"/>
    </row>
    <row r="11236" spans="20:20" s="566" customFormat="1">
      <c r="T11236" s="41"/>
    </row>
    <row r="11237" spans="20:20" s="566" customFormat="1">
      <c r="T11237" s="41"/>
    </row>
    <row r="11238" spans="20:20" s="566" customFormat="1">
      <c r="T11238" s="41"/>
    </row>
    <row r="11239" spans="20:20" s="566" customFormat="1">
      <c r="T11239" s="41"/>
    </row>
    <row r="11240" spans="20:20" s="566" customFormat="1">
      <c r="T11240" s="41"/>
    </row>
    <row r="11241" spans="20:20" s="566" customFormat="1">
      <c r="T11241" s="41"/>
    </row>
    <row r="11242" spans="20:20" s="566" customFormat="1">
      <c r="T11242" s="41"/>
    </row>
    <row r="11243" spans="20:20" s="566" customFormat="1">
      <c r="T11243" s="41"/>
    </row>
    <row r="11244" spans="20:20" s="566" customFormat="1">
      <c r="T11244" s="41"/>
    </row>
    <row r="11245" spans="20:20" s="566" customFormat="1">
      <c r="T11245" s="41"/>
    </row>
    <row r="11246" spans="20:20" s="566" customFormat="1">
      <c r="T11246" s="41"/>
    </row>
    <row r="11247" spans="20:20" s="566" customFormat="1">
      <c r="T11247" s="41"/>
    </row>
    <row r="11248" spans="20:20" s="566" customFormat="1">
      <c r="T11248" s="41"/>
    </row>
    <row r="11249" spans="20:20" s="566" customFormat="1">
      <c r="T11249" s="41"/>
    </row>
    <row r="11250" spans="20:20" s="566" customFormat="1">
      <c r="T11250" s="41"/>
    </row>
    <row r="11251" spans="20:20" s="566" customFormat="1">
      <c r="T11251" s="41"/>
    </row>
    <row r="11252" spans="20:20" s="566" customFormat="1">
      <c r="T11252" s="41"/>
    </row>
    <row r="11253" spans="20:20" s="566" customFormat="1">
      <c r="T11253" s="41"/>
    </row>
    <row r="11254" spans="20:20" s="566" customFormat="1">
      <c r="T11254" s="41"/>
    </row>
    <row r="11255" spans="20:20" s="566" customFormat="1">
      <c r="T11255" s="41"/>
    </row>
    <row r="11256" spans="20:20" s="566" customFormat="1">
      <c r="T11256" s="41"/>
    </row>
    <row r="11257" spans="20:20" s="566" customFormat="1">
      <c r="T11257" s="41"/>
    </row>
    <row r="11258" spans="20:20" s="566" customFormat="1">
      <c r="T11258" s="41"/>
    </row>
    <row r="11259" spans="20:20" s="566" customFormat="1">
      <c r="T11259" s="41"/>
    </row>
    <row r="11260" spans="20:20" s="566" customFormat="1">
      <c r="T11260" s="41"/>
    </row>
    <row r="11261" spans="20:20" s="566" customFormat="1">
      <c r="T11261" s="41"/>
    </row>
    <row r="11262" spans="20:20" s="566" customFormat="1">
      <c r="T11262" s="41"/>
    </row>
    <row r="11263" spans="20:20" s="566" customFormat="1">
      <c r="T11263" s="41"/>
    </row>
    <row r="11264" spans="20:20" s="566" customFormat="1">
      <c r="T11264" s="41"/>
    </row>
    <row r="11265" spans="20:20" s="566" customFormat="1">
      <c r="T11265" s="41"/>
    </row>
    <row r="11266" spans="20:20" s="566" customFormat="1">
      <c r="T11266" s="41"/>
    </row>
    <row r="11267" spans="20:20" s="566" customFormat="1">
      <c r="T11267" s="41"/>
    </row>
    <row r="11268" spans="20:20" s="566" customFormat="1">
      <c r="T11268" s="41"/>
    </row>
    <row r="11269" spans="20:20" s="566" customFormat="1">
      <c r="T11269" s="41"/>
    </row>
    <row r="11270" spans="20:20" s="566" customFormat="1">
      <c r="T11270" s="41"/>
    </row>
    <row r="11271" spans="20:20" s="566" customFormat="1">
      <c r="T11271" s="41"/>
    </row>
    <row r="11272" spans="20:20" s="566" customFormat="1">
      <c r="T11272" s="41"/>
    </row>
    <row r="11273" spans="20:20" s="566" customFormat="1">
      <c r="T11273" s="41"/>
    </row>
    <row r="11274" spans="20:20" s="566" customFormat="1">
      <c r="T11274" s="41"/>
    </row>
    <row r="11275" spans="20:20" s="566" customFormat="1">
      <c r="T11275" s="41"/>
    </row>
    <row r="11276" spans="20:20" s="566" customFormat="1">
      <c r="T11276" s="41"/>
    </row>
    <row r="11277" spans="20:20" s="566" customFormat="1">
      <c r="T11277" s="41"/>
    </row>
    <row r="11278" spans="20:20" s="566" customFormat="1">
      <c r="T11278" s="41"/>
    </row>
    <row r="11279" spans="20:20" s="566" customFormat="1">
      <c r="T11279" s="41"/>
    </row>
    <row r="11280" spans="20:20" s="566" customFormat="1">
      <c r="T11280" s="41"/>
    </row>
    <row r="11281" spans="20:20" s="566" customFormat="1">
      <c r="T11281" s="41"/>
    </row>
    <row r="11282" spans="20:20" s="566" customFormat="1">
      <c r="T11282" s="41"/>
    </row>
    <row r="11283" spans="20:20" s="566" customFormat="1">
      <c r="T11283" s="41"/>
    </row>
    <row r="11284" spans="20:20" s="566" customFormat="1">
      <c r="T11284" s="41"/>
    </row>
    <row r="11285" spans="20:20" s="566" customFormat="1">
      <c r="T11285" s="41"/>
    </row>
    <row r="11286" spans="20:20" s="566" customFormat="1">
      <c r="T11286" s="41"/>
    </row>
    <row r="11287" spans="20:20" s="566" customFormat="1">
      <c r="T11287" s="41"/>
    </row>
    <row r="11288" spans="20:20" s="566" customFormat="1">
      <c r="T11288" s="41"/>
    </row>
    <row r="11289" spans="20:20" s="566" customFormat="1">
      <c r="T11289" s="41"/>
    </row>
    <row r="11290" spans="20:20" s="566" customFormat="1">
      <c r="T11290" s="41"/>
    </row>
    <row r="11291" spans="20:20" s="566" customFormat="1">
      <c r="T11291" s="41"/>
    </row>
    <row r="11292" spans="20:20" s="566" customFormat="1">
      <c r="T11292" s="41"/>
    </row>
    <row r="11293" spans="20:20" s="566" customFormat="1">
      <c r="T11293" s="41"/>
    </row>
    <row r="11294" spans="20:20" s="566" customFormat="1">
      <c r="T11294" s="41"/>
    </row>
    <row r="11295" spans="20:20" s="566" customFormat="1">
      <c r="T11295" s="41"/>
    </row>
    <row r="11296" spans="20:20" s="566" customFormat="1">
      <c r="T11296" s="41"/>
    </row>
    <row r="11297" spans="20:20" s="566" customFormat="1">
      <c r="T11297" s="41"/>
    </row>
    <row r="11298" spans="20:20" s="566" customFormat="1">
      <c r="T11298" s="41"/>
    </row>
    <row r="11299" spans="20:20" s="566" customFormat="1">
      <c r="T11299" s="41"/>
    </row>
    <row r="11300" spans="20:20" s="566" customFormat="1">
      <c r="T11300" s="41"/>
    </row>
    <row r="11301" spans="20:20" s="566" customFormat="1">
      <c r="T11301" s="41"/>
    </row>
    <row r="11302" spans="20:20" s="566" customFormat="1">
      <c r="T11302" s="41"/>
    </row>
    <row r="11303" spans="20:20" s="566" customFormat="1">
      <c r="T11303" s="41"/>
    </row>
    <row r="11304" spans="20:20" s="566" customFormat="1">
      <c r="T11304" s="41"/>
    </row>
    <row r="11305" spans="20:20" s="566" customFormat="1">
      <c r="T11305" s="41"/>
    </row>
    <row r="11306" spans="20:20" s="566" customFormat="1">
      <c r="T11306" s="41"/>
    </row>
    <row r="11307" spans="20:20" s="566" customFormat="1">
      <c r="T11307" s="41"/>
    </row>
    <row r="11308" spans="20:20" s="566" customFormat="1">
      <c r="T11308" s="41"/>
    </row>
    <row r="11309" spans="20:20" s="566" customFormat="1">
      <c r="T11309" s="41"/>
    </row>
    <row r="11310" spans="20:20" s="566" customFormat="1">
      <c r="T11310" s="41"/>
    </row>
    <row r="11311" spans="20:20" s="566" customFormat="1">
      <c r="T11311" s="41"/>
    </row>
    <row r="11312" spans="20:20" s="566" customFormat="1">
      <c r="T11312" s="41"/>
    </row>
    <row r="11313" spans="20:20" s="566" customFormat="1">
      <c r="T11313" s="41"/>
    </row>
    <row r="11314" spans="20:20" s="566" customFormat="1">
      <c r="T11314" s="41"/>
    </row>
    <row r="11315" spans="20:20" s="566" customFormat="1">
      <c r="T11315" s="41"/>
    </row>
    <row r="11316" spans="20:20" s="566" customFormat="1">
      <c r="T11316" s="41"/>
    </row>
    <row r="11317" spans="20:20" s="566" customFormat="1">
      <c r="T11317" s="41"/>
    </row>
    <row r="11318" spans="20:20" s="566" customFormat="1">
      <c r="T11318" s="41"/>
    </row>
    <row r="11319" spans="20:20" s="566" customFormat="1">
      <c r="T11319" s="41"/>
    </row>
    <row r="11320" spans="20:20" s="566" customFormat="1">
      <c r="T11320" s="41"/>
    </row>
    <row r="11321" spans="20:20" s="566" customFormat="1">
      <c r="T11321" s="41"/>
    </row>
    <row r="11322" spans="20:20" s="566" customFormat="1">
      <c r="T11322" s="41"/>
    </row>
    <row r="11323" spans="20:20" s="566" customFormat="1">
      <c r="T11323" s="41"/>
    </row>
    <row r="11324" spans="20:20" s="566" customFormat="1">
      <c r="T11324" s="41"/>
    </row>
    <row r="11325" spans="20:20" s="566" customFormat="1">
      <c r="T11325" s="41"/>
    </row>
    <row r="11326" spans="20:20" s="566" customFormat="1">
      <c r="T11326" s="41"/>
    </row>
    <row r="11327" spans="20:20" s="566" customFormat="1">
      <c r="T11327" s="41"/>
    </row>
    <row r="11328" spans="20:20" s="566" customFormat="1">
      <c r="T11328" s="41"/>
    </row>
    <row r="11329" spans="20:20" s="566" customFormat="1">
      <c r="T11329" s="41"/>
    </row>
    <row r="11330" spans="20:20" s="566" customFormat="1">
      <c r="T11330" s="41"/>
    </row>
    <row r="11331" spans="20:20" s="566" customFormat="1">
      <c r="T11331" s="41"/>
    </row>
    <row r="11332" spans="20:20" s="566" customFormat="1">
      <c r="T11332" s="41"/>
    </row>
    <row r="11333" spans="20:20" s="566" customFormat="1">
      <c r="T11333" s="41"/>
    </row>
    <row r="11334" spans="20:20" s="566" customFormat="1">
      <c r="T11334" s="41"/>
    </row>
    <row r="11335" spans="20:20" s="566" customFormat="1">
      <c r="T11335" s="41"/>
    </row>
    <row r="11336" spans="20:20" s="566" customFormat="1">
      <c r="T11336" s="41"/>
    </row>
    <row r="11337" spans="20:20" s="566" customFormat="1">
      <c r="T11337" s="41"/>
    </row>
    <row r="11338" spans="20:20" s="566" customFormat="1">
      <c r="T11338" s="41"/>
    </row>
    <row r="11339" spans="20:20" s="566" customFormat="1">
      <c r="T11339" s="41"/>
    </row>
    <row r="11340" spans="20:20" s="566" customFormat="1">
      <c r="T11340" s="41"/>
    </row>
    <row r="11341" spans="20:20" s="566" customFormat="1">
      <c r="T11341" s="41"/>
    </row>
    <row r="11342" spans="20:20" s="566" customFormat="1">
      <c r="T11342" s="41"/>
    </row>
    <row r="11343" spans="20:20" s="566" customFormat="1">
      <c r="T11343" s="41"/>
    </row>
    <row r="11344" spans="20:20" s="566" customFormat="1">
      <c r="T11344" s="41"/>
    </row>
    <row r="11345" spans="20:20" s="566" customFormat="1">
      <c r="T11345" s="41"/>
    </row>
    <row r="11346" spans="20:20" s="566" customFormat="1">
      <c r="T11346" s="41"/>
    </row>
    <row r="11347" spans="20:20" s="566" customFormat="1">
      <c r="T11347" s="41"/>
    </row>
    <row r="11348" spans="20:20" s="566" customFormat="1">
      <c r="T11348" s="41"/>
    </row>
    <row r="11349" spans="20:20" s="566" customFormat="1">
      <c r="T11349" s="41"/>
    </row>
    <row r="11350" spans="20:20" s="566" customFormat="1">
      <c r="T11350" s="41"/>
    </row>
    <row r="11351" spans="20:20" s="566" customFormat="1">
      <c r="T11351" s="41"/>
    </row>
    <row r="11352" spans="20:20" s="566" customFormat="1">
      <c r="T11352" s="41"/>
    </row>
    <row r="11353" spans="20:20" s="566" customFormat="1">
      <c r="T11353" s="41"/>
    </row>
    <row r="11354" spans="20:20" s="566" customFormat="1">
      <c r="T11354" s="41"/>
    </row>
    <row r="11355" spans="20:20" s="566" customFormat="1">
      <c r="T11355" s="41"/>
    </row>
    <row r="11356" spans="20:20" s="566" customFormat="1">
      <c r="T11356" s="41"/>
    </row>
    <row r="11357" spans="20:20" s="566" customFormat="1">
      <c r="T11357" s="41"/>
    </row>
    <row r="11358" spans="20:20" s="566" customFormat="1">
      <c r="T11358" s="41"/>
    </row>
    <row r="11359" spans="20:20" s="566" customFormat="1">
      <c r="T11359" s="41"/>
    </row>
    <row r="11360" spans="20:20" s="566" customFormat="1">
      <c r="T11360" s="41"/>
    </row>
    <row r="11361" spans="20:20" s="566" customFormat="1">
      <c r="T11361" s="41"/>
    </row>
    <row r="11362" spans="20:20" s="566" customFormat="1">
      <c r="T11362" s="41"/>
    </row>
    <row r="11363" spans="20:20" s="566" customFormat="1">
      <c r="T11363" s="41"/>
    </row>
    <row r="11364" spans="20:20" s="566" customFormat="1">
      <c r="T11364" s="41"/>
    </row>
    <row r="11365" spans="20:20" s="566" customFormat="1">
      <c r="T11365" s="41"/>
    </row>
    <row r="11366" spans="20:20" s="566" customFormat="1">
      <c r="T11366" s="41"/>
    </row>
    <row r="11367" spans="20:20" s="566" customFormat="1">
      <c r="T11367" s="41"/>
    </row>
    <row r="11368" spans="20:20" s="566" customFormat="1">
      <c r="T11368" s="41"/>
    </row>
    <row r="11369" spans="20:20" s="566" customFormat="1">
      <c r="T11369" s="41"/>
    </row>
    <row r="11370" spans="20:20" s="566" customFormat="1">
      <c r="T11370" s="41"/>
    </row>
    <row r="11371" spans="20:20" s="566" customFormat="1">
      <c r="T11371" s="41"/>
    </row>
    <row r="11372" spans="20:20" s="566" customFormat="1">
      <c r="T11372" s="41"/>
    </row>
    <row r="11373" spans="20:20" s="566" customFormat="1">
      <c r="T11373" s="41"/>
    </row>
    <row r="11374" spans="20:20" s="566" customFormat="1">
      <c r="T11374" s="41"/>
    </row>
    <row r="11375" spans="20:20" s="566" customFormat="1">
      <c r="T11375" s="41"/>
    </row>
    <row r="11376" spans="20:20" s="566" customFormat="1">
      <c r="T11376" s="41"/>
    </row>
    <row r="11377" spans="20:20" s="566" customFormat="1">
      <c r="T11377" s="41"/>
    </row>
    <row r="11378" spans="20:20" s="566" customFormat="1">
      <c r="T11378" s="41"/>
    </row>
    <row r="11379" spans="20:20" s="566" customFormat="1">
      <c r="T11379" s="41"/>
    </row>
    <row r="11380" spans="20:20" s="566" customFormat="1">
      <c r="T11380" s="41"/>
    </row>
    <row r="11381" spans="20:20" s="566" customFormat="1">
      <c r="T11381" s="41"/>
    </row>
    <row r="11382" spans="20:20" s="566" customFormat="1">
      <c r="T11382" s="41"/>
    </row>
    <row r="11383" spans="20:20" s="566" customFormat="1">
      <c r="T11383" s="41"/>
    </row>
    <row r="11384" spans="20:20" s="566" customFormat="1">
      <c r="T11384" s="41"/>
    </row>
    <row r="11385" spans="20:20" s="566" customFormat="1">
      <c r="T11385" s="41"/>
    </row>
    <row r="11386" spans="20:20" s="566" customFormat="1">
      <c r="T11386" s="41"/>
    </row>
    <row r="11387" spans="20:20" s="566" customFormat="1">
      <c r="T11387" s="41"/>
    </row>
    <row r="11388" spans="20:20" s="566" customFormat="1">
      <c r="T11388" s="41"/>
    </row>
    <row r="11389" spans="20:20" s="566" customFormat="1">
      <c r="T11389" s="41"/>
    </row>
    <row r="11390" spans="20:20" s="566" customFormat="1">
      <c r="T11390" s="41"/>
    </row>
    <row r="11391" spans="20:20" s="566" customFormat="1">
      <c r="T11391" s="41"/>
    </row>
    <row r="11392" spans="20:20" s="566" customFormat="1">
      <c r="T11392" s="41"/>
    </row>
    <row r="11393" spans="20:20" s="566" customFormat="1">
      <c r="T11393" s="41"/>
    </row>
    <row r="11394" spans="20:20" s="566" customFormat="1">
      <c r="T11394" s="41"/>
    </row>
    <row r="11395" spans="20:20" s="566" customFormat="1">
      <c r="T11395" s="41"/>
    </row>
    <row r="11396" spans="20:20" s="566" customFormat="1">
      <c r="T11396" s="41"/>
    </row>
    <row r="11397" spans="20:20" s="566" customFormat="1">
      <c r="T11397" s="41"/>
    </row>
    <row r="11398" spans="20:20" s="566" customFormat="1">
      <c r="T11398" s="41"/>
    </row>
    <row r="11399" spans="20:20" s="566" customFormat="1">
      <c r="T11399" s="41"/>
    </row>
    <row r="11400" spans="20:20" s="566" customFormat="1">
      <c r="T11400" s="41"/>
    </row>
    <row r="11401" spans="20:20" s="566" customFormat="1">
      <c r="T11401" s="41"/>
    </row>
    <row r="11402" spans="20:20" s="566" customFormat="1">
      <c r="T11402" s="41"/>
    </row>
    <row r="11403" spans="20:20" s="566" customFormat="1">
      <c r="T11403" s="41"/>
    </row>
    <row r="11404" spans="20:20" s="566" customFormat="1">
      <c r="T11404" s="41"/>
    </row>
    <row r="11405" spans="20:20" s="566" customFormat="1">
      <c r="T11405" s="41"/>
    </row>
    <row r="11406" spans="20:20" s="566" customFormat="1">
      <c r="T11406" s="41"/>
    </row>
    <row r="11407" spans="20:20" s="566" customFormat="1">
      <c r="T11407" s="41"/>
    </row>
    <row r="11408" spans="20:20" s="566" customFormat="1">
      <c r="T11408" s="41"/>
    </row>
    <row r="11409" spans="20:20" s="566" customFormat="1">
      <c r="T11409" s="41"/>
    </row>
    <row r="11410" spans="20:20" s="566" customFormat="1">
      <c r="T11410" s="41"/>
    </row>
    <row r="11411" spans="20:20" s="566" customFormat="1">
      <c r="T11411" s="41"/>
    </row>
    <row r="11412" spans="20:20" s="566" customFormat="1">
      <c r="T11412" s="41"/>
    </row>
    <row r="11413" spans="20:20" s="566" customFormat="1">
      <c r="T11413" s="41"/>
    </row>
    <row r="11414" spans="20:20" s="566" customFormat="1">
      <c r="T11414" s="41"/>
    </row>
    <row r="11415" spans="20:20" s="566" customFormat="1">
      <c r="T11415" s="41"/>
    </row>
    <row r="11416" spans="20:20" s="566" customFormat="1">
      <c r="T11416" s="41"/>
    </row>
    <row r="11417" spans="20:20" s="566" customFormat="1">
      <c r="T11417" s="41"/>
    </row>
    <row r="11418" spans="20:20" s="566" customFormat="1">
      <c r="T11418" s="41"/>
    </row>
    <row r="11419" spans="20:20" s="566" customFormat="1">
      <c r="T11419" s="41"/>
    </row>
    <row r="11420" spans="20:20" s="566" customFormat="1">
      <c r="T11420" s="41"/>
    </row>
    <row r="11421" spans="20:20" s="566" customFormat="1">
      <c r="T11421" s="41"/>
    </row>
    <row r="11422" spans="20:20" s="566" customFormat="1">
      <c r="T11422" s="41"/>
    </row>
    <row r="11423" spans="20:20" s="566" customFormat="1">
      <c r="T11423" s="41"/>
    </row>
    <row r="11424" spans="20:20" s="566" customFormat="1">
      <c r="T11424" s="41"/>
    </row>
    <row r="11425" spans="20:20" s="566" customFormat="1">
      <c r="T11425" s="41"/>
    </row>
    <row r="11426" spans="20:20" s="566" customFormat="1">
      <c r="T11426" s="41"/>
    </row>
    <row r="11427" spans="20:20" s="566" customFormat="1">
      <c r="T11427" s="41"/>
    </row>
    <row r="11428" spans="20:20" s="566" customFormat="1">
      <c r="T11428" s="41"/>
    </row>
    <row r="11429" spans="20:20" s="566" customFormat="1">
      <c r="T11429" s="41"/>
    </row>
    <row r="11430" spans="20:20" s="566" customFormat="1">
      <c r="T11430" s="41"/>
    </row>
    <row r="11431" spans="20:20" s="566" customFormat="1">
      <c r="T11431" s="41"/>
    </row>
    <row r="11432" spans="20:20" s="566" customFormat="1">
      <c r="T11432" s="41"/>
    </row>
    <row r="11433" spans="20:20" s="566" customFormat="1">
      <c r="T11433" s="41"/>
    </row>
    <row r="11434" spans="20:20" s="566" customFormat="1">
      <c r="T11434" s="41"/>
    </row>
    <row r="11435" spans="20:20" s="566" customFormat="1">
      <c r="T11435" s="41"/>
    </row>
    <row r="11436" spans="20:20" s="566" customFormat="1">
      <c r="T11436" s="41"/>
    </row>
    <row r="11437" spans="20:20" s="566" customFormat="1">
      <c r="T11437" s="41"/>
    </row>
    <row r="11438" spans="20:20" s="566" customFormat="1">
      <c r="T11438" s="41"/>
    </row>
    <row r="11439" spans="20:20" s="566" customFormat="1">
      <c r="T11439" s="41"/>
    </row>
    <row r="11440" spans="20:20" s="566" customFormat="1">
      <c r="T11440" s="41"/>
    </row>
    <row r="11441" spans="20:20" s="566" customFormat="1">
      <c r="T11441" s="41"/>
    </row>
    <row r="11442" spans="20:20" s="566" customFormat="1">
      <c r="T11442" s="41"/>
    </row>
    <row r="11443" spans="20:20" s="566" customFormat="1">
      <c r="T11443" s="41"/>
    </row>
    <row r="11444" spans="20:20" s="566" customFormat="1">
      <c r="T11444" s="41"/>
    </row>
    <row r="11445" spans="20:20" s="566" customFormat="1">
      <c r="T11445" s="41"/>
    </row>
    <row r="11446" spans="20:20" s="566" customFormat="1">
      <c r="T11446" s="41"/>
    </row>
    <row r="11447" spans="20:20" s="566" customFormat="1">
      <c r="T11447" s="41"/>
    </row>
    <row r="11448" spans="20:20" s="566" customFormat="1">
      <c r="T11448" s="41"/>
    </row>
    <row r="11449" spans="20:20" s="566" customFormat="1">
      <c r="T11449" s="41"/>
    </row>
    <row r="11450" spans="20:20" s="566" customFormat="1">
      <c r="T11450" s="41"/>
    </row>
    <row r="11451" spans="20:20" s="566" customFormat="1">
      <c r="T11451" s="41"/>
    </row>
    <row r="11452" spans="20:20" s="566" customFormat="1">
      <c r="T11452" s="41"/>
    </row>
    <row r="11453" spans="20:20" s="566" customFormat="1">
      <c r="T11453" s="41"/>
    </row>
    <row r="11454" spans="20:20" s="566" customFormat="1">
      <c r="T11454" s="41"/>
    </row>
    <row r="11455" spans="20:20" s="566" customFormat="1">
      <c r="T11455" s="41"/>
    </row>
    <row r="11456" spans="20:20" s="566" customFormat="1">
      <c r="T11456" s="41"/>
    </row>
    <row r="11457" spans="20:20" s="566" customFormat="1">
      <c r="T11457" s="41"/>
    </row>
    <row r="11458" spans="20:20" s="566" customFormat="1">
      <c r="T11458" s="41"/>
    </row>
    <row r="11459" spans="20:20" s="566" customFormat="1">
      <c r="T11459" s="41"/>
    </row>
    <row r="11460" spans="20:20" s="566" customFormat="1">
      <c r="T11460" s="41"/>
    </row>
    <row r="11461" spans="20:20" s="566" customFormat="1">
      <c r="T11461" s="41"/>
    </row>
    <row r="11462" spans="20:20" s="566" customFormat="1">
      <c r="T11462" s="41"/>
    </row>
    <row r="11463" spans="20:20" s="566" customFormat="1">
      <c r="T11463" s="41"/>
    </row>
    <row r="11464" spans="20:20" s="566" customFormat="1">
      <c r="T11464" s="41"/>
    </row>
    <row r="11465" spans="20:20" s="566" customFormat="1">
      <c r="T11465" s="41"/>
    </row>
    <row r="11466" spans="20:20" s="566" customFormat="1">
      <c r="T11466" s="41"/>
    </row>
    <row r="11467" spans="20:20" s="566" customFormat="1">
      <c r="T11467" s="41"/>
    </row>
    <row r="11468" spans="20:20" s="566" customFormat="1">
      <c r="T11468" s="41"/>
    </row>
    <row r="11469" spans="20:20" s="566" customFormat="1">
      <c r="T11469" s="41"/>
    </row>
    <row r="11470" spans="20:20" s="566" customFormat="1">
      <c r="T11470" s="41"/>
    </row>
    <row r="11471" spans="20:20" s="566" customFormat="1">
      <c r="T11471" s="41"/>
    </row>
    <row r="11472" spans="20:20" s="566" customFormat="1">
      <c r="T11472" s="41"/>
    </row>
    <row r="11473" spans="20:20" s="566" customFormat="1">
      <c r="T11473" s="41"/>
    </row>
    <row r="11474" spans="20:20" s="566" customFormat="1">
      <c r="T11474" s="41"/>
    </row>
    <row r="11475" spans="20:20" s="566" customFormat="1">
      <c r="T11475" s="41"/>
    </row>
    <row r="11476" spans="20:20" s="566" customFormat="1">
      <c r="T11476" s="41"/>
    </row>
    <row r="11477" spans="20:20" s="566" customFormat="1">
      <c r="T11477" s="41"/>
    </row>
    <row r="11478" spans="20:20" s="566" customFormat="1">
      <c r="T11478" s="41"/>
    </row>
    <row r="11479" spans="20:20" s="566" customFormat="1">
      <c r="T11479" s="41"/>
    </row>
    <row r="11480" spans="20:20" s="566" customFormat="1">
      <c r="T11480" s="41"/>
    </row>
    <row r="11481" spans="20:20" s="566" customFormat="1">
      <c r="T11481" s="41"/>
    </row>
    <row r="11482" spans="20:20" s="566" customFormat="1">
      <c r="T11482" s="41"/>
    </row>
    <row r="11483" spans="20:20" s="566" customFormat="1">
      <c r="T11483" s="41"/>
    </row>
    <row r="11484" spans="20:20" s="566" customFormat="1">
      <c r="T11484" s="41"/>
    </row>
    <row r="11485" spans="20:20" s="566" customFormat="1">
      <c r="T11485" s="41"/>
    </row>
    <row r="11486" spans="20:20" s="566" customFormat="1">
      <c r="T11486" s="41"/>
    </row>
    <row r="11487" spans="20:20" s="566" customFormat="1">
      <c r="T11487" s="41"/>
    </row>
    <row r="11488" spans="20:20" s="566" customFormat="1">
      <c r="T11488" s="41"/>
    </row>
    <row r="11489" spans="20:20" s="566" customFormat="1">
      <c r="T11489" s="41"/>
    </row>
    <row r="11490" spans="20:20" s="566" customFormat="1">
      <c r="T11490" s="41"/>
    </row>
    <row r="11491" spans="20:20" s="566" customFormat="1">
      <c r="T11491" s="41"/>
    </row>
    <row r="11492" spans="20:20" s="566" customFormat="1">
      <c r="T11492" s="41"/>
    </row>
    <row r="11493" spans="20:20" s="566" customFormat="1">
      <c r="T11493" s="41"/>
    </row>
    <row r="11494" spans="20:20" s="566" customFormat="1">
      <c r="T11494" s="41"/>
    </row>
    <row r="11495" spans="20:20" s="566" customFormat="1">
      <c r="T11495" s="41"/>
    </row>
    <row r="11496" spans="20:20" s="566" customFormat="1">
      <c r="T11496" s="41"/>
    </row>
    <row r="11497" spans="20:20" s="566" customFormat="1">
      <c r="T11497" s="41"/>
    </row>
    <row r="11498" spans="20:20" s="566" customFormat="1">
      <c r="T11498" s="41"/>
    </row>
    <row r="11499" spans="20:20" s="566" customFormat="1">
      <c r="T11499" s="41"/>
    </row>
    <row r="11500" spans="20:20" s="566" customFormat="1">
      <c r="T11500" s="41"/>
    </row>
    <row r="11501" spans="20:20" s="566" customFormat="1">
      <c r="T11501" s="41"/>
    </row>
    <row r="11502" spans="20:20" s="566" customFormat="1">
      <c r="T11502" s="41"/>
    </row>
    <row r="11503" spans="20:20" s="566" customFormat="1">
      <c r="T11503" s="41"/>
    </row>
    <row r="11504" spans="20:20" s="566" customFormat="1">
      <c r="T11504" s="41"/>
    </row>
    <row r="11505" spans="20:20" s="566" customFormat="1">
      <c r="T11505" s="41"/>
    </row>
    <row r="11506" spans="20:20" s="566" customFormat="1">
      <c r="T11506" s="41"/>
    </row>
    <row r="11507" spans="20:20" s="566" customFormat="1">
      <c r="T11507" s="41"/>
    </row>
    <row r="11508" spans="20:20" s="566" customFormat="1">
      <c r="T11508" s="41"/>
    </row>
    <row r="11509" spans="20:20" s="566" customFormat="1">
      <c r="T11509" s="41"/>
    </row>
    <row r="11510" spans="20:20" s="566" customFormat="1">
      <c r="T11510" s="41"/>
    </row>
    <row r="11511" spans="20:20" s="566" customFormat="1">
      <c r="T11511" s="41"/>
    </row>
    <row r="11512" spans="20:20" s="566" customFormat="1">
      <c r="T11512" s="41"/>
    </row>
    <row r="11513" spans="20:20" s="566" customFormat="1">
      <c r="T11513" s="41"/>
    </row>
    <row r="11514" spans="20:20" s="566" customFormat="1">
      <c r="T11514" s="41"/>
    </row>
    <row r="11515" spans="20:20" s="566" customFormat="1">
      <c r="T11515" s="41"/>
    </row>
    <row r="11516" spans="20:20" s="566" customFormat="1">
      <c r="T11516" s="41"/>
    </row>
    <row r="11517" spans="20:20" s="566" customFormat="1">
      <c r="T11517" s="41"/>
    </row>
    <row r="11518" spans="20:20" s="566" customFormat="1">
      <c r="T11518" s="41"/>
    </row>
    <row r="11519" spans="20:20" s="566" customFormat="1">
      <c r="T11519" s="41"/>
    </row>
    <row r="11520" spans="20:20" s="566" customFormat="1">
      <c r="T11520" s="41"/>
    </row>
    <row r="11521" spans="20:20" s="566" customFormat="1">
      <c r="T11521" s="41"/>
    </row>
    <row r="11522" spans="20:20" s="566" customFormat="1">
      <c r="T11522" s="41"/>
    </row>
    <row r="11523" spans="20:20" s="566" customFormat="1">
      <c r="T11523" s="41"/>
    </row>
    <row r="11524" spans="20:20" s="566" customFormat="1">
      <c r="T11524" s="41"/>
    </row>
    <row r="11525" spans="20:20" s="566" customFormat="1">
      <c r="T11525" s="41"/>
    </row>
    <row r="11526" spans="20:20" s="566" customFormat="1">
      <c r="T11526" s="41"/>
    </row>
    <row r="11527" spans="20:20" s="566" customFormat="1">
      <c r="T11527" s="41"/>
    </row>
    <row r="11528" spans="20:20" s="566" customFormat="1">
      <c r="T11528" s="41"/>
    </row>
    <row r="11529" spans="20:20" s="566" customFormat="1">
      <c r="T11529" s="41"/>
    </row>
    <row r="11530" spans="20:20" s="566" customFormat="1">
      <c r="T11530" s="41"/>
    </row>
    <row r="11531" spans="20:20" s="566" customFormat="1">
      <c r="T11531" s="41"/>
    </row>
    <row r="11532" spans="20:20" s="566" customFormat="1">
      <c r="T11532" s="41"/>
    </row>
    <row r="11533" spans="20:20" s="566" customFormat="1">
      <c r="T11533" s="41"/>
    </row>
    <row r="11534" spans="20:20" s="566" customFormat="1">
      <c r="T11534" s="41"/>
    </row>
    <row r="11535" spans="20:20" s="566" customFormat="1">
      <c r="T11535" s="41"/>
    </row>
    <row r="11536" spans="20:20" s="566" customFormat="1">
      <c r="T11536" s="41"/>
    </row>
    <row r="11537" spans="20:20" s="566" customFormat="1">
      <c r="T11537" s="41"/>
    </row>
    <row r="11538" spans="20:20" s="566" customFormat="1">
      <c r="T11538" s="41"/>
    </row>
    <row r="11539" spans="20:20" s="566" customFormat="1">
      <c r="T11539" s="41"/>
    </row>
    <row r="11540" spans="20:20" s="566" customFormat="1">
      <c r="T11540" s="41"/>
    </row>
    <row r="11541" spans="20:20" s="566" customFormat="1">
      <c r="T11541" s="41"/>
    </row>
    <row r="11542" spans="20:20" s="566" customFormat="1">
      <c r="T11542" s="41"/>
    </row>
    <row r="11543" spans="20:20" s="566" customFormat="1">
      <c r="T11543" s="41"/>
    </row>
    <row r="11544" spans="20:20" s="566" customFormat="1">
      <c r="T11544" s="41"/>
    </row>
    <row r="11545" spans="20:20" s="566" customFormat="1">
      <c r="T11545" s="41"/>
    </row>
    <row r="11546" spans="20:20" s="566" customFormat="1">
      <c r="T11546" s="41"/>
    </row>
    <row r="11547" spans="20:20" s="566" customFormat="1">
      <c r="T11547" s="41"/>
    </row>
    <row r="11548" spans="20:20" s="566" customFormat="1">
      <c r="T11548" s="41"/>
    </row>
    <row r="11549" spans="20:20" s="566" customFormat="1">
      <c r="T11549" s="41"/>
    </row>
    <row r="11550" spans="20:20" s="566" customFormat="1">
      <c r="T11550" s="41"/>
    </row>
    <row r="11551" spans="20:20" s="566" customFormat="1">
      <c r="T11551" s="41"/>
    </row>
    <row r="11552" spans="20:20" s="566" customFormat="1">
      <c r="T11552" s="41"/>
    </row>
    <row r="11553" spans="20:20" s="566" customFormat="1">
      <c r="T11553" s="41"/>
    </row>
    <row r="11554" spans="20:20" s="566" customFormat="1">
      <c r="T11554" s="41"/>
    </row>
    <row r="11555" spans="20:20" s="566" customFormat="1">
      <c r="T11555" s="41"/>
    </row>
    <row r="11556" spans="20:20" s="566" customFormat="1">
      <c r="T11556" s="41"/>
    </row>
    <row r="11557" spans="20:20" s="566" customFormat="1">
      <c r="T11557" s="41"/>
    </row>
    <row r="11558" spans="20:20" s="566" customFormat="1">
      <c r="T11558" s="41"/>
    </row>
    <row r="11559" spans="20:20" s="566" customFormat="1">
      <c r="T11559" s="41"/>
    </row>
    <row r="11560" spans="20:20" s="566" customFormat="1">
      <c r="T11560" s="41"/>
    </row>
    <row r="11561" spans="20:20" s="566" customFormat="1">
      <c r="T11561" s="41"/>
    </row>
    <row r="11562" spans="20:20" s="566" customFormat="1">
      <c r="T11562" s="41"/>
    </row>
    <row r="11563" spans="20:20" s="566" customFormat="1">
      <c r="T11563" s="41"/>
    </row>
    <row r="11564" spans="20:20" s="566" customFormat="1">
      <c r="T11564" s="41"/>
    </row>
    <row r="11565" spans="20:20" s="566" customFormat="1">
      <c r="T11565" s="41"/>
    </row>
    <row r="11566" spans="20:20" s="566" customFormat="1">
      <c r="T11566" s="41"/>
    </row>
    <row r="11567" spans="20:20" s="566" customFormat="1">
      <c r="T11567" s="41"/>
    </row>
    <row r="11568" spans="20:20" s="566" customFormat="1">
      <c r="T11568" s="41"/>
    </row>
    <row r="11569" spans="20:20" s="566" customFormat="1">
      <c r="T11569" s="41"/>
    </row>
    <row r="11570" spans="20:20" s="566" customFormat="1">
      <c r="T11570" s="41"/>
    </row>
    <row r="11571" spans="20:20" s="566" customFormat="1">
      <c r="T11571" s="41"/>
    </row>
    <row r="11572" spans="20:20" s="566" customFormat="1">
      <c r="T11572" s="41"/>
    </row>
    <row r="11573" spans="20:20" s="566" customFormat="1">
      <c r="T11573" s="41"/>
    </row>
    <row r="11574" spans="20:20" s="566" customFormat="1">
      <c r="T11574" s="41"/>
    </row>
    <row r="11575" spans="20:20" s="566" customFormat="1">
      <c r="T11575" s="41"/>
    </row>
    <row r="11576" spans="20:20" s="566" customFormat="1">
      <c r="T11576" s="41"/>
    </row>
    <row r="11577" spans="20:20" s="566" customFormat="1">
      <c r="T11577" s="41"/>
    </row>
    <row r="11578" spans="20:20" s="566" customFormat="1">
      <c r="T11578" s="41"/>
    </row>
    <row r="11579" spans="20:20" s="566" customFormat="1">
      <c r="T11579" s="41"/>
    </row>
    <row r="11580" spans="20:20" s="566" customFormat="1">
      <c r="T11580" s="41"/>
    </row>
    <row r="11581" spans="20:20" s="566" customFormat="1">
      <c r="T11581" s="41"/>
    </row>
    <row r="11582" spans="20:20" s="566" customFormat="1">
      <c r="T11582" s="41"/>
    </row>
    <row r="11583" spans="20:20" s="566" customFormat="1">
      <c r="T11583" s="41"/>
    </row>
    <row r="11584" spans="20:20" s="566" customFormat="1">
      <c r="T11584" s="41"/>
    </row>
    <row r="11585" spans="20:20" s="566" customFormat="1">
      <c r="T11585" s="41"/>
    </row>
    <row r="11586" spans="20:20" s="566" customFormat="1">
      <c r="T11586" s="41"/>
    </row>
    <row r="11587" spans="20:20" s="566" customFormat="1">
      <c r="T11587" s="41"/>
    </row>
    <row r="11588" spans="20:20" s="566" customFormat="1">
      <c r="T11588" s="41"/>
    </row>
    <row r="11589" spans="20:20" s="566" customFormat="1">
      <c r="T11589" s="41"/>
    </row>
    <row r="11590" spans="20:20" s="566" customFormat="1">
      <c r="T11590" s="41"/>
    </row>
    <row r="11591" spans="20:20" s="566" customFormat="1">
      <c r="T11591" s="41"/>
    </row>
    <row r="11592" spans="20:20" s="566" customFormat="1">
      <c r="T11592" s="41"/>
    </row>
    <row r="11593" spans="20:20" s="566" customFormat="1">
      <c r="T11593" s="41"/>
    </row>
    <row r="11594" spans="20:20" s="566" customFormat="1">
      <c r="T11594" s="41"/>
    </row>
    <row r="11595" spans="20:20" s="566" customFormat="1">
      <c r="T11595" s="41"/>
    </row>
    <row r="11596" spans="20:20" s="566" customFormat="1">
      <c r="T11596" s="41"/>
    </row>
    <row r="11597" spans="20:20" s="566" customFormat="1">
      <c r="T11597" s="41"/>
    </row>
    <row r="11598" spans="20:20" s="566" customFormat="1">
      <c r="T11598" s="41"/>
    </row>
    <row r="11599" spans="20:20" s="566" customFormat="1">
      <c r="T11599" s="41"/>
    </row>
    <row r="11600" spans="20:20" s="566" customFormat="1">
      <c r="T11600" s="41"/>
    </row>
    <row r="11601" spans="20:20" s="566" customFormat="1">
      <c r="T11601" s="41"/>
    </row>
    <row r="11602" spans="20:20" s="566" customFormat="1">
      <c r="T11602" s="41"/>
    </row>
    <row r="11603" spans="20:20" s="566" customFormat="1">
      <c r="T11603" s="41"/>
    </row>
    <row r="11604" spans="20:20" s="566" customFormat="1">
      <c r="T11604" s="41"/>
    </row>
    <row r="11605" spans="20:20" s="566" customFormat="1">
      <c r="T11605" s="41"/>
    </row>
    <row r="11606" spans="20:20" s="566" customFormat="1">
      <c r="T11606" s="41"/>
    </row>
    <row r="11607" spans="20:20" s="566" customFormat="1">
      <c r="T11607" s="41"/>
    </row>
    <row r="11608" spans="20:20" s="566" customFormat="1">
      <c r="T11608" s="41"/>
    </row>
    <row r="11609" spans="20:20" s="566" customFormat="1">
      <c r="T11609" s="41"/>
    </row>
    <row r="11610" spans="20:20" s="566" customFormat="1">
      <c r="T11610" s="41"/>
    </row>
    <row r="11611" spans="20:20" s="566" customFormat="1">
      <c r="T11611" s="41"/>
    </row>
    <row r="11612" spans="20:20" s="566" customFormat="1">
      <c r="T11612" s="41"/>
    </row>
    <row r="11613" spans="20:20" s="566" customFormat="1">
      <c r="T11613" s="41"/>
    </row>
    <row r="11614" spans="20:20" s="566" customFormat="1">
      <c r="T11614" s="41"/>
    </row>
    <row r="11615" spans="20:20" s="566" customFormat="1">
      <c r="T11615" s="41"/>
    </row>
    <row r="11616" spans="20:20" s="566" customFormat="1">
      <c r="T11616" s="41"/>
    </row>
    <row r="11617" spans="20:20" s="566" customFormat="1">
      <c r="T11617" s="41"/>
    </row>
    <row r="11618" spans="20:20" s="566" customFormat="1">
      <c r="T11618" s="41"/>
    </row>
    <row r="11619" spans="20:20" s="566" customFormat="1">
      <c r="T11619" s="41"/>
    </row>
    <row r="11620" spans="20:20" s="566" customFormat="1">
      <c r="T11620" s="41"/>
    </row>
    <row r="11621" spans="20:20" s="566" customFormat="1">
      <c r="T11621" s="41"/>
    </row>
    <row r="11622" spans="20:20" s="566" customFormat="1">
      <c r="T11622" s="41"/>
    </row>
    <row r="11623" spans="20:20" s="566" customFormat="1">
      <c r="T11623" s="41"/>
    </row>
    <row r="11624" spans="20:20" s="566" customFormat="1">
      <c r="T11624" s="41"/>
    </row>
    <row r="11625" spans="20:20" s="566" customFormat="1">
      <c r="T11625" s="41"/>
    </row>
    <row r="11626" spans="20:20" s="566" customFormat="1">
      <c r="T11626" s="41"/>
    </row>
    <row r="11627" spans="20:20" s="566" customFormat="1">
      <c r="T11627" s="41"/>
    </row>
    <row r="11628" spans="20:20" s="566" customFormat="1">
      <c r="T11628" s="41"/>
    </row>
    <row r="11629" spans="20:20" s="566" customFormat="1">
      <c r="T11629" s="41"/>
    </row>
    <row r="11630" spans="20:20" s="566" customFormat="1">
      <c r="T11630" s="41"/>
    </row>
    <row r="11631" spans="20:20" s="566" customFormat="1">
      <c r="T11631" s="41"/>
    </row>
    <row r="11632" spans="20:20" s="566" customFormat="1">
      <c r="T11632" s="41"/>
    </row>
    <row r="11633" spans="20:20" s="566" customFormat="1">
      <c r="T11633" s="41"/>
    </row>
    <row r="11634" spans="20:20" s="566" customFormat="1">
      <c r="T11634" s="41"/>
    </row>
    <row r="11635" spans="20:20" s="566" customFormat="1">
      <c r="T11635" s="41"/>
    </row>
    <row r="11636" spans="20:20" s="566" customFormat="1">
      <c r="T11636" s="41"/>
    </row>
    <row r="11637" spans="20:20" s="566" customFormat="1">
      <c r="T11637" s="41"/>
    </row>
    <row r="11638" spans="20:20" s="566" customFormat="1">
      <c r="T11638" s="41"/>
    </row>
    <row r="11639" spans="20:20" s="566" customFormat="1">
      <c r="T11639" s="41"/>
    </row>
    <row r="11640" spans="20:20" s="566" customFormat="1">
      <c r="T11640" s="41"/>
    </row>
    <row r="11641" spans="20:20" s="566" customFormat="1">
      <c r="T11641" s="41"/>
    </row>
    <row r="11642" spans="20:20" s="566" customFormat="1">
      <c r="T11642" s="41"/>
    </row>
    <row r="11643" spans="20:20" s="566" customFormat="1">
      <c r="T11643" s="41"/>
    </row>
    <row r="11644" spans="20:20" s="566" customFormat="1">
      <c r="T11644" s="41"/>
    </row>
    <row r="11645" spans="20:20" s="566" customFormat="1">
      <c r="T11645" s="41"/>
    </row>
    <row r="11646" spans="20:20" s="566" customFormat="1">
      <c r="T11646" s="41"/>
    </row>
    <row r="11647" spans="20:20" s="566" customFormat="1">
      <c r="T11647" s="41"/>
    </row>
    <row r="11648" spans="20:20" s="566" customFormat="1">
      <c r="T11648" s="41"/>
    </row>
    <row r="11649" spans="20:20" s="566" customFormat="1">
      <c r="T11649" s="41"/>
    </row>
    <row r="11650" spans="20:20" s="566" customFormat="1">
      <c r="T11650" s="41"/>
    </row>
    <row r="11651" spans="20:20" s="566" customFormat="1">
      <c r="T11651" s="41"/>
    </row>
    <row r="11652" spans="20:20" s="566" customFormat="1">
      <c r="T11652" s="41"/>
    </row>
    <row r="11653" spans="20:20" s="566" customFormat="1">
      <c r="T11653" s="41"/>
    </row>
    <row r="11654" spans="20:20" s="566" customFormat="1">
      <c r="T11654" s="41"/>
    </row>
    <row r="11655" spans="20:20" s="566" customFormat="1">
      <c r="T11655" s="41"/>
    </row>
    <row r="11656" spans="20:20" s="566" customFormat="1">
      <c r="T11656" s="41"/>
    </row>
    <row r="11657" spans="20:20" s="566" customFormat="1">
      <c r="T11657" s="41"/>
    </row>
    <row r="11658" spans="20:20" s="566" customFormat="1">
      <c r="T11658" s="41"/>
    </row>
    <row r="11659" spans="20:20" s="566" customFormat="1">
      <c r="T11659" s="41"/>
    </row>
    <row r="11660" spans="20:20" s="566" customFormat="1">
      <c r="T11660" s="41"/>
    </row>
    <row r="11661" spans="20:20" s="566" customFormat="1">
      <c r="T11661" s="41"/>
    </row>
    <row r="11662" spans="20:20" s="566" customFormat="1">
      <c r="T11662" s="41"/>
    </row>
    <row r="11663" spans="20:20" s="566" customFormat="1">
      <c r="T11663" s="41"/>
    </row>
    <row r="11664" spans="20:20" s="566" customFormat="1">
      <c r="T11664" s="41"/>
    </row>
    <row r="11665" spans="20:20" s="566" customFormat="1">
      <c r="T11665" s="41"/>
    </row>
    <row r="11666" spans="20:20" s="566" customFormat="1">
      <c r="T11666" s="41"/>
    </row>
    <row r="11667" spans="20:20" s="566" customFormat="1">
      <c r="T11667" s="41"/>
    </row>
    <row r="11668" spans="20:20" s="566" customFormat="1">
      <c r="T11668" s="41"/>
    </row>
    <row r="11669" spans="20:20" s="566" customFormat="1">
      <c r="T11669" s="41"/>
    </row>
    <row r="11670" spans="20:20" s="566" customFormat="1">
      <c r="T11670" s="41"/>
    </row>
    <row r="11671" spans="20:20" s="566" customFormat="1">
      <c r="T11671" s="41"/>
    </row>
    <row r="11672" spans="20:20" s="566" customFormat="1">
      <c r="T11672" s="41"/>
    </row>
    <row r="11673" spans="20:20" s="566" customFormat="1">
      <c r="T11673" s="41"/>
    </row>
    <row r="11674" spans="20:20" s="566" customFormat="1">
      <c r="T11674" s="41"/>
    </row>
    <row r="11675" spans="20:20" s="566" customFormat="1">
      <c r="T11675" s="41"/>
    </row>
    <row r="11676" spans="20:20" s="566" customFormat="1">
      <c r="T11676" s="41"/>
    </row>
    <row r="11677" spans="20:20" s="566" customFormat="1">
      <c r="T11677" s="41"/>
    </row>
    <row r="11678" spans="20:20" s="566" customFormat="1">
      <c r="T11678" s="41"/>
    </row>
    <row r="11679" spans="20:20" s="566" customFormat="1">
      <c r="T11679" s="41"/>
    </row>
    <row r="11680" spans="20:20" s="566" customFormat="1">
      <c r="T11680" s="41"/>
    </row>
    <row r="11681" spans="20:20" s="566" customFormat="1">
      <c r="T11681" s="41"/>
    </row>
    <row r="11682" spans="20:20" s="566" customFormat="1">
      <c r="T11682" s="41"/>
    </row>
    <row r="11683" spans="20:20" s="566" customFormat="1">
      <c r="T11683" s="41"/>
    </row>
    <row r="11684" spans="20:20" s="566" customFormat="1">
      <c r="T11684" s="41"/>
    </row>
    <row r="11685" spans="20:20" s="566" customFormat="1">
      <c r="T11685" s="41"/>
    </row>
    <row r="11686" spans="20:20" s="566" customFormat="1">
      <c r="T11686" s="41"/>
    </row>
    <row r="11687" spans="20:20" s="566" customFormat="1">
      <c r="T11687" s="41"/>
    </row>
    <row r="11688" spans="20:20" s="566" customFormat="1">
      <c r="T11688" s="41"/>
    </row>
    <row r="11689" spans="20:20" s="566" customFormat="1">
      <c r="T11689" s="41"/>
    </row>
    <row r="11690" spans="20:20" s="566" customFormat="1">
      <c r="T11690" s="41"/>
    </row>
    <row r="11691" spans="20:20" s="566" customFormat="1">
      <c r="T11691" s="41"/>
    </row>
    <row r="11692" spans="20:20" s="566" customFormat="1">
      <c r="T11692" s="41"/>
    </row>
    <row r="11693" spans="20:20" s="566" customFormat="1">
      <c r="T11693" s="41"/>
    </row>
    <row r="11694" spans="20:20" s="566" customFormat="1">
      <c r="T11694" s="41"/>
    </row>
    <row r="11695" spans="20:20" s="566" customFormat="1">
      <c r="T11695" s="41"/>
    </row>
    <row r="11696" spans="20:20" s="566" customFormat="1">
      <c r="T11696" s="41"/>
    </row>
    <row r="11697" spans="20:20" s="566" customFormat="1">
      <c r="T11697" s="41"/>
    </row>
    <row r="11698" spans="20:20" s="566" customFormat="1">
      <c r="T11698" s="41"/>
    </row>
    <row r="11699" spans="20:20" s="566" customFormat="1">
      <c r="T11699" s="41"/>
    </row>
    <row r="11700" spans="20:20" s="566" customFormat="1">
      <c r="T11700" s="41"/>
    </row>
    <row r="11701" spans="20:20" s="566" customFormat="1">
      <c r="T11701" s="41"/>
    </row>
    <row r="11702" spans="20:20" s="566" customFormat="1">
      <c r="T11702" s="41"/>
    </row>
    <row r="11703" spans="20:20" s="566" customFormat="1">
      <c r="T11703" s="41"/>
    </row>
    <row r="11704" spans="20:20" s="566" customFormat="1">
      <c r="T11704" s="41"/>
    </row>
    <row r="11705" spans="20:20" s="566" customFormat="1">
      <c r="T11705" s="41"/>
    </row>
    <row r="11706" spans="20:20" s="566" customFormat="1">
      <c r="T11706" s="41"/>
    </row>
    <row r="11707" spans="20:20" s="566" customFormat="1">
      <c r="T11707" s="41"/>
    </row>
    <row r="11708" spans="20:20" s="566" customFormat="1">
      <c r="T11708" s="41"/>
    </row>
    <row r="11709" spans="20:20" s="566" customFormat="1">
      <c r="T11709" s="41"/>
    </row>
    <row r="11710" spans="20:20" s="566" customFormat="1">
      <c r="T11710" s="41"/>
    </row>
    <row r="11711" spans="20:20" s="566" customFormat="1">
      <c r="T11711" s="41"/>
    </row>
    <row r="11712" spans="20:20" s="566" customFormat="1">
      <c r="T11712" s="41"/>
    </row>
    <row r="11713" spans="20:20" s="566" customFormat="1">
      <c r="T11713" s="41"/>
    </row>
    <row r="11714" spans="20:20" s="566" customFormat="1">
      <c r="T11714" s="41"/>
    </row>
    <row r="11715" spans="20:20" s="566" customFormat="1">
      <c r="T11715" s="41"/>
    </row>
    <row r="11716" spans="20:20" s="566" customFormat="1">
      <c r="T11716" s="41"/>
    </row>
    <row r="11717" spans="20:20" s="566" customFormat="1">
      <c r="T11717" s="41"/>
    </row>
    <row r="11718" spans="20:20" s="566" customFormat="1">
      <c r="T11718" s="41"/>
    </row>
    <row r="11719" spans="20:20" s="566" customFormat="1">
      <c r="T11719" s="41"/>
    </row>
    <row r="11720" spans="20:20" s="566" customFormat="1">
      <c r="T11720" s="41"/>
    </row>
    <row r="11721" spans="20:20" s="566" customFormat="1">
      <c r="T11721" s="41"/>
    </row>
    <row r="11722" spans="20:20" s="566" customFormat="1">
      <c r="T11722" s="41"/>
    </row>
    <row r="11723" spans="20:20" s="566" customFormat="1">
      <c r="T11723" s="41"/>
    </row>
    <row r="11724" spans="20:20" s="566" customFormat="1">
      <c r="T11724" s="41"/>
    </row>
    <row r="11725" spans="20:20" s="566" customFormat="1">
      <c r="T11725" s="41"/>
    </row>
    <row r="11726" spans="20:20" s="566" customFormat="1">
      <c r="T11726" s="41"/>
    </row>
    <row r="11727" spans="20:20" s="566" customFormat="1">
      <c r="T11727" s="41"/>
    </row>
    <row r="11728" spans="20:20" s="566" customFormat="1">
      <c r="T11728" s="41"/>
    </row>
    <row r="11729" spans="20:20" s="566" customFormat="1">
      <c r="T11729" s="41"/>
    </row>
    <row r="11730" spans="20:20" s="566" customFormat="1">
      <c r="T11730" s="41"/>
    </row>
    <row r="11731" spans="20:20" s="566" customFormat="1">
      <c r="T11731" s="41"/>
    </row>
    <row r="11732" spans="20:20" s="566" customFormat="1">
      <c r="T11732" s="41"/>
    </row>
    <row r="11733" spans="20:20" s="566" customFormat="1">
      <c r="T11733" s="41"/>
    </row>
    <row r="11734" spans="20:20" s="566" customFormat="1">
      <c r="T11734" s="41"/>
    </row>
    <row r="11735" spans="20:20" s="566" customFormat="1">
      <c r="T11735" s="41"/>
    </row>
    <row r="11736" spans="20:20" s="566" customFormat="1">
      <c r="T11736" s="41"/>
    </row>
    <row r="11737" spans="20:20" s="566" customFormat="1">
      <c r="T11737" s="41"/>
    </row>
    <row r="11738" spans="20:20" s="566" customFormat="1">
      <c r="T11738" s="41"/>
    </row>
    <row r="11739" spans="20:20" s="566" customFormat="1">
      <c r="T11739" s="41"/>
    </row>
    <row r="11740" spans="20:20" s="566" customFormat="1">
      <c r="T11740" s="41"/>
    </row>
    <row r="11741" spans="20:20" s="566" customFormat="1">
      <c r="T11741" s="41"/>
    </row>
    <row r="11742" spans="20:20" s="566" customFormat="1">
      <c r="T11742" s="41"/>
    </row>
    <row r="11743" spans="20:20" s="566" customFormat="1">
      <c r="T11743" s="41"/>
    </row>
    <row r="11744" spans="20:20" s="566" customFormat="1">
      <c r="T11744" s="41"/>
    </row>
    <row r="11745" spans="20:20" s="566" customFormat="1">
      <c r="T11745" s="41"/>
    </row>
    <row r="11746" spans="20:20" s="566" customFormat="1">
      <c r="T11746" s="41"/>
    </row>
    <row r="11747" spans="20:20" s="566" customFormat="1">
      <c r="T11747" s="41"/>
    </row>
    <row r="11748" spans="20:20" s="566" customFormat="1">
      <c r="T11748" s="41"/>
    </row>
    <row r="11749" spans="20:20" s="566" customFormat="1">
      <c r="T11749" s="41"/>
    </row>
    <row r="11750" spans="20:20" s="566" customFormat="1">
      <c r="T11750" s="41"/>
    </row>
    <row r="11751" spans="20:20" s="566" customFormat="1">
      <c r="T11751" s="41"/>
    </row>
    <row r="11752" spans="20:20" s="566" customFormat="1">
      <c r="T11752" s="41"/>
    </row>
    <row r="11753" spans="20:20" s="566" customFormat="1">
      <c r="T11753" s="41"/>
    </row>
    <row r="11754" spans="20:20" s="566" customFormat="1">
      <c r="T11754" s="41"/>
    </row>
    <row r="11755" spans="20:20" s="566" customFormat="1">
      <c r="T11755" s="41"/>
    </row>
    <row r="11756" spans="20:20" s="566" customFormat="1">
      <c r="T11756" s="41"/>
    </row>
    <row r="11757" spans="20:20" s="566" customFormat="1">
      <c r="T11757" s="41"/>
    </row>
    <row r="11758" spans="20:20" s="566" customFormat="1">
      <c r="T11758" s="41"/>
    </row>
    <row r="11759" spans="20:20" s="566" customFormat="1">
      <c r="T11759" s="41"/>
    </row>
    <row r="11760" spans="20:20" s="566" customFormat="1">
      <c r="T11760" s="41"/>
    </row>
    <row r="11761" spans="20:20" s="566" customFormat="1">
      <c r="T11761" s="41"/>
    </row>
    <row r="11762" spans="20:20" s="566" customFormat="1">
      <c r="T11762" s="41"/>
    </row>
    <row r="11763" spans="20:20" s="566" customFormat="1">
      <c r="T11763" s="41"/>
    </row>
    <row r="11764" spans="20:20" s="566" customFormat="1">
      <c r="T11764" s="41"/>
    </row>
    <row r="11765" spans="20:20" s="566" customFormat="1">
      <c r="T11765" s="41"/>
    </row>
    <row r="11766" spans="20:20" s="566" customFormat="1">
      <c r="T11766" s="41"/>
    </row>
    <row r="11767" spans="20:20" s="566" customFormat="1">
      <c r="T11767" s="41"/>
    </row>
    <row r="11768" spans="20:20" s="566" customFormat="1">
      <c r="T11768" s="41"/>
    </row>
    <row r="11769" spans="20:20" s="566" customFormat="1">
      <c r="T11769" s="41"/>
    </row>
    <row r="11770" spans="20:20" s="566" customFormat="1">
      <c r="T11770" s="41"/>
    </row>
    <row r="11771" spans="20:20" s="566" customFormat="1">
      <c r="T11771" s="41"/>
    </row>
    <row r="11772" spans="20:20" s="566" customFormat="1">
      <c r="T11772" s="41"/>
    </row>
    <row r="11773" spans="20:20" s="566" customFormat="1">
      <c r="T11773" s="41"/>
    </row>
    <row r="11774" spans="20:20" s="566" customFormat="1">
      <c r="T11774" s="41"/>
    </row>
    <row r="11775" spans="20:20" s="566" customFormat="1">
      <c r="T11775" s="41"/>
    </row>
    <row r="11776" spans="20:20" s="566" customFormat="1">
      <c r="T11776" s="41"/>
    </row>
    <row r="11777" spans="20:20" s="566" customFormat="1">
      <c r="T11777" s="41"/>
    </row>
    <row r="11778" spans="20:20" s="566" customFormat="1">
      <c r="T11778" s="41"/>
    </row>
    <row r="11779" spans="20:20" s="566" customFormat="1">
      <c r="T11779" s="41"/>
    </row>
    <row r="11780" spans="20:20" s="566" customFormat="1">
      <c r="T11780" s="41"/>
    </row>
    <row r="11781" spans="20:20" s="566" customFormat="1">
      <c r="T11781" s="41"/>
    </row>
    <row r="11782" spans="20:20" s="566" customFormat="1">
      <c r="T11782" s="41"/>
    </row>
    <row r="11783" spans="20:20" s="566" customFormat="1">
      <c r="T11783" s="41"/>
    </row>
    <row r="11784" spans="20:20" s="566" customFormat="1">
      <c r="T11784" s="41"/>
    </row>
    <row r="11785" spans="20:20" s="566" customFormat="1">
      <c r="T11785" s="41"/>
    </row>
    <row r="11786" spans="20:20" s="566" customFormat="1">
      <c r="T11786" s="41"/>
    </row>
    <row r="11787" spans="20:20" s="566" customFormat="1">
      <c r="T11787" s="41"/>
    </row>
    <row r="11788" spans="20:20" s="566" customFormat="1">
      <c r="T11788" s="41"/>
    </row>
    <row r="11789" spans="20:20" s="566" customFormat="1">
      <c r="T11789" s="41"/>
    </row>
    <row r="11790" spans="20:20" s="566" customFormat="1">
      <c r="T11790" s="41"/>
    </row>
    <row r="11791" spans="20:20" s="566" customFormat="1">
      <c r="T11791" s="41"/>
    </row>
    <row r="11792" spans="20:20" s="566" customFormat="1">
      <c r="T11792" s="41"/>
    </row>
    <row r="11793" spans="20:20" s="566" customFormat="1">
      <c r="T11793" s="41"/>
    </row>
    <row r="11794" spans="20:20" s="566" customFormat="1">
      <c r="T11794" s="41"/>
    </row>
    <row r="11795" spans="20:20" s="566" customFormat="1">
      <c r="T11795" s="41"/>
    </row>
    <row r="11796" spans="20:20" s="566" customFormat="1">
      <c r="T11796" s="41"/>
    </row>
    <row r="11797" spans="20:20" s="566" customFormat="1">
      <c r="T11797" s="41"/>
    </row>
    <row r="11798" spans="20:20" s="566" customFormat="1">
      <c r="T11798" s="41"/>
    </row>
    <row r="11799" spans="20:20" s="566" customFormat="1">
      <c r="T11799" s="41"/>
    </row>
    <row r="11800" spans="20:20" s="566" customFormat="1">
      <c r="T11800" s="41"/>
    </row>
    <row r="11801" spans="20:20" s="566" customFormat="1">
      <c r="T11801" s="41"/>
    </row>
    <row r="11802" spans="20:20" s="566" customFormat="1">
      <c r="T11802" s="41"/>
    </row>
    <row r="11803" spans="20:20" s="566" customFormat="1">
      <c r="T11803" s="41"/>
    </row>
    <row r="11804" spans="20:20" s="566" customFormat="1">
      <c r="T11804" s="41"/>
    </row>
    <row r="11805" spans="20:20" s="566" customFormat="1">
      <c r="T11805" s="41"/>
    </row>
    <row r="11806" spans="20:20" s="566" customFormat="1">
      <c r="T11806" s="41"/>
    </row>
    <row r="11807" spans="20:20" s="566" customFormat="1">
      <c r="T11807" s="41"/>
    </row>
    <row r="11808" spans="20:20" s="566" customFormat="1">
      <c r="T11808" s="41"/>
    </row>
    <row r="11809" spans="20:20" s="566" customFormat="1">
      <c r="T11809" s="41"/>
    </row>
    <row r="11810" spans="20:20" s="566" customFormat="1">
      <c r="T11810" s="41"/>
    </row>
    <row r="11811" spans="20:20" s="566" customFormat="1">
      <c r="T11811" s="41"/>
    </row>
    <row r="11812" spans="20:20" s="566" customFormat="1">
      <c r="T11812" s="41"/>
    </row>
    <row r="11813" spans="20:20" s="566" customFormat="1">
      <c r="T11813" s="41"/>
    </row>
    <row r="11814" spans="20:20" s="566" customFormat="1">
      <c r="T11814" s="41"/>
    </row>
    <row r="11815" spans="20:20" s="566" customFormat="1">
      <c r="T11815" s="41"/>
    </row>
    <row r="11816" spans="20:20" s="566" customFormat="1">
      <c r="T11816" s="41"/>
    </row>
    <row r="11817" spans="20:20" s="566" customFormat="1">
      <c r="T11817" s="41"/>
    </row>
    <row r="11818" spans="20:20" s="566" customFormat="1">
      <c r="T11818" s="41"/>
    </row>
    <row r="11819" spans="20:20" s="566" customFormat="1">
      <c r="T11819" s="41"/>
    </row>
    <row r="11820" spans="20:20" s="566" customFormat="1">
      <c r="T11820" s="41"/>
    </row>
    <row r="11821" spans="20:20" s="566" customFormat="1">
      <c r="T11821" s="41"/>
    </row>
    <row r="11822" spans="20:20" s="566" customFormat="1">
      <c r="T11822" s="41"/>
    </row>
    <row r="11823" spans="20:20" s="566" customFormat="1">
      <c r="T11823" s="41"/>
    </row>
    <row r="11824" spans="20:20" s="566" customFormat="1">
      <c r="T11824" s="41"/>
    </row>
    <row r="11825" spans="20:20" s="566" customFormat="1">
      <c r="T11825" s="41"/>
    </row>
    <row r="11826" spans="20:20" s="566" customFormat="1">
      <c r="T11826" s="41"/>
    </row>
    <row r="11827" spans="20:20" s="566" customFormat="1">
      <c r="T11827" s="41"/>
    </row>
    <row r="11828" spans="20:20" s="566" customFormat="1">
      <c r="T11828" s="41"/>
    </row>
    <row r="11829" spans="20:20" s="566" customFormat="1">
      <c r="T11829" s="41"/>
    </row>
    <row r="11830" spans="20:20" s="566" customFormat="1">
      <c r="T11830" s="41"/>
    </row>
    <row r="11831" spans="20:20" s="566" customFormat="1">
      <c r="T11831" s="41"/>
    </row>
    <row r="11832" spans="20:20" s="566" customFormat="1">
      <c r="T11832" s="41"/>
    </row>
    <row r="11833" spans="20:20" s="566" customFormat="1">
      <c r="T11833" s="41"/>
    </row>
    <row r="11834" spans="20:20" s="566" customFormat="1">
      <c r="T11834" s="41"/>
    </row>
    <row r="11835" spans="20:20" s="566" customFormat="1">
      <c r="T11835" s="41"/>
    </row>
    <row r="11836" spans="20:20" s="566" customFormat="1">
      <c r="T11836" s="41"/>
    </row>
    <row r="11837" spans="20:20" s="566" customFormat="1">
      <c r="T11837" s="41"/>
    </row>
    <row r="11838" spans="20:20" s="566" customFormat="1">
      <c r="T11838" s="41"/>
    </row>
    <row r="11839" spans="20:20" s="566" customFormat="1">
      <c r="T11839" s="41"/>
    </row>
    <row r="11840" spans="20:20" s="566" customFormat="1">
      <c r="T11840" s="41"/>
    </row>
    <row r="11841" spans="20:20" s="566" customFormat="1">
      <c r="T11841" s="41"/>
    </row>
    <row r="11842" spans="20:20" s="566" customFormat="1">
      <c r="T11842" s="41"/>
    </row>
    <row r="11843" spans="20:20" s="566" customFormat="1">
      <c r="T11843" s="41"/>
    </row>
    <row r="11844" spans="20:20" s="566" customFormat="1">
      <c r="T11844" s="41"/>
    </row>
    <row r="11845" spans="20:20" s="566" customFormat="1">
      <c r="T11845" s="41"/>
    </row>
    <row r="11846" spans="20:20" s="566" customFormat="1">
      <c r="T11846" s="41"/>
    </row>
    <row r="11847" spans="20:20" s="566" customFormat="1">
      <c r="T11847" s="41"/>
    </row>
    <row r="11848" spans="20:20" s="566" customFormat="1">
      <c r="T11848" s="41"/>
    </row>
    <row r="11849" spans="20:20" s="566" customFormat="1">
      <c r="T11849" s="41"/>
    </row>
    <row r="11850" spans="20:20" s="566" customFormat="1">
      <c r="T11850" s="41"/>
    </row>
    <row r="11851" spans="20:20" s="566" customFormat="1">
      <c r="T11851" s="41"/>
    </row>
    <row r="11852" spans="20:20" s="566" customFormat="1">
      <c r="T11852" s="41"/>
    </row>
    <row r="11853" spans="20:20" s="566" customFormat="1">
      <c r="T11853" s="41"/>
    </row>
    <row r="11854" spans="20:20" s="566" customFormat="1">
      <c r="T11854" s="41"/>
    </row>
    <row r="11855" spans="20:20" s="566" customFormat="1">
      <c r="T11855" s="41"/>
    </row>
    <row r="11856" spans="20:20" s="566" customFormat="1">
      <c r="T11856" s="41"/>
    </row>
    <row r="11857" spans="20:20" s="566" customFormat="1">
      <c r="T11857" s="41"/>
    </row>
    <row r="11858" spans="20:20" s="566" customFormat="1">
      <c r="T11858" s="41"/>
    </row>
    <row r="11859" spans="20:20" s="566" customFormat="1">
      <c r="T11859" s="41"/>
    </row>
    <row r="11860" spans="20:20" s="566" customFormat="1">
      <c r="T11860" s="41"/>
    </row>
    <row r="11861" spans="20:20" s="566" customFormat="1">
      <c r="T11861" s="41"/>
    </row>
    <row r="11862" spans="20:20" s="566" customFormat="1">
      <c r="T11862" s="41"/>
    </row>
    <row r="11863" spans="20:20" s="566" customFormat="1">
      <c r="T11863" s="41"/>
    </row>
    <row r="11864" spans="20:20" s="566" customFormat="1">
      <c r="T11864" s="41"/>
    </row>
    <row r="11865" spans="20:20" s="566" customFormat="1">
      <c r="T11865" s="41"/>
    </row>
    <row r="11866" spans="20:20" s="566" customFormat="1">
      <c r="T11866" s="41"/>
    </row>
    <row r="11867" spans="20:20" s="566" customFormat="1">
      <c r="T11867" s="41"/>
    </row>
    <row r="11868" spans="20:20" s="566" customFormat="1">
      <c r="T11868" s="41"/>
    </row>
    <row r="11869" spans="20:20" s="566" customFormat="1">
      <c r="T11869" s="41"/>
    </row>
    <row r="11870" spans="20:20" s="566" customFormat="1">
      <c r="T11870" s="41"/>
    </row>
    <row r="11871" spans="20:20" s="566" customFormat="1">
      <c r="T11871" s="41"/>
    </row>
    <row r="11872" spans="20:20" s="566" customFormat="1">
      <c r="T11872" s="41"/>
    </row>
    <row r="11873" spans="20:20" s="566" customFormat="1">
      <c r="T11873" s="41"/>
    </row>
    <row r="11874" spans="20:20" s="566" customFormat="1">
      <c r="T11874" s="41"/>
    </row>
    <row r="11875" spans="20:20" s="566" customFormat="1">
      <c r="T11875" s="41"/>
    </row>
    <row r="11876" spans="20:20" s="566" customFormat="1">
      <c r="T11876" s="41"/>
    </row>
    <row r="11877" spans="20:20" s="566" customFormat="1">
      <c r="T11877" s="41"/>
    </row>
    <row r="11878" spans="20:20" s="566" customFormat="1">
      <c r="T11878" s="41"/>
    </row>
    <row r="11879" spans="20:20" s="566" customFormat="1">
      <c r="T11879" s="41"/>
    </row>
    <row r="11880" spans="20:20" s="566" customFormat="1">
      <c r="T11880" s="41"/>
    </row>
    <row r="11881" spans="20:20" s="566" customFormat="1">
      <c r="T11881" s="41"/>
    </row>
    <row r="11882" spans="20:20" s="566" customFormat="1">
      <c r="T11882" s="41"/>
    </row>
    <row r="11883" spans="20:20" s="566" customFormat="1">
      <c r="T11883" s="41"/>
    </row>
    <row r="11884" spans="20:20" s="566" customFormat="1">
      <c r="T11884" s="41"/>
    </row>
    <row r="11885" spans="20:20" s="566" customFormat="1">
      <c r="T11885" s="41"/>
    </row>
    <row r="11886" spans="20:20" s="566" customFormat="1">
      <c r="T11886" s="41"/>
    </row>
    <row r="11887" spans="20:20" s="566" customFormat="1">
      <c r="T11887" s="41"/>
    </row>
    <row r="11888" spans="20:20" s="566" customFormat="1">
      <c r="T11888" s="41"/>
    </row>
    <row r="11889" spans="20:20" s="566" customFormat="1">
      <c r="T11889" s="41"/>
    </row>
    <row r="11890" spans="20:20" s="566" customFormat="1">
      <c r="T11890" s="41"/>
    </row>
    <row r="11891" spans="20:20" s="566" customFormat="1">
      <c r="T11891" s="41"/>
    </row>
    <row r="11892" spans="20:20" s="566" customFormat="1">
      <c r="T11892" s="41"/>
    </row>
    <row r="11893" spans="20:20" s="566" customFormat="1">
      <c r="T11893" s="41"/>
    </row>
    <row r="11894" spans="20:20" s="566" customFormat="1">
      <c r="T11894" s="41"/>
    </row>
    <row r="11895" spans="20:20" s="566" customFormat="1">
      <c r="T11895" s="41"/>
    </row>
    <row r="11896" spans="20:20" s="566" customFormat="1">
      <c r="T11896" s="41"/>
    </row>
    <row r="11897" spans="20:20" s="566" customFormat="1">
      <c r="T11897" s="41"/>
    </row>
    <row r="11898" spans="20:20" s="566" customFormat="1">
      <c r="T11898" s="41"/>
    </row>
    <row r="11899" spans="20:20" s="566" customFormat="1">
      <c r="T11899" s="41"/>
    </row>
    <row r="11900" spans="20:20" s="566" customFormat="1">
      <c r="T11900" s="41"/>
    </row>
    <row r="11901" spans="20:20" s="566" customFormat="1">
      <c r="T11901" s="41"/>
    </row>
    <row r="11902" spans="20:20" s="566" customFormat="1">
      <c r="T11902" s="41"/>
    </row>
    <row r="11903" spans="20:20" s="566" customFormat="1">
      <c r="T11903" s="41"/>
    </row>
    <row r="11904" spans="20:20" s="566" customFormat="1">
      <c r="T11904" s="41"/>
    </row>
    <row r="11905" spans="20:20" s="566" customFormat="1">
      <c r="T11905" s="41"/>
    </row>
    <row r="11906" spans="20:20" s="566" customFormat="1">
      <c r="T11906" s="41"/>
    </row>
    <row r="11907" spans="20:20" s="566" customFormat="1">
      <c r="T11907" s="41"/>
    </row>
    <row r="11908" spans="20:20" s="566" customFormat="1">
      <c r="T11908" s="41"/>
    </row>
    <row r="11909" spans="20:20" s="566" customFormat="1">
      <c r="T11909" s="41"/>
    </row>
    <row r="11910" spans="20:20" s="566" customFormat="1">
      <c r="T11910" s="41"/>
    </row>
    <row r="11911" spans="20:20" s="566" customFormat="1">
      <c r="T11911" s="41"/>
    </row>
    <row r="11912" spans="20:20" s="566" customFormat="1">
      <c r="T11912" s="41"/>
    </row>
    <row r="11913" spans="20:20" s="566" customFormat="1">
      <c r="T11913" s="41"/>
    </row>
    <row r="11914" spans="20:20" s="566" customFormat="1">
      <c r="T11914" s="41"/>
    </row>
    <row r="11915" spans="20:20" s="566" customFormat="1">
      <c r="T11915" s="41"/>
    </row>
    <row r="11916" spans="20:20" s="566" customFormat="1">
      <c r="T11916" s="41"/>
    </row>
    <row r="11917" spans="20:20" s="566" customFormat="1">
      <c r="T11917" s="41"/>
    </row>
    <row r="11918" spans="20:20" s="566" customFormat="1">
      <c r="T11918" s="41"/>
    </row>
    <row r="11919" spans="20:20" s="566" customFormat="1">
      <c r="T11919" s="41"/>
    </row>
    <row r="11920" spans="20:20" s="566" customFormat="1">
      <c r="T11920" s="41"/>
    </row>
    <row r="11921" spans="20:20" s="566" customFormat="1">
      <c r="T11921" s="41"/>
    </row>
    <row r="11922" spans="20:20" s="566" customFormat="1">
      <c r="T11922" s="41"/>
    </row>
    <row r="11923" spans="20:20" s="566" customFormat="1">
      <c r="T11923" s="41"/>
    </row>
    <row r="11924" spans="20:20" s="566" customFormat="1">
      <c r="T11924" s="41"/>
    </row>
    <row r="11925" spans="20:20" s="566" customFormat="1">
      <c r="T11925" s="41"/>
    </row>
    <row r="11926" spans="20:20" s="566" customFormat="1">
      <c r="T11926" s="41"/>
    </row>
    <row r="11927" spans="20:20" s="566" customFormat="1">
      <c r="T11927" s="41"/>
    </row>
    <row r="11928" spans="20:20" s="566" customFormat="1">
      <c r="T11928" s="41"/>
    </row>
    <row r="11929" spans="20:20" s="566" customFormat="1">
      <c r="T11929" s="41"/>
    </row>
    <row r="11930" spans="20:20" s="566" customFormat="1">
      <c r="T11930" s="41"/>
    </row>
    <row r="11931" spans="20:20" s="566" customFormat="1">
      <c r="T11931" s="41"/>
    </row>
    <row r="11932" spans="20:20" s="566" customFormat="1">
      <c r="T11932" s="41"/>
    </row>
    <row r="11933" spans="20:20" s="566" customFormat="1">
      <c r="T11933" s="41"/>
    </row>
    <row r="11934" spans="20:20" s="566" customFormat="1">
      <c r="T11934" s="41"/>
    </row>
    <row r="11935" spans="20:20" s="566" customFormat="1">
      <c r="T11935" s="41"/>
    </row>
    <row r="11936" spans="20:20" s="566" customFormat="1">
      <c r="T11936" s="41"/>
    </row>
    <row r="11937" spans="20:20" s="566" customFormat="1">
      <c r="T11937" s="41"/>
    </row>
    <row r="11938" spans="20:20" s="566" customFormat="1">
      <c r="T11938" s="41"/>
    </row>
    <row r="11939" spans="20:20" s="566" customFormat="1">
      <c r="T11939" s="41"/>
    </row>
    <row r="11940" spans="20:20" s="566" customFormat="1">
      <c r="T11940" s="41"/>
    </row>
    <row r="11941" spans="20:20" s="566" customFormat="1">
      <c r="T11941" s="41"/>
    </row>
    <row r="11942" spans="20:20" s="566" customFormat="1">
      <c r="T11942" s="41"/>
    </row>
    <row r="11943" spans="20:20" s="566" customFormat="1">
      <c r="T11943" s="41"/>
    </row>
    <row r="11944" spans="20:20" s="566" customFormat="1">
      <c r="T11944" s="41"/>
    </row>
    <row r="11945" spans="20:20" s="566" customFormat="1">
      <c r="T11945" s="41"/>
    </row>
    <row r="11946" spans="20:20" s="566" customFormat="1">
      <c r="T11946" s="41"/>
    </row>
    <row r="11947" spans="20:20" s="566" customFormat="1">
      <c r="T11947" s="41"/>
    </row>
    <row r="11948" spans="20:20" s="566" customFormat="1">
      <c r="T11948" s="41"/>
    </row>
    <row r="11949" spans="20:20" s="566" customFormat="1">
      <c r="T11949" s="41"/>
    </row>
    <row r="11950" spans="20:20" s="566" customFormat="1">
      <c r="T11950" s="41"/>
    </row>
    <row r="11951" spans="20:20" s="566" customFormat="1">
      <c r="T11951" s="41"/>
    </row>
    <row r="11952" spans="20:20" s="566" customFormat="1">
      <c r="T11952" s="41"/>
    </row>
    <row r="11953" spans="20:20" s="566" customFormat="1">
      <c r="T11953" s="41"/>
    </row>
    <row r="11954" spans="20:20" s="566" customFormat="1">
      <c r="T11954" s="41"/>
    </row>
    <row r="11955" spans="20:20" s="566" customFormat="1">
      <c r="T11955" s="41"/>
    </row>
    <row r="11956" spans="20:20" s="566" customFormat="1">
      <c r="T11956" s="41"/>
    </row>
    <row r="11957" spans="20:20" s="566" customFormat="1">
      <c r="T11957" s="41"/>
    </row>
    <row r="11958" spans="20:20" s="566" customFormat="1">
      <c r="T11958" s="41"/>
    </row>
    <row r="11959" spans="20:20" s="566" customFormat="1">
      <c r="T11959" s="41"/>
    </row>
    <row r="11960" spans="20:20" s="566" customFormat="1">
      <c r="T11960" s="41"/>
    </row>
    <row r="11961" spans="20:20" s="566" customFormat="1">
      <c r="T11961" s="41"/>
    </row>
    <row r="11962" spans="20:20" s="566" customFormat="1">
      <c r="T11962" s="41"/>
    </row>
    <row r="11963" spans="20:20" s="566" customFormat="1">
      <c r="T11963" s="41"/>
    </row>
    <row r="11964" spans="20:20" s="566" customFormat="1">
      <c r="T11964" s="41"/>
    </row>
    <row r="11965" spans="20:20" s="566" customFormat="1">
      <c r="T11965" s="41"/>
    </row>
    <row r="11966" spans="20:20" s="566" customFormat="1">
      <c r="T11966" s="41"/>
    </row>
    <row r="11967" spans="20:20" s="566" customFormat="1">
      <c r="T11967" s="41"/>
    </row>
    <row r="11968" spans="20:20" s="566" customFormat="1">
      <c r="T11968" s="41"/>
    </row>
    <row r="11969" spans="20:20" s="566" customFormat="1">
      <c r="T11969" s="41"/>
    </row>
    <row r="11970" spans="20:20" s="566" customFormat="1">
      <c r="T11970" s="41"/>
    </row>
    <row r="11971" spans="20:20" s="566" customFormat="1">
      <c r="T11971" s="41"/>
    </row>
    <row r="11972" spans="20:20" s="566" customFormat="1">
      <c r="T11972" s="41"/>
    </row>
    <row r="11973" spans="20:20" s="566" customFormat="1">
      <c r="T11973" s="41"/>
    </row>
    <row r="11974" spans="20:20" s="566" customFormat="1">
      <c r="T11974" s="41"/>
    </row>
    <row r="11975" spans="20:20" s="566" customFormat="1">
      <c r="T11975" s="41"/>
    </row>
    <row r="11976" spans="20:20" s="566" customFormat="1">
      <c r="T11976" s="41"/>
    </row>
    <row r="11977" spans="20:20" s="566" customFormat="1">
      <c r="T11977" s="41"/>
    </row>
    <row r="11978" spans="20:20" s="566" customFormat="1">
      <c r="T11978" s="41"/>
    </row>
    <row r="11979" spans="20:20" s="566" customFormat="1">
      <c r="T11979" s="41"/>
    </row>
    <row r="11980" spans="20:20" s="566" customFormat="1">
      <c r="T11980" s="41"/>
    </row>
    <row r="11981" spans="20:20" s="566" customFormat="1">
      <c r="T11981" s="41"/>
    </row>
    <row r="11982" spans="20:20" s="566" customFormat="1">
      <c r="T11982" s="41"/>
    </row>
    <row r="11983" spans="20:20" s="566" customFormat="1">
      <c r="T11983" s="41"/>
    </row>
    <row r="11984" spans="20:20" s="566" customFormat="1">
      <c r="T11984" s="41"/>
    </row>
    <row r="11985" spans="20:20" s="566" customFormat="1">
      <c r="T11985" s="41"/>
    </row>
    <row r="11986" spans="20:20" s="566" customFormat="1">
      <c r="T11986" s="41"/>
    </row>
    <row r="11987" spans="20:20" s="566" customFormat="1">
      <c r="T11987" s="41"/>
    </row>
    <row r="11988" spans="20:20" s="566" customFormat="1">
      <c r="T11988" s="41"/>
    </row>
    <row r="11989" spans="20:20" s="566" customFormat="1">
      <c r="T11989" s="41"/>
    </row>
    <row r="11990" spans="20:20" s="566" customFormat="1">
      <c r="T11990" s="41"/>
    </row>
    <row r="11991" spans="20:20" s="566" customFormat="1">
      <c r="T11991" s="41"/>
    </row>
    <row r="11992" spans="20:20" s="566" customFormat="1">
      <c r="T11992" s="41"/>
    </row>
    <row r="11993" spans="20:20" s="566" customFormat="1">
      <c r="T11993" s="41"/>
    </row>
    <row r="11994" spans="20:20" s="566" customFormat="1">
      <c r="T11994" s="41"/>
    </row>
    <row r="11995" spans="20:20" s="566" customFormat="1">
      <c r="T11995" s="41"/>
    </row>
    <row r="11996" spans="20:20" s="566" customFormat="1">
      <c r="T11996" s="41"/>
    </row>
    <row r="11997" spans="20:20" s="566" customFormat="1">
      <c r="T11997" s="41"/>
    </row>
    <row r="11998" spans="20:20" s="566" customFormat="1">
      <c r="T11998" s="41"/>
    </row>
    <row r="11999" spans="20:20" s="566" customFormat="1">
      <c r="T11999" s="41"/>
    </row>
    <row r="12000" spans="20:20" s="566" customFormat="1">
      <c r="T12000" s="41"/>
    </row>
    <row r="12001" spans="20:20" s="566" customFormat="1">
      <c r="T12001" s="41"/>
    </row>
    <row r="12002" spans="20:20" s="566" customFormat="1">
      <c r="T12002" s="41"/>
    </row>
    <row r="12003" spans="20:20" s="566" customFormat="1">
      <c r="T12003" s="41"/>
    </row>
    <row r="12004" spans="20:20" s="566" customFormat="1">
      <c r="T12004" s="41"/>
    </row>
    <row r="12005" spans="20:20" s="566" customFormat="1">
      <c r="T12005" s="41"/>
    </row>
    <row r="12006" spans="20:20" s="566" customFormat="1">
      <c r="T12006" s="41"/>
    </row>
    <row r="12007" spans="20:20" s="566" customFormat="1">
      <c r="T12007" s="41"/>
    </row>
    <row r="12008" spans="20:20" s="566" customFormat="1">
      <c r="T12008" s="41"/>
    </row>
    <row r="12009" spans="20:20" s="566" customFormat="1">
      <c r="T12009" s="41"/>
    </row>
    <row r="12010" spans="20:20" s="566" customFormat="1">
      <c r="T12010" s="41"/>
    </row>
    <row r="12011" spans="20:20" s="566" customFormat="1">
      <c r="T12011" s="41"/>
    </row>
    <row r="12012" spans="20:20" s="566" customFormat="1">
      <c r="T12012" s="41"/>
    </row>
    <row r="12013" spans="20:20" s="566" customFormat="1">
      <c r="T12013" s="41"/>
    </row>
    <row r="12014" spans="20:20" s="566" customFormat="1">
      <c r="T12014" s="41"/>
    </row>
    <row r="12015" spans="20:20" s="566" customFormat="1">
      <c r="T12015" s="41"/>
    </row>
    <row r="12016" spans="20:20" s="566" customFormat="1">
      <c r="T12016" s="41"/>
    </row>
    <row r="12017" spans="20:20" s="566" customFormat="1">
      <c r="T12017" s="41"/>
    </row>
    <row r="12018" spans="20:20" s="566" customFormat="1">
      <c r="T12018" s="41"/>
    </row>
    <row r="12019" spans="20:20" s="566" customFormat="1">
      <c r="T12019" s="41"/>
    </row>
    <row r="12020" spans="20:20" s="566" customFormat="1">
      <c r="T12020" s="41"/>
    </row>
    <row r="12021" spans="20:20" s="566" customFormat="1">
      <c r="T12021" s="41"/>
    </row>
    <row r="12022" spans="20:20" s="566" customFormat="1">
      <c r="T12022" s="41"/>
    </row>
    <row r="12023" spans="20:20" s="566" customFormat="1">
      <c r="T12023" s="41"/>
    </row>
    <row r="12024" spans="20:20" s="566" customFormat="1">
      <c r="T12024" s="41"/>
    </row>
    <row r="12025" spans="20:20" s="566" customFormat="1">
      <c r="T12025" s="41"/>
    </row>
    <row r="12026" spans="20:20" s="566" customFormat="1">
      <c r="T12026" s="41"/>
    </row>
    <row r="12027" spans="20:20" s="566" customFormat="1">
      <c r="T12027" s="41"/>
    </row>
    <row r="12028" spans="20:20" s="566" customFormat="1">
      <c r="T12028" s="41"/>
    </row>
    <row r="12029" spans="20:20" s="566" customFormat="1">
      <c r="T12029" s="41"/>
    </row>
    <row r="12030" spans="20:20" s="566" customFormat="1">
      <c r="T12030" s="41"/>
    </row>
    <row r="12031" spans="20:20" s="566" customFormat="1">
      <c r="T12031" s="41"/>
    </row>
    <row r="12032" spans="20:20" s="566" customFormat="1">
      <c r="T12032" s="41"/>
    </row>
    <row r="12033" spans="20:20" s="566" customFormat="1">
      <c r="T12033" s="41"/>
    </row>
    <row r="12034" spans="20:20" s="566" customFormat="1">
      <c r="T12034" s="41"/>
    </row>
    <row r="12035" spans="20:20" s="566" customFormat="1">
      <c r="T12035" s="41"/>
    </row>
    <row r="12036" spans="20:20" s="566" customFormat="1">
      <c r="T12036" s="41"/>
    </row>
    <row r="12037" spans="20:20" s="566" customFormat="1">
      <c r="T12037" s="41"/>
    </row>
    <row r="12038" spans="20:20" s="566" customFormat="1">
      <c r="T12038" s="41"/>
    </row>
    <row r="12039" spans="20:20" s="566" customFormat="1">
      <c r="T12039" s="41"/>
    </row>
    <row r="12040" spans="20:20" s="566" customFormat="1">
      <c r="T12040" s="41"/>
    </row>
    <row r="12041" spans="20:20" s="566" customFormat="1">
      <c r="T12041" s="41"/>
    </row>
    <row r="12042" spans="20:20" s="566" customFormat="1">
      <c r="T12042" s="41"/>
    </row>
    <row r="12043" spans="20:20" s="566" customFormat="1">
      <c r="T12043" s="41"/>
    </row>
    <row r="12044" spans="20:20" s="566" customFormat="1">
      <c r="T12044" s="41"/>
    </row>
    <row r="12045" spans="20:20" s="566" customFormat="1">
      <c r="T12045" s="41"/>
    </row>
    <row r="12046" spans="20:20" s="566" customFormat="1">
      <c r="T12046" s="41"/>
    </row>
    <row r="12047" spans="20:20" s="566" customFormat="1">
      <c r="T12047" s="41"/>
    </row>
    <row r="12048" spans="20:20" s="566" customFormat="1">
      <c r="T12048" s="41"/>
    </row>
    <row r="12049" spans="20:20" s="566" customFormat="1">
      <c r="T12049" s="41"/>
    </row>
    <row r="12050" spans="20:20" s="566" customFormat="1">
      <c r="T12050" s="41"/>
    </row>
    <row r="12051" spans="20:20" s="566" customFormat="1">
      <c r="T12051" s="41"/>
    </row>
    <row r="12052" spans="20:20" s="566" customFormat="1">
      <c r="T12052" s="41"/>
    </row>
    <row r="12053" spans="20:20" s="566" customFormat="1">
      <c r="T12053" s="41"/>
    </row>
    <row r="12054" spans="20:20" s="566" customFormat="1">
      <c r="T12054" s="41"/>
    </row>
    <row r="12055" spans="20:20" s="566" customFormat="1">
      <c r="T12055" s="41"/>
    </row>
    <row r="12056" spans="20:20" s="566" customFormat="1">
      <c r="T12056" s="41"/>
    </row>
    <row r="12057" spans="20:20" s="566" customFormat="1">
      <c r="T12057" s="41"/>
    </row>
    <row r="12058" spans="20:20" s="566" customFormat="1">
      <c r="T12058" s="41"/>
    </row>
    <row r="12059" spans="20:20" s="566" customFormat="1">
      <c r="T12059" s="41"/>
    </row>
    <row r="12060" spans="20:20" s="566" customFormat="1">
      <c r="T12060" s="41"/>
    </row>
    <row r="12061" spans="20:20" s="566" customFormat="1">
      <c r="T12061" s="41"/>
    </row>
    <row r="12062" spans="20:20" s="566" customFormat="1">
      <c r="T12062" s="41"/>
    </row>
    <row r="12063" spans="20:20" s="566" customFormat="1">
      <c r="T12063" s="41"/>
    </row>
    <row r="12064" spans="20:20" s="566" customFormat="1">
      <c r="T12064" s="41"/>
    </row>
    <row r="12065" spans="20:20" s="566" customFormat="1">
      <c r="T12065" s="41"/>
    </row>
    <row r="12066" spans="20:20" s="566" customFormat="1">
      <c r="T12066" s="41"/>
    </row>
    <row r="12067" spans="20:20" s="566" customFormat="1">
      <c r="T12067" s="41"/>
    </row>
    <row r="12068" spans="20:20" s="566" customFormat="1">
      <c r="T12068" s="41"/>
    </row>
    <row r="12069" spans="20:20" s="566" customFormat="1">
      <c r="T12069" s="41"/>
    </row>
    <row r="12070" spans="20:20" s="566" customFormat="1">
      <c r="T12070" s="41"/>
    </row>
    <row r="12071" spans="20:20" s="566" customFormat="1">
      <c r="T12071" s="41"/>
    </row>
    <row r="12072" spans="20:20" s="566" customFormat="1">
      <c r="T12072" s="41"/>
    </row>
    <row r="12073" spans="20:20" s="566" customFormat="1">
      <c r="T12073" s="41"/>
    </row>
    <row r="12074" spans="20:20" s="566" customFormat="1">
      <c r="T12074" s="41"/>
    </row>
    <row r="12075" spans="20:20" s="566" customFormat="1">
      <c r="T12075" s="41"/>
    </row>
    <row r="12076" spans="20:20" s="566" customFormat="1">
      <c r="T12076" s="41"/>
    </row>
    <row r="12077" spans="20:20" s="566" customFormat="1">
      <c r="T12077" s="41"/>
    </row>
    <row r="12078" spans="20:20" s="566" customFormat="1">
      <c r="T12078" s="41"/>
    </row>
    <row r="12079" spans="20:20" s="566" customFormat="1">
      <c r="T12079" s="41"/>
    </row>
    <row r="12080" spans="20:20" s="566" customFormat="1">
      <c r="T12080" s="41"/>
    </row>
    <row r="12081" spans="20:20" s="566" customFormat="1">
      <c r="T12081" s="41"/>
    </row>
    <row r="12082" spans="20:20" s="566" customFormat="1">
      <c r="T12082" s="41"/>
    </row>
    <row r="12083" spans="20:20" s="566" customFormat="1">
      <c r="T12083" s="41"/>
    </row>
    <row r="12084" spans="20:20" s="566" customFormat="1">
      <c r="T12084" s="41"/>
    </row>
    <row r="12085" spans="20:20" s="566" customFormat="1">
      <c r="T12085" s="41"/>
    </row>
    <row r="12086" spans="20:20" s="566" customFormat="1">
      <c r="T12086" s="41"/>
    </row>
    <row r="12087" spans="20:20" s="566" customFormat="1">
      <c r="T12087" s="41"/>
    </row>
    <row r="12088" spans="20:20" s="566" customFormat="1">
      <c r="T12088" s="41"/>
    </row>
    <row r="12089" spans="20:20" s="566" customFormat="1">
      <c r="T12089" s="41"/>
    </row>
    <row r="12090" spans="20:20" s="566" customFormat="1">
      <c r="T12090" s="41"/>
    </row>
    <row r="12091" spans="20:20" s="566" customFormat="1">
      <c r="T12091" s="41"/>
    </row>
    <row r="12092" spans="20:20" s="566" customFormat="1">
      <c r="T12092" s="41"/>
    </row>
    <row r="12093" spans="20:20" s="566" customFormat="1">
      <c r="T12093" s="41"/>
    </row>
    <row r="12094" spans="20:20" s="566" customFormat="1">
      <c r="T12094" s="41"/>
    </row>
    <row r="12095" spans="20:20" s="566" customFormat="1">
      <c r="T12095" s="41"/>
    </row>
    <row r="12096" spans="20:20" s="566" customFormat="1">
      <c r="T12096" s="41"/>
    </row>
    <row r="12097" spans="20:20" s="566" customFormat="1">
      <c r="T12097" s="41"/>
    </row>
    <row r="12098" spans="20:20" s="566" customFormat="1">
      <c r="T12098" s="41"/>
    </row>
    <row r="12099" spans="20:20" s="566" customFormat="1">
      <c r="T12099" s="41"/>
    </row>
    <row r="12100" spans="20:20" s="566" customFormat="1">
      <c r="T12100" s="41"/>
    </row>
    <row r="12101" spans="20:20" s="566" customFormat="1">
      <c r="T12101" s="41"/>
    </row>
    <row r="12102" spans="20:20" s="566" customFormat="1">
      <c r="T12102" s="41"/>
    </row>
    <row r="12103" spans="20:20" s="566" customFormat="1">
      <c r="T12103" s="41"/>
    </row>
    <row r="12104" spans="20:20" s="566" customFormat="1">
      <c r="T12104" s="41"/>
    </row>
    <row r="12105" spans="20:20" s="566" customFormat="1">
      <c r="T12105" s="41"/>
    </row>
    <row r="12106" spans="20:20" s="566" customFormat="1">
      <c r="T12106" s="41"/>
    </row>
    <row r="12107" spans="20:20" s="566" customFormat="1">
      <c r="T12107" s="41"/>
    </row>
    <row r="12108" spans="20:20" s="566" customFormat="1">
      <c r="T12108" s="41"/>
    </row>
    <row r="12109" spans="20:20" s="566" customFormat="1">
      <c r="T12109" s="41"/>
    </row>
    <row r="12110" spans="20:20" s="566" customFormat="1">
      <c r="T12110" s="41"/>
    </row>
    <row r="12111" spans="20:20" s="566" customFormat="1">
      <c r="T12111" s="41"/>
    </row>
    <row r="12112" spans="20:20" s="566" customFormat="1">
      <c r="T12112" s="41"/>
    </row>
    <row r="12113" spans="20:20" s="566" customFormat="1">
      <c r="T12113" s="41"/>
    </row>
    <row r="12114" spans="20:20" s="566" customFormat="1">
      <c r="T12114" s="41"/>
    </row>
    <row r="12115" spans="20:20" s="566" customFormat="1">
      <c r="T12115" s="41"/>
    </row>
    <row r="12116" spans="20:20" s="566" customFormat="1">
      <c r="T12116" s="41"/>
    </row>
    <row r="12117" spans="20:20" s="566" customFormat="1">
      <c r="T12117" s="41"/>
    </row>
    <row r="12118" spans="20:20" s="566" customFormat="1">
      <c r="T12118" s="41"/>
    </row>
    <row r="12119" spans="20:20" s="566" customFormat="1">
      <c r="T12119" s="41"/>
    </row>
    <row r="12120" spans="20:20" s="566" customFormat="1">
      <c r="T12120" s="41"/>
    </row>
    <row r="12121" spans="20:20" s="566" customFormat="1">
      <c r="T12121" s="41"/>
    </row>
    <row r="12122" spans="20:20" s="566" customFormat="1">
      <c r="T12122" s="41"/>
    </row>
    <row r="12123" spans="20:20" s="566" customFormat="1">
      <c r="T12123" s="41"/>
    </row>
    <row r="12124" spans="20:20" s="566" customFormat="1">
      <c r="T12124" s="41"/>
    </row>
    <row r="12125" spans="20:20" s="566" customFormat="1">
      <c r="T12125" s="41"/>
    </row>
    <row r="12126" spans="20:20" s="566" customFormat="1">
      <c r="T12126" s="41"/>
    </row>
    <row r="12127" spans="20:20" s="566" customFormat="1">
      <c r="T12127" s="41"/>
    </row>
    <row r="12128" spans="20:20" s="566" customFormat="1">
      <c r="T12128" s="41"/>
    </row>
    <row r="12129" spans="20:20" s="566" customFormat="1">
      <c r="T12129" s="41"/>
    </row>
    <row r="12130" spans="20:20" s="566" customFormat="1">
      <c r="T12130" s="41"/>
    </row>
    <row r="12131" spans="20:20" s="566" customFormat="1">
      <c r="T12131" s="41"/>
    </row>
    <row r="12132" spans="20:20" s="566" customFormat="1">
      <c r="T12132" s="41"/>
    </row>
    <row r="12133" spans="20:20" s="566" customFormat="1">
      <c r="T12133" s="41"/>
    </row>
    <row r="12134" spans="20:20" s="566" customFormat="1">
      <c r="T12134" s="41"/>
    </row>
    <row r="12135" spans="20:20" s="566" customFormat="1">
      <c r="T12135" s="41"/>
    </row>
    <row r="12136" spans="20:20" s="566" customFormat="1">
      <c r="T12136" s="41"/>
    </row>
    <row r="12137" spans="20:20" s="566" customFormat="1">
      <c r="T12137" s="41"/>
    </row>
    <row r="12138" spans="20:20" s="566" customFormat="1">
      <c r="T12138" s="41"/>
    </row>
    <row r="12139" spans="20:20" s="566" customFormat="1">
      <c r="T12139" s="41"/>
    </row>
    <row r="12140" spans="20:20" s="566" customFormat="1">
      <c r="T12140" s="41"/>
    </row>
    <row r="12141" spans="20:20" s="566" customFormat="1">
      <c r="T12141" s="41"/>
    </row>
    <row r="12142" spans="20:20" s="566" customFormat="1">
      <c r="T12142" s="41"/>
    </row>
    <row r="12143" spans="20:20" s="566" customFormat="1">
      <c r="T12143" s="41"/>
    </row>
    <row r="12144" spans="20:20" s="566" customFormat="1">
      <c r="T12144" s="41"/>
    </row>
    <row r="12145" spans="20:20" s="566" customFormat="1">
      <c r="T12145" s="41"/>
    </row>
    <row r="12146" spans="20:20" s="566" customFormat="1">
      <c r="T12146" s="41"/>
    </row>
    <row r="12147" spans="20:20" s="566" customFormat="1">
      <c r="T12147" s="41"/>
    </row>
    <row r="12148" spans="20:20" s="566" customFormat="1">
      <c r="T12148" s="41"/>
    </row>
    <row r="12149" spans="20:20" s="566" customFormat="1">
      <c r="T12149" s="41"/>
    </row>
    <row r="12150" spans="20:20" s="566" customFormat="1">
      <c r="T12150" s="41"/>
    </row>
    <row r="12151" spans="20:20" s="566" customFormat="1">
      <c r="T12151" s="41"/>
    </row>
    <row r="12152" spans="20:20" s="566" customFormat="1">
      <c r="T12152" s="41"/>
    </row>
    <row r="12153" spans="20:20" s="566" customFormat="1">
      <c r="T12153" s="41"/>
    </row>
    <row r="12154" spans="20:20" s="566" customFormat="1">
      <c r="T12154" s="41"/>
    </row>
    <row r="12155" spans="20:20" s="566" customFormat="1">
      <c r="T12155" s="41"/>
    </row>
    <row r="12156" spans="20:20" s="566" customFormat="1">
      <c r="T12156" s="41"/>
    </row>
    <row r="12157" spans="20:20" s="566" customFormat="1">
      <c r="T12157" s="41"/>
    </row>
    <row r="12158" spans="20:20" s="566" customFormat="1">
      <c r="T12158" s="41"/>
    </row>
    <row r="12159" spans="20:20" s="566" customFormat="1">
      <c r="T12159" s="41"/>
    </row>
    <row r="12160" spans="20:20" s="566" customFormat="1">
      <c r="T12160" s="41"/>
    </row>
    <row r="12161" spans="20:20" s="566" customFormat="1">
      <c r="T12161" s="41"/>
    </row>
    <row r="12162" spans="20:20" s="566" customFormat="1">
      <c r="T12162" s="41"/>
    </row>
    <row r="12163" spans="20:20" s="566" customFormat="1">
      <c r="T12163" s="41"/>
    </row>
    <row r="12164" spans="20:20" s="566" customFormat="1">
      <c r="T12164" s="41"/>
    </row>
    <row r="12165" spans="20:20" s="566" customFormat="1">
      <c r="T12165" s="41"/>
    </row>
    <row r="12166" spans="20:20" s="566" customFormat="1">
      <c r="T12166" s="41"/>
    </row>
    <row r="12167" spans="20:20" s="566" customFormat="1">
      <c r="T12167" s="41"/>
    </row>
    <row r="12168" spans="20:20" s="566" customFormat="1">
      <c r="T12168" s="41"/>
    </row>
    <row r="12169" spans="20:20" s="566" customFormat="1">
      <c r="T12169" s="41"/>
    </row>
    <row r="12170" spans="20:20" s="566" customFormat="1">
      <c r="T12170" s="41"/>
    </row>
    <row r="12171" spans="20:20" s="566" customFormat="1">
      <c r="T12171" s="41"/>
    </row>
    <row r="12172" spans="20:20" s="566" customFormat="1">
      <c r="T12172" s="41"/>
    </row>
    <row r="12173" spans="20:20" s="566" customFormat="1">
      <c r="T12173" s="41"/>
    </row>
    <row r="12174" spans="20:20" s="566" customFormat="1">
      <c r="T12174" s="41"/>
    </row>
    <row r="12175" spans="20:20" s="566" customFormat="1">
      <c r="T12175" s="41"/>
    </row>
    <row r="12176" spans="20:20" s="566" customFormat="1">
      <c r="T12176" s="41"/>
    </row>
    <row r="12177" spans="20:20" s="566" customFormat="1">
      <c r="T12177" s="41"/>
    </row>
    <row r="12178" spans="20:20" s="566" customFormat="1">
      <c r="T12178" s="41"/>
    </row>
    <row r="12179" spans="20:20" s="566" customFormat="1">
      <c r="T12179" s="41"/>
    </row>
    <row r="12180" spans="20:20" s="566" customFormat="1">
      <c r="T12180" s="41"/>
    </row>
    <row r="12181" spans="20:20" s="566" customFormat="1">
      <c r="T12181" s="41"/>
    </row>
    <row r="12182" spans="20:20" s="566" customFormat="1">
      <c r="T12182" s="41"/>
    </row>
    <row r="12183" spans="20:20" s="566" customFormat="1">
      <c r="T12183" s="41"/>
    </row>
    <row r="12184" spans="20:20" s="566" customFormat="1">
      <c r="T12184" s="41"/>
    </row>
    <row r="12185" spans="20:20" s="566" customFormat="1">
      <c r="T12185" s="41"/>
    </row>
    <row r="12186" spans="20:20" s="566" customFormat="1">
      <c r="T12186" s="41"/>
    </row>
    <row r="12187" spans="20:20" s="566" customFormat="1">
      <c r="T12187" s="41"/>
    </row>
    <row r="12188" spans="20:20" s="566" customFormat="1">
      <c r="T12188" s="41"/>
    </row>
    <row r="12189" spans="20:20" s="566" customFormat="1">
      <c r="T12189" s="41"/>
    </row>
    <row r="12190" spans="20:20" s="566" customFormat="1">
      <c r="T12190" s="41"/>
    </row>
    <row r="12191" spans="20:20" s="566" customFormat="1">
      <c r="T12191" s="41"/>
    </row>
    <row r="12192" spans="20:20" s="566" customFormat="1">
      <c r="T12192" s="41"/>
    </row>
    <row r="12193" spans="20:20" s="566" customFormat="1">
      <c r="T12193" s="41"/>
    </row>
    <row r="12194" spans="20:20" s="566" customFormat="1">
      <c r="T12194" s="41"/>
    </row>
    <row r="12195" spans="20:20" s="566" customFormat="1">
      <c r="T12195" s="41"/>
    </row>
    <row r="12196" spans="20:20" s="566" customFormat="1">
      <c r="T12196" s="41"/>
    </row>
    <row r="12197" spans="20:20" s="566" customFormat="1">
      <c r="T12197" s="41"/>
    </row>
    <row r="12198" spans="20:20" s="566" customFormat="1">
      <c r="T12198" s="41"/>
    </row>
    <row r="12199" spans="20:20" s="566" customFormat="1">
      <c r="T12199" s="41"/>
    </row>
    <row r="12200" spans="20:20" s="566" customFormat="1">
      <c r="T12200" s="41"/>
    </row>
    <row r="12201" spans="20:20" s="566" customFormat="1">
      <c r="T12201" s="41"/>
    </row>
    <row r="12202" spans="20:20" s="566" customFormat="1">
      <c r="T12202" s="41"/>
    </row>
    <row r="12203" spans="20:20" s="566" customFormat="1">
      <c r="T12203" s="41"/>
    </row>
    <row r="12204" spans="20:20" s="566" customFormat="1">
      <c r="T12204" s="41"/>
    </row>
    <row r="12205" spans="20:20" s="566" customFormat="1">
      <c r="T12205" s="41"/>
    </row>
    <row r="12206" spans="20:20" s="566" customFormat="1">
      <c r="T12206" s="41"/>
    </row>
    <row r="12207" spans="20:20" s="566" customFormat="1">
      <c r="T12207" s="41"/>
    </row>
    <row r="12208" spans="20:20" s="566" customFormat="1">
      <c r="T12208" s="41"/>
    </row>
    <row r="12209" spans="20:20" s="566" customFormat="1">
      <c r="T12209" s="41"/>
    </row>
    <row r="12210" spans="20:20" s="566" customFormat="1">
      <c r="T12210" s="41"/>
    </row>
    <row r="12211" spans="20:20" s="566" customFormat="1">
      <c r="T12211" s="41"/>
    </row>
    <row r="12212" spans="20:20" s="566" customFormat="1">
      <c r="T12212" s="41"/>
    </row>
    <row r="12213" spans="20:20" s="566" customFormat="1">
      <c r="T12213" s="41"/>
    </row>
    <row r="12214" spans="20:20" s="566" customFormat="1">
      <c r="T12214" s="41"/>
    </row>
    <row r="12215" spans="20:20" s="566" customFormat="1">
      <c r="T12215" s="41"/>
    </row>
    <row r="12216" spans="20:20" s="566" customFormat="1">
      <c r="T12216" s="41"/>
    </row>
    <row r="12217" spans="20:20" s="566" customFormat="1">
      <c r="T12217" s="41"/>
    </row>
    <row r="12218" spans="20:20" s="566" customFormat="1">
      <c r="T12218" s="41"/>
    </row>
    <row r="12219" spans="20:20" s="566" customFormat="1">
      <c r="T12219" s="41"/>
    </row>
    <row r="12220" spans="20:20" s="566" customFormat="1">
      <c r="T12220" s="41"/>
    </row>
    <row r="12221" spans="20:20" s="566" customFormat="1">
      <c r="T12221" s="41"/>
    </row>
    <row r="12222" spans="20:20" s="566" customFormat="1">
      <c r="T12222" s="41"/>
    </row>
    <row r="12223" spans="20:20" s="566" customFormat="1">
      <c r="T12223" s="41"/>
    </row>
    <row r="12224" spans="20:20" s="566" customFormat="1">
      <c r="T12224" s="41"/>
    </row>
    <row r="12225" spans="20:20" s="566" customFormat="1">
      <c r="T12225" s="41"/>
    </row>
    <row r="12226" spans="20:20" s="566" customFormat="1">
      <c r="T12226" s="41"/>
    </row>
    <row r="12227" spans="20:20" s="566" customFormat="1">
      <c r="T12227" s="41"/>
    </row>
    <row r="12228" spans="20:20" s="566" customFormat="1">
      <c r="T12228" s="41"/>
    </row>
    <row r="12229" spans="20:20" s="566" customFormat="1">
      <c r="T12229" s="41"/>
    </row>
    <row r="12230" spans="20:20" s="566" customFormat="1">
      <c r="T12230" s="41"/>
    </row>
    <row r="12231" spans="20:20" s="566" customFormat="1">
      <c r="T12231" s="41"/>
    </row>
    <row r="12232" spans="20:20" s="566" customFormat="1">
      <c r="T12232" s="41"/>
    </row>
    <row r="12233" spans="20:20" s="566" customFormat="1">
      <c r="T12233" s="41"/>
    </row>
    <row r="12234" spans="20:20" s="566" customFormat="1">
      <c r="T12234" s="41"/>
    </row>
    <row r="12235" spans="20:20" s="566" customFormat="1">
      <c r="T12235" s="41"/>
    </row>
    <row r="12236" spans="20:20" s="566" customFormat="1">
      <c r="T12236" s="41"/>
    </row>
    <row r="12237" spans="20:20" s="566" customFormat="1">
      <c r="T12237" s="41"/>
    </row>
    <row r="12238" spans="20:20" s="566" customFormat="1">
      <c r="T12238" s="41"/>
    </row>
    <row r="12239" spans="20:20" s="566" customFormat="1">
      <c r="T12239" s="41"/>
    </row>
    <row r="12240" spans="20:20" s="566" customFormat="1">
      <c r="T12240" s="41"/>
    </row>
    <row r="12241" spans="20:20" s="566" customFormat="1">
      <c r="T12241" s="41"/>
    </row>
    <row r="12242" spans="20:20" s="566" customFormat="1">
      <c r="T12242" s="41"/>
    </row>
    <row r="12243" spans="20:20" s="566" customFormat="1">
      <c r="T12243" s="41"/>
    </row>
    <row r="12244" spans="20:20" s="566" customFormat="1">
      <c r="T12244" s="41"/>
    </row>
    <row r="12245" spans="20:20" s="566" customFormat="1">
      <c r="T12245" s="41"/>
    </row>
    <row r="12246" spans="20:20" s="566" customFormat="1">
      <c r="T12246" s="41"/>
    </row>
    <row r="12247" spans="20:20" s="566" customFormat="1">
      <c r="T12247" s="41"/>
    </row>
    <row r="12248" spans="20:20" s="566" customFormat="1">
      <c r="T12248" s="41"/>
    </row>
    <row r="12249" spans="20:20" s="566" customFormat="1">
      <c r="T12249" s="41"/>
    </row>
    <row r="12250" spans="20:20" s="566" customFormat="1">
      <c r="T12250" s="41"/>
    </row>
    <row r="12251" spans="20:20" s="566" customFormat="1">
      <c r="T12251" s="41"/>
    </row>
    <row r="12252" spans="20:20" s="566" customFormat="1">
      <c r="T12252" s="41"/>
    </row>
    <row r="12253" spans="20:20" s="566" customFormat="1">
      <c r="T12253" s="41"/>
    </row>
    <row r="12254" spans="20:20" s="566" customFormat="1">
      <c r="T12254" s="41"/>
    </row>
    <row r="12255" spans="20:20" s="566" customFormat="1">
      <c r="T12255" s="41"/>
    </row>
    <row r="12256" spans="20:20" s="566" customFormat="1">
      <c r="T12256" s="41"/>
    </row>
    <row r="12257" spans="20:20" s="566" customFormat="1">
      <c r="T12257" s="41"/>
    </row>
    <row r="12258" spans="20:20" s="566" customFormat="1">
      <c r="T12258" s="41"/>
    </row>
    <row r="12259" spans="20:20" s="566" customFormat="1">
      <c r="T12259" s="41"/>
    </row>
    <row r="12260" spans="20:20" s="566" customFormat="1">
      <c r="T12260" s="41"/>
    </row>
    <row r="12261" spans="20:20" s="566" customFormat="1">
      <c r="T12261" s="41"/>
    </row>
    <row r="12262" spans="20:20" s="566" customFormat="1">
      <c r="T12262" s="41"/>
    </row>
    <row r="12263" spans="20:20" s="566" customFormat="1">
      <c r="T12263" s="41"/>
    </row>
    <row r="12264" spans="20:20" s="566" customFormat="1">
      <c r="T12264" s="41"/>
    </row>
    <row r="12265" spans="20:20" s="566" customFormat="1">
      <c r="T12265" s="41"/>
    </row>
    <row r="12266" spans="20:20" s="566" customFormat="1">
      <c r="T12266" s="41"/>
    </row>
    <row r="12267" spans="20:20" s="566" customFormat="1">
      <c r="T12267" s="41"/>
    </row>
    <row r="12268" spans="20:20" s="566" customFormat="1">
      <c r="T12268" s="41"/>
    </row>
    <row r="12269" spans="20:20" s="566" customFormat="1">
      <c r="T12269" s="41"/>
    </row>
    <row r="12270" spans="20:20" s="566" customFormat="1">
      <c r="T12270" s="41"/>
    </row>
    <row r="12271" spans="20:20" s="566" customFormat="1">
      <c r="T12271" s="41"/>
    </row>
    <row r="12272" spans="20:20" s="566" customFormat="1">
      <c r="T12272" s="41"/>
    </row>
    <row r="12273" spans="20:20" s="566" customFormat="1">
      <c r="T12273" s="41"/>
    </row>
    <row r="12274" spans="20:20" s="566" customFormat="1">
      <c r="T12274" s="41"/>
    </row>
    <row r="12275" spans="20:20" s="566" customFormat="1">
      <c r="T12275" s="41"/>
    </row>
    <row r="12276" spans="20:20" s="566" customFormat="1">
      <c r="T12276" s="41"/>
    </row>
    <row r="12277" spans="20:20" s="566" customFormat="1">
      <c r="T12277" s="41"/>
    </row>
    <row r="12278" spans="20:20" s="566" customFormat="1">
      <c r="T12278" s="41"/>
    </row>
    <row r="12279" spans="20:20" s="566" customFormat="1">
      <c r="T12279" s="41"/>
    </row>
    <row r="12280" spans="20:20" s="566" customFormat="1">
      <c r="T12280" s="41"/>
    </row>
    <row r="12281" spans="20:20" s="566" customFormat="1">
      <c r="T12281" s="41"/>
    </row>
    <row r="12282" spans="20:20" s="566" customFormat="1">
      <c r="T12282" s="41"/>
    </row>
    <row r="12283" spans="20:20" s="566" customFormat="1">
      <c r="T12283" s="41"/>
    </row>
    <row r="12284" spans="20:20" s="566" customFormat="1">
      <c r="T12284" s="41"/>
    </row>
    <row r="12285" spans="20:20" s="566" customFormat="1">
      <c r="T12285" s="41"/>
    </row>
    <row r="12286" spans="20:20" s="566" customFormat="1">
      <c r="T12286" s="41"/>
    </row>
    <row r="12287" spans="20:20" s="566" customFormat="1">
      <c r="T12287" s="41"/>
    </row>
    <row r="12288" spans="20:20" s="566" customFormat="1">
      <c r="T12288" s="41"/>
    </row>
    <row r="12289" spans="20:20" s="566" customFormat="1">
      <c r="T12289" s="41"/>
    </row>
    <row r="12290" spans="20:20" s="566" customFormat="1">
      <c r="T12290" s="41"/>
    </row>
    <row r="12291" spans="20:20" s="566" customFormat="1">
      <c r="T12291" s="41"/>
    </row>
    <row r="12292" spans="20:20" s="566" customFormat="1">
      <c r="T12292" s="41"/>
    </row>
    <row r="12293" spans="20:20" s="566" customFormat="1">
      <c r="T12293" s="41"/>
    </row>
    <row r="12294" spans="20:20" s="566" customFormat="1">
      <c r="T12294" s="41"/>
    </row>
    <row r="12295" spans="20:20" s="566" customFormat="1">
      <c r="T12295" s="41"/>
    </row>
    <row r="12296" spans="20:20" s="566" customFormat="1">
      <c r="T12296" s="41"/>
    </row>
    <row r="12297" spans="20:20" s="566" customFormat="1">
      <c r="T12297" s="41"/>
    </row>
    <row r="12298" spans="20:20" s="566" customFormat="1">
      <c r="T12298" s="41"/>
    </row>
    <row r="12299" spans="20:20" s="566" customFormat="1">
      <c r="T12299" s="41"/>
    </row>
    <row r="12300" spans="20:20" s="566" customFormat="1">
      <c r="T12300" s="41"/>
    </row>
    <row r="12301" spans="20:20" s="566" customFormat="1">
      <c r="T12301" s="41"/>
    </row>
    <row r="12302" spans="20:20" s="566" customFormat="1">
      <c r="T12302" s="41"/>
    </row>
    <row r="12303" spans="20:20" s="566" customFormat="1">
      <c r="T12303" s="41"/>
    </row>
    <row r="12304" spans="20:20" s="566" customFormat="1">
      <c r="T12304" s="41"/>
    </row>
    <row r="12305" spans="20:20" s="566" customFormat="1">
      <c r="T12305" s="41"/>
    </row>
    <row r="12306" spans="20:20" s="566" customFormat="1">
      <c r="T12306" s="41"/>
    </row>
    <row r="12307" spans="20:20" s="566" customFormat="1">
      <c r="T12307" s="41"/>
    </row>
    <row r="12308" spans="20:20" s="566" customFormat="1">
      <c r="T12308" s="41"/>
    </row>
    <row r="12309" spans="20:20" s="566" customFormat="1">
      <c r="T12309" s="41"/>
    </row>
    <row r="12310" spans="20:20" s="566" customFormat="1">
      <c r="T12310" s="41"/>
    </row>
    <row r="12311" spans="20:20" s="566" customFormat="1">
      <c r="T12311" s="41"/>
    </row>
    <row r="12312" spans="20:20" s="566" customFormat="1">
      <c r="T12312" s="41"/>
    </row>
    <row r="12313" spans="20:20" s="566" customFormat="1">
      <c r="T12313" s="41"/>
    </row>
    <row r="12314" spans="20:20" s="566" customFormat="1">
      <c r="T12314" s="41"/>
    </row>
    <row r="12315" spans="20:20" s="566" customFormat="1">
      <c r="T12315" s="41"/>
    </row>
    <row r="12316" spans="20:20" s="566" customFormat="1">
      <c r="T12316" s="41"/>
    </row>
    <row r="12317" spans="20:20" s="566" customFormat="1">
      <c r="T12317" s="41"/>
    </row>
    <row r="12318" spans="20:20" s="566" customFormat="1">
      <c r="T12318" s="41"/>
    </row>
    <row r="12319" spans="20:20" s="566" customFormat="1">
      <c r="T12319" s="41"/>
    </row>
    <row r="12320" spans="20:20" s="566" customFormat="1">
      <c r="T12320" s="41"/>
    </row>
    <row r="12321" spans="20:20" s="566" customFormat="1">
      <c r="T12321" s="41"/>
    </row>
    <row r="12322" spans="20:20" s="566" customFormat="1">
      <c r="T12322" s="41"/>
    </row>
    <row r="12323" spans="20:20" s="566" customFormat="1">
      <c r="T12323" s="41"/>
    </row>
    <row r="12324" spans="20:20" s="566" customFormat="1">
      <c r="T12324" s="41"/>
    </row>
    <row r="12325" spans="20:20" s="566" customFormat="1">
      <c r="T12325" s="41"/>
    </row>
    <row r="12326" spans="20:20" s="566" customFormat="1">
      <c r="T12326" s="41"/>
    </row>
    <row r="12327" spans="20:20" s="566" customFormat="1">
      <c r="T12327" s="41"/>
    </row>
    <row r="12328" spans="20:20" s="566" customFormat="1">
      <c r="T12328" s="41"/>
    </row>
    <row r="12329" spans="20:20" s="566" customFormat="1">
      <c r="T12329" s="41"/>
    </row>
    <row r="12330" spans="20:20" s="566" customFormat="1">
      <c r="T12330" s="41"/>
    </row>
    <row r="12331" spans="20:20" s="566" customFormat="1">
      <c r="T12331" s="41"/>
    </row>
    <row r="12332" spans="20:20" s="566" customFormat="1">
      <c r="T12332" s="41"/>
    </row>
    <row r="12333" spans="20:20" s="566" customFormat="1">
      <c r="T12333" s="41"/>
    </row>
    <row r="12334" spans="20:20" s="566" customFormat="1">
      <c r="T12334" s="41"/>
    </row>
    <row r="12335" spans="20:20" s="566" customFormat="1">
      <c r="T12335" s="41"/>
    </row>
    <row r="12336" spans="20:20" s="566" customFormat="1">
      <c r="T12336" s="41"/>
    </row>
    <row r="12337" spans="20:20" s="566" customFormat="1">
      <c r="T12337" s="41"/>
    </row>
    <row r="12338" spans="20:20" s="566" customFormat="1">
      <c r="T12338" s="41"/>
    </row>
    <row r="12339" spans="20:20" s="566" customFormat="1">
      <c r="T12339" s="41"/>
    </row>
    <row r="12340" spans="20:20" s="566" customFormat="1">
      <c r="T12340" s="41"/>
    </row>
    <row r="12341" spans="20:20" s="566" customFormat="1">
      <c r="T12341" s="41"/>
    </row>
    <row r="12342" spans="20:20" s="566" customFormat="1">
      <c r="T12342" s="41"/>
    </row>
    <row r="12343" spans="20:20" s="566" customFormat="1">
      <c r="T12343" s="41"/>
    </row>
    <row r="12344" spans="20:20" s="566" customFormat="1">
      <c r="T12344" s="41"/>
    </row>
    <row r="12345" spans="20:20" s="566" customFormat="1">
      <c r="T12345" s="41"/>
    </row>
    <row r="12346" spans="20:20" s="566" customFormat="1">
      <c r="T12346" s="41"/>
    </row>
    <row r="12347" spans="20:20" s="566" customFormat="1">
      <c r="T12347" s="41"/>
    </row>
    <row r="12348" spans="20:20" s="566" customFormat="1">
      <c r="T12348" s="41"/>
    </row>
    <row r="12349" spans="20:20" s="566" customFormat="1">
      <c r="T12349" s="41"/>
    </row>
    <row r="12350" spans="20:20" s="566" customFormat="1">
      <c r="T12350" s="41"/>
    </row>
    <row r="12351" spans="20:20" s="566" customFormat="1">
      <c r="T12351" s="41"/>
    </row>
    <row r="12352" spans="20:20" s="566" customFormat="1">
      <c r="T12352" s="41"/>
    </row>
    <row r="12353" spans="20:20" s="566" customFormat="1">
      <c r="T12353" s="41"/>
    </row>
    <row r="12354" spans="20:20" s="566" customFormat="1">
      <c r="T12354" s="41"/>
    </row>
    <row r="12355" spans="20:20" s="566" customFormat="1">
      <c r="T12355" s="41"/>
    </row>
    <row r="12356" spans="20:20" s="566" customFormat="1">
      <c r="T12356" s="41"/>
    </row>
    <row r="12357" spans="20:20" s="566" customFormat="1">
      <c r="T12357" s="41"/>
    </row>
    <row r="12358" spans="20:20" s="566" customFormat="1">
      <c r="T12358" s="41"/>
    </row>
    <row r="12359" spans="20:20" s="566" customFormat="1">
      <c r="T12359" s="41"/>
    </row>
    <row r="12360" spans="20:20" s="566" customFormat="1">
      <c r="T12360" s="41"/>
    </row>
    <row r="12361" spans="20:20" s="566" customFormat="1">
      <c r="T12361" s="41"/>
    </row>
    <row r="12362" spans="20:20" s="566" customFormat="1">
      <c r="T12362" s="41"/>
    </row>
    <row r="12363" spans="20:20" s="566" customFormat="1">
      <c r="T12363" s="41"/>
    </row>
    <row r="12364" spans="20:20" s="566" customFormat="1">
      <c r="T12364" s="41"/>
    </row>
    <row r="12365" spans="20:20" s="566" customFormat="1">
      <c r="T12365" s="41"/>
    </row>
    <row r="12366" spans="20:20" s="566" customFormat="1">
      <c r="T12366" s="41"/>
    </row>
    <row r="12367" spans="20:20" s="566" customFormat="1">
      <c r="T12367" s="41"/>
    </row>
    <row r="12368" spans="20:20" s="566" customFormat="1">
      <c r="T12368" s="41"/>
    </row>
    <row r="12369" spans="20:20" s="566" customFormat="1">
      <c r="T12369" s="41"/>
    </row>
    <row r="12370" spans="20:20" s="566" customFormat="1">
      <c r="T12370" s="41"/>
    </row>
    <row r="12371" spans="20:20" s="566" customFormat="1">
      <c r="T12371" s="41"/>
    </row>
    <row r="12372" spans="20:20" s="566" customFormat="1">
      <c r="T12372" s="41"/>
    </row>
    <row r="12373" spans="20:20" s="566" customFormat="1">
      <c r="T12373" s="41"/>
    </row>
    <row r="12374" spans="20:20" s="566" customFormat="1">
      <c r="T12374" s="41"/>
    </row>
    <row r="12375" spans="20:20" s="566" customFormat="1">
      <c r="T12375" s="41"/>
    </row>
    <row r="12376" spans="20:20" s="566" customFormat="1">
      <c r="T12376" s="41"/>
    </row>
    <row r="12377" spans="20:20" s="566" customFormat="1">
      <c r="T12377" s="41"/>
    </row>
    <row r="12378" spans="20:20" s="566" customFormat="1">
      <c r="T12378" s="41"/>
    </row>
    <row r="12379" spans="20:20" s="566" customFormat="1">
      <c r="T12379" s="41"/>
    </row>
    <row r="12380" spans="20:20" s="566" customFormat="1">
      <c r="T12380" s="41"/>
    </row>
    <row r="12381" spans="20:20" s="566" customFormat="1">
      <c r="T12381" s="41"/>
    </row>
    <row r="12382" spans="20:20" s="566" customFormat="1">
      <c r="T12382" s="41"/>
    </row>
    <row r="12383" spans="20:20" s="566" customFormat="1">
      <c r="T12383" s="41"/>
    </row>
    <row r="12384" spans="20:20" s="566" customFormat="1">
      <c r="T12384" s="41"/>
    </row>
    <row r="12385" spans="20:20" s="566" customFormat="1">
      <c r="T12385" s="41"/>
    </row>
    <row r="12386" spans="20:20" s="566" customFormat="1">
      <c r="T12386" s="41"/>
    </row>
    <row r="12387" spans="20:20" s="566" customFormat="1">
      <c r="T12387" s="41"/>
    </row>
    <row r="12388" spans="20:20" s="566" customFormat="1">
      <c r="T12388" s="41"/>
    </row>
    <row r="12389" spans="20:20" s="566" customFormat="1">
      <c r="T12389" s="41"/>
    </row>
    <row r="12390" spans="20:20" s="566" customFormat="1">
      <c r="T12390" s="41"/>
    </row>
    <row r="12391" spans="20:20" s="566" customFormat="1">
      <c r="T12391" s="41"/>
    </row>
    <row r="12392" spans="20:20" s="566" customFormat="1">
      <c r="T12392" s="41"/>
    </row>
    <row r="12393" spans="20:20" s="566" customFormat="1">
      <c r="T12393" s="41"/>
    </row>
    <row r="12394" spans="20:20" s="566" customFormat="1">
      <c r="T12394" s="41"/>
    </row>
    <row r="12395" spans="20:20" s="566" customFormat="1">
      <c r="T12395" s="41"/>
    </row>
    <row r="12396" spans="20:20" s="566" customFormat="1">
      <c r="T12396" s="41"/>
    </row>
    <row r="12397" spans="20:20" s="566" customFormat="1">
      <c r="T12397" s="41"/>
    </row>
    <row r="12398" spans="20:20" s="566" customFormat="1">
      <c r="T12398" s="41"/>
    </row>
    <row r="12399" spans="20:20" s="566" customFormat="1">
      <c r="T12399" s="41"/>
    </row>
    <row r="12400" spans="20:20" s="566" customFormat="1">
      <c r="T12400" s="41"/>
    </row>
    <row r="12401" spans="20:20" s="566" customFormat="1">
      <c r="T12401" s="41"/>
    </row>
    <row r="12402" spans="20:20" s="566" customFormat="1">
      <c r="T12402" s="41"/>
    </row>
    <row r="12403" spans="20:20" s="566" customFormat="1">
      <c r="T12403" s="41"/>
    </row>
    <row r="12404" spans="20:20" s="566" customFormat="1">
      <c r="T12404" s="41"/>
    </row>
    <row r="12405" spans="20:20" s="566" customFormat="1">
      <c r="T12405" s="41"/>
    </row>
    <row r="12406" spans="20:20" s="566" customFormat="1">
      <c r="T12406" s="41"/>
    </row>
    <row r="12407" spans="20:20" s="566" customFormat="1">
      <c r="T12407" s="41"/>
    </row>
    <row r="12408" spans="20:20" s="566" customFormat="1">
      <c r="T12408" s="41"/>
    </row>
    <row r="12409" spans="20:20" s="566" customFormat="1">
      <c r="T12409" s="41"/>
    </row>
    <row r="12410" spans="20:20" s="566" customFormat="1">
      <c r="T12410" s="41"/>
    </row>
    <row r="12411" spans="20:20" s="566" customFormat="1">
      <c r="T12411" s="41"/>
    </row>
    <row r="12412" spans="20:20" s="566" customFormat="1">
      <c r="T12412" s="41"/>
    </row>
    <row r="12413" spans="20:20" s="566" customFormat="1">
      <c r="T12413" s="41"/>
    </row>
    <row r="12414" spans="20:20" s="566" customFormat="1">
      <c r="T12414" s="41"/>
    </row>
    <row r="12415" spans="20:20" s="566" customFormat="1">
      <c r="T12415" s="41"/>
    </row>
    <row r="12416" spans="20:20" s="566" customFormat="1">
      <c r="T12416" s="41"/>
    </row>
    <row r="12417" spans="20:20" s="566" customFormat="1">
      <c r="T12417" s="41"/>
    </row>
    <row r="12418" spans="20:20" s="566" customFormat="1">
      <c r="T12418" s="41"/>
    </row>
    <row r="12419" spans="20:20" s="566" customFormat="1">
      <c r="T12419" s="41"/>
    </row>
    <row r="12420" spans="20:20" s="566" customFormat="1">
      <c r="T12420" s="41"/>
    </row>
    <row r="12421" spans="20:20" s="566" customFormat="1">
      <c r="T12421" s="41"/>
    </row>
    <row r="12422" spans="20:20" s="566" customFormat="1">
      <c r="T12422" s="41"/>
    </row>
    <row r="12423" spans="20:20" s="566" customFormat="1">
      <c r="T12423" s="41"/>
    </row>
    <row r="12424" spans="20:20" s="566" customFormat="1">
      <c r="T12424" s="41"/>
    </row>
    <row r="12425" spans="20:20" s="566" customFormat="1">
      <c r="T12425" s="41"/>
    </row>
    <row r="12426" spans="20:20" s="566" customFormat="1">
      <c r="T12426" s="41"/>
    </row>
    <row r="12427" spans="20:20" s="566" customFormat="1">
      <c r="T12427" s="41"/>
    </row>
    <row r="12428" spans="20:20" s="566" customFormat="1">
      <c r="T12428" s="41"/>
    </row>
    <row r="12429" spans="20:20" s="566" customFormat="1">
      <c r="T12429" s="41"/>
    </row>
    <row r="12430" spans="20:20" s="566" customFormat="1">
      <c r="T12430" s="41"/>
    </row>
    <row r="12431" spans="20:20" s="566" customFormat="1">
      <c r="T12431" s="41"/>
    </row>
    <row r="12432" spans="20:20" s="566" customFormat="1">
      <c r="T12432" s="41"/>
    </row>
    <row r="12433" spans="20:20" s="566" customFormat="1">
      <c r="T12433" s="41"/>
    </row>
    <row r="12434" spans="20:20" s="566" customFormat="1">
      <c r="T12434" s="41"/>
    </row>
    <row r="12435" spans="20:20" s="566" customFormat="1">
      <c r="T12435" s="41"/>
    </row>
    <row r="12436" spans="20:20" s="566" customFormat="1">
      <c r="T12436" s="41"/>
    </row>
    <row r="12437" spans="20:20" s="566" customFormat="1">
      <c r="T12437" s="41"/>
    </row>
    <row r="12438" spans="20:20" s="566" customFormat="1">
      <c r="T12438" s="41"/>
    </row>
    <row r="12439" spans="20:20" s="566" customFormat="1">
      <c r="T12439" s="41"/>
    </row>
    <row r="12440" spans="20:20" s="566" customFormat="1">
      <c r="T12440" s="41"/>
    </row>
    <row r="12441" spans="20:20" s="566" customFormat="1">
      <c r="T12441" s="41"/>
    </row>
    <row r="12442" spans="20:20" s="566" customFormat="1">
      <c r="T12442" s="41"/>
    </row>
    <row r="12443" spans="20:20" s="566" customFormat="1">
      <c r="T12443" s="41"/>
    </row>
    <row r="12444" spans="20:20" s="566" customFormat="1">
      <c r="T12444" s="41"/>
    </row>
    <row r="12445" spans="20:20" s="566" customFormat="1">
      <c r="T12445" s="41"/>
    </row>
    <row r="12446" spans="20:20" s="566" customFormat="1">
      <c r="T12446" s="41"/>
    </row>
    <row r="12447" spans="20:20" s="566" customFormat="1">
      <c r="T12447" s="41"/>
    </row>
    <row r="12448" spans="20:20" s="566" customFormat="1">
      <c r="T12448" s="41"/>
    </row>
    <row r="12449" spans="20:20" s="566" customFormat="1">
      <c r="T12449" s="41"/>
    </row>
    <row r="12450" spans="20:20" s="566" customFormat="1">
      <c r="T12450" s="41"/>
    </row>
    <row r="12451" spans="20:20" s="566" customFormat="1">
      <c r="T12451" s="41"/>
    </row>
    <row r="12452" spans="20:20" s="566" customFormat="1">
      <c r="T12452" s="41"/>
    </row>
    <row r="12453" spans="20:20" s="566" customFormat="1">
      <c r="T12453" s="41"/>
    </row>
    <row r="12454" spans="20:20" s="566" customFormat="1">
      <c r="T12454" s="41"/>
    </row>
    <row r="12455" spans="20:20" s="566" customFormat="1">
      <c r="T12455" s="41"/>
    </row>
    <row r="12456" spans="20:20" s="566" customFormat="1">
      <c r="T12456" s="41"/>
    </row>
    <row r="12457" spans="20:20" s="566" customFormat="1">
      <c r="T12457" s="41"/>
    </row>
    <row r="12458" spans="20:20" s="566" customFormat="1">
      <c r="T12458" s="41"/>
    </row>
    <row r="12459" spans="20:20" s="566" customFormat="1">
      <c r="T12459" s="41"/>
    </row>
    <row r="12460" spans="20:20" s="566" customFormat="1">
      <c r="T12460" s="41"/>
    </row>
    <row r="12461" spans="20:20" s="566" customFormat="1">
      <c r="T12461" s="41"/>
    </row>
    <row r="12462" spans="20:20" s="566" customFormat="1">
      <c r="T12462" s="41"/>
    </row>
    <row r="12463" spans="20:20" s="566" customFormat="1">
      <c r="T12463" s="41"/>
    </row>
    <row r="12464" spans="20:20" s="566" customFormat="1">
      <c r="T12464" s="41"/>
    </row>
    <row r="12465" spans="20:20" s="566" customFormat="1">
      <c r="T12465" s="41"/>
    </row>
    <row r="12466" spans="20:20" s="566" customFormat="1">
      <c r="T12466" s="41"/>
    </row>
    <row r="12467" spans="20:20" s="566" customFormat="1">
      <c r="T12467" s="41"/>
    </row>
    <row r="12468" spans="20:20" s="566" customFormat="1">
      <c r="T12468" s="41"/>
    </row>
    <row r="12469" spans="20:20" s="566" customFormat="1">
      <c r="T12469" s="41"/>
    </row>
    <row r="12470" spans="20:20" s="566" customFormat="1">
      <c r="T12470" s="41"/>
    </row>
    <row r="12471" spans="20:20" s="566" customFormat="1">
      <c r="T12471" s="41"/>
    </row>
    <row r="12472" spans="20:20" s="566" customFormat="1">
      <c r="T12472" s="41"/>
    </row>
    <row r="12473" spans="20:20" s="566" customFormat="1">
      <c r="T12473" s="41"/>
    </row>
    <row r="12474" spans="20:20" s="566" customFormat="1">
      <c r="T12474" s="41"/>
    </row>
    <row r="12475" spans="20:20" s="566" customFormat="1">
      <c r="T12475" s="41"/>
    </row>
    <row r="12476" spans="20:20" s="566" customFormat="1">
      <c r="T12476" s="41"/>
    </row>
    <row r="12477" spans="20:20" s="566" customFormat="1">
      <c r="T12477" s="41"/>
    </row>
    <row r="12478" spans="20:20" s="566" customFormat="1">
      <c r="T12478" s="41"/>
    </row>
    <row r="12479" spans="20:20" s="566" customFormat="1">
      <c r="T12479" s="41"/>
    </row>
    <row r="12480" spans="20:20" s="566" customFormat="1">
      <c r="T12480" s="41"/>
    </row>
    <row r="12481" spans="20:20" s="566" customFormat="1">
      <c r="T12481" s="41"/>
    </row>
    <row r="12482" spans="20:20" s="566" customFormat="1">
      <c r="T12482" s="41"/>
    </row>
    <row r="12483" spans="20:20" s="566" customFormat="1">
      <c r="T12483" s="41"/>
    </row>
    <row r="12484" spans="20:20" s="566" customFormat="1">
      <c r="T12484" s="41"/>
    </row>
    <row r="12485" spans="20:20" s="566" customFormat="1">
      <c r="T12485" s="41"/>
    </row>
    <row r="12486" spans="20:20" s="566" customFormat="1">
      <c r="T12486" s="41"/>
    </row>
    <row r="12487" spans="20:20" s="566" customFormat="1">
      <c r="T12487" s="41"/>
    </row>
    <row r="12488" spans="20:20" s="566" customFormat="1">
      <c r="T12488" s="41"/>
    </row>
    <row r="12489" spans="20:20" s="566" customFormat="1">
      <c r="T12489" s="41"/>
    </row>
    <row r="12490" spans="20:20" s="566" customFormat="1">
      <c r="T12490" s="41"/>
    </row>
    <row r="12491" spans="20:20" s="566" customFormat="1">
      <c r="T12491" s="41"/>
    </row>
    <row r="12492" spans="20:20" s="566" customFormat="1">
      <c r="T12492" s="41"/>
    </row>
    <row r="12493" spans="20:20" s="566" customFormat="1">
      <c r="T12493" s="41"/>
    </row>
    <row r="12494" spans="20:20" s="566" customFormat="1">
      <c r="T12494" s="41"/>
    </row>
    <row r="12495" spans="20:20" s="566" customFormat="1">
      <c r="T12495" s="41"/>
    </row>
    <row r="12496" spans="20:20" s="566" customFormat="1">
      <c r="T12496" s="41"/>
    </row>
    <row r="12497" spans="20:20" s="566" customFormat="1">
      <c r="T12497" s="41"/>
    </row>
    <row r="12498" spans="20:20" s="566" customFormat="1">
      <c r="T12498" s="41"/>
    </row>
    <row r="12499" spans="20:20" s="566" customFormat="1">
      <c r="T12499" s="41"/>
    </row>
    <row r="12500" spans="20:20" s="566" customFormat="1">
      <c r="T12500" s="41"/>
    </row>
    <row r="12501" spans="20:20" s="566" customFormat="1">
      <c r="T12501" s="41"/>
    </row>
    <row r="12502" spans="20:20" s="566" customFormat="1">
      <c r="T12502" s="41"/>
    </row>
    <row r="12503" spans="20:20" s="566" customFormat="1">
      <c r="T12503" s="41"/>
    </row>
    <row r="12504" spans="20:20" s="566" customFormat="1">
      <c r="T12504" s="41"/>
    </row>
    <row r="12505" spans="20:20" s="566" customFormat="1">
      <c r="T12505" s="41"/>
    </row>
    <row r="12506" spans="20:20" s="566" customFormat="1">
      <c r="T12506" s="41"/>
    </row>
    <row r="12507" spans="20:20" s="566" customFormat="1">
      <c r="T12507" s="41"/>
    </row>
    <row r="12508" spans="20:20" s="566" customFormat="1">
      <c r="T12508" s="41"/>
    </row>
    <row r="12509" spans="20:20" s="566" customFormat="1">
      <c r="T12509" s="41"/>
    </row>
    <row r="12510" spans="20:20" s="566" customFormat="1">
      <c r="T12510" s="41"/>
    </row>
    <row r="12511" spans="20:20" s="566" customFormat="1">
      <c r="T12511" s="41"/>
    </row>
    <row r="12512" spans="20:20" s="566" customFormat="1">
      <c r="T12512" s="41"/>
    </row>
    <row r="12513" spans="20:20" s="566" customFormat="1">
      <c r="T12513" s="41"/>
    </row>
    <row r="12514" spans="20:20" s="566" customFormat="1">
      <c r="T12514" s="41"/>
    </row>
    <row r="12515" spans="20:20" s="566" customFormat="1">
      <c r="T12515" s="41"/>
    </row>
    <row r="12516" spans="20:20" s="566" customFormat="1">
      <c r="T12516" s="41"/>
    </row>
    <row r="12517" spans="20:20" s="566" customFormat="1">
      <c r="T12517" s="41"/>
    </row>
    <row r="12518" spans="20:20" s="566" customFormat="1">
      <c r="T12518" s="41"/>
    </row>
    <row r="12519" spans="20:20" s="566" customFormat="1">
      <c r="T12519" s="41"/>
    </row>
    <row r="12520" spans="20:20" s="566" customFormat="1">
      <c r="T12520" s="41"/>
    </row>
    <row r="12521" spans="20:20" s="566" customFormat="1">
      <c r="T12521" s="41"/>
    </row>
    <row r="12522" spans="20:20" s="566" customFormat="1">
      <c r="T12522" s="41"/>
    </row>
    <row r="12523" spans="20:20" s="566" customFormat="1">
      <c r="T12523" s="41"/>
    </row>
    <row r="12524" spans="20:20" s="566" customFormat="1">
      <c r="T12524" s="41"/>
    </row>
    <row r="12525" spans="20:20" s="566" customFormat="1">
      <c r="T12525" s="41"/>
    </row>
    <row r="12526" spans="20:20" s="566" customFormat="1">
      <c r="T12526" s="41"/>
    </row>
    <row r="12527" spans="20:20" s="566" customFormat="1">
      <c r="T12527" s="41"/>
    </row>
    <row r="12528" spans="20:20" s="566" customFormat="1">
      <c r="T12528" s="41"/>
    </row>
    <row r="12529" spans="20:20" s="566" customFormat="1">
      <c r="T12529" s="41"/>
    </row>
    <row r="12530" spans="20:20" s="566" customFormat="1">
      <c r="T12530" s="41"/>
    </row>
    <row r="12531" spans="20:20" s="566" customFormat="1">
      <c r="T12531" s="41"/>
    </row>
    <row r="12532" spans="20:20" s="566" customFormat="1">
      <c r="T12532" s="41"/>
    </row>
    <row r="12533" spans="20:20" s="566" customFormat="1">
      <c r="T12533" s="41"/>
    </row>
    <row r="12534" spans="20:20" s="566" customFormat="1">
      <c r="T12534" s="41"/>
    </row>
    <row r="12535" spans="20:20" s="566" customFormat="1">
      <c r="T12535" s="41"/>
    </row>
    <row r="12536" spans="20:20" s="566" customFormat="1">
      <c r="T12536" s="41"/>
    </row>
    <row r="12537" spans="20:20" s="566" customFormat="1">
      <c r="T12537" s="41"/>
    </row>
    <row r="12538" spans="20:20" s="566" customFormat="1">
      <c r="T12538" s="41"/>
    </row>
    <row r="12539" spans="20:20" s="566" customFormat="1">
      <c r="T12539" s="41"/>
    </row>
    <row r="12540" spans="20:20" s="566" customFormat="1">
      <c r="T12540" s="41"/>
    </row>
    <row r="12541" spans="20:20" s="566" customFormat="1">
      <c r="T12541" s="41"/>
    </row>
    <row r="12542" spans="20:20" s="566" customFormat="1">
      <c r="T12542" s="41"/>
    </row>
    <row r="12543" spans="20:20" s="566" customFormat="1">
      <c r="T12543" s="41"/>
    </row>
    <row r="12544" spans="20:20" s="566" customFormat="1">
      <c r="T12544" s="41"/>
    </row>
    <row r="12545" spans="20:20" s="566" customFormat="1">
      <c r="T12545" s="41"/>
    </row>
    <row r="12546" spans="20:20" s="566" customFormat="1">
      <c r="T12546" s="41"/>
    </row>
    <row r="12547" spans="20:20" s="566" customFormat="1">
      <c r="T12547" s="41"/>
    </row>
    <row r="12548" spans="20:20" s="566" customFormat="1">
      <c r="T12548" s="41"/>
    </row>
    <row r="12549" spans="20:20" s="566" customFormat="1">
      <c r="T12549" s="41"/>
    </row>
    <row r="12550" spans="20:20" s="566" customFormat="1">
      <c r="T12550" s="41"/>
    </row>
    <row r="12551" spans="20:20" s="566" customFormat="1">
      <c r="T12551" s="41"/>
    </row>
    <row r="12552" spans="20:20" s="566" customFormat="1">
      <c r="T12552" s="41"/>
    </row>
    <row r="12553" spans="20:20" s="566" customFormat="1">
      <c r="T12553" s="41"/>
    </row>
    <row r="12554" spans="20:20" s="566" customFormat="1">
      <c r="T12554" s="41"/>
    </row>
    <row r="12555" spans="20:20" s="566" customFormat="1">
      <c r="T12555" s="41"/>
    </row>
    <row r="12556" spans="20:20" s="566" customFormat="1">
      <c r="T12556" s="41"/>
    </row>
    <row r="12557" spans="20:20" s="566" customFormat="1">
      <c r="T12557" s="41"/>
    </row>
    <row r="12558" spans="20:20" s="566" customFormat="1">
      <c r="T12558" s="41"/>
    </row>
    <row r="12559" spans="20:20" s="566" customFormat="1">
      <c r="T12559" s="41"/>
    </row>
    <row r="12560" spans="20:20" s="566" customFormat="1">
      <c r="T12560" s="41"/>
    </row>
    <row r="12561" spans="20:20" s="566" customFormat="1">
      <c r="T12561" s="41"/>
    </row>
    <row r="12562" spans="20:20" s="566" customFormat="1">
      <c r="T12562" s="41"/>
    </row>
    <row r="12563" spans="20:20" s="566" customFormat="1">
      <c r="T12563" s="41"/>
    </row>
    <row r="12564" spans="20:20" s="566" customFormat="1">
      <c r="T12564" s="41"/>
    </row>
    <row r="12565" spans="20:20" s="566" customFormat="1">
      <c r="T12565" s="41"/>
    </row>
    <row r="12566" spans="20:20" s="566" customFormat="1">
      <c r="T12566" s="41"/>
    </row>
    <row r="12567" spans="20:20" s="566" customFormat="1">
      <c r="T12567" s="41"/>
    </row>
    <row r="12568" spans="20:20" s="566" customFormat="1">
      <c r="T12568" s="41"/>
    </row>
    <row r="12569" spans="20:20" s="566" customFormat="1">
      <c r="T12569" s="41"/>
    </row>
    <row r="12570" spans="20:20" s="566" customFormat="1">
      <c r="T12570" s="41"/>
    </row>
    <row r="12571" spans="20:20" s="566" customFormat="1">
      <c r="T12571" s="41"/>
    </row>
    <row r="12572" spans="20:20" s="566" customFormat="1">
      <c r="T12572" s="41"/>
    </row>
    <row r="12573" spans="20:20" s="566" customFormat="1">
      <c r="T12573" s="41"/>
    </row>
    <row r="12574" spans="20:20" s="566" customFormat="1">
      <c r="T12574" s="41"/>
    </row>
    <row r="12575" spans="20:20" s="566" customFormat="1">
      <c r="T12575" s="41"/>
    </row>
    <row r="12576" spans="20:20" s="566" customFormat="1">
      <c r="T12576" s="41"/>
    </row>
    <row r="12577" spans="20:20" s="566" customFormat="1">
      <c r="T12577" s="41"/>
    </row>
    <row r="12578" spans="20:20" s="566" customFormat="1">
      <c r="T12578" s="41"/>
    </row>
    <row r="12579" spans="20:20" s="566" customFormat="1">
      <c r="T12579" s="41"/>
    </row>
    <row r="12580" spans="20:20" s="566" customFormat="1">
      <c r="T12580" s="41"/>
    </row>
    <row r="12581" spans="20:20" s="566" customFormat="1">
      <c r="T12581" s="41"/>
    </row>
    <row r="12582" spans="20:20" s="566" customFormat="1">
      <c r="T12582" s="41"/>
    </row>
    <row r="12583" spans="20:20" s="566" customFormat="1">
      <c r="T12583" s="41"/>
    </row>
    <row r="12584" spans="20:20" s="566" customFormat="1">
      <c r="T12584" s="41"/>
    </row>
    <row r="12585" spans="20:20" s="566" customFormat="1">
      <c r="T12585" s="41"/>
    </row>
    <row r="12586" spans="20:20" s="566" customFormat="1">
      <c r="T12586" s="41"/>
    </row>
    <row r="12587" spans="20:20" s="566" customFormat="1">
      <c r="T12587" s="41"/>
    </row>
    <row r="12588" spans="20:20" s="566" customFormat="1">
      <c r="T12588" s="41"/>
    </row>
    <row r="12589" spans="20:20" s="566" customFormat="1">
      <c r="T12589" s="41"/>
    </row>
    <row r="12590" spans="20:20" s="566" customFormat="1">
      <c r="T12590" s="41"/>
    </row>
    <row r="12591" spans="20:20" s="566" customFormat="1">
      <c r="T12591" s="41"/>
    </row>
    <row r="12592" spans="20:20" s="566" customFormat="1">
      <c r="T12592" s="41"/>
    </row>
    <row r="12593" spans="20:20" s="566" customFormat="1">
      <c r="T12593" s="41"/>
    </row>
    <row r="12594" spans="20:20" s="566" customFormat="1">
      <c r="T12594" s="41"/>
    </row>
    <row r="12595" spans="20:20" s="566" customFormat="1">
      <c r="T12595" s="41"/>
    </row>
    <row r="12596" spans="20:20" s="566" customFormat="1">
      <c r="T12596" s="41"/>
    </row>
    <row r="12597" spans="20:20" s="566" customFormat="1">
      <c r="T12597" s="41"/>
    </row>
    <row r="12598" spans="20:20" s="566" customFormat="1">
      <c r="T12598" s="41"/>
    </row>
    <row r="12599" spans="20:20" s="566" customFormat="1">
      <c r="T12599" s="41"/>
    </row>
    <row r="12600" spans="20:20" s="566" customFormat="1">
      <c r="T12600" s="41"/>
    </row>
    <row r="12601" spans="20:20" s="566" customFormat="1">
      <c r="T12601" s="41"/>
    </row>
    <row r="12602" spans="20:20" s="566" customFormat="1">
      <c r="T12602" s="41"/>
    </row>
    <row r="12603" spans="20:20" s="566" customFormat="1">
      <c r="T12603" s="41"/>
    </row>
    <row r="12604" spans="20:20" s="566" customFormat="1">
      <c r="T12604" s="41"/>
    </row>
    <row r="12605" spans="20:20" s="566" customFormat="1">
      <c r="T12605" s="41"/>
    </row>
    <row r="12606" spans="20:20" s="566" customFormat="1">
      <c r="T12606" s="41"/>
    </row>
    <row r="12607" spans="20:20" s="566" customFormat="1">
      <c r="T12607" s="41"/>
    </row>
    <row r="12608" spans="20:20" s="566" customFormat="1">
      <c r="T12608" s="41"/>
    </row>
    <row r="12609" spans="20:20" s="566" customFormat="1">
      <c r="T12609" s="41"/>
    </row>
    <row r="12610" spans="20:20" s="566" customFormat="1">
      <c r="T12610" s="41"/>
    </row>
    <row r="12611" spans="20:20" s="566" customFormat="1">
      <c r="T12611" s="41"/>
    </row>
    <row r="12612" spans="20:20" s="566" customFormat="1">
      <c r="T12612" s="41"/>
    </row>
    <row r="12613" spans="20:20" s="566" customFormat="1">
      <c r="T12613" s="41"/>
    </row>
    <row r="12614" spans="20:20" s="566" customFormat="1">
      <c r="T12614" s="41"/>
    </row>
    <row r="12615" spans="20:20" s="566" customFormat="1">
      <c r="T12615" s="41"/>
    </row>
    <row r="12616" spans="20:20" s="566" customFormat="1">
      <c r="T12616" s="41"/>
    </row>
    <row r="12617" spans="20:20" s="566" customFormat="1">
      <c r="T12617" s="41"/>
    </row>
    <row r="12618" spans="20:20" s="566" customFormat="1">
      <c r="T12618" s="41"/>
    </row>
    <row r="12619" spans="20:20" s="566" customFormat="1">
      <c r="T12619" s="41"/>
    </row>
    <row r="12620" spans="20:20" s="566" customFormat="1">
      <c r="T12620" s="41"/>
    </row>
    <row r="12621" spans="20:20" s="566" customFormat="1">
      <c r="T12621" s="41"/>
    </row>
    <row r="12622" spans="20:20" s="566" customFormat="1">
      <c r="T12622" s="41"/>
    </row>
    <row r="12623" spans="20:20" s="566" customFormat="1">
      <c r="T12623" s="41"/>
    </row>
    <row r="12624" spans="20:20" s="566" customFormat="1">
      <c r="T12624" s="41"/>
    </row>
    <row r="12625" spans="20:20" s="566" customFormat="1">
      <c r="T12625" s="41"/>
    </row>
    <row r="12626" spans="20:20" s="566" customFormat="1">
      <c r="T12626" s="41"/>
    </row>
    <row r="12627" spans="20:20" s="566" customFormat="1">
      <c r="T12627" s="41"/>
    </row>
    <row r="12628" spans="20:20" s="566" customFormat="1">
      <c r="T12628" s="41"/>
    </row>
    <row r="12629" spans="20:20" s="566" customFormat="1">
      <c r="T12629" s="41"/>
    </row>
    <row r="12630" spans="20:20" s="566" customFormat="1">
      <c r="T12630" s="41"/>
    </row>
    <row r="12631" spans="20:20" s="566" customFormat="1">
      <c r="T12631" s="41"/>
    </row>
    <row r="12632" spans="20:20" s="566" customFormat="1">
      <c r="T12632" s="41"/>
    </row>
    <row r="12633" spans="20:20" s="566" customFormat="1">
      <c r="T12633" s="41"/>
    </row>
    <row r="12634" spans="20:20" s="566" customFormat="1">
      <c r="T12634" s="41"/>
    </row>
    <row r="12635" spans="20:20" s="566" customFormat="1">
      <c r="T12635" s="41"/>
    </row>
    <row r="12636" spans="20:20" s="566" customFormat="1">
      <c r="T12636" s="41"/>
    </row>
    <row r="12637" spans="20:20" s="566" customFormat="1">
      <c r="T12637" s="41"/>
    </row>
    <row r="12638" spans="20:20" s="566" customFormat="1">
      <c r="T12638" s="41"/>
    </row>
    <row r="12639" spans="20:20" s="566" customFormat="1">
      <c r="T12639" s="41"/>
    </row>
    <row r="12640" spans="20:20" s="566" customFormat="1">
      <c r="T12640" s="41"/>
    </row>
    <row r="12641" spans="20:20" s="566" customFormat="1">
      <c r="T12641" s="41"/>
    </row>
    <row r="12642" spans="20:20" s="566" customFormat="1">
      <c r="T12642" s="41"/>
    </row>
    <row r="12643" spans="20:20" s="566" customFormat="1">
      <c r="T12643" s="41"/>
    </row>
    <row r="12644" spans="20:20" s="566" customFormat="1">
      <c r="T12644" s="41"/>
    </row>
    <row r="12645" spans="20:20" s="566" customFormat="1">
      <c r="T12645" s="41"/>
    </row>
    <row r="12646" spans="20:20" s="566" customFormat="1">
      <c r="T12646" s="41"/>
    </row>
    <row r="12647" spans="20:20" s="566" customFormat="1">
      <c r="T12647" s="41"/>
    </row>
    <row r="12648" spans="20:20" s="566" customFormat="1">
      <c r="T12648" s="41"/>
    </row>
    <row r="12649" spans="20:20" s="566" customFormat="1">
      <c r="T12649" s="41"/>
    </row>
    <row r="12650" spans="20:20" s="566" customFormat="1">
      <c r="T12650" s="41"/>
    </row>
    <row r="12651" spans="20:20" s="566" customFormat="1">
      <c r="T12651" s="41"/>
    </row>
    <row r="12652" spans="20:20" s="566" customFormat="1">
      <c r="T12652" s="41"/>
    </row>
    <row r="12653" spans="20:20" s="566" customFormat="1">
      <c r="T12653" s="41"/>
    </row>
    <row r="12654" spans="20:20" s="566" customFormat="1">
      <c r="T12654" s="41"/>
    </row>
    <row r="12655" spans="20:20" s="566" customFormat="1">
      <c r="T12655" s="41"/>
    </row>
    <row r="12656" spans="20:20" s="566" customFormat="1">
      <c r="T12656" s="41"/>
    </row>
    <row r="12657" spans="20:20" s="566" customFormat="1">
      <c r="T12657" s="41"/>
    </row>
    <row r="12658" spans="20:20" s="566" customFormat="1">
      <c r="T12658" s="41"/>
    </row>
    <row r="12659" spans="20:20" s="566" customFormat="1">
      <c r="T12659" s="41"/>
    </row>
    <row r="12660" spans="20:20" s="566" customFormat="1">
      <c r="T12660" s="41"/>
    </row>
    <row r="12661" spans="20:20" s="566" customFormat="1">
      <c r="T12661" s="41"/>
    </row>
    <row r="12662" spans="20:20" s="566" customFormat="1">
      <c r="T12662" s="41"/>
    </row>
    <row r="12663" spans="20:20" s="566" customFormat="1">
      <c r="T12663" s="41"/>
    </row>
    <row r="12664" spans="20:20" s="566" customFormat="1">
      <c r="T12664" s="41"/>
    </row>
    <row r="12665" spans="20:20" s="566" customFormat="1">
      <c r="T12665" s="41"/>
    </row>
    <row r="12666" spans="20:20" s="566" customFormat="1">
      <c r="T12666" s="41"/>
    </row>
    <row r="12667" spans="20:20" s="566" customFormat="1">
      <c r="T12667" s="41"/>
    </row>
    <row r="12668" spans="20:20" s="566" customFormat="1">
      <c r="T12668" s="41"/>
    </row>
    <row r="12669" spans="20:20" s="566" customFormat="1">
      <c r="T12669" s="41"/>
    </row>
    <row r="12670" spans="20:20" s="566" customFormat="1">
      <c r="T12670" s="41"/>
    </row>
    <row r="12671" spans="20:20" s="566" customFormat="1">
      <c r="T12671" s="41"/>
    </row>
    <row r="12672" spans="20:20" s="566" customFormat="1">
      <c r="T12672" s="41"/>
    </row>
    <row r="12673" spans="20:20" s="566" customFormat="1">
      <c r="T12673" s="41"/>
    </row>
    <row r="12674" spans="20:20" s="566" customFormat="1">
      <c r="T12674" s="41"/>
    </row>
    <row r="12675" spans="20:20" s="566" customFormat="1">
      <c r="T12675" s="41"/>
    </row>
    <row r="12676" spans="20:20" s="566" customFormat="1">
      <c r="T12676" s="41"/>
    </row>
    <row r="12677" spans="20:20" s="566" customFormat="1">
      <c r="T12677" s="41"/>
    </row>
    <row r="12678" spans="20:20" s="566" customFormat="1">
      <c r="T12678" s="41"/>
    </row>
    <row r="12679" spans="20:20" s="566" customFormat="1">
      <c r="T12679" s="41"/>
    </row>
    <row r="12680" spans="20:20" s="566" customFormat="1">
      <c r="T12680" s="41"/>
    </row>
    <row r="12681" spans="20:20" s="566" customFormat="1">
      <c r="T12681" s="41"/>
    </row>
    <row r="12682" spans="20:20" s="566" customFormat="1">
      <c r="T12682" s="41"/>
    </row>
    <row r="12683" spans="20:20" s="566" customFormat="1">
      <c r="T12683" s="41"/>
    </row>
    <row r="12684" spans="20:20" s="566" customFormat="1">
      <c r="T12684" s="41"/>
    </row>
    <row r="12685" spans="20:20" s="566" customFormat="1">
      <c r="T12685" s="41"/>
    </row>
    <row r="12686" spans="20:20" s="566" customFormat="1">
      <c r="T12686" s="41"/>
    </row>
    <row r="12687" spans="20:20" s="566" customFormat="1">
      <c r="T12687" s="41"/>
    </row>
    <row r="12688" spans="20:20" s="566" customFormat="1">
      <c r="T12688" s="41"/>
    </row>
    <row r="12689" spans="20:20" s="566" customFormat="1">
      <c r="T12689" s="41"/>
    </row>
    <row r="12690" spans="20:20" s="566" customFormat="1">
      <c r="T12690" s="41"/>
    </row>
    <row r="12691" spans="20:20" s="566" customFormat="1">
      <c r="T12691" s="41"/>
    </row>
    <row r="12692" spans="20:20" s="566" customFormat="1">
      <c r="T12692" s="41"/>
    </row>
    <row r="12693" spans="20:20" s="566" customFormat="1">
      <c r="T12693" s="41"/>
    </row>
    <row r="12694" spans="20:20" s="566" customFormat="1">
      <c r="T12694" s="41"/>
    </row>
    <row r="12695" spans="20:20" s="566" customFormat="1">
      <c r="T12695" s="41"/>
    </row>
    <row r="12696" spans="20:20" s="566" customFormat="1">
      <c r="T12696" s="41"/>
    </row>
    <row r="12697" spans="20:20" s="566" customFormat="1">
      <c r="T12697" s="41"/>
    </row>
    <row r="12698" spans="20:20" s="566" customFormat="1">
      <c r="T12698" s="41"/>
    </row>
    <row r="12699" spans="20:20" s="566" customFormat="1">
      <c r="T12699" s="41"/>
    </row>
    <row r="12700" spans="20:20" s="566" customFormat="1">
      <c r="T12700" s="41"/>
    </row>
    <row r="12701" spans="20:20" s="566" customFormat="1">
      <c r="T12701" s="41"/>
    </row>
    <row r="12702" spans="20:20" s="566" customFormat="1">
      <c r="T12702" s="41"/>
    </row>
    <row r="12703" spans="20:20" s="566" customFormat="1">
      <c r="T12703" s="41"/>
    </row>
    <row r="12704" spans="20:20" s="566" customFormat="1">
      <c r="T12704" s="41"/>
    </row>
    <row r="12705" spans="20:20" s="566" customFormat="1">
      <c r="T12705" s="41"/>
    </row>
    <row r="12706" spans="20:20" s="566" customFormat="1">
      <c r="T12706" s="41"/>
    </row>
    <row r="12707" spans="20:20" s="566" customFormat="1">
      <c r="T12707" s="41"/>
    </row>
    <row r="12708" spans="20:20" s="566" customFormat="1">
      <c r="T12708" s="41"/>
    </row>
    <row r="12709" spans="20:20" s="566" customFormat="1">
      <c r="T12709" s="41"/>
    </row>
    <row r="12710" spans="20:20" s="566" customFormat="1">
      <c r="T12710" s="41"/>
    </row>
    <row r="12711" spans="20:20" s="566" customFormat="1">
      <c r="T12711" s="41"/>
    </row>
    <row r="12712" spans="20:20" s="566" customFormat="1">
      <c r="T12712" s="41"/>
    </row>
    <row r="12713" spans="20:20" s="566" customFormat="1">
      <c r="T12713" s="41"/>
    </row>
    <row r="12714" spans="20:20" s="566" customFormat="1">
      <c r="T12714" s="41"/>
    </row>
    <row r="12715" spans="20:20" s="566" customFormat="1">
      <c r="T12715" s="41"/>
    </row>
    <row r="12716" spans="20:20" s="566" customFormat="1">
      <c r="T12716" s="41"/>
    </row>
    <row r="12717" spans="20:20" s="566" customFormat="1">
      <c r="T12717" s="41"/>
    </row>
    <row r="12718" spans="20:20" s="566" customFormat="1">
      <c r="T12718" s="41"/>
    </row>
    <row r="12719" spans="20:20" s="566" customFormat="1">
      <c r="T12719" s="41"/>
    </row>
    <row r="12720" spans="20:20" s="566" customFormat="1">
      <c r="T12720" s="41"/>
    </row>
    <row r="12721" spans="20:20" s="566" customFormat="1">
      <c r="T12721" s="41"/>
    </row>
    <row r="12722" spans="20:20" s="566" customFormat="1">
      <c r="T12722" s="41"/>
    </row>
    <row r="12723" spans="20:20" s="566" customFormat="1">
      <c r="T12723" s="41"/>
    </row>
    <row r="12724" spans="20:20" s="566" customFormat="1">
      <c r="T12724" s="41"/>
    </row>
    <row r="12725" spans="20:20" s="566" customFormat="1">
      <c r="T12725" s="41"/>
    </row>
    <row r="12726" spans="20:20" s="566" customFormat="1">
      <c r="T12726" s="41"/>
    </row>
    <row r="12727" spans="20:20" s="566" customFormat="1">
      <c r="T12727" s="41"/>
    </row>
    <row r="12728" spans="20:20" s="566" customFormat="1">
      <c r="T12728" s="41"/>
    </row>
    <row r="12729" spans="20:20" s="566" customFormat="1">
      <c r="T12729" s="41"/>
    </row>
    <row r="12730" spans="20:20" s="566" customFormat="1">
      <c r="T12730" s="41"/>
    </row>
    <row r="12731" spans="20:20" s="566" customFormat="1">
      <c r="T12731" s="41"/>
    </row>
    <row r="12732" spans="20:20" s="566" customFormat="1">
      <c r="T12732" s="41"/>
    </row>
    <row r="12733" spans="20:20" s="566" customFormat="1">
      <c r="T12733" s="41"/>
    </row>
    <row r="12734" spans="20:20" s="566" customFormat="1">
      <c r="T12734" s="41"/>
    </row>
    <row r="12735" spans="20:20" s="566" customFormat="1">
      <c r="T12735" s="41"/>
    </row>
    <row r="12736" spans="20:20" s="566" customFormat="1">
      <c r="T12736" s="41"/>
    </row>
    <row r="12737" spans="20:20" s="566" customFormat="1">
      <c r="T12737" s="41"/>
    </row>
    <row r="12738" spans="20:20" s="566" customFormat="1">
      <c r="T12738" s="41"/>
    </row>
    <row r="12739" spans="20:20" s="566" customFormat="1">
      <c r="T12739" s="41"/>
    </row>
    <row r="12740" spans="20:20" s="566" customFormat="1">
      <c r="T12740" s="41"/>
    </row>
    <row r="12741" spans="20:20" s="566" customFormat="1">
      <c r="T12741" s="41"/>
    </row>
    <row r="12742" spans="20:20" s="566" customFormat="1">
      <c r="T12742" s="41"/>
    </row>
    <row r="12743" spans="20:20" s="566" customFormat="1">
      <c r="T12743" s="41"/>
    </row>
    <row r="12744" spans="20:20" s="566" customFormat="1">
      <c r="T12744" s="41"/>
    </row>
    <row r="12745" spans="20:20" s="566" customFormat="1">
      <c r="T12745" s="41"/>
    </row>
    <row r="12746" spans="20:20" s="566" customFormat="1">
      <c r="T12746" s="41"/>
    </row>
    <row r="12747" spans="20:20" s="566" customFormat="1">
      <c r="T12747" s="41"/>
    </row>
    <row r="12748" spans="20:20" s="566" customFormat="1">
      <c r="T12748" s="41"/>
    </row>
    <row r="12749" spans="20:20" s="566" customFormat="1">
      <c r="T12749" s="41"/>
    </row>
    <row r="12750" spans="20:20" s="566" customFormat="1">
      <c r="T12750" s="41"/>
    </row>
    <row r="12751" spans="20:20" s="566" customFormat="1">
      <c r="T12751" s="41"/>
    </row>
    <row r="12752" spans="20:20" s="566" customFormat="1">
      <c r="T12752" s="41"/>
    </row>
    <row r="12753" spans="20:20" s="566" customFormat="1">
      <c r="T12753" s="41"/>
    </row>
    <row r="12754" spans="20:20" s="566" customFormat="1">
      <c r="T12754" s="41"/>
    </row>
    <row r="12755" spans="20:20" s="566" customFormat="1">
      <c r="T12755" s="41"/>
    </row>
    <row r="12756" spans="20:20" s="566" customFormat="1">
      <c r="T12756" s="41"/>
    </row>
    <row r="12757" spans="20:20" s="566" customFormat="1">
      <c r="T12757" s="41"/>
    </row>
    <row r="12758" spans="20:20" s="566" customFormat="1">
      <c r="T12758" s="41"/>
    </row>
    <row r="12759" spans="20:20" s="566" customFormat="1">
      <c r="T12759" s="41"/>
    </row>
    <row r="12760" spans="20:20" s="566" customFormat="1">
      <c r="T12760" s="41"/>
    </row>
    <row r="12761" spans="20:20" s="566" customFormat="1">
      <c r="T12761" s="41"/>
    </row>
    <row r="12762" spans="20:20" s="566" customFormat="1">
      <c r="T12762" s="41"/>
    </row>
    <row r="12763" spans="20:20" s="566" customFormat="1">
      <c r="T12763" s="41"/>
    </row>
    <row r="12764" spans="20:20" s="566" customFormat="1">
      <c r="T12764" s="41"/>
    </row>
    <row r="12765" spans="20:20" s="566" customFormat="1">
      <c r="T12765" s="41"/>
    </row>
    <row r="12766" spans="20:20" s="566" customFormat="1">
      <c r="T12766" s="41"/>
    </row>
    <row r="12767" spans="20:20" s="566" customFormat="1">
      <c r="T12767" s="41"/>
    </row>
    <row r="12768" spans="20:20" s="566" customFormat="1">
      <c r="T12768" s="41"/>
    </row>
    <row r="12769" spans="20:20" s="566" customFormat="1">
      <c r="T12769" s="41"/>
    </row>
    <row r="12770" spans="20:20" s="566" customFormat="1">
      <c r="T12770" s="41"/>
    </row>
    <row r="12771" spans="20:20" s="566" customFormat="1">
      <c r="T12771" s="41"/>
    </row>
    <row r="12772" spans="20:20" s="566" customFormat="1">
      <c r="T12772" s="41"/>
    </row>
    <row r="12773" spans="20:20" s="566" customFormat="1">
      <c r="T12773" s="41"/>
    </row>
    <row r="12774" spans="20:20" s="566" customFormat="1">
      <c r="T12774" s="41"/>
    </row>
    <row r="12775" spans="20:20" s="566" customFormat="1">
      <c r="T12775" s="41"/>
    </row>
    <row r="12776" spans="20:20" s="566" customFormat="1">
      <c r="T12776" s="41"/>
    </row>
    <row r="12777" spans="20:20" s="566" customFormat="1">
      <c r="T12777" s="41"/>
    </row>
    <row r="12778" spans="20:20" s="566" customFormat="1">
      <c r="T12778" s="41"/>
    </row>
    <row r="12779" spans="20:20" s="566" customFormat="1">
      <c r="T12779" s="41"/>
    </row>
    <row r="12780" spans="20:20" s="566" customFormat="1">
      <c r="T12780" s="41"/>
    </row>
    <row r="12781" spans="20:20" s="566" customFormat="1">
      <c r="T12781" s="41"/>
    </row>
    <row r="12782" spans="20:20" s="566" customFormat="1">
      <c r="T12782" s="41"/>
    </row>
    <row r="12783" spans="20:20" s="566" customFormat="1">
      <c r="T12783" s="41"/>
    </row>
    <row r="12784" spans="20:20" s="566" customFormat="1">
      <c r="T12784" s="41"/>
    </row>
    <row r="12785" spans="20:20" s="566" customFormat="1">
      <c r="T12785" s="41"/>
    </row>
    <row r="12786" spans="20:20" s="566" customFormat="1">
      <c r="T12786" s="41"/>
    </row>
    <row r="12787" spans="20:20" s="566" customFormat="1">
      <c r="T12787" s="41"/>
    </row>
    <row r="12788" spans="20:20" s="566" customFormat="1">
      <c r="T12788" s="41"/>
    </row>
    <row r="12789" spans="20:20" s="566" customFormat="1">
      <c r="T12789" s="41"/>
    </row>
    <row r="12790" spans="20:20" s="566" customFormat="1">
      <c r="T12790" s="41"/>
    </row>
    <row r="12791" spans="20:20" s="566" customFormat="1">
      <c r="T12791" s="41"/>
    </row>
    <row r="12792" spans="20:20" s="566" customFormat="1">
      <c r="T12792" s="41"/>
    </row>
    <row r="12793" spans="20:20" s="566" customFormat="1">
      <c r="T12793" s="41"/>
    </row>
    <row r="12794" spans="20:20" s="566" customFormat="1">
      <c r="T12794" s="41"/>
    </row>
    <row r="12795" spans="20:20" s="566" customFormat="1">
      <c r="T12795" s="41"/>
    </row>
    <row r="12796" spans="20:20" s="566" customFormat="1">
      <c r="T12796" s="41"/>
    </row>
    <row r="12797" spans="20:20" s="566" customFormat="1">
      <c r="T12797" s="41"/>
    </row>
    <row r="12798" spans="20:20" s="566" customFormat="1">
      <c r="T12798" s="41"/>
    </row>
    <row r="12799" spans="20:20" s="566" customFormat="1">
      <c r="T12799" s="41"/>
    </row>
    <row r="12800" spans="20:20" s="566" customFormat="1">
      <c r="T12800" s="41"/>
    </row>
    <row r="12801" spans="20:20" s="566" customFormat="1">
      <c r="T12801" s="41"/>
    </row>
    <row r="12802" spans="20:20" s="566" customFormat="1">
      <c r="T12802" s="41"/>
    </row>
    <row r="12803" spans="20:20" s="566" customFormat="1">
      <c r="T12803" s="41"/>
    </row>
    <row r="12804" spans="20:20" s="566" customFormat="1">
      <c r="T12804" s="41"/>
    </row>
    <row r="12805" spans="20:20" s="566" customFormat="1">
      <c r="T12805" s="41"/>
    </row>
    <row r="12806" spans="20:20" s="566" customFormat="1">
      <c r="T12806" s="41"/>
    </row>
    <row r="12807" spans="20:20" s="566" customFormat="1">
      <c r="T12807" s="41"/>
    </row>
    <row r="12808" spans="20:20" s="566" customFormat="1">
      <c r="T12808" s="41"/>
    </row>
    <row r="12809" spans="20:20" s="566" customFormat="1">
      <c r="T12809" s="41"/>
    </row>
    <row r="12810" spans="20:20" s="566" customFormat="1">
      <c r="T12810" s="41"/>
    </row>
    <row r="12811" spans="20:20" s="566" customFormat="1">
      <c r="T12811" s="41"/>
    </row>
    <row r="12812" spans="20:20" s="566" customFormat="1">
      <c r="T12812" s="41"/>
    </row>
    <row r="12813" spans="20:20" s="566" customFormat="1">
      <c r="T12813" s="41"/>
    </row>
    <row r="12814" spans="20:20" s="566" customFormat="1">
      <c r="T12814" s="41"/>
    </row>
    <row r="12815" spans="20:20" s="566" customFormat="1">
      <c r="T12815" s="41"/>
    </row>
    <row r="12816" spans="20:20" s="566" customFormat="1">
      <c r="T12816" s="41"/>
    </row>
    <row r="12817" spans="20:20" s="566" customFormat="1">
      <c r="T12817" s="41"/>
    </row>
    <row r="12818" spans="20:20" s="566" customFormat="1">
      <c r="T12818" s="41"/>
    </row>
    <row r="12819" spans="20:20" s="566" customFormat="1">
      <c r="T12819" s="41"/>
    </row>
    <row r="12820" spans="20:20" s="566" customFormat="1">
      <c r="T12820" s="41"/>
    </row>
    <row r="12821" spans="20:20" s="566" customFormat="1">
      <c r="T12821" s="41"/>
    </row>
    <row r="12822" spans="20:20" s="566" customFormat="1">
      <c r="T12822" s="41"/>
    </row>
    <row r="12823" spans="20:20" s="566" customFormat="1">
      <c r="T12823" s="41"/>
    </row>
    <row r="12824" spans="20:20" s="566" customFormat="1">
      <c r="T12824" s="41"/>
    </row>
    <row r="12825" spans="20:20" s="566" customFormat="1">
      <c r="T12825" s="41"/>
    </row>
    <row r="12826" spans="20:20" s="566" customFormat="1">
      <c r="T12826" s="41"/>
    </row>
    <row r="12827" spans="20:20" s="566" customFormat="1">
      <c r="T12827" s="41"/>
    </row>
    <row r="12828" spans="20:20" s="566" customFormat="1">
      <c r="T12828" s="41"/>
    </row>
    <row r="12829" spans="20:20" s="566" customFormat="1">
      <c r="T12829" s="41"/>
    </row>
    <row r="12830" spans="20:20" s="566" customFormat="1">
      <c r="T12830" s="41"/>
    </row>
    <row r="12831" spans="20:20" s="566" customFormat="1">
      <c r="T12831" s="41"/>
    </row>
    <row r="12832" spans="20:20" s="566" customFormat="1">
      <c r="T12832" s="41"/>
    </row>
    <row r="12833" spans="20:20" s="566" customFormat="1">
      <c r="T12833" s="41"/>
    </row>
    <row r="12834" spans="20:20" s="566" customFormat="1">
      <c r="T12834" s="41"/>
    </row>
    <row r="12835" spans="20:20" s="566" customFormat="1">
      <c r="T12835" s="41"/>
    </row>
    <row r="12836" spans="20:20" s="566" customFormat="1">
      <c r="T12836" s="41"/>
    </row>
    <row r="12837" spans="20:20" s="566" customFormat="1">
      <c r="T12837" s="41"/>
    </row>
    <row r="12838" spans="20:20" s="566" customFormat="1">
      <c r="T12838" s="41"/>
    </row>
    <row r="12839" spans="20:20" s="566" customFormat="1">
      <c r="T12839" s="41"/>
    </row>
    <row r="12840" spans="20:20" s="566" customFormat="1">
      <c r="T12840" s="41"/>
    </row>
    <row r="12841" spans="20:20" s="566" customFormat="1">
      <c r="T12841" s="41"/>
    </row>
    <row r="12842" spans="20:20" s="566" customFormat="1">
      <c r="T12842" s="41"/>
    </row>
    <row r="12843" spans="20:20" s="566" customFormat="1">
      <c r="T12843" s="41"/>
    </row>
    <row r="12844" spans="20:20" s="566" customFormat="1">
      <c r="T12844" s="41"/>
    </row>
    <row r="12845" spans="20:20" s="566" customFormat="1">
      <c r="T12845" s="41"/>
    </row>
    <row r="12846" spans="20:20" s="566" customFormat="1">
      <c r="T12846" s="41"/>
    </row>
    <row r="12847" spans="20:20" s="566" customFormat="1">
      <c r="T12847" s="41"/>
    </row>
    <row r="12848" spans="20:20" s="566" customFormat="1">
      <c r="T12848" s="41"/>
    </row>
    <row r="12849" spans="20:20" s="566" customFormat="1">
      <c r="T12849" s="41"/>
    </row>
    <row r="12850" spans="20:20" s="566" customFormat="1">
      <c r="T12850" s="41"/>
    </row>
    <row r="12851" spans="20:20" s="566" customFormat="1">
      <c r="T12851" s="41"/>
    </row>
    <row r="12852" spans="20:20" s="566" customFormat="1">
      <c r="T12852" s="41"/>
    </row>
    <row r="12853" spans="20:20" s="566" customFormat="1">
      <c r="T12853" s="41"/>
    </row>
    <row r="12854" spans="20:20" s="566" customFormat="1">
      <c r="T12854" s="41"/>
    </row>
    <row r="12855" spans="20:20" s="566" customFormat="1">
      <c r="T12855" s="41"/>
    </row>
    <row r="12856" spans="20:20" s="566" customFormat="1">
      <c r="T12856" s="41"/>
    </row>
    <row r="12857" spans="20:20" s="566" customFormat="1">
      <c r="T12857" s="41"/>
    </row>
    <row r="12858" spans="20:20" s="566" customFormat="1">
      <c r="T12858" s="41"/>
    </row>
    <row r="12859" spans="20:20" s="566" customFormat="1">
      <c r="T12859" s="41"/>
    </row>
    <row r="12860" spans="20:20" s="566" customFormat="1">
      <c r="T12860" s="41"/>
    </row>
    <row r="12861" spans="20:20" s="566" customFormat="1">
      <c r="T12861" s="41"/>
    </row>
    <row r="12862" spans="20:20" s="566" customFormat="1">
      <c r="T12862" s="41"/>
    </row>
    <row r="12863" spans="20:20" s="566" customFormat="1">
      <c r="T12863" s="41"/>
    </row>
    <row r="12864" spans="20:20" s="566" customFormat="1">
      <c r="T12864" s="41"/>
    </row>
    <row r="12865" spans="20:20" s="566" customFormat="1">
      <c r="T12865" s="41"/>
    </row>
    <row r="12866" spans="20:20" s="566" customFormat="1">
      <c r="T12866" s="41"/>
    </row>
    <row r="12867" spans="20:20" s="566" customFormat="1">
      <c r="T12867" s="41"/>
    </row>
    <row r="12868" spans="20:20" s="566" customFormat="1">
      <c r="T12868" s="41"/>
    </row>
    <row r="12869" spans="20:20" s="566" customFormat="1">
      <c r="T12869" s="41"/>
    </row>
    <row r="12870" spans="20:20" s="566" customFormat="1">
      <c r="T12870" s="41"/>
    </row>
    <row r="12871" spans="20:20" s="566" customFormat="1">
      <c r="T12871" s="41"/>
    </row>
    <row r="12872" spans="20:20" s="566" customFormat="1">
      <c r="T12872" s="41"/>
    </row>
    <row r="12873" spans="20:20" s="566" customFormat="1">
      <c r="T12873" s="41"/>
    </row>
    <row r="12874" spans="20:20" s="566" customFormat="1">
      <c r="T12874" s="41"/>
    </row>
    <row r="12875" spans="20:20" s="566" customFormat="1">
      <c r="T12875" s="41"/>
    </row>
    <row r="12876" spans="20:20" s="566" customFormat="1">
      <c r="T12876" s="41"/>
    </row>
    <row r="12877" spans="20:20" s="566" customFormat="1">
      <c r="T12877" s="41"/>
    </row>
    <row r="12878" spans="20:20" s="566" customFormat="1">
      <c r="T12878" s="41"/>
    </row>
    <row r="12879" spans="20:20" s="566" customFormat="1">
      <c r="T12879" s="41"/>
    </row>
    <row r="12880" spans="20:20" s="566" customFormat="1">
      <c r="T12880" s="41"/>
    </row>
    <row r="12881" spans="20:20" s="566" customFormat="1">
      <c r="T12881" s="41"/>
    </row>
    <row r="12882" spans="20:20" s="566" customFormat="1">
      <c r="T12882" s="41"/>
    </row>
    <row r="12883" spans="20:20" s="566" customFormat="1">
      <c r="T12883" s="41"/>
    </row>
    <row r="12884" spans="20:20" s="566" customFormat="1">
      <c r="T12884" s="41"/>
    </row>
    <row r="12885" spans="20:20" s="566" customFormat="1">
      <c r="T12885" s="41"/>
    </row>
    <row r="12886" spans="20:20" s="566" customFormat="1">
      <c r="T12886" s="41"/>
    </row>
    <row r="12887" spans="20:20" s="566" customFormat="1">
      <c r="T12887" s="41"/>
    </row>
    <row r="12888" spans="20:20" s="566" customFormat="1">
      <c r="T12888" s="41"/>
    </row>
    <row r="12889" spans="20:20" s="566" customFormat="1">
      <c r="T12889" s="41"/>
    </row>
    <row r="12890" spans="20:20" s="566" customFormat="1">
      <c r="T12890" s="41"/>
    </row>
    <row r="12891" spans="20:20" s="566" customFormat="1">
      <c r="T12891" s="41"/>
    </row>
    <row r="12892" spans="20:20" s="566" customFormat="1">
      <c r="T12892" s="41"/>
    </row>
    <row r="12893" spans="20:20" s="566" customFormat="1">
      <c r="T12893" s="41"/>
    </row>
    <row r="12894" spans="20:20" s="566" customFormat="1">
      <c r="T12894" s="41"/>
    </row>
    <row r="12895" spans="20:20" s="566" customFormat="1">
      <c r="T12895" s="41"/>
    </row>
    <row r="12896" spans="20:20" s="566" customFormat="1">
      <c r="T12896" s="41"/>
    </row>
    <row r="12897" spans="20:20" s="566" customFormat="1">
      <c r="T12897" s="41"/>
    </row>
    <row r="12898" spans="20:20" s="566" customFormat="1">
      <c r="T12898" s="41"/>
    </row>
    <row r="12899" spans="20:20" s="566" customFormat="1">
      <c r="T12899" s="41"/>
    </row>
    <row r="12900" spans="20:20" s="566" customFormat="1">
      <c r="T12900" s="41"/>
    </row>
    <row r="12901" spans="20:20" s="566" customFormat="1">
      <c r="T12901" s="41"/>
    </row>
    <row r="12902" spans="20:20" s="566" customFormat="1">
      <c r="T12902" s="41"/>
    </row>
    <row r="12903" spans="20:20" s="566" customFormat="1">
      <c r="T12903" s="41"/>
    </row>
    <row r="12904" spans="20:20" s="566" customFormat="1">
      <c r="T12904" s="41"/>
    </row>
    <row r="12905" spans="20:20" s="566" customFormat="1">
      <c r="T12905" s="41"/>
    </row>
    <row r="12906" spans="20:20" s="566" customFormat="1">
      <c r="T12906" s="41"/>
    </row>
    <row r="12907" spans="20:20" s="566" customFormat="1">
      <c r="T12907" s="41"/>
    </row>
    <row r="12908" spans="20:20" s="566" customFormat="1">
      <c r="T12908" s="41"/>
    </row>
    <row r="12909" spans="20:20" s="566" customFormat="1">
      <c r="T12909" s="41"/>
    </row>
    <row r="12910" spans="20:20" s="566" customFormat="1">
      <c r="T12910" s="41"/>
    </row>
    <row r="12911" spans="20:20" s="566" customFormat="1">
      <c r="T12911" s="41"/>
    </row>
    <row r="12912" spans="20:20" s="566" customFormat="1">
      <c r="T12912" s="41"/>
    </row>
    <row r="12913" spans="20:20" s="566" customFormat="1">
      <c r="T12913" s="41"/>
    </row>
    <row r="12914" spans="20:20" s="566" customFormat="1">
      <c r="T12914" s="41"/>
    </row>
    <row r="12915" spans="20:20" s="566" customFormat="1">
      <c r="T12915" s="41"/>
    </row>
    <row r="12916" spans="20:20" s="566" customFormat="1">
      <c r="T12916" s="41"/>
    </row>
    <row r="12917" spans="20:20" s="566" customFormat="1">
      <c r="T12917" s="41"/>
    </row>
    <row r="12918" spans="20:20" s="566" customFormat="1">
      <c r="T12918" s="41"/>
    </row>
    <row r="12919" spans="20:20" s="566" customFormat="1">
      <c r="T12919" s="41"/>
    </row>
    <row r="12920" spans="20:20" s="566" customFormat="1">
      <c r="T12920" s="41"/>
    </row>
    <row r="12921" spans="20:20" s="566" customFormat="1">
      <c r="T12921" s="41"/>
    </row>
    <row r="12922" spans="20:20" s="566" customFormat="1">
      <c r="T12922" s="41"/>
    </row>
    <row r="12923" spans="20:20" s="566" customFormat="1">
      <c r="T12923" s="41"/>
    </row>
    <row r="12924" spans="20:20" s="566" customFormat="1">
      <c r="T12924" s="41"/>
    </row>
    <row r="12925" spans="20:20" s="566" customFormat="1">
      <c r="T12925" s="41"/>
    </row>
    <row r="12926" spans="20:20" s="566" customFormat="1">
      <c r="T12926" s="41"/>
    </row>
    <row r="12927" spans="20:20" s="566" customFormat="1">
      <c r="T12927" s="41"/>
    </row>
    <row r="12928" spans="20:20" s="566" customFormat="1">
      <c r="T12928" s="41"/>
    </row>
    <row r="12929" spans="20:20" s="566" customFormat="1">
      <c r="T12929" s="41"/>
    </row>
    <row r="12930" spans="20:20" s="566" customFormat="1">
      <c r="T12930" s="41"/>
    </row>
    <row r="12931" spans="20:20" s="566" customFormat="1">
      <c r="T12931" s="41"/>
    </row>
    <row r="12932" spans="20:20" s="566" customFormat="1">
      <c r="T12932" s="41"/>
    </row>
    <row r="12933" spans="20:20" s="566" customFormat="1">
      <c r="T12933" s="41"/>
    </row>
    <row r="12934" spans="20:20" s="566" customFormat="1">
      <c r="T12934" s="41"/>
    </row>
    <row r="12935" spans="20:20" s="566" customFormat="1">
      <c r="T12935" s="41"/>
    </row>
    <row r="12936" spans="20:20" s="566" customFormat="1">
      <c r="T12936" s="41"/>
    </row>
    <row r="12937" spans="20:20" s="566" customFormat="1">
      <c r="T12937" s="41"/>
    </row>
    <row r="12938" spans="20:20" s="566" customFormat="1">
      <c r="T12938" s="41"/>
    </row>
    <row r="12939" spans="20:20" s="566" customFormat="1">
      <c r="T12939" s="41"/>
    </row>
    <row r="12940" spans="20:20" s="566" customFormat="1">
      <c r="T12940" s="41"/>
    </row>
    <row r="12941" spans="20:20" s="566" customFormat="1">
      <c r="T12941" s="41"/>
    </row>
    <row r="12942" spans="20:20" s="566" customFormat="1">
      <c r="T12942" s="41"/>
    </row>
    <row r="12943" spans="20:20" s="566" customFormat="1">
      <c r="T12943" s="41"/>
    </row>
    <row r="12944" spans="20:20" s="566" customFormat="1">
      <c r="T12944" s="41"/>
    </row>
    <row r="12945" spans="20:20" s="566" customFormat="1">
      <c r="T12945" s="41"/>
    </row>
    <row r="12946" spans="20:20" s="566" customFormat="1">
      <c r="T12946" s="41"/>
    </row>
    <row r="12947" spans="20:20" s="566" customFormat="1">
      <c r="T12947" s="41"/>
    </row>
    <row r="12948" spans="20:20" s="566" customFormat="1">
      <c r="T12948" s="41"/>
    </row>
    <row r="12949" spans="20:20" s="566" customFormat="1">
      <c r="T12949" s="41"/>
    </row>
    <row r="12950" spans="20:20" s="566" customFormat="1">
      <c r="T12950" s="41"/>
    </row>
    <row r="12951" spans="20:20" s="566" customFormat="1">
      <c r="T12951" s="41"/>
    </row>
    <row r="12952" spans="20:20" s="566" customFormat="1">
      <c r="T12952" s="41"/>
    </row>
    <row r="12953" spans="20:20" s="566" customFormat="1">
      <c r="T12953" s="41"/>
    </row>
    <row r="12954" spans="20:20" s="566" customFormat="1">
      <c r="T12954" s="41"/>
    </row>
    <row r="12955" spans="20:20" s="566" customFormat="1">
      <c r="T12955" s="41"/>
    </row>
    <row r="12956" spans="20:20" s="566" customFormat="1">
      <c r="T12956" s="41"/>
    </row>
    <row r="12957" spans="20:20" s="566" customFormat="1">
      <c r="T12957" s="41"/>
    </row>
    <row r="12958" spans="20:20" s="566" customFormat="1">
      <c r="T12958" s="41"/>
    </row>
    <row r="12959" spans="20:20" s="566" customFormat="1">
      <c r="T12959" s="41"/>
    </row>
    <row r="12960" spans="20:20" s="566" customFormat="1">
      <c r="T12960" s="41"/>
    </row>
    <row r="12961" spans="20:20" s="566" customFormat="1">
      <c r="T12961" s="41"/>
    </row>
    <row r="12962" spans="20:20" s="566" customFormat="1">
      <c r="T12962" s="41"/>
    </row>
    <row r="12963" spans="20:20" s="566" customFormat="1">
      <c r="T12963" s="41"/>
    </row>
    <row r="12964" spans="20:20" s="566" customFormat="1">
      <c r="T12964" s="41"/>
    </row>
    <row r="12965" spans="20:20" s="566" customFormat="1">
      <c r="T12965" s="41"/>
    </row>
    <row r="12966" spans="20:20" s="566" customFormat="1">
      <c r="T12966" s="41"/>
    </row>
    <row r="12967" spans="20:20" s="566" customFormat="1">
      <c r="T12967" s="41"/>
    </row>
    <row r="12968" spans="20:20" s="566" customFormat="1">
      <c r="T12968" s="41"/>
    </row>
    <row r="12969" spans="20:20" s="566" customFormat="1">
      <c r="T12969" s="41"/>
    </row>
    <row r="12970" spans="20:20" s="566" customFormat="1">
      <c r="T12970" s="41"/>
    </row>
    <row r="12971" spans="20:20" s="566" customFormat="1">
      <c r="T12971" s="41"/>
    </row>
    <row r="12972" spans="20:20" s="566" customFormat="1">
      <c r="T12972" s="41"/>
    </row>
    <row r="12973" spans="20:20" s="566" customFormat="1">
      <c r="T12973" s="41"/>
    </row>
    <row r="12974" spans="20:20" s="566" customFormat="1">
      <c r="T12974" s="41"/>
    </row>
    <row r="12975" spans="20:20" s="566" customFormat="1">
      <c r="T12975" s="41"/>
    </row>
    <row r="12976" spans="20:20" s="566" customFormat="1">
      <c r="T12976" s="41"/>
    </row>
    <row r="12977" spans="20:20" s="566" customFormat="1">
      <c r="T12977" s="41"/>
    </row>
    <row r="12978" spans="20:20" s="566" customFormat="1">
      <c r="T12978" s="41"/>
    </row>
    <row r="12979" spans="20:20" s="566" customFormat="1">
      <c r="T12979" s="41"/>
    </row>
    <row r="12980" spans="20:20" s="566" customFormat="1">
      <c r="T12980" s="41"/>
    </row>
    <row r="12981" spans="20:20" s="566" customFormat="1">
      <c r="T12981" s="41"/>
    </row>
    <row r="12982" spans="20:20" s="566" customFormat="1">
      <c r="T12982" s="41"/>
    </row>
    <row r="12983" spans="20:20" s="566" customFormat="1">
      <c r="T12983" s="41"/>
    </row>
    <row r="12984" spans="20:20" s="566" customFormat="1">
      <c r="T12984" s="41"/>
    </row>
    <row r="12985" spans="20:20" s="566" customFormat="1">
      <c r="T12985" s="41"/>
    </row>
    <row r="12986" spans="20:20" s="566" customFormat="1">
      <c r="T12986" s="41"/>
    </row>
    <row r="12987" spans="20:20" s="566" customFormat="1">
      <c r="T12987" s="41"/>
    </row>
    <row r="12988" spans="20:20" s="566" customFormat="1">
      <c r="T12988" s="41"/>
    </row>
    <row r="12989" spans="20:20" s="566" customFormat="1">
      <c r="T12989" s="41"/>
    </row>
    <row r="12990" spans="20:20" s="566" customFormat="1">
      <c r="T12990" s="41"/>
    </row>
    <row r="12991" spans="20:20" s="566" customFormat="1">
      <c r="T12991" s="41"/>
    </row>
    <row r="12992" spans="20:20" s="566" customFormat="1">
      <c r="T12992" s="41"/>
    </row>
    <row r="12993" spans="20:20" s="566" customFormat="1">
      <c r="T12993" s="41"/>
    </row>
    <row r="12994" spans="20:20" s="566" customFormat="1">
      <c r="T12994" s="41"/>
    </row>
    <row r="12995" spans="20:20" s="566" customFormat="1">
      <c r="T12995" s="41"/>
    </row>
    <row r="12996" spans="20:20" s="566" customFormat="1">
      <c r="T12996" s="41"/>
    </row>
    <row r="12997" spans="20:20" s="566" customFormat="1">
      <c r="T12997" s="41"/>
    </row>
    <row r="12998" spans="20:20" s="566" customFormat="1">
      <c r="T12998" s="41"/>
    </row>
    <row r="12999" spans="20:20" s="566" customFormat="1">
      <c r="T12999" s="41"/>
    </row>
    <row r="13000" spans="20:20" s="566" customFormat="1">
      <c r="T13000" s="41"/>
    </row>
    <row r="13001" spans="20:20" s="566" customFormat="1">
      <c r="T13001" s="41"/>
    </row>
    <row r="13002" spans="20:20" s="566" customFormat="1">
      <c r="T13002" s="41"/>
    </row>
    <row r="13003" spans="20:20" s="566" customFormat="1">
      <c r="T13003" s="41"/>
    </row>
    <row r="13004" spans="20:20" s="566" customFormat="1">
      <c r="T13004" s="41"/>
    </row>
    <row r="13005" spans="20:20" s="566" customFormat="1">
      <c r="T13005" s="41"/>
    </row>
    <row r="13006" spans="20:20" s="566" customFormat="1">
      <c r="T13006" s="41"/>
    </row>
    <row r="13007" spans="20:20" s="566" customFormat="1">
      <c r="T13007" s="41"/>
    </row>
    <row r="13008" spans="20:20" s="566" customFormat="1">
      <c r="T13008" s="41"/>
    </row>
    <row r="13009" spans="20:20" s="566" customFormat="1">
      <c r="T13009" s="41"/>
    </row>
    <row r="13010" spans="20:20" s="566" customFormat="1">
      <c r="T13010" s="41"/>
    </row>
    <row r="13011" spans="20:20" s="566" customFormat="1">
      <c r="T13011" s="41"/>
    </row>
    <row r="13012" spans="20:20" s="566" customFormat="1">
      <c r="T13012" s="41"/>
    </row>
    <row r="13013" spans="20:20" s="566" customFormat="1">
      <c r="T13013" s="41"/>
    </row>
    <row r="13014" spans="20:20" s="566" customFormat="1">
      <c r="T13014" s="41"/>
    </row>
    <row r="13015" spans="20:20" s="566" customFormat="1">
      <c r="T13015" s="41"/>
    </row>
    <row r="13016" spans="20:20" s="566" customFormat="1">
      <c r="T13016" s="41"/>
    </row>
    <row r="13017" spans="20:20" s="566" customFormat="1">
      <c r="T13017" s="41"/>
    </row>
    <row r="13018" spans="20:20" s="566" customFormat="1">
      <c r="T13018" s="41"/>
    </row>
    <row r="13019" spans="20:20" s="566" customFormat="1">
      <c r="T13019" s="41"/>
    </row>
    <row r="13020" spans="20:20" s="566" customFormat="1">
      <c r="T13020" s="41"/>
    </row>
    <row r="13021" spans="20:20" s="566" customFormat="1">
      <c r="T13021" s="41"/>
    </row>
    <row r="13022" spans="20:20" s="566" customFormat="1">
      <c r="T13022" s="41"/>
    </row>
    <row r="13023" spans="20:20" s="566" customFormat="1">
      <c r="T13023" s="41"/>
    </row>
    <row r="13024" spans="20:20" s="566" customFormat="1">
      <c r="T13024" s="41"/>
    </row>
    <row r="13025" spans="20:20" s="566" customFormat="1">
      <c r="T13025" s="41"/>
    </row>
    <row r="13026" spans="20:20" s="566" customFormat="1">
      <c r="T13026" s="41"/>
    </row>
    <row r="13027" spans="20:20" s="566" customFormat="1">
      <c r="T13027" s="41"/>
    </row>
    <row r="13028" spans="20:20" s="566" customFormat="1">
      <c r="T13028" s="41"/>
    </row>
    <row r="13029" spans="20:20" s="566" customFormat="1">
      <c r="T13029" s="41"/>
    </row>
    <row r="13030" spans="20:20" s="566" customFormat="1">
      <c r="T13030" s="41"/>
    </row>
    <row r="13031" spans="20:20" s="566" customFormat="1">
      <c r="T13031" s="41"/>
    </row>
    <row r="13032" spans="20:20" s="566" customFormat="1">
      <c r="T13032" s="41"/>
    </row>
    <row r="13033" spans="20:20" s="566" customFormat="1">
      <c r="T13033" s="41"/>
    </row>
    <row r="13034" spans="20:20" s="566" customFormat="1">
      <c r="T13034" s="41"/>
    </row>
    <row r="13035" spans="20:20" s="566" customFormat="1">
      <c r="T13035" s="41"/>
    </row>
    <row r="13036" spans="20:20" s="566" customFormat="1">
      <c r="T13036" s="41"/>
    </row>
    <row r="13037" spans="20:20" s="566" customFormat="1">
      <c r="T13037" s="41"/>
    </row>
    <row r="13038" spans="20:20" s="566" customFormat="1">
      <c r="T13038" s="41"/>
    </row>
    <row r="13039" spans="20:20" s="566" customFormat="1">
      <c r="T13039" s="41"/>
    </row>
    <row r="13040" spans="20:20" s="566" customFormat="1">
      <c r="T13040" s="41"/>
    </row>
    <row r="13041" spans="20:20" s="566" customFormat="1">
      <c r="T13041" s="41"/>
    </row>
    <row r="13042" spans="20:20" s="566" customFormat="1">
      <c r="T13042" s="41"/>
    </row>
    <row r="13043" spans="20:20" s="566" customFormat="1">
      <c r="T13043" s="41"/>
    </row>
    <row r="13044" spans="20:20" s="566" customFormat="1">
      <c r="T13044" s="41"/>
    </row>
    <row r="13045" spans="20:20" s="566" customFormat="1">
      <c r="T13045" s="41"/>
    </row>
    <row r="13046" spans="20:20" s="566" customFormat="1">
      <c r="T13046" s="41"/>
    </row>
    <row r="13047" spans="20:20" s="566" customFormat="1">
      <c r="T13047" s="41"/>
    </row>
    <row r="13048" spans="20:20" s="566" customFormat="1">
      <c r="T13048" s="41"/>
    </row>
    <row r="13049" spans="20:20" s="566" customFormat="1">
      <c r="T13049" s="41"/>
    </row>
    <row r="13050" spans="20:20" s="566" customFormat="1">
      <c r="T13050" s="41"/>
    </row>
    <row r="13051" spans="20:20" s="566" customFormat="1">
      <c r="T13051" s="41"/>
    </row>
    <row r="13052" spans="20:20" s="566" customFormat="1">
      <c r="T13052" s="41"/>
    </row>
    <row r="13053" spans="20:20" s="566" customFormat="1">
      <c r="T13053" s="41"/>
    </row>
    <row r="13054" spans="20:20" s="566" customFormat="1">
      <c r="T13054" s="41"/>
    </row>
    <row r="13055" spans="20:20" s="566" customFormat="1">
      <c r="T13055" s="41"/>
    </row>
    <row r="13056" spans="20:20" s="566" customFormat="1">
      <c r="T13056" s="41"/>
    </row>
    <row r="13057" spans="20:20" s="566" customFormat="1">
      <c r="T13057" s="41"/>
    </row>
    <row r="13058" spans="20:20" s="566" customFormat="1">
      <c r="T13058" s="41"/>
    </row>
    <row r="13059" spans="20:20" s="566" customFormat="1">
      <c r="T13059" s="41"/>
    </row>
    <row r="13060" spans="20:20" s="566" customFormat="1">
      <c r="T13060" s="41"/>
    </row>
    <row r="13061" spans="20:20" s="566" customFormat="1">
      <c r="T13061" s="41"/>
    </row>
    <row r="13062" spans="20:20" s="566" customFormat="1">
      <c r="T13062" s="41"/>
    </row>
    <row r="13063" spans="20:20" s="566" customFormat="1">
      <c r="T13063" s="41"/>
    </row>
    <row r="13064" spans="20:20" s="566" customFormat="1">
      <c r="T13064" s="41"/>
    </row>
    <row r="13065" spans="20:20" s="566" customFormat="1">
      <c r="T13065" s="41"/>
    </row>
    <row r="13066" spans="20:20" s="566" customFormat="1">
      <c r="T13066" s="41"/>
    </row>
    <row r="13067" spans="20:20" s="566" customFormat="1">
      <c r="T13067" s="41"/>
    </row>
    <row r="13068" spans="20:20" s="566" customFormat="1">
      <c r="T13068" s="41"/>
    </row>
    <row r="13069" spans="20:20" s="566" customFormat="1">
      <c r="T13069" s="41"/>
    </row>
    <row r="13070" spans="20:20" s="566" customFormat="1">
      <c r="T13070" s="41"/>
    </row>
    <row r="13071" spans="20:20" s="566" customFormat="1">
      <c r="T13071" s="41"/>
    </row>
    <row r="13072" spans="20:20" s="566" customFormat="1">
      <c r="T13072" s="41"/>
    </row>
    <row r="13073" spans="20:20" s="566" customFormat="1">
      <c r="T13073" s="41"/>
    </row>
    <row r="13074" spans="20:20" s="566" customFormat="1">
      <c r="T13074" s="41"/>
    </row>
    <row r="13075" spans="20:20" s="566" customFormat="1">
      <c r="T13075" s="41"/>
    </row>
    <row r="13076" spans="20:20" s="566" customFormat="1">
      <c r="T13076" s="41"/>
    </row>
    <row r="13077" spans="20:20" s="566" customFormat="1">
      <c r="T13077" s="41"/>
    </row>
    <row r="13078" spans="20:20" s="566" customFormat="1">
      <c r="T13078" s="41"/>
    </row>
    <row r="13079" spans="20:20" s="566" customFormat="1">
      <c r="T13079" s="41"/>
    </row>
    <row r="13080" spans="20:20" s="566" customFormat="1">
      <c r="T13080" s="41"/>
    </row>
    <row r="13081" spans="20:20" s="566" customFormat="1">
      <c r="T13081" s="41"/>
    </row>
    <row r="13082" spans="20:20" s="566" customFormat="1">
      <c r="T13082" s="41"/>
    </row>
    <row r="13083" spans="20:20" s="566" customFormat="1">
      <c r="T13083" s="41"/>
    </row>
    <row r="13084" spans="20:20" s="566" customFormat="1">
      <c r="T13084" s="41"/>
    </row>
    <row r="13085" spans="20:20" s="566" customFormat="1">
      <c r="T13085" s="41"/>
    </row>
    <row r="13086" spans="20:20" s="566" customFormat="1">
      <c r="T13086" s="41"/>
    </row>
    <row r="13087" spans="20:20" s="566" customFormat="1">
      <c r="T13087" s="41"/>
    </row>
    <row r="13088" spans="20:20" s="566" customFormat="1">
      <c r="T13088" s="41"/>
    </row>
    <row r="13089" spans="20:20" s="566" customFormat="1">
      <c r="T13089" s="41"/>
    </row>
    <row r="13090" spans="20:20" s="566" customFormat="1">
      <c r="T13090" s="41"/>
    </row>
    <row r="13091" spans="20:20" s="566" customFormat="1">
      <c r="T13091" s="41"/>
    </row>
    <row r="13092" spans="20:20" s="566" customFormat="1">
      <c r="T13092" s="41"/>
    </row>
    <row r="13093" spans="20:20" s="566" customFormat="1">
      <c r="T13093" s="41"/>
    </row>
    <row r="13094" spans="20:20" s="566" customFormat="1">
      <c r="T13094" s="41"/>
    </row>
    <row r="13095" spans="20:20" s="566" customFormat="1">
      <c r="T13095" s="41"/>
    </row>
    <row r="13096" spans="20:20" s="566" customFormat="1">
      <c r="T13096" s="41"/>
    </row>
    <row r="13097" spans="20:20" s="566" customFormat="1">
      <c r="T13097" s="41"/>
    </row>
    <row r="13098" spans="20:20" s="566" customFormat="1">
      <c r="T13098" s="41"/>
    </row>
    <row r="13099" spans="20:20" s="566" customFormat="1">
      <c r="T13099" s="41"/>
    </row>
    <row r="13100" spans="20:20" s="566" customFormat="1">
      <c r="T13100" s="41"/>
    </row>
    <row r="13101" spans="20:20" s="566" customFormat="1">
      <c r="T13101" s="41"/>
    </row>
    <row r="13102" spans="20:20" s="566" customFormat="1">
      <c r="T13102" s="41"/>
    </row>
    <row r="13103" spans="20:20" s="566" customFormat="1">
      <c r="T13103" s="41"/>
    </row>
    <row r="13104" spans="20:20" s="566" customFormat="1">
      <c r="T13104" s="41"/>
    </row>
    <row r="13105" spans="20:20" s="566" customFormat="1">
      <c r="T13105" s="41"/>
    </row>
    <row r="13106" spans="20:20" s="566" customFormat="1">
      <c r="T13106" s="41"/>
    </row>
    <row r="13107" spans="20:20" s="566" customFormat="1">
      <c r="T13107" s="41"/>
    </row>
    <row r="13108" spans="20:20" s="566" customFormat="1">
      <c r="T13108" s="41"/>
    </row>
    <row r="13109" spans="20:20" s="566" customFormat="1">
      <c r="T13109" s="41"/>
    </row>
    <row r="13110" spans="20:20" s="566" customFormat="1">
      <c r="T13110" s="41"/>
    </row>
    <row r="13111" spans="20:20" s="566" customFormat="1">
      <c r="T13111" s="41"/>
    </row>
    <row r="13112" spans="20:20" s="566" customFormat="1">
      <c r="T13112" s="41"/>
    </row>
    <row r="13113" spans="20:20" s="566" customFormat="1">
      <c r="T13113" s="41"/>
    </row>
    <row r="13114" spans="20:20" s="566" customFormat="1">
      <c r="T13114" s="41"/>
    </row>
    <row r="13115" spans="20:20" s="566" customFormat="1">
      <c r="T13115" s="41"/>
    </row>
    <row r="13116" spans="20:20" s="566" customFormat="1">
      <c r="T13116" s="41"/>
    </row>
    <row r="13117" spans="20:20" s="566" customFormat="1">
      <c r="T13117" s="41"/>
    </row>
    <row r="13118" spans="20:20" s="566" customFormat="1">
      <c r="T13118" s="41"/>
    </row>
    <row r="13119" spans="20:20" s="566" customFormat="1">
      <c r="T13119" s="41"/>
    </row>
    <row r="13120" spans="20:20" s="566" customFormat="1">
      <c r="T13120" s="41"/>
    </row>
    <row r="13121" spans="20:20" s="566" customFormat="1">
      <c r="T13121" s="41"/>
    </row>
    <row r="13122" spans="20:20" s="566" customFormat="1">
      <c r="T13122" s="41"/>
    </row>
    <row r="13123" spans="20:20" s="566" customFormat="1">
      <c r="T13123" s="41"/>
    </row>
    <row r="13124" spans="20:20" s="566" customFormat="1">
      <c r="T13124" s="41"/>
    </row>
    <row r="13125" spans="20:20" s="566" customFormat="1">
      <c r="T13125" s="41"/>
    </row>
    <row r="13126" spans="20:20" s="566" customFormat="1">
      <c r="T13126" s="41"/>
    </row>
    <row r="13127" spans="20:20" s="566" customFormat="1">
      <c r="T13127" s="41"/>
    </row>
    <row r="13128" spans="20:20" s="566" customFormat="1">
      <c r="T13128" s="41"/>
    </row>
    <row r="13129" spans="20:20" s="566" customFormat="1">
      <c r="T13129" s="41"/>
    </row>
    <row r="13130" spans="20:20" s="566" customFormat="1">
      <c r="T13130" s="41"/>
    </row>
    <row r="13131" spans="20:20" s="566" customFormat="1">
      <c r="T13131" s="41"/>
    </row>
    <row r="13132" spans="20:20" s="566" customFormat="1">
      <c r="T13132" s="41"/>
    </row>
    <row r="13133" spans="20:20" s="566" customFormat="1">
      <c r="T13133" s="41"/>
    </row>
    <row r="13134" spans="20:20" s="566" customFormat="1">
      <c r="T13134" s="41"/>
    </row>
    <row r="13135" spans="20:20" s="566" customFormat="1">
      <c r="T13135" s="41"/>
    </row>
    <row r="13136" spans="20:20" s="566" customFormat="1">
      <c r="T13136" s="41"/>
    </row>
    <row r="13137" spans="20:20" s="566" customFormat="1">
      <c r="T13137" s="41"/>
    </row>
    <row r="13138" spans="20:20" s="566" customFormat="1">
      <c r="T13138" s="41"/>
    </row>
    <row r="13139" spans="20:20" s="566" customFormat="1">
      <c r="T13139" s="41"/>
    </row>
    <row r="13140" spans="20:20" s="566" customFormat="1">
      <c r="T13140" s="41"/>
    </row>
    <row r="13141" spans="20:20" s="566" customFormat="1">
      <c r="T13141" s="41"/>
    </row>
    <row r="13142" spans="20:20" s="566" customFormat="1">
      <c r="T13142" s="41"/>
    </row>
    <row r="13143" spans="20:20" s="566" customFormat="1">
      <c r="T13143" s="41"/>
    </row>
    <row r="13144" spans="20:20" s="566" customFormat="1">
      <c r="T13144" s="41"/>
    </row>
    <row r="13145" spans="20:20" s="566" customFormat="1">
      <c r="T13145" s="41"/>
    </row>
    <row r="13146" spans="20:20" s="566" customFormat="1">
      <c r="T13146" s="41"/>
    </row>
    <row r="13147" spans="20:20" s="566" customFormat="1">
      <c r="T13147" s="41"/>
    </row>
    <row r="13148" spans="20:20" s="566" customFormat="1">
      <c r="T13148" s="41"/>
    </row>
    <row r="13149" spans="20:20" s="566" customFormat="1">
      <c r="T13149" s="41"/>
    </row>
    <row r="13150" spans="20:20" s="566" customFormat="1">
      <c r="T13150" s="41"/>
    </row>
    <row r="13151" spans="20:20" s="566" customFormat="1">
      <c r="T13151" s="41"/>
    </row>
    <row r="13152" spans="20:20" s="566" customFormat="1">
      <c r="T13152" s="41"/>
    </row>
    <row r="13153" spans="20:20" s="566" customFormat="1">
      <c r="T13153" s="41"/>
    </row>
    <row r="13154" spans="20:20" s="566" customFormat="1">
      <c r="T13154" s="41"/>
    </row>
    <row r="13155" spans="20:20" s="566" customFormat="1">
      <c r="T13155" s="41"/>
    </row>
    <row r="13156" spans="20:20" s="566" customFormat="1">
      <c r="T13156" s="41"/>
    </row>
    <row r="13157" spans="20:20" s="566" customFormat="1">
      <c r="T13157" s="41"/>
    </row>
    <row r="13158" spans="20:20" s="566" customFormat="1">
      <c r="T13158" s="41"/>
    </row>
    <row r="13159" spans="20:20" s="566" customFormat="1">
      <c r="T13159" s="41"/>
    </row>
    <row r="13160" spans="20:20" s="566" customFormat="1">
      <c r="T13160" s="41"/>
    </row>
    <row r="13161" spans="20:20" s="566" customFormat="1">
      <c r="T13161" s="41"/>
    </row>
    <row r="13162" spans="20:20" s="566" customFormat="1">
      <c r="T13162" s="41"/>
    </row>
    <row r="13163" spans="20:20" s="566" customFormat="1">
      <c r="T13163" s="41"/>
    </row>
    <row r="13164" spans="20:20" s="566" customFormat="1">
      <c r="T13164" s="41"/>
    </row>
    <row r="13165" spans="20:20" s="566" customFormat="1">
      <c r="T13165" s="41"/>
    </row>
    <row r="13166" spans="20:20" s="566" customFormat="1">
      <c r="T13166" s="41"/>
    </row>
    <row r="13167" spans="20:20" s="566" customFormat="1">
      <c r="T13167" s="41"/>
    </row>
    <row r="13168" spans="20:20" s="566" customFormat="1">
      <c r="T13168" s="41"/>
    </row>
    <row r="13169" spans="20:20" s="566" customFormat="1">
      <c r="T13169" s="41"/>
    </row>
    <row r="13170" spans="20:20" s="566" customFormat="1">
      <c r="T13170" s="41"/>
    </row>
    <row r="13171" spans="20:20" s="566" customFormat="1">
      <c r="T13171" s="41"/>
    </row>
    <row r="13172" spans="20:20" s="566" customFormat="1">
      <c r="T13172" s="41"/>
    </row>
    <row r="13173" spans="20:20" s="566" customFormat="1">
      <c r="T13173" s="41"/>
    </row>
    <row r="13174" spans="20:20" s="566" customFormat="1">
      <c r="T13174" s="41"/>
    </row>
    <row r="13175" spans="20:20" s="566" customFormat="1">
      <c r="T13175" s="41"/>
    </row>
    <row r="13176" spans="20:20" s="566" customFormat="1">
      <c r="T13176" s="41"/>
    </row>
    <row r="13177" spans="20:20" s="566" customFormat="1">
      <c r="T13177" s="41"/>
    </row>
    <row r="13178" spans="20:20" s="566" customFormat="1">
      <c r="T13178" s="41"/>
    </row>
    <row r="13179" spans="20:20" s="566" customFormat="1">
      <c r="T13179" s="41"/>
    </row>
    <row r="13180" spans="20:20" s="566" customFormat="1">
      <c r="T13180" s="41"/>
    </row>
    <row r="13181" spans="20:20" s="566" customFormat="1">
      <c r="T13181" s="41"/>
    </row>
    <row r="13182" spans="20:20" s="566" customFormat="1">
      <c r="T13182" s="41"/>
    </row>
    <row r="13183" spans="20:20" s="566" customFormat="1">
      <c r="T13183" s="41"/>
    </row>
    <row r="13184" spans="20:20" s="566" customFormat="1">
      <c r="T13184" s="41"/>
    </row>
    <row r="13185" spans="20:20" s="566" customFormat="1">
      <c r="T13185" s="41"/>
    </row>
    <row r="13186" spans="20:20" s="566" customFormat="1">
      <c r="T13186" s="41"/>
    </row>
    <row r="13187" spans="20:20" s="566" customFormat="1">
      <c r="T13187" s="41"/>
    </row>
    <row r="13188" spans="20:20" s="566" customFormat="1">
      <c r="T13188" s="41"/>
    </row>
    <row r="13189" spans="20:20" s="566" customFormat="1">
      <c r="T13189" s="41"/>
    </row>
    <row r="13190" spans="20:20" s="566" customFormat="1">
      <c r="T13190" s="41"/>
    </row>
    <row r="13191" spans="20:20" s="566" customFormat="1">
      <c r="T13191" s="41"/>
    </row>
    <row r="13192" spans="20:20" s="566" customFormat="1">
      <c r="T13192" s="41"/>
    </row>
    <row r="13193" spans="20:20" s="566" customFormat="1">
      <c r="T13193" s="41"/>
    </row>
    <row r="13194" spans="20:20" s="566" customFormat="1">
      <c r="T13194" s="41"/>
    </row>
    <row r="13195" spans="20:20" s="566" customFormat="1">
      <c r="T13195" s="41"/>
    </row>
    <row r="13196" spans="20:20" s="566" customFormat="1">
      <c r="T13196" s="41"/>
    </row>
    <row r="13197" spans="20:20" s="566" customFormat="1">
      <c r="T13197" s="41"/>
    </row>
    <row r="13198" spans="20:20" s="566" customFormat="1">
      <c r="T13198" s="41"/>
    </row>
    <row r="13199" spans="20:20" s="566" customFormat="1">
      <c r="T13199" s="41"/>
    </row>
    <row r="13200" spans="20:20" s="566" customFormat="1">
      <c r="T13200" s="41"/>
    </row>
    <row r="13201" spans="20:20" s="566" customFormat="1">
      <c r="T13201" s="41"/>
    </row>
    <row r="13202" spans="20:20" s="566" customFormat="1">
      <c r="T13202" s="41"/>
    </row>
    <row r="13203" spans="20:20" s="566" customFormat="1">
      <c r="T13203" s="41"/>
    </row>
    <row r="13204" spans="20:20" s="566" customFormat="1">
      <c r="T13204" s="41"/>
    </row>
    <row r="13205" spans="20:20" s="566" customFormat="1">
      <c r="T13205" s="41"/>
    </row>
    <row r="13206" spans="20:20" s="566" customFormat="1">
      <c r="T13206" s="41"/>
    </row>
    <row r="13207" spans="20:20" s="566" customFormat="1">
      <c r="T13207" s="41"/>
    </row>
    <row r="13208" spans="20:20" s="566" customFormat="1">
      <c r="T13208" s="41"/>
    </row>
    <row r="13209" spans="20:20" s="566" customFormat="1">
      <c r="T13209" s="41"/>
    </row>
    <row r="13210" spans="20:20" s="566" customFormat="1">
      <c r="T13210" s="41"/>
    </row>
    <row r="13211" spans="20:20" s="566" customFormat="1">
      <c r="T13211" s="41"/>
    </row>
    <row r="13212" spans="20:20" s="566" customFormat="1">
      <c r="T13212" s="41"/>
    </row>
    <row r="13213" spans="20:20" s="566" customFormat="1">
      <c r="T13213" s="41"/>
    </row>
    <row r="13214" spans="20:20" s="566" customFormat="1">
      <c r="T13214" s="41"/>
    </row>
    <row r="13215" spans="20:20" s="566" customFormat="1">
      <c r="T13215" s="41"/>
    </row>
    <row r="13216" spans="20:20" s="566" customFormat="1">
      <c r="T13216" s="41"/>
    </row>
    <row r="13217" spans="20:20" s="566" customFormat="1">
      <c r="T13217" s="41"/>
    </row>
    <row r="13218" spans="20:20" s="566" customFormat="1">
      <c r="T13218" s="41"/>
    </row>
    <row r="13219" spans="20:20" s="566" customFormat="1">
      <c r="T13219" s="41"/>
    </row>
    <row r="13220" spans="20:20" s="566" customFormat="1">
      <c r="T13220" s="41"/>
    </row>
    <row r="13221" spans="20:20" s="566" customFormat="1">
      <c r="T13221" s="41"/>
    </row>
    <row r="13222" spans="20:20" s="566" customFormat="1">
      <c r="T13222" s="41"/>
    </row>
    <row r="13223" spans="20:20" s="566" customFormat="1">
      <c r="T13223" s="41"/>
    </row>
    <row r="13224" spans="20:20" s="566" customFormat="1">
      <c r="T13224" s="41"/>
    </row>
    <row r="13225" spans="20:20" s="566" customFormat="1">
      <c r="T13225" s="41"/>
    </row>
    <row r="13226" spans="20:20" s="566" customFormat="1">
      <c r="T13226" s="41"/>
    </row>
    <row r="13227" spans="20:20" s="566" customFormat="1">
      <c r="T13227" s="41"/>
    </row>
    <row r="13228" spans="20:20" s="566" customFormat="1">
      <c r="T13228" s="41"/>
    </row>
    <row r="13229" spans="20:20" s="566" customFormat="1">
      <c r="T13229" s="41"/>
    </row>
    <row r="13230" spans="20:20" s="566" customFormat="1">
      <c r="T13230" s="41"/>
    </row>
    <row r="13231" spans="20:20" s="566" customFormat="1">
      <c r="T13231" s="41"/>
    </row>
    <row r="13232" spans="20:20" s="566" customFormat="1">
      <c r="T13232" s="41"/>
    </row>
    <row r="13233" spans="20:20" s="566" customFormat="1">
      <c r="T13233" s="41"/>
    </row>
    <row r="13234" spans="20:20" s="566" customFormat="1">
      <c r="T13234" s="41"/>
    </row>
    <row r="13235" spans="20:20" s="566" customFormat="1">
      <c r="T13235" s="41"/>
    </row>
    <row r="13236" spans="20:20" s="566" customFormat="1">
      <c r="T13236" s="41"/>
    </row>
    <row r="13237" spans="20:20" s="566" customFormat="1">
      <c r="T13237" s="41"/>
    </row>
    <row r="13238" spans="20:20" s="566" customFormat="1">
      <c r="T13238" s="41"/>
    </row>
    <row r="13239" spans="20:20" s="566" customFormat="1">
      <c r="T13239" s="41"/>
    </row>
    <row r="13240" spans="20:20" s="566" customFormat="1">
      <c r="T13240" s="41"/>
    </row>
    <row r="13241" spans="20:20" s="566" customFormat="1">
      <c r="T13241" s="41"/>
    </row>
    <row r="13242" spans="20:20" s="566" customFormat="1">
      <c r="T13242" s="41"/>
    </row>
    <row r="13243" spans="20:20" s="566" customFormat="1">
      <c r="T13243" s="41"/>
    </row>
    <row r="13244" spans="20:20" s="566" customFormat="1">
      <c r="T13244" s="41"/>
    </row>
    <row r="13245" spans="20:20" s="566" customFormat="1">
      <c r="T13245" s="41"/>
    </row>
    <row r="13246" spans="20:20" s="566" customFormat="1">
      <c r="T13246" s="41"/>
    </row>
    <row r="13247" spans="20:20" s="566" customFormat="1">
      <c r="T13247" s="41"/>
    </row>
    <row r="13248" spans="20:20" s="566" customFormat="1">
      <c r="T13248" s="41"/>
    </row>
    <row r="13249" spans="20:20" s="566" customFormat="1">
      <c r="T13249" s="41"/>
    </row>
    <row r="13250" spans="20:20" s="566" customFormat="1">
      <c r="T13250" s="41"/>
    </row>
    <row r="13251" spans="20:20" s="566" customFormat="1">
      <c r="T13251" s="41"/>
    </row>
    <row r="13252" spans="20:20" s="566" customFormat="1">
      <c r="T13252" s="41"/>
    </row>
    <row r="13253" spans="20:20" s="566" customFormat="1">
      <c r="T13253" s="41"/>
    </row>
    <row r="13254" spans="20:20" s="566" customFormat="1">
      <c r="T13254" s="41"/>
    </row>
    <row r="13255" spans="20:20" s="566" customFormat="1">
      <c r="T13255" s="41"/>
    </row>
    <row r="13256" spans="20:20" s="566" customFormat="1">
      <c r="T13256" s="41"/>
    </row>
    <row r="13257" spans="20:20" s="566" customFormat="1">
      <c r="T13257" s="41"/>
    </row>
    <row r="13258" spans="20:20" s="566" customFormat="1">
      <c r="T13258" s="41"/>
    </row>
    <row r="13259" spans="20:20" s="566" customFormat="1">
      <c r="T13259" s="41"/>
    </row>
    <row r="13260" spans="20:20" s="566" customFormat="1">
      <c r="T13260" s="41"/>
    </row>
    <row r="13261" spans="20:20" s="566" customFormat="1">
      <c r="T13261" s="41"/>
    </row>
    <row r="13262" spans="20:20" s="566" customFormat="1">
      <c r="T13262" s="41"/>
    </row>
    <row r="13263" spans="20:20" s="566" customFormat="1">
      <c r="T13263" s="41"/>
    </row>
    <row r="13264" spans="20:20" s="566" customFormat="1">
      <c r="T13264" s="41"/>
    </row>
    <row r="13265" spans="20:20" s="566" customFormat="1">
      <c r="T13265" s="41"/>
    </row>
    <row r="13266" spans="20:20" s="566" customFormat="1">
      <c r="T13266" s="41"/>
    </row>
    <row r="13267" spans="20:20" s="566" customFormat="1">
      <c r="T13267" s="41"/>
    </row>
    <row r="13268" spans="20:20" s="566" customFormat="1">
      <c r="T13268" s="41"/>
    </row>
    <row r="13269" spans="20:20" s="566" customFormat="1">
      <c r="T13269" s="41"/>
    </row>
    <row r="13270" spans="20:20" s="566" customFormat="1">
      <c r="T13270" s="41"/>
    </row>
    <row r="13271" spans="20:20" s="566" customFormat="1">
      <c r="T13271" s="41"/>
    </row>
    <row r="13272" spans="20:20" s="566" customFormat="1">
      <c r="T13272" s="41"/>
    </row>
    <row r="13273" spans="20:20" s="566" customFormat="1">
      <c r="T13273" s="41"/>
    </row>
    <row r="13274" spans="20:20" s="566" customFormat="1">
      <c r="T13274" s="41"/>
    </row>
    <row r="13275" spans="20:20" s="566" customFormat="1">
      <c r="T13275" s="41"/>
    </row>
    <row r="13276" spans="20:20" s="566" customFormat="1">
      <c r="T13276" s="41"/>
    </row>
    <row r="13277" spans="20:20" s="566" customFormat="1">
      <c r="T13277" s="41"/>
    </row>
    <row r="13278" spans="20:20" s="566" customFormat="1">
      <c r="T13278" s="41"/>
    </row>
    <row r="13279" spans="20:20" s="566" customFormat="1">
      <c r="T13279" s="41"/>
    </row>
    <row r="13280" spans="20:20" s="566" customFormat="1">
      <c r="T13280" s="41"/>
    </row>
    <row r="13281" spans="20:20" s="566" customFormat="1">
      <c r="T13281" s="41"/>
    </row>
    <row r="13282" spans="20:20" s="566" customFormat="1">
      <c r="T13282" s="41"/>
    </row>
    <row r="13283" spans="20:20" s="566" customFormat="1">
      <c r="T13283" s="41"/>
    </row>
    <row r="13284" spans="20:20" s="566" customFormat="1">
      <c r="T13284" s="41"/>
    </row>
    <row r="13285" spans="20:20" s="566" customFormat="1">
      <c r="T13285" s="41"/>
    </row>
    <row r="13286" spans="20:20" s="566" customFormat="1">
      <c r="T13286" s="41"/>
    </row>
    <row r="13287" spans="20:20" s="566" customFormat="1">
      <c r="T13287" s="41"/>
    </row>
    <row r="13288" spans="20:20" s="566" customFormat="1">
      <c r="T13288" s="41"/>
    </row>
    <row r="13289" spans="20:20" s="566" customFormat="1">
      <c r="T13289" s="41"/>
    </row>
    <row r="13290" spans="20:20" s="566" customFormat="1">
      <c r="T13290" s="41"/>
    </row>
    <row r="13291" spans="20:20" s="566" customFormat="1">
      <c r="T13291" s="41"/>
    </row>
    <row r="13292" spans="20:20" s="566" customFormat="1">
      <c r="T13292" s="41"/>
    </row>
    <row r="13293" spans="20:20" s="566" customFormat="1">
      <c r="T13293" s="41"/>
    </row>
    <row r="13294" spans="20:20" s="566" customFormat="1">
      <c r="T13294" s="41"/>
    </row>
    <row r="13295" spans="20:20" s="566" customFormat="1">
      <c r="T13295" s="41"/>
    </row>
    <row r="13296" spans="20:20" s="566" customFormat="1">
      <c r="T13296" s="41"/>
    </row>
    <row r="13297" spans="20:20" s="566" customFormat="1">
      <c r="T13297" s="41"/>
    </row>
    <row r="13298" spans="20:20" s="566" customFormat="1">
      <c r="T13298" s="41"/>
    </row>
    <row r="13299" spans="20:20" s="566" customFormat="1">
      <c r="T13299" s="41"/>
    </row>
    <row r="13300" spans="20:20" s="566" customFormat="1">
      <c r="T13300" s="41"/>
    </row>
    <row r="13301" spans="20:20" s="566" customFormat="1">
      <c r="T13301" s="41"/>
    </row>
    <row r="13302" spans="20:20" s="566" customFormat="1">
      <c r="T13302" s="41"/>
    </row>
    <row r="13303" spans="20:20" s="566" customFormat="1">
      <c r="T13303" s="41"/>
    </row>
    <row r="13304" spans="20:20" s="566" customFormat="1">
      <c r="T13304" s="41"/>
    </row>
    <row r="13305" spans="20:20" s="566" customFormat="1">
      <c r="T13305" s="41"/>
    </row>
    <row r="13306" spans="20:20" s="566" customFormat="1">
      <c r="T13306" s="41"/>
    </row>
    <row r="13307" spans="20:20" s="566" customFormat="1">
      <c r="T13307" s="41"/>
    </row>
    <row r="13308" spans="20:20" s="566" customFormat="1">
      <c r="T13308" s="41"/>
    </row>
    <row r="13309" spans="20:20" s="566" customFormat="1">
      <c r="T13309" s="41"/>
    </row>
    <row r="13310" spans="20:20" s="566" customFormat="1">
      <c r="T13310" s="41"/>
    </row>
    <row r="13311" spans="20:20" s="566" customFormat="1">
      <c r="T13311" s="41"/>
    </row>
    <row r="13312" spans="20:20" s="566" customFormat="1">
      <c r="T13312" s="41"/>
    </row>
    <row r="13313" spans="20:20" s="566" customFormat="1">
      <c r="T13313" s="41"/>
    </row>
    <row r="13314" spans="20:20" s="566" customFormat="1">
      <c r="T13314" s="41"/>
    </row>
    <row r="13315" spans="20:20" s="566" customFormat="1">
      <c r="T13315" s="41"/>
    </row>
    <row r="13316" spans="20:20" s="566" customFormat="1">
      <c r="T13316" s="41"/>
    </row>
    <row r="13317" spans="20:20" s="566" customFormat="1">
      <c r="T13317" s="41"/>
    </row>
    <row r="13318" spans="20:20" s="566" customFormat="1">
      <c r="T13318" s="41"/>
    </row>
    <row r="13319" spans="20:20" s="566" customFormat="1">
      <c r="T13319" s="41"/>
    </row>
    <row r="13320" spans="20:20" s="566" customFormat="1">
      <c r="T13320" s="41"/>
    </row>
    <row r="13321" spans="20:20" s="566" customFormat="1">
      <c r="T13321" s="41"/>
    </row>
    <row r="13322" spans="20:20" s="566" customFormat="1">
      <c r="T13322" s="41"/>
    </row>
    <row r="13323" spans="20:20" s="566" customFormat="1">
      <c r="T13323" s="41"/>
    </row>
    <row r="13324" spans="20:20" s="566" customFormat="1">
      <c r="T13324" s="41"/>
    </row>
    <row r="13325" spans="20:20" s="566" customFormat="1">
      <c r="T13325" s="41"/>
    </row>
    <row r="13326" spans="20:20" s="566" customFormat="1">
      <c r="T13326" s="41"/>
    </row>
    <row r="13327" spans="20:20" s="566" customFormat="1">
      <c r="T13327" s="41"/>
    </row>
    <row r="13328" spans="20:20" s="566" customFormat="1">
      <c r="T13328" s="41"/>
    </row>
    <row r="13329" spans="20:20" s="566" customFormat="1">
      <c r="T13329" s="41"/>
    </row>
    <row r="13330" spans="20:20" s="566" customFormat="1">
      <c r="T13330" s="41"/>
    </row>
    <row r="13331" spans="20:20" s="566" customFormat="1">
      <c r="T13331" s="41"/>
    </row>
    <row r="13332" spans="20:20" s="566" customFormat="1">
      <c r="T13332" s="41"/>
    </row>
    <row r="13333" spans="20:20" s="566" customFormat="1">
      <c r="T13333" s="41"/>
    </row>
    <row r="13334" spans="20:20" s="566" customFormat="1">
      <c r="T13334" s="41"/>
    </row>
    <row r="13335" spans="20:20" s="566" customFormat="1">
      <c r="T13335" s="41"/>
    </row>
    <row r="13336" spans="20:20" s="566" customFormat="1">
      <c r="T13336" s="41"/>
    </row>
    <row r="13337" spans="20:20" s="566" customFormat="1">
      <c r="T13337" s="41"/>
    </row>
    <row r="13338" spans="20:20" s="566" customFormat="1">
      <c r="T13338" s="41"/>
    </row>
    <row r="13339" spans="20:20" s="566" customFormat="1">
      <c r="T13339" s="41"/>
    </row>
    <row r="13340" spans="20:20" s="566" customFormat="1">
      <c r="T13340" s="41"/>
    </row>
    <row r="13341" spans="20:20" s="566" customFormat="1">
      <c r="T13341" s="41"/>
    </row>
    <row r="13342" spans="20:20" s="566" customFormat="1">
      <c r="T13342" s="41"/>
    </row>
    <row r="13343" spans="20:20" s="566" customFormat="1">
      <c r="T13343" s="41"/>
    </row>
    <row r="13344" spans="20:20" s="566" customFormat="1">
      <c r="T13344" s="41"/>
    </row>
    <row r="13345" spans="20:20" s="566" customFormat="1">
      <c r="T13345" s="41"/>
    </row>
    <row r="13346" spans="20:20" s="566" customFormat="1">
      <c r="T13346" s="41"/>
    </row>
    <row r="13347" spans="20:20" s="566" customFormat="1">
      <c r="T13347" s="41"/>
    </row>
    <row r="13348" spans="20:20" s="566" customFormat="1">
      <c r="T13348" s="41"/>
    </row>
    <row r="13349" spans="20:20" s="566" customFormat="1">
      <c r="T13349" s="41"/>
    </row>
    <row r="13350" spans="20:20" s="566" customFormat="1">
      <c r="T13350" s="41"/>
    </row>
    <row r="13351" spans="20:20" s="566" customFormat="1">
      <c r="T13351" s="41"/>
    </row>
    <row r="13352" spans="20:20" s="566" customFormat="1">
      <c r="T13352" s="41"/>
    </row>
    <row r="13353" spans="20:20" s="566" customFormat="1">
      <c r="T13353" s="41"/>
    </row>
    <row r="13354" spans="20:20" s="566" customFormat="1">
      <c r="T13354" s="41"/>
    </row>
    <row r="13355" spans="20:20" s="566" customFormat="1">
      <c r="T13355" s="41"/>
    </row>
    <row r="13356" spans="20:20" s="566" customFormat="1">
      <c r="T13356" s="41"/>
    </row>
    <row r="13357" spans="20:20" s="566" customFormat="1">
      <c r="T13357" s="41"/>
    </row>
    <row r="13358" spans="20:20" s="566" customFormat="1">
      <c r="T13358" s="41"/>
    </row>
    <row r="13359" spans="20:20" s="566" customFormat="1">
      <c r="T13359" s="41"/>
    </row>
    <row r="13360" spans="20:20" s="566" customFormat="1">
      <c r="T13360" s="41"/>
    </row>
    <row r="13361" spans="20:20" s="566" customFormat="1">
      <c r="T13361" s="41"/>
    </row>
    <row r="13362" spans="20:20" s="566" customFormat="1">
      <c r="T13362" s="41"/>
    </row>
    <row r="13363" spans="20:20" s="566" customFormat="1">
      <c r="T13363" s="41"/>
    </row>
    <row r="13364" spans="20:20" s="566" customFormat="1">
      <c r="T13364" s="41"/>
    </row>
    <row r="13365" spans="20:20" s="566" customFormat="1">
      <c r="T13365" s="41"/>
    </row>
    <row r="13366" spans="20:20" s="566" customFormat="1">
      <c r="T13366" s="41"/>
    </row>
    <row r="13367" spans="20:20" s="566" customFormat="1">
      <c r="T13367" s="41"/>
    </row>
    <row r="13368" spans="20:20" s="566" customFormat="1">
      <c r="T13368" s="41"/>
    </row>
    <row r="13369" spans="20:20" s="566" customFormat="1">
      <c r="T13369" s="41"/>
    </row>
    <row r="13370" spans="20:20" s="566" customFormat="1">
      <c r="T13370" s="41"/>
    </row>
    <row r="13371" spans="20:20" s="566" customFormat="1">
      <c r="T13371" s="41"/>
    </row>
    <row r="13372" spans="20:20" s="566" customFormat="1">
      <c r="T13372" s="41"/>
    </row>
    <row r="13373" spans="20:20" s="566" customFormat="1">
      <c r="T13373" s="41"/>
    </row>
    <row r="13374" spans="20:20" s="566" customFormat="1">
      <c r="T13374" s="41"/>
    </row>
    <row r="13375" spans="20:20" s="566" customFormat="1">
      <c r="T13375" s="41"/>
    </row>
    <row r="13376" spans="20:20" s="566" customFormat="1">
      <c r="T13376" s="41"/>
    </row>
    <row r="13377" spans="20:20" s="566" customFormat="1">
      <c r="T13377" s="41"/>
    </row>
    <row r="13378" spans="20:20" s="566" customFormat="1">
      <c r="T13378" s="41"/>
    </row>
    <row r="13379" spans="20:20" s="566" customFormat="1">
      <c r="T13379" s="41"/>
    </row>
    <row r="13380" spans="20:20" s="566" customFormat="1">
      <c r="T13380" s="41"/>
    </row>
    <row r="13381" spans="20:20" s="566" customFormat="1">
      <c r="T13381" s="41"/>
    </row>
    <row r="13382" spans="20:20" s="566" customFormat="1">
      <c r="T13382" s="41"/>
    </row>
    <row r="13383" spans="20:20" s="566" customFormat="1">
      <c r="T13383" s="41"/>
    </row>
    <row r="13384" spans="20:20" s="566" customFormat="1">
      <c r="T13384" s="41"/>
    </row>
    <row r="13385" spans="20:20" s="566" customFormat="1">
      <c r="T13385" s="41"/>
    </row>
    <row r="13386" spans="20:20" s="566" customFormat="1">
      <c r="T13386" s="41"/>
    </row>
    <row r="13387" spans="20:20" s="566" customFormat="1">
      <c r="T13387" s="41"/>
    </row>
    <row r="13388" spans="20:20" s="566" customFormat="1">
      <c r="T13388" s="41"/>
    </row>
    <row r="13389" spans="20:20" s="566" customFormat="1">
      <c r="T13389" s="41"/>
    </row>
    <row r="13390" spans="20:20" s="566" customFormat="1">
      <c r="T13390" s="41"/>
    </row>
    <row r="13391" spans="20:20" s="566" customFormat="1">
      <c r="T13391" s="41"/>
    </row>
    <row r="13392" spans="20:20" s="566" customFormat="1">
      <c r="T13392" s="41"/>
    </row>
    <row r="13393" spans="20:20" s="566" customFormat="1">
      <c r="T13393" s="41"/>
    </row>
    <row r="13394" spans="20:20" s="566" customFormat="1">
      <c r="T13394" s="41"/>
    </row>
    <row r="13395" spans="20:20" s="566" customFormat="1">
      <c r="T13395" s="41"/>
    </row>
    <row r="13396" spans="20:20" s="566" customFormat="1">
      <c r="T13396" s="41"/>
    </row>
    <row r="13397" spans="20:20" s="566" customFormat="1">
      <c r="T13397" s="41"/>
    </row>
    <row r="13398" spans="20:20" s="566" customFormat="1">
      <c r="T13398" s="41"/>
    </row>
    <row r="13399" spans="20:20" s="566" customFormat="1">
      <c r="T13399" s="41"/>
    </row>
    <row r="13400" spans="20:20" s="566" customFormat="1">
      <c r="T13400" s="41"/>
    </row>
    <row r="13401" spans="20:20" s="566" customFormat="1">
      <c r="T13401" s="41"/>
    </row>
    <row r="13402" spans="20:20" s="566" customFormat="1">
      <c r="T13402" s="41"/>
    </row>
    <row r="13403" spans="20:20" s="566" customFormat="1">
      <c r="T13403" s="41"/>
    </row>
    <row r="13404" spans="20:20" s="566" customFormat="1">
      <c r="T13404" s="41"/>
    </row>
    <row r="13405" spans="20:20" s="566" customFormat="1">
      <c r="T13405" s="41"/>
    </row>
    <row r="13406" spans="20:20" s="566" customFormat="1">
      <c r="T13406" s="41"/>
    </row>
    <row r="13407" spans="20:20" s="566" customFormat="1">
      <c r="T13407" s="41"/>
    </row>
    <row r="13408" spans="20:20" s="566" customFormat="1">
      <c r="T13408" s="41"/>
    </row>
    <row r="13409" spans="20:20" s="566" customFormat="1">
      <c r="T13409" s="41"/>
    </row>
    <row r="13410" spans="20:20" s="566" customFormat="1">
      <c r="T13410" s="41"/>
    </row>
    <row r="13411" spans="20:20" s="566" customFormat="1">
      <c r="T13411" s="41"/>
    </row>
    <row r="13412" spans="20:20" s="566" customFormat="1">
      <c r="T13412" s="41"/>
    </row>
    <row r="13413" spans="20:20" s="566" customFormat="1">
      <c r="T13413" s="41"/>
    </row>
    <row r="13414" spans="20:20" s="566" customFormat="1">
      <c r="T13414" s="41"/>
    </row>
    <row r="13415" spans="20:20" s="566" customFormat="1">
      <c r="T13415" s="41"/>
    </row>
    <row r="13416" spans="20:20" s="566" customFormat="1">
      <c r="T13416" s="41"/>
    </row>
    <row r="13417" spans="20:20" s="566" customFormat="1">
      <c r="T13417" s="41"/>
    </row>
    <row r="13418" spans="20:20" s="566" customFormat="1">
      <c r="T13418" s="41"/>
    </row>
    <row r="13419" spans="20:20" s="566" customFormat="1">
      <c r="T13419" s="41"/>
    </row>
    <row r="13420" spans="20:20" s="566" customFormat="1">
      <c r="T13420" s="41"/>
    </row>
    <row r="13421" spans="20:20" s="566" customFormat="1">
      <c r="T13421" s="41"/>
    </row>
    <row r="13422" spans="20:20" s="566" customFormat="1">
      <c r="T13422" s="41"/>
    </row>
    <row r="13423" spans="20:20" s="566" customFormat="1">
      <c r="T13423" s="41"/>
    </row>
    <row r="13424" spans="20:20" s="566" customFormat="1">
      <c r="T13424" s="41"/>
    </row>
    <row r="13425" spans="20:20" s="566" customFormat="1">
      <c r="T13425" s="41"/>
    </row>
    <row r="13426" spans="20:20" s="566" customFormat="1">
      <c r="T13426" s="41"/>
    </row>
    <row r="13427" spans="20:20" s="566" customFormat="1">
      <c r="T13427" s="41"/>
    </row>
    <row r="13428" spans="20:20" s="566" customFormat="1">
      <c r="T13428" s="41"/>
    </row>
    <row r="13429" spans="20:20" s="566" customFormat="1">
      <c r="T13429" s="41"/>
    </row>
    <row r="13430" spans="20:20" s="566" customFormat="1">
      <c r="T13430" s="41"/>
    </row>
    <row r="13431" spans="20:20" s="566" customFormat="1">
      <c r="T13431" s="41"/>
    </row>
    <row r="13432" spans="20:20" s="566" customFormat="1">
      <c r="T13432" s="41"/>
    </row>
    <row r="13433" spans="20:20" s="566" customFormat="1">
      <c r="T13433" s="41"/>
    </row>
    <row r="13434" spans="20:20" s="566" customFormat="1">
      <c r="T13434" s="41"/>
    </row>
    <row r="13435" spans="20:20" s="566" customFormat="1">
      <c r="T13435" s="41"/>
    </row>
    <row r="13436" spans="20:20" s="566" customFormat="1">
      <c r="T13436" s="41"/>
    </row>
    <row r="13437" spans="20:20" s="566" customFormat="1">
      <c r="T13437" s="41"/>
    </row>
    <row r="13438" spans="20:20" s="566" customFormat="1">
      <c r="T13438" s="41"/>
    </row>
    <row r="13439" spans="20:20" s="566" customFormat="1">
      <c r="T13439" s="41"/>
    </row>
    <row r="13440" spans="20:20" s="566" customFormat="1">
      <c r="T13440" s="41"/>
    </row>
    <row r="13441" spans="20:20" s="566" customFormat="1">
      <c r="T13441" s="41"/>
    </row>
    <row r="13442" spans="20:20" s="566" customFormat="1">
      <c r="T13442" s="41"/>
    </row>
    <row r="13443" spans="20:20" s="566" customFormat="1">
      <c r="T13443" s="41"/>
    </row>
    <row r="13444" spans="20:20" s="566" customFormat="1">
      <c r="T13444" s="41"/>
    </row>
    <row r="13445" spans="20:20" s="566" customFormat="1">
      <c r="T13445" s="41"/>
    </row>
    <row r="13446" spans="20:20" s="566" customFormat="1">
      <c r="T13446" s="41"/>
    </row>
    <row r="13447" spans="20:20" s="566" customFormat="1">
      <c r="T13447" s="41"/>
    </row>
    <row r="13448" spans="20:20" s="566" customFormat="1">
      <c r="T13448" s="41"/>
    </row>
    <row r="13449" spans="20:20" s="566" customFormat="1">
      <c r="T13449" s="41"/>
    </row>
    <row r="13450" spans="20:20" s="566" customFormat="1">
      <c r="T13450" s="41"/>
    </row>
    <row r="13451" spans="20:20" s="566" customFormat="1">
      <c r="T13451" s="41"/>
    </row>
    <row r="13452" spans="20:20" s="566" customFormat="1">
      <c r="T13452" s="41"/>
    </row>
    <row r="13453" spans="20:20" s="566" customFormat="1">
      <c r="T13453" s="41"/>
    </row>
    <row r="13454" spans="20:20" s="566" customFormat="1">
      <c r="T13454" s="41"/>
    </row>
    <row r="13455" spans="20:20" s="566" customFormat="1">
      <c r="T13455" s="41"/>
    </row>
    <row r="13456" spans="20:20" s="566" customFormat="1">
      <c r="T13456" s="41"/>
    </row>
    <row r="13457" spans="20:20" s="566" customFormat="1">
      <c r="T13457" s="41"/>
    </row>
    <row r="13458" spans="20:20" s="566" customFormat="1">
      <c r="T13458" s="41"/>
    </row>
    <row r="13459" spans="20:20" s="566" customFormat="1">
      <c r="T13459" s="41"/>
    </row>
    <row r="13460" spans="20:20" s="566" customFormat="1">
      <c r="T13460" s="41"/>
    </row>
    <row r="13461" spans="20:20" s="566" customFormat="1">
      <c r="T13461" s="41"/>
    </row>
    <row r="13462" spans="20:20" s="566" customFormat="1">
      <c r="T13462" s="41"/>
    </row>
    <row r="13463" spans="20:20" s="566" customFormat="1">
      <c r="T13463" s="41"/>
    </row>
    <row r="13464" spans="20:20" s="566" customFormat="1">
      <c r="T13464" s="41"/>
    </row>
    <row r="13465" spans="20:20" s="566" customFormat="1">
      <c r="T13465" s="41"/>
    </row>
    <row r="13466" spans="20:20" s="566" customFormat="1">
      <c r="T13466" s="41"/>
    </row>
    <row r="13467" spans="20:20" s="566" customFormat="1">
      <c r="T13467" s="41"/>
    </row>
    <row r="13468" spans="20:20" s="566" customFormat="1">
      <c r="T13468" s="41"/>
    </row>
    <row r="13469" spans="20:20" s="566" customFormat="1">
      <c r="T13469" s="41"/>
    </row>
    <row r="13470" spans="20:20" s="566" customFormat="1">
      <c r="T13470" s="41"/>
    </row>
    <row r="13471" spans="20:20" s="566" customFormat="1">
      <c r="T13471" s="41"/>
    </row>
    <row r="13472" spans="20:20" s="566" customFormat="1">
      <c r="T13472" s="41"/>
    </row>
    <row r="13473" spans="20:20" s="566" customFormat="1">
      <c r="T13473" s="41"/>
    </row>
    <row r="13474" spans="20:20" s="566" customFormat="1">
      <c r="T13474" s="41"/>
    </row>
    <row r="13475" spans="20:20" s="566" customFormat="1">
      <c r="T13475" s="41"/>
    </row>
    <row r="13476" spans="20:20" s="566" customFormat="1">
      <c r="T13476" s="41"/>
    </row>
    <row r="13477" spans="20:20" s="566" customFormat="1">
      <c r="T13477" s="41"/>
    </row>
    <row r="13478" spans="20:20" s="566" customFormat="1">
      <c r="T13478" s="41"/>
    </row>
    <row r="13479" spans="20:20" s="566" customFormat="1">
      <c r="T13479" s="41"/>
    </row>
    <row r="13480" spans="20:20" s="566" customFormat="1">
      <c r="T13480" s="41"/>
    </row>
    <row r="13481" spans="20:20" s="566" customFormat="1">
      <c r="T13481" s="41"/>
    </row>
    <row r="13482" spans="20:20" s="566" customFormat="1">
      <c r="T13482" s="41"/>
    </row>
    <row r="13483" spans="20:20" s="566" customFormat="1">
      <c r="T13483" s="41"/>
    </row>
    <row r="13484" spans="20:20" s="566" customFormat="1">
      <c r="T13484" s="41"/>
    </row>
    <row r="13485" spans="20:20" s="566" customFormat="1">
      <c r="T13485" s="41"/>
    </row>
    <row r="13486" spans="20:20" s="566" customFormat="1">
      <c r="T13486" s="41"/>
    </row>
    <row r="13487" spans="20:20" s="566" customFormat="1">
      <c r="T13487" s="41"/>
    </row>
    <row r="13488" spans="20:20" s="566" customFormat="1">
      <c r="T13488" s="41"/>
    </row>
    <row r="13489" spans="20:20" s="566" customFormat="1">
      <c r="T13489" s="41"/>
    </row>
    <row r="13490" spans="20:20" s="566" customFormat="1">
      <c r="T13490" s="41"/>
    </row>
    <row r="13491" spans="20:20" s="566" customFormat="1">
      <c r="T13491" s="41"/>
    </row>
    <row r="13492" spans="20:20" s="566" customFormat="1">
      <c r="T13492" s="41"/>
    </row>
    <row r="13493" spans="20:20" s="566" customFormat="1">
      <c r="T13493" s="41"/>
    </row>
    <row r="13494" spans="20:20" s="566" customFormat="1">
      <c r="T13494" s="41"/>
    </row>
    <row r="13495" spans="20:20" s="566" customFormat="1">
      <c r="T13495" s="41"/>
    </row>
    <row r="13496" spans="20:20" s="566" customFormat="1">
      <c r="T13496" s="41"/>
    </row>
    <row r="13497" spans="20:20" s="566" customFormat="1">
      <c r="T13497" s="41"/>
    </row>
    <row r="13498" spans="20:20" s="566" customFormat="1">
      <c r="T13498" s="41"/>
    </row>
    <row r="13499" spans="20:20" s="566" customFormat="1">
      <c r="T13499" s="41"/>
    </row>
    <row r="13500" spans="20:20" s="566" customFormat="1">
      <c r="T13500" s="41"/>
    </row>
    <row r="13501" spans="20:20" s="566" customFormat="1">
      <c r="T13501" s="41"/>
    </row>
    <row r="13502" spans="20:20" s="566" customFormat="1">
      <c r="T13502" s="41"/>
    </row>
    <row r="13503" spans="20:20" s="566" customFormat="1">
      <c r="T13503" s="41"/>
    </row>
    <row r="13504" spans="20:20" s="566" customFormat="1">
      <c r="T13504" s="41"/>
    </row>
    <row r="13505" spans="20:20" s="566" customFormat="1">
      <c r="T13505" s="41"/>
    </row>
    <row r="13506" spans="20:20" s="566" customFormat="1">
      <c r="T13506" s="41"/>
    </row>
    <row r="13507" spans="20:20" s="566" customFormat="1">
      <c r="T13507" s="41"/>
    </row>
    <row r="13508" spans="20:20" s="566" customFormat="1">
      <c r="T13508" s="41"/>
    </row>
    <row r="13509" spans="20:20" s="566" customFormat="1">
      <c r="T13509" s="41"/>
    </row>
    <row r="13510" spans="20:20" s="566" customFormat="1">
      <c r="T13510" s="41"/>
    </row>
    <row r="13511" spans="20:20" s="566" customFormat="1">
      <c r="T13511" s="41"/>
    </row>
    <row r="13512" spans="20:20" s="566" customFormat="1">
      <c r="T13512" s="41"/>
    </row>
    <row r="13513" spans="20:20" s="566" customFormat="1">
      <c r="T13513" s="41"/>
    </row>
    <row r="13514" spans="20:20" s="566" customFormat="1">
      <c r="T13514" s="41"/>
    </row>
    <row r="13515" spans="20:20" s="566" customFormat="1">
      <c r="T13515" s="41"/>
    </row>
    <row r="13516" spans="20:20" s="566" customFormat="1">
      <c r="T13516" s="41"/>
    </row>
    <row r="13517" spans="20:20" s="566" customFormat="1">
      <c r="T13517" s="41"/>
    </row>
    <row r="13518" spans="20:20" s="566" customFormat="1">
      <c r="T13518" s="41"/>
    </row>
    <row r="13519" spans="20:20" s="566" customFormat="1">
      <c r="T13519" s="41"/>
    </row>
    <row r="13520" spans="20:20" s="566" customFormat="1">
      <c r="T13520" s="41"/>
    </row>
    <row r="13521" spans="20:20" s="566" customFormat="1">
      <c r="T13521" s="41"/>
    </row>
    <row r="13522" spans="20:20" s="566" customFormat="1">
      <c r="T13522" s="41"/>
    </row>
    <row r="13523" spans="20:20" s="566" customFormat="1">
      <c r="T13523" s="41"/>
    </row>
    <row r="13524" spans="20:20" s="566" customFormat="1">
      <c r="T13524" s="41"/>
    </row>
    <row r="13525" spans="20:20" s="566" customFormat="1">
      <c r="T13525" s="41"/>
    </row>
    <row r="13526" spans="20:20" s="566" customFormat="1">
      <c r="T13526" s="41"/>
    </row>
    <row r="13527" spans="20:20" s="566" customFormat="1">
      <c r="T13527" s="41"/>
    </row>
    <row r="13528" spans="20:20" s="566" customFormat="1">
      <c r="T13528" s="41"/>
    </row>
    <row r="13529" spans="20:20" s="566" customFormat="1">
      <c r="T13529" s="41"/>
    </row>
    <row r="13530" spans="20:20" s="566" customFormat="1">
      <c r="T13530" s="41"/>
    </row>
    <row r="13531" spans="20:20" s="566" customFormat="1">
      <c r="T13531" s="41"/>
    </row>
    <row r="13532" spans="20:20" s="566" customFormat="1">
      <c r="T13532" s="41"/>
    </row>
    <row r="13533" spans="20:20" s="566" customFormat="1">
      <c r="T13533" s="41"/>
    </row>
    <row r="13534" spans="20:20" s="566" customFormat="1">
      <c r="T13534" s="41"/>
    </row>
    <row r="13535" spans="20:20" s="566" customFormat="1">
      <c r="T13535" s="41"/>
    </row>
    <row r="13536" spans="20:20" s="566" customFormat="1">
      <c r="T13536" s="41"/>
    </row>
    <row r="13537" spans="20:20" s="566" customFormat="1">
      <c r="T13537" s="41"/>
    </row>
    <row r="13538" spans="20:20" s="566" customFormat="1">
      <c r="T13538" s="41"/>
    </row>
    <row r="13539" spans="20:20" s="566" customFormat="1">
      <c r="T13539" s="41"/>
    </row>
    <row r="13540" spans="20:20" s="566" customFormat="1">
      <c r="T13540" s="41"/>
    </row>
    <row r="13541" spans="20:20" s="566" customFormat="1">
      <c r="T13541" s="41"/>
    </row>
    <row r="13542" spans="20:20" s="566" customFormat="1">
      <c r="T13542" s="41"/>
    </row>
    <row r="13543" spans="20:20" s="566" customFormat="1">
      <c r="T13543" s="41"/>
    </row>
    <row r="13544" spans="20:20" s="566" customFormat="1">
      <c r="T13544" s="41"/>
    </row>
    <row r="13545" spans="20:20" s="566" customFormat="1">
      <c r="T13545" s="41"/>
    </row>
    <row r="13546" spans="20:20" s="566" customFormat="1">
      <c r="T13546" s="41"/>
    </row>
    <row r="13547" spans="20:20" s="566" customFormat="1">
      <c r="T13547" s="41"/>
    </row>
    <row r="13548" spans="20:20" s="566" customFormat="1">
      <c r="T13548" s="41"/>
    </row>
    <row r="13549" spans="20:20" s="566" customFormat="1">
      <c r="T13549" s="41"/>
    </row>
    <row r="13550" spans="20:20" s="566" customFormat="1">
      <c r="T13550" s="41"/>
    </row>
    <row r="13551" spans="20:20" s="566" customFormat="1">
      <c r="T13551" s="41"/>
    </row>
    <row r="13552" spans="20:20" s="566" customFormat="1">
      <c r="T13552" s="41"/>
    </row>
    <row r="13553" spans="20:20" s="566" customFormat="1">
      <c r="T13553" s="41"/>
    </row>
    <row r="13554" spans="20:20" s="566" customFormat="1">
      <c r="T13554" s="41"/>
    </row>
    <row r="13555" spans="20:20" s="566" customFormat="1">
      <c r="T13555" s="41"/>
    </row>
    <row r="13556" spans="20:20" s="566" customFormat="1">
      <c r="T13556" s="41"/>
    </row>
    <row r="13557" spans="20:20" s="566" customFormat="1">
      <c r="T13557" s="41"/>
    </row>
    <row r="13558" spans="20:20" s="566" customFormat="1">
      <c r="T13558" s="41"/>
    </row>
    <row r="13559" spans="20:20" s="566" customFormat="1">
      <c r="T13559" s="41"/>
    </row>
    <row r="13560" spans="20:20" s="566" customFormat="1">
      <c r="T13560" s="41"/>
    </row>
    <row r="13561" spans="20:20" s="566" customFormat="1">
      <c r="T13561" s="41"/>
    </row>
    <row r="13562" spans="20:20" s="566" customFormat="1">
      <c r="T13562" s="41"/>
    </row>
    <row r="13563" spans="20:20" s="566" customFormat="1">
      <c r="T13563" s="41"/>
    </row>
    <row r="13564" spans="20:20" s="566" customFormat="1">
      <c r="T13564" s="41"/>
    </row>
    <row r="13565" spans="20:20" s="566" customFormat="1">
      <c r="T13565" s="41"/>
    </row>
    <row r="13566" spans="20:20" s="566" customFormat="1">
      <c r="T13566" s="41"/>
    </row>
    <row r="13567" spans="20:20" s="566" customFormat="1">
      <c r="T13567" s="41"/>
    </row>
    <row r="13568" spans="20:20" s="566" customFormat="1">
      <c r="T13568" s="41"/>
    </row>
    <row r="13569" spans="20:20" s="566" customFormat="1">
      <c r="T13569" s="41"/>
    </row>
    <row r="13570" spans="20:20" s="566" customFormat="1">
      <c r="T13570" s="41"/>
    </row>
    <row r="13571" spans="20:20" s="566" customFormat="1">
      <c r="T13571" s="41"/>
    </row>
    <row r="13572" spans="20:20" s="566" customFormat="1">
      <c r="T13572" s="41"/>
    </row>
    <row r="13573" spans="20:20" s="566" customFormat="1">
      <c r="T13573" s="41"/>
    </row>
    <row r="13574" spans="20:20" s="566" customFormat="1">
      <c r="T13574" s="41"/>
    </row>
    <row r="13575" spans="20:20" s="566" customFormat="1">
      <c r="T13575" s="41"/>
    </row>
    <row r="13576" spans="20:20" s="566" customFormat="1">
      <c r="T13576" s="41"/>
    </row>
    <row r="13577" spans="20:20" s="566" customFormat="1">
      <c r="T13577" s="41"/>
    </row>
    <row r="13578" spans="20:20" s="566" customFormat="1">
      <c r="T13578" s="41"/>
    </row>
    <row r="13579" spans="20:20" s="566" customFormat="1">
      <c r="T13579" s="41"/>
    </row>
    <row r="13580" spans="20:20" s="566" customFormat="1">
      <c r="T13580" s="41"/>
    </row>
    <row r="13581" spans="20:20" s="566" customFormat="1">
      <c r="T13581" s="41"/>
    </row>
    <row r="13582" spans="20:20" s="566" customFormat="1">
      <c r="T13582" s="41"/>
    </row>
    <row r="13583" spans="20:20" s="566" customFormat="1">
      <c r="T13583" s="41"/>
    </row>
    <row r="13584" spans="20:20" s="566" customFormat="1">
      <c r="T13584" s="41"/>
    </row>
    <row r="13585" spans="20:20" s="566" customFormat="1">
      <c r="T13585" s="41"/>
    </row>
    <row r="13586" spans="20:20" s="566" customFormat="1">
      <c r="T13586" s="41"/>
    </row>
    <row r="13587" spans="20:20" s="566" customFormat="1">
      <c r="T13587" s="41"/>
    </row>
    <row r="13588" spans="20:20" s="566" customFormat="1">
      <c r="T13588" s="41"/>
    </row>
    <row r="13589" spans="20:20" s="566" customFormat="1">
      <c r="T13589" s="41"/>
    </row>
    <row r="13590" spans="20:20" s="566" customFormat="1">
      <c r="T13590" s="41"/>
    </row>
    <row r="13591" spans="20:20" s="566" customFormat="1">
      <c r="T13591" s="41"/>
    </row>
    <row r="13592" spans="20:20" s="566" customFormat="1">
      <c r="T13592" s="41"/>
    </row>
    <row r="13593" spans="20:20" s="566" customFormat="1">
      <c r="T13593" s="41"/>
    </row>
    <row r="13594" spans="20:20" s="566" customFormat="1">
      <c r="T13594" s="41"/>
    </row>
    <row r="13595" spans="20:20" s="566" customFormat="1">
      <c r="T13595" s="41"/>
    </row>
    <row r="13596" spans="20:20" s="566" customFormat="1">
      <c r="T13596" s="41"/>
    </row>
    <row r="13597" spans="20:20" s="566" customFormat="1">
      <c r="T13597" s="41"/>
    </row>
    <row r="13598" spans="20:20" s="566" customFormat="1">
      <c r="T13598" s="41"/>
    </row>
    <row r="13599" spans="20:20" s="566" customFormat="1">
      <c r="T13599" s="41"/>
    </row>
    <row r="13600" spans="20:20" s="566" customFormat="1">
      <c r="T13600" s="41"/>
    </row>
    <row r="13601" spans="20:20" s="566" customFormat="1">
      <c r="T13601" s="41"/>
    </row>
    <row r="13602" spans="20:20" s="566" customFormat="1">
      <c r="T13602" s="41"/>
    </row>
    <row r="13603" spans="20:20" s="566" customFormat="1">
      <c r="T13603" s="41"/>
    </row>
    <row r="13604" spans="20:20" s="566" customFormat="1">
      <c r="T13604" s="41"/>
    </row>
    <row r="13605" spans="20:20" s="566" customFormat="1">
      <c r="T13605" s="41"/>
    </row>
    <row r="13606" spans="20:20" s="566" customFormat="1">
      <c r="T13606" s="41"/>
    </row>
    <row r="13607" spans="20:20" s="566" customFormat="1">
      <c r="T13607" s="41"/>
    </row>
    <row r="13608" spans="20:20" s="566" customFormat="1">
      <c r="T13608" s="41"/>
    </row>
    <row r="13609" spans="20:20" s="566" customFormat="1">
      <c r="T13609" s="41"/>
    </row>
    <row r="13610" spans="20:20" s="566" customFormat="1">
      <c r="T13610" s="41"/>
    </row>
    <row r="13611" spans="20:20" s="566" customFormat="1">
      <c r="T13611" s="41"/>
    </row>
    <row r="13612" spans="20:20" s="566" customFormat="1">
      <c r="T13612" s="41"/>
    </row>
    <row r="13613" spans="20:20" s="566" customFormat="1">
      <c r="T13613" s="41"/>
    </row>
    <row r="13614" spans="20:20" s="566" customFormat="1">
      <c r="T13614" s="41"/>
    </row>
    <row r="13615" spans="20:20" s="566" customFormat="1">
      <c r="T13615" s="41"/>
    </row>
    <row r="13616" spans="20:20" s="566" customFormat="1">
      <c r="T13616" s="41"/>
    </row>
    <row r="13617" spans="20:20" s="566" customFormat="1">
      <c r="T13617" s="41"/>
    </row>
    <row r="13618" spans="20:20" s="566" customFormat="1">
      <c r="T13618" s="41"/>
    </row>
    <row r="13619" spans="20:20" s="566" customFormat="1">
      <c r="T13619" s="41"/>
    </row>
    <row r="13620" spans="20:20" s="566" customFormat="1">
      <c r="T13620" s="41"/>
    </row>
    <row r="13621" spans="20:20" s="566" customFormat="1">
      <c r="T13621" s="41"/>
    </row>
    <row r="13622" spans="20:20" s="566" customFormat="1">
      <c r="T13622" s="41"/>
    </row>
    <row r="13623" spans="20:20" s="566" customFormat="1">
      <c r="T13623" s="41"/>
    </row>
    <row r="13624" spans="20:20" s="566" customFormat="1">
      <c r="T13624" s="41"/>
    </row>
    <row r="13625" spans="20:20" s="566" customFormat="1">
      <c r="T13625" s="41"/>
    </row>
    <row r="13626" spans="20:20" s="566" customFormat="1">
      <c r="T13626" s="41"/>
    </row>
    <row r="13627" spans="20:20" s="566" customFormat="1">
      <c r="T13627" s="41"/>
    </row>
    <row r="13628" spans="20:20" s="566" customFormat="1">
      <c r="T13628" s="41"/>
    </row>
    <row r="13629" spans="20:20" s="566" customFormat="1">
      <c r="T13629" s="41"/>
    </row>
    <row r="13630" spans="20:20" s="566" customFormat="1">
      <c r="T13630" s="41"/>
    </row>
    <row r="13631" spans="20:20" s="566" customFormat="1">
      <c r="T13631" s="41"/>
    </row>
    <row r="13632" spans="20:20" s="566" customFormat="1">
      <c r="T13632" s="41"/>
    </row>
    <row r="13633" spans="20:20" s="566" customFormat="1">
      <c r="T13633" s="41"/>
    </row>
    <row r="13634" spans="20:20" s="566" customFormat="1">
      <c r="T13634" s="41"/>
    </row>
    <row r="13635" spans="20:20" s="566" customFormat="1">
      <c r="T13635" s="41"/>
    </row>
    <row r="13636" spans="20:20" s="566" customFormat="1">
      <c r="T13636" s="41"/>
    </row>
    <row r="13637" spans="20:20" s="566" customFormat="1">
      <c r="T13637" s="41"/>
    </row>
    <row r="13638" spans="20:20" s="566" customFormat="1">
      <c r="T13638" s="41"/>
    </row>
    <row r="13639" spans="20:20" s="566" customFormat="1">
      <c r="T13639" s="41"/>
    </row>
    <row r="13640" spans="20:20" s="566" customFormat="1">
      <c r="T13640" s="41"/>
    </row>
    <row r="13641" spans="20:20" s="566" customFormat="1">
      <c r="T13641" s="41"/>
    </row>
    <row r="13642" spans="20:20" s="566" customFormat="1">
      <c r="T13642" s="41"/>
    </row>
    <row r="13643" spans="20:20" s="566" customFormat="1">
      <c r="T13643" s="41"/>
    </row>
    <row r="13644" spans="20:20" s="566" customFormat="1">
      <c r="T13644" s="41"/>
    </row>
    <row r="13645" spans="20:20" s="566" customFormat="1">
      <c r="T13645" s="41"/>
    </row>
    <row r="13646" spans="20:20" s="566" customFormat="1">
      <c r="T13646" s="41"/>
    </row>
    <row r="13647" spans="20:20" s="566" customFormat="1">
      <c r="T13647" s="41"/>
    </row>
    <row r="13648" spans="20:20" s="566" customFormat="1">
      <c r="T13648" s="41"/>
    </row>
    <row r="13649" spans="20:20" s="566" customFormat="1">
      <c r="T13649" s="41"/>
    </row>
    <row r="13650" spans="20:20" s="566" customFormat="1">
      <c r="T13650" s="41"/>
    </row>
    <row r="13651" spans="20:20" s="566" customFormat="1">
      <c r="T13651" s="41"/>
    </row>
    <row r="13652" spans="20:20" s="566" customFormat="1">
      <c r="T13652" s="41"/>
    </row>
    <row r="13653" spans="20:20" s="566" customFormat="1">
      <c r="T13653" s="41"/>
    </row>
    <row r="13654" spans="20:20" s="566" customFormat="1">
      <c r="T13654" s="41"/>
    </row>
    <row r="13655" spans="20:20" s="566" customFormat="1">
      <c r="T13655" s="41"/>
    </row>
    <row r="13656" spans="20:20" s="566" customFormat="1">
      <c r="T13656" s="41"/>
    </row>
    <row r="13657" spans="20:20" s="566" customFormat="1">
      <c r="T13657" s="41"/>
    </row>
    <row r="13658" spans="20:20" s="566" customFormat="1">
      <c r="T13658" s="41"/>
    </row>
    <row r="13659" spans="20:20" s="566" customFormat="1">
      <c r="T13659" s="41"/>
    </row>
    <row r="13660" spans="20:20" s="566" customFormat="1">
      <c r="T13660" s="41"/>
    </row>
    <row r="13661" spans="20:20" s="566" customFormat="1">
      <c r="T13661" s="41"/>
    </row>
    <row r="13662" spans="20:20" s="566" customFormat="1">
      <c r="T13662" s="41"/>
    </row>
    <row r="13663" spans="20:20" s="566" customFormat="1">
      <c r="T13663" s="41"/>
    </row>
    <row r="13664" spans="20:20" s="566" customFormat="1">
      <c r="T13664" s="41"/>
    </row>
    <row r="13665" spans="20:20" s="566" customFormat="1">
      <c r="T13665" s="41"/>
    </row>
    <row r="13666" spans="20:20" s="566" customFormat="1">
      <c r="T13666" s="41"/>
    </row>
    <row r="13667" spans="20:20" s="566" customFormat="1">
      <c r="T13667" s="41"/>
    </row>
    <row r="13668" spans="20:20" s="566" customFormat="1">
      <c r="T13668" s="41"/>
    </row>
    <row r="13669" spans="20:20" s="566" customFormat="1">
      <c r="T13669" s="41"/>
    </row>
    <row r="13670" spans="20:20" s="566" customFormat="1">
      <c r="T13670" s="41"/>
    </row>
    <row r="13671" spans="20:20" s="566" customFormat="1">
      <c r="T13671" s="41"/>
    </row>
    <row r="13672" spans="20:20" s="566" customFormat="1">
      <c r="T13672" s="41"/>
    </row>
    <row r="13673" spans="20:20" s="566" customFormat="1">
      <c r="T13673" s="41"/>
    </row>
    <row r="13674" spans="20:20" s="566" customFormat="1">
      <c r="T13674" s="41"/>
    </row>
    <row r="13675" spans="20:20" s="566" customFormat="1">
      <c r="T13675" s="41"/>
    </row>
    <row r="13676" spans="20:20" s="566" customFormat="1">
      <c r="T13676" s="41"/>
    </row>
    <row r="13677" spans="20:20" s="566" customFormat="1">
      <c r="T13677" s="41"/>
    </row>
    <row r="13678" spans="20:20" s="566" customFormat="1">
      <c r="T13678" s="41"/>
    </row>
    <row r="13679" spans="20:20" s="566" customFormat="1">
      <c r="T13679" s="41"/>
    </row>
    <row r="13680" spans="20:20" s="566" customFormat="1">
      <c r="T13680" s="41"/>
    </row>
    <row r="13681" spans="20:20" s="566" customFormat="1">
      <c r="T13681" s="41"/>
    </row>
    <row r="13682" spans="20:20" s="566" customFormat="1">
      <c r="T13682" s="41"/>
    </row>
    <row r="13683" spans="20:20" s="566" customFormat="1">
      <c r="T13683" s="41"/>
    </row>
    <row r="13684" spans="20:20" s="566" customFormat="1">
      <c r="T13684" s="41"/>
    </row>
    <row r="13685" spans="20:20" s="566" customFormat="1">
      <c r="T13685" s="41"/>
    </row>
    <row r="13686" spans="20:20" s="566" customFormat="1">
      <c r="T13686" s="41"/>
    </row>
    <row r="13687" spans="20:20" s="566" customFormat="1">
      <c r="T13687" s="41"/>
    </row>
    <row r="13688" spans="20:20" s="566" customFormat="1">
      <c r="T13688" s="41"/>
    </row>
    <row r="13689" spans="20:20" s="566" customFormat="1">
      <c r="T13689" s="41"/>
    </row>
    <row r="13690" spans="20:20" s="566" customFormat="1">
      <c r="T13690" s="41"/>
    </row>
    <row r="13691" spans="20:20" s="566" customFormat="1">
      <c r="T13691" s="41"/>
    </row>
    <row r="13692" spans="20:20" s="566" customFormat="1">
      <c r="T13692" s="41"/>
    </row>
    <row r="13693" spans="20:20" s="566" customFormat="1">
      <c r="T13693" s="41"/>
    </row>
    <row r="13694" spans="20:20" s="566" customFormat="1">
      <c r="T13694" s="41"/>
    </row>
    <row r="13695" spans="20:20" s="566" customFormat="1">
      <c r="T13695" s="41"/>
    </row>
    <row r="13696" spans="20:20" s="566" customFormat="1">
      <c r="T13696" s="41"/>
    </row>
    <row r="13697" spans="20:20" s="566" customFormat="1">
      <c r="T13697" s="41"/>
    </row>
    <row r="13698" spans="20:20" s="566" customFormat="1">
      <c r="T13698" s="41"/>
    </row>
    <row r="13699" spans="20:20" s="566" customFormat="1">
      <c r="T13699" s="41"/>
    </row>
    <row r="13700" spans="20:20" s="566" customFormat="1">
      <c r="T13700" s="41"/>
    </row>
    <row r="13701" spans="20:20" s="566" customFormat="1">
      <c r="T13701" s="41"/>
    </row>
    <row r="13702" spans="20:20" s="566" customFormat="1">
      <c r="T13702" s="41"/>
    </row>
    <row r="13703" spans="20:20" s="566" customFormat="1">
      <c r="T13703" s="41"/>
    </row>
    <row r="13704" spans="20:20" s="566" customFormat="1">
      <c r="T13704" s="41"/>
    </row>
    <row r="13705" spans="20:20" s="566" customFormat="1">
      <c r="T13705" s="41"/>
    </row>
    <row r="13706" spans="20:20" s="566" customFormat="1">
      <c r="T13706" s="41"/>
    </row>
    <row r="13707" spans="20:20" s="566" customFormat="1">
      <c r="T13707" s="41"/>
    </row>
    <row r="13708" spans="20:20" s="566" customFormat="1">
      <c r="T13708" s="41"/>
    </row>
    <row r="13709" spans="20:20" s="566" customFormat="1">
      <c r="T13709" s="41"/>
    </row>
    <row r="13710" spans="20:20" s="566" customFormat="1">
      <c r="T13710" s="41"/>
    </row>
    <row r="13711" spans="20:20" s="566" customFormat="1">
      <c r="T13711" s="41"/>
    </row>
    <row r="13712" spans="20:20" s="566" customFormat="1">
      <c r="T13712" s="41"/>
    </row>
    <row r="13713" spans="20:20" s="566" customFormat="1">
      <c r="T13713" s="41"/>
    </row>
    <row r="13714" spans="20:20" s="566" customFormat="1">
      <c r="T13714" s="41"/>
    </row>
    <row r="13715" spans="20:20" s="566" customFormat="1">
      <c r="T13715" s="41"/>
    </row>
    <row r="13716" spans="20:20" s="566" customFormat="1">
      <c r="T13716" s="41"/>
    </row>
    <row r="13717" spans="20:20" s="566" customFormat="1">
      <c r="T13717" s="41"/>
    </row>
    <row r="13718" spans="20:20" s="566" customFormat="1">
      <c r="T13718" s="41"/>
    </row>
    <row r="13719" spans="20:20" s="566" customFormat="1">
      <c r="T13719" s="41"/>
    </row>
    <row r="13720" spans="20:20" s="566" customFormat="1">
      <c r="T13720" s="41"/>
    </row>
    <row r="13721" spans="20:20" s="566" customFormat="1">
      <c r="T13721" s="41"/>
    </row>
    <row r="13722" spans="20:20" s="566" customFormat="1">
      <c r="T13722" s="41"/>
    </row>
    <row r="13723" spans="20:20" s="566" customFormat="1">
      <c r="T13723" s="41"/>
    </row>
    <row r="13724" spans="20:20" s="566" customFormat="1">
      <c r="T13724" s="41"/>
    </row>
    <row r="13725" spans="20:20" s="566" customFormat="1">
      <c r="T13725" s="41"/>
    </row>
    <row r="13726" spans="20:20" s="566" customFormat="1">
      <c r="T13726" s="41"/>
    </row>
    <row r="13727" spans="20:20" s="566" customFormat="1">
      <c r="T13727" s="41"/>
    </row>
    <row r="13728" spans="20:20" s="566" customFormat="1">
      <c r="T13728" s="41"/>
    </row>
    <row r="13729" spans="20:20" s="566" customFormat="1">
      <c r="T13729" s="41"/>
    </row>
    <row r="13730" spans="20:20" s="566" customFormat="1">
      <c r="T13730" s="41"/>
    </row>
    <row r="13731" spans="20:20" s="566" customFormat="1">
      <c r="T13731" s="41"/>
    </row>
    <row r="13732" spans="20:20" s="566" customFormat="1">
      <c r="T13732" s="41"/>
    </row>
    <row r="13733" spans="20:20" s="566" customFormat="1">
      <c r="T13733" s="41"/>
    </row>
    <row r="13734" spans="20:20" s="566" customFormat="1">
      <c r="T13734" s="41"/>
    </row>
    <row r="13735" spans="20:20" s="566" customFormat="1">
      <c r="T13735" s="41"/>
    </row>
    <row r="13736" spans="20:20" s="566" customFormat="1">
      <c r="T13736" s="41"/>
    </row>
    <row r="13737" spans="20:20" s="566" customFormat="1">
      <c r="T13737" s="41"/>
    </row>
    <row r="13738" spans="20:20" s="566" customFormat="1">
      <c r="T13738" s="41"/>
    </row>
    <row r="13739" spans="20:20" s="566" customFormat="1">
      <c r="T13739" s="41"/>
    </row>
    <row r="13740" spans="20:20" s="566" customFormat="1">
      <c r="T13740" s="41"/>
    </row>
    <row r="13741" spans="20:20" s="566" customFormat="1">
      <c r="T13741" s="41"/>
    </row>
    <row r="13742" spans="20:20" s="566" customFormat="1">
      <c r="T13742" s="41"/>
    </row>
    <row r="13743" spans="20:20" s="566" customFormat="1">
      <c r="T13743" s="41"/>
    </row>
    <row r="13744" spans="20:20" s="566" customFormat="1">
      <c r="T13744" s="41"/>
    </row>
    <row r="13745" spans="20:20" s="566" customFormat="1">
      <c r="T13745" s="41"/>
    </row>
    <row r="13746" spans="20:20" s="566" customFormat="1">
      <c r="T13746" s="41"/>
    </row>
    <row r="13747" spans="20:20" s="566" customFormat="1">
      <c r="T13747" s="41"/>
    </row>
    <row r="13748" spans="20:20" s="566" customFormat="1">
      <c r="T13748" s="41"/>
    </row>
    <row r="13749" spans="20:20" s="566" customFormat="1">
      <c r="T13749" s="41"/>
    </row>
    <row r="13750" spans="20:20" s="566" customFormat="1">
      <c r="T13750" s="41"/>
    </row>
    <row r="13751" spans="20:20" s="566" customFormat="1">
      <c r="T13751" s="41"/>
    </row>
    <row r="13752" spans="20:20" s="566" customFormat="1">
      <c r="T13752" s="41"/>
    </row>
    <row r="13753" spans="20:20" s="566" customFormat="1">
      <c r="T13753" s="41"/>
    </row>
    <row r="13754" spans="20:20" s="566" customFormat="1">
      <c r="T13754" s="41"/>
    </row>
    <row r="13755" spans="20:20" s="566" customFormat="1">
      <c r="T13755" s="41"/>
    </row>
    <row r="13756" spans="20:20" s="566" customFormat="1">
      <c r="T13756" s="41"/>
    </row>
    <row r="13757" spans="20:20" s="566" customFormat="1">
      <c r="T13757" s="41"/>
    </row>
    <row r="13758" spans="20:20" s="566" customFormat="1">
      <c r="T13758" s="41"/>
    </row>
    <row r="13759" spans="20:20" s="566" customFormat="1">
      <c r="T13759" s="41"/>
    </row>
    <row r="13760" spans="20:20" s="566" customFormat="1">
      <c r="T13760" s="41"/>
    </row>
    <row r="13761" spans="20:20" s="566" customFormat="1">
      <c r="T13761" s="41"/>
    </row>
    <row r="13762" spans="20:20" s="566" customFormat="1">
      <c r="T13762" s="41"/>
    </row>
    <row r="13763" spans="20:20" s="566" customFormat="1">
      <c r="T13763" s="41"/>
    </row>
    <row r="13764" spans="20:20" s="566" customFormat="1">
      <c r="T13764" s="41"/>
    </row>
    <row r="13765" spans="20:20" s="566" customFormat="1">
      <c r="T13765" s="41"/>
    </row>
    <row r="13766" spans="20:20" s="566" customFormat="1">
      <c r="T13766" s="41"/>
    </row>
    <row r="13767" spans="20:20" s="566" customFormat="1">
      <c r="T13767" s="41"/>
    </row>
    <row r="13768" spans="20:20" s="566" customFormat="1">
      <c r="T13768" s="41"/>
    </row>
    <row r="13769" spans="20:20" s="566" customFormat="1">
      <c r="T13769" s="41"/>
    </row>
    <row r="13770" spans="20:20" s="566" customFormat="1">
      <c r="T13770" s="41"/>
    </row>
    <row r="13771" spans="20:20" s="566" customFormat="1">
      <c r="T13771" s="41"/>
    </row>
    <row r="13772" spans="20:20" s="566" customFormat="1">
      <c r="T13772" s="41"/>
    </row>
    <row r="13773" spans="20:20" s="566" customFormat="1">
      <c r="T13773" s="41"/>
    </row>
    <row r="13774" spans="20:20" s="566" customFormat="1">
      <c r="T13774" s="41"/>
    </row>
    <row r="13775" spans="20:20" s="566" customFormat="1">
      <c r="T13775" s="41"/>
    </row>
    <row r="13776" spans="20:20" s="566" customFormat="1">
      <c r="T13776" s="41"/>
    </row>
    <row r="13777" spans="20:20" s="566" customFormat="1">
      <c r="T13777" s="41"/>
    </row>
    <row r="13778" spans="20:20" s="566" customFormat="1">
      <c r="T13778" s="41"/>
    </row>
    <row r="13779" spans="20:20" s="566" customFormat="1">
      <c r="T13779" s="41"/>
    </row>
    <row r="13780" spans="20:20" s="566" customFormat="1">
      <c r="T13780" s="41"/>
    </row>
    <row r="13781" spans="20:20" s="566" customFormat="1">
      <c r="T13781" s="41"/>
    </row>
    <row r="13782" spans="20:20" s="566" customFormat="1">
      <c r="T13782" s="41"/>
    </row>
    <row r="13783" spans="20:20" s="566" customFormat="1">
      <c r="T13783" s="41"/>
    </row>
    <row r="13784" spans="20:20" s="566" customFormat="1">
      <c r="T13784" s="41"/>
    </row>
    <row r="13785" spans="20:20" s="566" customFormat="1">
      <c r="T13785" s="41"/>
    </row>
    <row r="13786" spans="20:20" s="566" customFormat="1">
      <c r="T13786" s="41"/>
    </row>
    <row r="13787" spans="20:20" s="566" customFormat="1">
      <c r="T13787" s="41"/>
    </row>
    <row r="13788" spans="20:20" s="566" customFormat="1">
      <c r="T13788" s="41"/>
    </row>
    <row r="13789" spans="20:20" s="566" customFormat="1">
      <c r="T13789" s="41"/>
    </row>
    <row r="13790" spans="20:20" s="566" customFormat="1">
      <c r="T13790" s="41"/>
    </row>
    <row r="13791" spans="20:20" s="566" customFormat="1">
      <c r="T13791" s="41"/>
    </row>
    <row r="13792" spans="20:20" s="566" customFormat="1">
      <c r="T13792" s="41"/>
    </row>
    <row r="13793" spans="20:20" s="566" customFormat="1">
      <c r="T13793" s="41"/>
    </row>
    <row r="13794" spans="20:20" s="566" customFormat="1">
      <c r="T13794" s="41"/>
    </row>
    <row r="13795" spans="20:20" s="566" customFormat="1">
      <c r="T13795" s="41"/>
    </row>
    <row r="13796" spans="20:20" s="566" customFormat="1">
      <c r="T13796" s="41"/>
    </row>
    <row r="13797" spans="20:20" s="566" customFormat="1">
      <c r="T13797" s="41"/>
    </row>
    <row r="13798" spans="20:20" s="566" customFormat="1">
      <c r="T13798" s="41"/>
    </row>
    <row r="13799" spans="20:20" s="566" customFormat="1">
      <c r="T13799" s="41"/>
    </row>
    <row r="13800" spans="20:20" s="566" customFormat="1">
      <c r="T13800" s="41"/>
    </row>
    <row r="13801" spans="20:20" s="566" customFormat="1">
      <c r="T13801" s="41"/>
    </row>
    <row r="13802" spans="20:20" s="566" customFormat="1">
      <c r="T13802" s="41"/>
    </row>
    <row r="13803" spans="20:20" s="566" customFormat="1">
      <c r="T13803" s="41"/>
    </row>
    <row r="13804" spans="20:20" s="566" customFormat="1">
      <c r="T13804" s="41"/>
    </row>
    <row r="13805" spans="20:20" s="566" customFormat="1">
      <c r="T13805" s="41"/>
    </row>
    <row r="13806" spans="20:20" s="566" customFormat="1">
      <c r="T13806" s="41"/>
    </row>
    <row r="13807" spans="20:20" s="566" customFormat="1">
      <c r="T13807" s="41"/>
    </row>
    <row r="13808" spans="20:20" s="566" customFormat="1">
      <c r="T13808" s="41"/>
    </row>
    <row r="13809" spans="20:20" s="566" customFormat="1">
      <c r="T13809" s="41"/>
    </row>
    <row r="13810" spans="20:20" s="566" customFormat="1">
      <c r="T13810" s="41"/>
    </row>
    <row r="13811" spans="20:20" s="566" customFormat="1">
      <c r="T13811" s="41"/>
    </row>
    <row r="13812" spans="20:20" s="566" customFormat="1">
      <c r="T13812" s="41"/>
    </row>
    <row r="13813" spans="20:20" s="566" customFormat="1">
      <c r="T13813" s="41"/>
    </row>
    <row r="13814" spans="20:20" s="566" customFormat="1">
      <c r="T13814" s="41"/>
    </row>
    <row r="13815" spans="20:20" s="566" customFormat="1">
      <c r="T13815" s="41"/>
    </row>
    <row r="13816" spans="20:20" s="566" customFormat="1">
      <c r="T13816" s="41"/>
    </row>
    <row r="13817" spans="20:20" s="566" customFormat="1">
      <c r="T13817" s="41"/>
    </row>
    <row r="13818" spans="20:20" s="566" customFormat="1">
      <c r="T13818" s="41"/>
    </row>
    <row r="13819" spans="20:20" s="566" customFormat="1">
      <c r="T13819" s="41"/>
    </row>
    <row r="13820" spans="20:20" s="566" customFormat="1">
      <c r="T13820" s="41"/>
    </row>
    <row r="13821" spans="20:20" s="566" customFormat="1">
      <c r="T13821" s="41"/>
    </row>
    <row r="13822" spans="20:20" s="566" customFormat="1">
      <c r="T13822" s="41"/>
    </row>
    <row r="13823" spans="20:20" s="566" customFormat="1">
      <c r="T13823" s="41"/>
    </row>
    <row r="13824" spans="20:20" s="566" customFormat="1">
      <c r="T13824" s="41"/>
    </row>
    <row r="13825" spans="20:20" s="566" customFormat="1">
      <c r="T13825" s="41"/>
    </row>
    <row r="13826" spans="20:20" s="566" customFormat="1">
      <c r="T13826" s="41"/>
    </row>
    <row r="13827" spans="20:20" s="566" customFormat="1">
      <c r="T13827" s="41"/>
    </row>
    <row r="13828" spans="20:20" s="566" customFormat="1">
      <c r="T13828" s="41"/>
    </row>
    <row r="13829" spans="20:20" s="566" customFormat="1">
      <c r="T13829" s="41"/>
    </row>
    <row r="13830" spans="20:20" s="566" customFormat="1">
      <c r="T13830" s="41"/>
    </row>
    <row r="13831" spans="20:20" s="566" customFormat="1">
      <c r="T13831" s="41"/>
    </row>
    <row r="13832" spans="20:20" s="566" customFormat="1">
      <c r="T13832" s="41"/>
    </row>
    <row r="13833" spans="20:20" s="566" customFormat="1">
      <c r="T13833" s="41"/>
    </row>
    <row r="13834" spans="20:20" s="566" customFormat="1">
      <c r="T13834" s="41"/>
    </row>
    <row r="13835" spans="20:20" s="566" customFormat="1">
      <c r="T13835" s="41"/>
    </row>
    <row r="13836" spans="20:20" s="566" customFormat="1">
      <c r="T13836" s="41"/>
    </row>
    <row r="13837" spans="20:20" s="566" customFormat="1">
      <c r="T13837" s="41"/>
    </row>
    <row r="13838" spans="20:20" s="566" customFormat="1">
      <c r="T13838" s="41"/>
    </row>
    <row r="13839" spans="20:20" s="566" customFormat="1">
      <c r="T13839" s="41"/>
    </row>
    <row r="13840" spans="20:20" s="566" customFormat="1">
      <c r="T13840" s="41"/>
    </row>
    <row r="13841" spans="20:20" s="566" customFormat="1">
      <c r="T13841" s="41"/>
    </row>
    <row r="13842" spans="20:20" s="566" customFormat="1">
      <c r="T13842" s="41"/>
    </row>
    <row r="13843" spans="20:20" s="566" customFormat="1">
      <c r="T13843" s="41"/>
    </row>
    <row r="13844" spans="20:20" s="566" customFormat="1">
      <c r="T13844" s="41"/>
    </row>
    <row r="13845" spans="20:20" s="566" customFormat="1">
      <c r="T13845" s="41"/>
    </row>
    <row r="13846" spans="20:20" s="566" customFormat="1">
      <c r="T13846" s="41"/>
    </row>
    <row r="13847" spans="20:20" s="566" customFormat="1">
      <c r="T13847" s="41"/>
    </row>
    <row r="13848" spans="20:20" s="566" customFormat="1">
      <c r="T13848" s="41"/>
    </row>
    <row r="13849" spans="20:20" s="566" customFormat="1">
      <c r="T13849" s="41"/>
    </row>
    <row r="13850" spans="20:20" s="566" customFormat="1">
      <c r="T13850" s="41"/>
    </row>
    <row r="13851" spans="20:20" s="566" customFormat="1">
      <c r="T13851" s="41"/>
    </row>
    <row r="13852" spans="20:20" s="566" customFormat="1">
      <c r="T13852" s="41"/>
    </row>
    <row r="13853" spans="20:20" s="566" customFormat="1">
      <c r="T13853" s="41"/>
    </row>
    <row r="13854" spans="20:20" s="566" customFormat="1">
      <c r="T13854" s="41"/>
    </row>
    <row r="13855" spans="20:20" s="566" customFormat="1">
      <c r="T13855" s="41"/>
    </row>
    <row r="13856" spans="20:20" s="566" customFormat="1">
      <c r="T13856" s="41"/>
    </row>
    <row r="13857" spans="20:20" s="566" customFormat="1">
      <c r="T13857" s="41"/>
    </row>
    <row r="13858" spans="20:20" s="566" customFormat="1">
      <c r="T13858" s="41"/>
    </row>
    <row r="13859" spans="20:20" s="566" customFormat="1">
      <c r="T13859" s="41"/>
    </row>
    <row r="13860" spans="20:20" s="566" customFormat="1">
      <c r="T13860" s="41"/>
    </row>
    <row r="13861" spans="20:20" s="566" customFormat="1">
      <c r="T13861" s="41"/>
    </row>
    <row r="13862" spans="20:20" s="566" customFormat="1">
      <c r="T13862" s="41"/>
    </row>
    <row r="13863" spans="20:20" s="566" customFormat="1">
      <c r="T13863" s="41"/>
    </row>
    <row r="13864" spans="20:20" s="566" customFormat="1">
      <c r="T13864" s="41"/>
    </row>
    <row r="13865" spans="20:20" s="566" customFormat="1">
      <c r="T13865" s="41"/>
    </row>
    <row r="13866" spans="20:20" s="566" customFormat="1">
      <c r="T13866" s="41"/>
    </row>
    <row r="13867" spans="20:20" s="566" customFormat="1">
      <c r="T13867" s="41"/>
    </row>
    <row r="13868" spans="20:20" s="566" customFormat="1">
      <c r="T13868" s="41"/>
    </row>
    <row r="13869" spans="20:20" s="566" customFormat="1">
      <c r="T13869" s="41"/>
    </row>
    <row r="13870" spans="20:20" s="566" customFormat="1">
      <c r="T13870" s="41"/>
    </row>
    <row r="13871" spans="20:20" s="566" customFormat="1">
      <c r="T13871" s="41"/>
    </row>
    <row r="13872" spans="20:20" s="566" customFormat="1">
      <c r="T13872" s="41"/>
    </row>
    <row r="13873" spans="20:20" s="566" customFormat="1">
      <c r="T13873" s="41"/>
    </row>
    <row r="13874" spans="20:20" s="566" customFormat="1">
      <c r="T13874" s="41"/>
    </row>
    <row r="13875" spans="20:20" s="566" customFormat="1">
      <c r="T13875" s="41"/>
    </row>
    <row r="13876" spans="20:20" s="566" customFormat="1">
      <c r="T13876" s="41"/>
    </row>
    <row r="13877" spans="20:20" s="566" customFormat="1">
      <c r="T13877" s="41"/>
    </row>
    <row r="13878" spans="20:20" s="566" customFormat="1">
      <c r="T13878" s="41"/>
    </row>
    <row r="13879" spans="20:20" s="566" customFormat="1">
      <c r="T13879" s="41"/>
    </row>
    <row r="13880" spans="20:20" s="566" customFormat="1">
      <c r="T13880" s="41"/>
    </row>
    <row r="13881" spans="20:20" s="566" customFormat="1">
      <c r="T13881" s="41"/>
    </row>
    <row r="13882" spans="20:20" s="566" customFormat="1">
      <c r="T13882" s="41"/>
    </row>
    <row r="13883" spans="20:20" s="566" customFormat="1">
      <c r="T13883" s="41"/>
    </row>
    <row r="13884" spans="20:20" s="566" customFormat="1">
      <c r="T13884" s="41"/>
    </row>
    <row r="13885" spans="20:20" s="566" customFormat="1">
      <c r="T13885" s="41"/>
    </row>
    <row r="13886" spans="20:20" s="566" customFormat="1">
      <c r="T13886" s="41"/>
    </row>
    <row r="13887" spans="20:20" s="566" customFormat="1">
      <c r="T13887" s="41"/>
    </row>
    <row r="13888" spans="20:20" s="566" customFormat="1">
      <c r="T13888" s="41"/>
    </row>
    <row r="13889" spans="20:20" s="566" customFormat="1">
      <c r="T13889" s="41"/>
    </row>
    <row r="13890" spans="20:20" s="566" customFormat="1">
      <c r="T13890" s="41"/>
    </row>
    <row r="13891" spans="20:20" s="566" customFormat="1">
      <c r="T13891" s="41"/>
    </row>
    <row r="13892" spans="20:20" s="566" customFormat="1">
      <c r="T13892" s="41"/>
    </row>
    <row r="13893" spans="20:20" s="566" customFormat="1">
      <c r="T13893" s="41"/>
    </row>
    <row r="13894" spans="20:20" s="566" customFormat="1">
      <c r="T13894" s="41"/>
    </row>
    <row r="13895" spans="20:20" s="566" customFormat="1">
      <c r="T13895" s="41"/>
    </row>
    <row r="13896" spans="20:20" s="566" customFormat="1">
      <c r="T13896" s="41"/>
    </row>
    <row r="13897" spans="20:20" s="566" customFormat="1">
      <c r="T13897" s="41"/>
    </row>
    <row r="13898" spans="20:20" s="566" customFormat="1">
      <c r="T13898" s="41"/>
    </row>
    <row r="13899" spans="20:20" s="566" customFormat="1">
      <c r="T13899" s="41"/>
    </row>
    <row r="13900" spans="20:20" s="566" customFormat="1">
      <c r="T13900" s="41"/>
    </row>
    <row r="13901" spans="20:20" s="566" customFormat="1">
      <c r="T13901" s="41"/>
    </row>
    <row r="13902" spans="20:20" s="566" customFormat="1">
      <c r="T13902" s="41"/>
    </row>
    <row r="13903" spans="20:20" s="566" customFormat="1">
      <c r="T13903" s="41"/>
    </row>
    <row r="13904" spans="20:20" s="566" customFormat="1">
      <c r="T13904" s="41"/>
    </row>
    <row r="13905" spans="20:20" s="566" customFormat="1">
      <c r="T13905" s="41"/>
    </row>
    <row r="13906" spans="20:20" s="566" customFormat="1">
      <c r="T13906" s="41"/>
    </row>
    <row r="13907" spans="20:20" s="566" customFormat="1">
      <c r="T13907" s="41"/>
    </row>
    <row r="13908" spans="20:20" s="566" customFormat="1">
      <c r="T13908" s="41"/>
    </row>
    <row r="13909" spans="20:20" s="566" customFormat="1">
      <c r="T13909" s="41"/>
    </row>
    <row r="13910" spans="20:20" s="566" customFormat="1">
      <c r="T13910" s="41"/>
    </row>
    <row r="13911" spans="20:20" s="566" customFormat="1">
      <c r="T13911" s="41"/>
    </row>
    <row r="13912" spans="20:20" s="566" customFormat="1">
      <c r="T13912" s="41"/>
    </row>
    <row r="13913" spans="20:20" s="566" customFormat="1">
      <c r="T13913" s="41"/>
    </row>
    <row r="13914" spans="20:20" s="566" customFormat="1">
      <c r="T13914" s="41"/>
    </row>
    <row r="13915" spans="20:20" s="566" customFormat="1">
      <c r="T13915" s="41"/>
    </row>
    <row r="13916" spans="20:20" s="566" customFormat="1">
      <c r="T13916" s="41"/>
    </row>
    <row r="13917" spans="20:20" s="566" customFormat="1">
      <c r="T13917" s="41"/>
    </row>
    <row r="13918" spans="20:20" s="566" customFormat="1">
      <c r="T13918" s="41"/>
    </row>
    <row r="13919" spans="20:20" s="566" customFormat="1">
      <c r="T13919" s="41"/>
    </row>
    <row r="13920" spans="20:20" s="566" customFormat="1">
      <c r="T13920" s="41"/>
    </row>
    <row r="13921" spans="20:20" s="566" customFormat="1">
      <c r="T13921" s="41"/>
    </row>
    <row r="13922" spans="20:20" s="566" customFormat="1">
      <c r="T13922" s="41"/>
    </row>
    <row r="13923" spans="20:20" s="566" customFormat="1">
      <c r="T13923" s="41"/>
    </row>
    <row r="13924" spans="20:20" s="566" customFormat="1">
      <c r="T13924" s="41"/>
    </row>
    <row r="13925" spans="20:20" s="566" customFormat="1">
      <c r="T13925" s="41"/>
    </row>
    <row r="13926" spans="20:20" s="566" customFormat="1">
      <c r="T13926" s="41"/>
    </row>
    <row r="13927" spans="20:20" s="566" customFormat="1">
      <c r="T13927" s="41"/>
    </row>
    <row r="13928" spans="20:20" s="566" customFormat="1">
      <c r="T13928" s="41"/>
    </row>
    <row r="13929" spans="20:20" s="566" customFormat="1">
      <c r="T13929" s="41"/>
    </row>
    <row r="13930" spans="20:20" s="566" customFormat="1">
      <c r="T13930" s="41"/>
    </row>
    <row r="13931" spans="20:20" s="566" customFormat="1">
      <c r="T13931" s="41"/>
    </row>
    <row r="13932" spans="20:20" s="566" customFormat="1">
      <c r="T13932" s="41"/>
    </row>
    <row r="13933" spans="20:20" s="566" customFormat="1">
      <c r="T13933" s="41"/>
    </row>
    <row r="13934" spans="20:20" s="566" customFormat="1">
      <c r="T13934" s="41"/>
    </row>
    <row r="13935" spans="20:20" s="566" customFormat="1">
      <c r="T13935" s="41"/>
    </row>
    <row r="13936" spans="20:20" s="566" customFormat="1">
      <c r="T13936" s="41"/>
    </row>
    <row r="13937" spans="20:20" s="566" customFormat="1">
      <c r="T13937" s="41"/>
    </row>
    <row r="13938" spans="20:20" s="566" customFormat="1">
      <c r="T13938" s="41"/>
    </row>
    <row r="13939" spans="20:20" s="566" customFormat="1">
      <c r="T13939" s="41"/>
    </row>
    <row r="13940" spans="20:20" s="566" customFormat="1">
      <c r="T13940" s="41"/>
    </row>
    <row r="13941" spans="20:20" s="566" customFormat="1">
      <c r="T13941" s="41"/>
    </row>
    <row r="13942" spans="20:20" s="566" customFormat="1">
      <c r="T13942" s="41"/>
    </row>
    <row r="13943" spans="20:20" s="566" customFormat="1">
      <c r="T13943" s="41"/>
    </row>
    <row r="13944" spans="20:20" s="566" customFormat="1">
      <c r="T13944" s="41"/>
    </row>
    <row r="13945" spans="20:20" s="566" customFormat="1">
      <c r="T13945" s="41"/>
    </row>
    <row r="13946" spans="20:20" s="566" customFormat="1">
      <c r="T13946" s="41"/>
    </row>
    <row r="13947" spans="20:20" s="566" customFormat="1">
      <c r="T13947" s="41"/>
    </row>
    <row r="13948" spans="20:20" s="566" customFormat="1">
      <c r="T13948" s="41"/>
    </row>
    <row r="13949" spans="20:20" s="566" customFormat="1">
      <c r="T13949" s="41"/>
    </row>
    <row r="13950" spans="20:20" s="566" customFormat="1">
      <c r="T13950" s="41"/>
    </row>
    <row r="13951" spans="20:20" s="566" customFormat="1">
      <c r="T13951" s="41"/>
    </row>
    <row r="13952" spans="20:20" s="566" customFormat="1">
      <c r="T13952" s="41"/>
    </row>
    <row r="13953" spans="20:20" s="566" customFormat="1">
      <c r="T13953" s="41"/>
    </row>
    <row r="13954" spans="20:20" s="566" customFormat="1">
      <c r="T13954" s="41"/>
    </row>
    <row r="13955" spans="20:20" s="566" customFormat="1">
      <c r="T13955" s="41"/>
    </row>
    <row r="13956" spans="20:20" s="566" customFormat="1">
      <c r="T13956" s="41"/>
    </row>
    <row r="13957" spans="20:20" s="566" customFormat="1">
      <c r="T13957" s="41"/>
    </row>
    <row r="13958" spans="20:20" s="566" customFormat="1">
      <c r="T13958" s="41"/>
    </row>
    <row r="13959" spans="20:20" s="566" customFormat="1">
      <c r="T13959" s="41"/>
    </row>
    <row r="13960" spans="20:20" s="566" customFormat="1">
      <c r="T13960" s="41"/>
    </row>
    <row r="13961" spans="20:20" s="566" customFormat="1">
      <c r="T13961" s="41"/>
    </row>
    <row r="13962" spans="20:20" s="566" customFormat="1">
      <c r="T13962" s="41"/>
    </row>
    <row r="13963" spans="20:20" s="566" customFormat="1">
      <c r="T13963" s="41"/>
    </row>
    <row r="13964" spans="20:20" s="566" customFormat="1">
      <c r="T13964" s="41"/>
    </row>
    <row r="13965" spans="20:20" s="566" customFormat="1">
      <c r="T13965" s="41"/>
    </row>
    <row r="13966" spans="20:20" s="566" customFormat="1">
      <c r="T13966" s="41"/>
    </row>
    <row r="13967" spans="20:20" s="566" customFormat="1">
      <c r="T13967" s="41"/>
    </row>
    <row r="13968" spans="20:20" s="566" customFormat="1">
      <c r="T13968" s="41"/>
    </row>
    <row r="13969" spans="20:20" s="566" customFormat="1">
      <c r="T13969" s="41"/>
    </row>
    <row r="13970" spans="20:20" s="566" customFormat="1">
      <c r="T13970" s="41"/>
    </row>
    <row r="13971" spans="20:20" s="566" customFormat="1">
      <c r="T13971" s="41"/>
    </row>
    <row r="13972" spans="20:20" s="566" customFormat="1">
      <c r="T13972" s="41"/>
    </row>
    <row r="13973" spans="20:20" s="566" customFormat="1">
      <c r="T13973" s="41"/>
    </row>
    <row r="13974" spans="20:20" s="566" customFormat="1">
      <c r="T13974" s="41"/>
    </row>
    <row r="13975" spans="20:20" s="566" customFormat="1">
      <c r="T13975" s="41"/>
    </row>
    <row r="13976" spans="20:20" s="566" customFormat="1">
      <c r="T13976" s="41"/>
    </row>
    <row r="13977" spans="20:20" s="566" customFormat="1">
      <c r="T13977" s="41"/>
    </row>
    <row r="13978" spans="20:20" s="566" customFormat="1">
      <c r="T13978" s="41"/>
    </row>
    <row r="13979" spans="20:20" s="566" customFormat="1">
      <c r="T13979" s="41"/>
    </row>
    <row r="13980" spans="20:20" s="566" customFormat="1">
      <c r="T13980" s="41"/>
    </row>
    <row r="13981" spans="20:20" s="566" customFormat="1">
      <c r="T13981" s="41"/>
    </row>
    <row r="13982" spans="20:20" s="566" customFormat="1">
      <c r="T13982" s="41"/>
    </row>
    <row r="13983" spans="20:20" s="566" customFormat="1">
      <c r="T13983" s="41"/>
    </row>
    <row r="13984" spans="20:20" s="566" customFormat="1">
      <c r="T13984" s="41"/>
    </row>
    <row r="13985" spans="20:20" s="566" customFormat="1">
      <c r="T13985" s="41"/>
    </row>
    <row r="13986" spans="20:20" s="566" customFormat="1">
      <c r="T13986" s="41"/>
    </row>
    <row r="13987" spans="20:20" s="566" customFormat="1">
      <c r="T13987" s="41"/>
    </row>
    <row r="13988" spans="20:20" s="566" customFormat="1">
      <c r="T13988" s="41"/>
    </row>
    <row r="13989" spans="20:20" s="566" customFormat="1">
      <c r="T13989" s="41"/>
    </row>
    <row r="13990" spans="20:20" s="566" customFormat="1">
      <c r="T13990" s="41"/>
    </row>
    <row r="13991" spans="20:20" s="566" customFormat="1">
      <c r="T13991" s="41"/>
    </row>
    <row r="13992" spans="20:20" s="566" customFormat="1">
      <c r="T13992" s="41"/>
    </row>
    <row r="13993" spans="20:20" s="566" customFormat="1">
      <c r="T13993" s="41"/>
    </row>
    <row r="13994" spans="20:20" s="566" customFormat="1">
      <c r="T13994" s="41"/>
    </row>
    <row r="13995" spans="20:20" s="566" customFormat="1">
      <c r="T13995" s="41"/>
    </row>
    <row r="13996" spans="20:20" s="566" customFormat="1">
      <c r="T13996" s="41"/>
    </row>
    <row r="13997" spans="20:20" s="566" customFormat="1">
      <c r="T13997" s="41"/>
    </row>
    <row r="13998" spans="20:20" s="566" customFormat="1">
      <c r="T13998" s="41"/>
    </row>
    <row r="13999" spans="20:20" s="566" customFormat="1">
      <c r="T13999" s="41"/>
    </row>
    <row r="14000" spans="20:20" s="566" customFormat="1">
      <c r="T14000" s="41"/>
    </row>
    <row r="14001" spans="20:20" s="566" customFormat="1">
      <c r="T14001" s="41"/>
    </row>
    <row r="14002" spans="20:20" s="566" customFormat="1">
      <c r="T14002" s="41"/>
    </row>
    <row r="14003" spans="20:20" s="566" customFormat="1">
      <c r="T14003" s="41"/>
    </row>
    <row r="14004" spans="20:20" s="566" customFormat="1">
      <c r="T14004" s="41"/>
    </row>
    <row r="14005" spans="20:20" s="566" customFormat="1">
      <c r="T14005" s="41"/>
    </row>
    <row r="14006" spans="20:20" s="566" customFormat="1">
      <c r="T14006" s="41"/>
    </row>
    <row r="14007" spans="20:20" s="566" customFormat="1">
      <c r="T14007" s="41"/>
    </row>
    <row r="14008" spans="20:20" s="566" customFormat="1">
      <c r="T14008" s="41"/>
    </row>
    <row r="14009" spans="20:20" s="566" customFormat="1">
      <c r="T14009" s="41"/>
    </row>
    <row r="14010" spans="20:20" s="566" customFormat="1">
      <c r="T14010" s="41"/>
    </row>
    <row r="14011" spans="20:20" s="566" customFormat="1">
      <c r="T14011" s="41"/>
    </row>
    <row r="14012" spans="20:20" s="566" customFormat="1">
      <c r="T14012" s="41"/>
    </row>
    <row r="14013" spans="20:20" s="566" customFormat="1">
      <c r="T14013" s="41"/>
    </row>
    <row r="14014" spans="20:20" s="566" customFormat="1">
      <c r="T14014" s="41"/>
    </row>
    <row r="14015" spans="20:20" s="566" customFormat="1">
      <c r="T14015" s="41"/>
    </row>
    <row r="14016" spans="20:20" s="566" customFormat="1">
      <c r="T14016" s="41"/>
    </row>
    <row r="14017" spans="20:20" s="566" customFormat="1">
      <c r="T14017" s="41"/>
    </row>
    <row r="14018" spans="20:20" s="566" customFormat="1">
      <c r="T14018" s="41"/>
    </row>
    <row r="14019" spans="20:20" s="566" customFormat="1">
      <c r="T14019" s="41"/>
    </row>
    <row r="14020" spans="20:20" s="566" customFormat="1">
      <c r="T14020" s="41"/>
    </row>
    <row r="14021" spans="20:20" s="566" customFormat="1">
      <c r="T14021" s="41"/>
    </row>
    <row r="14022" spans="20:20" s="566" customFormat="1">
      <c r="T14022" s="41"/>
    </row>
    <row r="14023" spans="20:20" s="566" customFormat="1">
      <c r="T14023" s="41"/>
    </row>
    <row r="14024" spans="20:20" s="566" customFormat="1">
      <c r="T14024" s="41"/>
    </row>
    <row r="14025" spans="20:20" s="566" customFormat="1">
      <c r="T14025" s="41"/>
    </row>
    <row r="14026" spans="20:20" s="566" customFormat="1">
      <c r="T14026" s="41"/>
    </row>
    <row r="14027" spans="20:20" s="566" customFormat="1">
      <c r="T14027" s="41"/>
    </row>
    <row r="14028" spans="20:20" s="566" customFormat="1">
      <c r="T14028" s="41"/>
    </row>
    <row r="14029" spans="20:20" s="566" customFormat="1">
      <c r="T14029" s="41"/>
    </row>
    <row r="14030" spans="20:20" s="566" customFormat="1">
      <c r="T14030" s="41"/>
    </row>
    <row r="14031" spans="20:20" s="566" customFormat="1">
      <c r="T14031" s="41"/>
    </row>
    <row r="14032" spans="20:20" s="566" customFormat="1">
      <c r="T14032" s="41"/>
    </row>
    <row r="14033" spans="20:20" s="566" customFormat="1">
      <c r="T14033" s="41"/>
    </row>
    <row r="14034" spans="20:20" s="566" customFormat="1">
      <c r="T14034" s="41"/>
    </row>
    <row r="14035" spans="20:20" s="566" customFormat="1">
      <c r="T14035" s="41"/>
    </row>
    <row r="14036" spans="20:20" s="566" customFormat="1">
      <c r="T14036" s="41"/>
    </row>
    <row r="14037" spans="20:20" s="566" customFormat="1">
      <c r="T14037" s="41"/>
    </row>
    <row r="14038" spans="20:20" s="566" customFormat="1">
      <c r="T14038" s="41"/>
    </row>
    <row r="14039" spans="20:20" s="566" customFormat="1">
      <c r="T14039" s="41"/>
    </row>
    <row r="14040" spans="20:20" s="566" customFormat="1">
      <c r="T14040" s="41"/>
    </row>
    <row r="14041" spans="20:20" s="566" customFormat="1">
      <c r="T14041" s="41"/>
    </row>
    <row r="14042" spans="20:20" s="566" customFormat="1">
      <c r="T14042" s="41"/>
    </row>
    <row r="14043" spans="20:20" s="566" customFormat="1">
      <c r="T14043" s="41"/>
    </row>
    <row r="14044" spans="20:20" s="566" customFormat="1">
      <c r="T14044" s="41"/>
    </row>
    <row r="14045" spans="20:20" s="566" customFormat="1">
      <c r="T14045" s="41"/>
    </row>
    <row r="14046" spans="20:20" s="566" customFormat="1">
      <c r="T14046" s="41"/>
    </row>
    <row r="14047" spans="20:20" s="566" customFormat="1">
      <c r="T14047" s="41"/>
    </row>
    <row r="14048" spans="20:20" s="566" customFormat="1">
      <c r="T14048" s="41"/>
    </row>
    <row r="14049" spans="20:20" s="566" customFormat="1">
      <c r="T14049" s="41"/>
    </row>
    <row r="14050" spans="20:20" s="566" customFormat="1">
      <c r="T14050" s="41"/>
    </row>
    <row r="14051" spans="20:20" s="566" customFormat="1">
      <c r="T14051" s="41"/>
    </row>
    <row r="14052" spans="20:20" s="566" customFormat="1">
      <c r="T14052" s="41"/>
    </row>
    <row r="14053" spans="20:20" s="566" customFormat="1">
      <c r="T14053" s="41"/>
    </row>
    <row r="14054" spans="20:20" s="566" customFormat="1">
      <c r="T14054" s="41"/>
    </row>
    <row r="14055" spans="20:20" s="566" customFormat="1">
      <c r="T14055" s="41"/>
    </row>
    <row r="14056" spans="20:20" s="566" customFormat="1">
      <c r="T14056" s="41"/>
    </row>
    <row r="14057" spans="20:20" s="566" customFormat="1">
      <c r="T14057" s="41"/>
    </row>
    <row r="14058" spans="20:20" s="566" customFormat="1">
      <c r="T14058" s="41"/>
    </row>
    <row r="14059" spans="20:20" s="566" customFormat="1">
      <c r="T14059" s="41"/>
    </row>
    <row r="14060" spans="20:20" s="566" customFormat="1">
      <c r="T14060" s="41"/>
    </row>
    <row r="14061" spans="20:20" s="566" customFormat="1">
      <c r="T14061" s="41"/>
    </row>
    <row r="14062" spans="20:20" s="566" customFormat="1">
      <c r="T14062" s="41"/>
    </row>
    <row r="14063" spans="20:20" s="566" customFormat="1">
      <c r="T14063" s="41"/>
    </row>
    <row r="14064" spans="20:20" s="566" customFormat="1">
      <c r="T14064" s="41"/>
    </row>
    <row r="14065" spans="20:20" s="566" customFormat="1">
      <c r="T14065" s="41"/>
    </row>
    <row r="14066" spans="20:20" s="566" customFormat="1">
      <c r="T14066" s="41"/>
    </row>
    <row r="14067" spans="20:20" s="566" customFormat="1">
      <c r="T14067" s="41"/>
    </row>
    <row r="14068" spans="20:20" s="566" customFormat="1">
      <c r="T14068" s="41"/>
    </row>
    <row r="14069" spans="20:20" s="566" customFormat="1">
      <c r="T14069" s="41"/>
    </row>
    <row r="14070" spans="20:20" s="566" customFormat="1">
      <c r="T14070" s="41"/>
    </row>
    <row r="14071" spans="20:20" s="566" customFormat="1">
      <c r="T14071" s="41"/>
    </row>
    <row r="14072" spans="20:20" s="566" customFormat="1">
      <c r="T14072" s="41"/>
    </row>
    <row r="14073" spans="20:20" s="566" customFormat="1">
      <c r="T14073" s="41"/>
    </row>
    <row r="14074" spans="20:20" s="566" customFormat="1">
      <c r="T14074" s="41"/>
    </row>
    <row r="14075" spans="20:20" s="566" customFormat="1">
      <c r="T14075" s="41"/>
    </row>
    <row r="14076" spans="20:20" s="566" customFormat="1">
      <c r="T14076" s="41"/>
    </row>
    <row r="14077" spans="20:20" s="566" customFormat="1">
      <c r="T14077" s="41"/>
    </row>
    <row r="14078" spans="20:20" s="566" customFormat="1">
      <c r="T14078" s="41"/>
    </row>
    <row r="14079" spans="20:20" s="566" customFormat="1">
      <c r="T14079" s="41"/>
    </row>
    <row r="14080" spans="20:20" s="566" customFormat="1">
      <c r="T14080" s="41"/>
    </row>
    <row r="14081" spans="20:20" s="566" customFormat="1">
      <c r="T14081" s="41"/>
    </row>
    <row r="14082" spans="20:20" s="566" customFormat="1">
      <c r="T14082" s="41"/>
    </row>
    <row r="14083" spans="20:20" s="566" customFormat="1">
      <c r="T14083" s="41"/>
    </row>
    <row r="14084" spans="20:20" s="566" customFormat="1">
      <c r="T14084" s="41"/>
    </row>
    <row r="14085" spans="20:20" s="566" customFormat="1">
      <c r="T14085" s="41"/>
    </row>
    <row r="14086" spans="20:20" s="566" customFormat="1">
      <c r="T14086" s="41"/>
    </row>
    <row r="14087" spans="20:20" s="566" customFormat="1">
      <c r="T14087" s="41"/>
    </row>
    <row r="14088" spans="20:20" s="566" customFormat="1">
      <c r="T14088" s="41"/>
    </row>
    <row r="14089" spans="20:20" s="566" customFormat="1">
      <c r="T14089" s="41"/>
    </row>
    <row r="14090" spans="20:20" s="566" customFormat="1">
      <c r="T14090" s="41"/>
    </row>
    <row r="14091" spans="20:20" s="566" customFormat="1">
      <c r="T14091" s="41"/>
    </row>
    <row r="14092" spans="20:20" s="566" customFormat="1">
      <c r="T14092" s="41"/>
    </row>
    <row r="14093" spans="20:20" s="566" customFormat="1">
      <c r="T14093" s="41"/>
    </row>
    <row r="14094" spans="20:20" s="566" customFormat="1">
      <c r="T14094" s="41"/>
    </row>
    <row r="14095" spans="20:20" s="566" customFormat="1">
      <c r="T14095" s="41"/>
    </row>
    <row r="14096" spans="20:20" s="566" customFormat="1">
      <c r="T14096" s="41"/>
    </row>
    <row r="14097" spans="20:20" s="566" customFormat="1">
      <c r="T14097" s="41"/>
    </row>
    <row r="14098" spans="20:20" s="566" customFormat="1">
      <c r="T14098" s="41"/>
    </row>
    <row r="14099" spans="20:20" s="566" customFormat="1">
      <c r="T14099" s="41"/>
    </row>
    <row r="14100" spans="20:20" s="566" customFormat="1">
      <c r="T14100" s="41"/>
    </row>
    <row r="14101" spans="20:20" s="566" customFormat="1">
      <c r="T14101" s="41"/>
    </row>
    <row r="14102" spans="20:20" s="566" customFormat="1">
      <c r="T14102" s="41"/>
    </row>
    <row r="14103" spans="20:20" s="566" customFormat="1">
      <c r="T14103" s="41"/>
    </row>
    <row r="14104" spans="20:20" s="566" customFormat="1">
      <c r="T14104" s="41"/>
    </row>
    <row r="14105" spans="20:20" s="566" customFormat="1">
      <c r="T14105" s="41"/>
    </row>
    <row r="14106" spans="20:20" s="566" customFormat="1">
      <c r="T14106" s="41"/>
    </row>
    <row r="14107" spans="20:20" s="566" customFormat="1">
      <c r="T14107" s="41"/>
    </row>
    <row r="14108" spans="20:20" s="566" customFormat="1">
      <c r="T14108" s="41"/>
    </row>
    <row r="14109" spans="20:20" s="566" customFormat="1">
      <c r="T14109" s="41"/>
    </row>
    <row r="14110" spans="20:20" s="566" customFormat="1">
      <c r="T14110" s="41"/>
    </row>
    <row r="14111" spans="20:20" s="566" customFormat="1">
      <c r="T14111" s="41"/>
    </row>
    <row r="14112" spans="20:20" s="566" customFormat="1">
      <c r="T14112" s="41"/>
    </row>
    <row r="14113" spans="20:20" s="566" customFormat="1">
      <c r="T14113" s="41"/>
    </row>
    <row r="14114" spans="20:20" s="566" customFormat="1">
      <c r="T14114" s="41"/>
    </row>
    <row r="14115" spans="20:20" s="566" customFormat="1">
      <c r="T14115" s="41"/>
    </row>
    <row r="14116" spans="20:20" s="566" customFormat="1">
      <c r="T14116" s="41"/>
    </row>
    <row r="14117" spans="20:20" s="566" customFormat="1">
      <c r="T14117" s="41"/>
    </row>
    <row r="14118" spans="20:20" s="566" customFormat="1">
      <c r="T14118" s="41"/>
    </row>
    <row r="14119" spans="20:20" s="566" customFormat="1">
      <c r="T14119" s="41"/>
    </row>
    <row r="14120" spans="20:20" s="566" customFormat="1">
      <c r="T14120" s="41"/>
    </row>
    <row r="14121" spans="20:20" s="566" customFormat="1">
      <c r="T14121" s="41"/>
    </row>
    <row r="14122" spans="20:20" s="566" customFormat="1">
      <c r="T14122" s="41"/>
    </row>
    <row r="14123" spans="20:20" s="566" customFormat="1">
      <c r="T14123" s="41"/>
    </row>
    <row r="14124" spans="20:20" s="566" customFormat="1">
      <c r="T14124" s="41"/>
    </row>
    <row r="14125" spans="20:20" s="566" customFormat="1">
      <c r="T14125" s="41"/>
    </row>
    <row r="14126" spans="20:20" s="566" customFormat="1">
      <c r="T14126" s="41"/>
    </row>
    <row r="14127" spans="20:20" s="566" customFormat="1">
      <c r="T14127" s="41"/>
    </row>
    <row r="14128" spans="20:20" s="566" customFormat="1">
      <c r="T14128" s="41"/>
    </row>
    <row r="14129" spans="20:20" s="566" customFormat="1">
      <c r="T14129" s="41"/>
    </row>
    <row r="14130" spans="20:20" s="566" customFormat="1">
      <c r="T14130" s="41"/>
    </row>
    <row r="14131" spans="20:20" s="566" customFormat="1">
      <c r="T14131" s="41"/>
    </row>
    <row r="14132" spans="20:20" s="566" customFormat="1">
      <c r="T14132" s="41"/>
    </row>
    <row r="14133" spans="20:20" s="566" customFormat="1">
      <c r="T14133" s="41"/>
    </row>
    <row r="14134" spans="20:20" s="566" customFormat="1">
      <c r="T14134" s="41"/>
    </row>
    <row r="14135" spans="20:20" s="566" customFormat="1">
      <c r="T14135" s="41"/>
    </row>
    <row r="14136" spans="20:20" s="566" customFormat="1">
      <c r="T14136" s="41"/>
    </row>
    <row r="14137" spans="20:20" s="566" customFormat="1">
      <c r="T14137" s="41"/>
    </row>
    <row r="14138" spans="20:20" s="566" customFormat="1">
      <c r="T14138" s="41"/>
    </row>
    <row r="14139" spans="20:20" s="566" customFormat="1">
      <c r="T14139" s="41"/>
    </row>
    <row r="14140" spans="20:20" s="566" customFormat="1">
      <c r="T14140" s="41"/>
    </row>
    <row r="14141" spans="20:20" s="566" customFormat="1">
      <c r="T14141" s="41"/>
    </row>
    <row r="14142" spans="20:20" s="566" customFormat="1">
      <c r="T14142" s="41"/>
    </row>
    <row r="14143" spans="20:20" s="566" customFormat="1">
      <c r="T14143" s="41"/>
    </row>
    <row r="14144" spans="20:20" s="566" customFormat="1">
      <c r="T14144" s="41"/>
    </row>
    <row r="14145" spans="20:20" s="566" customFormat="1">
      <c r="T14145" s="41"/>
    </row>
    <row r="14146" spans="20:20" s="566" customFormat="1">
      <c r="T14146" s="41"/>
    </row>
    <row r="14147" spans="20:20" s="566" customFormat="1">
      <c r="T14147" s="41"/>
    </row>
    <row r="14148" spans="20:20" s="566" customFormat="1">
      <c r="T14148" s="41"/>
    </row>
    <row r="14149" spans="20:20" s="566" customFormat="1">
      <c r="T14149" s="41"/>
    </row>
    <row r="14150" spans="20:20" s="566" customFormat="1">
      <c r="T14150" s="41"/>
    </row>
    <row r="14151" spans="20:20" s="566" customFormat="1">
      <c r="T14151" s="41"/>
    </row>
    <row r="14152" spans="20:20" s="566" customFormat="1">
      <c r="T14152" s="41"/>
    </row>
    <row r="14153" spans="20:20" s="566" customFormat="1">
      <c r="T14153" s="41"/>
    </row>
    <row r="14154" spans="20:20" s="566" customFormat="1">
      <c r="T14154" s="41"/>
    </row>
    <row r="14155" spans="20:20" s="566" customFormat="1">
      <c r="T14155" s="41"/>
    </row>
    <row r="14156" spans="20:20" s="566" customFormat="1">
      <c r="T14156" s="41"/>
    </row>
    <row r="14157" spans="20:20" s="566" customFormat="1">
      <c r="T14157" s="41"/>
    </row>
    <row r="14158" spans="20:20" s="566" customFormat="1">
      <c r="T14158" s="41"/>
    </row>
    <row r="14159" spans="20:20" s="566" customFormat="1">
      <c r="T14159" s="41"/>
    </row>
    <row r="14160" spans="20:20" s="566" customFormat="1">
      <c r="T14160" s="41"/>
    </row>
    <row r="14161" spans="20:20" s="566" customFormat="1">
      <c r="T14161" s="41"/>
    </row>
    <row r="14162" spans="20:20" s="566" customFormat="1">
      <c r="T14162" s="41"/>
    </row>
    <row r="14163" spans="20:20" s="566" customFormat="1">
      <c r="T14163" s="41"/>
    </row>
    <row r="14164" spans="20:20" s="566" customFormat="1">
      <c r="T14164" s="41"/>
    </row>
    <row r="14165" spans="20:20" s="566" customFormat="1">
      <c r="T14165" s="41"/>
    </row>
    <row r="14166" spans="20:20" s="566" customFormat="1">
      <c r="T14166" s="41"/>
    </row>
    <row r="14167" spans="20:20" s="566" customFormat="1">
      <c r="T14167" s="41"/>
    </row>
    <row r="14168" spans="20:20" s="566" customFormat="1">
      <c r="T14168" s="41"/>
    </row>
    <row r="14169" spans="20:20" s="566" customFormat="1">
      <c r="T14169" s="41"/>
    </row>
    <row r="14170" spans="20:20" s="566" customFormat="1">
      <c r="T14170" s="41"/>
    </row>
    <row r="14171" spans="20:20" s="566" customFormat="1">
      <c r="T14171" s="41"/>
    </row>
    <row r="14172" spans="20:20" s="566" customFormat="1">
      <c r="T14172" s="41"/>
    </row>
    <row r="14173" spans="20:20" s="566" customFormat="1">
      <c r="T14173" s="41"/>
    </row>
    <row r="14174" spans="20:20" s="566" customFormat="1">
      <c r="T14174" s="41"/>
    </row>
    <row r="14175" spans="20:20" s="566" customFormat="1">
      <c r="T14175" s="41"/>
    </row>
    <row r="14176" spans="20:20" s="566" customFormat="1">
      <c r="T14176" s="41"/>
    </row>
    <row r="14177" spans="20:20" s="566" customFormat="1">
      <c r="T14177" s="41"/>
    </row>
    <row r="14178" spans="20:20" s="566" customFormat="1">
      <c r="T14178" s="41"/>
    </row>
    <row r="14179" spans="20:20" s="566" customFormat="1">
      <c r="T14179" s="41"/>
    </row>
    <row r="14180" spans="20:20" s="566" customFormat="1">
      <c r="T14180" s="41"/>
    </row>
    <row r="14181" spans="20:20" s="566" customFormat="1">
      <c r="T14181" s="41"/>
    </row>
    <row r="14182" spans="20:20" s="566" customFormat="1">
      <c r="T14182" s="41"/>
    </row>
    <row r="14183" spans="20:20" s="566" customFormat="1">
      <c r="T14183" s="41"/>
    </row>
    <row r="14184" spans="20:20" s="566" customFormat="1">
      <c r="T14184" s="41"/>
    </row>
    <row r="14185" spans="20:20" s="566" customFormat="1">
      <c r="T14185" s="41"/>
    </row>
    <row r="14186" spans="20:20" s="566" customFormat="1">
      <c r="T14186" s="41"/>
    </row>
    <row r="14187" spans="20:20" s="566" customFormat="1">
      <c r="T14187" s="41"/>
    </row>
    <row r="14188" spans="20:20" s="566" customFormat="1">
      <c r="T14188" s="41"/>
    </row>
    <row r="14189" spans="20:20" s="566" customFormat="1">
      <c r="T14189" s="41"/>
    </row>
    <row r="14190" spans="20:20" s="566" customFormat="1">
      <c r="T14190" s="41"/>
    </row>
    <row r="14191" spans="20:20" s="566" customFormat="1">
      <c r="T14191" s="41"/>
    </row>
    <row r="14192" spans="20:20" s="566" customFormat="1">
      <c r="T14192" s="41"/>
    </row>
    <row r="14193" spans="20:20" s="566" customFormat="1">
      <c r="T14193" s="41"/>
    </row>
    <row r="14194" spans="20:20" s="566" customFormat="1">
      <c r="T14194" s="41"/>
    </row>
    <row r="14195" spans="20:20" s="566" customFormat="1">
      <c r="T14195" s="41"/>
    </row>
    <row r="14196" spans="20:20" s="566" customFormat="1">
      <c r="T14196" s="41"/>
    </row>
    <row r="14197" spans="20:20" s="566" customFormat="1">
      <c r="T14197" s="41"/>
    </row>
    <row r="14198" spans="20:20" s="566" customFormat="1">
      <c r="T14198" s="41"/>
    </row>
    <row r="14199" spans="20:20" s="566" customFormat="1">
      <c r="T14199" s="41"/>
    </row>
    <row r="14200" spans="20:20" s="566" customFormat="1">
      <c r="T14200" s="41"/>
    </row>
    <row r="14201" spans="20:20" s="566" customFormat="1">
      <c r="T14201" s="41"/>
    </row>
    <row r="14202" spans="20:20" s="566" customFormat="1">
      <c r="T14202" s="41"/>
    </row>
    <row r="14203" spans="20:20" s="566" customFormat="1">
      <c r="T14203" s="41"/>
    </row>
    <row r="14204" spans="20:20" s="566" customFormat="1">
      <c r="T14204" s="41"/>
    </row>
    <row r="14205" spans="20:20" s="566" customFormat="1">
      <c r="T14205" s="41"/>
    </row>
    <row r="14206" spans="20:20" s="566" customFormat="1">
      <c r="T14206" s="41"/>
    </row>
    <row r="14207" spans="20:20" s="566" customFormat="1">
      <c r="T14207" s="41"/>
    </row>
    <row r="14208" spans="20:20" s="566" customFormat="1">
      <c r="T14208" s="41"/>
    </row>
    <row r="14209" spans="20:20" s="566" customFormat="1">
      <c r="T14209" s="41"/>
    </row>
    <row r="14210" spans="20:20" s="566" customFormat="1">
      <c r="T14210" s="41"/>
    </row>
    <row r="14211" spans="20:20" s="566" customFormat="1">
      <c r="T14211" s="41"/>
    </row>
    <row r="14212" spans="20:20" s="566" customFormat="1">
      <c r="T14212" s="41"/>
    </row>
    <row r="14213" spans="20:20" s="566" customFormat="1">
      <c r="T14213" s="41"/>
    </row>
    <row r="14214" spans="20:20" s="566" customFormat="1">
      <c r="T14214" s="41"/>
    </row>
    <row r="14215" spans="20:20" s="566" customFormat="1">
      <c r="T14215" s="41"/>
    </row>
    <row r="14216" spans="20:20" s="566" customFormat="1">
      <c r="T14216" s="41"/>
    </row>
    <row r="14217" spans="20:20" s="566" customFormat="1">
      <c r="T14217" s="41"/>
    </row>
    <row r="14218" spans="20:20" s="566" customFormat="1">
      <c r="T14218" s="41"/>
    </row>
    <row r="14219" spans="20:20" s="566" customFormat="1">
      <c r="T14219" s="41"/>
    </row>
    <row r="14220" spans="20:20" s="566" customFormat="1">
      <c r="T14220" s="41"/>
    </row>
    <row r="14221" spans="20:20" s="566" customFormat="1">
      <c r="T14221" s="41"/>
    </row>
    <row r="14222" spans="20:20" s="566" customFormat="1">
      <c r="T14222" s="41"/>
    </row>
    <row r="14223" spans="20:20" s="566" customFormat="1">
      <c r="T14223" s="41"/>
    </row>
    <row r="14224" spans="20:20" s="566" customFormat="1">
      <c r="T14224" s="41"/>
    </row>
    <row r="14225" spans="20:20" s="566" customFormat="1">
      <c r="T14225" s="41"/>
    </row>
    <row r="14226" spans="20:20" s="566" customFormat="1">
      <c r="T14226" s="41"/>
    </row>
    <row r="14227" spans="20:20" s="566" customFormat="1">
      <c r="T14227" s="41"/>
    </row>
    <row r="14228" spans="20:20" s="566" customFormat="1">
      <c r="T14228" s="41"/>
    </row>
    <row r="14229" spans="20:20" s="566" customFormat="1">
      <c r="T14229" s="41"/>
    </row>
    <row r="14230" spans="20:20" s="566" customFormat="1">
      <c r="T14230" s="41"/>
    </row>
    <row r="14231" spans="20:20" s="566" customFormat="1">
      <c r="T14231" s="41"/>
    </row>
    <row r="14232" spans="20:20" s="566" customFormat="1">
      <c r="T14232" s="41"/>
    </row>
    <row r="14233" spans="20:20" s="566" customFormat="1">
      <c r="T14233" s="41"/>
    </row>
    <row r="14234" spans="20:20" s="566" customFormat="1">
      <c r="T14234" s="41"/>
    </row>
    <row r="14235" spans="20:20" s="566" customFormat="1">
      <c r="T14235" s="41"/>
    </row>
    <row r="14236" spans="20:20" s="566" customFormat="1">
      <c r="T14236" s="41"/>
    </row>
    <row r="14237" spans="20:20" s="566" customFormat="1">
      <c r="T14237" s="41"/>
    </row>
    <row r="14238" spans="20:20" s="566" customFormat="1">
      <c r="T14238" s="41"/>
    </row>
    <row r="14239" spans="20:20" s="566" customFormat="1">
      <c r="T14239" s="41"/>
    </row>
    <row r="14240" spans="20:20" s="566" customFormat="1">
      <c r="T14240" s="41"/>
    </row>
    <row r="14241" spans="20:20" s="566" customFormat="1">
      <c r="T14241" s="41"/>
    </row>
    <row r="14242" spans="20:20" s="566" customFormat="1">
      <c r="T14242" s="41"/>
    </row>
    <row r="14243" spans="20:20" s="566" customFormat="1">
      <c r="T14243" s="41"/>
    </row>
    <row r="14244" spans="20:20" s="566" customFormat="1">
      <c r="T14244" s="41"/>
    </row>
    <row r="14245" spans="20:20" s="566" customFormat="1">
      <c r="T14245" s="41"/>
    </row>
    <row r="14246" spans="20:20" s="566" customFormat="1">
      <c r="T14246" s="41"/>
    </row>
    <row r="14247" spans="20:20" s="566" customFormat="1">
      <c r="T14247" s="41"/>
    </row>
    <row r="14248" spans="20:20" s="566" customFormat="1">
      <c r="T14248" s="41"/>
    </row>
    <row r="14249" spans="20:20" s="566" customFormat="1">
      <c r="T14249" s="41"/>
    </row>
    <row r="14250" spans="20:20" s="566" customFormat="1">
      <c r="T14250" s="41"/>
    </row>
    <row r="14251" spans="20:20" s="566" customFormat="1">
      <c r="T14251" s="41"/>
    </row>
    <row r="14252" spans="20:20" s="566" customFormat="1">
      <c r="T14252" s="41"/>
    </row>
    <row r="14253" spans="20:20" s="566" customFormat="1">
      <c r="T14253" s="41"/>
    </row>
    <row r="14254" spans="20:20" s="566" customFormat="1">
      <c r="T14254" s="41"/>
    </row>
    <row r="14255" spans="20:20" s="566" customFormat="1">
      <c r="T14255" s="41"/>
    </row>
    <row r="14256" spans="20:20" s="566" customFormat="1">
      <c r="T14256" s="41"/>
    </row>
    <row r="14257" spans="20:20" s="566" customFormat="1">
      <c r="T14257" s="41"/>
    </row>
    <row r="14258" spans="20:20" s="566" customFormat="1">
      <c r="T14258" s="41"/>
    </row>
    <row r="14259" spans="20:20" s="566" customFormat="1">
      <c r="T14259" s="41"/>
    </row>
    <row r="14260" spans="20:20" s="566" customFormat="1">
      <c r="T14260" s="41"/>
    </row>
    <row r="14261" spans="20:20" s="566" customFormat="1">
      <c r="T14261" s="41"/>
    </row>
    <row r="14262" spans="20:20" s="566" customFormat="1">
      <c r="T14262" s="41"/>
    </row>
    <row r="14263" spans="20:20" s="566" customFormat="1">
      <c r="T14263" s="41"/>
    </row>
    <row r="14264" spans="20:20" s="566" customFormat="1">
      <c r="T14264" s="41"/>
    </row>
    <row r="14265" spans="20:20" s="566" customFormat="1">
      <c r="T14265" s="41"/>
    </row>
    <row r="14266" spans="20:20" s="566" customFormat="1">
      <c r="T14266" s="41"/>
    </row>
    <row r="14267" spans="20:20" s="566" customFormat="1">
      <c r="T14267" s="41"/>
    </row>
    <row r="14268" spans="20:20" s="566" customFormat="1">
      <c r="T14268" s="41"/>
    </row>
    <row r="14269" spans="20:20" s="566" customFormat="1">
      <c r="T14269" s="41"/>
    </row>
    <row r="14270" spans="20:20" s="566" customFormat="1">
      <c r="T14270" s="41"/>
    </row>
    <row r="14271" spans="20:20" s="566" customFormat="1">
      <c r="T14271" s="41"/>
    </row>
    <row r="14272" spans="20:20" s="566" customFormat="1">
      <c r="T14272" s="41"/>
    </row>
    <row r="14273" spans="20:20" s="566" customFormat="1">
      <c r="T14273" s="41"/>
    </row>
    <row r="14274" spans="20:20" s="566" customFormat="1">
      <c r="T14274" s="41"/>
    </row>
    <row r="14275" spans="20:20" s="566" customFormat="1">
      <c r="T14275" s="41"/>
    </row>
    <row r="14276" spans="20:20" s="566" customFormat="1">
      <c r="T14276" s="41"/>
    </row>
    <row r="14277" spans="20:20" s="566" customFormat="1">
      <c r="T14277" s="41"/>
    </row>
    <row r="14278" spans="20:20" s="566" customFormat="1">
      <c r="T14278" s="41"/>
    </row>
    <row r="14279" spans="20:20" s="566" customFormat="1">
      <c r="T14279" s="41"/>
    </row>
    <row r="14280" spans="20:20" s="566" customFormat="1">
      <c r="T14280" s="41"/>
    </row>
    <row r="14281" spans="20:20" s="566" customFormat="1">
      <c r="T14281" s="41"/>
    </row>
    <row r="14282" spans="20:20" s="566" customFormat="1">
      <c r="T14282" s="41"/>
    </row>
    <row r="14283" spans="20:20" s="566" customFormat="1">
      <c r="T14283" s="41"/>
    </row>
    <row r="14284" spans="20:20" s="566" customFormat="1">
      <c r="T14284" s="41"/>
    </row>
    <row r="14285" spans="20:20" s="566" customFormat="1">
      <c r="T14285" s="41"/>
    </row>
    <row r="14286" spans="20:20" s="566" customFormat="1">
      <c r="T14286" s="41"/>
    </row>
    <row r="14287" spans="20:20" s="566" customFormat="1">
      <c r="T14287" s="41"/>
    </row>
    <row r="14288" spans="20:20" s="566" customFormat="1">
      <c r="T14288" s="41"/>
    </row>
    <row r="14289" spans="20:20" s="566" customFormat="1">
      <c r="T14289" s="41"/>
    </row>
    <row r="14290" spans="20:20" s="566" customFormat="1">
      <c r="T14290" s="41"/>
    </row>
    <row r="14291" spans="20:20" s="566" customFormat="1">
      <c r="T14291" s="41"/>
    </row>
    <row r="14292" spans="20:20" s="566" customFormat="1">
      <c r="T14292" s="41"/>
    </row>
    <row r="14293" spans="20:20" s="566" customFormat="1">
      <c r="T14293" s="41"/>
    </row>
    <row r="14294" spans="20:20" s="566" customFormat="1">
      <c r="T14294" s="41"/>
    </row>
    <row r="14295" spans="20:20" s="566" customFormat="1">
      <c r="T14295" s="41"/>
    </row>
    <row r="14296" spans="20:20" s="566" customFormat="1">
      <c r="T14296" s="41"/>
    </row>
    <row r="14297" spans="20:20" s="566" customFormat="1">
      <c r="T14297" s="41"/>
    </row>
    <row r="14298" spans="20:20" s="566" customFormat="1">
      <c r="T14298" s="41"/>
    </row>
    <row r="14299" spans="20:20" s="566" customFormat="1">
      <c r="T14299" s="41"/>
    </row>
    <row r="14300" spans="20:20" s="566" customFormat="1">
      <c r="T14300" s="41"/>
    </row>
    <row r="14301" spans="20:20" s="566" customFormat="1">
      <c r="T14301" s="41"/>
    </row>
    <row r="14302" spans="20:20" s="566" customFormat="1">
      <c r="T14302" s="41"/>
    </row>
    <row r="14303" spans="20:20" s="566" customFormat="1">
      <c r="T14303" s="41"/>
    </row>
    <row r="14304" spans="20:20" s="566" customFormat="1">
      <c r="T14304" s="41"/>
    </row>
    <row r="14305" spans="20:20" s="566" customFormat="1">
      <c r="T14305" s="41"/>
    </row>
    <row r="14306" spans="20:20" s="566" customFormat="1">
      <c r="T14306" s="41"/>
    </row>
    <row r="14307" spans="20:20" s="566" customFormat="1">
      <c r="T14307" s="41"/>
    </row>
    <row r="14308" spans="20:20" s="566" customFormat="1">
      <c r="T14308" s="41"/>
    </row>
    <row r="14309" spans="20:20" s="566" customFormat="1">
      <c r="T14309" s="41"/>
    </row>
    <row r="14310" spans="20:20" s="566" customFormat="1">
      <c r="T14310" s="41"/>
    </row>
    <row r="14311" spans="20:20" s="566" customFormat="1">
      <c r="T14311" s="41"/>
    </row>
    <row r="14312" spans="20:20" s="566" customFormat="1">
      <c r="T14312" s="41"/>
    </row>
    <row r="14313" spans="20:20" s="566" customFormat="1">
      <c r="T14313" s="41"/>
    </row>
    <row r="14314" spans="20:20" s="566" customFormat="1">
      <c r="T14314" s="41"/>
    </row>
    <row r="14315" spans="20:20" s="566" customFormat="1">
      <c r="T14315" s="41"/>
    </row>
    <row r="14316" spans="20:20" s="566" customFormat="1">
      <c r="T14316" s="41"/>
    </row>
    <row r="14317" spans="20:20" s="566" customFormat="1">
      <c r="T14317" s="41"/>
    </row>
    <row r="14318" spans="20:20" s="566" customFormat="1">
      <c r="T14318" s="41"/>
    </row>
    <row r="14319" spans="20:20" s="566" customFormat="1">
      <c r="T14319" s="41"/>
    </row>
    <row r="14320" spans="20:20" s="566" customFormat="1">
      <c r="T14320" s="41"/>
    </row>
    <row r="14321" spans="20:20" s="566" customFormat="1">
      <c r="T14321" s="41"/>
    </row>
    <row r="14322" spans="20:20" s="566" customFormat="1">
      <c r="T14322" s="41"/>
    </row>
    <row r="14323" spans="20:20" s="566" customFormat="1">
      <c r="T14323" s="41"/>
    </row>
    <row r="14324" spans="20:20" s="566" customFormat="1">
      <c r="T14324" s="41"/>
    </row>
    <row r="14325" spans="20:20" s="566" customFormat="1">
      <c r="T14325" s="41"/>
    </row>
    <row r="14326" spans="20:20" s="566" customFormat="1">
      <c r="T14326" s="41"/>
    </row>
    <row r="14327" spans="20:20" s="566" customFormat="1">
      <c r="T14327" s="41"/>
    </row>
    <row r="14328" spans="20:20" s="566" customFormat="1">
      <c r="T14328" s="41"/>
    </row>
    <row r="14329" spans="20:20" s="566" customFormat="1">
      <c r="T14329" s="41"/>
    </row>
    <row r="14330" spans="20:20" s="566" customFormat="1">
      <c r="T14330" s="41"/>
    </row>
    <row r="14331" spans="20:20" s="566" customFormat="1">
      <c r="T14331" s="41"/>
    </row>
    <row r="14332" spans="20:20" s="566" customFormat="1">
      <c r="T14332" s="41"/>
    </row>
    <row r="14333" spans="20:20" s="566" customFormat="1">
      <c r="T14333" s="41"/>
    </row>
    <row r="14334" spans="20:20" s="566" customFormat="1">
      <c r="T14334" s="41"/>
    </row>
    <row r="14335" spans="20:20" s="566" customFormat="1">
      <c r="T14335" s="41"/>
    </row>
    <row r="14336" spans="20:20" s="566" customFormat="1">
      <c r="T14336" s="41"/>
    </row>
    <row r="14337" spans="20:20" s="566" customFormat="1">
      <c r="T14337" s="41"/>
    </row>
    <row r="14338" spans="20:20" s="566" customFormat="1">
      <c r="T14338" s="41"/>
    </row>
    <row r="14339" spans="20:20" s="566" customFormat="1">
      <c r="T14339" s="41"/>
    </row>
    <row r="14340" spans="20:20" s="566" customFormat="1">
      <c r="T14340" s="41"/>
    </row>
    <row r="14341" spans="20:20" s="566" customFormat="1">
      <c r="T14341" s="41"/>
    </row>
    <row r="14342" spans="20:20" s="566" customFormat="1">
      <c r="T14342" s="41"/>
    </row>
    <row r="14343" spans="20:20" s="566" customFormat="1">
      <c r="T14343" s="41"/>
    </row>
    <row r="14344" spans="20:20" s="566" customFormat="1">
      <c r="T14344" s="41"/>
    </row>
    <row r="14345" spans="20:20" s="566" customFormat="1">
      <c r="T14345" s="41"/>
    </row>
    <row r="14346" spans="20:20" s="566" customFormat="1">
      <c r="T14346" s="41"/>
    </row>
    <row r="14347" spans="20:20" s="566" customFormat="1">
      <c r="T14347" s="41"/>
    </row>
    <row r="14348" spans="20:20" s="566" customFormat="1">
      <c r="T14348" s="41"/>
    </row>
    <row r="14349" spans="20:20" s="566" customFormat="1">
      <c r="T14349" s="41"/>
    </row>
    <row r="14350" spans="20:20" s="566" customFormat="1">
      <c r="T14350" s="41"/>
    </row>
    <row r="14351" spans="20:20" s="566" customFormat="1">
      <c r="T14351" s="41"/>
    </row>
    <row r="14352" spans="20:20" s="566" customFormat="1">
      <c r="T14352" s="41"/>
    </row>
    <row r="14353" spans="20:20" s="566" customFormat="1">
      <c r="T14353" s="41"/>
    </row>
    <row r="14354" spans="20:20" s="566" customFormat="1">
      <c r="T14354" s="41"/>
    </row>
    <row r="14355" spans="20:20" s="566" customFormat="1">
      <c r="T14355" s="41"/>
    </row>
    <row r="14356" spans="20:20" s="566" customFormat="1">
      <c r="T14356" s="41"/>
    </row>
    <row r="14357" spans="20:20" s="566" customFormat="1">
      <c r="T14357" s="41"/>
    </row>
    <row r="14358" spans="20:20" s="566" customFormat="1">
      <c r="T14358" s="41"/>
    </row>
    <row r="14359" spans="20:20" s="566" customFormat="1">
      <c r="T14359" s="41"/>
    </row>
    <row r="14360" spans="20:20" s="566" customFormat="1">
      <c r="T14360" s="41"/>
    </row>
    <row r="14361" spans="20:20" s="566" customFormat="1">
      <c r="T14361" s="41"/>
    </row>
    <row r="14362" spans="20:20" s="566" customFormat="1">
      <c r="T14362" s="41"/>
    </row>
    <row r="14363" spans="20:20" s="566" customFormat="1">
      <c r="T14363" s="41"/>
    </row>
    <row r="14364" spans="20:20" s="566" customFormat="1">
      <c r="T14364" s="41"/>
    </row>
    <row r="14365" spans="20:20" s="566" customFormat="1">
      <c r="T14365" s="41"/>
    </row>
    <row r="14366" spans="20:20" s="566" customFormat="1">
      <c r="T14366" s="41"/>
    </row>
    <row r="14367" spans="20:20" s="566" customFormat="1">
      <c r="T14367" s="41"/>
    </row>
    <row r="14368" spans="20:20" s="566" customFormat="1">
      <c r="T14368" s="41"/>
    </row>
    <row r="14369" spans="20:20" s="566" customFormat="1">
      <c r="T14369" s="41"/>
    </row>
    <row r="14370" spans="20:20" s="566" customFormat="1">
      <c r="T14370" s="41"/>
    </row>
    <row r="14371" spans="20:20" s="566" customFormat="1">
      <c r="T14371" s="41"/>
    </row>
    <row r="14372" spans="20:20" s="566" customFormat="1">
      <c r="T14372" s="41"/>
    </row>
    <row r="14373" spans="20:20" s="566" customFormat="1">
      <c r="T14373" s="41"/>
    </row>
    <row r="14374" spans="20:20" s="566" customFormat="1">
      <c r="T14374" s="41"/>
    </row>
    <row r="14375" spans="20:20" s="566" customFormat="1">
      <c r="T14375" s="41"/>
    </row>
    <row r="14376" spans="20:20" s="566" customFormat="1">
      <c r="T14376" s="41"/>
    </row>
    <row r="14377" spans="20:20" s="566" customFormat="1">
      <c r="T14377" s="41"/>
    </row>
    <row r="14378" spans="20:20" s="566" customFormat="1">
      <c r="T14378" s="41"/>
    </row>
    <row r="14379" spans="20:20" s="566" customFormat="1">
      <c r="T14379" s="41"/>
    </row>
    <row r="14380" spans="20:20" s="566" customFormat="1">
      <c r="T14380" s="41"/>
    </row>
    <row r="14381" spans="20:20" s="566" customFormat="1">
      <c r="T14381" s="41"/>
    </row>
    <row r="14382" spans="20:20" s="566" customFormat="1">
      <c r="T14382" s="41"/>
    </row>
    <row r="14383" spans="20:20" s="566" customFormat="1">
      <c r="T14383" s="41"/>
    </row>
    <row r="14384" spans="20:20" s="566" customFormat="1">
      <c r="T14384" s="41"/>
    </row>
    <row r="14385" spans="20:20" s="566" customFormat="1">
      <c r="T14385" s="41"/>
    </row>
    <row r="14386" spans="20:20" s="566" customFormat="1">
      <c r="T14386" s="41"/>
    </row>
    <row r="14387" spans="20:20" s="566" customFormat="1">
      <c r="T14387" s="41"/>
    </row>
    <row r="14388" spans="20:20" s="566" customFormat="1">
      <c r="T14388" s="41"/>
    </row>
    <row r="14389" spans="20:20" s="566" customFormat="1">
      <c r="T14389" s="41"/>
    </row>
    <row r="14390" spans="20:20" s="566" customFormat="1">
      <c r="T14390" s="41"/>
    </row>
    <row r="14391" spans="20:20" s="566" customFormat="1">
      <c r="T14391" s="41"/>
    </row>
    <row r="14392" spans="20:20" s="566" customFormat="1">
      <c r="T14392" s="41"/>
    </row>
    <row r="14393" spans="20:20" s="566" customFormat="1">
      <c r="T14393" s="41"/>
    </row>
    <row r="14394" spans="20:20" s="566" customFormat="1">
      <c r="T14394" s="41"/>
    </row>
    <row r="14395" spans="20:20" s="566" customFormat="1">
      <c r="T14395" s="41"/>
    </row>
    <row r="14396" spans="20:20" s="566" customFormat="1">
      <c r="T14396" s="41"/>
    </row>
    <row r="14397" spans="20:20" s="566" customFormat="1">
      <c r="T14397" s="41"/>
    </row>
    <row r="14398" spans="20:20" s="566" customFormat="1">
      <c r="T14398" s="41"/>
    </row>
    <row r="14399" spans="20:20" s="566" customFormat="1">
      <c r="T14399" s="41"/>
    </row>
    <row r="14400" spans="20:20" s="566" customFormat="1">
      <c r="T14400" s="41"/>
    </row>
    <row r="14401" spans="20:20" s="566" customFormat="1">
      <c r="T14401" s="41"/>
    </row>
    <row r="14402" spans="20:20" s="566" customFormat="1">
      <c r="T14402" s="41"/>
    </row>
    <row r="14403" spans="20:20" s="566" customFormat="1">
      <c r="T14403" s="41"/>
    </row>
    <row r="14404" spans="20:20" s="566" customFormat="1">
      <c r="T14404" s="41"/>
    </row>
    <row r="14405" spans="20:20" s="566" customFormat="1">
      <c r="T14405" s="41"/>
    </row>
    <row r="14406" spans="20:20" s="566" customFormat="1">
      <c r="T14406" s="41"/>
    </row>
    <row r="14407" spans="20:20" s="566" customFormat="1">
      <c r="T14407" s="41"/>
    </row>
    <row r="14408" spans="20:20" s="566" customFormat="1">
      <c r="T14408" s="41"/>
    </row>
    <row r="14409" spans="20:20" s="566" customFormat="1">
      <c r="T14409" s="41"/>
    </row>
    <row r="14410" spans="20:20" s="566" customFormat="1">
      <c r="T14410" s="41"/>
    </row>
    <row r="14411" spans="20:20" s="566" customFormat="1">
      <c r="T14411" s="41"/>
    </row>
    <row r="14412" spans="20:20" s="566" customFormat="1">
      <c r="T14412" s="41"/>
    </row>
    <row r="14413" spans="20:20" s="566" customFormat="1">
      <c r="T14413" s="41"/>
    </row>
    <row r="14414" spans="20:20" s="566" customFormat="1">
      <c r="T14414" s="41"/>
    </row>
    <row r="14415" spans="20:20" s="566" customFormat="1">
      <c r="T14415" s="41"/>
    </row>
    <row r="14416" spans="20:20" s="566" customFormat="1">
      <c r="T14416" s="41"/>
    </row>
    <row r="14417" spans="20:20" s="566" customFormat="1">
      <c r="T14417" s="41"/>
    </row>
    <row r="14418" spans="20:20" s="566" customFormat="1">
      <c r="T14418" s="41"/>
    </row>
    <row r="14419" spans="20:20" s="566" customFormat="1">
      <c r="T14419" s="41"/>
    </row>
    <row r="14420" spans="20:20" s="566" customFormat="1">
      <c r="T14420" s="41"/>
    </row>
    <row r="14421" spans="20:20" s="566" customFormat="1">
      <c r="T14421" s="41"/>
    </row>
    <row r="14422" spans="20:20" s="566" customFormat="1">
      <c r="T14422" s="41"/>
    </row>
    <row r="14423" spans="20:20" s="566" customFormat="1">
      <c r="T14423" s="41"/>
    </row>
    <row r="14424" spans="20:20" s="566" customFormat="1">
      <c r="T14424" s="41"/>
    </row>
    <row r="14425" spans="20:20" s="566" customFormat="1">
      <c r="T14425" s="41"/>
    </row>
    <row r="14426" spans="20:20" s="566" customFormat="1">
      <c r="T14426" s="41"/>
    </row>
    <row r="14427" spans="20:20" s="566" customFormat="1">
      <c r="T14427" s="41"/>
    </row>
    <row r="14428" spans="20:20" s="566" customFormat="1">
      <c r="T14428" s="41"/>
    </row>
    <row r="14429" spans="20:20" s="566" customFormat="1">
      <c r="T14429" s="41"/>
    </row>
    <row r="14430" spans="20:20" s="566" customFormat="1">
      <c r="T14430" s="41"/>
    </row>
    <row r="14431" spans="20:20" s="566" customFormat="1">
      <c r="T14431" s="41"/>
    </row>
    <row r="14432" spans="20:20" s="566" customFormat="1">
      <c r="T14432" s="41"/>
    </row>
    <row r="14433" spans="20:20" s="566" customFormat="1">
      <c r="T14433" s="41"/>
    </row>
    <row r="14434" spans="20:20" s="566" customFormat="1">
      <c r="T14434" s="41"/>
    </row>
    <row r="14435" spans="20:20" s="566" customFormat="1">
      <c r="T14435" s="41"/>
    </row>
    <row r="14436" spans="20:20" s="566" customFormat="1">
      <c r="T14436" s="41"/>
    </row>
    <row r="14437" spans="20:20" s="566" customFormat="1">
      <c r="T14437" s="41"/>
    </row>
    <row r="14438" spans="20:20" s="566" customFormat="1">
      <c r="T14438" s="41"/>
    </row>
    <row r="14439" spans="20:20" s="566" customFormat="1">
      <c r="T14439" s="41"/>
    </row>
    <row r="14440" spans="20:20" s="566" customFormat="1">
      <c r="T14440" s="41"/>
    </row>
    <row r="14441" spans="20:20" s="566" customFormat="1">
      <c r="T14441" s="41"/>
    </row>
    <row r="14442" spans="20:20" s="566" customFormat="1">
      <c r="T14442" s="41"/>
    </row>
    <row r="14443" spans="20:20" s="566" customFormat="1">
      <c r="T14443" s="41"/>
    </row>
    <row r="14444" spans="20:20" s="566" customFormat="1">
      <c r="T14444" s="41"/>
    </row>
    <row r="14445" spans="20:20" s="566" customFormat="1">
      <c r="T14445" s="41"/>
    </row>
    <row r="14446" spans="20:20" s="566" customFormat="1">
      <c r="T14446" s="41"/>
    </row>
    <row r="14447" spans="20:20" s="566" customFormat="1">
      <c r="T14447" s="41"/>
    </row>
    <row r="14448" spans="20:20" s="566" customFormat="1">
      <c r="T14448" s="41"/>
    </row>
    <row r="14449" spans="20:20" s="566" customFormat="1">
      <c r="T14449" s="41"/>
    </row>
    <row r="14450" spans="20:20" s="566" customFormat="1">
      <c r="T14450" s="41"/>
    </row>
    <row r="14451" spans="20:20" s="566" customFormat="1">
      <c r="T14451" s="41"/>
    </row>
    <row r="14452" spans="20:20" s="566" customFormat="1">
      <c r="T14452" s="41"/>
    </row>
    <row r="14453" spans="20:20" s="566" customFormat="1">
      <c r="T14453" s="41"/>
    </row>
    <row r="14454" spans="20:20" s="566" customFormat="1">
      <c r="T14454" s="41"/>
    </row>
    <row r="14455" spans="20:20" s="566" customFormat="1">
      <c r="T14455" s="41"/>
    </row>
    <row r="14456" spans="20:20" s="566" customFormat="1">
      <c r="T14456" s="41"/>
    </row>
    <row r="14457" spans="20:20" s="566" customFormat="1">
      <c r="T14457" s="41"/>
    </row>
    <row r="14458" spans="20:20" s="566" customFormat="1">
      <c r="T14458" s="41"/>
    </row>
    <row r="14459" spans="20:20" s="566" customFormat="1">
      <c r="T14459" s="41"/>
    </row>
    <row r="14460" spans="20:20" s="566" customFormat="1">
      <c r="T14460" s="41"/>
    </row>
    <row r="14461" spans="20:20" s="566" customFormat="1">
      <c r="T14461" s="41"/>
    </row>
    <row r="14462" spans="20:20" s="566" customFormat="1">
      <c r="T14462" s="41"/>
    </row>
    <row r="14463" spans="20:20" s="566" customFormat="1">
      <c r="T14463" s="41"/>
    </row>
    <row r="14464" spans="20:20" s="566" customFormat="1">
      <c r="T14464" s="41"/>
    </row>
    <row r="14465" spans="20:20" s="566" customFormat="1">
      <c r="T14465" s="41"/>
    </row>
    <row r="14466" spans="20:20" s="566" customFormat="1">
      <c r="T14466" s="41"/>
    </row>
    <row r="14467" spans="20:20" s="566" customFormat="1">
      <c r="T14467" s="41"/>
    </row>
    <row r="14468" spans="20:20" s="566" customFormat="1">
      <c r="T14468" s="41"/>
    </row>
    <row r="14469" spans="20:20" s="566" customFormat="1">
      <c r="T14469" s="41"/>
    </row>
    <row r="14470" spans="20:20" s="566" customFormat="1">
      <c r="T14470" s="41"/>
    </row>
    <row r="14471" spans="20:20" s="566" customFormat="1">
      <c r="T14471" s="41"/>
    </row>
    <row r="14472" spans="20:20" s="566" customFormat="1">
      <c r="T14472" s="41"/>
    </row>
    <row r="14473" spans="20:20" s="566" customFormat="1">
      <c r="T14473" s="41"/>
    </row>
    <row r="14474" spans="20:20" s="566" customFormat="1">
      <c r="T14474" s="41"/>
    </row>
    <row r="14475" spans="20:20" s="566" customFormat="1">
      <c r="T14475" s="41"/>
    </row>
    <row r="14476" spans="20:20" s="566" customFormat="1">
      <c r="T14476" s="41"/>
    </row>
    <row r="14477" spans="20:20" s="566" customFormat="1">
      <c r="T14477" s="41"/>
    </row>
    <row r="14478" spans="20:20" s="566" customFormat="1">
      <c r="T14478" s="41"/>
    </row>
    <row r="14479" spans="20:20" s="566" customFormat="1">
      <c r="T14479" s="41"/>
    </row>
    <row r="14480" spans="20:20" s="566" customFormat="1">
      <c r="T14480" s="41"/>
    </row>
    <row r="14481" spans="20:20" s="566" customFormat="1">
      <c r="T14481" s="41"/>
    </row>
    <row r="14482" spans="20:20" s="566" customFormat="1">
      <c r="T14482" s="41"/>
    </row>
    <row r="14483" spans="20:20" s="566" customFormat="1">
      <c r="T14483" s="41"/>
    </row>
    <row r="14484" spans="20:20" s="566" customFormat="1">
      <c r="T14484" s="41"/>
    </row>
    <row r="14485" spans="20:20" s="566" customFormat="1">
      <c r="T14485" s="41"/>
    </row>
    <row r="14486" spans="20:20" s="566" customFormat="1">
      <c r="T14486" s="41"/>
    </row>
    <row r="14487" spans="20:20" s="566" customFormat="1">
      <c r="T14487" s="41"/>
    </row>
    <row r="14488" spans="20:20" s="566" customFormat="1">
      <c r="T14488" s="41"/>
    </row>
    <row r="14489" spans="20:20" s="566" customFormat="1">
      <c r="T14489" s="41"/>
    </row>
    <row r="14490" spans="20:20" s="566" customFormat="1">
      <c r="T14490" s="41"/>
    </row>
    <row r="14491" spans="20:20" s="566" customFormat="1">
      <c r="T14491" s="41"/>
    </row>
    <row r="14492" spans="20:20" s="566" customFormat="1">
      <c r="T14492" s="41"/>
    </row>
    <row r="14493" spans="20:20" s="566" customFormat="1">
      <c r="T14493" s="41"/>
    </row>
    <row r="14494" spans="20:20" s="566" customFormat="1">
      <c r="T14494" s="41"/>
    </row>
    <row r="14495" spans="20:20" s="566" customFormat="1">
      <c r="T14495" s="41"/>
    </row>
    <row r="14496" spans="20:20" s="566" customFormat="1">
      <c r="T14496" s="41"/>
    </row>
    <row r="14497" spans="20:20" s="566" customFormat="1">
      <c r="T14497" s="41"/>
    </row>
    <row r="14498" spans="20:20" s="566" customFormat="1">
      <c r="T14498" s="41"/>
    </row>
    <row r="14499" spans="20:20" s="566" customFormat="1">
      <c r="T14499" s="41"/>
    </row>
    <row r="14500" spans="20:20" s="566" customFormat="1">
      <c r="T14500" s="41"/>
    </row>
    <row r="14501" spans="20:20" s="566" customFormat="1">
      <c r="T14501" s="41"/>
    </row>
    <row r="14502" spans="20:20" s="566" customFormat="1">
      <c r="T14502" s="41"/>
    </row>
    <row r="14503" spans="20:20" s="566" customFormat="1">
      <c r="T14503" s="41"/>
    </row>
    <row r="14504" spans="20:20" s="566" customFormat="1">
      <c r="T14504" s="41"/>
    </row>
    <row r="14505" spans="20:20" s="566" customFormat="1">
      <c r="T14505" s="41"/>
    </row>
    <row r="14506" spans="20:20" s="566" customFormat="1">
      <c r="T14506" s="41"/>
    </row>
    <row r="14507" spans="20:20" s="566" customFormat="1">
      <c r="T14507" s="41"/>
    </row>
    <row r="14508" spans="20:20" s="566" customFormat="1">
      <c r="T14508" s="41"/>
    </row>
    <row r="14509" spans="20:20" s="566" customFormat="1">
      <c r="T14509" s="41"/>
    </row>
    <row r="14510" spans="20:20" s="566" customFormat="1">
      <c r="T14510" s="41"/>
    </row>
    <row r="14511" spans="20:20" s="566" customFormat="1">
      <c r="T14511" s="41"/>
    </row>
    <row r="14512" spans="20:20" s="566" customFormat="1">
      <c r="T14512" s="41"/>
    </row>
    <row r="14513" spans="20:20" s="566" customFormat="1">
      <c r="T14513" s="41"/>
    </row>
    <row r="14514" spans="20:20" s="566" customFormat="1">
      <c r="T14514" s="41"/>
    </row>
    <row r="14515" spans="20:20" s="566" customFormat="1">
      <c r="T14515" s="41"/>
    </row>
    <row r="14516" spans="20:20" s="566" customFormat="1">
      <c r="T14516" s="41"/>
    </row>
    <row r="14517" spans="20:20" s="566" customFormat="1">
      <c r="T14517" s="41"/>
    </row>
    <row r="14518" spans="20:20" s="566" customFormat="1">
      <c r="T14518" s="41"/>
    </row>
    <row r="14519" spans="20:20" s="566" customFormat="1">
      <c r="T14519" s="41"/>
    </row>
    <row r="14520" spans="20:20" s="566" customFormat="1">
      <c r="T14520" s="41"/>
    </row>
    <row r="14521" spans="20:20" s="566" customFormat="1">
      <c r="T14521" s="41"/>
    </row>
    <row r="14522" spans="20:20" s="566" customFormat="1">
      <c r="T14522" s="41"/>
    </row>
    <row r="14523" spans="20:20" s="566" customFormat="1">
      <c r="T14523" s="41"/>
    </row>
    <row r="14524" spans="20:20" s="566" customFormat="1">
      <c r="T14524" s="41"/>
    </row>
    <row r="14525" spans="20:20" s="566" customFormat="1">
      <c r="T14525" s="41"/>
    </row>
    <row r="14526" spans="20:20" s="566" customFormat="1">
      <c r="T14526" s="41"/>
    </row>
    <row r="14527" spans="20:20" s="566" customFormat="1">
      <c r="T14527" s="41"/>
    </row>
    <row r="14528" spans="20:20" s="566" customFormat="1">
      <c r="T14528" s="41"/>
    </row>
    <row r="14529" spans="20:20" s="566" customFormat="1">
      <c r="T14529" s="41"/>
    </row>
    <row r="14530" spans="20:20" s="566" customFormat="1">
      <c r="T14530" s="41"/>
    </row>
    <row r="14531" spans="20:20" s="566" customFormat="1">
      <c r="T14531" s="41"/>
    </row>
    <row r="14532" spans="20:20" s="566" customFormat="1">
      <c r="T14532" s="41"/>
    </row>
    <row r="14533" spans="20:20" s="566" customFormat="1">
      <c r="T14533" s="41"/>
    </row>
    <row r="14534" spans="20:20" s="566" customFormat="1">
      <c r="T14534" s="41"/>
    </row>
    <row r="14535" spans="20:20" s="566" customFormat="1">
      <c r="T14535" s="41"/>
    </row>
    <row r="14536" spans="20:20" s="566" customFormat="1">
      <c r="T14536" s="41"/>
    </row>
    <row r="14537" spans="20:20" s="566" customFormat="1">
      <c r="T14537" s="41"/>
    </row>
    <row r="14538" spans="20:20" s="566" customFormat="1">
      <c r="T14538" s="41"/>
    </row>
    <row r="14539" spans="20:20" s="566" customFormat="1">
      <c r="T14539" s="41"/>
    </row>
    <row r="14540" spans="20:20" s="566" customFormat="1">
      <c r="T14540" s="41"/>
    </row>
    <row r="14541" spans="20:20" s="566" customFormat="1">
      <c r="T14541" s="41"/>
    </row>
    <row r="14542" spans="20:20" s="566" customFormat="1">
      <c r="T14542" s="41"/>
    </row>
    <row r="14543" spans="20:20" s="566" customFormat="1">
      <c r="T14543" s="41"/>
    </row>
    <row r="14544" spans="20:20" s="566" customFormat="1">
      <c r="T14544" s="41"/>
    </row>
    <row r="14545" spans="20:20" s="566" customFormat="1">
      <c r="T14545" s="41"/>
    </row>
    <row r="14546" spans="20:20" s="566" customFormat="1">
      <c r="T14546" s="41"/>
    </row>
    <row r="14547" spans="20:20" s="566" customFormat="1">
      <c r="T14547" s="41"/>
    </row>
    <row r="14548" spans="20:20" s="566" customFormat="1">
      <c r="T14548" s="41"/>
    </row>
    <row r="14549" spans="20:20" s="566" customFormat="1">
      <c r="T14549" s="41"/>
    </row>
    <row r="14550" spans="20:20" s="566" customFormat="1">
      <c r="T14550" s="41"/>
    </row>
    <row r="14551" spans="20:20" s="566" customFormat="1">
      <c r="T14551" s="41"/>
    </row>
    <row r="14552" spans="20:20" s="566" customFormat="1">
      <c r="T14552" s="41"/>
    </row>
    <row r="14553" spans="20:20" s="566" customFormat="1">
      <c r="T14553" s="41"/>
    </row>
    <row r="14554" spans="20:20" s="566" customFormat="1">
      <c r="T14554" s="41"/>
    </row>
    <row r="14555" spans="20:20" s="566" customFormat="1">
      <c r="T14555" s="41"/>
    </row>
    <row r="14556" spans="20:20" s="566" customFormat="1">
      <c r="T14556" s="41"/>
    </row>
    <row r="14557" spans="20:20" s="566" customFormat="1">
      <c r="T14557" s="41"/>
    </row>
    <row r="14558" spans="20:20" s="566" customFormat="1">
      <c r="T14558" s="41"/>
    </row>
    <row r="14559" spans="20:20" s="566" customFormat="1">
      <c r="T14559" s="41"/>
    </row>
    <row r="14560" spans="20:20" s="566" customFormat="1">
      <c r="T14560" s="41"/>
    </row>
    <row r="14561" spans="20:20" s="566" customFormat="1">
      <c r="T14561" s="41"/>
    </row>
    <row r="14562" spans="20:20" s="566" customFormat="1">
      <c r="T14562" s="41"/>
    </row>
    <row r="14563" spans="20:20" s="566" customFormat="1">
      <c r="T14563" s="41"/>
    </row>
    <row r="14564" spans="20:20" s="566" customFormat="1">
      <c r="T14564" s="41"/>
    </row>
    <row r="14565" spans="20:20" s="566" customFormat="1">
      <c r="T14565" s="41"/>
    </row>
    <row r="14566" spans="20:20" s="566" customFormat="1">
      <c r="T14566" s="41"/>
    </row>
    <row r="14567" spans="20:20" s="566" customFormat="1">
      <c r="T14567" s="41"/>
    </row>
    <row r="14568" spans="20:20" s="566" customFormat="1">
      <c r="T14568" s="41"/>
    </row>
    <row r="14569" spans="20:20" s="566" customFormat="1">
      <c r="T14569" s="41"/>
    </row>
    <row r="14570" spans="20:20" s="566" customFormat="1">
      <c r="T14570" s="41"/>
    </row>
    <row r="14571" spans="20:20" s="566" customFormat="1">
      <c r="T14571" s="41"/>
    </row>
    <row r="14572" spans="20:20" s="566" customFormat="1">
      <c r="T14572" s="41"/>
    </row>
    <row r="14573" spans="20:20" s="566" customFormat="1">
      <c r="T14573" s="41"/>
    </row>
    <row r="14574" spans="20:20" s="566" customFormat="1">
      <c r="T14574" s="41"/>
    </row>
    <row r="14575" spans="20:20" s="566" customFormat="1">
      <c r="T14575" s="41"/>
    </row>
    <row r="14576" spans="20:20" s="566" customFormat="1">
      <c r="T14576" s="41"/>
    </row>
    <row r="14577" spans="20:20" s="566" customFormat="1">
      <c r="T14577" s="41"/>
    </row>
    <row r="14578" spans="20:20" s="566" customFormat="1">
      <c r="T14578" s="41"/>
    </row>
    <row r="14579" spans="20:20" s="566" customFormat="1">
      <c r="T14579" s="41"/>
    </row>
    <row r="14580" spans="20:20" s="566" customFormat="1">
      <c r="T14580" s="41"/>
    </row>
    <row r="14581" spans="20:20" s="566" customFormat="1">
      <c r="T14581" s="41"/>
    </row>
    <row r="14582" spans="20:20" s="566" customFormat="1">
      <c r="T14582" s="41"/>
    </row>
    <row r="14583" spans="20:20" s="566" customFormat="1">
      <c r="T14583" s="41"/>
    </row>
    <row r="14584" spans="20:20" s="566" customFormat="1">
      <c r="T14584" s="41"/>
    </row>
    <row r="14585" spans="20:20" s="566" customFormat="1">
      <c r="T14585" s="41"/>
    </row>
    <row r="14586" spans="20:20" s="566" customFormat="1">
      <c r="T14586" s="41"/>
    </row>
    <row r="14587" spans="20:20" s="566" customFormat="1">
      <c r="T14587" s="41"/>
    </row>
    <row r="14588" spans="20:20" s="566" customFormat="1">
      <c r="T14588" s="41"/>
    </row>
    <row r="14589" spans="20:20" s="566" customFormat="1">
      <c r="T14589" s="41"/>
    </row>
    <row r="14590" spans="20:20" s="566" customFormat="1">
      <c r="T14590" s="41"/>
    </row>
    <row r="14591" spans="20:20" s="566" customFormat="1">
      <c r="T14591" s="41"/>
    </row>
    <row r="14592" spans="20:20" s="566" customFormat="1">
      <c r="T14592" s="41"/>
    </row>
    <row r="14593" spans="20:20" s="566" customFormat="1">
      <c r="T14593" s="41"/>
    </row>
    <row r="14594" spans="20:20" s="566" customFormat="1">
      <c r="T14594" s="41"/>
    </row>
    <row r="14595" spans="20:20" s="566" customFormat="1">
      <c r="T14595" s="41"/>
    </row>
    <row r="14596" spans="20:20" s="566" customFormat="1">
      <c r="T14596" s="41"/>
    </row>
    <row r="14597" spans="20:20" s="566" customFormat="1">
      <c r="T14597" s="41"/>
    </row>
    <row r="14598" spans="20:20" s="566" customFormat="1">
      <c r="T14598" s="41"/>
    </row>
    <row r="14599" spans="20:20" s="566" customFormat="1">
      <c r="T14599" s="41"/>
    </row>
    <row r="14600" spans="20:20" s="566" customFormat="1">
      <c r="T14600" s="41"/>
    </row>
    <row r="14601" spans="20:20" s="566" customFormat="1">
      <c r="T14601" s="41"/>
    </row>
    <row r="14602" spans="20:20" s="566" customFormat="1">
      <c r="T14602" s="41"/>
    </row>
    <row r="14603" spans="20:20" s="566" customFormat="1">
      <c r="T14603" s="41"/>
    </row>
    <row r="14604" spans="20:20" s="566" customFormat="1">
      <c r="T14604" s="41"/>
    </row>
    <row r="14605" spans="20:20" s="566" customFormat="1">
      <c r="T14605" s="41"/>
    </row>
    <row r="14606" spans="20:20" s="566" customFormat="1">
      <c r="T14606" s="41"/>
    </row>
    <row r="14607" spans="20:20" s="566" customFormat="1">
      <c r="T14607" s="41"/>
    </row>
    <row r="14608" spans="20:20" s="566" customFormat="1">
      <c r="T14608" s="41"/>
    </row>
    <row r="14609" spans="20:20" s="566" customFormat="1">
      <c r="T14609" s="41"/>
    </row>
    <row r="14610" spans="20:20" s="566" customFormat="1">
      <c r="T14610" s="41"/>
    </row>
    <row r="14611" spans="20:20" s="566" customFormat="1">
      <c r="T14611" s="41"/>
    </row>
    <row r="14612" spans="20:20" s="566" customFormat="1">
      <c r="T14612" s="41"/>
    </row>
    <row r="14613" spans="20:20" s="566" customFormat="1">
      <c r="T14613" s="41"/>
    </row>
    <row r="14614" spans="20:20" s="566" customFormat="1">
      <c r="T14614" s="41"/>
    </row>
    <row r="14615" spans="20:20" s="566" customFormat="1">
      <c r="T14615" s="41"/>
    </row>
    <row r="14616" spans="20:20" s="566" customFormat="1">
      <c r="T14616" s="41"/>
    </row>
    <row r="14617" spans="20:20" s="566" customFormat="1">
      <c r="T14617" s="41"/>
    </row>
    <row r="14618" spans="20:20" s="566" customFormat="1">
      <c r="T14618" s="41"/>
    </row>
    <row r="14619" spans="20:20" s="566" customFormat="1">
      <c r="T14619" s="41"/>
    </row>
    <row r="14620" spans="20:20" s="566" customFormat="1">
      <c r="T14620" s="41"/>
    </row>
    <row r="14621" spans="20:20" s="566" customFormat="1">
      <c r="T14621" s="41"/>
    </row>
    <row r="14622" spans="20:20" s="566" customFormat="1">
      <c r="T14622" s="41"/>
    </row>
    <row r="14623" spans="20:20" s="566" customFormat="1">
      <c r="T14623" s="41"/>
    </row>
    <row r="14624" spans="20:20" s="566" customFormat="1">
      <c r="T14624" s="41"/>
    </row>
    <row r="14625" spans="20:20" s="566" customFormat="1">
      <c r="T14625" s="41"/>
    </row>
    <row r="14626" spans="20:20" s="566" customFormat="1">
      <c r="T14626" s="41"/>
    </row>
    <row r="14627" spans="20:20" s="566" customFormat="1">
      <c r="T14627" s="41"/>
    </row>
    <row r="14628" spans="20:20" s="566" customFormat="1">
      <c r="T14628" s="41"/>
    </row>
    <row r="14629" spans="20:20" s="566" customFormat="1">
      <c r="T14629" s="41"/>
    </row>
    <row r="14630" spans="20:20" s="566" customFormat="1">
      <c r="T14630" s="41"/>
    </row>
    <row r="14631" spans="20:20" s="566" customFormat="1">
      <c r="T14631" s="41"/>
    </row>
    <row r="14632" spans="20:20" s="566" customFormat="1">
      <c r="T14632" s="41"/>
    </row>
    <row r="14633" spans="20:20" s="566" customFormat="1">
      <c r="T14633" s="41"/>
    </row>
    <row r="14634" spans="20:20" s="566" customFormat="1">
      <c r="T14634" s="41"/>
    </row>
    <row r="14635" spans="20:20" s="566" customFormat="1">
      <c r="T14635" s="41"/>
    </row>
    <row r="14636" spans="20:20" s="566" customFormat="1">
      <c r="T14636" s="41"/>
    </row>
    <row r="14637" spans="20:20" s="566" customFormat="1">
      <c r="T14637" s="41"/>
    </row>
    <row r="14638" spans="20:20" s="566" customFormat="1">
      <c r="T14638" s="41"/>
    </row>
    <row r="14639" spans="20:20" s="566" customFormat="1">
      <c r="T14639" s="41"/>
    </row>
    <row r="14640" spans="20:20" s="566" customFormat="1">
      <c r="T14640" s="41"/>
    </row>
    <row r="14641" spans="20:20" s="566" customFormat="1">
      <c r="T14641" s="41"/>
    </row>
    <row r="14642" spans="20:20" s="566" customFormat="1">
      <c r="T14642" s="41"/>
    </row>
    <row r="14643" spans="20:20" s="566" customFormat="1">
      <c r="T14643" s="41"/>
    </row>
    <row r="14644" spans="20:20" s="566" customFormat="1">
      <c r="T14644" s="41"/>
    </row>
    <row r="14645" spans="20:20" s="566" customFormat="1">
      <c r="T14645" s="41"/>
    </row>
    <row r="14646" spans="20:20" s="566" customFormat="1">
      <c r="T14646" s="41"/>
    </row>
    <row r="14647" spans="20:20" s="566" customFormat="1">
      <c r="T14647" s="41"/>
    </row>
    <row r="14648" spans="20:20" s="566" customFormat="1">
      <c r="T14648" s="41"/>
    </row>
    <row r="14649" spans="20:20" s="566" customFormat="1">
      <c r="T14649" s="41"/>
    </row>
    <row r="14650" spans="20:20" s="566" customFormat="1">
      <c r="T14650" s="41"/>
    </row>
    <row r="14651" spans="20:20" s="566" customFormat="1">
      <c r="T14651" s="41"/>
    </row>
    <row r="14652" spans="20:20" s="566" customFormat="1">
      <c r="T14652" s="41"/>
    </row>
    <row r="14653" spans="20:20" s="566" customFormat="1">
      <c r="T14653" s="41"/>
    </row>
    <row r="14654" spans="20:20" s="566" customFormat="1">
      <c r="T14654" s="41"/>
    </row>
    <row r="14655" spans="20:20" s="566" customFormat="1">
      <c r="T14655" s="41"/>
    </row>
    <row r="14656" spans="20:20" s="566" customFormat="1">
      <c r="T14656" s="41"/>
    </row>
    <row r="14657" spans="20:20" s="566" customFormat="1">
      <c r="T14657" s="41"/>
    </row>
    <row r="14658" spans="20:20" s="566" customFormat="1">
      <c r="T14658" s="41"/>
    </row>
    <row r="14659" spans="20:20" s="566" customFormat="1">
      <c r="T14659" s="41"/>
    </row>
    <row r="14660" spans="20:20" s="566" customFormat="1">
      <c r="T14660" s="41"/>
    </row>
    <row r="14661" spans="20:20" s="566" customFormat="1">
      <c r="T14661" s="41"/>
    </row>
    <row r="14662" spans="20:20" s="566" customFormat="1">
      <c r="T14662" s="41"/>
    </row>
    <row r="14663" spans="20:20" s="566" customFormat="1">
      <c r="T14663" s="41"/>
    </row>
    <row r="14664" spans="20:20" s="566" customFormat="1">
      <c r="T14664" s="41"/>
    </row>
    <row r="14665" spans="20:20" s="566" customFormat="1">
      <c r="T14665" s="41"/>
    </row>
    <row r="14666" spans="20:20" s="566" customFormat="1">
      <c r="T14666" s="41"/>
    </row>
    <row r="14667" spans="20:20" s="566" customFormat="1">
      <c r="T14667" s="41"/>
    </row>
    <row r="14668" spans="20:20" s="566" customFormat="1">
      <c r="T14668" s="41"/>
    </row>
    <row r="14669" spans="20:20" s="566" customFormat="1">
      <c r="T14669" s="41"/>
    </row>
    <row r="14670" spans="20:20" s="566" customFormat="1">
      <c r="T14670" s="41"/>
    </row>
    <row r="14671" spans="20:20" s="566" customFormat="1">
      <c r="T14671" s="41"/>
    </row>
    <row r="14672" spans="20:20" s="566" customFormat="1">
      <c r="T14672" s="41"/>
    </row>
    <row r="14673" spans="20:20" s="566" customFormat="1">
      <c r="T14673" s="41"/>
    </row>
    <row r="14674" spans="20:20" s="566" customFormat="1">
      <c r="T14674" s="41"/>
    </row>
    <row r="14675" spans="20:20" s="566" customFormat="1">
      <c r="T14675" s="41"/>
    </row>
    <row r="14676" spans="20:20" s="566" customFormat="1">
      <c r="T14676" s="41"/>
    </row>
    <row r="14677" spans="20:20" s="566" customFormat="1">
      <c r="T14677" s="41"/>
    </row>
    <row r="14678" spans="20:20" s="566" customFormat="1">
      <c r="T14678" s="41"/>
    </row>
    <row r="14679" spans="20:20" s="566" customFormat="1">
      <c r="T14679" s="41"/>
    </row>
    <row r="14680" spans="20:20" s="566" customFormat="1">
      <c r="T14680" s="41"/>
    </row>
    <row r="14681" spans="20:20" s="566" customFormat="1">
      <c r="T14681" s="41"/>
    </row>
    <row r="14682" spans="20:20" s="566" customFormat="1">
      <c r="T14682" s="41"/>
    </row>
    <row r="14683" spans="20:20" s="566" customFormat="1">
      <c r="T14683" s="41"/>
    </row>
    <row r="14684" spans="20:20" s="566" customFormat="1">
      <c r="T14684" s="41"/>
    </row>
    <row r="14685" spans="20:20" s="566" customFormat="1">
      <c r="T14685" s="41"/>
    </row>
    <row r="14686" spans="20:20" s="566" customFormat="1">
      <c r="T14686" s="41"/>
    </row>
    <row r="14687" spans="20:20" s="566" customFormat="1">
      <c r="T14687" s="41"/>
    </row>
    <row r="14688" spans="20:20" s="566" customFormat="1">
      <c r="T14688" s="41"/>
    </row>
    <row r="14689" spans="20:20" s="566" customFormat="1">
      <c r="T14689" s="41"/>
    </row>
    <row r="14690" spans="20:20" s="566" customFormat="1">
      <c r="T14690" s="41"/>
    </row>
    <row r="14691" spans="20:20" s="566" customFormat="1">
      <c r="T14691" s="41"/>
    </row>
    <row r="14692" spans="20:20" s="566" customFormat="1">
      <c r="T14692" s="41"/>
    </row>
    <row r="14693" spans="20:20" s="566" customFormat="1">
      <c r="T14693" s="41"/>
    </row>
    <row r="14694" spans="20:20" s="566" customFormat="1">
      <c r="T14694" s="41"/>
    </row>
    <row r="14695" spans="20:20" s="566" customFormat="1">
      <c r="T14695" s="41"/>
    </row>
    <row r="14696" spans="20:20" s="566" customFormat="1">
      <c r="T14696" s="41"/>
    </row>
    <row r="14697" spans="20:20" s="566" customFormat="1">
      <c r="T14697" s="41"/>
    </row>
    <row r="14698" spans="20:20" s="566" customFormat="1">
      <c r="T14698" s="41"/>
    </row>
    <row r="14699" spans="20:20" s="566" customFormat="1">
      <c r="T14699" s="41"/>
    </row>
    <row r="14700" spans="20:20" s="566" customFormat="1">
      <c r="T14700" s="41"/>
    </row>
    <row r="14701" spans="20:20" s="566" customFormat="1">
      <c r="T14701" s="41"/>
    </row>
    <row r="14702" spans="20:20" s="566" customFormat="1">
      <c r="T14702" s="41"/>
    </row>
    <row r="14703" spans="20:20" s="566" customFormat="1">
      <c r="T14703" s="41"/>
    </row>
    <row r="14704" spans="20:20" s="566" customFormat="1">
      <c r="T14704" s="41"/>
    </row>
    <row r="14705" spans="20:20" s="566" customFormat="1">
      <c r="T14705" s="41"/>
    </row>
    <row r="14706" spans="20:20" s="566" customFormat="1">
      <c r="T14706" s="41"/>
    </row>
    <row r="14707" spans="20:20" s="566" customFormat="1">
      <c r="T14707" s="41"/>
    </row>
    <row r="14708" spans="20:20" s="566" customFormat="1">
      <c r="T14708" s="41"/>
    </row>
    <row r="14709" spans="20:20" s="566" customFormat="1">
      <c r="T14709" s="41"/>
    </row>
    <row r="14710" spans="20:20" s="566" customFormat="1">
      <c r="T14710" s="41"/>
    </row>
    <row r="14711" spans="20:20" s="566" customFormat="1">
      <c r="T14711" s="41"/>
    </row>
    <row r="14712" spans="20:20" s="566" customFormat="1">
      <c r="T14712" s="41"/>
    </row>
    <row r="14713" spans="20:20" s="566" customFormat="1">
      <c r="T14713" s="41"/>
    </row>
    <row r="14714" spans="20:20" s="566" customFormat="1">
      <c r="T14714" s="41"/>
    </row>
    <row r="14715" spans="20:20" s="566" customFormat="1">
      <c r="T14715" s="41"/>
    </row>
    <row r="14716" spans="20:20" s="566" customFormat="1">
      <c r="T14716" s="41"/>
    </row>
    <row r="14717" spans="20:20" s="566" customFormat="1">
      <c r="T14717" s="41"/>
    </row>
    <row r="14718" spans="20:20" s="566" customFormat="1">
      <c r="T14718" s="41"/>
    </row>
    <row r="14719" spans="20:20" s="566" customFormat="1">
      <c r="T14719" s="41"/>
    </row>
    <row r="14720" spans="20:20" s="566" customFormat="1">
      <c r="T14720" s="41"/>
    </row>
    <row r="14721" spans="20:20" s="566" customFormat="1">
      <c r="T14721" s="41"/>
    </row>
    <row r="14722" spans="20:20" s="566" customFormat="1">
      <c r="T14722" s="41"/>
    </row>
    <row r="14723" spans="20:20" s="566" customFormat="1">
      <c r="T14723" s="41"/>
    </row>
    <row r="14724" spans="20:20" s="566" customFormat="1">
      <c r="T14724" s="41"/>
    </row>
    <row r="14725" spans="20:20" s="566" customFormat="1">
      <c r="T14725" s="41"/>
    </row>
    <row r="14726" spans="20:20" s="566" customFormat="1">
      <c r="T14726" s="41"/>
    </row>
    <row r="14727" spans="20:20" s="566" customFormat="1">
      <c r="T14727" s="41"/>
    </row>
    <row r="14728" spans="20:20" s="566" customFormat="1">
      <c r="T14728" s="41"/>
    </row>
    <row r="14729" spans="20:20" s="566" customFormat="1">
      <c r="T14729" s="41"/>
    </row>
    <row r="14730" spans="20:20" s="566" customFormat="1">
      <c r="T14730" s="41"/>
    </row>
    <row r="14731" spans="20:20" s="566" customFormat="1">
      <c r="T14731" s="41"/>
    </row>
    <row r="14732" spans="20:20" s="566" customFormat="1">
      <c r="T14732" s="41"/>
    </row>
    <row r="14733" spans="20:20" s="566" customFormat="1">
      <c r="T14733" s="41"/>
    </row>
    <row r="14734" spans="20:20" s="566" customFormat="1">
      <c r="T14734" s="41"/>
    </row>
    <row r="14735" spans="20:20" s="566" customFormat="1">
      <c r="T14735" s="41"/>
    </row>
    <row r="14736" spans="20:20" s="566" customFormat="1">
      <c r="T14736" s="41"/>
    </row>
    <row r="14737" spans="20:20" s="566" customFormat="1">
      <c r="T14737" s="41"/>
    </row>
    <row r="14738" spans="20:20" s="566" customFormat="1">
      <c r="T14738" s="41"/>
    </row>
    <row r="14739" spans="20:20" s="566" customFormat="1">
      <c r="T14739" s="41"/>
    </row>
    <row r="14740" spans="20:20" s="566" customFormat="1">
      <c r="T14740" s="41"/>
    </row>
    <row r="14741" spans="20:20" s="566" customFormat="1">
      <c r="T14741" s="41"/>
    </row>
    <row r="14742" spans="20:20" s="566" customFormat="1">
      <c r="T14742" s="41"/>
    </row>
    <row r="14743" spans="20:20" s="566" customFormat="1">
      <c r="T14743" s="41"/>
    </row>
    <row r="14744" spans="20:20" s="566" customFormat="1">
      <c r="T14744" s="41"/>
    </row>
    <row r="14745" spans="20:20" s="566" customFormat="1">
      <c r="T14745" s="41"/>
    </row>
    <row r="14746" spans="20:20" s="566" customFormat="1">
      <c r="T14746" s="41"/>
    </row>
    <row r="14747" spans="20:20" s="566" customFormat="1">
      <c r="T14747" s="41"/>
    </row>
    <row r="14748" spans="20:20" s="566" customFormat="1">
      <c r="T14748" s="41"/>
    </row>
    <row r="14749" spans="20:20" s="566" customFormat="1">
      <c r="T14749" s="41"/>
    </row>
    <row r="14750" spans="20:20" s="566" customFormat="1">
      <c r="T14750" s="41"/>
    </row>
    <row r="14751" spans="20:20" s="566" customFormat="1">
      <c r="T14751" s="41"/>
    </row>
    <row r="14752" spans="20:20" s="566" customFormat="1">
      <c r="T14752" s="41"/>
    </row>
    <row r="14753" spans="20:20" s="566" customFormat="1">
      <c r="T14753" s="41"/>
    </row>
    <row r="14754" spans="20:20" s="566" customFormat="1">
      <c r="T14754" s="41"/>
    </row>
    <row r="14755" spans="20:20" s="566" customFormat="1">
      <c r="T14755" s="41"/>
    </row>
    <row r="14756" spans="20:20" s="566" customFormat="1">
      <c r="T14756" s="41"/>
    </row>
    <row r="14757" spans="20:20" s="566" customFormat="1">
      <c r="T14757" s="41"/>
    </row>
    <row r="14758" spans="20:20" s="566" customFormat="1">
      <c r="T14758" s="41"/>
    </row>
    <row r="14759" spans="20:20" s="566" customFormat="1">
      <c r="T14759" s="41"/>
    </row>
    <row r="14760" spans="20:20" s="566" customFormat="1">
      <c r="T14760" s="41"/>
    </row>
    <row r="14761" spans="20:20" s="566" customFormat="1">
      <c r="T14761" s="41"/>
    </row>
    <row r="14762" spans="20:20" s="566" customFormat="1">
      <c r="T14762" s="41"/>
    </row>
    <row r="14763" spans="20:20" s="566" customFormat="1">
      <c r="T14763" s="41"/>
    </row>
    <row r="14764" spans="20:20" s="566" customFormat="1">
      <c r="T14764" s="41"/>
    </row>
    <row r="14765" spans="20:20" s="566" customFormat="1">
      <c r="T14765" s="41"/>
    </row>
    <row r="14766" spans="20:20" s="566" customFormat="1">
      <c r="T14766" s="41"/>
    </row>
    <row r="14767" spans="20:20" s="566" customFormat="1">
      <c r="T14767" s="41"/>
    </row>
    <row r="14768" spans="20:20" s="566" customFormat="1">
      <c r="T14768" s="41"/>
    </row>
    <row r="14769" spans="20:20" s="566" customFormat="1">
      <c r="T14769" s="41"/>
    </row>
    <row r="14770" spans="20:20" s="566" customFormat="1">
      <c r="T14770" s="41"/>
    </row>
    <row r="14771" spans="20:20" s="566" customFormat="1">
      <c r="T14771" s="41"/>
    </row>
    <row r="14772" spans="20:20" s="566" customFormat="1">
      <c r="T14772" s="41"/>
    </row>
    <row r="14773" spans="20:20" s="566" customFormat="1">
      <c r="T14773" s="41"/>
    </row>
    <row r="14774" spans="20:20" s="566" customFormat="1">
      <c r="T14774" s="41"/>
    </row>
    <row r="14775" spans="20:20" s="566" customFormat="1">
      <c r="T14775" s="41"/>
    </row>
    <row r="14776" spans="20:20" s="566" customFormat="1">
      <c r="T14776" s="41"/>
    </row>
    <row r="14777" spans="20:20" s="566" customFormat="1">
      <c r="T14777" s="41"/>
    </row>
    <row r="14778" spans="20:20" s="566" customFormat="1">
      <c r="T14778" s="41"/>
    </row>
    <row r="14779" spans="20:20" s="566" customFormat="1">
      <c r="T14779" s="41"/>
    </row>
    <row r="14780" spans="20:20" s="566" customFormat="1">
      <c r="T14780" s="41"/>
    </row>
    <row r="14781" spans="20:20" s="566" customFormat="1">
      <c r="T14781" s="41"/>
    </row>
    <row r="14782" spans="20:20" s="566" customFormat="1">
      <c r="T14782" s="41"/>
    </row>
    <row r="14783" spans="20:20" s="566" customFormat="1">
      <c r="T14783" s="41"/>
    </row>
    <row r="14784" spans="20:20" s="566" customFormat="1">
      <c r="T14784" s="41"/>
    </row>
    <row r="14785" spans="20:20" s="566" customFormat="1">
      <c r="T14785" s="41"/>
    </row>
    <row r="14786" spans="20:20" s="566" customFormat="1">
      <c r="T14786" s="41"/>
    </row>
    <row r="14787" spans="20:20" s="566" customFormat="1">
      <c r="T14787" s="41"/>
    </row>
    <row r="14788" spans="20:20" s="566" customFormat="1">
      <c r="T14788" s="41"/>
    </row>
    <row r="14789" spans="20:20" s="566" customFormat="1">
      <c r="T14789" s="41"/>
    </row>
    <row r="14790" spans="20:20" s="566" customFormat="1">
      <c r="T14790" s="41"/>
    </row>
    <row r="14791" spans="20:20" s="566" customFormat="1">
      <c r="T14791" s="41"/>
    </row>
    <row r="14792" spans="20:20" s="566" customFormat="1">
      <c r="T14792" s="41"/>
    </row>
    <row r="14793" spans="20:20" s="566" customFormat="1">
      <c r="T14793" s="41"/>
    </row>
    <row r="14794" spans="20:20" s="566" customFormat="1">
      <c r="T14794" s="41"/>
    </row>
    <row r="14795" spans="20:20" s="566" customFormat="1">
      <c r="T14795" s="41"/>
    </row>
    <row r="14796" spans="20:20" s="566" customFormat="1">
      <c r="T14796" s="41"/>
    </row>
    <row r="14797" spans="20:20" s="566" customFormat="1">
      <c r="T14797" s="41"/>
    </row>
    <row r="14798" spans="20:20" s="566" customFormat="1">
      <c r="T14798" s="41"/>
    </row>
    <row r="14799" spans="20:20" s="566" customFormat="1">
      <c r="T14799" s="41"/>
    </row>
    <row r="14800" spans="20:20" s="566" customFormat="1">
      <c r="T14800" s="41"/>
    </row>
    <row r="14801" spans="20:20" s="566" customFormat="1">
      <c r="T14801" s="41"/>
    </row>
    <row r="14802" spans="20:20" s="566" customFormat="1">
      <c r="T14802" s="41"/>
    </row>
    <row r="14803" spans="20:20" s="566" customFormat="1">
      <c r="T14803" s="41"/>
    </row>
    <row r="14804" spans="20:20" s="566" customFormat="1">
      <c r="T14804" s="41"/>
    </row>
    <row r="14805" spans="20:20" s="566" customFormat="1">
      <c r="T14805" s="41"/>
    </row>
    <row r="14806" spans="20:20" s="566" customFormat="1">
      <c r="T14806" s="41"/>
    </row>
    <row r="14807" spans="20:20" s="566" customFormat="1">
      <c r="T14807" s="41"/>
    </row>
    <row r="14808" spans="20:20" s="566" customFormat="1">
      <c r="T14808" s="41"/>
    </row>
    <row r="14809" spans="20:20" s="566" customFormat="1">
      <c r="T14809" s="41"/>
    </row>
    <row r="14810" spans="20:20" s="566" customFormat="1">
      <c r="T14810" s="41"/>
    </row>
    <row r="14811" spans="20:20" s="566" customFormat="1">
      <c r="T14811" s="41"/>
    </row>
    <row r="14812" spans="20:20" s="566" customFormat="1">
      <c r="T14812" s="41"/>
    </row>
    <row r="14813" spans="20:20" s="566" customFormat="1">
      <c r="T14813" s="41"/>
    </row>
    <row r="14814" spans="20:20" s="566" customFormat="1">
      <c r="T14814" s="41"/>
    </row>
    <row r="14815" spans="20:20" s="566" customFormat="1">
      <c r="T14815" s="41"/>
    </row>
    <row r="14816" spans="20:20" s="566" customFormat="1">
      <c r="T14816" s="41"/>
    </row>
    <row r="14817" spans="20:20" s="566" customFormat="1">
      <c r="T14817" s="41"/>
    </row>
    <row r="14818" spans="20:20" s="566" customFormat="1">
      <c r="T14818" s="41"/>
    </row>
    <row r="14819" spans="20:20" s="566" customFormat="1">
      <c r="T14819" s="41"/>
    </row>
    <row r="14820" spans="20:20" s="566" customFormat="1">
      <c r="T14820" s="41"/>
    </row>
    <row r="14821" spans="20:20" s="566" customFormat="1">
      <c r="T14821" s="41"/>
    </row>
    <row r="14822" spans="20:20" s="566" customFormat="1">
      <c r="T14822" s="41"/>
    </row>
    <row r="14823" spans="20:20" s="566" customFormat="1">
      <c r="T14823" s="41"/>
    </row>
    <row r="14824" spans="20:20" s="566" customFormat="1">
      <c r="T14824" s="41"/>
    </row>
    <row r="14825" spans="20:20" s="566" customFormat="1">
      <c r="T14825" s="41"/>
    </row>
    <row r="14826" spans="20:20" s="566" customFormat="1">
      <c r="T14826" s="41"/>
    </row>
    <row r="14827" spans="20:20" s="566" customFormat="1">
      <c r="T14827" s="41"/>
    </row>
    <row r="14828" spans="20:20" s="566" customFormat="1">
      <c r="T14828" s="41"/>
    </row>
    <row r="14829" spans="20:20" s="566" customFormat="1">
      <c r="T14829" s="41"/>
    </row>
    <row r="14830" spans="20:20" s="566" customFormat="1">
      <c r="T14830" s="41"/>
    </row>
    <row r="14831" spans="20:20" s="566" customFormat="1">
      <c r="T14831" s="41"/>
    </row>
    <row r="14832" spans="20:20" s="566" customFormat="1">
      <c r="T14832" s="41"/>
    </row>
    <row r="14833" spans="20:20" s="566" customFormat="1">
      <c r="T14833" s="41"/>
    </row>
    <row r="14834" spans="20:20" s="566" customFormat="1">
      <c r="T14834" s="41"/>
    </row>
    <row r="14835" spans="20:20" s="566" customFormat="1">
      <c r="T14835" s="41"/>
    </row>
    <row r="14836" spans="20:20" s="566" customFormat="1">
      <c r="T14836" s="41"/>
    </row>
    <row r="14837" spans="20:20" s="566" customFormat="1">
      <c r="T14837" s="41"/>
    </row>
    <row r="14838" spans="20:20" s="566" customFormat="1">
      <c r="T14838" s="41"/>
    </row>
    <row r="14839" spans="20:20" s="566" customFormat="1">
      <c r="T14839" s="41"/>
    </row>
    <row r="14840" spans="20:20" s="566" customFormat="1">
      <c r="T14840" s="41"/>
    </row>
    <row r="14841" spans="20:20" s="566" customFormat="1">
      <c r="T14841" s="41"/>
    </row>
    <row r="14842" spans="20:20" s="566" customFormat="1">
      <c r="T14842" s="41"/>
    </row>
    <row r="14843" spans="20:20" s="566" customFormat="1">
      <c r="T14843" s="41"/>
    </row>
    <row r="14844" spans="20:20" s="566" customFormat="1">
      <c r="T14844" s="41"/>
    </row>
    <row r="14845" spans="20:20" s="566" customFormat="1">
      <c r="T14845" s="41"/>
    </row>
    <row r="14846" spans="20:20" s="566" customFormat="1">
      <c r="T14846" s="41"/>
    </row>
    <row r="14847" spans="20:20" s="566" customFormat="1">
      <c r="T14847" s="41"/>
    </row>
    <row r="14848" spans="20:20" s="566" customFormat="1">
      <c r="T14848" s="41"/>
    </row>
    <row r="14849" spans="20:20" s="566" customFormat="1">
      <c r="T14849" s="41"/>
    </row>
    <row r="14850" spans="20:20" s="566" customFormat="1">
      <c r="T14850" s="41"/>
    </row>
    <row r="14851" spans="20:20" s="566" customFormat="1">
      <c r="T14851" s="41"/>
    </row>
    <row r="14852" spans="20:20" s="566" customFormat="1">
      <c r="T14852" s="41"/>
    </row>
    <row r="14853" spans="20:20" s="566" customFormat="1">
      <c r="T14853" s="41"/>
    </row>
    <row r="14854" spans="20:20" s="566" customFormat="1">
      <c r="T14854" s="41"/>
    </row>
    <row r="14855" spans="20:20" s="566" customFormat="1">
      <c r="T14855" s="41"/>
    </row>
    <row r="14856" spans="20:20" s="566" customFormat="1">
      <c r="T14856" s="41"/>
    </row>
    <row r="14857" spans="20:20" s="566" customFormat="1">
      <c r="T14857" s="41"/>
    </row>
    <row r="14858" spans="20:20" s="566" customFormat="1">
      <c r="T14858" s="41"/>
    </row>
    <row r="14859" spans="20:20" s="566" customFormat="1">
      <c r="T14859" s="41"/>
    </row>
    <row r="14860" spans="20:20" s="566" customFormat="1">
      <c r="T14860" s="41"/>
    </row>
    <row r="14861" spans="20:20" s="566" customFormat="1">
      <c r="T14861" s="41"/>
    </row>
    <row r="14862" spans="20:20" s="566" customFormat="1">
      <c r="T14862" s="41"/>
    </row>
    <row r="14863" spans="20:20" s="566" customFormat="1">
      <c r="T14863" s="41"/>
    </row>
    <row r="14864" spans="20:20" s="566" customFormat="1">
      <c r="T14864" s="41"/>
    </row>
    <row r="14865" spans="20:20" s="566" customFormat="1">
      <c r="T14865" s="41"/>
    </row>
    <row r="14866" spans="20:20" s="566" customFormat="1">
      <c r="T14866" s="41"/>
    </row>
    <row r="14867" spans="20:20" s="566" customFormat="1">
      <c r="T14867" s="41"/>
    </row>
    <row r="14868" spans="20:20" s="566" customFormat="1">
      <c r="T14868" s="41"/>
    </row>
    <row r="14869" spans="20:20" s="566" customFormat="1">
      <c r="T14869" s="41"/>
    </row>
    <row r="14870" spans="20:20" s="566" customFormat="1">
      <c r="T14870" s="41"/>
    </row>
    <row r="14871" spans="20:20" s="566" customFormat="1">
      <c r="T14871" s="41"/>
    </row>
    <row r="14872" spans="20:20" s="566" customFormat="1">
      <c r="T14872" s="41"/>
    </row>
    <row r="14873" spans="20:20" s="566" customFormat="1">
      <c r="T14873" s="41"/>
    </row>
    <row r="14874" spans="20:20" s="566" customFormat="1">
      <c r="T14874" s="41"/>
    </row>
    <row r="14875" spans="20:20" s="566" customFormat="1">
      <c r="T14875" s="41"/>
    </row>
    <row r="14876" spans="20:20" s="566" customFormat="1">
      <c r="T14876" s="41"/>
    </row>
    <row r="14877" spans="20:20" s="566" customFormat="1">
      <c r="T14877" s="41"/>
    </row>
    <row r="14878" spans="20:20" s="566" customFormat="1">
      <c r="T14878" s="41"/>
    </row>
    <row r="14879" spans="20:20" s="566" customFormat="1">
      <c r="T14879" s="41"/>
    </row>
    <row r="14880" spans="20:20" s="566" customFormat="1">
      <c r="T14880" s="41"/>
    </row>
    <row r="14881" spans="20:20" s="566" customFormat="1">
      <c r="T14881" s="41"/>
    </row>
    <row r="14882" spans="20:20" s="566" customFormat="1">
      <c r="T14882" s="41"/>
    </row>
    <row r="14883" spans="20:20" s="566" customFormat="1">
      <c r="T14883" s="41"/>
    </row>
    <row r="14884" spans="20:20" s="566" customFormat="1">
      <c r="T14884" s="41"/>
    </row>
    <row r="14885" spans="20:20" s="566" customFormat="1">
      <c r="T14885" s="41"/>
    </row>
    <row r="14886" spans="20:20" s="566" customFormat="1">
      <c r="T14886" s="41"/>
    </row>
    <row r="14887" spans="20:20" s="566" customFormat="1">
      <c r="T14887" s="41"/>
    </row>
    <row r="14888" spans="20:20" s="566" customFormat="1">
      <c r="T14888" s="41"/>
    </row>
    <row r="14889" spans="20:20" s="566" customFormat="1">
      <c r="T14889" s="41"/>
    </row>
    <row r="14890" spans="20:20" s="566" customFormat="1">
      <c r="T14890" s="41"/>
    </row>
    <row r="14891" spans="20:20" s="566" customFormat="1">
      <c r="T14891" s="41"/>
    </row>
    <row r="14892" spans="20:20" s="566" customFormat="1">
      <c r="T14892" s="41"/>
    </row>
    <row r="14893" spans="20:20" s="566" customFormat="1">
      <c r="T14893" s="41"/>
    </row>
    <row r="14894" spans="20:20" s="566" customFormat="1">
      <c r="T14894" s="41"/>
    </row>
    <row r="14895" spans="20:20" s="566" customFormat="1">
      <c r="T14895" s="41"/>
    </row>
    <row r="14896" spans="20:20" s="566" customFormat="1">
      <c r="T14896" s="41"/>
    </row>
    <row r="14897" spans="20:20" s="566" customFormat="1">
      <c r="T14897" s="41"/>
    </row>
    <row r="14898" spans="20:20" s="566" customFormat="1">
      <c r="T14898" s="41"/>
    </row>
    <row r="14899" spans="20:20" s="566" customFormat="1">
      <c r="T14899" s="41"/>
    </row>
    <row r="14900" spans="20:20" s="566" customFormat="1">
      <c r="T14900" s="41"/>
    </row>
    <row r="14901" spans="20:20" s="566" customFormat="1">
      <c r="T14901" s="41"/>
    </row>
    <row r="14902" spans="20:20" s="566" customFormat="1">
      <c r="T14902" s="41"/>
    </row>
    <row r="14903" spans="20:20" s="566" customFormat="1">
      <c r="T14903" s="41"/>
    </row>
    <row r="14904" spans="20:20" s="566" customFormat="1">
      <c r="T14904" s="41"/>
    </row>
    <row r="14905" spans="20:20" s="566" customFormat="1">
      <c r="T14905" s="41"/>
    </row>
    <row r="14906" spans="20:20" s="566" customFormat="1">
      <c r="T14906" s="41"/>
    </row>
    <row r="14907" spans="20:20" s="566" customFormat="1">
      <c r="T14907" s="41"/>
    </row>
    <row r="14908" spans="20:20" s="566" customFormat="1">
      <c r="T14908" s="41"/>
    </row>
    <row r="14909" spans="20:20" s="566" customFormat="1">
      <c r="T14909" s="41"/>
    </row>
    <row r="14910" spans="20:20" s="566" customFormat="1">
      <c r="T14910" s="41"/>
    </row>
    <row r="14911" spans="20:20" s="566" customFormat="1">
      <c r="T14911" s="41"/>
    </row>
    <row r="14912" spans="20:20" s="566" customFormat="1">
      <c r="T14912" s="41"/>
    </row>
    <row r="14913" spans="20:20" s="566" customFormat="1">
      <c r="T14913" s="41"/>
    </row>
    <row r="14914" spans="20:20" s="566" customFormat="1">
      <c r="T14914" s="41"/>
    </row>
    <row r="14915" spans="20:20" s="566" customFormat="1">
      <c r="T14915" s="41"/>
    </row>
    <row r="14916" spans="20:20" s="566" customFormat="1">
      <c r="T14916" s="41"/>
    </row>
    <row r="14917" spans="20:20" s="566" customFormat="1">
      <c r="T14917" s="41"/>
    </row>
    <row r="14918" spans="20:20" s="566" customFormat="1">
      <c r="T14918" s="41"/>
    </row>
    <row r="14919" spans="20:20" s="566" customFormat="1">
      <c r="T14919" s="41"/>
    </row>
    <row r="14920" spans="20:20" s="566" customFormat="1">
      <c r="T14920" s="41"/>
    </row>
    <row r="14921" spans="20:20" s="566" customFormat="1">
      <c r="T14921" s="41"/>
    </row>
    <row r="14922" spans="20:20" s="566" customFormat="1">
      <c r="T14922" s="41"/>
    </row>
    <row r="14923" spans="20:20" s="566" customFormat="1">
      <c r="T14923" s="41"/>
    </row>
    <row r="14924" spans="20:20" s="566" customFormat="1">
      <c r="T14924" s="41"/>
    </row>
    <row r="14925" spans="20:20" s="566" customFormat="1">
      <c r="T14925" s="41"/>
    </row>
    <row r="14926" spans="20:20" s="566" customFormat="1">
      <c r="T14926" s="41"/>
    </row>
    <row r="14927" spans="20:20" s="566" customFormat="1">
      <c r="T14927" s="41"/>
    </row>
    <row r="14928" spans="20:20" s="566" customFormat="1">
      <c r="T14928" s="41"/>
    </row>
    <row r="14929" spans="20:20" s="566" customFormat="1">
      <c r="T14929" s="41"/>
    </row>
    <row r="14930" spans="20:20" s="566" customFormat="1">
      <c r="T14930" s="41"/>
    </row>
    <row r="14931" spans="20:20" s="566" customFormat="1">
      <c r="T14931" s="41"/>
    </row>
    <row r="14932" spans="20:20" s="566" customFormat="1">
      <c r="T14932" s="41"/>
    </row>
    <row r="14933" spans="20:20" s="566" customFormat="1">
      <c r="T14933" s="41"/>
    </row>
    <row r="14934" spans="20:20" s="566" customFormat="1">
      <c r="T14934" s="41"/>
    </row>
    <row r="14935" spans="20:20" s="566" customFormat="1">
      <c r="T14935" s="41"/>
    </row>
    <row r="14936" spans="20:20" s="566" customFormat="1">
      <c r="T14936" s="41"/>
    </row>
    <row r="14937" spans="20:20" s="566" customFormat="1">
      <c r="T14937" s="41"/>
    </row>
    <row r="14938" spans="20:20" s="566" customFormat="1">
      <c r="T14938" s="41"/>
    </row>
    <row r="14939" spans="20:20" s="566" customFormat="1">
      <c r="T14939" s="41"/>
    </row>
    <row r="14940" spans="20:20" s="566" customFormat="1">
      <c r="T14940" s="41"/>
    </row>
    <row r="14941" spans="20:20" s="566" customFormat="1">
      <c r="T14941" s="41"/>
    </row>
    <row r="14942" spans="20:20" s="566" customFormat="1">
      <c r="T14942" s="41"/>
    </row>
    <row r="14943" spans="20:20" s="566" customFormat="1">
      <c r="T14943" s="41"/>
    </row>
    <row r="14944" spans="20:20" s="566" customFormat="1">
      <c r="T14944" s="41"/>
    </row>
    <row r="14945" spans="20:20" s="566" customFormat="1">
      <c r="T14945" s="41"/>
    </row>
    <row r="14946" spans="20:20" s="566" customFormat="1">
      <c r="T14946" s="41"/>
    </row>
    <row r="14947" spans="20:20" s="566" customFormat="1">
      <c r="T14947" s="41"/>
    </row>
    <row r="14948" spans="20:20" s="566" customFormat="1">
      <c r="T14948" s="41"/>
    </row>
    <row r="14949" spans="20:20" s="566" customFormat="1">
      <c r="T14949" s="41"/>
    </row>
    <row r="14950" spans="20:20" s="566" customFormat="1">
      <c r="T14950" s="41"/>
    </row>
    <row r="14951" spans="20:20" s="566" customFormat="1">
      <c r="T14951" s="41"/>
    </row>
    <row r="14952" spans="20:20" s="566" customFormat="1">
      <c r="T14952" s="41"/>
    </row>
    <row r="14953" spans="20:20" s="566" customFormat="1">
      <c r="T14953" s="41"/>
    </row>
    <row r="14954" spans="20:20" s="566" customFormat="1">
      <c r="T14954" s="41"/>
    </row>
    <row r="14955" spans="20:20" s="566" customFormat="1">
      <c r="T14955" s="41"/>
    </row>
    <row r="14956" spans="20:20" s="566" customFormat="1">
      <c r="T14956" s="41"/>
    </row>
    <row r="14957" spans="20:20" s="566" customFormat="1">
      <c r="T14957" s="41"/>
    </row>
    <row r="14958" spans="20:20" s="566" customFormat="1">
      <c r="T14958" s="41"/>
    </row>
    <row r="14959" spans="20:20" s="566" customFormat="1">
      <c r="T14959" s="41"/>
    </row>
    <row r="14960" spans="20:20" s="566" customFormat="1">
      <c r="T14960" s="41"/>
    </row>
    <row r="14961" spans="20:20" s="566" customFormat="1">
      <c r="T14961" s="41"/>
    </row>
    <row r="14962" spans="20:20" s="566" customFormat="1">
      <c r="T14962" s="41"/>
    </row>
    <row r="14963" spans="20:20" s="566" customFormat="1">
      <c r="T14963" s="41"/>
    </row>
    <row r="14964" spans="20:20" s="566" customFormat="1">
      <c r="T14964" s="41"/>
    </row>
    <row r="14965" spans="20:20" s="566" customFormat="1">
      <c r="T14965" s="41"/>
    </row>
    <row r="14966" spans="20:20" s="566" customFormat="1">
      <c r="T14966" s="41"/>
    </row>
    <row r="14967" spans="20:20" s="566" customFormat="1">
      <c r="T14967" s="41"/>
    </row>
    <row r="14968" spans="20:20" s="566" customFormat="1">
      <c r="T14968" s="41"/>
    </row>
    <row r="14969" spans="20:20" s="566" customFormat="1">
      <c r="T14969" s="41"/>
    </row>
    <row r="14970" spans="20:20" s="566" customFormat="1">
      <c r="T14970" s="41"/>
    </row>
    <row r="14971" spans="20:20" s="566" customFormat="1">
      <c r="T14971" s="41"/>
    </row>
    <row r="14972" spans="20:20" s="566" customFormat="1">
      <c r="T14972" s="41"/>
    </row>
    <row r="14973" spans="20:20" s="566" customFormat="1">
      <c r="T14973" s="41"/>
    </row>
    <row r="14974" spans="20:20" s="566" customFormat="1">
      <c r="T14974" s="41"/>
    </row>
    <row r="14975" spans="20:20" s="566" customFormat="1">
      <c r="T14975" s="41"/>
    </row>
    <row r="14976" spans="20:20" s="566" customFormat="1">
      <c r="T14976" s="41"/>
    </row>
    <row r="14977" spans="20:20" s="566" customFormat="1">
      <c r="T14977" s="41"/>
    </row>
    <row r="14978" spans="20:20" s="566" customFormat="1">
      <c r="T14978" s="41"/>
    </row>
    <row r="14979" spans="20:20" s="566" customFormat="1">
      <c r="T14979" s="41"/>
    </row>
    <row r="14980" spans="20:20" s="566" customFormat="1">
      <c r="T14980" s="41"/>
    </row>
    <row r="14981" spans="20:20" s="566" customFormat="1">
      <c r="T14981" s="41"/>
    </row>
    <row r="14982" spans="20:20" s="566" customFormat="1">
      <c r="T14982" s="41"/>
    </row>
    <row r="14983" spans="20:20" s="566" customFormat="1">
      <c r="T14983" s="41"/>
    </row>
    <row r="14984" spans="20:20" s="566" customFormat="1">
      <c r="T14984" s="41"/>
    </row>
    <row r="14985" spans="20:20" s="566" customFormat="1">
      <c r="T14985" s="41"/>
    </row>
    <row r="14986" spans="20:20" s="566" customFormat="1">
      <c r="T14986" s="41"/>
    </row>
    <row r="14987" spans="20:20" s="566" customFormat="1">
      <c r="T14987" s="41"/>
    </row>
    <row r="14988" spans="20:20" s="566" customFormat="1">
      <c r="T14988" s="41"/>
    </row>
    <row r="14989" spans="20:20" s="566" customFormat="1">
      <c r="T14989" s="41"/>
    </row>
    <row r="14990" spans="20:20" s="566" customFormat="1">
      <c r="T14990" s="41"/>
    </row>
    <row r="14991" spans="20:20" s="566" customFormat="1">
      <c r="T14991" s="41"/>
    </row>
    <row r="14992" spans="20:20" s="566" customFormat="1">
      <c r="T14992" s="41"/>
    </row>
    <row r="14993" spans="20:20" s="566" customFormat="1">
      <c r="T14993" s="41"/>
    </row>
    <row r="14994" spans="20:20" s="566" customFormat="1">
      <c r="T14994" s="41"/>
    </row>
    <row r="14995" spans="20:20" s="566" customFormat="1">
      <c r="T14995" s="41"/>
    </row>
    <row r="14996" spans="20:20" s="566" customFormat="1">
      <c r="T14996" s="41"/>
    </row>
    <row r="14997" spans="20:20" s="566" customFormat="1">
      <c r="T14997" s="41"/>
    </row>
    <row r="14998" spans="20:20" s="566" customFormat="1">
      <c r="T14998" s="41"/>
    </row>
    <row r="14999" spans="20:20" s="566" customFormat="1">
      <c r="T14999" s="41"/>
    </row>
    <row r="15000" spans="20:20" s="566" customFormat="1">
      <c r="T15000" s="41"/>
    </row>
    <row r="15001" spans="20:20" s="566" customFormat="1">
      <c r="T15001" s="41"/>
    </row>
    <row r="15002" spans="20:20" s="566" customFormat="1">
      <c r="T15002" s="41"/>
    </row>
    <row r="15003" spans="20:20" s="566" customFormat="1">
      <c r="T15003" s="41"/>
    </row>
    <row r="15004" spans="20:20" s="566" customFormat="1">
      <c r="T15004" s="41"/>
    </row>
    <row r="15005" spans="20:20" s="566" customFormat="1">
      <c r="T15005" s="41"/>
    </row>
    <row r="15006" spans="20:20" s="566" customFormat="1">
      <c r="T15006" s="41"/>
    </row>
    <row r="15007" spans="20:20" s="566" customFormat="1">
      <c r="T15007" s="41"/>
    </row>
    <row r="15008" spans="20:20" s="566" customFormat="1">
      <c r="T15008" s="41"/>
    </row>
    <row r="15009" spans="20:20" s="566" customFormat="1">
      <c r="T15009" s="41"/>
    </row>
    <row r="15010" spans="20:20" s="566" customFormat="1">
      <c r="T15010" s="41"/>
    </row>
    <row r="15011" spans="20:20" s="566" customFormat="1">
      <c r="T15011" s="41"/>
    </row>
    <row r="15012" spans="20:20" s="566" customFormat="1">
      <c r="T15012" s="41"/>
    </row>
    <row r="15013" spans="20:20" s="566" customFormat="1">
      <c r="T15013" s="41"/>
    </row>
    <row r="15014" spans="20:20" s="566" customFormat="1">
      <c r="T15014" s="41"/>
    </row>
    <row r="15015" spans="20:20" s="566" customFormat="1">
      <c r="T15015" s="41"/>
    </row>
    <row r="15016" spans="20:20" s="566" customFormat="1">
      <c r="T15016" s="41"/>
    </row>
    <row r="15017" spans="20:20" s="566" customFormat="1">
      <c r="T15017" s="41"/>
    </row>
    <row r="15018" spans="20:20" s="566" customFormat="1">
      <c r="T15018" s="41"/>
    </row>
    <row r="15019" spans="20:20" s="566" customFormat="1">
      <c r="T15019" s="41"/>
    </row>
    <row r="15020" spans="20:20" s="566" customFormat="1">
      <c r="T15020" s="41"/>
    </row>
    <row r="15021" spans="20:20" s="566" customFormat="1">
      <c r="T15021" s="41"/>
    </row>
    <row r="15022" spans="20:20" s="566" customFormat="1">
      <c r="T15022" s="41"/>
    </row>
    <row r="15023" spans="20:20" s="566" customFormat="1">
      <c r="T15023" s="41"/>
    </row>
    <row r="15024" spans="20:20" s="566" customFormat="1">
      <c r="T15024" s="41"/>
    </row>
    <row r="15025" spans="20:20" s="566" customFormat="1">
      <c r="T15025" s="41"/>
    </row>
    <row r="15026" spans="20:20" s="566" customFormat="1">
      <c r="T15026" s="41"/>
    </row>
    <row r="15027" spans="20:20" s="566" customFormat="1">
      <c r="T15027" s="41"/>
    </row>
    <row r="15028" spans="20:20" s="566" customFormat="1">
      <c r="T15028" s="41"/>
    </row>
    <row r="15029" spans="20:20" s="566" customFormat="1">
      <c r="T15029" s="41"/>
    </row>
    <row r="15030" spans="20:20" s="566" customFormat="1">
      <c r="T15030" s="41"/>
    </row>
    <row r="15031" spans="20:20" s="566" customFormat="1">
      <c r="T15031" s="41"/>
    </row>
    <row r="15032" spans="20:20" s="566" customFormat="1">
      <c r="T15032" s="41"/>
    </row>
    <row r="15033" spans="20:20" s="566" customFormat="1">
      <c r="T15033" s="41"/>
    </row>
    <row r="15034" spans="20:20" s="566" customFormat="1">
      <c r="T15034" s="41"/>
    </row>
    <row r="15035" spans="20:20" s="566" customFormat="1">
      <c r="T15035" s="41"/>
    </row>
    <row r="15036" spans="20:20" s="566" customFormat="1">
      <c r="T15036" s="41"/>
    </row>
    <row r="15037" spans="20:20" s="566" customFormat="1">
      <c r="T15037" s="41"/>
    </row>
    <row r="15038" spans="20:20" s="566" customFormat="1">
      <c r="T15038" s="41"/>
    </row>
    <row r="15039" spans="20:20" s="566" customFormat="1">
      <c r="T15039" s="41"/>
    </row>
    <row r="15040" spans="20:20" s="566" customFormat="1">
      <c r="T15040" s="41"/>
    </row>
    <row r="15041" spans="20:20" s="566" customFormat="1">
      <c r="T15041" s="41"/>
    </row>
    <row r="15042" spans="20:20" s="566" customFormat="1">
      <c r="T15042" s="41"/>
    </row>
    <row r="15043" spans="20:20" s="566" customFormat="1">
      <c r="T15043" s="41"/>
    </row>
    <row r="15044" spans="20:20" s="566" customFormat="1">
      <c r="T15044" s="41"/>
    </row>
    <row r="15045" spans="20:20" s="566" customFormat="1">
      <c r="T15045" s="41"/>
    </row>
    <row r="15046" spans="20:20" s="566" customFormat="1">
      <c r="T15046" s="41"/>
    </row>
    <row r="15047" spans="20:20" s="566" customFormat="1">
      <c r="T15047" s="41"/>
    </row>
    <row r="15048" spans="20:20" s="566" customFormat="1">
      <c r="T15048" s="41"/>
    </row>
    <row r="15049" spans="20:20" s="566" customFormat="1">
      <c r="T15049" s="41"/>
    </row>
    <row r="15050" spans="20:20" s="566" customFormat="1">
      <c r="T15050" s="41"/>
    </row>
    <row r="15051" spans="20:20" s="566" customFormat="1">
      <c r="T15051" s="41"/>
    </row>
    <row r="15052" spans="20:20" s="566" customFormat="1">
      <c r="T15052" s="41"/>
    </row>
    <row r="15053" spans="20:20" s="566" customFormat="1">
      <c r="T15053" s="41"/>
    </row>
    <row r="15054" spans="20:20" s="566" customFormat="1">
      <c r="T15054" s="41"/>
    </row>
    <row r="15055" spans="20:20" s="566" customFormat="1">
      <c r="T15055" s="41"/>
    </row>
    <row r="15056" spans="20:20" s="566" customFormat="1">
      <c r="T15056" s="41"/>
    </row>
    <row r="15057" spans="20:20" s="566" customFormat="1">
      <c r="T15057" s="41"/>
    </row>
    <row r="15058" spans="20:20" s="566" customFormat="1">
      <c r="T15058" s="41"/>
    </row>
    <row r="15059" spans="20:20" s="566" customFormat="1">
      <c r="T15059" s="41"/>
    </row>
    <row r="15060" spans="20:20" s="566" customFormat="1">
      <c r="T15060" s="41"/>
    </row>
    <row r="15061" spans="20:20" s="566" customFormat="1">
      <c r="T15061" s="41"/>
    </row>
    <row r="15062" spans="20:20" s="566" customFormat="1">
      <c r="T15062" s="41"/>
    </row>
    <row r="15063" spans="20:20" s="566" customFormat="1">
      <c r="T15063" s="41"/>
    </row>
    <row r="15064" spans="20:20" s="566" customFormat="1">
      <c r="T15064" s="41"/>
    </row>
    <row r="15065" spans="20:20" s="566" customFormat="1">
      <c r="T15065" s="41"/>
    </row>
    <row r="15066" spans="20:20" s="566" customFormat="1">
      <c r="T15066" s="41"/>
    </row>
    <row r="15067" spans="20:20" s="566" customFormat="1">
      <c r="T15067" s="41"/>
    </row>
    <row r="15068" spans="20:20" s="566" customFormat="1">
      <c r="T15068" s="41"/>
    </row>
    <row r="15069" spans="20:20" s="566" customFormat="1">
      <c r="T15069" s="41"/>
    </row>
    <row r="15070" spans="20:20" s="566" customFormat="1">
      <c r="T15070" s="41"/>
    </row>
    <row r="15071" spans="20:20" s="566" customFormat="1">
      <c r="T15071" s="41"/>
    </row>
    <row r="15072" spans="20:20" s="566" customFormat="1">
      <c r="T15072" s="41"/>
    </row>
    <row r="15073" spans="20:20" s="566" customFormat="1">
      <c r="T15073" s="41"/>
    </row>
    <row r="15074" spans="20:20" s="566" customFormat="1">
      <c r="T15074" s="41"/>
    </row>
    <row r="15075" spans="20:20" s="566" customFormat="1">
      <c r="T15075" s="41"/>
    </row>
    <row r="15076" spans="20:20" s="566" customFormat="1">
      <c r="T15076" s="41"/>
    </row>
    <row r="15077" spans="20:20" s="566" customFormat="1">
      <c r="T15077" s="41"/>
    </row>
    <row r="15078" spans="20:20" s="566" customFormat="1">
      <c r="T15078" s="41"/>
    </row>
    <row r="15079" spans="20:20" s="566" customFormat="1">
      <c r="T15079" s="41"/>
    </row>
    <row r="15080" spans="20:20" s="566" customFormat="1">
      <c r="T15080" s="41"/>
    </row>
    <row r="15081" spans="20:20" s="566" customFormat="1">
      <c r="T15081" s="41"/>
    </row>
    <row r="15082" spans="20:20" s="566" customFormat="1">
      <c r="T15082" s="41"/>
    </row>
    <row r="15083" spans="20:20" s="566" customFormat="1">
      <c r="T15083" s="41"/>
    </row>
    <row r="15084" spans="20:20" s="566" customFormat="1">
      <c r="T15084" s="41"/>
    </row>
    <row r="15085" spans="20:20" s="566" customFormat="1">
      <c r="T15085" s="41"/>
    </row>
    <row r="15086" spans="20:20" s="566" customFormat="1">
      <c r="T15086" s="41"/>
    </row>
    <row r="15087" spans="20:20" s="566" customFormat="1">
      <c r="T15087" s="41"/>
    </row>
    <row r="15088" spans="20:20" s="566" customFormat="1">
      <c r="T15088" s="41"/>
    </row>
    <row r="15089" spans="20:20" s="566" customFormat="1">
      <c r="T15089" s="41"/>
    </row>
    <row r="15090" spans="20:20" s="566" customFormat="1">
      <c r="T15090" s="41"/>
    </row>
    <row r="15091" spans="20:20" s="566" customFormat="1">
      <c r="T15091" s="41"/>
    </row>
    <row r="15092" spans="20:20" s="566" customFormat="1">
      <c r="T15092" s="41"/>
    </row>
    <row r="15093" spans="20:20" s="566" customFormat="1">
      <c r="T15093" s="41"/>
    </row>
    <row r="15094" spans="20:20" s="566" customFormat="1">
      <c r="T15094" s="41"/>
    </row>
    <row r="15095" spans="20:20" s="566" customFormat="1">
      <c r="T15095" s="41"/>
    </row>
    <row r="15096" spans="20:20" s="566" customFormat="1">
      <c r="T15096" s="41"/>
    </row>
    <row r="15097" spans="20:20" s="566" customFormat="1">
      <c r="T15097" s="41"/>
    </row>
    <row r="15098" spans="20:20" s="566" customFormat="1">
      <c r="T15098" s="41"/>
    </row>
    <row r="15099" spans="20:20" s="566" customFormat="1">
      <c r="T15099" s="41"/>
    </row>
    <row r="15100" spans="20:20" s="566" customFormat="1">
      <c r="T15100" s="41"/>
    </row>
    <row r="15101" spans="20:20" s="566" customFormat="1">
      <c r="T15101" s="41"/>
    </row>
    <row r="15102" spans="20:20" s="566" customFormat="1">
      <c r="T15102" s="41"/>
    </row>
    <row r="15103" spans="20:20" s="566" customFormat="1">
      <c r="T15103" s="41"/>
    </row>
    <row r="15104" spans="20:20" s="566" customFormat="1">
      <c r="T15104" s="41"/>
    </row>
    <row r="15105" spans="20:20" s="566" customFormat="1">
      <c r="T15105" s="41"/>
    </row>
    <row r="15106" spans="20:20" s="566" customFormat="1">
      <c r="T15106" s="41"/>
    </row>
    <row r="15107" spans="20:20" s="566" customFormat="1">
      <c r="T15107" s="41"/>
    </row>
    <row r="15108" spans="20:20" s="566" customFormat="1">
      <c r="T15108" s="41"/>
    </row>
    <row r="15109" spans="20:20" s="566" customFormat="1">
      <c r="T15109" s="41"/>
    </row>
    <row r="15110" spans="20:20" s="566" customFormat="1">
      <c r="T15110" s="41"/>
    </row>
    <row r="15111" spans="20:20" s="566" customFormat="1">
      <c r="T15111" s="41"/>
    </row>
    <row r="15112" spans="20:20" s="566" customFormat="1">
      <c r="T15112" s="41"/>
    </row>
    <row r="15113" spans="20:20" s="566" customFormat="1">
      <c r="T15113" s="41"/>
    </row>
    <row r="15114" spans="20:20" s="566" customFormat="1">
      <c r="T15114" s="41"/>
    </row>
    <row r="15115" spans="20:20" s="566" customFormat="1">
      <c r="T15115" s="41"/>
    </row>
    <row r="15116" spans="20:20" s="566" customFormat="1">
      <c r="T15116" s="41"/>
    </row>
    <row r="15117" spans="20:20" s="566" customFormat="1">
      <c r="T15117" s="41"/>
    </row>
    <row r="15118" spans="20:20" s="566" customFormat="1">
      <c r="T15118" s="41"/>
    </row>
    <row r="15119" spans="20:20" s="566" customFormat="1">
      <c r="T15119" s="41"/>
    </row>
    <row r="15120" spans="20:20" s="566" customFormat="1">
      <c r="T15120" s="41"/>
    </row>
    <row r="15121" spans="20:20" s="566" customFormat="1">
      <c r="T15121" s="41"/>
    </row>
    <row r="15122" spans="20:20" s="566" customFormat="1">
      <c r="T15122" s="41"/>
    </row>
    <row r="15123" spans="20:20" s="566" customFormat="1">
      <c r="T15123" s="41"/>
    </row>
    <row r="15124" spans="20:20" s="566" customFormat="1">
      <c r="T15124" s="41"/>
    </row>
    <row r="15125" spans="20:20" s="566" customFormat="1">
      <c r="T15125" s="41"/>
    </row>
    <row r="15126" spans="20:20" s="566" customFormat="1">
      <c r="T15126" s="41"/>
    </row>
    <row r="15127" spans="20:20" s="566" customFormat="1">
      <c r="T15127" s="41"/>
    </row>
    <row r="15128" spans="20:20" s="566" customFormat="1">
      <c r="T15128" s="41"/>
    </row>
    <row r="15129" spans="20:20" s="566" customFormat="1">
      <c r="T15129" s="41"/>
    </row>
    <row r="15130" spans="20:20" s="566" customFormat="1">
      <c r="T15130" s="41"/>
    </row>
    <row r="15131" spans="20:20" s="566" customFormat="1">
      <c r="T15131" s="41"/>
    </row>
    <row r="15132" spans="20:20" s="566" customFormat="1">
      <c r="T15132" s="41"/>
    </row>
    <row r="15133" spans="20:20" s="566" customFormat="1">
      <c r="T15133" s="41"/>
    </row>
    <row r="15134" spans="20:20" s="566" customFormat="1">
      <c r="T15134" s="41"/>
    </row>
    <row r="15135" spans="20:20" s="566" customFormat="1">
      <c r="T15135" s="41"/>
    </row>
    <row r="15136" spans="20:20" s="566" customFormat="1">
      <c r="T15136" s="41"/>
    </row>
    <row r="15137" spans="20:20" s="566" customFormat="1">
      <c r="T15137" s="41"/>
    </row>
    <row r="15138" spans="20:20" s="566" customFormat="1">
      <c r="T15138" s="41"/>
    </row>
    <row r="15139" spans="20:20" s="566" customFormat="1">
      <c r="T15139" s="41"/>
    </row>
    <row r="15140" spans="20:20" s="566" customFormat="1">
      <c r="T15140" s="41"/>
    </row>
    <row r="15141" spans="20:20" s="566" customFormat="1">
      <c r="T15141" s="41"/>
    </row>
    <row r="15142" spans="20:20" s="566" customFormat="1">
      <c r="T15142" s="41"/>
    </row>
    <row r="15143" spans="20:20" s="566" customFormat="1">
      <c r="T15143" s="41"/>
    </row>
    <row r="15144" spans="20:20" s="566" customFormat="1">
      <c r="T15144" s="41"/>
    </row>
    <row r="15145" spans="20:20" s="566" customFormat="1">
      <c r="T15145" s="41"/>
    </row>
    <row r="15146" spans="20:20" s="566" customFormat="1">
      <c r="T15146" s="41"/>
    </row>
    <row r="15147" spans="20:20" s="566" customFormat="1">
      <c r="T15147" s="41"/>
    </row>
    <row r="15148" spans="20:20" s="566" customFormat="1">
      <c r="T15148" s="41"/>
    </row>
    <row r="15149" spans="20:20" s="566" customFormat="1">
      <c r="T15149" s="41"/>
    </row>
    <row r="15150" spans="20:20" s="566" customFormat="1">
      <c r="T15150" s="41"/>
    </row>
    <row r="15151" spans="20:20" s="566" customFormat="1">
      <c r="T15151" s="41"/>
    </row>
    <row r="15152" spans="20:20" s="566" customFormat="1">
      <c r="T15152" s="41"/>
    </row>
    <row r="15153" spans="20:20" s="566" customFormat="1">
      <c r="T15153" s="41"/>
    </row>
    <row r="15154" spans="20:20" s="566" customFormat="1">
      <c r="T15154" s="41"/>
    </row>
    <row r="15155" spans="20:20" s="566" customFormat="1">
      <c r="T15155" s="41"/>
    </row>
    <row r="15156" spans="20:20" s="566" customFormat="1">
      <c r="T15156" s="41"/>
    </row>
    <row r="15157" spans="20:20" s="566" customFormat="1">
      <c r="T15157" s="41"/>
    </row>
    <row r="15158" spans="20:20" s="566" customFormat="1">
      <c r="T15158" s="41"/>
    </row>
    <row r="15159" spans="20:20" s="566" customFormat="1">
      <c r="T15159" s="41"/>
    </row>
    <row r="15160" spans="20:20" s="566" customFormat="1">
      <c r="T15160" s="41"/>
    </row>
    <row r="15161" spans="20:20" s="566" customFormat="1">
      <c r="T15161" s="41"/>
    </row>
    <row r="15162" spans="20:20" s="566" customFormat="1">
      <c r="T15162" s="41"/>
    </row>
    <row r="15163" spans="20:20" s="566" customFormat="1">
      <c r="T15163" s="41"/>
    </row>
    <row r="15164" spans="20:20" s="566" customFormat="1">
      <c r="T15164" s="41"/>
    </row>
    <row r="15165" spans="20:20" s="566" customFormat="1">
      <c r="T15165" s="41"/>
    </row>
    <row r="15166" spans="20:20" s="566" customFormat="1">
      <c r="T15166" s="41"/>
    </row>
    <row r="15167" spans="20:20" s="566" customFormat="1">
      <c r="T15167" s="41"/>
    </row>
    <row r="15168" spans="20:20" s="566" customFormat="1">
      <c r="T15168" s="41"/>
    </row>
    <row r="15169" spans="20:20" s="566" customFormat="1">
      <c r="T15169" s="41"/>
    </row>
    <row r="15170" spans="20:20" s="566" customFormat="1">
      <c r="T15170" s="41"/>
    </row>
    <row r="15171" spans="20:20" s="566" customFormat="1">
      <c r="T15171" s="41"/>
    </row>
    <row r="15172" spans="20:20" s="566" customFormat="1">
      <c r="T15172" s="41"/>
    </row>
    <row r="15173" spans="20:20" s="566" customFormat="1">
      <c r="T15173" s="41"/>
    </row>
    <row r="15174" spans="20:20" s="566" customFormat="1">
      <c r="T15174" s="41"/>
    </row>
    <row r="15175" spans="20:20" s="566" customFormat="1">
      <c r="T15175" s="41"/>
    </row>
    <row r="15176" spans="20:20" s="566" customFormat="1">
      <c r="T15176" s="41"/>
    </row>
    <row r="15177" spans="20:20" s="566" customFormat="1">
      <c r="T15177" s="41"/>
    </row>
    <row r="15178" spans="20:20" s="566" customFormat="1">
      <c r="T15178" s="41"/>
    </row>
    <row r="15179" spans="20:20" s="566" customFormat="1">
      <c r="T15179" s="41"/>
    </row>
    <row r="15180" spans="20:20" s="566" customFormat="1">
      <c r="T15180" s="41"/>
    </row>
    <row r="15181" spans="20:20" s="566" customFormat="1">
      <c r="T15181" s="41"/>
    </row>
    <row r="15182" spans="20:20" s="566" customFormat="1">
      <c r="T15182" s="41"/>
    </row>
    <row r="15183" spans="20:20" s="566" customFormat="1">
      <c r="T15183" s="41"/>
    </row>
    <row r="15184" spans="20:20" s="566" customFormat="1">
      <c r="T15184" s="41"/>
    </row>
    <row r="15185" spans="20:20" s="566" customFormat="1">
      <c r="T15185" s="41"/>
    </row>
    <row r="15186" spans="20:20" s="566" customFormat="1">
      <c r="T15186" s="41"/>
    </row>
    <row r="15187" spans="20:20" s="566" customFormat="1">
      <c r="T15187" s="41"/>
    </row>
    <row r="15188" spans="20:20" s="566" customFormat="1">
      <c r="T15188" s="41"/>
    </row>
    <row r="15189" spans="20:20" s="566" customFormat="1">
      <c r="T15189" s="41"/>
    </row>
    <row r="15190" spans="20:20" s="566" customFormat="1">
      <c r="T15190" s="41"/>
    </row>
    <row r="15191" spans="20:20" s="566" customFormat="1">
      <c r="T15191" s="41"/>
    </row>
    <row r="15192" spans="20:20" s="566" customFormat="1">
      <c r="T15192" s="41"/>
    </row>
    <row r="15193" spans="20:20" s="566" customFormat="1">
      <c r="T15193" s="41"/>
    </row>
    <row r="15194" spans="20:20" s="566" customFormat="1">
      <c r="T15194" s="41"/>
    </row>
    <row r="15195" spans="20:20" s="566" customFormat="1">
      <c r="T15195" s="41"/>
    </row>
    <row r="15196" spans="20:20" s="566" customFormat="1">
      <c r="T15196" s="41"/>
    </row>
    <row r="15197" spans="20:20" s="566" customFormat="1">
      <c r="T15197" s="41"/>
    </row>
    <row r="15198" spans="20:20" s="566" customFormat="1">
      <c r="T15198" s="41"/>
    </row>
    <row r="15199" spans="20:20" s="566" customFormat="1">
      <c r="T15199" s="41"/>
    </row>
    <row r="15200" spans="20:20" s="566" customFormat="1">
      <c r="T15200" s="41"/>
    </row>
    <row r="15201" spans="20:20" s="566" customFormat="1">
      <c r="T15201" s="41"/>
    </row>
    <row r="15202" spans="20:20" s="566" customFormat="1">
      <c r="T15202" s="41"/>
    </row>
    <row r="15203" spans="20:20" s="566" customFormat="1">
      <c r="T15203" s="41"/>
    </row>
    <row r="15204" spans="20:20" s="566" customFormat="1">
      <c r="T15204" s="41"/>
    </row>
    <row r="15205" spans="20:20" s="566" customFormat="1">
      <c r="T15205" s="41"/>
    </row>
    <row r="15206" spans="20:20" s="566" customFormat="1">
      <c r="T15206" s="41"/>
    </row>
    <row r="15207" spans="20:20" s="566" customFormat="1">
      <c r="T15207" s="41"/>
    </row>
    <row r="15208" spans="20:20" s="566" customFormat="1">
      <c r="T15208" s="41"/>
    </row>
    <row r="15209" spans="20:20" s="566" customFormat="1">
      <c r="T15209" s="41"/>
    </row>
    <row r="15210" spans="20:20" s="566" customFormat="1">
      <c r="T15210" s="41"/>
    </row>
    <row r="15211" spans="20:20" s="566" customFormat="1">
      <c r="T15211" s="41"/>
    </row>
    <row r="15212" spans="20:20" s="566" customFormat="1">
      <c r="T15212" s="41"/>
    </row>
    <row r="15213" spans="20:20" s="566" customFormat="1">
      <c r="T15213" s="41"/>
    </row>
    <row r="15214" spans="20:20" s="566" customFormat="1">
      <c r="T15214" s="41"/>
    </row>
    <row r="15215" spans="20:20" s="566" customFormat="1">
      <c r="T15215" s="41"/>
    </row>
    <row r="15216" spans="20:20" s="566" customFormat="1">
      <c r="T15216" s="41"/>
    </row>
    <row r="15217" spans="20:20" s="566" customFormat="1">
      <c r="T15217" s="41"/>
    </row>
    <row r="15218" spans="20:20" s="566" customFormat="1">
      <c r="T15218" s="41"/>
    </row>
    <row r="15219" spans="20:20" s="566" customFormat="1">
      <c r="T15219" s="41"/>
    </row>
    <row r="15220" spans="20:20" s="566" customFormat="1">
      <c r="T15220" s="41"/>
    </row>
    <row r="15221" spans="20:20" s="566" customFormat="1">
      <c r="T15221" s="41"/>
    </row>
    <row r="15222" spans="20:20" s="566" customFormat="1">
      <c r="T15222" s="41"/>
    </row>
    <row r="15223" spans="20:20" s="566" customFormat="1">
      <c r="T15223" s="41"/>
    </row>
    <row r="15224" spans="20:20" s="566" customFormat="1">
      <c r="T15224" s="41"/>
    </row>
    <row r="15225" spans="20:20" s="566" customFormat="1">
      <c r="T15225" s="41"/>
    </row>
    <row r="15226" spans="20:20" s="566" customFormat="1">
      <c r="T15226" s="41"/>
    </row>
    <row r="15227" spans="20:20" s="566" customFormat="1">
      <c r="T15227" s="41"/>
    </row>
    <row r="15228" spans="20:20" s="566" customFormat="1">
      <c r="T15228" s="41"/>
    </row>
    <row r="15229" spans="20:20" s="566" customFormat="1">
      <c r="T15229" s="41"/>
    </row>
    <row r="15230" spans="20:20" s="566" customFormat="1">
      <c r="T15230" s="41"/>
    </row>
    <row r="15231" spans="20:20" s="566" customFormat="1">
      <c r="T15231" s="41"/>
    </row>
    <row r="15232" spans="20:20" s="566" customFormat="1">
      <c r="T15232" s="41"/>
    </row>
    <row r="15233" spans="20:20" s="566" customFormat="1">
      <c r="T15233" s="41"/>
    </row>
    <row r="15234" spans="20:20" s="566" customFormat="1">
      <c r="T15234" s="41"/>
    </row>
    <row r="15235" spans="20:20" s="566" customFormat="1">
      <c r="T15235" s="41"/>
    </row>
    <row r="15236" spans="20:20" s="566" customFormat="1">
      <c r="T15236" s="41"/>
    </row>
    <row r="15237" spans="20:20" s="566" customFormat="1">
      <c r="T15237" s="41"/>
    </row>
    <row r="15238" spans="20:20" s="566" customFormat="1">
      <c r="T15238" s="41"/>
    </row>
    <row r="15239" spans="20:20" s="566" customFormat="1">
      <c r="T15239" s="41"/>
    </row>
    <row r="15240" spans="20:20" s="566" customFormat="1">
      <c r="T15240" s="41"/>
    </row>
    <row r="15241" spans="20:20" s="566" customFormat="1">
      <c r="T15241" s="41"/>
    </row>
    <row r="15242" spans="20:20" s="566" customFormat="1">
      <c r="T15242" s="41"/>
    </row>
    <row r="15243" spans="20:20" s="566" customFormat="1">
      <c r="T15243" s="41"/>
    </row>
    <row r="15244" spans="20:20" s="566" customFormat="1">
      <c r="T15244" s="41"/>
    </row>
    <row r="15245" spans="20:20" s="566" customFormat="1">
      <c r="T15245" s="41"/>
    </row>
    <row r="15246" spans="20:20" s="566" customFormat="1">
      <c r="T15246" s="41"/>
    </row>
    <row r="15247" spans="20:20" s="566" customFormat="1">
      <c r="T15247" s="41"/>
    </row>
    <row r="15248" spans="20:20" s="566" customFormat="1">
      <c r="T15248" s="41"/>
    </row>
    <row r="15249" spans="20:20" s="566" customFormat="1">
      <c r="T15249" s="41"/>
    </row>
    <row r="15250" spans="20:20" s="566" customFormat="1">
      <c r="T15250" s="41"/>
    </row>
    <row r="15251" spans="20:20" s="566" customFormat="1">
      <c r="T15251" s="41"/>
    </row>
    <row r="15252" spans="20:20" s="566" customFormat="1">
      <c r="T15252" s="41"/>
    </row>
    <row r="15253" spans="20:20" s="566" customFormat="1">
      <c r="T15253" s="41"/>
    </row>
    <row r="15254" spans="20:20" s="566" customFormat="1">
      <c r="T15254" s="41"/>
    </row>
    <row r="15255" spans="20:20" s="566" customFormat="1">
      <c r="T15255" s="41"/>
    </row>
    <row r="15256" spans="20:20" s="566" customFormat="1">
      <c r="T15256" s="41"/>
    </row>
    <row r="15257" spans="20:20" s="566" customFormat="1">
      <c r="T15257" s="41"/>
    </row>
    <row r="15258" spans="20:20" s="566" customFormat="1">
      <c r="T15258" s="41"/>
    </row>
    <row r="15259" spans="20:20" s="566" customFormat="1">
      <c r="T15259" s="41"/>
    </row>
    <row r="15260" spans="20:20" s="566" customFormat="1">
      <c r="T15260" s="41"/>
    </row>
    <row r="15261" spans="20:20" s="566" customFormat="1">
      <c r="T15261" s="41"/>
    </row>
    <row r="15262" spans="20:20" s="566" customFormat="1">
      <c r="T15262" s="41"/>
    </row>
    <row r="15263" spans="20:20" s="566" customFormat="1">
      <c r="T15263" s="41"/>
    </row>
    <row r="15264" spans="20:20" s="566" customFormat="1">
      <c r="T15264" s="41"/>
    </row>
    <row r="15265" spans="20:20" s="566" customFormat="1">
      <c r="T15265" s="41"/>
    </row>
    <row r="15266" spans="20:20" s="566" customFormat="1">
      <c r="T15266" s="41"/>
    </row>
    <row r="15267" spans="20:20" s="566" customFormat="1">
      <c r="T15267" s="41"/>
    </row>
    <row r="15268" spans="20:20" s="566" customFormat="1">
      <c r="T15268" s="41"/>
    </row>
    <row r="15269" spans="20:20" s="566" customFormat="1">
      <c r="T15269" s="41"/>
    </row>
    <row r="15270" spans="20:20" s="566" customFormat="1">
      <c r="T15270" s="41"/>
    </row>
    <row r="15271" spans="20:20" s="566" customFormat="1">
      <c r="T15271" s="41"/>
    </row>
    <row r="15272" spans="20:20" s="566" customFormat="1">
      <c r="T15272" s="41"/>
    </row>
    <row r="15273" spans="20:20" s="566" customFormat="1">
      <c r="T15273" s="41"/>
    </row>
    <row r="15274" spans="20:20" s="566" customFormat="1">
      <c r="T15274" s="41"/>
    </row>
    <row r="15275" spans="20:20" s="566" customFormat="1">
      <c r="T15275" s="41"/>
    </row>
    <row r="15276" spans="20:20" s="566" customFormat="1">
      <c r="T15276" s="41"/>
    </row>
    <row r="15277" spans="20:20" s="566" customFormat="1">
      <c r="T15277" s="41"/>
    </row>
    <row r="15278" spans="20:20" s="566" customFormat="1">
      <c r="T15278" s="41"/>
    </row>
    <row r="15279" spans="20:20" s="566" customFormat="1">
      <c r="T15279" s="41"/>
    </row>
    <row r="15280" spans="20:20" s="566" customFormat="1">
      <c r="T15280" s="41"/>
    </row>
    <row r="15281" spans="20:20" s="566" customFormat="1">
      <c r="T15281" s="41"/>
    </row>
    <row r="15282" spans="20:20" s="566" customFormat="1">
      <c r="T15282" s="41"/>
    </row>
    <row r="15283" spans="20:20" s="566" customFormat="1">
      <c r="T15283" s="41"/>
    </row>
    <row r="15284" spans="20:20" s="566" customFormat="1">
      <c r="T15284" s="41"/>
    </row>
    <row r="15285" spans="20:20" s="566" customFormat="1">
      <c r="T15285" s="41"/>
    </row>
    <row r="15286" spans="20:20" s="566" customFormat="1">
      <c r="T15286" s="41"/>
    </row>
    <row r="15287" spans="20:20" s="566" customFormat="1">
      <c r="T15287" s="41"/>
    </row>
    <row r="15288" spans="20:20" s="566" customFormat="1">
      <c r="T15288" s="41"/>
    </row>
    <row r="15289" spans="20:20" s="566" customFormat="1">
      <c r="T15289" s="41"/>
    </row>
    <row r="15290" spans="20:20" s="566" customFormat="1">
      <c r="T15290" s="41"/>
    </row>
    <row r="15291" spans="20:20" s="566" customFormat="1">
      <c r="T15291" s="41"/>
    </row>
    <row r="15292" spans="20:20" s="566" customFormat="1">
      <c r="T15292" s="41"/>
    </row>
    <row r="15293" spans="20:20" s="566" customFormat="1">
      <c r="T15293" s="41"/>
    </row>
    <row r="15294" spans="20:20" s="566" customFormat="1">
      <c r="T15294" s="41"/>
    </row>
    <row r="15295" spans="20:20" s="566" customFormat="1">
      <c r="T15295" s="41"/>
    </row>
    <row r="15296" spans="20:20" s="566" customFormat="1">
      <c r="T15296" s="41"/>
    </row>
    <row r="15297" spans="20:20" s="566" customFormat="1">
      <c r="T15297" s="41"/>
    </row>
    <row r="15298" spans="20:20" s="566" customFormat="1">
      <c r="T15298" s="41"/>
    </row>
    <row r="15299" spans="20:20" s="566" customFormat="1">
      <c r="T15299" s="41"/>
    </row>
    <row r="15300" spans="20:20" s="566" customFormat="1">
      <c r="T15300" s="41"/>
    </row>
    <row r="15301" spans="20:20" s="566" customFormat="1">
      <c r="T15301" s="41"/>
    </row>
    <row r="15302" spans="20:20" s="566" customFormat="1">
      <c r="T15302" s="41"/>
    </row>
    <row r="15303" spans="20:20" s="566" customFormat="1">
      <c r="T15303" s="41"/>
    </row>
    <row r="15304" spans="20:20" s="566" customFormat="1">
      <c r="T15304" s="41"/>
    </row>
    <row r="15305" spans="20:20" s="566" customFormat="1">
      <c r="T15305" s="41"/>
    </row>
    <row r="15306" spans="20:20" s="566" customFormat="1">
      <c r="T15306" s="41"/>
    </row>
    <row r="15307" spans="20:20" s="566" customFormat="1">
      <c r="T15307" s="41"/>
    </row>
    <row r="15308" spans="20:20" s="566" customFormat="1">
      <c r="T15308" s="41"/>
    </row>
    <row r="15309" spans="20:20" s="566" customFormat="1">
      <c r="T15309" s="41"/>
    </row>
    <row r="15310" spans="20:20" s="566" customFormat="1">
      <c r="T15310" s="41"/>
    </row>
    <row r="15311" spans="20:20" s="566" customFormat="1">
      <c r="T15311" s="41"/>
    </row>
    <row r="15312" spans="20:20" s="566" customFormat="1">
      <c r="T15312" s="41"/>
    </row>
    <row r="15313" spans="20:20" s="566" customFormat="1">
      <c r="T15313" s="41"/>
    </row>
    <row r="15314" spans="20:20" s="566" customFormat="1">
      <c r="T15314" s="41"/>
    </row>
    <row r="15315" spans="20:20" s="566" customFormat="1">
      <c r="T15315" s="41"/>
    </row>
    <row r="15316" spans="20:20" s="566" customFormat="1">
      <c r="T15316" s="41"/>
    </row>
    <row r="15317" spans="20:20" s="566" customFormat="1">
      <c r="T15317" s="41"/>
    </row>
    <row r="15318" spans="20:20" s="566" customFormat="1">
      <c r="T15318" s="41"/>
    </row>
    <row r="15319" spans="20:20" s="566" customFormat="1">
      <c r="T15319" s="41"/>
    </row>
    <row r="15320" spans="20:20" s="566" customFormat="1">
      <c r="T15320" s="41"/>
    </row>
    <row r="15321" spans="20:20" s="566" customFormat="1">
      <c r="T15321" s="41"/>
    </row>
    <row r="15322" spans="20:20" s="566" customFormat="1">
      <c r="T15322" s="41"/>
    </row>
    <row r="15323" spans="20:20" s="566" customFormat="1">
      <c r="T15323" s="41"/>
    </row>
    <row r="15324" spans="20:20" s="566" customFormat="1">
      <c r="T15324" s="41"/>
    </row>
    <row r="15325" spans="20:20" s="566" customFormat="1">
      <c r="T15325" s="41"/>
    </row>
    <row r="15326" spans="20:20" s="566" customFormat="1">
      <c r="T15326" s="41"/>
    </row>
    <row r="15327" spans="20:20" s="566" customFormat="1">
      <c r="T15327" s="41"/>
    </row>
    <row r="15328" spans="20:20" s="566" customFormat="1">
      <c r="T15328" s="41"/>
    </row>
    <row r="15329" spans="20:20" s="566" customFormat="1">
      <c r="T15329" s="41"/>
    </row>
    <row r="15330" spans="20:20" s="566" customFormat="1">
      <c r="T15330" s="41"/>
    </row>
    <row r="15331" spans="20:20" s="566" customFormat="1">
      <c r="T15331" s="41"/>
    </row>
    <row r="15332" spans="20:20" s="566" customFormat="1">
      <c r="T15332" s="41"/>
    </row>
    <row r="15333" spans="20:20" s="566" customFormat="1">
      <c r="T15333" s="41"/>
    </row>
    <row r="15334" spans="20:20" s="566" customFormat="1">
      <c r="T15334" s="41"/>
    </row>
    <row r="15335" spans="20:20" s="566" customFormat="1">
      <c r="T15335" s="41"/>
    </row>
    <row r="15336" spans="20:20" s="566" customFormat="1">
      <c r="T15336" s="41"/>
    </row>
    <row r="15337" spans="20:20" s="566" customFormat="1">
      <c r="T15337" s="41"/>
    </row>
    <row r="15338" spans="20:20" s="566" customFormat="1">
      <c r="T15338" s="41"/>
    </row>
    <row r="15339" spans="20:20" s="566" customFormat="1">
      <c r="T15339" s="41"/>
    </row>
    <row r="15340" spans="20:20" s="566" customFormat="1">
      <c r="T15340" s="41"/>
    </row>
    <row r="15341" spans="20:20" s="566" customFormat="1">
      <c r="T15341" s="41"/>
    </row>
    <row r="15342" spans="20:20" s="566" customFormat="1">
      <c r="T15342" s="41"/>
    </row>
    <row r="15343" spans="20:20" s="566" customFormat="1">
      <c r="T15343" s="41"/>
    </row>
    <row r="15344" spans="20:20" s="566" customFormat="1">
      <c r="T15344" s="41"/>
    </row>
    <row r="15345" spans="20:20" s="566" customFormat="1">
      <c r="T15345" s="41"/>
    </row>
    <row r="15346" spans="20:20" s="566" customFormat="1">
      <c r="T15346" s="41"/>
    </row>
    <row r="15347" spans="20:20" s="566" customFormat="1">
      <c r="T15347" s="41"/>
    </row>
    <row r="15348" spans="20:20" s="566" customFormat="1">
      <c r="T15348" s="41"/>
    </row>
    <row r="15349" spans="20:20" s="566" customFormat="1">
      <c r="T15349" s="41"/>
    </row>
    <row r="15350" spans="20:20" s="566" customFormat="1">
      <c r="T15350" s="41"/>
    </row>
    <row r="15351" spans="20:20" s="566" customFormat="1">
      <c r="T15351" s="41"/>
    </row>
    <row r="15352" spans="20:20" s="566" customFormat="1">
      <c r="T15352" s="41"/>
    </row>
    <row r="15353" spans="20:20" s="566" customFormat="1">
      <c r="T15353" s="41"/>
    </row>
    <row r="15354" spans="20:20" s="566" customFormat="1">
      <c r="T15354" s="41"/>
    </row>
    <row r="15355" spans="20:20" s="566" customFormat="1">
      <c r="T15355" s="41"/>
    </row>
    <row r="15356" spans="20:20" s="566" customFormat="1">
      <c r="T15356" s="41"/>
    </row>
    <row r="15357" spans="20:20" s="566" customFormat="1">
      <c r="T15357" s="41"/>
    </row>
    <row r="15358" spans="20:20" s="566" customFormat="1">
      <c r="T15358" s="41"/>
    </row>
    <row r="15359" spans="20:20" s="566" customFormat="1">
      <c r="T15359" s="41"/>
    </row>
    <row r="15360" spans="20:20" s="566" customFormat="1">
      <c r="T15360" s="41"/>
    </row>
    <row r="15361" spans="20:20" s="566" customFormat="1">
      <c r="T15361" s="41"/>
    </row>
    <row r="15362" spans="20:20" s="566" customFormat="1">
      <c r="T15362" s="41"/>
    </row>
    <row r="15363" spans="20:20" s="566" customFormat="1">
      <c r="T15363" s="41"/>
    </row>
    <row r="15364" spans="20:20" s="566" customFormat="1">
      <c r="T15364" s="41"/>
    </row>
    <row r="15365" spans="20:20" s="566" customFormat="1">
      <c r="T15365" s="41"/>
    </row>
    <row r="15366" spans="20:20" s="566" customFormat="1">
      <c r="T15366" s="41"/>
    </row>
    <row r="15367" spans="20:20" s="566" customFormat="1">
      <c r="T15367" s="41"/>
    </row>
    <row r="15368" spans="20:20" s="566" customFormat="1">
      <c r="T15368" s="41"/>
    </row>
    <row r="15369" spans="20:20" s="566" customFormat="1">
      <c r="T15369" s="41"/>
    </row>
    <row r="15370" spans="20:20" s="566" customFormat="1">
      <c r="T15370" s="41"/>
    </row>
    <row r="15371" spans="20:20" s="566" customFormat="1">
      <c r="T15371" s="41"/>
    </row>
    <row r="15372" spans="20:20" s="566" customFormat="1">
      <c r="T15372" s="41"/>
    </row>
    <row r="15373" spans="20:20" s="566" customFormat="1">
      <c r="T15373" s="41"/>
    </row>
    <row r="15374" spans="20:20" s="566" customFormat="1">
      <c r="T15374" s="41"/>
    </row>
    <row r="15375" spans="20:20" s="566" customFormat="1">
      <c r="T15375" s="41"/>
    </row>
    <row r="15376" spans="20:20" s="566" customFormat="1">
      <c r="T15376" s="41"/>
    </row>
    <row r="15377" spans="20:20" s="566" customFormat="1">
      <c r="T15377" s="41"/>
    </row>
    <row r="15378" spans="20:20" s="566" customFormat="1">
      <c r="T15378" s="41"/>
    </row>
    <row r="15379" spans="20:20" s="566" customFormat="1">
      <c r="T15379" s="41"/>
    </row>
    <row r="15380" spans="20:20" s="566" customFormat="1">
      <c r="T15380" s="41"/>
    </row>
    <row r="15381" spans="20:20" s="566" customFormat="1">
      <c r="T15381" s="41"/>
    </row>
    <row r="15382" spans="20:20" s="566" customFormat="1">
      <c r="T15382" s="41"/>
    </row>
    <row r="15383" spans="20:20" s="566" customFormat="1">
      <c r="T15383" s="41"/>
    </row>
    <row r="15384" spans="20:20" s="566" customFormat="1">
      <c r="T15384" s="41"/>
    </row>
    <row r="15385" spans="20:20" s="566" customFormat="1">
      <c r="T15385" s="41"/>
    </row>
    <row r="15386" spans="20:20" s="566" customFormat="1">
      <c r="T15386" s="41"/>
    </row>
    <row r="15387" spans="20:20" s="566" customFormat="1">
      <c r="T15387" s="41"/>
    </row>
    <row r="15388" spans="20:20" s="566" customFormat="1">
      <c r="T15388" s="41"/>
    </row>
    <row r="15389" spans="20:20" s="566" customFormat="1">
      <c r="T15389" s="41"/>
    </row>
    <row r="15390" spans="20:20" s="566" customFormat="1">
      <c r="T15390" s="41"/>
    </row>
    <row r="15391" spans="20:20" s="566" customFormat="1">
      <c r="T15391" s="41"/>
    </row>
    <row r="15392" spans="20:20" s="566" customFormat="1">
      <c r="T15392" s="41"/>
    </row>
    <row r="15393" spans="20:20" s="566" customFormat="1">
      <c r="T15393" s="41"/>
    </row>
    <row r="15394" spans="20:20" s="566" customFormat="1">
      <c r="T15394" s="41"/>
    </row>
    <row r="15395" spans="20:20" s="566" customFormat="1">
      <c r="T15395" s="41"/>
    </row>
    <row r="15396" spans="20:20" s="566" customFormat="1">
      <c r="T15396" s="41"/>
    </row>
    <row r="15397" spans="20:20" s="566" customFormat="1">
      <c r="T15397" s="41"/>
    </row>
    <row r="15398" spans="20:20" s="566" customFormat="1">
      <c r="T15398" s="41"/>
    </row>
    <row r="15399" spans="20:20" s="566" customFormat="1">
      <c r="T15399" s="41"/>
    </row>
    <row r="15400" spans="20:20" s="566" customFormat="1">
      <c r="T15400" s="41"/>
    </row>
    <row r="15401" spans="20:20" s="566" customFormat="1">
      <c r="T15401" s="41"/>
    </row>
    <row r="15402" spans="20:20" s="566" customFormat="1">
      <c r="T15402" s="41"/>
    </row>
    <row r="15403" spans="20:20" s="566" customFormat="1">
      <c r="T15403" s="41"/>
    </row>
    <row r="15404" spans="20:20" s="566" customFormat="1">
      <c r="T15404" s="41"/>
    </row>
    <row r="15405" spans="20:20" s="566" customFormat="1">
      <c r="T15405" s="41"/>
    </row>
    <row r="15406" spans="20:20" s="566" customFormat="1">
      <c r="T15406" s="41"/>
    </row>
    <row r="15407" spans="20:20" s="566" customFormat="1">
      <c r="T15407" s="41"/>
    </row>
    <row r="15408" spans="20:20" s="566" customFormat="1">
      <c r="T15408" s="41"/>
    </row>
    <row r="15409" spans="20:20" s="566" customFormat="1">
      <c r="T15409" s="41"/>
    </row>
    <row r="15410" spans="20:20" s="566" customFormat="1">
      <c r="T15410" s="41"/>
    </row>
    <row r="15411" spans="20:20" s="566" customFormat="1">
      <c r="T15411" s="41"/>
    </row>
    <row r="15412" spans="20:20" s="566" customFormat="1">
      <c r="T15412" s="41"/>
    </row>
    <row r="15413" spans="20:20" s="566" customFormat="1">
      <c r="T15413" s="41"/>
    </row>
    <row r="15414" spans="20:20" s="566" customFormat="1">
      <c r="T15414" s="41"/>
    </row>
    <row r="15415" spans="20:20" s="566" customFormat="1">
      <c r="T15415" s="41"/>
    </row>
    <row r="15416" spans="20:20" s="566" customFormat="1">
      <c r="T15416" s="41"/>
    </row>
    <row r="15417" spans="20:20" s="566" customFormat="1">
      <c r="T15417" s="41"/>
    </row>
    <row r="15418" spans="20:20" s="566" customFormat="1">
      <c r="T15418" s="41"/>
    </row>
    <row r="15419" spans="20:20" s="566" customFormat="1">
      <c r="T15419" s="41"/>
    </row>
    <row r="15420" spans="20:20" s="566" customFormat="1">
      <c r="T15420" s="41"/>
    </row>
    <row r="15421" spans="20:20" s="566" customFormat="1">
      <c r="T15421" s="41"/>
    </row>
    <row r="15422" spans="20:20" s="566" customFormat="1">
      <c r="T15422" s="41"/>
    </row>
    <row r="15423" spans="20:20" s="566" customFormat="1">
      <c r="T15423" s="41"/>
    </row>
    <row r="15424" spans="20:20" s="566" customFormat="1">
      <c r="T15424" s="41"/>
    </row>
    <row r="15425" spans="20:20" s="566" customFormat="1">
      <c r="T15425" s="41"/>
    </row>
    <row r="15426" spans="20:20" s="566" customFormat="1">
      <c r="T15426" s="41"/>
    </row>
    <row r="15427" spans="20:20" s="566" customFormat="1">
      <c r="T15427" s="41"/>
    </row>
    <row r="15428" spans="20:20" s="566" customFormat="1">
      <c r="T15428" s="41"/>
    </row>
    <row r="15429" spans="20:20" s="566" customFormat="1">
      <c r="T15429" s="41"/>
    </row>
    <row r="15430" spans="20:20" s="566" customFormat="1">
      <c r="T15430" s="41"/>
    </row>
    <row r="15431" spans="20:20" s="566" customFormat="1">
      <c r="T15431" s="41"/>
    </row>
    <row r="15432" spans="20:20" s="566" customFormat="1">
      <c r="T15432" s="41"/>
    </row>
    <row r="15433" spans="20:20" s="566" customFormat="1">
      <c r="T15433" s="41"/>
    </row>
    <row r="15434" spans="20:20" s="566" customFormat="1">
      <c r="T15434" s="41"/>
    </row>
    <row r="15435" spans="20:20" s="566" customFormat="1">
      <c r="T15435" s="41"/>
    </row>
    <row r="15436" spans="20:20" s="566" customFormat="1">
      <c r="T15436" s="41"/>
    </row>
    <row r="15437" spans="20:20" s="566" customFormat="1">
      <c r="T15437" s="41"/>
    </row>
    <row r="15438" spans="20:20" s="566" customFormat="1">
      <c r="T15438" s="41"/>
    </row>
    <row r="15439" spans="20:20" s="566" customFormat="1">
      <c r="T15439" s="41"/>
    </row>
    <row r="15440" spans="20:20" s="566" customFormat="1">
      <c r="T15440" s="41"/>
    </row>
    <row r="15441" spans="20:20" s="566" customFormat="1">
      <c r="T15441" s="41"/>
    </row>
    <row r="15442" spans="20:20" s="566" customFormat="1">
      <c r="T15442" s="41"/>
    </row>
    <row r="15443" spans="20:20" s="566" customFormat="1">
      <c r="T15443" s="41"/>
    </row>
    <row r="15444" spans="20:20" s="566" customFormat="1">
      <c r="T15444" s="41"/>
    </row>
    <row r="15445" spans="20:20" s="566" customFormat="1">
      <c r="T15445" s="41"/>
    </row>
    <row r="15446" spans="20:20" s="566" customFormat="1">
      <c r="T15446" s="41"/>
    </row>
    <row r="15447" spans="20:20" s="566" customFormat="1">
      <c r="T15447" s="41"/>
    </row>
    <row r="15448" spans="20:20" s="566" customFormat="1">
      <c r="T15448" s="41"/>
    </row>
    <row r="15449" spans="20:20" s="566" customFormat="1">
      <c r="T15449" s="41"/>
    </row>
    <row r="15450" spans="20:20" s="566" customFormat="1">
      <c r="T15450" s="41"/>
    </row>
    <row r="15451" spans="20:20" s="566" customFormat="1">
      <c r="T15451" s="41"/>
    </row>
    <row r="15452" spans="20:20" s="566" customFormat="1">
      <c r="T15452" s="41"/>
    </row>
    <row r="15453" spans="20:20" s="566" customFormat="1">
      <c r="T15453" s="41"/>
    </row>
    <row r="15454" spans="20:20" s="566" customFormat="1">
      <c r="T15454" s="41"/>
    </row>
    <row r="15455" spans="20:20" s="566" customFormat="1">
      <c r="T15455" s="41"/>
    </row>
    <row r="15456" spans="20:20" s="566" customFormat="1">
      <c r="T15456" s="41"/>
    </row>
    <row r="15457" spans="20:20" s="566" customFormat="1">
      <c r="T15457" s="41"/>
    </row>
    <row r="15458" spans="20:20" s="566" customFormat="1">
      <c r="T15458" s="41"/>
    </row>
    <row r="15459" spans="20:20" s="566" customFormat="1">
      <c r="T15459" s="41"/>
    </row>
    <row r="15460" spans="20:20" s="566" customFormat="1">
      <c r="T15460" s="41"/>
    </row>
    <row r="15461" spans="20:20" s="566" customFormat="1">
      <c r="T15461" s="41"/>
    </row>
    <row r="15462" spans="20:20" s="566" customFormat="1">
      <c r="T15462" s="41"/>
    </row>
    <row r="15463" spans="20:20" s="566" customFormat="1">
      <c r="T15463" s="41"/>
    </row>
    <row r="15464" spans="20:20" s="566" customFormat="1">
      <c r="T15464" s="41"/>
    </row>
    <row r="15465" spans="20:20" s="566" customFormat="1">
      <c r="T15465" s="41"/>
    </row>
    <row r="15466" spans="20:20" s="566" customFormat="1">
      <c r="T15466" s="41"/>
    </row>
    <row r="15467" spans="20:20" s="566" customFormat="1">
      <c r="T15467" s="41"/>
    </row>
    <row r="15468" spans="20:20" s="566" customFormat="1">
      <c r="T15468" s="41"/>
    </row>
    <row r="15469" spans="20:20" s="566" customFormat="1">
      <c r="T15469" s="41"/>
    </row>
    <row r="15470" spans="20:20" s="566" customFormat="1">
      <c r="T15470" s="41"/>
    </row>
    <row r="15471" spans="20:20" s="566" customFormat="1">
      <c r="T15471" s="41"/>
    </row>
    <row r="15472" spans="20:20" s="566" customFormat="1">
      <c r="T15472" s="41"/>
    </row>
    <row r="15473" spans="20:20" s="566" customFormat="1">
      <c r="T15473" s="41"/>
    </row>
    <row r="15474" spans="20:20" s="566" customFormat="1">
      <c r="T15474" s="41"/>
    </row>
    <row r="15475" spans="20:20" s="566" customFormat="1">
      <c r="T15475" s="41"/>
    </row>
    <row r="15476" spans="20:20" s="566" customFormat="1">
      <c r="T15476" s="41"/>
    </row>
    <row r="15477" spans="20:20" s="566" customFormat="1">
      <c r="T15477" s="41"/>
    </row>
    <row r="15478" spans="20:20" s="566" customFormat="1">
      <c r="T15478" s="41"/>
    </row>
    <row r="15479" spans="20:20" s="566" customFormat="1">
      <c r="T15479" s="41"/>
    </row>
    <row r="15480" spans="20:20" s="566" customFormat="1">
      <c r="T15480" s="41"/>
    </row>
    <row r="15481" spans="20:20" s="566" customFormat="1">
      <c r="T15481" s="41"/>
    </row>
    <row r="15482" spans="20:20" s="566" customFormat="1">
      <c r="T15482" s="41"/>
    </row>
    <row r="15483" spans="20:20" s="566" customFormat="1">
      <c r="T15483" s="41"/>
    </row>
    <row r="15484" spans="20:20" s="566" customFormat="1">
      <c r="T15484" s="41"/>
    </row>
    <row r="15485" spans="20:20" s="566" customFormat="1">
      <c r="T15485" s="41"/>
    </row>
    <row r="15486" spans="20:20" s="566" customFormat="1">
      <c r="T15486" s="41"/>
    </row>
    <row r="15487" spans="20:20" s="566" customFormat="1">
      <c r="T15487" s="41"/>
    </row>
    <row r="15488" spans="20:20" s="566" customFormat="1">
      <c r="T15488" s="41"/>
    </row>
    <row r="15489" spans="20:20" s="566" customFormat="1">
      <c r="T15489" s="41"/>
    </row>
    <row r="15490" spans="20:20" s="566" customFormat="1">
      <c r="T15490" s="41"/>
    </row>
    <row r="15491" spans="20:20" s="566" customFormat="1">
      <c r="T15491" s="41"/>
    </row>
    <row r="15492" spans="20:20" s="566" customFormat="1">
      <c r="T15492" s="41"/>
    </row>
    <row r="15493" spans="20:20" s="566" customFormat="1">
      <c r="T15493" s="41"/>
    </row>
    <row r="15494" spans="20:20" s="566" customFormat="1">
      <c r="T15494" s="41"/>
    </row>
    <row r="15495" spans="20:20" s="566" customFormat="1">
      <c r="T15495" s="41"/>
    </row>
    <row r="15496" spans="20:20" s="566" customFormat="1">
      <c r="T15496" s="41"/>
    </row>
    <row r="15497" spans="20:20" s="566" customFormat="1">
      <c r="T15497" s="41"/>
    </row>
    <row r="15498" spans="20:20" s="566" customFormat="1">
      <c r="T15498" s="41"/>
    </row>
    <row r="15499" spans="20:20" s="566" customFormat="1">
      <c r="T15499" s="41"/>
    </row>
    <row r="15500" spans="20:20" s="566" customFormat="1">
      <c r="T15500" s="41"/>
    </row>
    <row r="15501" spans="20:20" s="566" customFormat="1">
      <c r="T15501" s="41"/>
    </row>
    <row r="15502" spans="20:20" s="566" customFormat="1">
      <c r="T15502" s="41"/>
    </row>
    <row r="15503" spans="20:20" s="566" customFormat="1">
      <c r="T15503" s="41"/>
    </row>
    <row r="15504" spans="20:20" s="566" customFormat="1">
      <c r="T15504" s="41"/>
    </row>
    <row r="15505" spans="20:20" s="566" customFormat="1">
      <c r="T15505" s="41"/>
    </row>
    <row r="15506" spans="20:20" s="566" customFormat="1">
      <c r="T15506" s="41"/>
    </row>
    <row r="15507" spans="20:20" s="566" customFormat="1">
      <c r="T15507" s="41"/>
    </row>
    <row r="15508" spans="20:20" s="566" customFormat="1">
      <c r="T15508" s="41"/>
    </row>
    <row r="15509" spans="20:20" s="566" customFormat="1">
      <c r="T15509" s="41"/>
    </row>
    <row r="15510" spans="20:20" s="566" customFormat="1">
      <c r="T15510" s="41"/>
    </row>
    <row r="15511" spans="20:20" s="566" customFormat="1">
      <c r="T15511" s="41"/>
    </row>
    <row r="15512" spans="20:20" s="566" customFormat="1">
      <c r="T15512" s="41"/>
    </row>
    <row r="15513" spans="20:20" s="566" customFormat="1">
      <c r="T15513" s="41"/>
    </row>
    <row r="15514" spans="20:20" s="566" customFormat="1">
      <c r="T15514" s="41"/>
    </row>
    <row r="15515" spans="20:20" s="566" customFormat="1">
      <c r="T15515" s="41"/>
    </row>
    <row r="15516" spans="20:20" s="566" customFormat="1">
      <c r="T15516" s="41"/>
    </row>
    <row r="15517" spans="20:20" s="566" customFormat="1">
      <c r="T15517" s="41"/>
    </row>
    <row r="15518" spans="20:20" s="566" customFormat="1">
      <c r="T15518" s="41"/>
    </row>
    <row r="15519" spans="20:20" s="566" customFormat="1">
      <c r="T15519" s="41"/>
    </row>
    <row r="15520" spans="20:20" s="566" customFormat="1">
      <c r="T15520" s="41"/>
    </row>
    <row r="15521" spans="20:20" s="566" customFormat="1">
      <c r="T15521" s="41"/>
    </row>
    <row r="15522" spans="20:20" s="566" customFormat="1">
      <c r="T15522" s="41"/>
    </row>
    <row r="15523" spans="20:20" s="566" customFormat="1">
      <c r="T15523" s="41"/>
    </row>
    <row r="15524" spans="20:20" s="566" customFormat="1">
      <c r="T15524" s="41"/>
    </row>
    <row r="15525" spans="20:20" s="566" customFormat="1">
      <c r="T15525" s="41"/>
    </row>
    <row r="15526" spans="20:20" s="566" customFormat="1">
      <c r="T15526" s="41"/>
    </row>
    <row r="15527" spans="20:20" s="566" customFormat="1">
      <c r="T15527" s="41"/>
    </row>
    <row r="15528" spans="20:20" s="566" customFormat="1">
      <c r="T15528" s="41"/>
    </row>
    <row r="15529" spans="20:20" s="566" customFormat="1">
      <c r="T15529" s="41"/>
    </row>
    <row r="15530" spans="20:20" s="566" customFormat="1">
      <c r="T15530" s="41"/>
    </row>
    <row r="15531" spans="20:20" s="566" customFormat="1">
      <c r="T15531" s="41"/>
    </row>
    <row r="15532" spans="20:20" s="566" customFormat="1">
      <c r="T15532" s="41"/>
    </row>
    <row r="15533" spans="20:20" s="566" customFormat="1">
      <c r="T15533" s="41"/>
    </row>
    <row r="15534" spans="20:20" s="566" customFormat="1">
      <c r="T15534" s="41"/>
    </row>
    <row r="15535" spans="20:20" s="566" customFormat="1">
      <c r="T15535" s="41"/>
    </row>
    <row r="15536" spans="20:20" s="566" customFormat="1">
      <c r="T15536" s="41"/>
    </row>
    <row r="15537" spans="20:20" s="566" customFormat="1">
      <c r="T15537" s="41"/>
    </row>
    <row r="15538" spans="20:20" s="566" customFormat="1">
      <c r="T15538" s="41"/>
    </row>
    <row r="15539" spans="20:20" s="566" customFormat="1">
      <c r="T15539" s="41"/>
    </row>
    <row r="15540" spans="20:20" s="566" customFormat="1">
      <c r="T15540" s="41"/>
    </row>
    <row r="15541" spans="20:20" s="566" customFormat="1">
      <c r="T15541" s="41"/>
    </row>
    <row r="15542" spans="20:20" s="566" customFormat="1">
      <c r="T15542" s="41"/>
    </row>
    <row r="15543" spans="20:20" s="566" customFormat="1">
      <c r="T15543" s="41"/>
    </row>
    <row r="15544" spans="20:20" s="566" customFormat="1">
      <c r="T15544" s="41"/>
    </row>
    <row r="15545" spans="20:20" s="566" customFormat="1">
      <c r="T15545" s="41"/>
    </row>
    <row r="15546" spans="20:20" s="566" customFormat="1">
      <c r="T15546" s="41"/>
    </row>
    <row r="15547" spans="20:20" s="566" customFormat="1">
      <c r="T15547" s="41"/>
    </row>
    <row r="15548" spans="20:20" s="566" customFormat="1">
      <c r="T15548" s="41"/>
    </row>
    <row r="15549" spans="20:20" s="566" customFormat="1">
      <c r="T15549" s="41"/>
    </row>
    <row r="15550" spans="20:20" s="566" customFormat="1">
      <c r="T15550" s="41"/>
    </row>
    <row r="15551" spans="20:20" s="566" customFormat="1">
      <c r="T15551" s="41"/>
    </row>
    <row r="15552" spans="20:20" s="566" customFormat="1">
      <c r="T15552" s="41"/>
    </row>
    <row r="15553" spans="20:20" s="566" customFormat="1">
      <c r="T15553" s="41"/>
    </row>
    <row r="15554" spans="20:20" s="566" customFormat="1">
      <c r="T15554" s="41"/>
    </row>
    <row r="15555" spans="20:20" s="566" customFormat="1">
      <c r="T15555" s="41"/>
    </row>
    <row r="15556" spans="20:20" s="566" customFormat="1">
      <c r="T15556" s="41"/>
    </row>
    <row r="15557" spans="20:20" s="566" customFormat="1">
      <c r="T15557" s="41"/>
    </row>
    <row r="15558" spans="20:20" s="566" customFormat="1">
      <c r="T15558" s="41"/>
    </row>
    <row r="15559" spans="20:20" s="566" customFormat="1">
      <c r="T15559" s="41"/>
    </row>
    <row r="15560" spans="20:20" s="566" customFormat="1">
      <c r="T15560" s="41"/>
    </row>
    <row r="15561" spans="20:20" s="566" customFormat="1">
      <c r="T15561" s="41"/>
    </row>
    <row r="15562" spans="20:20" s="566" customFormat="1">
      <c r="T15562" s="41"/>
    </row>
    <row r="15563" spans="20:20" s="566" customFormat="1">
      <c r="T15563" s="41"/>
    </row>
    <row r="15564" spans="20:20" s="566" customFormat="1">
      <c r="T15564" s="41"/>
    </row>
    <row r="15565" spans="20:20" s="566" customFormat="1">
      <c r="T15565" s="41"/>
    </row>
    <row r="15566" spans="20:20" s="566" customFormat="1">
      <c r="T15566" s="41"/>
    </row>
    <row r="15567" spans="20:20" s="566" customFormat="1">
      <c r="T15567" s="41"/>
    </row>
    <row r="15568" spans="20:20" s="566" customFormat="1">
      <c r="T15568" s="41"/>
    </row>
    <row r="15569" spans="20:20" s="566" customFormat="1">
      <c r="T15569" s="41"/>
    </row>
    <row r="15570" spans="20:20" s="566" customFormat="1">
      <c r="T15570" s="41"/>
    </row>
    <row r="15571" spans="20:20" s="566" customFormat="1">
      <c r="T15571" s="41"/>
    </row>
    <row r="15572" spans="20:20" s="566" customFormat="1">
      <c r="T15572" s="41"/>
    </row>
    <row r="15573" spans="20:20" s="566" customFormat="1">
      <c r="T15573" s="41"/>
    </row>
    <row r="15574" spans="20:20" s="566" customFormat="1">
      <c r="T15574" s="41"/>
    </row>
    <row r="15575" spans="20:20" s="566" customFormat="1">
      <c r="T15575" s="41"/>
    </row>
    <row r="15576" spans="20:20" s="566" customFormat="1">
      <c r="T15576" s="41"/>
    </row>
    <row r="15577" spans="20:20" s="566" customFormat="1">
      <c r="T15577" s="41"/>
    </row>
    <row r="15578" spans="20:20" s="566" customFormat="1">
      <c r="T15578" s="41"/>
    </row>
    <row r="15579" spans="20:20" s="566" customFormat="1">
      <c r="T15579" s="41"/>
    </row>
    <row r="15580" spans="20:20" s="566" customFormat="1">
      <c r="T15580" s="41"/>
    </row>
    <row r="15581" spans="20:20" s="566" customFormat="1">
      <c r="T15581" s="41"/>
    </row>
    <row r="15582" spans="20:20" s="566" customFormat="1">
      <c r="T15582" s="41"/>
    </row>
    <row r="15583" spans="20:20" s="566" customFormat="1">
      <c r="T15583" s="41"/>
    </row>
    <row r="15584" spans="20:20" s="566" customFormat="1">
      <c r="T15584" s="41"/>
    </row>
    <row r="15585" spans="20:20" s="566" customFormat="1">
      <c r="T15585" s="41"/>
    </row>
    <row r="15586" spans="20:20" s="566" customFormat="1">
      <c r="T15586" s="41"/>
    </row>
    <row r="15587" spans="20:20" s="566" customFormat="1">
      <c r="T15587" s="41"/>
    </row>
    <row r="15588" spans="20:20" s="566" customFormat="1">
      <c r="T15588" s="41"/>
    </row>
    <row r="15589" spans="20:20" s="566" customFormat="1">
      <c r="T15589" s="41"/>
    </row>
    <row r="15590" spans="20:20" s="566" customFormat="1">
      <c r="T15590" s="41"/>
    </row>
    <row r="15591" spans="20:20" s="566" customFormat="1">
      <c r="T15591" s="41"/>
    </row>
    <row r="15592" spans="20:20" s="566" customFormat="1">
      <c r="T15592" s="41"/>
    </row>
    <row r="15593" spans="20:20" s="566" customFormat="1">
      <c r="T15593" s="41"/>
    </row>
    <row r="15594" spans="20:20" s="566" customFormat="1">
      <c r="T15594" s="41"/>
    </row>
    <row r="15595" spans="20:20" s="566" customFormat="1">
      <c r="T15595" s="41"/>
    </row>
    <row r="15596" spans="20:20" s="566" customFormat="1">
      <c r="T15596" s="41"/>
    </row>
    <row r="15597" spans="20:20" s="566" customFormat="1">
      <c r="T15597" s="41"/>
    </row>
    <row r="15598" spans="20:20" s="566" customFormat="1">
      <c r="T15598" s="41"/>
    </row>
    <row r="15599" spans="20:20" s="566" customFormat="1">
      <c r="T15599" s="41"/>
    </row>
    <row r="15600" spans="20:20" s="566" customFormat="1">
      <c r="T15600" s="41"/>
    </row>
    <row r="15601" spans="20:20" s="566" customFormat="1">
      <c r="T15601" s="41"/>
    </row>
    <row r="15602" spans="20:20" s="566" customFormat="1">
      <c r="T15602" s="41"/>
    </row>
    <row r="15603" spans="20:20" s="566" customFormat="1">
      <c r="T15603" s="41"/>
    </row>
    <row r="15604" spans="20:20" s="566" customFormat="1">
      <c r="T15604" s="41"/>
    </row>
    <row r="15605" spans="20:20" s="566" customFormat="1">
      <c r="T15605" s="41"/>
    </row>
    <row r="15606" spans="20:20" s="566" customFormat="1">
      <c r="T15606" s="41"/>
    </row>
    <row r="15607" spans="20:20" s="566" customFormat="1">
      <c r="T15607" s="41"/>
    </row>
    <row r="15608" spans="20:20" s="566" customFormat="1">
      <c r="T15608" s="41"/>
    </row>
    <row r="15609" spans="20:20" s="566" customFormat="1">
      <c r="T15609" s="41"/>
    </row>
    <row r="15610" spans="20:20" s="566" customFormat="1">
      <c r="T15610" s="41"/>
    </row>
    <row r="15611" spans="20:20" s="566" customFormat="1">
      <c r="T15611" s="41"/>
    </row>
    <row r="15612" spans="20:20" s="566" customFormat="1">
      <c r="T15612" s="41"/>
    </row>
    <row r="15613" spans="20:20" s="566" customFormat="1">
      <c r="T15613" s="41"/>
    </row>
    <row r="15614" spans="20:20" s="566" customFormat="1">
      <c r="T15614" s="41"/>
    </row>
    <row r="15615" spans="20:20" s="566" customFormat="1">
      <c r="T15615" s="41"/>
    </row>
    <row r="15616" spans="20:20" s="566" customFormat="1">
      <c r="T15616" s="41"/>
    </row>
    <row r="15617" spans="20:20" s="566" customFormat="1">
      <c r="T15617" s="41"/>
    </row>
    <row r="15618" spans="20:20" s="566" customFormat="1">
      <c r="T15618" s="41"/>
    </row>
    <row r="15619" spans="20:20" s="566" customFormat="1">
      <c r="T15619" s="41"/>
    </row>
    <row r="15620" spans="20:20" s="566" customFormat="1">
      <c r="T15620" s="41"/>
    </row>
    <row r="15621" spans="20:20" s="566" customFormat="1">
      <c r="T15621" s="41"/>
    </row>
    <row r="15622" spans="20:20" s="566" customFormat="1">
      <c r="T15622" s="41"/>
    </row>
    <row r="15623" spans="20:20" s="566" customFormat="1">
      <c r="T15623" s="41"/>
    </row>
    <row r="15624" spans="20:20" s="566" customFormat="1">
      <c r="T15624" s="41"/>
    </row>
    <row r="15625" spans="20:20" s="566" customFormat="1">
      <c r="T15625" s="41"/>
    </row>
    <row r="15626" spans="20:20" s="566" customFormat="1">
      <c r="T15626" s="41"/>
    </row>
    <row r="15627" spans="20:20" s="566" customFormat="1">
      <c r="T15627" s="41"/>
    </row>
    <row r="15628" spans="20:20" s="566" customFormat="1">
      <c r="T15628" s="41"/>
    </row>
    <row r="15629" spans="20:20" s="566" customFormat="1">
      <c r="T15629" s="41"/>
    </row>
    <row r="15630" spans="20:20" s="566" customFormat="1">
      <c r="T15630" s="41"/>
    </row>
    <row r="15631" spans="20:20" s="566" customFormat="1">
      <c r="T15631" s="41"/>
    </row>
    <row r="15632" spans="20:20" s="566" customFormat="1">
      <c r="T15632" s="41"/>
    </row>
    <row r="15633" spans="20:20" s="566" customFormat="1">
      <c r="T15633" s="41"/>
    </row>
    <row r="15634" spans="20:20" s="566" customFormat="1">
      <c r="T15634" s="41"/>
    </row>
    <row r="15635" spans="20:20" s="566" customFormat="1">
      <c r="T15635" s="41"/>
    </row>
    <row r="15636" spans="20:20" s="566" customFormat="1">
      <c r="T15636" s="41"/>
    </row>
    <row r="15637" spans="20:20" s="566" customFormat="1">
      <c r="T15637" s="41"/>
    </row>
    <row r="15638" spans="20:20" s="566" customFormat="1">
      <c r="T15638" s="41"/>
    </row>
    <row r="15639" spans="20:20" s="566" customFormat="1">
      <c r="T15639" s="41"/>
    </row>
    <row r="15640" spans="20:20" s="566" customFormat="1">
      <c r="T15640" s="41"/>
    </row>
    <row r="15641" spans="20:20" s="566" customFormat="1">
      <c r="T15641" s="41"/>
    </row>
    <row r="15642" spans="20:20" s="566" customFormat="1">
      <c r="T15642" s="41"/>
    </row>
    <row r="15643" spans="20:20" s="566" customFormat="1">
      <c r="T15643" s="41"/>
    </row>
    <row r="15644" spans="20:20" s="566" customFormat="1">
      <c r="T15644" s="41"/>
    </row>
    <row r="15645" spans="20:20" s="566" customFormat="1">
      <c r="T15645" s="41"/>
    </row>
    <row r="15646" spans="20:20" s="566" customFormat="1">
      <c r="T15646" s="41"/>
    </row>
    <row r="15647" spans="20:20" s="566" customFormat="1">
      <c r="T15647" s="41"/>
    </row>
    <row r="15648" spans="20:20" s="566" customFormat="1">
      <c r="T15648" s="41"/>
    </row>
    <row r="15649" spans="20:20" s="566" customFormat="1">
      <c r="T15649" s="41"/>
    </row>
    <row r="15650" spans="20:20" s="566" customFormat="1">
      <c r="T15650" s="41"/>
    </row>
    <row r="15651" spans="20:20" s="566" customFormat="1">
      <c r="T15651" s="41"/>
    </row>
    <row r="15652" spans="20:20" s="566" customFormat="1">
      <c r="T15652" s="41"/>
    </row>
    <row r="15653" spans="20:20" s="566" customFormat="1">
      <c r="T15653" s="41"/>
    </row>
    <row r="15654" spans="20:20" s="566" customFormat="1">
      <c r="T15654" s="41"/>
    </row>
    <row r="15655" spans="20:20" s="566" customFormat="1">
      <c r="T15655" s="41"/>
    </row>
    <row r="15656" spans="20:20" s="566" customFormat="1">
      <c r="T15656" s="41"/>
    </row>
    <row r="15657" spans="20:20" s="566" customFormat="1">
      <c r="T15657" s="41"/>
    </row>
    <row r="15658" spans="20:20" s="566" customFormat="1">
      <c r="T15658" s="41"/>
    </row>
    <row r="15659" spans="20:20" s="566" customFormat="1">
      <c r="T15659" s="41"/>
    </row>
    <row r="15660" spans="20:20" s="566" customFormat="1">
      <c r="T15660" s="41"/>
    </row>
    <row r="15661" spans="20:20" s="566" customFormat="1">
      <c r="T15661" s="41"/>
    </row>
    <row r="15662" spans="20:20" s="566" customFormat="1">
      <c r="T15662" s="41"/>
    </row>
    <row r="15663" spans="20:20" s="566" customFormat="1">
      <c r="T15663" s="41"/>
    </row>
    <row r="15664" spans="20:20" s="566" customFormat="1">
      <c r="T15664" s="41"/>
    </row>
    <row r="15665" spans="20:20" s="566" customFormat="1">
      <c r="T15665" s="41"/>
    </row>
    <row r="15666" spans="20:20" s="566" customFormat="1">
      <c r="T15666" s="41"/>
    </row>
    <row r="15667" spans="20:20" s="566" customFormat="1">
      <c r="T15667" s="41"/>
    </row>
    <row r="15668" spans="20:20" s="566" customFormat="1">
      <c r="T15668" s="41"/>
    </row>
    <row r="15669" spans="20:20" s="566" customFormat="1">
      <c r="T15669" s="41"/>
    </row>
    <row r="15670" spans="20:20" s="566" customFormat="1">
      <c r="T15670" s="41"/>
    </row>
    <row r="15671" spans="20:20" s="566" customFormat="1">
      <c r="T15671" s="41"/>
    </row>
    <row r="15672" spans="20:20" s="566" customFormat="1">
      <c r="T15672" s="41"/>
    </row>
    <row r="15673" spans="20:20" s="566" customFormat="1">
      <c r="T15673" s="41"/>
    </row>
    <row r="15674" spans="20:20" s="566" customFormat="1">
      <c r="T15674" s="41"/>
    </row>
    <row r="15675" spans="20:20" s="566" customFormat="1">
      <c r="T15675" s="41"/>
    </row>
    <row r="15676" spans="20:20" s="566" customFormat="1">
      <c r="T15676" s="41"/>
    </row>
    <row r="15677" spans="20:20" s="566" customFormat="1">
      <c r="T15677" s="41"/>
    </row>
    <row r="15678" spans="20:20" s="566" customFormat="1">
      <c r="T15678" s="41"/>
    </row>
    <row r="15679" spans="20:20" s="566" customFormat="1">
      <c r="T15679" s="41"/>
    </row>
    <row r="15680" spans="20:20" s="566" customFormat="1">
      <c r="T15680" s="41"/>
    </row>
    <row r="15681" spans="20:20" s="566" customFormat="1">
      <c r="T15681" s="41"/>
    </row>
    <row r="15682" spans="20:20" s="566" customFormat="1">
      <c r="T15682" s="41"/>
    </row>
    <row r="15683" spans="20:20" s="566" customFormat="1">
      <c r="T15683" s="41"/>
    </row>
    <row r="15684" spans="20:20" s="566" customFormat="1">
      <c r="T15684" s="41"/>
    </row>
    <row r="15685" spans="20:20" s="566" customFormat="1">
      <c r="T15685" s="41"/>
    </row>
    <row r="15686" spans="20:20" s="566" customFormat="1">
      <c r="T15686" s="41"/>
    </row>
    <row r="15687" spans="20:20" s="566" customFormat="1">
      <c r="T15687" s="41"/>
    </row>
    <row r="15688" spans="20:20" s="566" customFormat="1">
      <c r="T15688" s="41"/>
    </row>
    <row r="15689" spans="20:20" s="566" customFormat="1">
      <c r="T15689" s="41"/>
    </row>
    <row r="15690" spans="20:20" s="566" customFormat="1">
      <c r="T15690" s="41"/>
    </row>
    <row r="15691" spans="20:20" s="566" customFormat="1">
      <c r="T15691" s="41"/>
    </row>
    <row r="15692" spans="20:20" s="566" customFormat="1">
      <c r="T15692" s="41"/>
    </row>
    <row r="15693" spans="20:20" s="566" customFormat="1">
      <c r="T15693" s="41"/>
    </row>
    <row r="15694" spans="20:20" s="566" customFormat="1">
      <c r="T15694" s="41"/>
    </row>
    <row r="15695" spans="20:20" s="566" customFormat="1">
      <c r="T15695" s="41"/>
    </row>
    <row r="15696" spans="20:20" s="566" customFormat="1">
      <c r="T15696" s="41"/>
    </row>
    <row r="15697" spans="20:20" s="566" customFormat="1">
      <c r="T15697" s="41"/>
    </row>
    <row r="15698" spans="20:20" s="566" customFormat="1">
      <c r="T15698" s="41"/>
    </row>
    <row r="15699" spans="20:20" s="566" customFormat="1">
      <c r="T15699" s="41"/>
    </row>
    <row r="15700" spans="20:20" s="566" customFormat="1">
      <c r="T15700" s="41"/>
    </row>
    <row r="15701" spans="20:20" s="566" customFormat="1">
      <c r="T15701" s="41"/>
    </row>
    <row r="15702" spans="20:20" s="566" customFormat="1">
      <c r="T15702" s="41"/>
    </row>
    <row r="15703" spans="20:20" s="566" customFormat="1">
      <c r="T15703" s="41"/>
    </row>
    <row r="15704" spans="20:20" s="566" customFormat="1">
      <c r="T15704" s="41"/>
    </row>
    <row r="15705" spans="20:20" s="566" customFormat="1">
      <c r="T15705" s="41"/>
    </row>
    <row r="15706" spans="20:20" s="566" customFormat="1">
      <c r="T15706" s="41"/>
    </row>
    <row r="15707" spans="20:20" s="566" customFormat="1">
      <c r="T15707" s="41"/>
    </row>
    <row r="15708" spans="20:20" s="566" customFormat="1">
      <c r="T15708" s="41"/>
    </row>
    <row r="15709" spans="20:20" s="566" customFormat="1">
      <c r="T15709" s="41"/>
    </row>
    <row r="15710" spans="20:20" s="566" customFormat="1">
      <c r="T15710" s="41"/>
    </row>
    <row r="15711" spans="20:20" s="566" customFormat="1">
      <c r="T15711" s="41"/>
    </row>
    <row r="15712" spans="20:20" s="566" customFormat="1">
      <c r="T15712" s="41"/>
    </row>
    <row r="15713" spans="20:20" s="566" customFormat="1">
      <c r="T15713" s="41"/>
    </row>
    <row r="15714" spans="20:20" s="566" customFormat="1">
      <c r="T15714" s="41"/>
    </row>
    <row r="15715" spans="20:20" s="566" customFormat="1">
      <c r="T15715" s="41"/>
    </row>
    <row r="15716" spans="20:20" s="566" customFormat="1">
      <c r="T15716" s="41"/>
    </row>
    <row r="15717" spans="20:20" s="566" customFormat="1">
      <c r="T15717" s="41"/>
    </row>
    <row r="15718" spans="20:20" s="566" customFormat="1">
      <c r="T15718" s="41"/>
    </row>
    <row r="15719" spans="20:20" s="566" customFormat="1">
      <c r="T15719" s="41"/>
    </row>
    <row r="15720" spans="20:20" s="566" customFormat="1">
      <c r="T15720" s="41"/>
    </row>
    <row r="15721" spans="20:20" s="566" customFormat="1">
      <c r="T15721" s="41"/>
    </row>
    <row r="15722" spans="20:20" s="566" customFormat="1">
      <c r="T15722" s="41"/>
    </row>
    <row r="15723" spans="20:20" s="566" customFormat="1">
      <c r="T15723" s="41"/>
    </row>
    <row r="15724" spans="20:20" s="566" customFormat="1">
      <c r="T15724" s="41"/>
    </row>
    <row r="15725" spans="20:20" s="566" customFormat="1">
      <c r="T15725" s="41"/>
    </row>
    <row r="15726" spans="20:20" s="566" customFormat="1">
      <c r="T15726" s="41"/>
    </row>
    <row r="15727" spans="20:20" s="566" customFormat="1">
      <c r="T15727" s="41"/>
    </row>
    <row r="15728" spans="20:20" s="566" customFormat="1">
      <c r="T15728" s="41"/>
    </row>
    <row r="15729" spans="20:20" s="566" customFormat="1">
      <c r="T15729" s="41"/>
    </row>
    <row r="15730" spans="20:20" s="566" customFormat="1">
      <c r="T15730" s="41"/>
    </row>
    <row r="15731" spans="20:20" s="566" customFormat="1">
      <c r="T15731" s="41"/>
    </row>
    <row r="15732" spans="20:20" s="566" customFormat="1">
      <c r="T15732" s="41"/>
    </row>
    <row r="15733" spans="20:20" s="566" customFormat="1">
      <c r="T15733" s="41"/>
    </row>
    <row r="15734" spans="20:20" s="566" customFormat="1">
      <c r="T15734" s="41"/>
    </row>
    <row r="15735" spans="20:20" s="566" customFormat="1">
      <c r="T15735" s="41"/>
    </row>
    <row r="15736" spans="20:20" s="566" customFormat="1">
      <c r="T15736" s="41"/>
    </row>
    <row r="15737" spans="20:20" s="566" customFormat="1">
      <c r="T15737" s="41"/>
    </row>
    <row r="15738" spans="20:20" s="566" customFormat="1">
      <c r="T15738" s="41"/>
    </row>
    <row r="15739" spans="20:20" s="566" customFormat="1">
      <c r="T15739" s="41"/>
    </row>
    <row r="15740" spans="20:20" s="566" customFormat="1">
      <c r="T15740" s="41"/>
    </row>
    <row r="15741" spans="20:20" s="566" customFormat="1">
      <c r="T15741" s="41"/>
    </row>
    <row r="15742" spans="20:20" s="566" customFormat="1">
      <c r="T15742" s="41"/>
    </row>
    <row r="15743" spans="20:20" s="566" customFormat="1">
      <c r="T15743" s="41"/>
    </row>
    <row r="15744" spans="20:20" s="566" customFormat="1">
      <c r="T15744" s="41"/>
    </row>
    <row r="15745" spans="20:20" s="566" customFormat="1">
      <c r="T15745" s="41"/>
    </row>
    <row r="15746" spans="20:20" s="566" customFormat="1">
      <c r="T15746" s="41"/>
    </row>
    <row r="15747" spans="20:20" s="566" customFormat="1">
      <c r="T15747" s="41"/>
    </row>
    <row r="15748" spans="20:20" s="566" customFormat="1">
      <c r="T15748" s="41"/>
    </row>
    <row r="15749" spans="20:20" s="566" customFormat="1">
      <c r="T15749" s="41"/>
    </row>
    <row r="15750" spans="20:20" s="566" customFormat="1">
      <c r="T15750" s="41"/>
    </row>
    <row r="15751" spans="20:20" s="566" customFormat="1">
      <c r="T15751" s="41"/>
    </row>
    <row r="15752" spans="20:20" s="566" customFormat="1">
      <c r="T15752" s="41"/>
    </row>
    <row r="15753" spans="20:20" s="566" customFormat="1">
      <c r="T15753" s="41"/>
    </row>
    <row r="15754" spans="20:20" s="566" customFormat="1">
      <c r="T15754" s="41"/>
    </row>
    <row r="15755" spans="20:20" s="566" customFormat="1">
      <c r="T15755" s="41"/>
    </row>
    <row r="15756" spans="20:20" s="566" customFormat="1">
      <c r="T15756" s="41"/>
    </row>
    <row r="15757" spans="20:20" s="566" customFormat="1">
      <c r="T15757" s="41"/>
    </row>
    <row r="15758" spans="20:20" s="566" customFormat="1">
      <c r="T15758" s="41"/>
    </row>
    <row r="15759" spans="20:20" s="566" customFormat="1">
      <c r="T15759" s="41"/>
    </row>
    <row r="15760" spans="20:20" s="566" customFormat="1">
      <c r="T15760" s="41"/>
    </row>
    <row r="15761" spans="20:20" s="566" customFormat="1">
      <c r="T15761" s="41"/>
    </row>
    <row r="15762" spans="20:20" s="566" customFormat="1">
      <c r="T15762" s="41"/>
    </row>
    <row r="15763" spans="20:20" s="566" customFormat="1">
      <c r="T15763" s="41"/>
    </row>
    <row r="15764" spans="20:20" s="566" customFormat="1">
      <c r="T15764" s="41"/>
    </row>
    <row r="15765" spans="20:20" s="566" customFormat="1">
      <c r="T15765" s="41"/>
    </row>
    <row r="15766" spans="20:20" s="566" customFormat="1">
      <c r="T15766" s="41"/>
    </row>
    <row r="15767" spans="20:20" s="566" customFormat="1">
      <c r="T15767" s="41"/>
    </row>
    <row r="15768" spans="20:20" s="566" customFormat="1">
      <c r="T15768" s="41"/>
    </row>
    <row r="15769" spans="20:20" s="566" customFormat="1">
      <c r="T15769" s="41"/>
    </row>
    <row r="15770" spans="20:20" s="566" customFormat="1">
      <c r="T15770" s="41"/>
    </row>
    <row r="15771" spans="20:20" s="566" customFormat="1">
      <c r="T15771" s="41"/>
    </row>
    <row r="15772" spans="20:20" s="566" customFormat="1">
      <c r="T15772" s="41"/>
    </row>
    <row r="15773" spans="20:20" s="566" customFormat="1">
      <c r="T15773" s="41"/>
    </row>
    <row r="15774" spans="20:20" s="566" customFormat="1">
      <c r="T15774" s="41"/>
    </row>
    <row r="15775" spans="20:20" s="566" customFormat="1">
      <c r="T15775" s="41"/>
    </row>
    <row r="15776" spans="20:20" s="566" customFormat="1">
      <c r="T15776" s="41"/>
    </row>
    <row r="15777" spans="20:20" s="566" customFormat="1">
      <c r="T15777" s="41"/>
    </row>
    <row r="15778" spans="20:20" s="566" customFormat="1">
      <c r="T15778" s="41"/>
    </row>
    <row r="15779" spans="20:20" s="566" customFormat="1">
      <c r="T15779" s="41"/>
    </row>
    <row r="15780" spans="20:20" s="566" customFormat="1">
      <c r="T15780" s="41"/>
    </row>
    <row r="15781" spans="20:20" s="566" customFormat="1">
      <c r="T15781" s="41"/>
    </row>
    <row r="15782" spans="20:20" s="566" customFormat="1">
      <c r="T15782" s="41"/>
    </row>
    <row r="15783" spans="20:20" s="566" customFormat="1">
      <c r="T15783" s="41"/>
    </row>
    <row r="15784" spans="20:20" s="566" customFormat="1">
      <c r="T15784" s="41"/>
    </row>
    <row r="15785" spans="20:20" s="566" customFormat="1">
      <c r="T15785" s="41"/>
    </row>
    <row r="15786" spans="20:20" s="566" customFormat="1">
      <c r="T15786" s="41"/>
    </row>
    <row r="15787" spans="20:20" s="566" customFormat="1">
      <c r="T15787" s="41"/>
    </row>
    <row r="15788" spans="20:20" s="566" customFormat="1">
      <c r="T15788" s="41"/>
    </row>
    <row r="15789" spans="20:20" s="566" customFormat="1">
      <c r="T15789" s="41"/>
    </row>
    <row r="15790" spans="20:20" s="566" customFormat="1">
      <c r="T15790" s="41"/>
    </row>
    <row r="15791" spans="20:20" s="566" customFormat="1">
      <c r="T15791" s="41"/>
    </row>
    <row r="15792" spans="20:20" s="566" customFormat="1">
      <c r="T15792" s="41"/>
    </row>
    <row r="15793" spans="20:20" s="566" customFormat="1">
      <c r="T15793" s="41"/>
    </row>
    <row r="15794" spans="20:20" s="566" customFormat="1">
      <c r="T15794" s="41"/>
    </row>
    <row r="15795" spans="20:20" s="566" customFormat="1">
      <c r="T15795" s="41"/>
    </row>
    <row r="15796" spans="20:20" s="566" customFormat="1">
      <c r="T15796" s="41"/>
    </row>
    <row r="15797" spans="20:20" s="566" customFormat="1">
      <c r="T15797" s="41"/>
    </row>
    <row r="15798" spans="20:20" s="566" customFormat="1">
      <c r="T15798" s="41"/>
    </row>
    <row r="15799" spans="20:20" s="566" customFormat="1">
      <c r="T15799" s="41"/>
    </row>
    <row r="15800" spans="20:20" s="566" customFormat="1">
      <c r="T15800" s="41"/>
    </row>
    <row r="15801" spans="20:20" s="566" customFormat="1">
      <c r="T15801" s="41"/>
    </row>
    <row r="15802" spans="20:20" s="566" customFormat="1">
      <c r="T15802" s="41"/>
    </row>
    <row r="15803" spans="20:20" s="566" customFormat="1">
      <c r="T15803" s="41"/>
    </row>
    <row r="15804" spans="20:20" s="566" customFormat="1">
      <c r="T15804" s="41"/>
    </row>
    <row r="15805" spans="20:20" s="566" customFormat="1">
      <c r="T15805" s="41"/>
    </row>
    <row r="15806" spans="20:20" s="566" customFormat="1">
      <c r="T15806" s="41"/>
    </row>
    <row r="15807" spans="20:20" s="566" customFormat="1">
      <c r="T15807" s="41"/>
    </row>
    <row r="15808" spans="20:20" s="566" customFormat="1">
      <c r="T15808" s="41"/>
    </row>
    <row r="15809" spans="20:20" s="566" customFormat="1">
      <c r="T15809" s="41"/>
    </row>
    <row r="15810" spans="20:20" s="566" customFormat="1">
      <c r="T15810" s="41"/>
    </row>
    <row r="15811" spans="20:20" s="566" customFormat="1">
      <c r="T15811" s="41"/>
    </row>
    <row r="15812" spans="20:20" s="566" customFormat="1">
      <c r="T15812" s="41"/>
    </row>
    <row r="15813" spans="20:20" s="566" customFormat="1">
      <c r="T15813" s="41"/>
    </row>
    <row r="15814" spans="20:20" s="566" customFormat="1">
      <c r="T15814" s="41"/>
    </row>
    <row r="15815" spans="20:20" s="566" customFormat="1">
      <c r="T15815" s="41"/>
    </row>
    <row r="15816" spans="20:20" s="566" customFormat="1">
      <c r="T15816" s="41"/>
    </row>
    <row r="15817" spans="20:20" s="566" customFormat="1">
      <c r="T15817" s="41"/>
    </row>
    <row r="15818" spans="20:20" s="566" customFormat="1">
      <c r="T15818" s="41"/>
    </row>
    <row r="15819" spans="20:20" s="566" customFormat="1">
      <c r="T15819" s="41"/>
    </row>
    <row r="15820" spans="20:20" s="566" customFormat="1">
      <c r="T15820" s="41"/>
    </row>
    <row r="15821" spans="20:20" s="566" customFormat="1">
      <c r="T15821" s="41"/>
    </row>
    <row r="15822" spans="20:20" s="566" customFormat="1">
      <c r="T15822" s="41"/>
    </row>
    <row r="15823" spans="20:20" s="566" customFormat="1">
      <c r="T15823" s="41"/>
    </row>
    <row r="15824" spans="20:20" s="566" customFormat="1">
      <c r="T15824" s="41"/>
    </row>
    <row r="15825" spans="20:20" s="566" customFormat="1">
      <c r="T15825" s="41"/>
    </row>
    <row r="15826" spans="20:20" s="566" customFormat="1">
      <c r="T15826" s="41"/>
    </row>
    <row r="15827" spans="20:20" s="566" customFormat="1">
      <c r="T15827" s="41"/>
    </row>
    <row r="15828" spans="20:20" s="566" customFormat="1">
      <c r="T15828" s="41"/>
    </row>
    <row r="15829" spans="20:20" s="566" customFormat="1">
      <c r="T15829" s="41"/>
    </row>
    <row r="15830" spans="20:20" s="566" customFormat="1">
      <c r="T15830" s="41"/>
    </row>
    <row r="15831" spans="20:20" s="566" customFormat="1">
      <c r="T15831" s="41"/>
    </row>
    <row r="15832" spans="20:20" s="566" customFormat="1">
      <c r="T15832" s="41"/>
    </row>
    <row r="15833" spans="20:20" s="566" customFormat="1">
      <c r="T15833" s="41"/>
    </row>
    <row r="15834" spans="20:20" s="566" customFormat="1">
      <c r="T15834" s="41"/>
    </row>
    <row r="15835" spans="20:20" s="566" customFormat="1">
      <c r="T15835" s="41"/>
    </row>
    <row r="15836" spans="20:20" s="566" customFormat="1">
      <c r="T15836" s="41"/>
    </row>
    <row r="15837" spans="20:20" s="566" customFormat="1">
      <c r="T15837" s="41"/>
    </row>
    <row r="15838" spans="20:20" s="566" customFormat="1">
      <c r="T15838" s="41"/>
    </row>
    <row r="15839" spans="20:20" s="566" customFormat="1">
      <c r="T15839" s="41"/>
    </row>
    <row r="15840" spans="20:20" s="566" customFormat="1">
      <c r="T15840" s="41"/>
    </row>
    <row r="15841" spans="20:20" s="566" customFormat="1">
      <c r="T15841" s="41"/>
    </row>
    <row r="15842" spans="20:20" s="566" customFormat="1">
      <c r="T15842" s="41"/>
    </row>
    <row r="15843" spans="20:20" s="566" customFormat="1">
      <c r="T15843" s="41"/>
    </row>
    <row r="15844" spans="20:20" s="566" customFormat="1">
      <c r="T15844" s="41"/>
    </row>
    <row r="15845" spans="20:20" s="566" customFormat="1">
      <c r="T15845" s="41"/>
    </row>
    <row r="15846" spans="20:20" s="566" customFormat="1">
      <c r="T15846" s="41"/>
    </row>
    <row r="15847" spans="20:20" s="566" customFormat="1">
      <c r="T15847" s="41"/>
    </row>
    <row r="15848" spans="20:20" s="566" customFormat="1">
      <c r="T15848" s="41"/>
    </row>
    <row r="15849" spans="20:20" s="566" customFormat="1">
      <c r="T15849" s="41"/>
    </row>
    <row r="15850" spans="20:20" s="566" customFormat="1">
      <c r="T15850" s="41"/>
    </row>
    <row r="15851" spans="20:20" s="566" customFormat="1">
      <c r="T15851" s="41"/>
    </row>
    <row r="15852" spans="20:20" s="566" customFormat="1">
      <c r="T15852" s="41"/>
    </row>
    <row r="15853" spans="20:20" s="566" customFormat="1">
      <c r="T15853" s="41"/>
    </row>
    <row r="15854" spans="20:20" s="566" customFormat="1">
      <c r="T15854" s="41"/>
    </row>
    <row r="15855" spans="20:20" s="566" customFormat="1">
      <c r="T15855" s="41"/>
    </row>
    <row r="15856" spans="20:20" s="566" customFormat="1">
      <c r="T15856" s="41"/>
    </row>
    <row r="15857" spans="20:20" s="566" customFormat="1">
      <c r="T15857" s="41"/>
    </row>
    <row r="15858" spans="20:20" s="566" customFormat="1">
      <c r="T15858" s="41"/>
    </row>
    <row r="15859" spans="20:20" s="566" customFormat="1">
      <c r="T15859" s="41"/>
    </row>
    <row r="15860" spans="20:20" s="566" customFormat="1">
      <c r="T15860" s="41"/>
    </row>
    <row r="15861" spans="20:20" s="566" customFormat="1">
      <c r="T15861" s="41"/>
    </row>
    <row r="15862" spans="20:20" s="566" customFormat="1">
      <c r="T15862" s="41"/>
    </row>
    <row r="15863" spans="20:20" s="566" customFormat="1">
      <c r="T15863" s="41"/>
    </row>
    <row r="15864" spans="20:20" s="566" customFormat="1">
      <c r="T15864" s="41"/>
    </row>
    <row r="15865" spans="20:20" s="566" customFormat="1">
      <c r="T15865" s="41"/>
    </row>
    <row r="15866" spans="20:20" s="566" customFormat="1">
      <c r="T15866" s="41"/>
    </row>
    <row r="15867" spans="20:20" s="566" customFormat="1">
      <c r="T15867" s="41"/>
    </row>
    <row r="15868" spans="20:20" s="566" customFormat="1">
      <c r="T15868" s="41"/>
    </row>
    <row r="15869" spans="20:20" s="566" customFormat="1">
      <c r="T15869" s="41"/>
    </row>
    <row r="15870" spans="20:20" s="566" customFormat="1">
      <c r="T15870" s="41"/>
    </row>
    <row r="15871" spans="20:20" s="566" customFormat="1">
      <c r="T15871" s="41"/>
    </row>
    <row r="15872" spans="20:20" s="566" customFormat="1">
      <c r="T15872" s="41"/>
    </row>
    <row r="15873" spans="20:20" s="566" customFormat="1">
      <c r="T15873" s="41"/>
    </row>
    <row r="15874" spans="20:20" s="566" customFormat="1">
      <c r="T15874" s="41"/>
    </row>
    <row r="15875" spans="20:20" s="566" customFormat="1">
      <c r="T15875" s="41"/>
    </row>
    <row r="15876" spans="20:20" s="566" customFormat="1">
      <c r="T15876" s="41"/>
    </row>
    <row r="15877" spans="20:20" s="566" customFormat="1">
      <c r="T15877" s="41"/>
    </row>
    <row r="15878" spans="20:20" s="566" customFormat="1">
      <c r="T15878" s="41"/>
    </row>
    <row r="15879" spans="20:20" s="566" customFormat="1">
      <c r="T15879" s="41"/>
    </row>
    <row r="15880" spans="20:20" s="566" customFormat="1">
      <c r="T15880" s="41"/>
    </row>
    <row r="15881" spans="20:20" s="566" customFormat="1">
      <c r="T15881" s="41"/>
    </row>
    <row r="15882" spans="20:20" s="566" customFormat="1">
      <c r="T15882" s="41"/>
    </row>
    <row r="15883" spans="20:20" s="566" customFormat="1">
      <c r="T15883" s="41"/>
    </row>
    <row r="15884" spans="20:20" s="566" customFormat="1">
      <c r="T15884" s="41"/>
    </row>
    <row r="15885" spans="20:20" s="566" customFormat="1">
      <c r="T15885" s="41"/>
    </row>
    <row r="15886" spans="20:20" s="566" customFormat="1">
      <c r="T15886" s="41"/>
    </row>
    <row r="15887" spans="20:20" s="566" customFormat="1">
      <c r="T15887" s="41"/>
    </row>
    <row r="15888" spans="20:20" s="566" customFormat="1">
      <c r="T15888" s="41"/>
    </row>
    <row r="15889" spans="20:20" s="566" customFormat="1">
      <c r="T15889" s="41"/>
    </row>
    <row r="15890" spans="20:20" s="566" customFormat="1">
      <c r="T15890" s="41"/>
    </row>
    <row r="15891" spans="20:20" s="566" customFormat="1">
      <c r="T15891" s="41"/>
    </row>
    <row r="15892" spans="20:20" s="566" customFormat="1">
      <c r="T15892" s="41"/>
    </row>
    <row r="15893" spans="20:20" s="566" customFormat="1">
      <c r="T15893" s="41"/>
    </row>
    <row r="15894" spans="20:20" s="566" customFormat="1">
      <c r="T15894" s="41"/>
    </row>
    <row r="15895" spans="20:20" s="566" customFormat="1">
      <c r="T15895" s="41"/>
    </row>
    <row r="15896" spans="20:20" s="566" customFormat="1">
      <c r="T15896" s="41"/>
    </row>
    <row r="15897" spans="20:20" s="566" customFormat="1">
      <c r="T15897" s="41"/>
    </row>
    <row r="15898" spans="20:20" s="566" customFormat="1">
      <c r="T15898" s="41"/>
    </row>
    <row r="15899" spans="20:20" s="566" customFormat="1">
      <c r="T15899" s="41"/>
    </row>
    <row r="15900" spans="20:20" s="566" customFormat="1">
      <c r="T15900" s="41"/>
    </row>
    <row r="15901" spans="20:20" s="566" customFormat="1">
      <c r="T15901" s="41"/>
    </row>
    <row r="15902" spans="20:20" s="566" customFormat="1">
      <c r="T15902" s="41"/>
    </row>
    <row r="15903" spans="20:20" s="566" customFormat="1">
      <c r="T15903" s="41"/>
    </row>
    <row r="15904" spans="20:20" s="566" customFormat="1">
      <c r="T15904" s="41"/>
    </row>
    <row r="15905" spans="20:20" s="566" customFormat="1">
      <c r="T15905" s="41"/>
    </row>
    <row r="15906" spans="20:20" s="566" customFormat="1">
      <c r="T15906" s="41"/>
    </row>
    <row r="15907" spans="20:20" s="566" customFormat="1">
      <c r="T15907" s="41"/>
    </row>
    <row r="15908" spans="20:20" s="566" customFormat="1">
      <c r="T15908" s="41"/>
    </row>
    <row r="15909" spans="20:20" s="566" customFormat="1">
      <c r="T15909" s="41"/>
    </row>
    <row r="15910" spans="20:20" s="566" customFormat="1">
      <c r="T15910" s="41"/>
    </row>
    <row r="15911" spans="20:20" s="566" customFormat="1">
      <c r="T15911" s="41"/>
    </row>
    <row r="15912" spans="20:20" s="566" customFormat="1">
      <c r="T15912" s="41"/>
    </row>
    <row r="15913" spans="20:20" s="566" customFormat="1">
      <c r="T15913" s="41"/>
    </row>
    <row r="15914" spans="20:20" s="566" customFormat="1">
      <c r="T15914" s="41"/>
    </row>
    <row r="15915" spans="20:20" s="566" customFormat="1">
      <c r="T15915" s="41"/>
    </row>
    <row r="15916" spans="20:20" s="566" customFormat="1">
      <c r="T15916" s="41"/>
    </row>
    <row r="15917" spans="20:20" s="566" customFormat="1">
      <c r="T15917" s="41"/>
    </row>
    <row r="15918" spans="20:20" s="566" customFormat="1">
      <c r="T15918" s="41"/>
    </row>
    <row r="15919" spans="20:20" s="566" customFormat="1">
      <c r="T15919" s="41"/>
    </row>
    <row r="15920" spans="20:20" s="566" customFormat="1">
      <c r="T15920" s="41"/>
    </row>
    <row r="15921" spans="20:20" s="566" customFormat="1">
      <c r="T15921" s="41"/>
    </row>
    <row r="15922" spans="20:20" s="566" customFormat="1">
      <c r="T15922" s="41"/>
    </row>
    <row r="15923" spans="20:20" s="566" customFormat="1">
      <c r="T15923" s="41"/>
    </row>
    <row r="15924" spans="20:20" s="566" customFormat="1">
      <c r="T15924" s="41"/>
    </row>
    <row r="15925" spans="20:20" s="566" customFormat="1">
      <c r="T15925" s="41"/>
    </row>
    <row r="15926" spans="20:20" s="566" customFormat="1">
      <c r="T15926" s="41"/>
    </row>
    <row r="15927" spans="20:20" s="566" customFormat="1">
      <c r="T15927" s="41"/>
    </row>
    <row r="15928" spans="20:20" s="566" customFormat="1">
      <c r="T15928" s="41"/>
    </row>
    <row r="15929" spans="20:20" s="566" customFormat="1">
      <c r="T15929" s="41"/>
    </row>
    <row r="15930" spans="20:20" s="566" customFormat="1">
      <c r="T15930" s="41"/>
    </row>
    <row r="15931" spans="20:20" s="566" customFormat="1">
      <c r="T15931" s="41"/>
    </row>
    <row r="15932" spans="20:20" s="566" customFormat="1">
      <c r="T15932" s="41"/>
    </row>
    <row r="15933" spans="20:20" s="566" customFormat="1">
      <c r="T15933" s="41"/>
    </row>
    <row r="15934" spans="20:20" s="566" customFormat="1">
      <c r="T15934" s="41"/>
    </row>
    <row r="15935" spans="20:20" s="566" customFormat="1">
      <c r="T15935" s="41"/>
    </row>
    <row r="15936" spans="20:20" s="566" customFormat="1">
      <c r="T15936" s="41"/>
    </row>
    <row r="15937" spans="20:20" s="566" customFormat="1">
      <c r="T15937" s="41"/>
    </row>
    <row r="15938" spans="20:20" s="566" customFormat="1">
      <c r="T15938" s="41"/>
    </row>
    <row r="15939" spans="20:20" s="566" customFormat="1">
      <c r="T15939" s="41"/>
    </row>
    <row r="15940" spans="20:20" s="566" customFormat="1">
      <c r="T15940" s="41"/>
    </row>
    <row r="15941" spans="20:20" s="566" customFormat="1">
      <c r="T15941" s="41"/>
    </row>
    <row r="15942" spans="20:20" s="566" customFormat="1">
      <c r="T15942" s="41"/>
    </row>
    <row r="15943" spans="20:20" s="566" customFormat="1">
      <c r="T15943" s="41"/>
    </row>
    <row r="15944" spans="20:20" s="566" customFormat="1">
      <c r="T15944" s="41"/>
    </row>
    <row r="15945" spans="20:20" s="566" customFormat="1">
      <c r="T15945" s="41"/>
    </row>
    <row r="15946" spans="20:20" s="566" customFormat="1">
      <c r="T15946" s="41"/>
    </row>
    <row r="15947" spans="20:20" s="566" customFormat="1">
      <c r="T15947" s="41"/>
    </row>
    <row r="15948" spans="20:20" s="566" customFormat="1">
      <c r="T15948" s="41"/>
    </row>
    <row r="15949" spans="20:20" s="566" customFormat="1">
      <c r="T15949" s="41"/>
    </row>
    <row r="15950" spans="20:20" s="566" customFormat="1">
      <c r="T15950" s="41"/>
    </row>
    <row r="15951" spans="20:20" s="566" customFormat="1">
      <c r="T15951" s="41"/>
    </row>
    <row r="15952" spans="20:20" s="566" customFormat="1">
      <c r="T15952" s="41"/>
    </row>
    <row r="15953" spans="20:20" s="566" customFormat="1">
      <c r="T15953" s="41"/>
    </row>
    <row r="15954" spans="20:20" s="566" customFormat="1">
      <c r="T15954" s="41"/>
    </row>
    <row r="15955" spans="20:20" s="566" customFormat="1">
      <c r="T15955" s="41"/>
    </row>
    <row r="15956" spans="20:20" s="566" customFormat="1">
      <c r="T15956" s="41"/>
    </row>
    <row r="15957" spans="20:20" s="566" customFormat="1">
      <c r="T15957" s="41"/>
    </row>
    <row r="15958" spans="20:20" s="566" customFormat="1">
      <c r="T15958" s="41"/>
    </row>
    <row r="15959" spans="20:20" s="566" customFormat="1">
      <c r="T15959" s="41"/>
    </row>
    <row r="15960" spans="20:20" s="566" customFormat="1">
      <c r="T15960" s="41"/>
    </row>
    <row r="15961" spans="20:20" s="566" customFormat="1">
      <c r="T15961" s="41"/>
    </row>
    <row r="15962" spans="20:20" s="566" customFormat="1">
      <c r="T15962" s="41"/>
    </row>
    <row r="15963" spans="20:20" s="566" customFormat="1">
      <c r="T15963" s="41"/>
    </row>
    <row r="15964" spans="20:20" s="566" customFormat="1">
      <c r="T15964" s="41"/>
    </row>
    <row r="15965" spans="20:20" s="566" customFormat="1">
      <c r="T15965" s="41"/>
    </row>
    <row r="15966" spans="20:20" s="566" customFormat="1">
      <c r="T15966" s="41"/>
    </row>
    <row r="15967" spans="20:20" s="566" customFormat="1">
      <c r="T15967" s="41"/>
    </row>
    <row r="15968" spans="20:20" s="566" customFormat="1">
      <c r="T15968" s="41"/>
    </row>
    <row r="15969" spans="20:20" s="566" customFormat="1">
      <c r="T15969" s="41"/>
    </row>
    <row r="15970" spans="20:20" s="566" customFormat="1">
      <c r="T15970" s="41"/>
    </row>
    <row r="15971" spans="20:20" s="566" customFormat="1">
      <c r="T15971" s="41"/>
    </row>
    <row r="15972" spans="20:20" s="566" customFormat="1">
      <c r="T15972" s="41"/>
    </row>
    <row r="15973" spans="20:20" s="566" customFormat="1">
      <c r="T15973" s="41"/>
    </row>
    <row r="15974" spans="20:20" s="566" customFormat="1">
      <c r="T15974" s="41"/>
    </row>
    <row r="15975" spans="20:20" s="566" customFormat="1">
      <c r="T15975" s="41"/>
    </row>
    <row r="15976" spans="20:20" s="566" customFormat="1">
      <c r="T15976" s="41"/>
    </row>
    <row r="15977" spans="20:20" s="566" customFormat="1">
      <c r="T15977" s="41"/>
    </row>
    <row r="15978" spans="20:20" s="566" customFormat="1">
      <c r="T15978" s="41"/>
    </row>
    <row r="15979" spans="20:20" s="566" customFormat="1">
      <c r="T15979" s="41"/>
    </row>
    <row r="15980" spans="20:20" s="566" customFormat="1">
      <c r="T15980" s="41"/>
    </row>
    <row r="15981" spans="20:20" s="566" customFormat="1">
      <c r="T15981" s="41"/>
    </row>
    <row r="15982" spans="20:20" s="566" customFormat="1">
      <c r="T15982" s="41"/>
    </row>
    <row r="15983" spans="20:20" s="566" customFormat="1">
      <c r="T15983" s="41"/>
    </row>
    <row r="15984" spans="20:20" s="566" customFormat="1">
      <c r="T15984" s="41"/>
    </row>
    <row r="15985" spans="20:20" s="566" customFormat="1">
      <c r="T15985" s="41"/>
    </row>
    <row r="15986" spans="20:20" s="566" customFormat="1">
      <c r="T15986" s="41"/>
    </row>
    <row r="15987" spans="20:20" s="566" customFormat="1">
      <c r="T15987" s="41"/>
    </row>
    <row r="15988" spans="20:20" s="566" customFormat="1">
      <c r="T15988" s="41"/>
    </row>
    <row r="15989" spans="20:20" s="566" customFormat="1">
      <c r="T15989" s="41"/>
    </row>
    <row r="15990" spans="20:20" s="566" customFormat="1">
      <c r="T15990" s="41"/>
    </row>
    <row r="15991" spans="20:20" s="566" customFormat="1">
      <c r="T15991" s="41"/>
    </row>
    <row r="15992" spans="20:20" s="566" customFormat="1">
      <c r="T15992" s="41"/>
    </row>
    <row r="15993" spans="20:20" s="566" customFormat="1">
      <c r="T15993" s="41"/>
    </row>
    <row r="15994" spans="20:20" s="566" customFormat="1">
      <c r="T15994" s="41"/>
    </row>
    <row r="15995" spans="20:20" s="566" customFormat="1">
      <c r="T15995" s="41"/>
    </row>
    <row r="15996" spans="20:20" s="566" customFormat="1">
      <c r="T15996" s="41"/>
    </row>
    <row r="15997" spans="20:20" s="566" customFormat="1">
      <c r="T15997" s="41"/>
    </row>
    <row r="15998" spans="20:20" s="566" customFormat="1">
      <c r="T15998" s="41"/>
    </row>
    <row r="15999" spans="20:20" s="566" customFormat="1">
      <c r="T15999" s="41"/>
    </row>
    <row r="16000" spans="20:20" s="566" customFormat="1">
      <c r="T16000" s="41"/>
    </row>
    <row r="16001" spans="20:20" s="566" customFormat="1">
      <c r="T16001" s="41"/>
    </row>
    <row r="16002" spans="20:20" s="566" customFormat="1">
      <c r="T16002" s="41"/>
    </row>
    <row r="16003" spans="20:20" s="566" customFormat="1">
      <c r="T16003" s="41"/>
    </row>
    <row r="16004" spans="20:20" s="566" customFormat="1">
      <c r="T16004" s="41"/>
    </row>
    <row r="16005" spans="20:20" s="566" customFormat="1">
      <c r="T16005" s="41"/>
    </row>
    <row r="16006" spans="20:20" s="566" customFormat="1">
      <c r="T16006" s="41"/>
    </row>
    <row r="16007" spans="20:20" s="566" customFormat="1">
      <c r="T16007" s="41"/>
    </row>
    <row r="16008" spans="20:20" s="566" customFormat="1">
      <c r="T16008" s="41"/>
    </row>
    <row r="16009" spans="20:20" s="566" customFormat="1">
      <c r="T16009" s="41"/>
    </row>
    <row r="16010" spans="20:20" s="566" customFormat="1">
      <c r="T16010" s="41"/>
    </row>
    <row r="16011" spans="20:20" s="566" customFormat="1">
      <c r="T16011" s="41"/>
    </row>
    <row r="16012" spans="20:20" s="566" customFormat="1">
      <c r="T16012" s="41"/>
    </row>
    <row r="16013" spans="20:20" s="566" customFormat="1">
      <c r="T16013" s="41"/>
    </row>
    <row r="16014" spans="20:20" s="566" customFormat="1">
      <c r="T16014" s="41"/>
    </row>
    <row r="16015" spans="20:20" s="566" customFormat="1">
      <c r="T16015" s="41"/>
    </row>
    <row r="16016" spans="20:20" s="566" customFormat="1">
      <c r="T16016" s="41"/>
    </row>
    <row r="16017" spans="20:20" s="566" customFormat="1">
      <c r="T16017" s="41"/>
    </row>
    <row r="16018" spans="20:20" s="566" customFormat="1">
      <c r="T16018" s="41"/>
    </row>
    <row r="16019" spans="20:20" s="566" customFormat="1">
      <c r="T16019" s="41"/>
    </row>
    <row r="16020" spans="20:20" s="566" customFormat="1">
      <c r="T16020" s="41"/>
    </row>
    <row r="16021" spans="20:20" s="566" customFormat="1">
      <c r="T16021" s="41"/>
    </row>
    <row r="16022" spans="20:20" s="566" customFormat="1">
      <c r="T16022" s="41"/>
    </row>
    <row r="16023" spans="20:20" s="566" customFormat="1">
      <c r="T16023" s="41"/>
    </row>
    <row r="16024" spans="20:20" s="566" customFormat="1">
      <c r="T16024" s="41"/>
    </row>
    <row r="16025" spans="20:20" s="566" customFormat="1">
      <c r="T16025" s="41"/>
    </row>
    <row r="16026" spans="20:20" s="566" customFormat="1">
      <c r="T16026" s="41"/>
    </row>
    <row r="16027" spans="20:20" s="566" customFormat="1">
      <c r="T16027" s="41"/>
    </row>
    <row r="16028" spans="20:20" s="566" customFormat="1">
      <c r="T16028" s="41"/>
    </row>
    <row r="16029" spans="20:20" s="566" customFormat="1">
      <c r="T16029" s="41"/>
    </row>
    <row r="16030" spans="20:20" s="566" customFormat="1">
      <c r="T16030" s="41"/>
    </row>
    <row r="16031" spans="20:20" s="566" customFormat="1">
      <c r="T16031" s="41"/>
    </row>
    <row r="16032" spans="20:20" s="566" customFormat="1">
      <c r="T16032" s="41"/>
    </row>
    <row r="16033" spans="20:20" s="566" customFormat="1">
      <c r="T16033" s="41"/>
    </row>
    <row r="16034" spans="20:20" s="566" customFormat="1">
      <c r="T16034" s="41"/>
    </row>
    <row r="16035" spans="20:20" s="566" customFormat="1">
      <c r="T16035" s="41"/>
    </row>
    <row r="16036" spans="20:20" s="566" customFormat="1">
      <c r="T16036" s="41"/>
    </row>
    <row r="16037" spans="20:20" s="566" customFormat="1">
      <c r="T16037" s="41"/>
    </row>
    <row r="16038" spans="20:20" s="566" customFormat="1">
      <c r="T16038" s="41"/>
    </row>
    <row r="16039" spans="20:20" s="566" customFormat="1">
      <c r="T16039" s="41"/>
    </row>
    <row r="16040" spans="20:20" s="566" customFormat="1">
      <c r="T16040" s="41"/>
    </row>
    <row r="16041" spans="20:20" s="566" customFormat="1">
      <c r="T16041" s="41"/>
    </row>
    <row r="16042" spans="20:20" s="566" customFormat="1">
      <c r="T16042" s="41"/>
    </row>
    <row r="16043" spans="20:20" s="566" customFormat="1">
      <c r="T16043" s="41"/>
    </row>
    <row r="16044" spans="20:20" s="566" customFormat="1">
      <c r="T16044" s="41"/>
    </row>
    <row r="16045" spans="20:20" s="566" customFormat="1">
      <c r="T16045" s="41"/>
    </row>
    <row r="16046" spans="20:20" s="566" customFormat="1">
      <c r="T16046" s="41"/>
    </row>
    <row r="16047" spans="20:20" s="566" customFormat="1">
      <c r="T16047" s="41"/>
    </row>
    <row r="16048" spans="20:20" s="566" customFormat="1">
      <c r="T16048" s="41"/>
    </row>
    <row r="16049" spans="20:20" s="566" customFormat="1">
      <c r="T16049" s="41"/>
    </row>
    <row r="16050" spans="20:20" s="566" customFormat="1">
      <c r="T16050" s="41"/>
    </row>
    <row r="16051" spans="20:20" s="566" customFormat="1">
      <c r="T16051" s="41"/>
    </row>
    <row r="16052" spans="20:20" s="566" customFormat="1">
      <c r="T16052" s="41"/>
    </row>
    <row r="16053" spans="20:20" s="566" customFormat="1">
      <c r="T16053" s="41"/>
    </row>
    <row r="16054" spans="20:20" s="566" customFormat="1">
      <c r="T16054" s="41"/>
    </row>
    <row r="16055" spans="20:20" s="566" customFormat="1">
      <c r="T16055" s="41"/>
    </row>
    <row r="16056" spans="20:20" s="566" customFormat="1">
      <c r="T16056" s="41"/>
    </row>
    <row r="16057" spans="20:20" s="566" customFormat="1">
      <c r="T16057" s="41"/>
    </row>
    <row r="16058" spans="20:20" s="566" customFormat="1">
      <c r="T16058" s="41"/>
    </row>
    <row r="16059" spans="20:20" s="566" customFormat="1">
      <c r="T16059" s="41"/>
    </row>
    <row r="16060" spans="20:20" s="566" customFormat="1">
      <c r="T16060" s="41"/>
    </row>
    <row r="16061" spans="20:20" s="566" customFormat="1">
      <c r="T16061" s="41"/>
    </row>
    <row r="16062" spans="20:20" s="566" customFormat="1">
      <c r="T16062" s="41"/>
    </row>
    <row r="16063" spans="20:20" s="566" customFormat="1">
      <c r="T16063" s="41"/>
    </row>
    <row r="16064" spans="20:20" s="566" customFormat="1">
      <c r="T16064" s="41"/>
    </row>
    <row r="16065" spans="20:20" s="566" customFormat="1">
      <c r="T16065" s="41"/>
    </row>
    <row r="16066" spans="20:20" s="566" customFormat="1">
      <c r="T16066" s="41"/>
    </row>
    <row r="16067" spans="20:20" s="566" customFormat="1">
      <c r="T16067" s="41"/>
    </row>
    <row r="16068" spans="20:20" s="566" customFormat="1">
      <c r="T16068" s="41"/>
    </row>
    <row r="16069" spans="20:20" s="566" customFormat="1">
      <c r="T16069" s="41"/>
    </row>
    <row r="16070" spans="20:20" s="566" customFormat="1">
      <c r="T16070" s="41"/>
    </row>
    <row r="16071" spans="20:20" s="566" customFormat="1">
      <c r="T16071" s="41"/>
    </row>
    <row r="16072" spans="20:20" s="566" customFormat="1">
      <c r="T16072" s="41"/>
    </row>
    <row r="16073" spans="20:20" s="566" customFormat="1">
      <c r="T16073" s="41"/>
    </row>
    <row r="16074" spans="20:20" s="566" customFormat="1">
      <c r="T16074" s="41"/>
    </row>
    <row r="16075" spans="20:20" s="566" customFormat="1">
      <c r="T16075" s="41"/>
    </row>
    <row r="16076" spans="20:20" s="566" customFormat="1">
      <c r="T16076" s="41"/>
    </row>
    <row r="16077" spans="20:20" s="566" customFormat="1">
      <c r="T16077" s="41"/>
    </row>
    <row r="16078" spans="20:20" s="566" customFormat="1">
      <c r="T16078" s="41"/>
    </row>
    <row r="16079" spans="20:20" s="566" customFormat="1">
      <c r="T16079" s="41"/>
    </row>
    <row r="16080" spans="20:20" s="566" customFormat="1">
      <c r="T16080" s="41"/>
    </row>
    <row r="16081" spans="20:20" s="566" customFormat="1">
      <c r="T16081" s="41"/>
    </row>
    <row r="16082" spans="20:20" s="566" customFormat="1">
      <c r="T16082" s="41"/>
    </row>
    <row r="16083" spans="20:20" s="566" customFormat="1">
      <c r="T16083" s="41"/>
    </row>
    <row r="16084" spans="20:20" s="566" customFormat="1">
      <c r="T16084" s="41"/>
    </row>
    <row r="16085" spans="20:20" s="566" customFormat="1">
      <c r="T16085" s="41"/>
    </row>
    <row r="16086" spans="20:20" s="566" customFormat="1">
      <c r="T16086" s="41"/>
    </row>
    <row r="16087" spans="20:20" s="566" customFormat="1">
      <c r="T16087" s="41"/>
    </row>
    <row r="16088" spans="20:20" s="566" customFormat="1">
      <c r="T16088" s="41"/>
    </row>
    <row r="16089" spans="20:20" s="566" customFormat="1">
      <c r="T16089" s="41"/>
    </row>
    <row r="16090" spans="20:20" s="566" customFormat="1">
      <c r="T16090" s="41"/>
    </row>
    <row r="16091" spans="20:20" s="566" customFormat="1">
      <c r="T16091" s="41"/>
    </row>
    <row r="16092" spans="20:20" s="566" customFormat="1">
      <c r="T16092" s="41"/>
    </row>
    <row r="16093" spans="20:20" s="566" customFormat="1">
      <c r="T16093" s="41"/>
    </row>
    <row r="16094" spans="20:20" s="566" customFormat="1">
      <c r="T16094" s="41"/>
    </row>
    <row r="16095" spans="20:20" s="566" customFormat="1">
      <c r="T16095" s="41"/>
    </row>
    <row r="16096" spans="20:20" s="566" customFormat="1">
      <c r="T16096" s="41"/>
    </row>
    <row r="16097" spans="20:20" s="566" customFormat="1">
      <c r="T16097" s="41"/>
    </row>
    <row r="16098" spans="20:20" s="566" customFormat="1">
      <c r="T16098" s="41"/>
    </row>
    <row r="16099" spans="20:20" s="566" customFormat="1">
      <c r="T16099" s="41"/>
    </row>
    <row r="16100" spans="20:20" s="566" customFormat="1">
      <c r="T16100" s="41"/>
    </row>
    <row r="16101" spans="20:20" s="566" customFormat="1">
      <c r="T16101" s="41"/>
    </row>
    <row r="16102" spans="20:20" s="566" customFormat="1">
      <c r="T16102" s="41"/>
    </row>
    <row r="16103" spans="20:20" s="566" customFormat="1">
      <c r="T16103" s="41"/>
    </row>
    <row r="16104" spans="20:20" s="566" customFormat="1">
      <c r="T16104" s="41"/>
    </row>
    <row r="16105" spans="20:20" s="566" customFormat="1">
      <c r="T16105" s="41"/>
    </row>
    <row r="16106" spans="20:20" s="566" customFormat="1">
      <c r="T16106" s="41"/>
    </row>
    <row r="16107" spans="20:20" s="566" customFormat="1">
      <c r="T16107" s="41"/>
    </row>
    <row r="16108" spans="20:20" s="566" customFormat="1">
      <c r="T16108" s="41"/>
    </row>
    <row r="16109" spans="20:20" s="566" customFormat="1">
      <c r="T16109" s="41"/>
    </row>
    <row r="16110" spans="20:20" s="566" customFormat="1">
      <c r="T16110" s="41"/>
    </row>
    <row r="16111" spans="20:20" s="566" customFormat="1">
      <c r="T16111" s="41"/>
    </row>
    <row r="16112" spans="20:20" s="566" customFormat="1">
      <c r="T16112" s="41"/>
    </row>
    <row r="16113" spans="20:20" s="566" customFormat="1">
      <c r="T16113" s="41"/>
    </row>
    <row r="16114" spans="20:20" s="566" customFormat="1">
      <c r="T16114" s="41"/>
    </row>
    <row r="16115" spans="20:20" s="566" customFormat="1">
      <c r="T16115" s="41"/>
    </row>
    <row r="16116" spans="20:20" s="566" customFormat="1">
      <c r="T16116" s="41"/>
    </row>
    <row r="16117" spans="20:20" s="566" customFormat="1">
      <c r="T16117" s="41"/>
    </row>
    <row r="16118" spans="20:20" s="566" customFormat="1">
      <c r="T16118" s="41"/>
    </row>
    <row r="16119" spans="20:20" s="566" customFormat="1">
      <c r="T16119" s="41"/>
    </row>
    <row r="16120" spans="20:20" s="566" customFormat="1">
      <c r="T16120" s="41"/>
    </row>
    <row r="16121" spans="20:20" s="566" customFormat="1">
      <c r="T16121" s="41"/>
    </row>
    <row r="16122" spans="20:20" s="566" customFormat="1">
      <c r="T16122" s="41"/>
    </row>
    <row r="16123" spans="20:20" s="566" customFormat="1">
      <c r="T16123" s="41"/>
    </row>
    <row r="16124" spans="20:20" s="566" customFormat="1">
      <c r="T16124" s="41"/>
    </row>
    <row r="16125" spans="20:20" s="566" customFormat="1">
      <c r="T16125" s="41"/>
    </row>
    <row r="16126" spans="20:20" s="566" customFormat="1">
      <c r="T16126" s="41"/>
    </row>
    <row r="16127" spans="20:20" s="566" customFormat="1">
      <c r="T16127" s="41"/>
    </row>
    <row r="16128" spans="20:20" s="566" customFormat="1">
      <c r="T16128" s="41"/>
    </row>
    <row r="16129" spans="20:20" s="566" customFormat="1">
      <c r="T16129" s="41"/>
    </row>
    <row r="16130" spans="20:20" s="566" customFormat="1">
      <c r="T16130" s="41"/>
    </row>
    <row r="16131" spans="20:20" s="566" customFormat="1">
      <c r="T16131" s="41"/>
    </row>
    <row r="16132" spans="20:20" s="566" customFormat="1">
      <c r="T16132" s="41"/>
    </row>
    <row r="16133" spans="20:20" s="566" customFormat="1">
      <c r="T16133" s="41"/>
    </row>
    <row r="16134" spans="20:20" s="566" customFormat="1">
      <c r="T16134" s="41"/>
    </row>
    <row r="16135" spans="20:20" s="566" customFormat="1">
      <c r="T16135" s="41"/>
    </row>
    <row r="16136" spans="20:20" s="566" customFormat="1">
      <c r="T16136" s="41"/>
    </row>
    <row r="16137" spans="20:20" s="566" customFormat="1">
      <c r="T16137" s="41"/>
    </row>
    <row r="16138" spans="20:20" s="566" customFormat="1">
      <c r="T16138" s="41"/>
    </row>
    <row r="16139" spans="20:20" s="566" customFormat="1">
      <c r="T16139" s="41"/>
    </row>
    <row r="16140" spans="20:20" s="566" customFormat="1">
      <c r="T16140" s="41"/>
    </row>
    <row r="16141" spans="20:20" s="566" customFormat="1">
      <c r="T16141" s="41"/>
    </row>
    <row r="16142" spans="20:20" s="566" customFormat="1">
      <c r="T16142" s="41"/>
    </row>
    <row r="16143" spans="20:20" s="566" customFormat="1">
      <c r="T16143" s="41"/>
    </row>
    <row r="16144" spans="20:20" s="566" customFormat="1">
      <c r="T16144" s="41"/>
    </row>
    <row r="16145" spans="20:20" s="566" customFormat="1">
      <c r="T16145" s="41"/>
    </row>
    <row r="16146" spans="20:20" s="566" customFormat="1">
      <c r="T16146" s="41"/>
    </row>
    <row r="16147" spans="20:20" s="566" customFormat="1">
      <c r="T16147" s="41"/>
    </row>
    <row r="16148" spans="20:20" s="566" customFormat="1">
      <c r="T16148" s="41"/>
    </row>
    <row r="16149" spans="20:20" s="566" customFormat="1">
      <c r="T16149" s="41"/>
    </row>
    <row r="16150" spans="20:20" s="566" customFormat="1">
      <c r="T16150" s="41"/>
    </row>
    <row r="16151" spans="20:20" s="566" customFormat="1">
      <c r="T16151" s="41"/>
    </row>
    <row r="16152" spans="20:20" s="566" customFormat="1">
      <c r="T16152" s="41"/>
    </row>
    <row r="16153" spans="20:20" s="566" customFormat="1">
      <c r="T16153" s="41"/>
    </row>
    <row r="16154" spans="20:20" s="566" customFormat="1">
      <c r="T16154" s="41"/>
    </row>
    <row r="16155" spans="20:20" s="566" customFormat="1">
      <c r="T16155" s="41"/>
    </row>
    <row r="16156" spans="20:20" s="566" customFormat="1">
      <c r="T16156" s="41"/>
    </row>
    <row r="16157" spans="20:20" s="566" customFormat="1">
      <c r="T16157" s="41"/>
    </row>
    <row r="16158" spans="20:20" s="566" customFormat="1">
      <c r="T16158" s="41"/>
    </row>
    <row r="16159" spans="20:20" s="566" customFormat="1">
      <c r="T16159" s="41"/>
    </row>
    <row r="16160" spans="20:20" s="566" customFormat="1">
      <c r="T16160" s="41"/>
    </row>
    <row r="16161" spans="20:20" s="566" customFormat="1">
      <c r="T16161" s="41"/>
    </row>
    <row r="16162" spans="20:20" s="566" customFormat="1">
      <c r="T16162" s="41"/>
    </row>
    <row r="16163" spans="20:20" s="566" customFormat="1">
      <c r="T16163" s="41"/>
    </row>
    <row r="16164" spans="20:20" s="566" customFormat="1">
      <c r="T16164" s="41"/>
    </row>
    <row r="16165" spans="20:20" s="566" customFormat="1">
      <c r="T16165" s="41"/>
    </row>
    <row r="16166" spans="20:20" s="566" customFormat="1">
      <c r="T16166" s="41"/>
    </row>
    <row r="16167" spans="20:20" s="566" customFormat="1">
      <c r="T16167" s="41"/>
    </row>
    <row r="16168" spans="20:20" s="566" customFormat="1">
      <c r="T16168" s="41"/>
    </row>
    <row r="16169" spans="20:20" s="566" customFormat="1">
      <c r="T16169" s="41"/>
    </row>
    <row r="16170" spans="20:20" s="566" customFormat="1">
      <c r="T16170" s="41"/>
    </row>
    <row r="16171" spans="20:20" s="566" customFormat="1">
      <c r="T16171" s="41"/>
    </row>
    <row r="16172" spans="20:20" s="566" customFormat="1">
      <c r="T16172" s="41"/>
    </row>
    <row r="16173" spans="20:20" s="566" customFormat="1">
      <c r="T16173" s="41"/>
    </row>
    <row r="16174" spans="20:20" s="566" customFormat="1">
      <c r="T16174" s="41"/>
    </row>
    <row r="16175" spans="20:20" s="566" customFormat="1">
      <c r="T16175" s="41"/>
    </row>
    <row r="16176" spans="20:20" s="566" customFormat="1">
      <c r="T16176" s="41"/>
    </row>
    <row r="16177" spans="20:20" s="566" customFormat="1">
      <c r="T16177" s="41"/>
    </row>
    <row r="16178" spans="20:20" s="566" customFormat="1">
      <c r="T16178" s="41"/>
    </row>
    <row r="16179" spans="20:20" s="566" customFormat="1">
      <c r="T16179" s="41"/>
    </row>
    <row r="16180" spans="20:20" s="566" customFormat="1">
      <c r="T16180" s="41"/>
    </row>
    <row r="16181" spans="20:20" s="566" customFormat="1">
      <c r="T16181" s="41"/>
    </row>
    <row r="16182" spans="20:20" s="566" customFormat="1">
      <c r="T16182" s="41"/>
    </row>
    <row r="16183" spans="20:20" s="566" customFormat="1">
      <c r="T16183" s="41"/>
    </row>
    <row r="16184" spans="20:20" s="566" customFormat="1">
      <c r="T16184" s="41"/>
    </row>
    <row r="16185" spans="20:20" s="566" customFormat="1">
      <c r="T16185" s="41"/>
    </row>
    <row r="16186" spans="20:20" s="566" customFormat="1">
      <c r="T16186" s="41"/>
    </row>
    <row r="16187" spans="20:20" s="566" customFormat="1">
      <c r="T16187" s="41"/>
    </row>
    <row r="16188" spans="20:20" s="566" customFormat="1">
      <c r="T16188" s="41"/>
    </row>
    <row r="16189" spans="20:20" s="566" customFormat="1">
      <c r="T16189" s="41"/>
    </row>
    <row r="16190" spans="20:20" s="566" customFormat="1">
      <c r="T16190" s="41"/>
    </row>
    <row r="16191" spans="20:20" s="566" customFormat="1">
      <c r="T16191" s="41"/>
    </row>
    <row r="16192" spans="20:20" s="566" customFormat="1">
      <c r="T16192" s="41"/>
    </row>
    <row r="16193" spans="20:20" s="566" customFormat="1">
      <c r="T16193" s="41"/>
    </row>
    <row r="16194" spans="20:20" s="566" customFormat="1">
      <c r="T16194" s="41"/>
    </row>
    <row r="16195" spans="20:20" s="566" customFormat="1">
      <c r="T16195" s="41"/>
    </row>
    <row r="16196" spans="20:20" s="566" customFormat="1">
      <c r="T16196" s="41"/>
    </row>
    <row r="16197" spans="20:20" s="566" customFormat="1">
      <c r="T16197" s="41"/>
    </row>
    <row r="16198" spans="20:20" s="566" customFormat="1">
      <c r="T16198" s="41"/>
    </row>
    <row r="16199" spans="20:20" s="566" customFormat="1">
      <c r="T16199" s="41"/>
    </row>
    <row r="16200" spans="20:20" s="566" customFormat="1">
      <c r="T16200" s="41"/>
    </row>
    <row r="16201" spans="20:20" s="566" customFormat="1">
      <c r="T16201" s="41"/>
    </row>
    <row r="16202" spans="20:20" s="566" customFormat="1">
      <c r="T16202" s="41"/>
    </row>
    <row r="16203" spans="20:20" s="566" customFormat="1">
      <c r="T16203" s="41"/>
    </row>
    <row r="16204" spans="20:20" s="566" customFormat="1">
      <c r="T16204" s="41"/>
    </row>
    <row r="16205" spans="20:20" s="566" customFormat="1">
      <c r="T16205" s="41"/>
    </row>
    <row r="16206" spans="20:20" s="566" customFormat="1">
      <c r="T16206" s="41"/>
    </row>
    <row r="16207" spans="20:20" s="566" customFormat="1">
      <c r="T16207" s="41"/>
    </row>
    <row r="16208" spans="20:20" s="566" customFormat="1">
      <c r="T16208" s="41"/>
    </row>
    <row r="16209" spans="20:20" s="566" customFormat="1">
      <c r="T16209" s="41"/>
    </row>
    <row r="16210" spans="20:20" s="566" customFormat="1">
      <c r="T16210" s="41"/>
    </row>
    <row r="16211" spans="20:20" s="566" customFormat="1">
      <c r="T16211" s="41"/>
    </row>
    <row r="16212" spans="20:20" s="566" customFormat="1">
      <c r="T16212" s="41"/>
    </row>
    <row r="16213" spans="20:20" s="566" customFormat="1">
      <c r="T16213" s="41"/>
    </row>
    <row r="16214" spans="20:20" s="566" customFormat="1">
      <c r="T16214" s="41"/>
    </row>
    <row r="16215" spans="20:20" s="566" customFormat="1">
      <c r="T16215" s="41"/>
    </row>
    <row r="16216" spans="20:20" s="566" customFormat="1">
      <c r="T16216" s="41"/>
    </row>
    <row r="16217" spans="20:20" s="566" customFormat="1">
      <c r="T16217" s="41"/>
    </row>
    <row r="16218" spans="20:20" s="566" customFormat="1">
      <c r="T16218" s="41"/>
    </row>
    <row r="16219" spans="20:20" s="566" customFormat="1">
      <c r="T16219" s="41"/>
    </row>
    <row r="16220" spans="20:20" s="566" customFormat="1">
      <c r="T16220" s="41"/>
    </row>
    <row r="16221" spans="20:20" s="566" customFormat="1">
      <c r="T16221" s="41"/>
    </row>
    <row r="16222" spans="20:20" s="566" customFormat="1">
      <c r="T16222" s="41"/>
    </row>
    <row r="16223" spans="20:20" s="566" customFormat="1">
      <c r="T16223" s="41"/>
    </row>
    <row r="16224" spans="20:20" s="566" customFormat="1">
      <c r="T16224" s="41"/>
    </row>
    <row r="16225" spans="20:20" s="566" customFormat="1">
      <c r="T16225" s="41"/>
    </row>
    <row r="16226" spans="20:20" s="566" customFormat="1">
      <c r="T16226" s="41"/>
    </row>
    <row r="16227" spans="20:20" s="566" customFormat="1">
      <c r="T16227" s="41"/>
    </row>
    <row r="16228" spans="20:20" s="566" customFormat="1">
      <c r="T16228" s="41"/>
    </row>
    <row r="16229" spans="20:20" s="566" customFormat="1">
      <c r="T16229" s="41"/>
    </row>
    <row r="16230" spans="20:20" s="566" customFormat="1">
      <c r="T16230" s="41"/>
    </row>
    <row r="16231" spans="20:20" s="566" customFormat="1">
      <c r="T16231" s="41"/>
    </row>
    <row r="16232" spans="20:20" s="566" customFormat="1">
      <c r="T16232" s="41"/>
    </row>
    <row r="16233" spans="20:20" s="566" customFormat="1">
      <c r="T16233" s="41"/>
    </row>
    <row r="16234" spans="20:20" s="566" customFormat="1">
      <c r="T16234" s="41"/>
    </row>
    <row r="16235" spans="20:20" s="566" customFormat="1">
      <c r="T16235" s="41"/>
    </row>
    <row r="16236" spans="20:20" s="566" customFormat="1">
      <c r="T16236" s="41"/>
    </row>
    <row r="16237" spans="20:20" s="566" customFormat="1">
      <c r="T16237" s="41"/>
    </row>
    <row r="16238" spans="20:20" s="566" customFormat="1">
      <c r="T16238" s="41"/>
    </row>
    <row r="16239" spans="20:20" s="566" customFormat="1">
      <c r="T16239" s="41"/>
    </row>
    <row r="16240" spans="20:20" s="566" customFormat="1">
      <c r="T16240" s="41"/>
    </row>
    <row r="16241" spans="20:20" s="566" customFormat="1">
      <c r="T16241" s="41"/>
    </row>
    <row r="16242" spans="20:20" s="566" customFormat="1">
      <c r="T16242" s="41"/>
    </row>
    <row r="16243" spans="20:20" s="566" customFormat="1">
      <c r="T16243" s="41"/>
    </row>
    <row r="16244" spans="20:20" s="566" customFormat="1">
      <c r="T16244" s="41"/>
    </row>
    <row r="16245" spans="20:20" s="566" customFormat="1">
      <c r="T16245" s="41"/>
    </row>
    <row r="16246" spans="20:20" s="566" customFormat="1">
      <c r="T16246" s="41"/>
    </row>
    <row r="16247" spans="20:20" s="566" customFormat="1">
      <c r="T16247" s="41"/>
    </row>
    <row r="16248" spans="20:20" s="566" customFormat="1">
      <c r="T16248" s="41"/>
    </row>
    <row r="16249" spans="20:20" s="566" customFormat="1">
      <c r="T16249" s="41"/>
    </row>
    <row r="16250" spans="20:20" s="566" customFormat="1">
      <c r="T16250" s="41"/>
    </row>
    <row r="16251" spans="20:20" s="566" customFormat="1">
      <c r="T16251" s="41"/>
    </row>
    <row r="16252" spans="20:20" s="566" customFormat="1">
      <c r="T16252" s="41"/>
    </row>
    <row r="16253" spans="20:20" s="566" customFormat="1">
      <c r="T16253" s="41"/>
    </row>
    <row r="16254" spans="20:20" s="566" customFormat="1">
      <c r="T16254" s="41"/>
    </row>
    <row r="16255" spans="20:20" s="566" customFormat="1">
      <c r="T16255" s="41"/>
    </row>
    <row r="16256" spans="20:20" s="566" customFormat="1">
      <c r="T16256" s="41"/>
    </row>
    <row r="16257" spans="20:20" s="566" customFormat="1">
      <c r="T16257" s="41"/>
    </row>
    <row r="16258" spans="20:20" s="566" customFormat="1">
      <c r="T16258" s="41"/>
    </row>
    <row r="16259" spans="20:20" s="566" customFormat="1">
      <c r="T16259" s="41"/>
    </row>
    <row r="16260" spans="20:20" s="566" customFormat="1">
      <c r="T16260" s="41"/>
    </row>
    <row r="16261" spans="20:20" s="566" customFormat="1">
      <c r="T16261" s="41"/>
    </row>
    <row r="16262" spans="20:20" s="566" customFormat="1">
      <c r="T16262" s="41"/>
    </row>
    <row r="16263" spans="20:20" s="566" customFormat="1">
      <c r="T16263" s="41"/>
    </row>
    <row r="16264" spans="20:20" s="566" customFormat="1">
      <c r="T16264" s="41"/>
    </row>
    <row r="16265" spans="20:20" s="566" customFormat="1">
      <c r="T16265" s="41"/>
    </row>
    <row r="16266" spans="20:20" s="566" customFormat="1">
      <c r="T16266" s="41"/>
    </row>
    <row r="16267" spans="20:20" s="566" customFormat="1">
      <c r="T16267" s="41"/>
    </row>
    <row r="16268" spans="20:20" s="566" customFormat="1">
      <c r="T16268" s="41"/>
    </row>
    <row r="16269" spans="20:20" s="566" customFormat="1">
      <c r="T16269" s="41"/>
    </row>
    <row r="16270" spans="20:20" s="566" customFormat="1">
      <c r="T16270" s="41"/>
    </row>
    <row r="16271" spans="20:20" s="566" customFormat="1">
      <c r="T16271" s="41"/>
    </row>
    <row r="16272" spans="20:20" s="566" customFormat="1">
      <c r="T16272" s="41"/>
    </row>
    <row r="16273" spans="20:20" s="566" customFormat="1">
      <c r="T16273" s="41"/>
    </row>
    <row r="16274" spans="20:20" s="566" customFormat="1">
      <c r="T16274" s="41"/>
    </row>
    <row r="16275" spans="20:20" s="566" customFormat="1">
      <c r="T16275" s="41"/>
    </row>
    <row r="16276" spans="20:20" s="566" customFormat="1">
      <c r="T16276" s="41"/>
    </row>
    <row r="16277" spans="20:20" s="566" customFormat="1">
      <c r="T16277" s="41"/>
    </row>
    <row r="16278" spans="20:20" s="566" customFormat="1">
      <c r="T16278" s="41"/>
    </row>
    <row r="16279" spans="20:20" s="566" customFormat="1">
      <c r="T16279" s="41"/>
    </row>
    <row r="16280" spans="20:20" s="566" customFormat="1">
      <c r="T16280" s="41"/>
    </row>
    <row r="16281" spans="20:20" s="566" customFormat="1">
      <c r="T16281" s="41"/>
    </row>
    <row r="16282" spans="20:20" s="566" customFormat="1">
      <c r="T16282" s="41"/>
    </row>
    <row r="16283" spans="20:20" s="566" customFormat="1">
      <c r="T16283" s="41"/>
    </row>
    <row r="16284" spans="20:20" s="566" customFormat="1">
      <c r="T16284" s="41"/>
    </row>
    <row r="16285" spans="20:20" s="566" customFormat="1">
      <c r="T16285" s="41"/>
    </row>
    <row r="16286" spans="20:20" s="566" customFormat="1">
      <c r="T16286" s="41"/>
    </row>
    <row r="16287" spans="20:20" s="566" customFormat="1">
      <c r="T16287" s="41"/>
    </row>
    <row r="16288" spans="20:20" s="566" customFormat="1">
      <c r="T16288" s="41"/>
    </row>
    <row r="16289" spans="20:20" s="566" customFormat="1">
      <c r="T16289" s="41"/>
    </row>
    <row r="16290" spans="20:20" s="566" customFormat="1">
      <c r="T16290" s="41"/>
    </row>
    <row r="16291" spans="20:20" s="566" customFormat="1">
      <c r="T16291" s="41"/>
    </row>
    <row r="16292" spans="20:20" s="566" customFormat="1">
      <c r="T16292" s="41"/>
    </row>
    <row r="16293" spans="20:20" s="566" customFormat="1">
      <c r="T16293" s="41"/>
    </row>
    <row r="16294" spans="20:20" s="566" customFormat="1">
      <c r="T16294" s="41"/>
    </row>
    <row r="16295" spans="20:20" s="566" customFormat="1">
      <c r="T16295" s="41"/>
    </row>
    <row r="16296" spans="20:20" s="566" customFormat="1">
      <c r="T16296" s="41"/>
    </row>
    <row r="16297" spans="20:20" s="566" customFormat="1">
      <c r="T16297" s="41"/>
    </row>
    <row r="16298" spans="20:20" s="566" customFormat="1">
      <c r="T16298" s="41"/>
    </row>
    <row r="16299" spans="20:20" s="566" customFormat="1">
      <c r="T16299" s="41"/>
    </row>
    <row r="16300" spans="20:20" s="566" customFormat="1">
      <c r="T16300" s="41"/>
    </row>
    <row r="16301" spans="20:20" s="566" customFormat="1">
      <c r="T16301" s="41"/>
    </row>
    <row r="16302" spans="20:20" s="566" customFormat="1">
      <c r="T16302" s="41"/>
    </row>
    <row r="16303" spans="20:20" s="566" customFormat="1">
      <c r="T16303" s="41"/>
    </row>
    <row r="16304" spans="20:20" s="566" customFormat="1">
      <c r="T16304" s="41"/>
    </row>
    <row r="16305" spans="20:20" s="566" customFormat="1">
      <c r="T16305" s="41"/>
    </row>
    <row r="16306" spans="20:20" s="566" customFormat="1">
      <c r="T16306" s="41"/>
    </row>
    <row r="16307" spans="20:20" s="566" customFormat="1">
      <c r="T16307" s="41"/>
    </row>
    <row r="16308" spans="20:20" s="566" customFormat="1">
      <c r="T16308" s="41"/>
    </row>
    <row r="16309" spans="20:20" s="566" customFormat="1">
      <c r="T16309" s="41"/>
    </row>
    <row r="16310" spans="20:20" s="566" customFormat="1">
      <c r="T16310" s="41"/>
    </row>
    <row r="16311" spans="20:20" s="566" customFormat="1">
      <c r="T16311" s="41"/>
    </row>
    <row r="16312" spans="20:20" s="566" customFormat="1">
      <c r="T16312" s="41"/>
    </row>
    <row r="16313" spans="20:20" s="566" customFormat="1">
      <c r="T16313" s="41"/>
    </row>
    <row r="16314" spans="20:20" s="566" customFormat="1">
      <c r="T16314" s="41"/>
    </row>
    <row r="16315" spans="20:20" s="566" customFormat="1">
      <c r="T16315" s="41"/>
    </row>
    <row r="16316" spans="20:20" s="566" customFormat="1">
      <c r="T16316" s="41"/>
    </row>
    <row r="16317" spans="20:20" s="566" customFormat="1">
      <c r="T16317" s="41"/>
    </row>
    <row r="16318" spans="20:20" s="566" customFormat="1">
      <c r="T16318" s="41"/>
    </row>
    <row r="16319" spans="20:20" s="566" customFormat="1">
      <c r="T16319" s="41"/>
    </row>
    <row r="16320" spans="20:20" s="566" customFormat="1">
      <c r="T16320" s="41"/>
    </row>
    <row r="16321" spans="20:20" s="566" customFormat="1">
      <c r="T16321" s="41"/>
    </row>
    <row r="16322" spans="20:20" s="566" customFormat="1">
      <c r="T16322" s="41"/>
    </row>
    <row r="16323" spans="20:20" s="566" customFormat="1">
      <c r="T16323" s="41"/>
    </row>
    <row r="16324" spans="20:20" s="566" customFormat="1">
      <c r="T16324" s="41"/>
    </row>
    <row r="16325" spans="20:20" s="566" customFormat="1">
      <c r="T16325" s="41"/>
    </row>
    <row r="16326" spans="20:20" s="566" customFormat="1">
      <c r="T16326" s="41"/>
    </row>
    <row r="16327" spans="20:20" s="566" customFormat="1">
      <c r="T16327" s="41"/>
    </row>
    <row r="16328" spans="20:20" s="566" customFormat="1">
      <c r="T16328" s="41"/>
    </row>
    <row r="16329" spans="20:20" s="566" customFormat="1">
      <c r="T16329" s="41"/>
    </row>
    <row r="16330" spans="20:20" s="566" customFormat="1">
      <c r="T16330" s="41"/>
    </row>
    <row r="16331" spans="20:20" s="566" customFormat="1">
      <c r="T16331" s="41"/>
    </row>
    <row r="16332" spans="20:20" s="566" customFormat="1">
      <c r="T16332" s="41"/>
    </row>
    <row r="16333" spans="20:20" s="566" customFormat="1">
      <c r="T16333" s="41"/>
    </row>
    <row r="16334" spans="20:20" s="566" customFormat="1">
      <c r="T16334" s="41"/>
    </row>
    <row r="16335" spans="20:20" s="566" customFormat="1">
      <c r="T16335" s="41"/>
    </row>
    <row r="16336" spans="20:20" s="566" customFormat="1">
      <c r="T16336" s="41"/>
    </row>
    <row r="16337" spans="20:20" s="566" customFormat="1">
      <c r="T16337" s="41"/>
    </row>
    <row r="16338" spans="20:20" s="566" customFormat="1">
      <c r="T16338" s="41"/>
    </row>
    <row r="16339" spans="20:20" s="566" customFormat="1">
      <c r="T16339" s="41"/>
    </row>
    <row r="16340" spans="20:20" s="566" customFormat="1">
      <c r="T16340" s="41"/>
    </row>
    <row r="16341" spans="20:20" s="566" customFormat="1">
      <c r="T16341" s="41"/>
    </row>
    <row r="16342" spans="20:20" s="566" customFormat="1">
      <c r="T16342" s="41"/>
    </row>
    <row r="16343" spans="20:20" s="566" customFormat="1">
      <c r="T16343" s="41"/>
    </row>
    <row r="16344" spans="20:20" s="566" customFormat="1">
      <c r="T16344" s="41"/>
    </row>
    <row r="16345" spans="20:20" s="566" customFormat="1">
      <c r="T16345" s="41"/>
    </row>
    <row r="16346" spans="20:20" s="566" customFormat="1">
      <c r="T16346" s="41"/>
    </row>
    <row r="16347" spans="20:20" s="566" customFormat="1">
      <c r="T16347" s="41"/>
    </row>
    <row r="16348" spans="20:20" s="566" customFormat="1">
      <c r="T16348" s="41"/>
    </row>
    <row r="16349" spans="20:20" s="566" customFormat="1">
      <c r="T16349" s="41"/>
    </row>
    <row r="16350" spans="20:20" s="566" customFormat="1">
      <c r="T16350" s="41"/>
    </row>
    <row r="16351" spans="20:20" s="566" customFormat="1">
      <c r="T16351" s="41"/>
    </row>
    <row r="16352" spans="20:20" s="566" customFormat="1">
      <c r="T16352" s="41"/>
    </row>
    <row r="16353" spans="20:20" s="566" customFormat="1">
      <c r="T16353" s="41"/>
    </row>
    <row r="16354" spans="20:20" s="566" customFormat="1">
      <c r="T16354" s="41"/>
    </row>
    <row r="16355" spans="20:20" s="566" customFormat="1">
      <c r="T16355" s="41"/>
    </row>
    <row r="16356" spans="20:20" s="566" customFormat="1">
      <c r="T16356" s="41"/>
    </row>
    <row r="16357" spans="20:20" s="566" customFormat="1">
      <c r="T16357" s="41"/>
    </row>
    <row r="16358" spans="20:20" s="566" customFormat="1">
      <c r="T16358" s="41"/>
    </row>
    <row r="16359" spans="20:20" s="566" customFormat="1">
      <c r="T16359" s="41"/>
    </row>
    <row r="16360" spans="20:20" s="566" customFormat="1">
      <c r="T16360" s="41"/>
    </row>
    <row r="16361" spans="20:20" s="566" customFormat="1">
      <c r="T16361" s="41"/>
    </row>
    <row r="16362" spans="20:20" s="566" customFormat="1">
      <c r="T16362" s="41"/>
    </row>
    <row r="16363" spans="20:20" s="566" customFormat="1">
      <c r="T16363" s="41"/>
    </row>
    <row r="16364" spans="20:20" s="566" customFormat="1">
      <c r="T16364" s="41"/>
    </row>
    <row r="16365" spans="20:20" s="566" customFormat="1">
      <c r="T16365" s="41"/>
    </row>
    <row r="16366" spans="20:20" s="566" customFormat="1">
      <c r="T16366" s="41"/>
    </row>
    <row r="16367" spans="20:20" s="566" customFormat="1">
      <c r="T16367" s="41"/>
    </row>
    <row r="16368" spans="20:20" s="566" customFormat="1">
      <c r="T16368" s="41"/>
    </row>
    <row r="16369" spans="20:20" s="566" customFormat="1">
      <c r="T16369" s="41"/>
    </row>
    <row r="16370" spans="20:20" s="566" customFormat="1">
      <c r="T16370" s="41"/>
    </row>
    <row r="16371" spans="20:20" s="566" customFormat="1">
      <c r="T16371" s="41"/>
    </row>
    <row r="16372" spans="20:20" s="566" customFormat="1">
      <c r="T16372" s="41"/>
    </row>
    <row r="16373" spans="20:20" s="566" customFormat="1">
      <c r="T16373" s="41"/>
    </row>
    <row r="16374" spans="20:20" s="566" customFormat="1">
      <c r="T16374" s="41"/>
    </row>
    <row r="16375" spans="20:20" s="566" customFormat="1">
      <c r="T16375" s="41"/>
    </row>
    <row r="16376" spans="20:20" s="566" customFormat="1">
      <c r="T16376" s="41"/>
    </row>
    <row r="16377" spans="20:20" s="566" customFormat="1">
      <c r="T16377" s="41"/>
    </row>
    <row r="16378" spans="20:20" s="566" customFormat="1">
      <c r="T16378" s="41"/>
    </row>
    <row r="16379" spans="20:20" s="566" customFormat="1">
      <c r="T16379" s="41"/>
    </row>
    <row r="16380" spans="20:20" s="566" customFormat="1">
      <c r="T16380" s="41"/>
    </row>
    <row r="16381" spans="20:20" s="566" customFormat="1">
      <c r="T16381" s="41"/>
    </row>
    <row r="16382" spans="20:20" s="566" customFormat="1">
      <c r="T16382" s="41"/>
    </row>
    <row r="16383" spans="20:20" s="566" customFormat="1">
      <c r="T16383" s="41"/>
    </row>
    <row r="16384" spans="20:20" s="566" customFormat="1">
      <c r="T16384" s="41"/>
    </row>
    <row r="16385" spans="20:20" s="566" customFormat="1">
      <c r="T16385" s="41"/>
    </row>
    <row r="16386" spans="20:20" s="566" customFormat="1">
      <c r="T16386" s="41"/>
    </row>
    <row r="16387" spans="20:20" s="566" customFormat="1">
      <c r="T16387" s="41"/>
    </row>
    <row r="16388" spans="20:20" s="566" customFormat="1">
      <c r="T16388" s="41"/>
    </row>
    <row r="16389" spans="20:20" s="566" customFormat="1">
      <c r="T16389" s="41"/>
    </row>
    <row r="16390" spans="20:20" s="566" customFormat="1">
      <c r="T16390" s="41"/>
    </row>
    <row r="16391" spans="20:20" s="566" customFormat="1">
      <c r="T16391" s="41"/>
    </row>
    <row r="16392" spans="20:20" s="566" customFormat="1">
      <c r="T16392" s="41"/>
    </row>
    <row r="16393" spans="20:20" s="566" customFormat="1">
      <c r="T16393" s="41"/>
    </row>
    <row r="16394" spans="20:20" s="566" customFormat="1">
      <c r="T16394" s="41"/>
    </row>
    <row r="16395" spans="20:20" s="566" customFormat="1">
      <c r="T16395" s="41"/>
    </row>
    <row r="16396" spans="20:20" s="566" customFormat="1">
      <c r="T16396" s="41"/>
    </row>
    <row r="16397" spans="20:20" s="566" customFormat="1">
      <c r="T16397" s="41"/>
    </row>
    <row r="16398" spans="20:20" s="566" customFormat="1">
      <c r="T16398" s="41"/>
    </row>
    <row r="16399" spans="20:20" s="566" customFormat="1">
      <c r="T16399" s="41"/>
    </row>
    <row r="16400" spans="20:20" s="566" customFormat="1">
      <c r="T16400" s="41"/>
    </row>
    <row r="16401" spans="20:20" s="566" customFormat="1">
      <c r="T16401" s="41"/>
    </row>
    <row r="16402" spans="20:20" s="566" customFormat="1">
      <c r="T16402" s="41"/>
    </row>
    <row r="16403" spans="20:20" s="566" customFormat="1">
      <c r="T16403" s="41"/>
    </row>
    <row r="16404" spans="20:20" s="566" customFormat="1">
      <c r="T16404" s="41"/>
    </row>
    <row r="16405" spans="20:20" s="566" customFormat="1">
      <c r="T16405" s="41"/>
    </row>
    <row r="16406" spans="20:20" s="566" customFormat="1">
      <c r="T16406" s="41"/>
    </row>
    <row r="16407" spans="20:20" s="566" customFormat="1">
      <c r="T16407" s="41"/>
    </row>
    <row r="16408" spans="20:20" s="566" customFormat="1">
      <c r="T16408" s="41"/>
    </row>
    <row r="16409" spans="20:20" s="566" customFormat="1">
      <c r="T16409" s="41"/>
    </row>
    <row r="16410" spans="20:20" s="566" customFormat="1">
      <c r="T16410" s="41"/>
    </row>
    <row r="16411" spans="20:20" s="566" customFormat="1">
      <c r="T16411" s="41"/>
    </row>
    <row r="16412" spans="20:20" s="566" customFormat="1">
      <c r="T16412" s="41"/>
    </row>
    <row r="16413" spans="20:20" s="566" customFormat="1">
      <c r="T16413" s="41"/>
    </row>
    <row r="16414" spans="20:20" s="566" customFormat="1">
      <c r="T16414" s="41"/>
    </row>
    <row r="16415" spans="20:20" s="566" customFormat="1">
      <c r="T16415" s="41"/>
    </row>
    <row r="16416" spans="20:20" s="566" customFormat="1">
      <c r="T16416" s="41"/>
    </row>
    <row r="16417" spans="20:20" s="566" customFormat="1">
      <c r="T16417" s="41"/>
    </row>
    <row r="16418" spans="20:20" s="566" customFormat="1">
      <c r="T16418" s="41"/>
    </row>
    <row r="16419" spans="20:20" s="566" customFormat="1">
      <c r="T16419" s="41"/>
    </row>
    <row r="16420" spans="20:20" s="566" customFormat="1">
      <c r="T16420" s="41"/>
    </row>
    <row r="16421" spans="20:20" s="566" customFormat="1">
      <c r="T16421" s="41"/>
    </row>
    <row r="16422" spans="20:20" s="566" customFormat="1">
      <c r="T16422" s="41"/>
    </row>
    <row r="16423" spans="20:20" s="566" customFormat="1">
      <c r="T16423" s="41"/>
    </row>
    <row r="16424" spans="20:20" s="566" customFormat="1">
      <c r="T16424" s="41"/>
    </row>
    <row r="16425" spans="20:20" s="566" customFormat="1">
      <c r="T16425" s="41"/>
    </row>
    <row r="16426" spans="20:20" s="566" customFormat="1">
      <c r="T16426" s="41"/>
    </row>
    <row r="16427" spans="20:20" s="566" customFormat="1">
      <c r="T16427" s="41"/>
    </row>
    <row r="16428" spans="20:20" s="566" customFormat="1">
      <c r="T16428" s="41"/>
    </row>
    <row r="16429" spans="20:20" s="566" customFormat="1">
      <c r="T16429" s="41"/>
    </row>
    <row r="16430" spans="20:20" s="566" customFormat="1">
      <c r="T16430" s="41"/>
    </row>
    <row r="16431" spans="20:20" s="566" customFormat="1">
      <c r="T16431" s="41"/>
    </row>
    <row r="16432" spans="20:20" s="566" customFormat="1">
      <c r="T16432" s="41"/>
    </row>
    <row r="16433" spans="20:20" s="566" customFormat="1">
      <c r="T16433" s="41"/>
    </row>
    <row r="16434" spans="20:20" s="566" customFormat="1">
      <c r="T16434" s="41"/>
    </row>
    <row r="16435" spans="20:20" s="566" customFormat="1">
      <c r="T16435" s="41"/>
    </row>
    <row r="16436" spans="20:20" s="566" customFormat="1">
      <c r="T16436" s="41"/>
    </row>
    <row r="16437" spans="20:20" s="566" customFormat="1">
      <c r="T16437" s="41"/>
    </row>
    <row r="16438" spans="20:20" s="566" customFormat="1">
      <c r="T16438" s="41"/>
    </row>
    <row r="16439" spans="20:20" s="566" customFormat="1">
      <c r="T16439" s="41"/>
    </row>
    <row r="16440" spans="20:20" s="566" customFormat="1">
      <c r="T16440" s="41"/>
    </row>
    <row r="16441" spans="20:20" s="566" customFormat="1">
      <c r="T16441" s="41"/>
    </row>
    <row r="16442" spans="20:20" s="566" customFormat="1">
      <c r="T16442" s="41"/>
    </row>
    <row r="16443" spans="20:20" s="566" customFormat="1">
      <c r="T16443" s="41"/>
    </row>
    <row r="16444" spans="20:20" s="566" customFormat="1">
      <c r="T16444" s="41"/>
    </row>
    <row r="16445" spans="20:20" s="566" customFormat="1">
      <c r="T16445" s="41"/>
    </row>
    <row r="16446" spans="20:20" s="566" customFormat="1">
      <c r="T16446" s="41"/>
    </row>
    <row r="16447" spans="20:20" s="566" customFormat="1">
      <c r="T16447" s="41"/>
    </row>
    <row r="16448" spans="20:20" s="566" customFormat="1">
      <c r="T16448" s="41"/>
    </row>
    <row r="16449" spans="20:20" s="566" customFormat="1">
      <c r="T16449" s="41"/>
    </row>
    <row r="16450" spans="20:20" s="566" customFormat="1">
      <c r="T16450" s="41"/>
    </row>
    <row r="16451" spans="20:20" s="566" customFormat="1">
      <c r="T16451" s="41"/>
    </row>
    <row r="16452" spans="20:20" s="566" customFormat="1">
      <c r="T16452" s="41"/>
    </row>
    <row r="16453" spans="20:20" s="566" customFormat="1">
      <c r="T16453" s="41"/>
    </row>
    <row r="16454" spans="20:20" s="566" customFormat="1">
      <c r="T16454" s="41"/>
    </row>
    <row r="16455" spans="20:20" s="566" customFormat="1">
      <c r="T16455" s="41"/>
    </row>
    <row r="16456" spans="20:20" s="566" customFormat="1">
      <c r="T16456" s="41"/>
    </row>
    <row r="16457" spans="20:20" s="566" customFormat="1">
      <c r="T16457" s="41"/>
    </row>
    <row r="16458" spans="20:20" s="566" customFormat="1">
      <c r="T16458" s="41"/>
    </row>
    <row r="16459" spans="20:20" s="566" customFormat="1">
      <c r="T16459" s="41"/>
    </row>
    <row r="16460" spans="20:20" s="566" customFormat="1">
      <c r="T16460" s="41"/>
    </row>
    <row r="16461" spans="20:20" s="566" customFormat="1">
      <c r="T16461" s="41"/>
    </row>
    <row r="16462" spans="20:20" s="566" customFormat="1">
      <c r="T16462" s="41"/>
    </row>
    <row r="16463" spans="20:20" s="566" customFormat="1">
      <c r="T16463" s="41"/>
    </row>
    <row r="16464" spans="20:20" s="566" customFormat="1">
      <c r="T16464" s="41"/>
    </row>
    <row r="16465" spans="20:20" s="566" customFormat="1">
      <c r="T16465" s="41"/>
    </row>
    <row r="16466" spans="20:20" s="566" customFormat="1">
      <c r="T16466" s="41"/>
    </row>
    <row r="16467" spans="20:20" s="566" customFormat="1">
      <c r="T16467" s="41"/>
    </row>
    <row r="16468" spans="20:20" s="566" customFormat="1">
      <c r="T16468" s="41"/>
    </row>
    <row r="16469" spans="20:20" s="566" customFormat="1">
      <c r="T16469" s="41"/>
    </row>
    <row r="16470" spans="20:20" s="566" customFormat="1">
      <c r="T16470" s="41"/>
    </row>
    <row r="16471" spans="20:20" s="566" customFormat="1">
      <c r="T16471" s="41"/>
    </row>
    <row r="16472" spans="20:20" s="566" customFormat="1">
      <c r="T16472" s="41"/>
    </row>
    <row r="16473" spans="20:20" s="566" customFormat="1">
      <c r="T16473" s="41"/>
    </row>
    <row r="16474" spans="20:20" s="566" customFormat="1">
      <c r="T16474" s="41"/>
    </row>
    <row r="16475" spans="20:20" s="566" customFormat="1">
      <c r="T16475" s="41"/>
    </row>
    <row r="16476" spans="20:20" s="566" customFormat="1">
      <c r="T16476" s="41"/>
    </row>
    <row r="16477" spans="20:20" s="566" customFormat="1">
      <c r="T16477" s="41"/>
    </row>
    <row r="16478" spans="20:20" s="566" customFormat="1">
      <c r="T16478" s="41"/>
    </row>
    <row r="16479" spans="20:20" s="566" customFormat="1">
      <c r="T16479" s="41"/>
    </row>
    <row r="16480" spans="20:20" s="566" customFormat="1">
      <c r="T16480" s="41"/>
    </row>
    <row r="16481" spans="20:20" s="566" customFormat="1">
      <c r="T16481" s="41"/>
    </row>
    <row r="16482" spans="20:20" s="566" customFormat="1">
      <c r="T16482" s="41"/>
    </row>
    <row r="16483" spans="20:20" s="566" customFormat="1">
      <c r="T16483" s="41"/>
    </row>
    <row r="16484" spans="20:20" s="566" customFormat="1">
      <c r="T16484" s="41"/>
    </row>
    <row r="16485" spans="20:20" s="566" customFormat="1">
      <c r="T16485" s="41"/>
    </row>
    <row r="16486" spans="20:20" s="566" customFormat="1">
      <c r="T16486" s="41"/>
    </row>
    <row r="16487" spans="20:20" s="566" customFormat="1">
      <c r="T16487" s="41"/>
    </row>
    <row r="16488" spans="20:20" s="566" customFormat="1">
      <c r="T16488" s="41"/>
    </row>
    <row r="16489" spans="20:20" s="566" customFormat="1">
      <c r="T16489" s="41"/>
    </row>
    <row r="16490" spans="20:20" s="566" customFormat="1">
      <c r="T16490" s="41"/>
    </row>
    <row r="16491" spans="20:20" s="566" customFormat="1">
      <c r="T16491" s="41"/>
    </row>
    <row r="16492" spans="20:20" s="566" customFormat="1">
      <c r="T16492" s="41"/>
    </row>
    <row r="16493" spans="20:20" s="566" customFormat="1">
      <c r="T16493" s="41"/>
    </row>
    <row r="16494" spans="20:20" s="566" customFormat="1">
      <c r="T16494" s="41"/>
    </row>
    <row r="16495" spans="20:20" s="566" customFormat="1">
      <c r="T16495" s="41"/>
    </row>
    <row r="16496" spans="20:20" s="566" customFormat="1">
      <c r="T16496" s="41"/>
    </row>
    <row r="16497" spans="20:20" s="566" customFormat="1">
      <c r="T16497" s="41"/>
    </row>
    <row r="16498" spans="20:20" s="566" customFormat="1">
      <c r="T16498" s="41"/>
    </row>
    <row r="16499" spans="20:20" s="566" customFormat="1">
      <c r="T16499" s="41"/>
    </row>
    <row r="16500" spans="20:20" s="566" customFormat="1">
      <c r="T16500" s="41"/>
    </row>
    <row r="16501" spans="20:20" s="566" customFormat="1">
      <c r="T16501" s="41"/>
    </row>
    <row r="16502" spans="20:20" s="566" customFormat="1">
      <c r="T16502" s="41"/>
    </row>
    <row r="16503" spans="20:20" s="566" customFormat="1">
      <c r="T16503" s="41"/>
    </row>
    <row r="16504" spans="20:20" s="566" customFormat="1">
      <c r="T16504" s="41"/>
    </row>
    <row r="16505" spans="20:20" s="566" customFormat="1">
      <c r="T16505" s="41"/>
    </row>
    <row r="16506" spans="20:20" s="566" customFormat="1">
      <c r="T16506" s="41"/>
    </row>
    <row r="16507" spans="20:20" s="566" customFormat="1">
      <c r="T16507" s="41"/>
    </row>
    <row r="16508" spans="20:20" s="566" customFormat="1">
      <c r="T16508" s="41"/>
    </row>
    <row r="16509" spans="20:20" s="566" customFormat="1">
      <c r="T16509" s="41"/>
    </row>
    <row r="16510" spans="20:20" s="566" customFormat="1">
      <c r="T16510" s="41"/>
    </row>
    <row r="16511" spans="20:20" s="566" customFormat="1">
      <c r="T16511" s="41"/>
    </row>
    <row r="16512" spans="20:20" s="566" customFormat="1">
      <c r="T16512" s="41"/>
    </row>
    <row r="16513" spans="20:20" s="566" customFormat="1">
      <c r="T16513" s="41"/>
    </row>
    <row r="16514" spans="20:20" s="566" customFormat="1">
      <c r="T16514" s="41"/>
    </row>
    <row r="16515" spans="20:20" s="566" customFormat="1">
      <c r="T16515" s="41"/>
    </row>
    <row r="16516" spans="20:20" s="566" customFormat="1">
      <c r="T16516" s="41"/>
    </row>
    <row r="16517" spans="20:20" s="566" customFormat="1">
      <c r="T16517" s="41"/>
    </row>
    <row r="16518" spans="20:20" s="566" customFormat="1">
      <c r="T16518" s="41"/>
    </row>
    <row r="16519" spans="20:20" s="566" customFormat="1">
      <c r="T16519" s="41"/>
    </row>
    <row r="16520" spans="20:20" s="566" customFormat="1">
      <c r="T16520" s="41"/>
    </row>
    <row r="16521" spans="20:20" s="566" customFormat="1">
      <c r="T16521" s="41"/>
    </row>
    <row r="16522" spans="20:20" s="566" customFormat="1">
      <c r="T16522" s="41"/>
    </row>
    <row r="16523" spans="20:20" s="566" customFormat="1">
      <c r="T16523" s="41"/>
    </row>
    <row r="16524" spans="20:20" s="566" customFormat="1">
      <c r="T16524" s="41"/>
    </row>
    <row r="16525" spans="20:20" s="566" customFormat="1">
      <c r="T16525" s="41"/>
    </row>
    <row r="16526" spans="20:20" s="566" customFormat="1">
      <c r="T16526" s="41"/>
    </row>
    <row r="16527" spans="20:20" s="566" customFormat="1">
      <c r="T16527" s="41"/>
    </row>
    <row r="16528" spans="20:20" s="566" customFormat="1">
      <c r="T16528" s="41"/>
    </row>
    <row r="16529" spans="20:20" s="566" customFormat="1">
      <c r="T16529" s="41"/>
    </row>
    <row r="16530" spans="20:20" s="566" customFormat="1">
      <c r="T16530" s="41"/>
    </row>
    <row r="16531" spans="20:20" s="566" customFormat="1">
      <c r="T16531" s="41"/>
    </row>
    <row r="16532" spans="20:20" s="566" customFormat="1">
      <c r="T16532" s="41"/>
    </row>
    <row r="16533" spans="20:20" s="566" customFormat="1">
      <c r="T16533" s="41"/>
    </row>
    <row r="16534" spans="20:20" s="566" customFormat="1">
      <c r="T16534" s="41"/>
    </row>
    <row r="16535" spans="20:20" s="566" customFormat="1">
      <c r="T16535" s="41"/>
    </row>
    <row r="16536" spans="20:20" s="566" customFormat="1">
      <c r="T16536" s="41"/>
    </row>
    <row r="16537" spans="20:20" s="566" customFormat="1">
      <c r="T16537" s="41"/>
    </row>
    <row r="16538" spans="20:20" s="566" customFormat="1">
      <c r="T16538" s="41"/>
    </row>
    <row r="16539" spans="20:20" s="566" customFormat="1">
      <c r="T16539" s="41"/>
    </row>
    <row r="16540" spans="20:20" s="566" customFormat="1">
      <c r="T16540" s="41"/>
    </row>
    <row r="16541" spans="20:20" s="566" customFormat="1">
      <c r="T16541" s="41"/>
    </row>
    <row r="16542" spans="20:20" s="566" customFormat="1">
      <c r="T16542" s="41"/>
    </row>
    <row r="16543" spans="20:20" s="566" customFormat="1">
      <c r="T16543" s="41"/>
    </row>
    <row r="16544" spans="20:20" s="566" customFormat="1">
      <c r="T16544" s="41"/>
    </row>
    <row r="16545" spans="20:20" s="566" customFormat="1">
      <c r="T16545" s="41"/>
    </row>
    <row r="16546" spans="20:20" s="566" customFormat="1">
      <c r="T16546" s="41"/>
    </row>
    <row r="16547" spans="20:20" s="566" customFormat="1">
      <c r="T16547" s="41"/>
    </row>
    <row r="16548" spans="20:20" s="566" customFormat="1">
      <c r="T16548" s="41"/>
    </row>
    <row r="16549" spans="20:20" s="566" customFormat="1">
      <c r="T16549" s="41"/>
    </row>
    <row r="16550" spans="20:20" s="566" customFormat="1">
      <c r="T16550" s="41"/>
    </row>
    <row r="16551" spans="20:20" s="566" customFormat="1">
      <c r="T16551" s="41"/>
    </row>
    <row r="16552" spans="20:20" s="566" customFormat="1">
      <c r="T16552" s="41"/>
    </row>
    <row r="16553" spans="20:20" s="566" customFormat="1">
      <c r="T16553" s="41"/>
    </row>
    <row r="16554" spans="20:20" s="566" customFormat="1">
      <c r="T16554" s="41"/>
    </row>
    <row r="16555" spans="20:20" s="566" customFormat="1">
      <c r="T16555" s="41"/>
    </row>
    <row r="16556" spans="20:20" s="566" customFormat="1">
      <c r="T16556" s="41"/>
    </row>
    <row r="16557" spans="20:20" s="566" customFormat="1">
      <c r="T16557" s="41"/>
    </row>
    <row r="16558" spans="20:20" s="566" customFormat="1">
      <c r="T16558" s="41"/>
    </row>
    <row r="16559" spans="20:20" s="566" customFormat="1">
      <c r="T16559" s="41"/>
    </row>
    <row r="16560" spans="20:20" s="566" customFormat="1">
      <c r="T16560" s="41"/>
    </row>
    <row r="16561" spans="20:20" s="566" customFormat="1">
      <c r="T16561" s="41"/>
    </row>
    <row r="16562" spans="20:20" s="566" customFormat="1">
      <c r="T16562" s="41"/>
    </row>
    <row r="16563" spans="20:20" s="566" customFormat="1">
      <c r="T16563" s="41"/>
    </row>
    <row r="16564" spans="20:20" s="566" customFormat="1">
      <c r="T16564" s="41"/>
    </row>
    <row r="16565" spans="20:20" s="566" customFormat="1">
      <c r="T16565" s="41"/>
    </row>
    <row r="16566" spans="20:20" s="566" customFormat="1">
      <c r="T16566" s="41"/>
    </row>
    <row r="16567" spans="20:20" s="566" customFormat="1">
      <c r="T16567" s="41"/>
    </row>
    <row r="16568" spans="20:20" s="566" customFormat="1">
      <c r="T16568" s="41"/>
    </row>
    <row r="16569" spans="20:20" s="566" customFormat="1">
      <c r="T16569" s="41"/>
    </row>
    <row r="16570" spans="20:20" s="566" customFormat="1">
      <c r="T16570" s="41"/>
    </row>
    <row r="16571" spans="20:20" s="566" customFormat="1">
      <c r="T16571" s="41"/>
    </row>
    <row r="16572" spans="20:20" s="566" customFormat="1">
      <c r="T16572" s="41"/>
    </row>
    <row r="16573" spans="20:20" s="566" customFormat="1">
      <c r="T16573" s="41"/>
    </row>
    <row r="16574" spans="20:20" s="566" customFormat="1">
      <c r="T16574" s="41"/>
    </row>
    <row r="16575" spans="20:20" s="566" customFormat="1">
      <c r="T16575" s="41"/>
    </row>
    <row r="16576" spans="20:20" s="566" customFormat="1">
      <c r="T16576" s="41"/>
    </row>
    <row r="16577" spans="20:20" s="566" customFormat="1">
      <c r="T16577" s="41"/>
    </row>
    <row r="16578" spans="20:20" s="566" customFormat="1">
      <c r="T16578" s="41"/>
    </row>
    <row r="16579" spans="20:20" s="566" customFormat="1">
      <c r="T16579" s="41"/>
    </row>
    <row r="16580" spans="20:20" s="566" customFormat="1">
      <c r="T16580" s="41"/>
    </row>
    <row r="16581" spans="20:20" s="566" customFormat="1">
      <c r="T16581" s="41"/>
    </row>
    <row r="16582" spans="20:20" s="566" customFormat="1">
      <c r="T16582" s="41"/>
    </row>
    <row r="16583" spans="20:20" s="566" customFormat="1">
      <c r="T16583" s="41"/>
    </row>
    <row r="16584" spans="20:20" s="566" customFormat="1">
      <c r="T16584" s="41"/>
    </row>
    <row r="16585" spans="20:20" s="566" customFormat="1">
      <c r="T16585" s="41"/>
    </row>
    <row r="16586" spans="20:20" s="566" customFormat="1">
      <c r="T16586" s="41"/>
    </row>
    <row r="16587" spans="20:20" s="566" customFormat="1">
      <c r="T16587" s="41"/>
    </row>
    <row r="16588" spans="20:20" s="566" customFormat="1">
      <c r="T16588" s="41"/>
    </row>
    <row r="16589" spans="20:20" s="566" customFormat="1">
      <c r="T16589" s="41"/>
    </row>
    <row r="16590" spans="20:20" s="566" customFormat="1">
      <c r="T16590" s="41"/>
    </row>
    <row r="16591" spans="20:20" s="566" customFormat="1">
      <c r="T16591" s="41"/>
    </row>
    <row r="16592" spans="20:20" s="566" customFormat="1">
      <c r="T16592" s="41"/>
    </row>
    <row r="16593" spans="20:20" s="566" customFormat="1">
      <c r="T16593" s="41"/>
    </row>
    <row r="16594" spans="20:20" s="566" customFormat="1">
      <c r="T16594" s="41"/>
    </row>
    <row r="16595" spans="20:20" s="566" customFormat="1">
      <c r="T16595" s="41"/>
    </row>
    <row r="16596" spans="20:20" s="566" customFormat="1">
      <c r="T16596" s="41"/>
    </row>
    <row r="16597" spans="20:20" s="566" customFormat="1">
      <c r="T16597" s="41"/>
    </row>
    <row r="16598" spans="20:20" s="566" customFormat="1">
      <c r="T16598" s="41"/>
    </row>
    <row r="16599" spans="20:20" s="566" customFormat="1">
      <c r="T16599" s="41"/>
    </row>
    <row r="16600" spans="20:20" s="566" customFormat="1">
      <c r="T16600" s="41"/>
    </row>
    <row r="16601" spans="20:20" s="566" customFormat="1">
      <c r="T16601" s="41"/>
    </row>
    <row r="16602" spans="20:20" s="566" customFormat="1">
      <c r="T16602" s="41"/>
    </row>
    <row r="16603" spans="20:20" s="566" customFormat="1">
      <c r="T16603" s="41"/>
    </row>
    <row r="16604" spans="20:20" s="566" customFormat="1">
      <c r="T16604" s="41"/>
    </row>
    <row r="16605" spans="20:20" s="566" customFormat="1">
      <c r="T16605" s="41"/>
    </row>
    <row r="16606" spans="20:20" s="566" customFormat="1">
      <c r="T16606" s="41"/>
    </row>
    <row r="16607" spans="20:20" s="566" customFormat="1">
      <c r="T16607" s="41"/>
    </row>
    <row r="16608" spans="20:20" s="566" customFormat="1">
      <c r="T16608" s="41"/>
    </row>
    <row r="16609" spans="20:20" s="566" customFormat="1">
      <c r="T16609" s="41"/>
    </row>
    <row r="16610" spans="20:20" s="566" customFormat="1">
      <c r="T16610" s="41"/>
    </row>
    <row r="16611" spans="20:20" s="566" customFormat="1">
      <c r="T16611" s="41"/>
    </row>
    <row r="16612" spans="20:20" s="566" customFormat="1">
      <c r="T16612" s="41"/>
    </row>
    <row r="16613" spans="20:20" s="566" customFormat="1">
      <c r="T16613" s="41"/>
    </row>
    <row r="16614" spans="20:20" s="566" customFormat="1">
      <c r="T16614" s="41"/>
    </row>
    <row r="16615" spans="20:20" s="566" customFormat="1">
      <c r="T16615" s="41"/>
    </row>
    <row r="16616" spans="20:20" s="566" customFormat="1">
      <c r="T16616" s="41"/>
    </row>
    <row r="16617" spans="20:20" s="566" customFormat="1">
      <c r="T16617" s="41"/>
    </row>
    <row r="16618" spans="20:20" s="566" customFormat="1">
      <c r="T16618" s="41"/>
    </row>
    <row r="16619" spans="20:20" s="566" customFormat="1">
      <c r="T16619" s="41"/>
    </row>
    <row r="16620" spans="20:20" s="566" customFormat="1">
      <c r="T16620" s="41"/>
    </row>
    <row r="16621" spans="20:20" s="566" customFormat="1">
      <c r="T16621" s="41"/>
    </row>
    <row r="16622" spans="20:20" s="566" customFormat="1">
      <c r="T16622" s="41"/>
    </row>
    <row r="16623" spans="20:20" s="566" customFormat="1">
      <c r="T16623" s="41"/>
    </row>
    <row r="16624" spans="20:20" s="566" customFormat="1">
      <c r="T16624" s="41"/>
    </row>
    <row r="16625" spans="20:20" s="566" customFormat="1">
      <c r="T16625" s="41"/>
    </row>
    <row r="16626" spans="20:20" s="566" customFormat="1">
      <c r="T16626" s="41"/>
    </row>
    <row r="16627" spans="20:20" s="566" customFormat="1">
      <c r="T16627" s="41"/>
    </row>
    <row r="16628" spans="20:20" s="566" customFormat="1">
      <c r="T16628" s="41"/>
    </row>
    <row r="16629" spans="20:20" s="566" customFormat="1">
      <c r="T16629" s="41"/>
    </row>
    <row r="16630" spans="20:20" s="566" customFormat="1">
      <c r="T16630" s="41"/>
    </row>
    <row r="16631" spans="20:20" s="566" customFormat="1">
      <c r="T16631" s="41"/>
    </row>
    <row r="16632" spans="20:20" s="566" customFormat="1">
      <c r="T16632" s="41"/>
    </row>
    <row r="16633" spans="20:20" s="566" customFormat="1">
      <c r="T16633" s="41"/>
    </row>
    <row r="16634" spans="20:20" s="566" customFormat="1">
      <c r="T16634" s="41"/>
    </row>
    <row r="16635" spans="20:20" s="566" customFormat="1">
      <c r="T16635" s="41"/>
    </row>
    <row r="16636" spans="20:20" s="566" customFormat="1">
      <c r="T16636" s="41"/>
    </row>
    <row r="16637" spans="20:20" s="566" customFormat="1">
      <c r="T16637" s="41"/>
    </row>
    <row r="16638" spans="20:20" s="566" customFormat="1">
      <c r="T16638" s="41"/>
    </row>
    <row r="16639" spans="20:20" s="566" customFormat="1">
      <c r="T16639" s="41"/>
    </row>
    <row r="16640" spans="20:20" s="566" customFormat="1">
      <c r="T16640" s="41"/>
    </row>
    <row r="16641" spans="20:20" s="566" customFormat="1">
      <c r="T16641" s="41"/>
    </row>
    <row r="16642" spans="20:20" s="566" customFormat="1">
      <c r="T16642" s="41"/>
    </row>
    <row r="16643" spans="20:20" s="566" customFormat="1">
      <c r="T16643" s="41"/>
    </row>
    <row r="16644" spans="20:20" s="566" customFormat="1">
      <c r="T16644" s="41"/>
    </row>
    <row r="16645" spans="20:20" s="566" customFormat="1">
      <c r="T16645" s="41"/>
    </row>
    <row r="16646" spans="20:20" s="566" customFormat="1">
      <c r="T16646" s="41"/>
    </row>
    <row r="16647" spans="20:20" s="566" customFormat="1">
      <c r="T16647" s="41"/>
    </row>
    <row r="16648" spans="20:20" s="566" customFormat="1">
      <c r="T16648" s="41"/>
    </row>
    <row r="16649" spans="20:20" s="566" customFormat="1">
      <c r="T16649" s="41"/>
    </row>
    <row r="16650" spans="20:20" s="566" customFormat="1">
      <c r="T16650" s="41"/>
    </row>
    <row r="16651" spans="20:20" s="566" customFormat="1">
      <c r="T16651" s="41"/>
    </row>
    <row r="16652" spans="20:20" s="566" customFormat="1">
      <c r="T16652" s="41"/>
    </row>
    <row r="16653" spans="20:20" s="566" customFormat="1">
      <c r="T16653" s="41"/>
    </row>
    <row r="16654" spans="20:20" s="566" customFormat="1">
      <c r="T16654" s="41"/>
    </row>
    <row r="16655" spans="20:20" s="566" customFormat="1">
      <c r="T16655" s="41"/>
    </row>
    <row r="16656" spans="20:20" s="566" customFormat="1">
      <c r="T16656" s="41"/>
    </row>
    <row r="16657" spans="20:20" s="566" customFormat="1">
      <c r="T16657" s="41"/>
    </row>
    <row r="16658" spans="20:20" s="566" customFormat="1">
      <c r="T16658" s="41"/>
    </row>
    <row r="16659" spans="20:20" s="566" customFormat="1">
      <c r="T16659" s="41"/>
    </row>
    <row r="16660" spans="20:20" s="566" customFormat="1">
      <c r="T16660" s="41"/>
    </row>
    <row r="16661" spans="20:20" s="566" customFormat="1">
      <c r="T16661" s="41"/>
    </row>
    <row r="16662" spans="20:20" s="566" customFormat="1">
      <c r="T16662" s="41"/>
    </row>
    <row r="16663" spans="20:20" s="566" customFormat="1">
      <c r="T16663" s="41"/>
    </row>
    <row r="16664" spans="20:20" s="566" customFormat="1">
      <c r="T16664" s="41"/>
    </row>
    <row r="16665" spans="20:20" s="566" customFormat="1">
      <c r="T16665" s="41"/>
    </row>
    <row r="16666" spans="20:20" s="566" customFormat="1">
      <c r="T16666" s="41"/>
    </row>
    <row r="16667" spans="20:20" s="566" customFormat="1">
      <c r="T16667" s="41"/>
    </row>
    <row r="16668" spans="20:20" s="566" customFormat="1">
      <c r="T16668" s="41"/>
    </row>
    <row r="16669" spans="20:20" s="566" customFormat="1">
      <c r="T16669" s="41"/>
    </row>
    <row r="16670" spans="20:20" s="566" customFormat="1">
      <c r="T16670" s="41"/>
    </row>
    <row r="16671" spans="20:20" s="566" customFormat="1">
      <c r="T16671" s="41"/>
    </row>
    <row r="16672" spans="20:20" s="566" customFormat="1">
      <c r="T16672" s="41"/>
    </row>
    <row r="16673" spans="20:20" s="566" customFormat="1">
      <c r="T16673" s="41"/>
    </row>
    <row r="16674" spans="20:20" s="566" customFormat="1">
      <c r="T16674" s="41"/>
    </row>
    <row r="16675" spans="20:20" s="566" customFormat="1">
      <c r="T16675" s="41"/>
    </row>
    <row r="16676" spans="20:20" s="566" customFormat="1">
      <c r="T16676" s="41"/>
    </row>
    <row r="16677" spans="20:20" s="566" customFormat="1">
      <c r="T16677" s="41"/>
    </row>
    <row r="16678" spans="20:20" s="566" customFormat="1">
      <c r="T16678" s="41"/>
    </row>
    <row r="16679" spans="20:20" s="566" customFormat="1">
      <c r="T16679" s="41"/>
    </row>
    <row r="16680" spans="20:20" s="566" customFormat="1">
      <c r="T16680" s="41"/>
    </row>
    <row r="16681" spans="20:20" s="566" customFormat="1">
      <c r="T16681" s="41"/>
    </row>
    <row r="16682" spans="20:20" s="566" customFormat="1">
      <c r="T16682" s="41"/>
    </row>
    <row r="16683" spans="20:20" s="566" customFormat="1">
      <c r="T16683" s="41"/>
    </row>
    <row r="16684" spans="20:20" s="566" customFormat="1">
      <c r="T16684" s="41"/>
    </row>
    <row r="16685" spans="20:20" s="566" customFormat="1">
      <c r="T16685" s="41"/>
    </row>
    <row r="16686" spans="20:20" s="566" customFormat="1">
      <c r="T16686" s="41"/>
    </row>
    <row r="16687" spans="20:20" s="566" customFormat="1">
      <c r="T16687" s="41"/>
    </row>
    <row r="16688" spans="20:20" s="566" customFormat="1">
      <c r="T16688" s="41"/>
    </row>
    <row r="16689" spans="20:20" s="566" customFormat="1">
      <c r="T16689" s="41"/>
    </row>
    <row r="16690" spans="20:20" s="566" customFormat="1">
      <c r="T16690" s="41"/>
    </row>
    <row r="16691" spans="20:20" s="566" customFormat="1">
      <c r="T16691" s="41"/>
    </row>
    <row r="16692" spans="20:20" s="566" customFormat="1">
      <c r="T16692" s="41"/>
    </row>
    <row r="16693" spans="20:20" s="566" customFormat="1">
      <c r="T16693" s="41"/>
    </row>
    <row r="16694" spans="20:20" s="566" customFormat="1">
      <c r="T16694" s="41"/>
    </row>
    <row r="16695" spans="20:20" s="566" customFormat="1">
      <c r="T16695" s="41"/>
    </row>
    <row r="16696" spans="20:20" s="566" customFormat="1">
      <c r="T16696" s="41"/>
    </row>
    <row r="16697" spans="20:20" s="566" customFormat="1">
      <c r="T16697" s="41"/>
    </row>
    <row r="16698" spans="20:20" s="566" customFormat="1">
      <c r="T16698" s="41"/>
    </row>
    <row r="16699" spans="20:20" s="566" customFormat="1">
      <c r="T16699" s="41"/>
    </row>
    <row r="16700" spans="20:20" s="566" customFormat="1">
      <c r="T16700" s="41"/>
    </row>
    <row r="16701" spans="20:20" s="566" customFormat="1">
      <c r="T16701" s="41"/>
    </row>
    <row r="16702" spans="20:20" s="566" customFormat="1">
      <c r="T16702" s="41"/>
    </row>
    <row r="16703" spans="20:20" s="566" customFormat="1">
      <c r="T16703" s="41"/>
    </row>
    <row r="16704" spans="20:20" s="566" customFormat="1">
      <c r="T16704" s="41"/>
    </row>
    <row r="16705" spans="20:20" s="566" customFormat="1">
      <c r="T16705" s="41"/>
    </row>
    <row r="16706" spans="20:20" s="566" customFormat="1">
      <c r="T16706" s="41"/>
    </row>
    <row r="16707" spans="20:20" s="566" customFormat="1">
      <c r="T16707" s="41"/>
    </row>
    <row r="16708" spans="20:20" s="566" customFormat="1">
      <c r="T16708" s="41"/>
    </row>
    <row r="16709" spans="20:20" s="566" customFormat="1">
      <c r="T16709" s="41"/>
    </row>
    <row r="16710" spans="20:20" s="566" customFormat="1">
      <c r="T16710" s="41"/>
    </row>
    <row r="16711" spans="20:20" s="566" customFormat="1">
      <c r="T16711" s="41"/>
    </row>
    <row r="16712" spans="20:20" s="566" customFormat="1">
      <c r="T16712" s="41"/>
    </row>
    <row r="16713" spans="20:20" s="566" customFormat="1">
      <c r="T16713" s="41"/>
    </row>
    <row r="16714" spans="20:20" s="566" customFormat="1">
      <c r="T16714" s="41"/>
    </row>
    <row r="16715" spans="20:20" s="566" customFormat="1">
      <c r="T16715" s="41"/>
    </row>
    <row r="16716" spans="20:20" s="566" customFormat="1">
      <c r="T16716" s="41"/>
    </row>
    <row r="16717" spans="20:20" s="566" customFormat="1">
      <c r="T16717" s="41"/>
    </row>
    <row r="16718" spans="20:20" s="566" customFormat="1">
      <c r="T16718" s="41"/>
    </row>
    <row r="16719" spans="20:20" s="566" customFormat="1">
      <c r="T16719" s="41"/>
    </row>
    <row r="16720" spans="20:20" s="566" customFormat="1">
      <c r="T16720" s="41"/>
    </row>
    <row r="16721" spans="20:20" s="566" customFormat="1">
      <c r="T16721" s="41"/>
    </row>
    <row r="16722" spans="20:20" s="566" customFormat="1">
      <c r="T16722" s="41"/>
    </row>
    <row r="16723" spans="20:20" s="566" customFormat="1">
      <c r="T16723" s="41"/>
    </row>
    <row r="16724" spans="20:20" s="566" customFormat="1">
      <c r="T16724" s="41"/>
    </row>
    <row r="16725" spans="20:20" s="566" customFormat="1">
      <c r="T16725" s="41"/>
    </row>
    <row r="16726" spans="20:20" s="566" customFormat="1">
      <c r="T16726" s="41"/>
    </row>
    <row r="16727" spans="20:20" s="566" customFormat="1">
      <c r="T16727" s="41"/>
    </row>
    <row r="16728" spans="20:20" s="566" customFormat="1">
      <c r="T16728" s="41"/>
    </row>
    <row r="16729" spans="20:20" s="566" customFormat="1">
      <c r="T16729" s="41"/>
    </row>
    <row r="16730" spans="20:20" s="566" customFormat="1">
      <c r="T16730" s="41"/>
    </row>
    <row r="16731" spans="20:20" s="566" customFormat="1">
      <c r="T16731" s="41"/>
    </row>
    <row r="16732" spans="20:20" s="566" customFormat="1">
      <c r="T16732" s="41"/>
    </row>
    <row r="16733" spans="20:20" s="566" customFormat="1">
      <c r="T16733" s="41"/>
    </row>
    <row r="16734" spans="20:20" s="566" customFormat="1">
      <c r="T16734" s="41"/>
    </row>
    <row r="16735" spans="20:20" s="566" customFormat="1">
      <c r="T16735" s="41"/>
    </row>
    <row r="16736" spans="20:20" s="566" customFormat="1">
      <c r="T16736" s="41"/>
    </row>
    <row r="16737" spans="20:20" s="566" customFormat="1">
      <c r="T16737" s="41"/>
    </row>
    <row r="16738" spans="20:20" s="566" customFormat="1">
      <c r="T16738" s="41"/>
    </row>
    <row r="16739" spans="20:20" s="566" customFormat="1">
      <c r="T16739" s="41"/>
    </row>
    <row r="16740" spans="20:20" s="566" customFormat="1">
      <c r="T16740" s="41"/>
    </row>
    <row r="16741" spans="20:20" s="566" customFormat="1">
      <c r="T16741" s="41"/>
    </row>
    <row r="16742" spans="20:20" s="566" customFormat="1">
      <c r="T16742" s="41"/>
    </row>
    <row r="16743" spans="20:20" s="566" customFormat="1">
      <c r="T16743" s="41"/>
    </row>
    <row r="16744" spans="20:20" s="566" customFormat="1">
      <c r="T16744" s="41"/>
    </row>
    <row r="16745" spans="20:20" s="566" customFormat="1">
      <c r="T16745" s="41"/>
    </row>
    <row r="16746" spans="20:20" s="566" customFormat="1">
      <c r="T16746" s="41"/>
    </row>
    <row r="16747" spans="20:20" s="566" customFormat="1">
      <c r="T16747" s="41"/>
    </row>
    <row r="16748" spans="20:20" s="566" customFormat="1">
      <c r="T16748" s="41"/>
    </row>
    <row r="16749" spans="20:20" s="566" customFormat="1">
      <c r="T16749" s="41"/>
    </row>
    <row r="16750" spans="20:20" s="566" customFormat="1">
      <c r="T16750" s="41"/>
    </row>
    <row r="16751" spans="20:20" s="566" customFormat="1">
      <c r="T16751" s="41"/>
    </row>
    <row r="16752" spans="20:20" s="566" customFormat="1">
      <c r="T16752" s="41"/>
    </row>
    <row r="16753" spans="20:20" s="566" customFormat="1">
      <c r="T16753" s="41"/>
    </row>
    <row r="16754" spans="20:20" s="566" customFormat="1">
      <c r="T16754" s="41"/>
    </row>
    <row r="16755" spans="20:20" s="566" customFormat="1">
      <c r="T16755" s="41"/>
    </row>
    <row r="16756" spans="20:20" s="566" customFormat="1">
      <c r="T16756" s="41"/>
    </row>
    <row r="16757" spans="20:20" s="566" customFormat="1">
      <c r="T16757" s="41"/>
    </row>
    <row r="16758" spans="20:20" s="566" customFormat="1">
      <c r="T16758" s="41"/>
    </row>
    <row r="16759" spans="20:20" s="566" customFormat="1">
      <c r="T16759" s="41"/>
    </row>
    <row r="16760" spans="20:20" s="566" customFormat="1">
      <c r="T16760" s="41"/>
    </row>
    <row r="16761" spans="20:20" s="566" customFormat="1">
      <c r="T16761" s="41"/>
    </row>
    <row r="16762" spans="20:20" s="566" customFormat="1">
      <c r="T16762" s="41"/>
    </row>
    <row r="16763" spans="20:20" s="566" customFormat="1">
      <c r="T16763" s="41"/>
    </row>
    <row r="16764" spans="20:20" s="566" customFormat="1">
      <c r="T16764" s="41"/>
    </row>
    <row r="16765" spans="20:20" s="566" customFormat="1">
      <c r="T16765" s="41"/>
    </row>
    <row r="16766" spans="20:20" s="566" customFormat="1">
      <c r="T16766" s="41"/>
    </row>
    <row r="16767" spans="20:20" s="566" customFormat="1">
      <c r="T16767" s="41"/>
    </row>
    <row r="16768" spans="20:20" s="566" customFormat="1">
      <c r="T16768" s="41"/>
    </row>
    <row r="16769" spans="20:20" s="566" customFormat="1">
      <c r="T16769" s="41"/>
    </row>
    <row r="16770" spans="20:20" s="566" customFormat="1">
      <c r="T16770" s="41"/>
    </row>
    <row r="16771" spans="20:20" s="566" customFormat="1">
      <c r="T16771" s="41"/>
    </row>
    <row r="16772" spans="20:20" s="566" customFormat="1">
      <c r="T16772" s="41"/>
    </row>
    <row r="16773" spans="20:20" s="566" customFormat="1">
      <c r="T16773" s="41"/>
    </row>
    <row r="16774" spans="20:20" s="566" customFormat="1">
      <c r="T16774" s="41"/>
    </row>
    <row r="16775" spans="20:20" s="566" customFormat="1">
      <c r="T16775" s="41"/>
    </row>
    <row r="16776" spans="20:20" s="566" customFormat="1">
      <c r="T16776" s="41"/>
    </row>
    <row r="16777" spans="20:20" s="566" customFormat="1">
      <c r="T16777" s="41"/>
    </row>
    <row r="16778" spans="20:20" s="566" customFormat="1">
      <c r="T16778" s="41"/>
    </row>
    <row r="16779" spans="20:20" s="566" customFormat="1">
      <c r="T16779" s="41"/>
    </row>
    <row r="16780" spans="20:20" s="566" customFormat="1">
      <c r="T16780" s="41"/>
    </row>
    <row r="16781" spans="20:20" s="566" customFormat="1">
      <c r="T16781" s="41"/>
    </row>
    <row r="16782" spans="20:20" s="566" customFormat="1">
      <c r="T16782" s="41"/>
    </row>
    <row r="16783" spans="20:20" s="566" customFormat="1">
      <c r="T16783" s="41"/>
    </row>
    <row r="16784" spans="20:20" s="566" customFormat="1">
      <c r="T16784" s="41"/>
    </row>
    <row r="16785" spans="20:20" s="566" customFormat="1">
      <c r="T16785" s="41"/>
    </row>
    <row r="16786" spans="20:20" s="566" customFormat="1">
      <c r="T16786" s="41"/>
    </row>
    <row r="16787" spans="20:20" s="566" customFormat="1">
      <c r="T16787" s="41"/>
    </row>
    <row r="16788" spans="20:20" s="566" customFormat="1">
      <c r="T16788" s="41"/>
    </row>
    <row r="16789" spans="20:20" s="566" customFormat="1">
      <c r="T16789" s="41"/>
    </row>
    <row r="16790" spans="20:20" s="566" customFormat="1">
      <c r="T16790" s="41"/>
    </row>
    <row r="16791" spans="20:20" s="566" customFormat="1">
      <c r="T16791" s="41"/>
    </row>
    <row r="16792" spans="20:20" s="566" customFormat="1">
      <c r="T16792" s="41"/>
    </row>
    <row r="16793" spans="20:20" s="566" customFormat="1">
      <c r="T16793" s="41"/>
    </row>
    <row r="16794" spans="20:20" s="566" customFormat="1">
      <c r="T16794" s="41"/>
    </row>
    <row r="16795" spans="20:20" s="566" customFormat="1">
      <c r="T16795" s="41"/>
    </row>
    <row r="16796" spans="20:20" s="566" customFormat="1">
      <c r="T16796" s="41"/>
    </row>
    <row r="16797" spans="20:20" s="566" customFormat="1">
      <c r="T16797" s="41"/>
    </row>
    <row r="16798" spans="20:20" s="566" customFormat="1">
      <c r="T16798" s="41"/>
    </row>
    <row r="16799" spans="20:20" s="566" customFormat="1">
      <c r="T16799" s="41"/>
    </row>
    <row r="16800" spans="20:20" s="566" customFormat="1">
      <c r="T16800" s="41"/>
    </row>
    <row r="16801" spans="20:20" s="566" customFormat="1">
      <c r="T16801" s="41"/>
    </row>
    <row r="16802" spans="20:20" s="566" customFormat="1">
      <c r="T16802" s="41"/>
    </row>
    <row r="16803" spans="20:20" s="566" customFormat="1">
      <c r="T16803" s="41"/>
    </row>
    <row r="16804" spans="20:20" s="566" customFormat="1">
      <c r="T16804" s="41"/>
    </row>
    <row r="16805" spans="20:20" s="566" customFormat="1">
      <c r="T16805" s="41"/>
    </row>
    <row r="16806" spans="20:20" s="566" customFormat="1">
      <c r="T16806" s="41"/>
    </row>
    <row r="16807" spans="20:20" s="566" customFormat="1">
      <c r="T16807" s="41"/>
    </row>
    <row r="16808" spans="20:20" s="566" customFormat="1">
      <c r="T16808" s="41"/>
    </row>
    <row r="16809" spans="20:20" s="566" customFormat="1">
      <c r="T16809" s="41"/>
    </row>
    <row r="16810" spans="20:20" s="566" customFormat="1">
      <c r="T16810" s="41"/>
    </row>
    <row r="16811" spans="20:20" s="566" customFormat="1">
      <c r="T16811" s="41"/>
    </row>
    <row r="16812" spans="20:20" s="566" customFormat="1">
      <c r="T16812" s="41"/>
    </row>
    <row r="16813" spans="20:20" s="566" customFormat="1">
      <c r="T16813" s="41"/>
    </row>
    <row r="16814" spans="20:20" s="566" customFormat="1">
      <c r="T16814" s="41"/>
    </row>
    <row r="16815" spans="20:20" s="566" customFormat="1">
      <c r="T16815" s="41"/>
    </row>
    <row r="16816" spans="20:20" s="566" customFormat="1">
      <c r="T16816" s="41"/>
    </row>
    <row r="16817" spans="20:20" s="566" customFormat="1">
      <c r="T16817" s="41"/>
    </row>
    <row r="16818" spans="20:20" s="566" customFormat="1">
      <c r="T16818" s="41"/>
    </row>
    <row r="16819" spans="20:20" s="566" customFormat="1">
      <c r="T16819" s="41"/>
    </row>
    <row r="16820" spans="20:20" s="566" customFormat="1">
      <c r="T16820" s="41"/>
    </row>
    <row r="16821" spans="20:20" s="566" customFormat="1">
      <c r="T16821" s="41"/>
    </row>
    <row r="16822" spans="20:20" s="566" customFormat="1">
      <c r="T16822" s="41"/>
    </row>
    <row r="16823" spans="20:20" s="566" customFormat="1">
      <c r="T16823" s="41"/>
    </row>
    <row r="16824" spans="20:20" s="566" customFormat="1">
      <c r="T16824" s="41"/>
    </row>
    <row r="16825" spans="20:20" s="566" customFormat="1">
      <c r="T16825" s="41"/>
    </row>
    <row r="16826" spans="20:20" s="566" customFormat="1">
      <c r="T16826" s="41"/>
    </row>
    <row r="16827" spans="20:20" s="566" customFormat="1">
      <c r="T16827" s="41"/>
    </row>
    <row r="16828" spans="20:20" s="566" customFormat="1">
      <c r="T16828" s="41"/>
    </row>
    <row r="16829" spans="20:20" s="566" customFormat="1">
      <c r="T16829" s="41"/>
    </row>
    <row r="16830" spans="20:20" s="566" customFormat="1">
      <c r="T16830" s="41"/>
    </row>
    <row r="16831" spans="20:20" s="566" customFormat="1">
      <c r="T16831" s="41"/>
    </row>
    <row r="16832" spans="20:20" s="566" customFormat="1">
      <c r="T16832" s="41"/>
    </row>
    <row r="16833" spans="20:20" s="566" customFormat="1">
      <c r="T16833" s="41"/>
    </row>
    <row r="16834" spans="20:20" s="566" customFormat="1">
      <c r="T16834" s="41"/>
    </row>
    <row r="16835" spans="20:20" s="566" customFormat="1">
      <c r="T16835" s="41"/>
    </row>
    <row r="16836" spans="20:20" s="566" customFormat="1">
      <c r="T16836" s="41"/>
    </row>
    <row r="16837" spans="20:20" s="566" customFormat="1">
      <c r="T16837" s="41"/>
    </row>
    <row r="16838" spans="20:20" s="566" customFormat="1">
      <c r="T16838" s="41"/>
    </row>
    <row r="16839" spans="20:20" s="566" customFormat="1">
      <c r="T16839" s="41"/>
    </row>
    <row r="16840" spans="20:20" s="566" customFormat="1">
      <c r="T16840" s="41"/>
    </row>
    <row r="16841" spans="20:20" s="566" customFormat="1">
      <c r="T16841" s="41"/>
    </row>
    <row r="16842" spans="20:20" s="566" customFormat="1">
      <c r="T16842" s="41"/>
    </row>
    <row r="16843" spans="20:20" s="566" customFormat="1">
      <c r="T16843" s="41"/>
    </row>
    <row r="16844" spans="20:20" s="566" customFormat="1">
      <c r="T16844" s="41"/>
    </row>
    <row r="16845" spans="20:20" s="566" customFormat="1">
      <c r="T16845" s="41"/>
    </row>
    <row r="16846" spans="20:20" s="566" customFormat="1">
      <c r="T16846" s="41"/>
    </row>
    <row r="16847" spans="20:20" s="566" customFormat="1">
      <c r="T16847" s="41"/>
    </row>
    <row r="16848" spans="20:20" s="566" customFormat="1">
      <c r="T16848" s="41"/>
    </row>
    <row r="16849" spans="20:20" s="566" customFormat="1">
      <c r="T16849" s="41"/>
    </row>
    <row r="16850" spans="20:20" s="566" customFormat="1">
      <c r="T16850" s="41"/>
    </row>
    <row r="16851" spans="20:20" s="566" customFormat="1">
      <c r="T16851" s="41"/>
    </row>
    <row r="16852" spans="20:20" s="566" customFormat="1">
      <c r="T16852" s="41"/>
    </row>
    <row r="16853" spans="20:20" s="566" customFormat="1">
      <c r="T16853" s="41"/>
    </row>
    <row r="16854" spans="20:20" s="566" customFormat="1">
      <c r="T16854" s="41"/>
    </row>
    <row r="16855" spans="20:20" s="566" customFormat="1">
      <c r="T16855" s="41"/>
    </row>
    <row r="16856" spans="20:20" s="566" customFormat="1">
      <c r="T16856" s="41"/>
    </row>
    <row r="16857" spans="20:20" s="566" customFormat="1">
      <c r="T16857" s="41"/>
    </row>
    <row r="16858" spans="20:20" s="566" customFormat="1">
      <c r="T16858" s="41"/>
    </row>
    <row r="16859" spans="20:20" s="566" customFormat="1">
      <c r="T16859" s="41"/>
    </row>
    <row r="16860" spans="20:20" s="566" customFormat="1">
      <c r="T16860" s="41"/>
    </row>
    <row r="16861" spans="20:20" s="566" customFormat="1">
      <c r="T16861" s="41"/>
    </row>
    <row r="16862" spans="20:20" s="566" customFormat="1">
      <c r="T16862" s="41"/>
    </row>
    <row r="16863" spans="20:20" s="566" customFormat="1">
      <c r="T16863" s="41"/>
    </row>
    <row r="16864" spans="20:20" s="566" customFormat="1">
      <c r="T16864" s="41"/>
    </row>
    <row r="16865" spans="20:20" s="566" customFormat="1">
      <c r="T16865" s="41"/>
    </row>
    <row r="16866" spans="20:20" s="566" customFormat="1">
      <c r="T16866" s="41"/>
    </row>
    <row r="16867" spans="20:20" s="566" customFormat="1">
      <c r="T16867" s="41"/>
    </row>
    <row r="16868" spans="20:20" s="566" customFormat="1">
      <c r="T16868" s="41"/>
    </row>
    <row r="16869" spans="20:20" s="566" customFormat="1">
      <c r="T16869" s="41"/>
    </row>
    <row r="16870" spans="20:20" s="566" customFormat="1">
      <c r="T16870" s="41"/>
    </row>
    <row r="16871" spans="20:20" s="566" customFormat="1">
      <c r="T16871" s="41"/>
    </row>
    <row r="16872" spans="20:20" s="566" customFormat="1">
      <c r="T16872" s="41"/>
    </row>
    <row r="16873" spans="20:20" s="566" customFormat="1">
      <c r="T16873" s="41"/>
    </row>
    <row r="16874" spans="20:20" s="566" customFormat="1">
      <c r="T16874" s="41"/>
    </row>
    <row r="16875" spans="20:20" s="566" customFormat="1">
      <c r="T16875" s="41"/>
    </row>
    <row r="16876" spans="20:20" s="566" customFormat="1">
      <c r="T16876" s="41"/>
    </row>
    <row r="16877" spans="20:20" s="566" customFormat="1">
      <c r="T16877" s="41"/>
    </row>
    <row r="16878" spans="20:20" s="566" customFormat="1">
      <c r="T16878" s="41"/>
    </row>
    <row r="16879" spans="20:20" s="566" customFormat="1">
      <c r="T16879" s="41"/>
    </row>
    <row r="16880" spans="20:20" s="566" customFormat="1">
      <c r="T16880" s="41"/>
    </row>
    <row r="16881" spans="20:20" s="566" customFormat="1">
      <c r="T16881" s="41"/>
    </row>
    <row r="16882" spans="20:20" s="566" customFormat="1">
      <c r="T16882" s="41"/>
    </row>
    <row r="16883" spans="20:20" s="566" customFormat="1">
      <c r="T16883" s="41"/>
    </row>
    <row r="16884" spans="20:20" s="566" customFormat="1">
      <c r="T16884" s="41"/>
    </row>
    <row r="16885" spans="20:20" s="566" customFormat="1">
      <c r="T16885" s="41"/>
    </row>
    <row r="16886" spans="20:20" s="566" customFormat="1">
      <c r="T16886" s="41"/>
    </row>
    <row r="16887" spans="20:20" s="566" customFormat="1">
      <c r="T16887" s="41"/>
    </row>
    <row r="16888" spans="20:20" s="566" customFormat="1">
      <c r="T16888" s="41"/>
    </row>
    <row r="16889" spans="20:20" s="566" customFormat="1">
      <c r="T16889" s="41"/>
    </row>
    <row r="16890" spans="20:20" s="566" customFormat="1">
      <c r="T16890" s="41"/>
    </row>
    <row r="16891" spans="20:20" s="566" customFormat="1">
      <c r="T16891" s="41"/>
    </row>
    <row r="16892" spans="20:20" s="566" customFormat="1">
      <c r="T16892" s="41"/>
    </row>
    <row r="16893" spans="20:20" s="566" customFormat="1">
      <c r="T16893" s="41"/>
    </row>
    <row r="16894" spans="20:20" s="566" customFormat="1">
      <c r="T16894" s="41"/>
    </row>
    <row r="16895" spans="20:20" s="566" customFormat="1">
      <c r="T16895" s="41"/>
    </row>
    <row r="16896" spans="20:20" s="566" customFormat="1">
      <c r="T16896" s="41"/>
    </row>
    <row r="16897" spans="20:20" s="566" customFormat="1">
      <c r="T16897" s="41"/>
    </row>
    <row r="16898" spans="20:20" s="566" customFormat="1">
      <c r="T16898" s="41"/>
    </row>
    <row r="16899" spans="20:20" s="566" customFormat="1">
      <c r="T16899" s="41"/>
    </row>
    <row r="16900" spans="20:20" s="566" customFormat="1">
      <c r="T16900" s="41"/>
    </row>
    <row r="16901" spans="20:20" s="566" customFormat="1">
      <c r="T16901" s="41"/>
    </row>
    <row r="16902" spans="20:20" s="566" customFormat="1">
      <c r="T16902" s="41"/>
    </row>
    <row r="16903" spans="20:20" s="566" customFormat="1">
      <c r="T16903" s="41"/>
    </row>
    <row r="16904" spans="20:20" s="566" customFormat="1">
      <c r="T16904" s="41"/>
    </row>
    <row r="16905" spans="20:20" s="566" customFormat="1">
      <c r="T16905" s="41"/>
    </row>
    <row r="16906" spans="20:20" s="566" customFormat="1">
      <c r="T16906" s="41"/>
    </row>
    <row r="16907" spans="20:20" s="566" customFormat="1">
      <c r="T16907" s="41"/>
    </row>
    <row r="16908" spans="20:20" s="566" customFormat="1">
      <c r="T16908" s="41"/>
    </row>
    <row r="16909" spans="20:20" s="566" customFormat="1">
      <c r="T16909" s="41"/>
    </row>
    <row r="16910" spans="20:20" s="566" customFormat="1">
      <c r="T16910" s="41"/>
    </row>
    <row r="16911" spans="20:20" s="566" customFormat="1">
      <c r="T16911" s="41"/>
    </row>
    <row r="16912" spans="20:20" s="566" customFormat="1">
      <c r="T16912" s="41"/>
    </row>
    <row r="16913" spans="20:20" s="566" customFormat="1">
      <c r="T16913" s="41"/>
    </row>
    <row r="16914" spans="20:20" s="566" customFormat="1">
      <c r="T16914" s="41"/>
    </row>
    <row r="16915" spans="20:20" s="566" customFormat="1">
      <c r="T16915" s="41"/>
    </row>
    <row r="16916" spans="20:20" s="566" customFormat="1">
      <c r="T16916" s="41"/>
    </row>
    <row r="16917" spans="20:20" s="566" customFormat="1">
      <c r="T16917" s="41"/>
    </row>
    <row r="16918" spans="20:20" s="566" customFormat="1">
      <c r="T16918" s="41"/>
    </row>
    <row r="16919" spans="20:20" s="566" customFormat="1">
      <c r="T16919" s="41"/>
    </row>
    <row r="16920" spans="20:20" s="566" customFormat="1">
      <c r="T16920" s="41"/>
    </row>
    <row r="16921" spans="20:20" s="566" customFormat="1">
      <c r="T16921" s="41"/>
    </row>
    <row r="16922" spans="20:20" s="566" customFormat="1">
      <c r="T16922" s="41"/>
    </row>
    <row r="16923" spans="20:20" s="566" customFormat="1">
      <c r="T16923" s="41"/>
    </row>
    <row r="16924" spans="20:20" s="566" customFormat="1">
      <c r="T16924" s="41"/>
    </row>
    <row r="16925" spans="20:20" s="566" customFormat="1">
      <c r="T16925" s="41"/>
    </row>
    <row r="16926" spans="20:20" s="566" customFormat="1">
      <c r="T16926" s="41"/>
    </row>
    <row r="16927" spans="20:20" s="566" customFormat="1">
      <c r="T16927" s="41"/>
    </row>
    <row r="16928" spans="20:20" s="566" customFormat="1">
      <c r="T16928" s="41"/>
    </row>
    <row r="16929" spans="20:20" s="566" customFormat="1">
      <c r="T16929" s="41"/>
    </row>
    <row r="16930" spans="20:20" s="566" customFormat="1">
      <c r="T16930" s="41"/>
    </row>
    <row r="16931" spans="20:20" s="566" customFormat="1">
      <c r="T16931" s="41"/>
    </row>
    <row r="16932" spans="20:20" s="566" customFormat="1">
      <c r="T16932" s="41"/>
    </row>
    <row r="16933" spans="20:20" s="566" customFormat="1">
      <c r="T16933" s="41"/>
    </row>
    <row r="16934" spans="20:20" s="566" customFormat="1">
      <c r="T16934" s="41"/>
    </row>
    <row r="16935" spans="20:20" s="566" customFormat="1">
      <c r="T16935" s="41"/>
    </row>
    <row r="16936" spans="20:20" s="566" customFormat="1">
      <c r="T16936" s="41"/>
    </row>
    <row r="16937" spans="20:20" s="566" customFormat="1">
      <c r="T16937" s="41"/>
    </row>
    <row r="16938" spans="20:20" s="566" customFormat="1">
      <c r="T16938" s="41"/>
    </row>
    <row r="16939" spans="20:20" s="566" customFormat="1">
      <c r="T16939" s="41"/>
    </row>
    <row r="16940" spans="20:20" s="566" customFormat="1">
      <c r="T16940" s="41"/>
    </row>
    <row r="16941" spans="20:20" s="566" customFormat="1">
      <c r="T16941" s="41"/>
    </row>
    <row r="16942" spans="20:20" s="566" customFormat="1">
      <c r="T16942" s="41"/>
    </row>
    <row r="16943" spans="20:20" s="566" customFormat="1">
      <c r="T16943" s="41"/>
    </row>
    <row r="16944" spans="20:20" s="566" customFormat="1">
      <c r="T16944" s="41"/>
    </row>
    <row r="16945" spans="20:20" s="566" customFormat="1">
      <c r="T16945" s="41"/>
    </row>
    <row r="16946" spans="20:20" s="566" customFormat="1">
      <c r="T16946" s="41"/>
    </row>
    <row r="16947" spans="20:20" s="566" customFormat="1">
      <c r="T16947" s="41"/>
    </row>
    <row r="16948" spans="20:20" s="566" customFormat="1">
      <c r="T16948" s="41"/>
    </row>
    <row r="16949" spans="20:20" s="566" customFormat="1">
      <c r="T16949" s="41"/>
    </row>
    <row r="16950" spans="20:20" s="566" customFormat="1">
      <c r="T16950" s="41"/>
    </row>
    <row r="16951" spans="20:20" s="566" customFormat="1">
      <c r="T16951" s="41"/>
    </row>
    <row r="16952" spans="20:20" s="566" customFormat="1">
      <c r="T16952" s="41"/>
    </row>
    <row r="16953" spans="20:20" s="566" customFormat="1">
      <c r="T16953" s="41"/>
    </row>
    <row r="16954" spans="20:20" s="566" customFormat="1">
      <c r="T16954" s="41"/>
    </row>
    <row r="16955" spans="20:20" s="566" customFormat="1">
      <c r="T16955" s="41"/>
    </row>
    <row r="16956" spans="20:20" s="566" customFormat="1">
      <c r="T16956" s="41"/>
    </row>
    <row r="16957" spans="20:20" s="566" customFormat="1">
      <c r="T16957" s="41"/>
    </row>
    <row r="16958" spans="20:20" s="566" customFormat="1">
      <c r="T16958" s="41"/>
    </row>
    <row r="16959" spans="20:20" s="566" customFormat="1">
      <c r="T16959" s="41"/>
    </row>
    <row r="16960" spans="20:20" s="566" customFormat="1">
      <c r="T16960" s="41"/>
    </row>
    <row r="16961" spans="20:20" s="566" customFormat="1">
      <c r="T16961" s="41"/>
    </row>
    <row r="16962" spans="20:20" s="566" customFormat="1">
      <c r="T16962" s="41"/>
    </row>
    <row r="16963" spans="20:20" s="566" customFormat="1">
      <c r="T16963" s="41"/>
    </row>
    <row r="16964" spans="20:20" s="566" customFormat="1">
      <c r="T16964" s="41"/>
    </row>
    <row r="16965" spans="20:20" s="566" customFormat="1">
      <c r="T16965" s="41"/>
    </row>
    <row r="16966" spans="20:20" s="566" customFormat="1">
      <c r="T16966" s="41"/>
    </row>
    <row r="16967" spans="20:20" s="566" customFormat="1">
      <c r="T16967" s="41"/>
    </row>
    <row r="16968" spans="20:20" s="566" customFormat="1">
      <c r="T16968" s="41"/>
    </row>
    <row r="16969" spans="20:20" s="566" customFormat="1">
      <c r="T16969" s="41"/>
    </row>
    <row r="16970" spans="20:20" s="566" customFormat="1">
      <c r="T16970" s="41"/>
    </row>
    <row r="16971" spans="20:20" s="566" customFormat="1">
      <c r="T16971" s="41"/>
    </row>
    <row r="16972" spans="20:20" s="566" customFormat="1">
      <c r="T16972" s="41"/>
    </row>
    <row r="16973" spans="20:20" s="566" customFormat="1">
      <c r="T16973" s="41"/>
    </row>
    <row r="16974" spans="20:20" s="566" customFormat="1">
      <c r="T16974" s="41"/>
    </row>
    <row r="16975" spans="20:20" s="566" customFormat="1">
      <c r="T16975" s="41"/>
    </row>
    <row r="16976" spans="20:20" s="566" customFormat="1">
      <c r="T16976" s="41"/>
    </row>
    <row r="16977" spans="20:20" s="566" customFormat="1">
      <c r="T16977" s="41"/>
    </row>
    <row r="16978" spans="20:20" s="566" customFormat="1">
      <c r="T16978" s="41"/>
    </row>
    <row r="16979" spans="20:20" s="566" customFormat="1">
      <c r="T16979" s="41"/>
    </row>
    <row r="16980" spans="20:20" s="566" customFormat="1">
      <c r="T16980" s="41"/>
    </row>
    <row r="16981" spans="20:20" s="566" customFormat="1">
      <c r="T16981" s="41"/>
    </row>
    <row r="16982" spans="20:20" s="566" customFormat="1">
      <c r="T16982" s="41"/>
    </row>
    <row r="16983" spans="20:20" s="566" customFormat="1">
      <c r="T16983" s="41"/>
    </row>
    <row r="16984" spans="20:20" s="566" customFormat="1">
      <c r="T16984" s="41"/>
    </row>
    <row r="16985" spans="20:20" s="566" customFormat="1">
      <c r="T16985" s="41"/>
    </row>
    <row r="16986" spans="20:20" s="566" customFormat="1">
      <c r="T16986" s="41"/>
    </row>
    <row r="16987" spans="20:20" s="566" customFormat="1">
      <c r="T16987" s="41"/>
    </row>
    <row r="16988" spans="20:20" s="566" customFormat="1">
      <c r="T16988" s="41"/>
    </row>
    <row r="16989" spans="20:20" s="566" customFormat="1">
      <c r="T16989" s="41"/>
    </row>
    <row r="16990" spans="20:20" s="566" customFormat="1">
      <c r="T16990" s="41"/>
    </row>
    <row r="16991" spans="20:20" s="566" customFormat="1">
      <c r="T16991" s="41"/>
    </row>
    <row r="16992" spans="20:20" s="566" customFormat="1">
      <c r="T16992" s="41"/>
    </row>
    <row r="16993" spans="20:20" s="566" customFormat="1">
      <c r="T16993" s="41"/>
    </row>
    <row r="16994" spans="20:20" s="566" customFormat="1">
      <c r="T16994" s="41"/>
    </row>
    <row r="16995" spans="20:20" s="566" customFormat="1">
      <c r="T16995" s="41"/>
    </row>
    <row r="16996" spans="20:20" s="566" customFormat="1">
      <c r="T16996" s="41"/>
    </row>
    <row r="16997" spans="20:20" s="566" customFormat="1">
      <c r="T16997" s="41"/>
    </row>
    <row r="16998" spans="20:20" s="566" customFormat="1">
      <c r="T16998" s="41"/>
    </row>
    <row r="16999" spans="20:20" s="566" customFormat="1">
      <c r="T16999" s="41"/>
    </row>
    <row r="17000" spans="20:20" s="566" customFormat="1">
      <c r="T17000" s="41"/>
    </row>
    <row r="17001" spans="20:20" s="566" customFormat="1">
      <c r="T17001" s="41"/>
    </row>
    <row r="17002" spans="20:20" s="566" customFormat="1">
      <c r="T17002" s="41"/>
    </row>
    <row r="17003" spans="20:20" s="566" customFormat="1">
      <c r="T17003" s="41"/>
    </row>
    <row r="17004" spans="20:20" s="566" customFormat="1">
      <c r="T17004" s="41"/>
    </row>
    <row r="17005" spans="20:20" s="566" customFormat="1">
      <c r="T17005" s="41"/>
    </row>
    <row r="17006" spans="20:20" s="566" customFormat="1">
      <c r="T17006" s="41"/>
    </row>
    <row r="17007" spans="20:20" s="566" customFormat="1">
      <c r="T17007" s="41"/>
    </row>
    <row r="17008" spans="20:20" s="566" customFormat="1">
      <c r="T17008" s="41"/>
    </row>
    <row r="17009" spans="20:20" s="566" customFormat="1">
      <c r="T17009" s="41"/>
    </row>
    <row r="17010" spans="20:20" s="566" customFormat="1">
      <c r="T17010" s="41"/>
    </row>
    <row r="17011" spans="20:20" s="566" customFormat="1">
      <c r="T17011" s="41"/>
    </row>
    <row r="17012" spans="20:20" s="566" customFormat="1">
      <c r="T17012" s="41"/>
    </row>
    <row r="17013" spans="20:20" s="566" customFormat="1">
      <c r="T17013" s="41"/>
    </row>
    <row r="17014" spans="20:20" s="566" customFormat="1">
      <c r="T17014" s="41"/>
    </row>
    <row r="17015" spans="20:20" s="566" customFormat="1">
      <c r="T17015" s="41"/>
    </row>
    <row r="17016" spans="20:20" s="566" customFormat="1">
      <c r="T17016" s="41"/>
    </row>
    <row r="17017" spans="20:20" s="566" customFormat="1">
      <c r="T17017" s="41"/>
    </row>
    <row r="17018" spans="20:20" s="566" customFormat="1">
      <c r="T17018" s="41"/>
    </row>
    <row r="17019" spans="20:20" s="566" customFormat="1">
      <c r="T17019" s="41"/>
    </row>
    <row r="17020" spans="20:20" s="566" customFormat="1">
      <c r="T17020" s="41"/>
    </row>
    <row r="17021" spans="20:20" s="566" customFormat="1">
      <c r="T17021" s="41"/>
    </row>
    <row r="17022" spans="20:20" s="566" customFormat="1">
      <c r="T17022" s="41"/>
    </row>
    <row r="17023" spans="20:20" s="566" customFormat="1">
      <c r="T17023" s="41"/>
    </row>
    <row r="17024" spans="20:20" s="566" customFormat="1">
      <c r="T17024" s="41"/>
    </row>
    <row r="17025" spans="20:20" s="566" customFormat="1">
      <c r="T17025" s="41"/>
    </row>
    <row r="17026" spans="20:20" s="566" customFormat="1">
      <c r="T17026" s="41"/>
    </row>
    <row r="17027" spans="20:20" s="566" customFormat="1">
      <c r="T17027" s="41"/>
    </row>
    <row r="17028" spans="20:20" s="566" customFormat="1">
      <c r="T17028" s="41"/>
    </row>
    <row r="17029" spans="20:20" s="566" customFormat="1">
      <c r="T17029" s="41"/>
    </row>
    <row r="17030" spans="20:20" s="566" customFormat="1">
      <c r="T17030" s="41"/>
    </row>
    <row r="17031" spans="20:20" s="566" customFormat="1">
      <c r="T17031" s="41"/>
    </row>
    <row r="17032" spans="20:20" s="566" customFormat="1">
      <c r="T17032" s="41"/>
    </row>
    <row r="17033" spans="20:20" s="566" customFormat="1">
      <c r="T17033" s="41"/>
    </row>
    <row r="17034" spans="20:20" s="566" customFormat="1">
      <c r="T17034" s="41"/>
    </row>
    <row r="17035" spans="20:20" s="566" customFormat="1">
      <c r="T17035" s="41"/>
    </row>
    <row r="17036" spans="20:20" s="566" customFormat="1">
      <c r="T17036" s="41"/>
    </row>
    <row r="17037" spans="20:20" s="566" customFormat="1">
      <c r="T17037" s="41"/>
    </row>
    <row r="17038" spans="20:20" s="566" customFormat="1">
      <c r="T17038" s="41"/>
    </row>
    <row r="17039" spans="20:20" s="566" customFormat="1">
      <c r="T17039" s="41"/>
    </row>
    <row r="17040" spans="20:20" s="566" customFormat="1">
      <c r="T17040" s="41"/>
    </row>
    <row r="17041" spans="20:20" s="566" customFormat="1">
      <c r="T17041" s="41"/>
    </row>
    <row r="17042" spans="20:20" s="566" customFormat="1">
      <c r="T17042" s="41"/>
    </row>
    <row r="17043" spans="20:20" s="566" customFormat="1">
      <c r="T17043" s="41"/>
    </row>
    <row r="17044" spans="20:20" s="566" customFormat="1">
      <c r="T17044" s="41"/>
    </row>
    <row r="17045" spans="20:20" s="566" customFormat="1">
      <c r="T17045" s="41"/>
    </row>
    <row r="17046" spans="20:20" s="566" customFormat="1">
      <c r="T17046" s="41"/>
    </row>
    <row r="17047" spans="20:20" s="566" customFormat="1">
      <c r="T17047" s="41"/>
    </row>
    <row r="17048" spans="20:20" s="566" customFormat="1">
      <c r="T17048" s="41"/>
    </row>
    <row r="17049" spans="20:20" s="566" customFormat="1">
      <c r="T17049" s="41"/>
    </row>
    <row r="17050" spans="20:20" s="566" customFormat="1">
      <c r="T17050" s="41"/>
    </row>
    <row r="17051" spans="20:20" s="566" customFormat="1">
      <c r="T17051" s="41"/>
    </row>
    <row r="17052" spans="20:20" s="566" customFormat="1">
      <c r="T17052" s="41"/>
    </row>
    <row r="17053" spans="20:20" s="566" customFormat="1">
      <c r="T17053" s="41"/>
    </row>
    <row r="17054" spans="20:20" s="566" customFormat="1">
      <c r="T17054" s="41"/>
    </row>
    <row r="17055" spans="20:20" s="566" customFormat="1">
      <c r="T17055" s="41"/>
    </row>
    <row r="17056" spans="20:20" s="566" customFormat="1">
      <c r="T17056" s="41"/>
    </row>
    <row r="17057" spans="20:20" s="566" customFormat="1">
      <c r="T17057" s="41"/>
    </row>
    <row r="17058" spans="20:20" s="566" customFormat="1">
      <c r="T17058" s="41"/>
    </row>
    <row r="17059" spans="20:20" s="566" customFormat="1">
      <c r="T17059" s="41"/>
    </row>
    <row r="17060" spans="20:20" s="566" customFormat="1">
      <c r="T17060" s="41"/>
    </row>
    <row r="17061" spans="20:20" s="566" customFormat="1">
      <c r="T17061" s="41"/>
    </row>
    <row r="17062" spans="20:20" s="566" customFormat="1">
      <c r="T17062" s="41"/>
    </row>
    <row r="17063" spans="20:20" s="566" customFormat="1">
      <c r="T17063" s="41"/>
    </row>
    <row r="17064" spans="20:20" s="566" customFormat="1">
      <c r="T17064" s="41"/>
    </row>
    <row r="17065" spans="20:20" s="566" customFormat="1">
      <c r="T17065" s="41"/>
    </row>
    <row r="17066" spans="20:20" s="566" customFormat="1">
      <c r="T17066" s="41"/>
    </row>
    <row r="17067" spans="20:20" s="566" customFormat="1">
      <c r="T17067" s="41"/>
    </row>
    <row r="17068" spans="20:20" s="566" customFormat="1">
      <c r="T17068" s="41"/>
    </row>
    <row r="17069" spans="20:20" s="566" customFormat="1">
      <c r="T17069" s="41"/>
    </row>
    <row r="17070" spans="20:20" s="566" customFormat="1">
      <c r="T17070" s="41"/>
    </row>
    <row r="17071" spans="20:20" s="566" customFormat="1">
      <c r="T17071" s="41"/>
    </row>
    <row r="17072" spans="20:20" s="566" customFormat="1">
      <c r="T17072" s="41"/>
    </row>
    <row r="17073" spans="20:20" s="566" customFormat="1">
      <c r="T17073" s="41"/>
    </row>
    <row r="17074" spans="20:20" s="566" customFormat="1">
      <c r="T17074" s="41"/>
    </row>
    <row r="17075" spans="20:20" s="566" customFormat="1">
      <c r="T17075" s="41"/>
    </row>
    <row r="17076" spans="20:20" s="566" customFormat="1">
      <c r="T17076" s="41"/>
    </row>
    <row r="17077" spans="20:20" s="566" customFormat="1">
      <c r="T17077" s="41"/>
    </row>
    <row r="17078" spans="20:20" s="566" customFormat="1">
      <c r="T17078" s="41"/>
    </row>
    <row r="17079" spans="20:20" s="566" customFormat="1">
      <c r="T17079" s="41"/>
    </row>
    <row r="17080" spans="20:20" s="566" customFormat="1">
      <c r="T17080" s="41"/>
    </row>
    <row r="17081" spans="20:20" s="566" customFormat="1">
      <c r="T17081" s="41"/>
    </row>
    <row r="17082" spans="20:20" s="566" customFormat="1">
      <c r="T17082" s="41"/>
    </row>
    <row r="17083" spans="20:20" s="566" customFormat="1">
      <c r="T17083" s="41"/>
    </row>
    <row r="17084" spans="20:20" s="566" customFormat="1">
      <c r="T17084" s="41"/>
    </row>
    <row r="17085" spans="20:20" s="566" customFormat="1">
      <c r="T17085" s="41"/>
    </row>
    <row r="17086" spans="20:20" s="566" customFormat="1">
      <c r="T17086" s="41"/>
    </row>
    <row r="17087" spans="20:20" s="566" customFormat="1">
      <c r="T17087" s="41"/>
    </row>
    <row r="17088" spans="20:20" s="566" customFormat="1">
      <c r="T17088" s="41"/>
    </row>
    <row r="17089" spans="20:20" s="566" customFormat="1">
      <c r="T17089" s="41"/>
    </row>
    <row r="17090" spans="20:20" s="566" customFormat="1">
      <c r="T17090" s="41"/>
    </row>
    <row r="17091" spans="20:20" s="566" customFormat="1">
      <c r="T17091" s="41"/>
    </row>
    <row r="17092" spans="20:20" s="566" customFormat="1">
      <c r="T17092" s="41"/>
    </row>
    <row r="17093" spans="20:20" s="566" customFormat="1">
      <c r="T17093" s="41"/>
    </row>
    <row r="17094" spans="20:20" s="566" customFormat="1">
      <c r="T17094" s="41"/>
    </row>
    <row r="17095" spans="20:20" s="566" customFormat="1">
      <c r="T17095" s="41"/>
    </row>
    <row r="17096" spans="20:20" s="566" customFormat="1">
      <c r="T17096" s="41"/>
    </row>
    <row r="17097" spans="20:20" s="566" customFormat="1">
      <c r="T17097" s="41"/>
    </row>
    <row r="17098" spans="20:20" s="566" customFormat="1">
      <c r="T17098" s="41"/>
    </row>
    <row r="17099" spans="20:20" s="566" customFormat="1">
      <c r="T17099" s="41"/>
    </row>
    <row r="17100" spans="20:20" s="566" customFormat="1">
      <c r="T17100" s="41"/>
    </row>
    <row r="17101" spans="20:20" s="566" customFormat="1">
      <c r="T17101" s="41"/>
    </row>
    <row r="17102" spans="20:20" s="566" customFormat="1">
      <c r="T17102" s="41"/>
    </row>
    <row r="17103" spans="20:20" s="566" customFormat="1">
      <c r="T17103" s="41"/>
    </row>
    <row r="17104" spans="20:20" s="566" customFormat="1">
      <c r="T17104" s="41"/>
    </row>
    <row r="17105" spans="20:20" s="566" customFormat="1">
      <c r="T17105" s="41"/>
    </row>
    <row r="17106" spans="20:20" s="566" customFormat="1">
      <c r="T17106" s="41"/>
    </row>
    <row r="17107" spans="20:20" s="566" customFormat="1">
      <c r="T17107" s="41"/>
    </row>
    <row r="17108" spans="20:20" s="566" customFormat="1">
      <c r="T17108" s="41"/>
    </row>
    <row r="17109" spans="20:20" s="566" customFormat="1">
      <c r="T17109" s="41"/>
    </row>
    <row r="17110" spans="20:20" s="566" customFormat="1">
      <c r="T17110" s="41"/>
    </row>
    <row r="17111" spans="20:20" s="566" customFormat="1">
      <c r="T17111" s="41"/>
    </row>
    <row r="17112" spans="20:20" s="566" customFormat="1">
      <c r="T17112" s="41"/>
    </row>
    <row r="17113" spans="20:20" s="566" customFormat="1">
      <c r="T17113" s="41"/>
    </row>
    <row r="17114" spans="20:20" s="566" customFormat="1">
      <c r="T17114" s="41"/>
    </row>
    <row r="17115" spans="20:20" s="566" customFormat="1">
      <c r="T17115" s="41"/>
    </row>
    <row r="17116" spans="20:20" s="566" customFormat="1">
      <c r="T17116" s="41"/>
    </row>
    <row r="17117" spans="20:20" s="566" customFormat="1">
      <c r="T17117" s="41"/>
    </row>
    <row r="17118" spans="20:20" s="566" customFormat="1">
      <c r="T17118" s="41"/>
    </row>
    <row r="17119" spans="20:20" s="566" customFormat="1">
      <c r="T17119" s="41"/>
    </row>
    <row r="17120" spans="20:20" s="566" customFormat="1">
      <c r="T17120" s="41"/>
    </row>
    <row r="17121" spans="20:20" s="566" customFormat="1">
      <c r="T17121" s="41"/>
    </row>
    <row r="17122" spans="20:20" s="566" customFormat="1">
      <c r="T17122" s="41"/>
    </row>
    <row r="17123" spans="20:20" s="566" customFormat="1">
      <c r="T17123" s="41"/>
    </row>
    <row r="17124" spans="20:20" s="566" customFormat="1">
      <c r="T17124" s="41"/>
    </row>
    <row r="17125" spans="20:20" s="566" customFormat="1">
      <c r="T17125" s="41"/>
    </row>
    <row r="17126" spans="20:20" s="566" customFormat="1">
      <c r="T17126" s="41"/>
    </row>
    <row r="17127" spans="20:20" s="566" customFormat="1">
      <c r="T17127" s="41"/>
    </row>
    <row r="17128" spans="20:20" s="566" customFormat="1">
      <c r="T17128" s="41"/>
    </row>
    <row r="17129" spans="20:20" s="566" customFormat="1">
      <c r="T17129" s="41"/>
    </row>
    <row r="17130" spans="20:20" s="566" customFormat="1">
      <c r="T17130" s="41"/>
    </row>
    <row r="17131" spans="20:20" s="566" customFormat="1">
      <c r="T17131" s="41"/>
    </row>
    <row r="17132" spans="20:20" s="566" customFormat="1">
      <c r="T17132" s="41"/>
    </row>
    <row r="17133" spans="20:20" s="566" customFormat="1">
      <c r="T17133" s="41"/>
    </row>
    <row r="17134" spans="20:20" s="566" customFormat="1">
      <c r="T17134" s="41"/>
    </row>
    <row r="17135" spans="20:20" s="566" customFormat="1">
      <c r="T17135" s="41"/>
    </row>
    <row r="17136" spans="20:20" s="566" customFormat="1">
      <c r="T17136" s="41"/>
    </row>
    <row r="17137" spans="20:20" s="566" customFormat="1">
      <c r="T17137" s="41"/>
    </row>
    <row r="17138" spans="20:20" s="566" customFormat="1">
      <c r="T17138" s="41"/>
    </row>
    <row r="17139" spans="20:20" s="566" customFormat="1">
      <c r="T17139" s="41"/>
    </row>
    <row r="17140" spans="20:20" s="566" customFormat="1">
      <c r="T17140" s="41"/>
    </row>
    <row r="17141" spans="20:20" s="566" customFormat="1">
      <c r="T17141" s="41"/>
    </row>
    <row r="17142" spans="20:20" s="566" customFormat="1">
      <c r="T17142" s="41"/>
    </row>
    <row r="17143" spans="20:20" s="566" customFormat="1">
      <c r="T17143" s="41"/>
    </row>
    <row r="17144" spans="20:20" s="566" customFormat="1">
      <c r="T17144" s="41"/>
    </row>
    <row r="17145" spans="20:20" s="566" customFormat="1">
      <c r="T17145" s="41"/>
    </row>
    <row r="17146" spans="20:20" s="566" customFormat="1">
      <c r="T17146" s="41"/>
    </row>
    <row r="17147" spans="20:20" s="566" customFormat="1">
      <c r="T17147" s="41"/>
    </row>
    <row r="17148" spans="20:20" s="566" customFormat="1">
      <c r="T17148" s="41"/>
    </row>
    <row r="17149" spans="20:20" s="566" customFormat="1">
      <c r="T17149" s="41"/>
    </row>
    <row r="17150" spans="20:20" s="566" customFormat="1">
      <c r="T17150" s="41"/>
    </row>
    <row r="17151" spans="20:20" s="566" customFormat="1">
      <c r="T17151" s="41"/>
    </row>
    <row r="17152" spans="20:20" s="566" customFormat="1">
      <c r="T17152" s="41"/>
    </row>
    <row r="17153" spans="20:20" s="566" customFormat="1">
      <c r="T17153" s="41"/>
    </row>
    <row r="17154" spans="20:20" s="566" customFormat="1">
      <c r="T17154" s="41"/>
    </row>
    <row r="17155" spans="20:20" s="566" customFormat="1">
      <c r="T17155" s="41"/>
    </row>
    <row r="17156" spans="20:20" s="566" customFormat="1">
      <c r="T17156" s="41"/>
    </row>
    <row r="17157" spans="20:20" s="566" customFormat="1">
      <c r="T17157" s="41"/>
    </row>
    <row r="17158" spans="20:20" s="566" customFormat="1">
      <c r="T17158" s="41"/>
    </row>
    <row r="17159" spans="20:20" s="566" customFormat="1">
      <c r="T17159" s="41"/>
    </row>
    <row r="17160" spans="20:20" s="566" customFormat="1">
      <c r="T17160" s="41"/>
    </row>
    <row r="17161" spans="20:20" s="566" customFormat="1">
      <c r="T17161" s="41"/>
    </row>
    <row r="17162" spans="20:20" s="566" customFormat="1">
      <c r="T17162" s="41"/>
    </row>
    <row r="17163" spans="20:20" s="566" customFormat="1">
      <c r="T17163" s="41"/>
    </row>
    <row r="17164" spans="20:20" s="566" customFormat="1">
      <c r="T17164" s="41"/>
    </row>
    <row r="17165" spans="20:20" s="566" customFormat="1">
      <c r="T17165" s="41"/>
    </row>
    <row r="17166" spans="20:20" s="566" customFormat="1">
      <c r="T17166" s="41"/>
    </row>
    <row r="17167" spans="20:20" s="566" customFormat="1">
      <c r="T17167" s="41"/>
    </row>
    <row r="17168" spans="20:20" s="566" customFormat="1">
      <c r="T17168" s="41"/>
    </row>
    <row r="17169" spans="20:20" s="566" customFormat="1">
      <c r="T17169" s="41"/>
    </row>
    <row r="17170" spans="20:20" s="566" customFormat="1">
      <c r="T17170" s="41"/>
    </row>
    <row r="17171" spans="20:20" s="566" customFormat="1">
      <c r="T17171" s="41"/>
    </row>
    <row r="17172" spans="20:20" s="566" customFormat="1">
      <c r="T17172" s="41"/>
    </row>
    <row r="17173" spans="20:20" s="566" customFormat="1">
      <c r="T17173" s="41"/>
    </row>
    <row r="17174" spans="20:20" s="566" customFormat="1">
      <c r="T17174" s="41"/>
    </row>
    <row r="17175" spans="20:20" s="566" customFormat="1">
      <c r="T17175" s="41"/>
    </row>
    <row r="17176" spans="20:20" s="566" customFormat="1">
      <c r="T17176" s="41"/>
    </row>
    <row r="17177" spans="20:20" s="566" customFormat="1">
      <c r="T17177" s="41"/>
    </row>
    <row r="17178" spans="20:20" s="566" customFormat="1">
      <c r="T17178" s="41"/>
    </row>
    <row r="17179" spans="20:20" s="566" customFormat="1">
      <c r="T17179" s="41"/>
    </row>
    <row r="17180" spans="20:20" s="566" customFormat="1">
      <c r="T17180" s="41"/>
    </row>
    <row r="17181" spans="20:20" s="566" customFormat="1">
      <c r="T17181" s="41"/>
    </row>
    <row r="17182" spans="20:20" s="566" customFormat="1">
      <c r="T17182" s="41"/>
    </row>
    <row r="17183" spans="20:20" s="566" customFormat="1">
      <c r="T17183" s="41"/>
    </row>
    <row r="17184" spans="20:20" s="566" customFormat="1">
      <c r="T17184" s="41"/>
    </row>
    <row r="17185" spans="20:20" s="566" customFormat="1">
      <c r="T17185" s="41"/>
    </row>
    <row r="17186" spans="20:20" s="566" customFormat="1">
      <c r="T17186" s="41"/>
    </row>
    <row r="17187" spans="20:20" s="566" customFormat="1">
      <c r="T17187" s="41"/>
    </row>
    <row r="17188" spans="20:20" s="566" customFormat="1">
      <c r="T17188" s="41"/>
    </row>
    <row r="17189" spans="20:20" s="566" customFormat="1">
      <c r="T17189" s="41"/>
    </row>
    <row r="17190" spans="20:20" s="566" customFormat="1">
      <c r="T17190" s="41"/>
    </row>
    <row r="17191" spans="20:20" s="566" customFormat="1">
      <c r="T17191" s="41"/>
    </row>
    <row r="17192" spans="20:20" s="566" customFormat="1">
      <c r="T17192" s="41"/>
    </row>
    <row r="17193" spans="20:20" s="566" customFormat="1">
      <c r="T17193" s="41"/>
    </row>
    <row r="17194" spans="20:20" s="566" customFormat="1">
      <c r="T17194" s="41"/>
    </row>
    <row r="17195" spans="20:20" s="566" customFormat="1">
      <c r="T17195" s="41"/>
    </row>
    <row r="17196" spans="20:20" s="566" customFormat="1">
      <c r="T17196" s="41"/>
    </row>
    <row r="17197" spans="20:20" s="566" customFormat="1">
      <c r="T17197" s="41"/>
    </row>
    <row r="17198" spans="20:20" s="566" customFormat="1">
      <c r="T17198" s="41"/>
    </row>
    <row r="17199" spans="20:20" s="566" customFormat="1">
      <c r="T17199" s="41"/>
    </row>
    <row r="17200" spans="20:20" s="566" customFormat="1">
      <c r="T17200" s="41"/>
    </row>
    <row r="17201" spans="20:20" s="566" customFormat="1">
      <c r="T17201" s="41"/>
    </row>
    <row r="17202" spans="20:20" s="566" customFormat="1">
      <c r="T17202" s="41"/>
    </row>
    <row r="17203" spans="20:20" s="566" customFormat="1">
      <c r="T17203" s="41"/>
    </row>
    <row r="17204" spans="20:20" s="566" customFormat="1">
      <c r="T17204" s="41"/>
    </row>
    <row r="17205" spans="20:20" s="566" customFormat="1">
      <c r="T17205" s="41"/>
    </row>
    <row r="17206" spans="20:20" s="566" customFormat="1">
      <c r="T17206" s="41"/>
    </row>
    <row r="17207" spans="20:20" s="566" customFormat="1">
      <c r="T17207" s="41"/>
    </row>
    <row r="17208" spans="20:20" s="566" customFormat="1">
      <c r="T17208" s="41"/>
    </row>
    <row r="17209" spans="20:20" s="566" customFormat="1">
      <c r="T17209" s="41"/>
    </row>
    <row r="17210" spans="20:20" s="566" customFormat="1">
      <c r="T17210" s="41"/>
    </row>
    <row r="17211" spans="20:20" s="566" customFormat="1">
      <c r="T17211" s="41"/>
    </row>
    <row r="17212" spans="20:20" s="566" customFormat="1">
      <c r="T17212" s="41"/>
    </row>
    <row r="17213" spans="20:20" s="566" customFormat="1">
      <c r="T17213" s="41"/>
    </row>
    <row r="17214" spans="20:20" s="566" customFormat="1">
      <c r="T17214" s="41"/>
    </row>
    <row r="17215" spans="20:20" s="566" customFormat="1">
      <c r="T17215" s="41"/>
    </row>
    <row r="17216" spans="20:20" s="566" customFormat="1">
      <c r="T17216" s="41"/>
    </row>
    <row r="17217" spans="20:20" s="566" customFormat="1">
      <c r="T17217" s="41"/>
    </row>
    <row r="17218" spans="20:20" s="566" customFormat="1">
      <c r="T17218" s="41"/>
    </row>
    <row r="17219" spans="20:20" s="566" customFormat="1">
      <c r="T17219" s="41"/>
    </row>
    <row r="17220" spans="20:20" s="566" customFormat="1">
      <c r="T17220" s="41"/>
    </row>
    <row r="17221" spans="20:20" s="566" customFormat="1">
      <c r="T17221" s="41"/>
    </row>
    <row r="17222" spans="20:20" s="566" customFormat="1">
      <c r="T17222" s="41"/>
    </row>
    <row r="17223" spans="20:20" s="566" customFormat="1">
      <c r="T17223" s="41"/>
    </row>
    <row r="17224" spans="20:20" s="566" customFormat="1">
      <c r="T17224" s="41"/>
    </row>
    <row r="17225" spans="20:20" s="566" customFormat="1">
      <c r="T17225" s="41"/>
    </row>
    <row r="17226" spans="20:20" s="566" customFormat="1">
      <c r="T17226" s="41"/>
    </row>
    <row r="17227" spans="20:20" s="566" customFormat="1">
      <c r="T17227" s="41"/>
    </row>
    <row r="17228" spans="20:20" s="566" customFormat="1">
      <c r="T17228" s="41"/>
    </row>
    <row r="17229" spans="20:20" s="566" customFormat="1">
      <c r="T17229" s="41"/>
    </row>
    <row r="17230" spans="20:20" s="566" customFormat="1">
      <c r="T17230" s="41"/>
    </row>
    <row r="17231" spans="20:20" s="566" customFormat="1">
      <c r="T17231" s="41"/>
    </row>
    <row r="17232" spans="20:20" s="566" customFormat="1">
      <c r="T17232" s="41"/>
    </row>
    <row r="17233" spans="20:20" s="566" customFormat="1">
      <c r="T17233" s="41"/>
    </row>
    <row r="17234" spans="20:20" s="566" customFormat="1">
      <c r="T17234" s="41"/>
    </row>
    <row r="17235" spans="20:20" s="566" customFormat="1">
      <c r="T17235" s="41"/>
    </row>
    <row r="17236" spans="20:20" s="566" customFormat="1">
      <c r="T17236" s="41"/>
    </row>
    <row r="17237" spans="20:20" s="566" customFormat="1">
      <c r="T17237" s="41"/>
    </row>
    <row r="17238" spans="20:20" s="566" customFormat="1">
      <c r="T17238" s="41"/>
    </row>
    <row r="17239" spans="20:20" s="566" customFormat="1">
      <c r="T17239" s="41"/>
    </row>
    <row r="17240" spans="20:20" s="566" customFormat="1">
      <c r="T17240" s="41"/>
    </row>
    <row r="17241" spans="20:20" s="566" customFormat="1">
      <c r="T17241" s="41"/>
    </row>
    <row r="17242" spans="20:20" s="566" customFormat="1">
      <c r="T17242" s="41"/>
    </row>
    <row r="17243" spans="20:20" s="566" customFormat="1">
      <c r="T17243" s="41"/>
    </row>
    <row r="17244" spans="20:20" s="566" customFormat="1">
      <c r="T17244" s="41"/>
    </row>
    <row r="17245" spans="20:20" s="566" customFormat="1">
      <c r="T17245" s="41"/>
    </row>
    <row r="17246" spans="20:20" s="566" customFormat="1">
      <c r="T17246" s="41"/>
    </row>
    <row r="17247" spans="20:20" s="566" customFormat="1">
      <c r="T17247" s="41"/>
    </row>
    <row r="17248" spans="20:20" s="566" customFormat="1">
      <c r="T17248" s="41"/>
    </row>
    <row r="17249" spans="20:20" s="566" customFormat="1">
      <c r="T17249" s="41"/>
    </row>
    <row r="17250" spans="20:20" s="566" customFormat="1">
      <c r="T17250" s="41"/>
    </row>
    <row r="17251" spans="20:20" s="566" customFormat="1">
      <c r="T17251" s="41"/>
    </row>
    <row r="17252" spans="20:20" s="566" customFormat="1">
      <c r="T17252" s="41"/>
    </row>
    <row r="17253" spans="20:20" s="566" customFormat="1">
      <c r="T17253" s="41"/>
    </row>
    <row r="17254" spans="20:20" s="566" customFormat="1">
      <c r="T17254" s="41"/>
    </row>
    <row r="17255" spans="20:20" s="566" customFormat="1">
      <c r="T17255" s="41"/>
    </row>
    <row r="17256" spans="20:20" s="566" customFormat="1">
      <c r="T17256" s="41"/>
    </row>
    <row r="17257" spans="20:20" s="566" customFormat="1">
      <c r="T17257" s="41"/>
    </row>
    <row r="17258" spans="20:20" s="566" customFormat="1">
      <c r="T17258" s="41"/>
    </row>
    <row r="17259" spans="20:20" s="566" customFormat="1">
      <c r="T17259" s="41"/>
    </row>
    <row r="17260" spans="20:20" s="566" customFormat="1">
      <c r="T17260" s="41"/>
    </row>
    <row r="17261" spans="20:20" s="566" customFormat="1">
      <c r="T17261" s="41"/>
    </row>
    <row r="17262" spans="20:20" s="566" customFormat="1">
      <c r="T17262" s="41"/>
    </row>
    <row r="17263" spans="20:20" s="566" customFormat="1">
      <c r="T17263" s="41"/>
    </row>
    <row r="17264" spans="20:20" s="566" customFormat="1">
      <c r="T17264" s="41"/>
    </row>
    <row r="17265" spans="20:20" s="566" customFormat="1">
      <c r="T17265" s="41"/>
    </row>
    <row r="17266" spans="20:20" s="566" customFormat="1">
      <c r="T17266" s="41"/>
    </row>
    <row r="17267" spans="20:20" s="566" customFormat="1">
      <c r="T17267" s="41"/>
    </row>
    <row r="17268" spans="20:20" s="566" customFormat="1">
      <c r="T17268" s="41"/>
    </row>
    <row r="17269" spans="20:20" s="566" customFormat="1">
      <c r="T17269" s="41"/>
    </row>
    <row r="17270" spans="20:20" s="566" customFormat="1">
      <c r="T17270" s="41"/>
    </row>
    <row r="17271" spans="20:20" s="566" customFormat="1">
      <c r="T17271" s="41"/>
    </row>
    <row r="17272" spans="20:20" s="566" customFormat="1">
      <c r="T17272" s="41"/>
    </row>
    <row r="17273" spans="20:20" s="566" customFormat="1">
      <c r="T17273" s="41"/>
    </row>
    <row r="17274" spans="20:20" s="566" customFormat="1">
      <c r="T17274" s="41"/>
    </row>
    <row r="17275" spans="20:20" s="566" customFormat="1">
      <c r="T17275" s="41"/>
    </row>
    <row r="17276" spans="20:20" s="566" customFormat="1">
      <c r="T17276" s="41"/>
    </row>
    <row r="17277" spans="20:20" s="566" customFormat="1">
      <c r="T17277" s="41"/>
    </row>
    <row r="17278" spans="20:20" s="566" customFormat="1">
      <c r="T17278" s="41"/>
    </row>
    <row r="17279" spans="20:20" s="566" customFormat="1">
      <c r="T17279" s="41"/>
    </row>
    <row r="17280" spans="20:20" s="566" customFormat="1">
      <c r="T17280" s="41"/>
    </row>
    <row r="17281" spans="20:20" s="566" customFormat="1">
      <c r="T17281" s="41"/>
    </row>
    <row r="17282" spans="20:20" s="566" customFormat="1">
      <c r="T17282" s="41"/>
    </row>
    <row r="17283" spans="20:20" s="566" customFormat="1">
      <c r="T17283" s="41"/>
    </row>
    <row r="17284" spans="20:20" s="566" customFormat="1">
      <c r="T17284" s="41"/>
    </row>
    <row r="17285" spans="20:20" s="566" customFormat="1">
      <c r="T17285" s="41"/>
    </row>
    <row r="17286" spans="20:20" s="566" customFormat="1">
      <c r="T17286" s="41"/>
    </row>
    <row r="17287" spans="20:20" s="566" customFormat="1">
      <c r="T17287" s="41"/>
    </row>
    <row r="17288" spans="20:20" s="566" customFormat="1">
      <c r="T17288" s="41"/>
    </row>
    <row r="17289" spans="20:20" s="566" customFormat="1">
      <c r="T17289" s="41"/>
    </row>
    <row r="17290" spans="20:20" s="566" customFormat="1">
      <c r="T17290" s="41"/>
    </row>
    <row r="17291" spans="20:20" s="566" customFormat="1">
      <c r="T17291" s="41"/>
    </row>
    <row r="17292" spans="20:20" s="566" customFormat="1">
      <c r="T17292" s="41"/>
    </row>
    <row r="17293" spans="20:20" s="566" customFormat="1">
      <c r="T17293" s="41"/>
    </row>
    <row r="17294" spans="20:20" s="566" customFormat="1">
      <c r="T17294" s="41"/>
    </row>
    <row r="17295" spans="20:20" s="566" customFormat="1">
      <c r="T17295" s="41"/>
    </row>
    <row r="17296" spans="20:20" s="566" customFormat="1">
      <c r="T17296" s="41"/>
    </row>
    <row r="17297" spans="20:20" s="566" customFormat="1">
      <c r="T17297" s="41"/>
    </row>
    <row r="17298" spans="20:20" s="566" customFormat="1">
      <c r="T17298" s="41"/>
    </row>
    <row r="17299" spans="20:20" s="566" customFormat="1">
      <c r="T17299" s="41"/>
    </row>
    <row r="17300" spans="20:20" s="566" customFormat="1">
      <c r="T17300" s="41"/>
    </row>
    <row r="17301" spans="20:20" s="566" customFormat="1">
      <c r="T17301" s="41"/>
    </row>
    <row r="17302" spans="20:20" s="566" customFormat="1">
      <c r="T17302" s="41"/>
    </row>
    <row r="17303" spans="20:20" s="566" customFormat="1">
      <c r="T17303" s="41"/>
    </row>
    <row r="17304" spans="20:20" s="566" customFormat="1">
      <c r="T17304" s="41"/>
    </row>
    <row r="17305" spans="20:20" s="566" customFormat="1">
      <c r="T17305" s="41"/>
    </row>
    <row r="17306" spans="20:20" s="566" customFormat="1">
      <c r="T17306" s="41"/>
    </row>
    <row r="17307" spans="20:20" s="566" customFormat="1">
      <c r="T17307" s="41"/>
    </row>
    <row r="17308" spans="20:20" s="566" customFormat="1">
      <c r="T17308" s="41"/>
    </row>
    <row r="17309" spans="20:20" s="566" customFormat="1">
      <c r="T17309" s="41"/>
    </row>
    <row r="17310" spans="20:20" s="566" customFormat="1">
      <c r="T17310" s="41"/>
    </row>
    <row r="17311" spans="20:20" s="566" customFormat="1">
      <c r="T17311" s="41"/>
    </row>
    <row r="17312" spans="20:20" s="566" customFormat="1">
      <c r="T17312" s="41"/>
    </row>
    <row r="17313" spans="20:20" s="566" customFormat="1">
      <c r="T17313" s="41"/>
    </row>
    <row r="17314" spans="20:20" s="566" customFormat="1">
      <c r="T17314" s="41"/>
    </row>
    <row r="17315" spans="20:20" s="566" customFormat="1">
      <c r="T17315" s="41"/>
    </row>
    <row r="17316" spans="20:20" s="566" customFormat="1">
      <c r="T17316" s="41"/>
    </row>
    <row r="17317" spans="20:20" s="566" customFormat="1">
      <c r="T17317" s="41"/>
    </row>
    <row r="17318" spans="20:20" s="566" customFormat="1">
      <c r="T17318" s="41"/>
    </row>
    <row r="17319" spans="20:20" s="566" customFormat="1">
      <c r="T17319" s="41"/>
    </row>
    <row r="17320" spans="20:20" s="566" customFormat="1">
      <c r="T17320" s="41"/>
    </row>
    <row r="17321" spans="20:20" s="566" customFormat="1">
      <c r="T17321" s="41"/>
    </row>
    <row r="17322" spans="20:20" s="566" customFormat="1">
      <c r="T17322" s="41"/>
    </row>
    <row r="17323" spans="20:20" s="566" customFormat="1">
      <c r="T17323" s="41"/>
    </row>
    <row r="17324" spans="20:20" s="566" customFormat="1">
      <c r="T17324" s="41"/>
    </row>
    <row r="17325" spans="20:20" s="566" customFormat="1">
      <c r="T17325" s="41"/>
    </row>
    <row r="17326" spans="20:20" s="566" customFormat="1">
      <c r="T17326" s="41"/>
    </row>
    <row r="17327" spans="20:20" s="566" customFormat="1">
      <c r="T17327" s="41"/>
    </row>
    <row r="17328" spans="20:20" s="566" customFormat="1">
      <c r="T17328" s="41"/>
    </row>
    <row r="17329" spans="20:20" s="566" customFormat="1">
      <c r="T17329" s="41"/>
    </row>
    <row r="17330" spans="20:20" s="566" customFormat="1">
      <c r="T17330" s="41"/>
    </row>
    <row r="17331" spans="20:20" s="566" customFormat="1">
      <c r="T17331" s="41"/>
    </row>
    <row r="17332" spans="20:20" s="566" customFormat="1">
      <c r="T17332" s="41"/>
    </row>
    <row r="17333" spans="20:20" s="566" customFormat="1">
      <c r="T17333" s="41"/>
    </row>
    <row r="17334" spans="20:20" s="566" customFormat="1">
      <c r="T17334" s="41"/>
    </row>
    <row r="17335" spans="20:20" s="566" customFormat="1">
      <c r="T17335" s="41"/>
    </row>
    <row r="17336" spans="20:20" s="566" customFormat="1">
      <c r="T17336" s="41"/>
    </row>
    <row r="17337" spans="20:20" s="566" customFormat="1">
      <c r="T17337" s="41"/>
    </row>
    <row r="17338" spans="20:20" s="566" customFormat="1">
      <c r="T17338" s="41"/>
    </row>
    <row r="17339" spans="20:20" s="566" customFormat="1">
      <c r="T17339" s="41"/>
    </row>
    <row r="17340" spans="20:20" s="566" customFormat="1">
      <c r="T17340" s="41"/>
    </row>
    <row r="17341" spans="20:20" s="566" customFormat="1">
      <c r="T17341" s="41"/>
    </row>
    <row r="17342" spans="20:20" s="566" customFormat="1">
      <c r="T17342" s="41"/>
    </row>
    <row r="17343" spans="20:20" s="566" customFormat="1">
      <c r="T17343" s="41"/>
    </row>
    <row r="17344" spans="20:20" s="566" customFormat="1">
      <c r="T17344" s="41"/>
    </row>
    <row r="17345" spans="20:20" s="566" customFormat="1">
      <c r="T17345" s="41"/>
    </row>
    <row r="17346" spans="20:20" s="566" customFormat="1">
      <c r="T17346" s="41"/>
    </row>
    <row r="17347" spans="20:20" s="566" customFormat="1">
      <c r="T17347" s="41"/>
    </row>
    <row r="17348" spans="20:20" s="566" customFormat="1">
      <c r="T17348" s="41"/>
    </row>
    <row r="17349" spans="20:20" s="566" customFormat="1">
      <c r="T17349" s="41"/>
    </row>
    <row r="17350" spans="20:20" s="566" customFormat="1">
      <c r="T17350" s="41"/>
    </row>
    <row r="17351" spans="20:20" s="566" customFormat="1">
      <c r="T17351" s="41"/>
    </row>
    <row r="17352" spans="20:20" s="566" customFormat="1">
      <c r="T17352" s="41"/>
    </row>
    <row r="17353" spans="20:20" s="566" customFormat="1">
      <c r="T17353" s="41"/>
    </row>
    <row r="17354" spans="20:20" s="566" customFormat="1">
      <c r="T17354" s="41"/>
    </row>
    <row r="17355" spans="20:20" s="566" customFormat="1">
      <c r="T17355" s="41"/>
    </row>
    <row r="17356" spans="20:20" s="566" customFormat="1">
      <c r="T17356" s="41"/>
    </row>
    <row r="17357" spans="20:20" s="566" customFormat="1">
      <c r="T17357" s="41"/>
    </row>
    <row r="17358" spans="20:20" s="566" customFormat="1">
      <c r="T17358" s="41"/>
    </row>
    <row r="17359" spans="20:20" s="566" customFormat="1">
      <c r="T17359" s="41"/>
    </row>
    <row r="17360" spans="20:20" s="566" customFormat="1">
      <c r="T17360" s="41"/>
    </row>
    <row r="17361" spans="20:20" s="566" customFormat="1">
      <c r="T17361" s="41"/>
    </row>
    <row r="17362" spans="20:20" s="566" customFormat="1">
      <c r="T17362" s="41"/>
    </row>
    <row r="17363" spans="20:20" s="566" customFormat="1">
      <c r="T17363" s="41"/>
    </row>
    <row r="17364" spans="20:20" s="566" customFormat="1">
      <c r="T17364" s="41"/>
    </row>
    <row r="17365" spans="20:20" s="566" customFormat="1">
      <c r="T17365" s="41"/>
    </row>
    <row r="17366" spans="20:20" s="566" customFormat="1">
      <c r="T17366" s="41"/>
    </row>
    <row r="17367" spans="20:20" s="566" customFormat="1">
      <c r="T17367" s="41"/>
    </row>
    <row r="17368" spans="20:20" s="566" customFormat="1">
      <c r="T17368" s="41"/>
    </row>
    <row r="17369" spans="20:20" s="566" customFormat="1">
      <c r="T17369" s="41"/>
    </row>
    <row r="17370" spans="20:20" s="566" customFormat="1">
      <c r="T17370" s="41"/>
    </row>
    <row r="17371" spans="20:20" s="566" customFormat="1">
      <c r="T17371" s="41"/>
    </row>
    <row r="17372" spans="20:20" s="566" customFormat="1">
      <c r="T17372" s="41"/>
    </row>
    <row r="17373" spans="20:20" s="566" customFormat="1">
      <c r="T17373" s="41"/>
    </row>
    <row r="17374" spans="20:20" s="566" customFormat="1">
      <c r="T17374" s="41"/>
    </row>
    <row r="17375" spans="20:20" s="566" customFormat="1">
      <c r="T17375" s="41"/>
    </row>
    <row r="17376" spans="20:20" s="566" customFormat="1">
      <c r="T17376" s="41"/>
    </row>
    <row r="17377" spans="20:20" s="566" customFormat="1">
      <c r="T17377" s="41"/>
    </row>
    <row r="17378" spans="20:20" s="566" customFormat="1">
      <c r="T17378" s="41"/>
    </row>
    <row r="17379" spans="20:20" s="566" customFormat="1">
      <c r="T17379" s="41"/>
    </row>
    <row r="17380" spans="20:20" s="566" customFormat="1">
      <c r="T17380" s="41"/>
    </row>
    <row r="17381" spans="20:20" s="566" customFormat="1">
      <c r="T17381" s="41"/>
    </row>
    <row r="17382" spans="20:20" s="566" customFormat="1">
      <c r="T17382" s="41"/>
    </row>
    <row r="17383" spans="20:20" s="566" customFormat="1">
      <c r="T17383" s="41"/>
    </row>
    <row r="17384" spans="20:20" s="566" customFormat="1">
      <c r="T17384" s="41"/>
    </row>
    <row r="17385" spans="20:20" s="566" customFormat="1">
      <c r="T17385" s="41"/>
    </row>
    <row r="17386" spans="20:20" s="566" customFormat="1">
      <c r="T17386" s="41"/>
    </row>
    <row r="17387" spans="20:20" s="566" customFormat="1">
      <c r="T17387" s="41"/>
    </row>
    <row r="17388" spans="20:20" s="566" customFormat="1">
      <c r="T17388" s="41"/>
    </row>
    <row r="17389" spans="20:20" s="566" customFormat="1">
      <c r="T17389" s="41"/>
    </row>
    <row r="17390" spans="20:20" s="566" customFormat="1">
      <c r="T17390" s="41"/>
    </row>
    <row r="17391" spans="20:20" s="566" customFormat="1">
      <c r="T17391" s="41"/>
    </row>
    <row r="17392" spans="20:20" s="566" customFormat="1">
      <c r="T17392" s="41"/>
    </row>
    <row r="17393" spans="20:20" s="566" customFormat="1">
      <c r="T17393" s="41"/>
    </row>
    <row r="17394" spans="20:20" s="566" customFormat="1">
      <c r="T17394" s="41"/>
    </row>
    <row r="17395" spans="20:20" s="566" customFormat="1">
      <c r="T17395" s="41"/>
    </row>
    <row r="17396" spans="20:20" s="566" customFormat="1">
      <c r="T17396" s="41"/>
    </row>
    <row r="17397" spans="20:20" s="566" customFormat="1">
      <c r="T17397" s="41"/>
    </row>
    <row r="17398" spans="20:20" s="566" customFormat="1">
      <c r="T17398" s="41"/>
    </row>
    <row r="17399" spans="20:20" s="566" customFormat="1">
      <c r="T17399" s="41"/>
    </row>
    <row r="17400" spans="20:20" s="566" customFormat="1">
      <c r="T17400" s="41"/>
    </row>
    <row r="17401" spans="20:20" s="566" customFormat="1">
      <c r="T17401" s="41"/>
    </row>
    <row r="17402" spans="20:20" s="566" customFormat="1">
      <c r="T17402" s="41"/>
    </row>
    <row r="17403" spans="20:20" s="566" customFormat="1">
      <c r="T17403" s="41"/>
    </row>
    <row r="17404" spans="20:20" s="566" customFormat="1">
      <c r="T17404" s="41"/>
    </row>
    <row r="17405" spans="20:20" s="566" customFormat="1">
      <c r="T17405" s="41"/>
    </row>
    <row r="17406" spans="20:20" s="566" customFormat="1">
      <c r="T17406" s="41"/>
    </row>
    <row r="17407" spans="20:20" s="566" customFormat="1">
      <c r="T17407" s="41"/>
    </row>
    <row r="17408" spans="20:20" s="566" customFormat="1">
      <c r="T17408" s="41"/>
    </row>
    <row r="17409" spans="20:20" s="566" customFormat="1">
      <c r="T17409" s="41"/>
    </row>
    <row r="17410" spans="20:20" s="566" customFormat="1">
      <c r="T17410" s="41"/>
    </row>
    <row r="17411" spans="20:20" s="566" customFormat="1">
      <c r="T17411" s="41"/>
    </row>
    <row r="17412" spans="20:20" s="566" customFormat="1">
      <c r="T17412" s="41"/>
    </row>
    <row r="17413" spans="20:20" s="566" customFormat="1">
      <c r="T17413" s="41"/>
    </row>
    <row r="17414" spans="20:20" s="566" customFormat="1">
      <c r="T17414" s="41"/>
    </row>
    <row r="17415" spans="20:20" s="566" customFormat="1">
      <c r="T17415" s="41"/>
    </row>
    <row r="17416" spans="20:20" s="566" customFormat="1">
      <c r="T17416" s="41"/>
    </row>
    <row r="17417" spans="20:20" s="566" customFormat="1">
      <c r="T17417" s="41"/>
    </row>
    <row r="17418" spans="20:20" s="566" customFormat="1">
      <c r="T17418" s="41"/>
    </row>
    <row r="17419" spans="20:20" s="566" customFormat="1">
      <c r="T17419" s="41"/>
    </row>
    <row r="17420" spans="20:20" s="566" customFormat="1">
      <c r="T17420" s="41"/>
    </row>
    <row r="17421" spans="20:20" s="566" customFormat="1">
      <c r="T17421" s="41"/>
    </row>
    <row r="17422" spans="20:20" s="566" customFormat="1">
      <c r="T17422" s="41"/>
    </row>
    <row r="17423" spans="20:20" s="566" customFormat="1">
      <c r="T17423" s="41"/>
    </row>
    <row r="17424" spans="20:20" s="566" customFormat="1">
      <c r="T17424" s="41"/>
    </row>
    <row r="17425" spans="20:20" s="566" customFormat="1">
      <c r="T17425" s="41"/>
    </row>
    <row r="17426" spans="20:20" s="566" customFormat="1">
      <c r="T17426" s="41"/>
    </row>
    <row r="17427" spans="20:20" s="566" customFormat="1">
      <c r="T17427" s="41"/>
    </row>
    <row r="17428" spans="20:20" s="566" customFormat="1">
      <c r="T17428" s="41"/>
    </row>
    <row r="17429" spans="20:20" s="566" customFormat="1">
      <c r="T17429" s="41"/>
    </row>
    <row r="17430" spans="20:20" s="566" customFormat="1">
      <c r="T17430" s="41"/>
    </row>
    <row r="17431" spans="20:20" s="566" customFormat="1">
      <c r="T17431" s="41"/>
    </row>
    <row r="17432" spans="20:20" s="566" customFormat="1">
      <c r="T17432" s="41"/>
    </row>
    <row r="17433" spans="20:20" s="566" customFormat="1">
      <c r="T17433" s="41"/>
    </row>
    <row r="17434" spans="20:20" s="566" customFormat="1">
      <c r="T17434" s="41"/>
    </row>
    <row r="17435" spans="20:20" s="566" customFormat="1">
      <c r="T17435" s="41"/>
    </row>
    <row r="17436" spans="20:20" s="566" customFormat="1">
      <c r="T17436" s="41"/>
    </row>
    <row r="17437" spans="20:20" s="566" customFormat="1">
      <c r="T17437" s="41"/>
    </row>
    <row r="17438" spans="20:20" s="566" customFormat="1">
      <c r="T17438" s="41"/>
    </row>
    <row r="17439" spans="20:20" s="566" customFormat="1">
      <c r="T17439" s="41"/>
    </row>
    <row r="17440" spans="20:20" s="566" customFormat="1">
      <c r="T17440" s="41"/>
    </row>
    <row r="17441" spans="20:20" s="566" customFormat="1">
      <c r="T17441" s="41"/>
    </row>
    <row r="17442" spans="20:20" s="566" customFormat="1">
      <c r="T17442" s="41"/>
    </row>
    <row r="17443" spans="20:20" s="566" customFormat="1">
      <c r="T17443" s="41"/>
    </row>
    <row r="17444" spans="20:20" s="566" customFormat="1">
      <c r="T17444" s="41"/>
    </row>
    <row r="17445" spans="20:20" s="566" customFormat="1">
      <c r="T17445" s="41"/>
    </row>
    <row r="17446" spans="20:20" s="566" customFormat="1">
      <c r="T17446" s="41"/>
    </row>
    <row r="17447" spans="20:20" s="566" customFormat="1">
      <c r="T17447" s="41"/>
    </row>
    <row r="17448" spans="20:20" s="566" customFormat="1">
      <c r="T17448" s="41"/>
    </row>
    <row r="17449" spans="20:20" s="566" customFormat="1">
      <c r="T17449" s="41"/>
    </row>
    <row r="17450" spans="20:20" s="566" customFormat="1">
      <c r="T17450" s="41"/>
    </row>
    <row r="17451" spans="20:20" s="566" customFormat="1">
      <c r="T17451" s="41"/>
    </row>
    <row r="17452" spans="20:20" s="566" customFormat="1">
      <c r="T17452" s="41"/>
    </row>
    <row r="17453" spans="20:20" s="566" customFormat="1">
      <c r="T17453" s="41"/>
    </row>
    <row r="17454" spans="20:20" s="566" customFormat="1">
      <c r="T17454" s="41"/>
    </row>
    <row r="17455" spans="20:20" s="566" customFormat="1">
      <c r="T17455" s="41"/>
    </row>
    <row r="17456" spans="20:20" s="566" customFormat="1">
      <c r="T17456" s="41"/>
    </row>
    <row r="17457" spans="20:20" s="566" customFormat="1">
      <c r="T17457" s="41"/>
    </row>
    <row r="17458" spans="20:20" s="566" customFormat="1">
      <c r="T17458" s="41"/>
    </row>
    <row r="17459" spans="20:20" s="566" customFormat="1">
      <c r="T17459" s="41"/>
    </row>
    <row r="17460" spans="20:20" s="566" customFormat="1">
      <c r="T17460" s="41"/>
    </row>
    <row r="17461" spans="20:20" s="566" customFormat="1">
      <c r="T17461" s="41"/>
    </row>
    <row r="17462" spans="20:20" s="566" customFormat="1">
      <c r="T17462" s="41"/>
    </row>
    <row r="17463" spans="20:20" s="566" customFormat="1">
      <c r="T17463" s="41"/>
    </row>
    <row r="17464" spans="20:20" s="566" customFormat="1">
      <c r="T17464" s="41"/>
    </row>
    <row r="17465" spans="20:20" s="566" customFormat="1">
      <c r="T17465" s="41"/>
    </row>
    <row r="17466" spans="20:20" s="566" customFormat="1">
      <c r="T17466" s="41"/>
    </row>
    <row r="17467" spans="20:20" s="566" customFormat="1">
      <c r="T17467" s="41"/>
    </row>
    <row r="17468" spans="20:20" s="566" customFormat="1">
      <c r="T17468" s="41"/>
    </row>
    <row r="17469" spans="20:20" s="566" customFormat="1">
      <c r="T17469" s="41"/>
    </row>
    <row r="17470" spans="20:20" s="566" customFormat="1">
      <c r="T17470" s="41"/>
    </row>
    <row r="17471" spans="20:20" s="566" customFormat="1">
      <c r="T17471" s="41"/>
    </row>
    <row r="17472" spans="20:20" s="566" customFormat="1">
      <c r="T17472" s="41"/>
    </row>
    <row r="17473" spans="20:20" s="566" customFormat="1">
      <c r="T17473" s="41"/>
    </row>
    <row r="17474" spans="20:20" s="566" customFormat="1">
      <c r="T17474" s="41"/>
    </row>
    <row r="17475" spans="20:20" s="566" customFormat="1">
      <c r="T17475" s="41"/>
    </row>
    <row r="17476" spans="20:20" s="566" customFormat="1">
      <c r="T17476" s="41"/>
    </row>
    <row r="17477" spans="20:20" s="566" customFormat="1">
      <c r="T17477" s="41"/>
    </row>
    <row r="17478" spans="20:20" s="566" customFormat="1">
      <c r="T17478" s="41"/>
    </row>
    <row r="17479" spans="20:20" s="566" customFormat="1">
      <c r="T17479" s="41"/>
    </row>
    <row r="17480" spans="20:20" s="566" customFormat="1">
      <c r="T17480" s="41"/>
    </row>
    <row r="17481" spans="20:20" s="566" customFormat="1">
      <c r="T17481" s="41"/>
    </row>
    <row r="17482" spans="20:20" s="566" customFormat="1">
      <c r="T17482" s="41"/>
    </row>
    <row r="17483" spans="20:20" s="566" customFormat="1">
      <c r="T17483" s="41"/>
    </row>
    <row r="17484" spans="20:20" s="566" customFormat="1">
      <c r="T17484" s="41"/>
    </row>
    <row r="17485" spans="20:20" s="566" customFormat="1">
      <c r="T17485" s="41"/>
    </row>
    <row r="17486" spans="20:20" s="566" customFormat="1">
      <c r="T17486" s="41"/>
    </row>
    <row r="17487" spans="20:20" s="566" customFormat="1">
      <c r="T17487" s="41"/>
    </row>
    <row r="17488" spans="20:20" s="566" customFormat="1">
      <c r="T17488" s="41"/>
    </row>
    <row r="17489" spans="20:20" s="566" customFormat="1">
      <c r="T17489" s="41"/>
    </row>
    <row r="17490" spans="20:20" s="566" customFormat="1">
      <c r="T17490" s="41"/>
    </row>
    <row r="17491" spans="20:20" s="566" customFormat="1">
      <c r="T17491" s="41"/>
    </row>
    <row r="17492" spans="20:20" s="566" customFormat="1">
      <c r="T17492" s="41"/>
    </row>
    <row r="17493" spans="20:20" s="566" customFormat="1">
      <c r="T17493" s="41"/>
    </row>
    <row r="17494" spans="20:20" s="566" customFormat="1">
      <c r="T17494" s="41"/>
    </row>
    <row r="17495" spans="20:20" s="566" customFormat="1">
      <c r="T17495" s="41"/>
    </row>
    <row r="17496" spans="20:20" s="566" customFormat="1">
      <c r="T17496" s="41"/>
    </row>
    <row r="17497" spans="20:20" s="566" customFormat="1">
      <c r="T17497" s="41"/>
    </row>
    <row r="17498" spans="20:20" s="566" customFormat="1">
      <c r="T17498" s="41"/>
    </row>
    <row r="17499" spans="20:20" s="566" customFormat="1">
      <c r="T17499" s="41"/>
    </row>
    <row r="17500" spans="20:20" s="566" customFormat="1">
      <c r="T17500" s="41"/>
    </row>
    <row r="17501" spans="20:20" s="566" customFormat="1">
      <c r="T17501" s="41"/>
    </row>
    <row r="17502" spans="20:20" s="566" customFormat="1">
      <c r="T17502" s="41"/>
    </row>
    <row r="17503" spans="20:20" s="566" customFormat="1">
      <c r="T17503" s="41"/>
    </row>
    <row r="17504" spans="20:20" s="566" customFormat="1">
      <c r="T17504" s="41"/>
    </row>
    <row r="17505" spans="20:20" s="566" customFormat="1">
      <c r="T17505" s="41"/>
    </row>
    <row r="17506" spans="20:20" s="566" customFormat="1">
      <c r="T17506" s="41"/>
    </row>
    <row r="17507" spans="20:20" s="566" customFormat="1">
      <c r="T17507" s="41"/>
    </row>
    <row r="17508" spans="20:20" s="566" customFormat="1">
      <c r="T17508" s="41"/>
    </row>
    <row r="17509" spans="20:20" s="566" customFormat="1">
      <c r="T17509" s="41"/>
    </row>
    <row r="17510" spans="20:20" s="566" customFormat="1">
      <c r="T17510" s="41"/>
    </row>
    <row r="17511" spans="20:20" s="566" customFormat="1">
      <c r="T17511" s="41"/>
    </row>
    <row r="17512" spans="20:20" s="566" customFormat="1">
      <c r="T17512" s="41"/>
    </row>
    <row r="17513" spans="20:20" s="566" customFormat="1">
      <c r="T17513" s="41"/>
    </row>
    <row r="17514" spans="20:20" s="566" customFormat="1">
      <c r="T17514" s="41"/>
    </row>
    <row r="17515" spans="20:20" s="566" customFormat="1">
      <c r="T17515" s="41"/>
    </row>
    <row r="17516" spans="20:20" s="566" customFormat="1">
      <c r="T17516" s="41"/>
    </row>
    <row r="17517" spans="20:20" s="566" customFormat="1">
      <c r="T17517" s="41"/>
    </row>
    <row r="17518" spans="20:20" s="566" customFormat="1">
      <c r="T17518" s="41"/>
    </row>
    <row r="17519" spans="20:20" s="566" customFormat="1">
      <c r="T17519" s="41"/>
    </row>
    <row r="17520" spans="20:20" s="566" customFormat="1">
      <c r="T17520" s="41"/>
    </row>
    <row r="17521" spans="20:20" s="566" customFormat="1">
      <c r="T17521" s="41"/>
    </row>
    <row r="17522" spans="20:20" s="566" customFormat="1">
      <c r="T17522" s="41"/>
    </row>
    <row r="17523" spans="20:20" s="566" customFormat="1">
      <c r="T17523" s="41"/>
    </row>
    <row r="17524" spans="20:20" s="566" customFormat="1">
      <c r="T17524" s="41"/>
    </row>
    <row r="17525" spans="20:20" s="566" customFormat="1">
      <c r="T17525" s="41"/>
    </row>
    <row r="17526" spans="20:20" s="566" customFormat="1">
      <c r="T17526" s="41"/>
    </row>
    <row r="17527" spans="20:20" s="566" customFormat="1">
      <c r="T17527" s="41"/>
    </row>
    <row r="17528" spans="20:20" s="566" customFormat="1">
      <c r="T17528" s="41"/>
    </row>
    <row r="17529" spans="20:20" s="566" customFormat="1">
      <c r="T17529" s="41"/>
    </row>
    <row r="17530" spans="20:20" s="566" customFormat="1">
      <c r="T17530" s="41"/>
    </row>
    <row r="17531" spans="20:20" s="566" customFormat="1">
      <c r="T17531" s="41"/>
    </row>
    <row r="17532" spans="20:20" s="566" customFormat="1">
      <c r="T17532" s="41"/>
    </row>
    <row r="17533" spans="20:20" s="566" customFormat="1">
      <c r="T17533" s="41"/>
    </row>
    <row r="17534" spans="20:20" s="566" customFormat="1">
      <c r="T17534" s="41"/>
    </row>
    <row r="17535" spans="20:20" s="566" customFormat="1">
      <c r="T17535" s="41"/>
    </row>
    <row r="17536" spans="20:20" s="566" customFormat="1">
      <c r="T17536" s="41"/>
    </row>
    <row r="17537" spans="20:20" s="566" customFormat="1">
      <c r="T17537" s="41"/>
    </row>
    <row r="17538" spans="20:20" s="566" customFormat="1">
      <c r="T17538" s="41"/>
    </row>
    <row r="17539" spans="20:20" s="566" customFormat="1">
      <c r="T17539" s="41"/>
    </row>
    <row r="17540" spans="20:20" s="566" customFormat="1">
      <c r="T17540" s="41"/>
    </row>
    <row r="17541" spans="20:20" s="566" customFormat="1">
      <c r="T17541" s="41"/>
    </row>
    <row r="17542" spans="20:20" s="566" customFormat="1">
      <c r="T17542" s="41"/>
    </row>
    <row r="17543" spans="20:20" s="566" customFormat="1">
      <c r="T17543" s="41"/>
    </row>
    <row r="17544" spans="20:20" s="566" customFormat="1">
      <c r="T17544" s="41"/>
    </row>
    <row r="17545" spans="20:20" s="566" customFormat="1">
      <c r="T17545" s="41"/>
    </row>
    <row r="17546" spans="20:20" s="566" customFormat="1">
      <c r="T17546" s="41"/>
    </row>
    <row r="17547" spans="20:20" s="566" customFormat="1">
      <c r="T17547" s="41"/>
    </row>
    <row r="17548" spans="20:20" s="566" customFormat="1">
      <c r="T17548" s="41"/>
    </row>
    <row r="17549" spans="20:20" s="566" customFormat="1">
      <c r="T17549" s="41"/>
    </row>
    <row r="17550" spans="20:20" s="566" customFormat="1">
      <c r="T17550" s="41"/>
    </row>
    <row r="17551" spans="20:20" s="566" customFormat="1">
      <c r="T17551" s="41"/>
    </row>
    <row r="17552" spans="20:20" s="566" customFormat="1">
      <c r="T17552" s="41"/>
    </row>
    <row r="17553" spans="20:20" s="566" customFormat="1">
      <c r="T17553" s="41"/>
    </row>
    <row r="17554" spans="20:20" s="566" customFormat="1">
      <c r="T17554" s="41"/>
    </row>
    <row r="17555" spans="20:20" s="566" customFormat="1">
      <c r="T17555" s="41"/>
    </row>
    <row r="17556" spans="20:20" s="566" customFormat="1">
      <c r="T17556" s="41"/>
    </row>
    <row r="17557" spans="20:20" s="566" customFormat="1">
      <c r="T17557" s="41"/>
    </row>
    <row r="17558" spans="20:20" s="566" customFormat="1">
      <c r="T17558" s="41"/>
    </row>
    <row r="17559" spans="20:20" s="566" customFormat="1">
      <c r="T17559" s="41"/>
    </row>
    <row r="17560" spans="20:20" s="566" customFormat="1">
      <c r="T17560" s="41"/>
    </row>
    <row r="17561" spans="20:20" s="566" customFormat="1">
      <c r="T17561" s="41"/>
    </row>
    <row r="17562" spans="20:20" s="566" customFormat="1">
      <c r="T17562" s="41"/>
    </row>
    <row r="17563" spans="20:20" s="566" customFormat="1">
      <c r="T17563" s="41"/>
    </row>
    <row r="17564" spans="20:20" s="566" customFormat="1">
      <c r="T17564" s="41"/>
    </row>
    <row r="17565" spans="20:20" s="566" customFormat="1">
      <c r="T17565" s="41"/>
    </row>
    <row r="17566" spans="20:20" s="566" customFormat="1">
      <c r="T17566" s="41"/>
    </row>
    <row r="17567" spans="20:20" s="566" customFormat="1">
      <c r="T17567" s="41"/>
    </row>
    <row r="17568" spans="20:20" s="566" customFormat="1">
      <c r="T17568" s="41"/>
    </row>
    <row r="17569" spans="20:20" s="566" customFormat="1">
      <c r="T17569" s="41"/>
    </row>
    <row r="17570" spans="20:20" s="566" customFormat="1">
      <c r="T17570" s="41"/>
    </row>
    <row r="17571" spans="20:20" s="566" customFormat="1">
      <c r="T17571" s="41"/>
    </row>
    <row r="17572" spans="20:20" s="566" customFormat="1">
      <c r="T17572" s="41"/>
    </row>
    <row r="17573" spans="20:20" s="566" customFormat="1">
      <c r="T17573" s="41"/>
    </row>
    <row r="17574" spans="20:20" s="566" customFormat="1">
      <c r="T17574" s="41"/>
    </row>
    <row r="17575" spans="20:20" s="566" customFormat="1">
      <c r="T17575" s="41"/>
    </row>
    <row r="17576" spans="20:20" s="566" customFormat="1">
      <c r="T17576" s="41"/>
    </row>
    <row r="17577" spans="20:20" s="566" customFormat="1">
      <c r="T17577" s="41"/>
    </row>
    <row r="17578" spans="20:20" s="566" customFormat="1">
      <c r="T17578" s="41"/>
    </row>
    <row r="17579" spans="20:20" s="566" customFormat="1">
      <c r="T17579" s="41"/>
    </row>
    <row r="17580" spans="20:20" s="566" customFormat="1">
      <c r="T17580" s="41"/>
    </row>
    <row r="17581" spans="20:20" s="566" customFormat="1">
      <c r="T17581" s="41"/>
    </row>
    <row r="17582" spans="20:20" s="566" customFormat="1">
      <c r="T17582" s="41"/>
    </row>
    <row r="17583" spans="20:20" s="566" customFormat="1">
      <c r="T17583" s="41"/>
    </row>
    <row r="17584" spans="20:20" s="566" customFormat="1">
      <c r="T17584" s="41"/>
    </row>
    <row r="17585" spans="20:20" s="566" customFormat="1">
      <c r="T17585" s="41"/>
    </row>
    <row r="17586" spans="20:20" s="566" customFormat="1">
      <c r="T17586" s="41"/>
    </row>
    <row r="17587" spans="20:20" s="566" customFormat="1">
      <c r="T17587" s="41"/>
    </row>
    <row r="17588" spans="20:20" s="566" customFormat="1">
      <c r="T17588" s="41"/>
    </row>
    <row r="17589" spans="20:20" s="566" customFormat="1">
      <c r="T17589" s="41"/>
    </row>
    <row r="17590" spans="20:20" s="566" customFormat="1">
      <c r="T17590" s="41"/>
    </row>
    <row r="17591" spans="20:20" s="566" customFormat="1">
      <c r="T17591" s="41"/>
    </row>
    <row r="17592" spans="20:20" s="566" customFormat="1">
      <c r="T17592" s="41"/>
    </row>
    <row r="17593" spans="20:20" s="566" customFormat="1">
      <c r="T17593" s="41"/>
    </row>
    <row r="17594" spans="20:20" s="566" customFormat="1">
      <c r="T17594" s="41"/>
    </row>
    <row r="17595" spans="20:20" s="566" customFormat="1">
      <c r="T17595" s="41"/>
    </row>
    <row r="17596" spans="20:20" s="566" customFormat="1">
      <c r="T17596" s="41"/>
    </row>
    <row r="17597" spans="20:20" s="566" customFormat="1">
      <c r="T17597" s="41"/>
    </row>
    <row r="17598" spans="20:20" s="566" customFormat="1">
      <c r="T17598" s="41"/>
    </row>
    <row r="17599" spans="20:20" s="566" customFormat="1">
      <c r="T17599" s="41"/>
    </row>
    <row r="17600" spans="20:20" s="566" customFormat="1">
      <c r="T17600" s="41"/>
    </row>
    <row r="17601" spans="20:20" s="566" customFormat="1">
      <c r="T17601" s="41"/>
    </row>
    <row r="17602" spans="20:20" s="566" customFormat="1">
      <c r="T17602" s="41"/>
    </row>
    <row r="17603" spans="20:20" s="566" customFormat="1">
      <c r="T17603" s="41"/>
    </row>
    <row r="17604" spans="20:20" s="566" customFormat="1">
      <c r="T17604" s="41"/>
    </row>
    <row r="17605" spans="20:20" s="566" customFormat="1">
      <c r="T17605" s="41"/>
    </row>
    <row r="17606" spans="20:20" s="566" customFormat="1">
      <c r="T17606" s="41"/>
    </row>
    <row r="17607" spans="20:20" s="566" customFormat="1">
      <c r="T17607" s="41"/>
    </row>
    <row r="17608" spans="20:20" s="566" customFormat="1">
      <c r="T17608" s="41"/>
    </row>
    <row r="17609" spans="20:20" s="566" customFormat="1">
      <c r="T17609" s="41"/>
    </row>
    <row r="17610" spans="20:20" s="566" customFormat="1">
      <c r="T17610" s="41"/>
    </row>
    <row r="17611" spans="20:20" s="566" customFormat="1">
      <c r="T17611" s="41"/>
    </row>
    <row r="17612" spans="20:20" s="566" customFormat="1">
      <c r="T17612" s="41"/>
    </row>
    <row r="17613" spans="20:20" s="566" customFormat="1">
      <c r="T17613" s="41"/>
    </row>
    <row r="17614" spans="20:20" s="566" customFormat="1">
      <c r="T17614" s="41"/>
    </row>
    <row r="17615" spans="20:20" s="566" customFormat="1">
      <c r="T17615" s="41"/>
    </row>
    <row r="17616" spans="20:20" s="566" customFormat="1">
      <c r="T17616" s="41"/>
    </row>
    <row r="17617" spans="20:20" s="566" customFormat="1">
      <c r="T17617" s="41"/>
    </row>
    <row r="17618" spans="20:20" s="566" customFormat="1">
      <c r="T17618" s="41"/>
    </row>
    <row r="17619" spans="20:20" s="566" customFormat="1">
      <c r="T17619" s="41"/>
    </row>
    <row r="17620" spans="20:20" s="566" customFormat="1">
      <c r="T17620" s="41"/>
    </row>
    <row r="17621" spans="20:20" s="566" customFormat="1">
      <c r="T17621" s="41"/>
    </row>
    <row r="17622" spans="20:20" s="566" customFormat="1">
      <c r="T17622" s="41"/>
    </row>
    <row r="17623" spans="20:20" s="566" customFormat="1">
      <c r="T17623" s="41"/>
    </row>
    <row r="17624" spans="20:20" s="566" customFormat="1">
      <c r="T17624" s="41"/>
    </row>
    <row r="17625" spans="20:20" s="566" customFormat="1">
      <c r="T17625" s="41"/>
    </row>
    <row r="17626" spans="20:20" s="566" customFormat="1">
      <c r="T17626" s="41"/>
    </row>
    <row r="17627" spans="20:20" s="566" customFormat="1">
      <c r="T17627" s="41"/>
    </row>
    <row r="17628" spans="20:20" s="566" customFormat="1">
      <c r="T17628" s="41"/>
    </row>
    <row r="17629" spans="20:20" s="566" customFormat="1">
      <c r="T17629" s="41"/>
    </row>
    <row r="17630" spans="20:20" s="566" customFormat="1">
      <c r="T17630" s="41"/>
    </row>
    <row r="17631" spans="20:20" s="566" customFormat="1">
      <c r="T17631" s="41"/>
    </row>
    <row r="17632" spans="20:20" s="566" customFormat="1">
      <c r="T17632" s="41"/>
    </row>
    <row r="17633" spans="20:20" s="566" customFormat="1">
      <c r="T17633" s="41"/>
    </row>
    <row r="17634" spans="20:20" s="566" customFormat="1">
      <c r="T17634" s="41"/>
    </row>
    <row r="17635" spans="20:20" s="566" customFormat="1">
      <c r="T17635" s="41"/>
    </row>
    <row r="17636" spans="20:20" s="566" customFormat="1">
      <c r="T17636" s="41"/>
    </row>
    <row r="17637" spans="20:20" s="566" customFormat="1">
      <c r="T17637" s="41"/>
    </row>
    <row r="17638" spans="20:20" s="566" customFormat="1">
      <c r="T17638" s="41"/>
    </row>
    <row r="17639" spans="20:20" s="566" customFormat="1">
      <c r="T17639" s="41"/>
    </row>
    <row r="17640" spans="20:20" s="566" customFormat="1">
      <c r="T17640" s="41"/>
    </row>
    <row r="17641" spans="20:20" s="566" customFormat="1">
      <c r="T17641" s="41"/>
    </row>
    <row r="17642" spans="20:20" s="566" customFormat="1">
      <c r="T17642" s="41"/>
    </row>
    <row r="17643" spans="20:20" s="566" customFormat="1">
      <c r="T17643" s="41"/>
    </row>
    <row r="17644" spans="20:20" s="566" customFormat="1">
      <c r="T17644" s="41"/>
    </row>
    <row r="17645" spans="20:20" s="566" customFormat="1">
      <c r="T17645" s="41"/>
    </row>
    <row r="17646" spans="20:20" s="566" customFormat="1">
      <c r="T17646" s="41"/>
    </row>
    <row r="17647" spans="20:20" s="566" customFormat="1">
      <c r="T17647" s="41"/>
    </row>
    <row r="17648" spans="20:20" s="566" customFormat="1">
      <c r="T17648" s="41"/>
    </row>
    <row r="17649" spans="20:20" s="566" customFormat="1">
      <c r="T17649" s="41"/>
    </row>
    <row r="17650" spans="20:20" s="566" customFormat="1">
      <c r="T17650" s="41"/>
    </row>
    <row r="17651" spans="20:20" s="566" customFormat="1">
      <c r="T17651" s="41"/>
    </row>
    <row r="17652" spans="20:20" s="566" customFormat="1">
      <c r="T17652" s="41"/>
    </row>
    <row r="17653" spans="20:20" s="566" customFormat="1">
      <c r="T17653" s="41"/>
    </row>
    <row r="17654" spans="20:20" s="566" customFormat="1">
      <c r="T17654" s="41"/>
    </row>
    <row r="17655" spans="20:20" s="566" customFormat="1">
      <c r="T17655" s="41"/>
    </row>
    <row r="17656" spans="20:20" s="566" customFormat="1">
      <c r="T17656" s="41"/>
    </row>
    <row r="17657" spans="20:20" s="566" customFormat="1">
      <c r="T17657" s="41"/>
    </row>
    <row r="17658" spans="20:20" s="566" customFormat="1">
      <c r="T17658" s="41"/>
    </row>
    <row r="17659" spans="20:20" s="566" customFormat="1">
      <c r="T17659" s="41"/>
    </row>
    <row r="17660" spans="20:20" s="566" customFormat="1">
      <c r="T17660" s="41"/>
    </row>
    <row r="17661" spans="20:20" s="566" customFormat="1">
      <c r="T17661" s="41"/>
    </row>
    <row r="17662" spans="20:20" s="566" customFormat="1">
      <c r="T17662" s="41"/>
    </row>
    <row r="17663" spans="20:20" s="566" customFormat="1">
      <c r="T17663" s="41"/>
    </row>
    <row r="17664" spans="20:20" s="566" customFormat="1">
      <c r="T17664" s="41"/>
    </row>
    <row r="17665" spans="20:20" s="566" customFormat="1">
      <c r="T17665" s="41"/>
    </row>
    <row r="17666" spans="20:20" s="566" customFormat="1">
      <c r="T17666" s="41"/>
    </row>
    <row r="17667" spans="20:20" s="566" customFormat="1">
      <c r="T17667" s="41"/>
    </row>
    <row r="17668" spans="20:20" s="566" customFormat="1">
      <c r="T17668" s="41"/>
    </row>
    <row r="17669" spans="20:20" s="566" customFormat="1">
      <c r="T17669" s="41"/>
    </row>
    <row r="17670" spans="20:20" s="566" customFormat="1">
      <c r="T17670" s="41"/>
    </row>
    <row r="17671" spans="20:20" s="566" customFormat="1">
      <c r="T17671" s="41"/>
    </row>
    <row r="17672" spans="20:20" s="566" customFormat="1">
      <c r="T17672" s="41"/>
    </row>
    <row r="17673" spans="20:20" s="566" customFormat="1">
      <c r="T17673" s="41"/>
    </row>
    <row r="17674" spans="20:20" s="566" customFormat="1">
      <c r="T17674" s="41"/>
    </row>
    <row r="17675" spans="20:20" s="566" customFormat="1">
      <c r="T17675" s="41"/>
    </row>
    <row r="17676" spans="20:20" s="566" customFormat="1">
      <c r="T17676" s="41"/>
    </row>
    <row r="17677" spans="20:20" s="566" customFormat="1">
      <c r="T17677" s="41"/>
    </row>
    <row r="17678" spans="20:20" s="566" customFormat="1">
      <c r="T17678" s="41"/>
    </row>
    <row r="17679" spans="20:20" s="566" customFormat="1">
      <c r="T17679" s="41"/>
    </row>
    <row r="17680" spans="20:20" s="566" customFormat="1">
      <c r="T17680" s="41"/>
    </row>
    <row r="17681" spans="20:20" s="566" customFormat="1">
      <c r="T17681" s="41"/>
    </row>
    <row r="17682" spans="20:20" s="566" customFormat="1">
      <c r="T17682" s="41"/>
    </row>
    <row r="17683" spans="20:20" s="566" customFormat="1">
      <c r="T17683" s="41"/>
    </row>
    <row r="17684" spans="20:20" s="566" customFormat="1">
      <c r="T17684" s="41"/>
    </row>
    <row r="17685" spans="20:20" s="566" customFormat="1">
      <c r="T17685" s="41"/>
    </row>
    <row r="17686" spans="20:20" s="566" customFormat="1">
      <c r="T17686" s="41"/>
    </row>
    <row r="17687" spans="20:20" s="566" customFormat="1">
      <c r="T17687" s="41"/>
    </row>
    <row r="17688" spans="20:20" s="566" customFormat="1">
      <c r="T17688" s="41"/>
    </row>
    <row r="17689" spans="20:20" s="566" customFormat="1">
      <c r="T17689" s="41"/>
    </row>
    <row r="17690" spans="20:20" s="566" customFormat="1">
      <c r="T17690" s="41"/>
    </row>
    <row r="17691" spans="20:20" s="566" customFormat="1">
      <c r="T17691" s="41"/>
    </row>
    <row r="17692" spans="20:20" s="566" customFormat="1">
      <c r="T17692" s="41"/>
    </row>
    <row r="17693" spans="20:20" s="566" customFormat="1">
      <c r="T17693" s="41"/>
    </row>
    <row r="17694" spans="20:20" s="566" customFormat="1">
      <c r="T17694" s="41"/>
    </row>
    <row r="17695" spans="20:20" s="566" customFormat="1">
      <c r="T17695" s="41"/>
    </row>
    <row r="17696" spans="20:20" s="566" customFormat="1">
      <c r="T17696" s="41"/>
    </row>
    <row r="17697" spans="20:20" s="566" customFormat="1">
      <c r="T17697" s="41"/>
    </row>
    <row r="17698" spans="20:20" s="566" customFormat="1">
      <c r="T17698" s="41"/>
    </row>
    <row r="17699" spans="20:20" s="566" customFormat="1">
      <c r="T17699" s="41"/>
    </row>
    <row r="17700" spans="20:20" s="566" customFormat="1">
      <c r="T17700" s="41"/>
    </row>
    <row r="17701" spans="20:20" s="566" customFormat="1">
      <c r="T17701" s="41"/>
    </row>
    <row r="17702" spans="20:20" s="566" customFormat="1">
      <c r="T17702" s="41"/>
    </row>
    <row r="17703" spans="20:20" s="566" customFormat="1">
      <c r="T17703" s="41"/>
    </row>
    <row r="17704" spans="20:20" s="566" customFormat="1">
      <c r="T17704" s="41"/>
    </row>
    <row r="17705" spans="20:20" s="566" customFormat="1">
      <c r="T17705" s="41"/>
    </row>
    <row r="17706" spans="20:20" s="566" customFormat="1">
      <c r="T17706" s="41"/>
    </row>
    <row r="17707" spans="20:20" s="566" customFormat="1">
      <c r="T17707" s="41"/>
    </row>
    <row r="17708" spans="20:20" s="566" customFormat="1">
      <c r="T17708" s="41"/>
    </row>
    <row r="17709" spans="20:20" s="566" customFormat="1">
      <c r="T17709" s="41"/>
    </row>
    <row r="17710" spans="20:20" s="566" customFormat="1">
      <c r="T17710" s="41"/>
    </row>
    <row r="17711" spans="20:20" s="566" customFormat="1">
      <c r="T17711" s="41"/>
    </row>
    <row r="17712" spans="20:20" s="566" customFormat="1">
      <c r="T17712" s="41"/>
    </row>
    <row r="17713" spans="20:20" s="566" customFormat="1">
      <c r="T17713" s="41"/>
    </row>
    <row r="17714" spans="20:20" s="566" customFormat="1">
      <c r="T17714" s="41"/>
    </row>
    <row r="17715" spans="20:20" s="566" customFormat="1">
      <c r="T17715" s="41"/>
    </row>
    <row r="17716" spans="20:20" s="566" customFormat="1">
      <c r="T17716" s="41"/>
    </row>
    <row r="17717" spans="20:20" s="566" customFormat="1">
      <c r="T17717" s="41"/>
    </row>
    <row r="17718" spans="20:20" s="566" customFormat="1">
      <c r="T17718" s="41"/>
    </row>
    <row r="17719" spans="20:20" s="566" customFormat="1">
      <c r="T17719" s="41"/>
    </row>
    <row r="17720" spans="20:20" s="566" customFormat="1">
      <c r="T17720" s="41"/>
    </row>
    <row r="17721" spans="20:20" s="566" customFormat="1">
      <c r="T17721" s="41"/>
    </row>
    <row r="17722" spans="20:20" s="566" customFormat="1">
      <c r="T17722" s="41"/>
    </row>
    <row r="17723" spans="20:20" s="566" customFormat="1">
      <c r="T17723" s="41"/>
    </row>
    <row r="17724" spans="20:20" s="566" customFormat="1">
      <c r="T17724" s="41"/>
    </row>
    <row r="17725" spans="20:20" s="566" customFormat="1">
      <c r="T17725" s="41"/>
    </row>
    <row r="17726" spans="20:20" s="566" customFormat="1">
      <c r="T17726" s="41"/>
    </row>
    <row r="17727" spans="20:20" s="566" customFormat="1">
      <c r="T17727" s="41"/>
    </row>
    <row r="17728" spans="20:20" s="566" customFormat="1">
      <c r="T17728" s="41"/>
    </row>
    <row r="17729" spans="20:20" s="566" customFormat="1">
      <c r="T17729" s="41"/>
    </row>
    <row r="17730" spans="20:20" s="566" customFormat="1">
      <c r="T17730" s="41"/>
    </row>
    <row r="17731" spans="20:20" s="566" customFormat="1">
      <c r="T17731" s="41"/>
    </row>
    <row r="17732" spans="20:20" s="566" customFormat="1">
      <c r="T17732" s="41"/>
    </row>
    <row r="17733" spans="20:20" s="566" customFormat="1">
      <c r="T17733" s="41"/>
    </row>
    <row r="17734" spans="20:20" s="566" customFormat="1">
      <c r="T17734" s="41"/>
    </row>
    <row r="17735" spans="20:20" s="566" customFormat="1">
      <c r="T17735" s="41"/>
    </row>
    <row r="17736" spans="20:20" s="566" customFormat="1">
      <c r="T17736" s="41"/>
    </row>
    <row r="17737" spans="20:20" s="566" customFormat="1">
      <c r="T17737" s="41"/>
    </row>
    <row r="17738" spans="20:20" s="566" customFormat="1">
      <c r="T17738" s="41"/>
    </row>
    <row r="17739" spans="20:20" s="566" customFormat="1">
      <c r="T17739" s="41"/>
    </row>
    <row r="17740" spans="20:20" s="566" customFormat="1">
      <c r="T17740" s="41"/>
    </row>
    <row r="17741" spans="20:20" s="566" customFormat="1">
      <c r="T17741" s="41"/>
    </row>
    <row r="17742" spans="20:20" s="566" customFormat="1">
      <c r="T17742" s="41"/>
    </row>
    <row r="17743" spans="20:20" s="566" customFormat="1">
      <c r="T17743" s="41"/>
    </row>
    <row r="17744" spans="20:20" s="566" customFormat="1">
      <c r="T17744" s="41"/>
    </row>
    <row r="17745" spans="20:20" s="566" customFormat="1">
      <c r="T17745" s="41"/>
    </row>
    <row r="17746" spans="20:20" s="566" customFormat="1">
      <c r="T17746" s="41"/>
    </row>
    <row r="17747" spans="20:20" s="566" customFormat="1">
      <c r="T17747" s="41"/>
    </row>
    <row r="17748" spans="20:20" s="566" customFormat="1">
      <c r="T17748" s="41"/>
    </row>
    <row r="17749" spans="20:20" s="566" customFormat="1">
      <c r="T17749" s="41"/>
    </row>
    <row r="17750" spans="20:20" s="566" customFormat="1">
      <c r="T17750" s="41"/>
    </row>
    <row r="17751" spans="20:20" s="566" customFormat="1">
      <c r="T17751" s="41"/>
    </row>
    <row r="17752" spans="20:20" s="566" customFormat="1">
      <c r="T17752" s="41"/>
    </row>
    <row r="17753" spans="20:20" s="566" customFormat="1">
      <c r="T17753" s="41"/>
    </row>
    <row r="17754" spans="20:20" s="566" customFormat="1">
      <c r="T17754" s="41"/>
    </row>
    <row r="17755" spans="20:20" s="566" customFormat="1">
      <c r="T17755" s="41"/>
    </row>
    <row r="17756" spans="20:20" s="566" customFormat="1">
      <c r="T17756" s="41"/>
    </row>
    <row r="17757" spans="20:20" s="566" customFormat="1">
      <c r="T17757" s="41"/>
    </row>
    <row r="17758" spans="20:20" s="566" customFormat="1">
      <c r="T17758" s="41"/>
    </row>
    <row r="17759" spans="20:20" s="566" customFormat="1">
      <c r="T17759" s="41"/>
    </row>
    <row r="17760" spans="20:20" s="566" customFormat="1">
      <c r="T17760" s="41"/>
    </row>
    <row r="17761" spans="20:20" s="566" customFormat="1">
      <c r="T17761" s="41"/>
    </row>
    <row r="17762" spans="20:20" s="566" customFormat="1">
      <c r="T17762" s="41"/>
    </row>
    <row r="17763" spans="20:20" s="566" customFormat="1">
      <c r="T17763" s="41"/>
    </row>
    <row r="17764" spans="20:20" s="566" customFormat="1">
      <c r="T17764" s="41"/>
    </row>
    <row r="17765" spans="20:20" s="566" customFormat="1">
      <c r="T17765" s="41"/>
    </row>
    <row r="17766" spans="20:20" s="566" customFormat="1">
      <c r="T17766" s="41"/>
    </row>
    <row r="17767" spans="20:20" s="566" customFormat="1">
      <c r="T17767" s="41"/>
    </row>
    <row r="17768" spans="20:20" s="566" customFormat="1">
      <c r="T17768" s="41"/>
    </row>
    <row r="17769" spans="20:20" s="566" customFormat="1">
      <c r="T17769" s="41"/>
    </row>
    <row r="17770" spans="20:20" s="566" customFormat="1">
      <c r="T17770" s="41"/>
    </row>
    <row r="17771" spans="20:20" s="566" customFormat="1">
      <c r="T17771" s="41"/>
    </row>
    <row r="17772" spans="20:20" s="566" customFormat="1">
      <c r="T17772" s="41"/>
    </row>
    <row r="17773" spans="20:20" s="566" customFormat="1">
      <c r="T17773" s="41"/>
    </row>
    <row r="17774" spans="20:20" s="566" customFormat="1">
      <c r="T17774" s="41"/>
    </row>
    <row r="17775" spans="20:20" s="566" customFormat="1">
      <c r="T17775" s="41"/>
    </row>
    <row r="17776" spans="20:20" s="566" customFormat="1">
      <c r="T17776" s="41"/>
    </row>
    <row r="17777" spans="20:20" s="566" customFormat="1">
      <c r="T17777" s="41"/>
    </row>
    <row r="17778" spans="20:20" s="566" customFormat="1">
      <c r="T17778" s="41"/>
    </row>
    <row r="17779" spans="20:20" s="566" customFormat="1">
      <c r="T17779" s="41"/>
    </row>
    <row r="17780" spans="20:20" s="566" customFormat="1">
      <c r="T17780" s="41"/>
    </row>
    <row r="17781" spans="20:20" s="566" customFormat="1">
      <c r="T17781" s="41"/>
    </row>
    <row r="17782" spans="20:20" s="566" customFormat="1">
      <c r="T17782" s="41"/>
    </row>
    <row r="17783" spans="20:20" s="566" customFormat="1">
      <c r="T17783" s="41"/>
    </row>
    <row r="17784" spans="20:20" s="566" customFormat="1">
      <c r="T17784" s="41"/>
    </row>
    <row r="17785" spans="20:20" s="566" customFormat="1">
      <c r="T17785" s="41"/>
    </row>
    <row r="17786" spans="20:20" s="566" customFormat="1">
      <c r="T17786" s="41"/>
    </row>
    <row r="17787" spans="20:20" s="566" customFormat="1">
      <c r="T17787" s="41"/>
    </row>
    <row r="17788" spans="20:20" s="566" customFormat="1">
      <c r="T17788" s="41"/>
    </row>
    <row r="17789" spans="20:20" s="566" customFormat="1">
      <c r="T17789" s="41"/>
    </row>
    <row r="17790" spans="20:20" s="566" customFormat="1">
      <c r="T17790" s="41"/>
    </row>
    <row r="17791" spans="20:20" s="566" customFormat="1">
      <c r="T17791" s="41"/>
    </row>
    <row r="17792" spans="20:20" s="566" customFormat="1">
      <c r="T17792" s="41"/>
    </row>
    <row r="17793" spans="20:20" s="566" customFormat="1">
      <c r="T17793" s="41"/>
    </row>
    <row r="17794" spans="20:20" s="566" customFormat="1">
      <c r="T17794" s="41"/>
    </row>
    <row r="17795" spans="20:20" s="566" customFormat="1">
      <c r="T17795" s="41"/>
    </row>
    <row r="17796" spans="20:20" s="566" customFormat="1">
      <c r="T17796" s="41"/>
    </row>
    <row r="17797" spans="20:20" s="566" customFormat="1">
      <c r="T17797" s="41"/>
    </row>
    <row r="17798" spans="20:20" s="566" customFormat="1">
      <c r="T17798" s="41"/>
    </row>
    <row r="17799" spans="20:20" s="566" customFormat="1">
      <c r="T17799" s="41"/>
    </row>
    <row r="17800" spans="20:20" s="566" customFormat="1">
      <c r="T17800" s="41"/>
    </row>
    <row r="17801" spans="20:20" s="566" customFormat="1">
      <c r="T17801" s="41"/>
    </row>
    <row r="17802" spans="20:20" s="566" customFormat="1">
      <c r="T17802" s="41"/>
    </row>
    <row r="17803" spans="20:20" s="566" customFormat="1">
      <c r="T17803" s="41"/>
    </row>
    <row r="17804" spans="20:20" s="566" customFormat="1">
      <c r="T17804" s="41"/>
    </row>
    <row r="17805" spans="20:20" s="566" customFormat="1">
      <c r="T17805" s="41"/>
    </row>
    <row r="17806" spans="20:20" s="566" customFormat="1">
      <c r="T17806" s="41"/>
    </row>
    <row r="17807" spans="20:20" s="566" customFormat="1">
      <c r="T17807" s="41"/>
    </row>
    <row r="17808" spans="20:20" s="566" customFormat="1">
      <c r="T17808" s="41"/>
    </row>
    <row r="17809" spans="20:20" s="566" customFormat="1">
      <c r="T17809" s="41"/>
    </row>
    <row r="17810" spans="20:20" s="566" customFormat="1">
      <c r="T17810" s="41"/>
    </row>
    <row r="17811" spans="20:20" s="566" customFormat="1">
      <c r="T17811" s="41"/>
    </row>
    <row r="17812" spans="20:20" s="566" customFormat="1">
      <c r="T17812" s="41"/>
    </row>
    <row r="17813" spans="20:20" s="566" customFormat="1">
      <c r="T17813" s="41"/>
    </row>
    <row r="17814" spans="20:20" s="566" customFormat="1">
      <c r="T17814" s="41"/>
    </row>
    <row r="17815" spans="20:20" s="566" customFormat="1">
      <c r="T17815" s="41"/>
    </row>
    <row r="17816" spans="20:20" s="566" customFormat="1">
      <c r="T17816" s="41"/>
    </row>
    <row r="17817" spans="20:20" s="566" customFormat="1">
      <c r="T17817" s="41"/>
    </row>
    <row r="17818" spans="20:20" s="566" customFormat="1">
      <c r="T17818" s="41"/>
    </row>
    <row r="17819" spans="20:20" s="566" customFormat="1">
      <c r="T17819" s="41"/>
    </row>
    <row r="17820" spans="20:20" s="566" customFormat="1">
      <c r="T17820" s="41"/>
    </row>
    <row r="17821" spans="20:20" s="566" customFormat="1">
      <c r="T17821" s="41"/>
    </row>
    <row r="17822" spans="20:20" s="566" customFormat="1">
      <c r="T17822" s="41"/>
    </row>
    <row r="17823" spans="20:20" s="566" customFormat="1">
      <c r="T17823" s="41"/>
    </row>
    <row r="17824" spans="20:20" s="566" customFormat="1">
      <c r="T17824" s="41"/>
    </row>
    <row r="17825" spans="20:20" s="566" customFormat="1">
      <c r="T17825" s="41"/>
    </row>
    <row r="17826" spans="20:20" s="566" customFormat="1">
      <c r="T17826" s="41"/>
    </row>
    <row r="17827" spans="20:20" s="566" customFormat="1">
      <c r="T17827" s="41"/>
    </row>
    <row r="17828" spans="20:20" s="566" customFormat="1">
      <c r="T17828" s="41"/>
    </row>
    <row r="17829" spans="20:20" s="566" customFormat="1">
      <c r="T17829" s="41"/>
    </row>
    <row r="17830" spans="20:20" s="566" customFormat="1">
      <c r="T17830" s="41"/>
    </row>
    <row r="17831" spans="20:20" s="566" customFormat="1">
      <c r="T17831" s="41"/>
    </row>
    <row r="17832" spans="20:20" s="566" customFormat="1">
      <c r="T17832" s="41"/>
    </row>
    <row r="17833" spans="20:20" s="566" customFormat="1">
      <c r="T17833" s="41"/>
    </row>
    <row r="17834" spans="20:20" s="566" customFormat="1">
      <c r="T17834" s="41"/>
    </row>
    <row r="17835" spans="20:20" s="566" customFormat="1">
      <c r="T17835" s="41"/>
    </row>
    <row r="17836" spans="20:20" s="566" customFormat="1">
      <c r="T17836" s="41"/>
    </row>
    <row r="17837" spans="20:20" s="566" customFormat="1">
      <c r="T17837" s="41"/>
    </row>
    <row r="17838" spans="20:20" s="566" customFormat="1">
      <c r="T17838" s="41"/>
    </row>
    <row r="17839" spans="20:20" s="566" customFormat="1">
      <c r="T17839" s="41"/>
    </row>
    <row r="17840" spans="20:20" s="566" customFormat="1">
      <c r="T17840" s="41"/>
    </row>
    <row r="17841" spans="20:20" s="566" customFormat="1">
      <c r="T17841" s="41"/>
    </row>
    <row r="17842" spans="20:20" s="566" customFormat="1">
      <c r="T17842" s="41"/>
    </row>
    <row r="17843" spans="20:20" s="566" customFormat="1">
      <c r="T17843" s="41"/>
    </row>
    <row r="17844" spans="20:20" s="566" customFormat="1">
      <c r="T17844" s="41"/>
    </row>
    <row r="17845" spans="20:20" s="566" customFormat="1">
      <c r="T17845" s="41"/>
    </row>
    <row r="17846" spans="20:20" s="566" customFormat="1">
      <c r="T17846" s="41"/>
    </row>
    <row r="17847" spans="20:20" s="566" customFormat="1">
      <c r="T17847" s="41"/>
    </row>
    <row r="17848" spans="20:20" s="566" customFormat="1">
      <c r="T17848" s="41"/>
    </row>
    <row r="17849" spans="20:20" s="566" customFormat="1">
      <c r="T17849" s="41"/>
    </row>
    <row r="17850" spans="20:20" s="566" customFormat="1">
      <c r="T17850" s="41"/>
    </row>
    <row r="17851" spans="20:20" s="566" customFormat="1">
      <c r="T17851" s="41"/>
    </row>
    <row r="17852" spans="20:20" s="566" customFormat="1">
      <c r="T17852" s="41"/>
    </row>
    <row r="17853" spans="20:20" s="566" customFormat="1">
      <c r="T17853" s="41"/>
    </row>
    <row r="17854" spans="20:20" s="566" customFormat="1">
      <c r="T17854" s="41"/>
    </row>
    <row r="17855" spans="20:20" s="566" customFormat="1">
      <c r="T17855" s="41"/>
    </row>
    <row r="17856" spans="20:20" s="566" customFormat="1">
      <c r="T17856" s="41"/>
    </row>
    <row r="17857" spans="20:20" s="566" customFormat="1">
      <c r="T17857" s="41"/>
    </row>
    <row r="17858" spans="20:20" s="566" customFormat="1">
      <c r="T17858" s="41"/>
    </row>
    <row r="17859" spans="20:20" s="566" customFormat="1">
      <c r="T17859" s="41"/>
    </row>
    <row r="17860" spans="20:20" s="566" customFormat="1">
      <c r="T17860" s="41"/>
    </row>
    <row r="17861" spans="20:20" s="566" customFormat="1">
      <c r="T17861" s="41"/>
    </row>
    <row r="17862" spans="20:20" s="566" customFormat="1">
      <c r="T17862" s="41"/>
    </row>
    <row r="17863" spans="20:20" s="566" customFormat="1">
      <c r="T17863" s="41"/>
    </row>
    <row r="17864" spans="20:20" s="566" customFormat="1">
      <c r="T17864" s="41"/>
    </row>
    <row r="17865" spans="20:20" s="566" customFormat="1">
      <c r="T17865" s="41"/>
    </row>
    <row r="17866" spans="20:20" s="566" customFormat="1">
      <c r="T17866" s="41"/>
    </row>
    <row r="17867" spans="20:20" s="566" customFormat="1">
      <c r="T17867" s="41"/>
    </row>
    <row r="17868" spans="20:20" s="566" customFormat="1">
      <c r="T17868" s="41"/>
    </row>
    <row r="17869" spans="20:20" s="566" customFormat="1">
      <c r="T17869" s="41"/>
    </row>
    <row r="17870" spans="20:20" s="566" customFormat="1">
      <c r="T17870" s="41"/>
    </row>
    <row r="17871" spans="20:20" s="566" customFormat="1">
      <c r="T17871" s="41"/>
    </row>
    <row r="17872" spans="20:20" s="566" customFormat="1">
      <c r="T17872" s="41"/>
    </row>
    <row r="17873" spans="20:20" s="566" customFormat="1">
      <c r="T17873" s="41"/>
    </row>
    <row r="17874" spans="20:20" s="566" customFormat="1">
      <c r="T17874" s="41"/>
    </row>
    <row r="17875" spans="20:20" s="566" customFormat="1">
      <c r="T17875" s="41"/>
    </row>
    <row r="17876" spans="20:20" s="566" customFormat="1">
      <c r="T17876" s="41"/>
    </row>
    <row r="17877" spans="20:20" s="566" customFormat="1">
      <c r="T17877" s="41"/>
    </row>
    <row r="17878" spans="20:20" s="566" customFormat="1">
      <c r="T17878" s="41"/>
    </row>
    <row r="17879" spans="20:20" s="566" customFormat="1">
      <c r="T17879" s="41"/>
    </row>
    <row r="17880" spans="20:20" s="566" customFormat="1">
      <c r="T17880" s="41"/>
    </row>
    <row r="17881" spans="20:20" s="566" customFormat="1">
      <c r="T17881" s="41"/>
    </row>
    <row r="17882" spans="20:20" s="566" customFormat="1">
      <c r="T17882" s="41"/>
    </row>
    <row r="17883" spans="20:20" s="566" customFormat="1">
      <c r="T17883" s="41"/>
    </row>
    <row r="17884" spans="20:20" s="566" customFormat="1">
      <c r="T17884" s="41"/>
    </row>
    <row r="17885" spans="20:20" s="566" customFormat="1">
      <c r="T17885" s="41"/>
    </row>
    <row r="17886" spans="20:20" s="566" customFormat="1">
      <c r="T17886" s="41"/>
    </row>
    <row r="17887" spans="20:20" s="566" customFormat="1">
      <c r="T17887" s="41"/>
    </row>
    <row r="17888" spans="20:20" s="566" customFormat="1">
      <c r="T17888" s="41"/>
    </row>
    <row r="17889" spans="20:20" s="566" customFormat="1">
      <c r="T17889" s="41"/>
    </row>
    <row r="17890" spans="20:20" s="566" customFormat="1">
      <c r="T17890" s="41"/>
    </row>
    <row r="17891" spans="20:20" s="566" customFormat="1">
      <c r="T17891" s="41"/>
    </row>
    <row r="17892" spans="20:20" s="566" customFormat="1">
      <c r="T17892" s="41"/>
    </row>
    <row r="17893" spans="20:20" s="566" customFormat="1">
      <c r="T17893" s="41"/>
    </row>
    <row r="17894" spans="20:20" s="566" customFormat="1">
      <c r="T17894" s="41"/>
    </row>
    <row r="17895" spans="20:20" s="566" customFormat="1">
      <c r="T17895" s="41"/>
    </row>
    <row r="17896" spans="20:20" s="566" customFormat="1">
      <c r="T17896" s="41"/>
    </row>
    <row r="17897" spans="20:20" s="566" customFormat="1">
      <c r="T17897" s="41"/>
    </row>
    <row r="17898" spans="20:20" s="566" customFormat="1">
      <c r="T17898" s="41"/>
    </row>
    <row r="17899" spans="20:20" s="566" customFormat="1">
      <c r="T17899" s="41"/>
    </row>
    <row r="17900" spans="20:20" s="566" customFormat="1">
      <c r="T17900" s="41"/>
    </row>
    <row r="17901" spans="20:20" s="566" customFormat="1">
      <c r="T17901" s="41"/>
    </row>
    <row r="17902" spans="20:20" s="566" customFormat="1">
      <c r="T17902" s="41"/>
    </row>
    <row r="17903" spans="20:20" s="566" customFormat="1">
      <c r="T17903" s="41"/>
    </row>
    <row r="17904" spans="20:20" s="566" customFormat="1">
      <c r="T17904" s="41"/>
    </row>
    <row r="17905" spans="20:20" s="566" customFormat="1">
      <c r="T17905" s="41"/>
    </row>
    <row r="17906" spans="20:20" s="566" customFormat="1">
      <c r="T17906" s="41"/>
    </row>
    <row r="17907" spans="20:20" s="566" customFormat="1">
      <c r="T17907" s="41"/>
    </row>
    <row r="17908" spans="20:20" s="566" customFormat="1">
      <c r="T17908" s="41"/>
    </row>
    <row r="17909" spans="20:20" s="566" customFormat="1">
      <c r="T17909" s="41"/>
    </row>
    <row r="17910" spans="20:20" s="566" customFormat="1">
      <c r="T17910" s="41"/>
    </row>
    <row r="17911" spans="20:20" s="566" customFormat="1">
      <c r="T17911" s="41"/>
    </row>
    <row r="17912" spans="20:20" s="566" customFormat="1">
      <c r="T17912" s="41"/>
    </row>
    <row r="17913" spans="20:20" s="566" customFormat="1">
      <c r="T17913" s="41"/>
    </row>
    <row r="17914" spans="20:20" s="566" customFormat="1">
      <c r="T17914" s="41"/>
    </row>
    <row r="17915" spans="20:20" s="566" customFormat="1">
      <c r="T17915" s="41"/>
    </row>
    <row r="17916" spans="20:20" s="566" customFormat="1">
      <c r="T17916" s="41"/>
    </row>
    <row r="17917" spans="20:20" s="566" customFormat="1">
      <c r="T17917" s="41"/>
    </row>
    <row r="17918" spans="20:20" s="566" customFormat="1">
      <c r="T17918" s="41"/>
    </row>
    <row r="17919" spans="20:20" s="566" customFormat="1">
      <c r="T17919" s="41"/>
    </row>
    <row r="17920" spans="20:20" s="566" customFormat="1">
      <c r="T17920" s="41"/>
    </row>
    <row r="17921" spans="20:20" s="566" customFormat="1">
      <c r="T17921" s="41"/>
    </row>
    <row r="17922" spans="20:20" s="566" customFormat="1">
      <c r="T17922" s="41"/>
    </row>
    <row r="17923" spans="20:20" s="566" customFormat="1">
      <c r="T17923" s="41"/>
    </row>
    <row r="17924" spans="20:20" s="566" customFormat="1">
      <c r="T17924" s="41"/>
    </row>
    <row r="17925" spans="20:20" s="566" customFormat="1">
      <c r="T17925" s="41"/>
    </row>
    <row r="17926" spans="20:20" s="566" customFormat="1">
      <c r="T17926" s="41"/>
    </row>
    <row r="17927" spans="20:20" s="566" customFormat="1">
      <c r="T17927" s="41"/>
    </row>
    <row r="17928" spans="20:20" s="566" customFormat="1">
      <c r="T17928" s="41"/>
    </row>
    <row r="17929" spans="20:20" s="566" customFormat="1">
      <c r="T17929" s="41"/>
    </row>
    <row r="17930" spans="20:20" s="566" customFormat="1">
      <c r="T17930" s="41"/>
    </row>
    <row r="17931" spans="20:20" s="566" customFormat="1">
      <c r="T17931" s="41"/>
    </row>
    <row r="17932" spans="20:20" s="566" customFormat="1">
      <c r="T17932" s="41"/>
    </row>
    <row r="17933" spans="20:20" s="566" customFormat="1">
      <c r="T17933" s="41"/>
    </row>
    <row r="17934" spans="20:20" s="566" customFormat="1">
      <c r="T17934" s="41"/>
    </row>
    <row r="17935" spans="20:20" s="566" customFormat="1">
      <c r="T17935" s="41"/>
    </row>
    <row r="17936" spans="20:20" s="566" customFormat="1">
      <c r="T17936" s="41"/>
    </row>
    <row r="17937" spans="20:20" s="566" customFormat="1">
      <c r="T17937" s="41"/>
    </row>
    <row r="17938" spans="20:20" s="566" customFormat="1">
      <c r="T17938" s="41"/>
    </row>
    <row r="17939" spans="20:20" s="566" customFormat="1">
      <c r="T17939" s="41"/>
    </row>
    <row r="17940" spans="20:20" s="566" customFormat="1">
      <c r="T17940" s="41"/>
    </row>
    <row r="17941" spans="20:20" s="566" customFormat="1">
      <c r="T17941" s="41"/>
    </row>
    <row r="17942" spans="20:20" s="566" customFormat="1">
      <c r="T17942" s="41"/>
    </row>
    <row r="17943" spans="20:20" s="566" customFormat="1">
      <c r="T17943" s="41"/>
    </row>
    <row r="17944" spans="20:20" s="566" customFormat="1">
      <c r="T17944" s="41"/>
    </row>
    <row r="17945" spans="20:20" s="566" customFormat="1">
      <c r="T17945" s="41"/>
    </row>
    <row r="17946" spans="20:20" s="566" customFormat="1">
      <c r="T17946" s="41"/>
    </row>
    <row r="17947" spans="20:20" s="566" customFormat="1">
      <c r="T17947" s="41"/>
    </row>
    <row r="17948" spans="20:20" s="566" customFormat="1">
      <c r="T17948" s="41"/>
    </row>
    <row r="17949" spans="20:20" s="566" customFormat="1">
      <c r="T17949" s="41"/>
    </row>
    <row r="17950" spans="20:20" s="566" customFormat="1">
      <c r="T17950" s="41"/>
    </row>
    <row r="17951" spans="20:20" s="566" customFormat="1">
      <c r="T17951" s="41"/>
    </row>
    <row r="17952" spans="20:20" s="566" customFormat="1">
      <c r="T17952" s="41"/>
    </row>
    <row r="17953" spans="20:20" s="566" customFormat="1">
      <c r="T17953" s="41"/>
    </row>
    <row r="17954" spans="20:20" s="566" customFormat="1">
      <c r="T17954" s="41"/>
    </row>
    <row r="17955" spans="20:20" s="566" customFormat="1">
      <c r="T17955" s="41"/>
    </row>
    <row r="17956" spans="20:20" s="566" customFormat="1">
      <c r="T17956" s="41"/>
    </row>
    <row r="17957" spans="20:20" s="566" customFormat="1">
      <c r="T17957" s="41"/>
    </row>
    <row r="17958" spans="20:20" s="566" customFormat="1">
      <c r="T17958" s="41"/>
    </row>
    <row r="17959" spans="20:20" s="566" customFormat="1">
      <c r="T17959" s="41"/>
    </row>
    <row r="17960" spans="20:20" s="566" customFormat="1">
      <c r="T17960" s="41"/>
    </row>
    <row r="17961" spans="20:20" s="566" customFormat="1">
      <c r="T17961" s="41"/>
    </row>
    <row r="17962" spans="20:20" s="566" customFormat="1">
      <c r="T17962" s="41"/>
    </row>
    <row r="17963" spans="20:20" s="566" customFormat="1">
      <c r="T17963" s="41"/>
    </row>
    <row r="17964" spans="20:20" s="566" customFormat="1">
      <c r="T17964" s="41"/>
    </row>
    <row r="17965" spans="20:20" s="566" customFormat="1">
      <c r="T17965" s="41"/>
    </row>
    <row r="17966" spans="20:20" s="566" customFormat="1">
      <c r="T17966" s="41"/>
    </row>
    <row r="17967" spans="20:20" s="566" customFormat="1">
      <c r="T17967" s="41"/>
    </row>
    <row r="17968" spans="20:20" s="566" customFormat="1">
      <c r="T17968" s="41"/>
    </row>
    <row r="17969" spans="20:20" s="566" customFormat="1">
      <c r="T17969" s="41"/>
    </row>
    <row r="17970" spans="20:20" s="566" customFormat="1">
      <c r="T17970" s="41"/>
    </row>
    <row r="17971" spans="20:20" s="566" customFormat="1">
      <c r="T17971" s="41"/>
    </row>
    <row r="17972" spans="20:20" s="566" customFormat="1">
      <c r="T17972" s="41"/>
    </row>
    <row r="17973" spans="20:20" s="566" customFormat="1">
      <c r="T17973" s="41"/>
    </row>
    <row r="17974" spans="20:20" s="566" customFormat="1">
      <c r="T17974" s="41"/>
    </row>
    <row r="17975" spans="20:20" s="566" customFormat="1">
      <c r="T17975" s="41"/>
    </row>
    <row r="17976" spans="20:20" s="566" customFormat="1">
      <c r="T17976" s="41"/>
    </row>
    <row r="17977" spans="20:20" s="566" customFormat="1">
      <c r="T17977" s="41"/>
    </row>
    <row r="17978" spans="20:20" s="566" customFormat="1">
      <c r="T17978" s="41"/>
    </row>
    <row r="17979" spans="20:20" s="566" customFormat="1">
      <c r="T17979" s="41"/>
    </row>
    <row r="17980" spans="20:20" s="566" customFormat="1">
      <c r="T17980" s="41"/>
    </row>
    <row r="17981" spans="20:20" s="566" customFormat="1">
      <c r="T17981" s="41"/>
    </row>
    <row r="17982" spans="20:20" s="566" customFormat="1">
      <c r="T17982" s="41"/>
    </row>
    <row r="17983" spans="20:20" s="566" customFormat="1">
      <c r="T17983" s="41"/>
    </row>
    <row r="17984" spans="20:20" s="566" customFormat="1">
      <c r="T17984" s="41"/>
    </row>
    <row r="17985" spans="20:20" s="566" customFormat="1">
      <c r="T17985" s="41"/>
    </row>
    <row r="17986" spans="20:20" s="566" customFormat="1">
      <c r="T17986" s="41"/>
    </row>
    <row r="17987" spans="20:20" s="566" customFormat="1">
      <c r="T17987" s="41"/>
    </row>
    <row r="17988" spans="20:20" s="566" customFormat="1">
      <c r="T17988" s="41"/>
    </row>
    <row r="17989" spans="20:20" s="566" customFormat="1">
      <c r="T17989" s="41"/>
    </row>
    <row r="17990" spans="20:20" s="566" customFormat="1">
      <c r="T17990" s="41"/>
    </row>
    <row r="17991" spans="20:20" s="566" customFormat="1">
      <c r="T17991" s="41"/>
    </row>
    <row r="17992" spans="20:20" s="566" customFormat="1">
      <c r="T17992" s="41"/>
    </row>
    <row r="17993" spans="20:20" s="566" customFormat="1">
      <c r="T17993" s="41"/>
    </row>
    <row r="17994" spans="20:20" s="566" customFormat="1">
      <c r="T17994" s="41"/>
    </row>
    <row r="17995" spans="20:20" s="566" customFormat="1">
      <c r="T17995" s="41"/>
    </row>
    <row r="17996" spans="20:20" s="566" customFormat="1">
      <c r="T17996" s="41"/>
    </row>
    <row r="17997" spans="20:20" s="566" customFormat="1">
      <c r="T17997" s="41"/>
    </row>
    <row r="17998" spans="20:20" s="566" customFormat="1">
      <c r="T17998" s="41"/>
    </row>
    <row r="17999" spans="20:20" s="566" customFormat="1">
      <c r="T17999" s="41"/>
    </row>
    <row r="18000" spans="20:20" s="566" customFormat="1">
      <c r="T18000" s="41"/>
    </row>
    <row r="18001" spans="20:20" s="566" customFormat="1">
      <c r="T18001" s="41"/>
    </row>
    <row r="18002" spans="20:20" s="566" customFormat="1">
      <c r="T18002" s="41"/>
    </row>
    <row r="18003" spans="20:20" s="566" customFormat="1">
      <c r="T18003" s="41"/>
    </row>
    <row r="18004" spans="20:20" s="566" customFormat="1">
      <c r="T18004" s="41"/>
    </row>
    <row r="18005" spans="20:20" s="566" customFormat="1">
      <c r="T18005" s="41"/>
    </row>
    <row r="18006" spans="20:20" s="566" customFormat="1">
      <c r="T18006" s="41"/>
    </row>
    <row r="18007" spans="20:20" s="566" customFormat="1">
      <c r="T18007" s="41"/>
    </row>
    <row r="18008" spans="20:20" s="566" customFormat="1">
      <c r="T18008" s="41"/>
    </row>
    <row r="18009" spans="20:20" s="566" customFormat="1">
      <c r="T18009" s="41"/>
    </row>
    <row r="18010" spans="20:20" s="566" customFormat="1">
      <c r="T18010" s="41"/>
    </row>
    <row r="18011" spans="20:20" s="566" customFormat="1">
      <c r="T18011" s="41"/>
    </row>
    <row r="18012" spans="20:20" s="566" customFormat="1">
      <c r="T18012" s="41"/>
    </row>
    <row r="18013" spans="20:20" s="566" customFormat="1">
      <c r="T18013" s="41"/>
    </row>
    <row r="18014" spans="20:20" s="566" customFormat="1">
      <c r="T18014" s="41"/>
    </row>
    <row r="18015" spans="20:20" s="566" customFormat="1">
      <c r="T18015" s="41"/>
    </row>
    <row r="18016" spans="20:20" s="566" customFormat="1">
      <c r="T18016" s="41"/>
    </row>
    <row r="18017" spans="20:20" s="566" customFormat="1">
      <c r="T18017" s="41"/>
    </row>
    <row r="18018" spans="20:20" s="566" customFormat="1">
      <c r="T18018" s="41"/>
    </row>
    <row r="18019" spans="20:20" s="566" customFormat="1">
      <c r="T18019" s="41"/>
    </row>
    <row r="18020" spans="20:20" s="566" customFormat="1">
      <c r="T18020" s="41"/>
    </row>
    <row r="18021" spans="20:20" s="566" customFormat="1">
      <c r="T18021" s="41"/>
    </row>
    <row r="18022" spans="20:20" s="566" customFormat="1">
      <c r="T18022" s="41"/>
    </row>
    <row r="18023" spans="20:20" s="566" customFormat="1">
      <c r="T18023" s="41"/>
    </row>
    <row r="18024" spans="20:20" s="566" customFormat="1">
      <c r="T18024" s="41"/>
    </row>
    <row r="18025" spans="20:20" s="566" customFormat="1">
      <c r="T18025" s="41"/>
    </row>
    <row r="18026" spans="20:20" s="566" customFormat="1">
      <c r="T18026" s="41"/>
    </row>
    <row r="18027" spans="20:20" s="566" customFormat="1">
      <c r="T18027" s="41"/>
    </row>
    <row r="18028" spans="20:20" s="566" customFormat="1">
      <c r="T18028" s="41"/>
    </row>
    <row r="18029" spans="20:20" s="566" customFormat="1">
      <c r="T18029" s="41"/>
    </row>
    <row r="18030" spans="20:20" s="566" customFormat="1">
      <c r="T18030" s="41"/>
    </row>
    <row r="18031" spans="20:20" s="566" customFormat="1">
      <c r="T18031" s="41"/>
    </row>
    <row r="18032" spans="20:20" s="566" customFormat="1">
      <c r="T18032" s="41"/>
    </row>
    <row r="18033" spans="20:20" s="566" customFormat="1">
      <c r="T18033" s="41"/>
    </row>
    <row r="18034" spans="20:20" s="566" customFormat="1">
      <c r="T18034" s="41"/>
    </row>
    <row r="18035" spans="20:20" s="566" customFormat="1">
      <c r="T18035" s="41"/>
    </row>
    <row r="18036" spans="20:20" s="566" customFormat="1">
      <c r="T18036" s="41"/>
    </row>
    <row r="18037" spans="20:20" s="566" customFormat="1">
      <c r="T18037" s="41"/>
    </row>
    <row r="18038" spans="20:20" s="566" customFormat="1">
      <c r="T18038" s="41"/>
    </row>
    <row r="18039" spans="20:20" s="566" customFormat="1">
      <c r="T18039" s="41"/>
    </row>
    <row r="18040" spans="20:20" s="566" customFormat="1">
      <c r="T18040" s="41"/>
    </row>
    <row r="18041" spans="20:20" s="566" customFormat="1">
      <c r="T18041" s="41"/>
    </row>
    <row r="18042" spans="20:20" s="566" customFormat="1">
      <c r="T18042" s="41"/>
    </row>
    <row r="18043" spans="20:20" s="566" customFormat="1">
      <c r="T18043" s="41"/>
    </row>
    <row r="18044" spans="20:20" s="566" customFormat="1">
      <c r="T18044" s="41"/>
    </row>
    <row r="18045" spans="20:20" s="566" customFormat="1">
      <c r="T18045" s="41"/>
    </row>
    <row r="18046" spans="20:20" s="566" customFormat="1">
      <c r="T18046" s="41"/>
    </row>
    <row r="18047" spans="20:20" s="566" customFormat="1">
      <c r="T18047" s="41"/>
    </row>
    <row r="18048" spans="20:20" s="566" customFormat="1">
      <c r="T18048" s="41"/>
    </row>
    <row r="18049" spans="20:20" s="566" customFormat="1">
      <c r="T18049" s="41"/>
    </row>
    <row r="18050" spans="20:20" s="566" customFormat="1">
      <c r="T18050" s="41"/>
    </row>
    <row r="18051" spans="20:20" s="566" customFormat="1">
      <c r="T18051" s="41"/>
    </row>
    <row r="18052" spans="20:20" s="566" customFormat="1">
      <c r="T18052" s="41"/>
    </row>
    <row r="18053" spans="20:20" s="566" customFormat="1">
      <c r="T18053" s="41"/>
    </row>
    <row r="18054" spans="20:20" s="566" customFormat="1">
      <c r="T18054" s="41"/>
    </row>
    <row r="18055" spans="20:20" s="566" customFormat="1">
      <c r="T18055" s="41"/>
    </row>
    <row r="18056" spans="20:20" s="566" customFormat="1">
      <c r="T18056" s="41"/>
    </row>
    <row r="18057" spans="20:20" s="566" customFormat="1">
      <c r="T18057" s="41"/>
    </row>
    <row r="18058" spans="20:20" s="566" customFormat="1">
      <c r="T18058" s="41"/>
    </row>
    <row r="18059" spans="20:20" s="566" customFormat="1">
      <c r="T18059" s="41"/>
    </row>
    <row r="18060" spans="20:20" s="566" customFormat="1">
      <c r="T18060" s="41"/>
    </row>
    <row r="18061" spans="20:20" s="566" customFormat="1">
      <c r="T18061" s="41"/>
    </row>
    <row r="18062" spans="20:20" s="566" customFormat="1">
      <c r="T18062" s="41"/>
    </row>
    <row r="18063" spans="20:20" s="566" customFormat="1">
      <c r="T18063" s="41"/>
    </row>
    <row r="18064" spans="20:20" s="566" customFormat="1">
      <c r="T18064" s="41"/>
    </row>
    <row r="18065" spans="20:20" s="566" customFormat="1">
      <c r="T18065" s="41"/>
    </row>
    <row r="18066" spans="20:20" s="566" customFormat="1">
      <c r="T18066" s="41"/>
    </row>
    <row r="18067" spans="20:20" s="566" customFormat="1">
      <c r="T18067" s="41"/>
    </row>
    <row r="18068" spans="20:20" s="566" customFormat="1">
      <c r="T18068" s="41"/>
    </row>
    <row r="18069" spans="20:20" s="566" customFormat="1">
      <c r="T18069" s="41"/>
    </row>
    <row r="18070" spans="20:20" s="566" customFormat="1">
      <c r="T18070" s="41"/>
    </row>
    <row r="18071" spans="20:20" s="566" customFormat="1">
      <c r="T18071" s="41"/>
    </row>
    <row r="18072" spans="20:20" s="566" customFormat="1">
      <c r="T18072" s="41"/>
    </row>
    <row r="18073" spans="20:20" s="566" customFormat="1">
      <c r="T18073" s="41"/>
    </row>
    <row r="18074" spans="20:20" s="566" customFormat="1">
      <c r="T18074" s="41"/>
    </row>
    <row r="18075" spans="20:20" s="566" customFormat="1">
      <c r="T18075" s="41"/>
    </row>
    <row r="18076" spans="20:20" s="566" customFormat="1">
      <c r="T18076" s="41"/>
    </row>
    <row r="18077" spans="20:20" s="566" customFormat="1">
      <c r="T18077" s="41"/>
    </row>
    <row r="18078" spans="20:20" s="566" customFormat="1">
      <c r="T18078" s="41"/>
    </row>
    <row r="18079" spans="20:20" s="566" customFormat="1">
      <c r="T18079" s="41"/>
    </row>
    <row r="18080" spans="20:20" s="566" customFormat="1">
      <c r="T18080" s="41"/>
    </row>
    <row r="18081" spans="20:20" s="566" customFormat="1">
      <c r="T18081" s="41"/>
    </row>
    <row r="18082" spans="20:20" s="566" customFormat="1">
      <c r="T18082" s="41"/>
    </row>
    <row r="18083" spans="20:20" s="566" customFormat="1">
      <c r="T18083" s="41"/>
    </row>
    <row r="18084" spans="20:20" s="566" customFormat="1">
      <c r="T18084" s="41"/>
    </row>
    <row r="18085" spans="20:20" s="566" customFormat="1">
      <c r="T18085" s="41"/>
    </row>
    <row r="18086" spans="20:20" s="566" customFormat="1">
      <c r="T18086" s="41"/>
    </row>
    <row r="18087" spans="20:20" s="566" customFormat="1">
      <c r="T18087" s="41"/>
    </row>
    <row r="18088" spans="20:20" s="566" customFormat="1">
      <c r="T18088" s="41"/>
    </row>
    <row r="18089" spans="20:20" s="566" customFormat="1">
      <c r="T18089" s="41"/>
    </row>
    <row r="18090" spans="20:20" s="566" customFormat="1">
      <c r="T18090" s="41"/>
    </row>
    <row r="18091" spans="20:20" s="566" customFormat="1">
      <c r="T18091" s="41"/>
    </row>
    <row r="18092" spans="20:20" s="566" customFormat="1">
      <c r="T18092" s="41"/>
    </row>
    <row r="18093" spans="20:20" s="566" customFormat="1">
      <c r="T18093" s="41"/>
    </row>
    <row r="18094" spans="20:20" s="566" customFormat="1">
      <c r="T18094" s="41"/>
    </row>
    <row r="18095" spans="20:20" s="566" customFormat="1">
      <c r="T18095" s="41"/>
    </row>
    <row r="18096" spans="20:20" s="566" customFormat="1">
      <c r="T18096" s="41"/>
    </row>
    <row r="18097" spans="20:20" s="566" customFormat="1">
      <c r="T18097" s="41"/>
    </row>
    <row r="18098" spans="20:20" s="566" customFormat="1">
      <c r="T18098" s="41"/>
    </row>
    <row r="18099" spans="20:20" s="566" customFormat="1">
      <c r="T18099" s="41"/>
    </row>
    <row r="18100" spans="20:20" s="566" customFormat="1">
      <c r="T18100" s="41"/>
    </row>
    <row r="18101" spans="20:20" s="566" customFormat="1">
      <c r="T18101" s="41"/>
    </row>
    <row r="18102" spans="20:20" s="566" customFormat="1">
      <c r="T18102" s="41"/>
    </row>
    <row r="18103" spans="20:20" s="566" customFormat="1">
      <c r="T18103" s="41"/>
    </row>
    <row r="18104" spans="20:20" s="566" customFormat="1">
      <c r="T18104" s="41"/>
    </row>
    <row r="18105" spans="20:20" s="566" customFormat="1">
      <c r="T18105" s="41"/>
    </row>
    <row r="18106" spans="20:20" s="566" customFormat="1">
      <c r="T18106" s="41"/>
    </row>
    <row r="18107" spans="20:20" s="566" customFormat="1">
      <c r="T18107" s="41"/>
    </row>
    <row r="18108" spans="20:20" s="566" customFormat="1">
      <c r="T18108" s="41"/>
    </row>
    <row r="18109" spans="20:20" s="566" customFormat="1">
      <c r="T18109" s="41"/>
    </row>
    <row r="18110" spans="20:20" s="566" customFormat="1">
      <c r="T18110" s="41"/>
    </row>
    <row r="18111" spans="20:20" s="566" customFormat="1">
      <c r="T18111" s="41"/>
    </row>
    <row r="18112" spans="20:20" s="566" customFormat="1">
      <c r="T18112" s="41"/>
    </row>
    <row r="18113" spans="20:20" s="566" customFormat="1">
      <c r="T18113" s="41"/>
    </row>
    <row r="18114" spans="20:20" s="566" customFormat="1">
      <c r="T18114" s="41"/>
    </row>
    <row r="18115" spans="20:20" s="566" customFormat="1">
      <c r="T18115" s="41"/>
    </row>
    <row r="18116" spans="20:20" s="566" customFormat="1">
      <c r="T18116" s="41"/>
    </row>
    <row r="18117" spans="20:20" s="566" customFormat="1">
      <c r="T18117" s="41"/>
    </row>
    <row r="18118" spans="20:20" s="566" customFormat="1">
      <c r="T18118" s="41"/>
    </row>
    <row r="18119" spans="20:20" s="566" customFormat="1">
      <c r="T18119" s="41"/>
    </row>
    <row r="18120" spans="20:20" s="566" customFormat="1">
      <c r="T18120" s="41"/>
    </row>
    <row r="18121" spans="20:20" s="566" customFormat="1">
      <c r="T18121" s="41"/>
    </row>
    <row r="18122" spans="20:20" s="566" customFormat="1">
      <c r="T18122" s="41"/>
    </row>
    <row r="18123" spans="20:20" s="566" customFormat="1">
      <c r="T18123" s="41"/>
    </row>
    <row r="18124" spans="20:20" s="566" customFormat="1">
      <c r="T18124" s="41"/>
    </row>
    <row r="18125" spans="20:20" s="566" customFormat="1">
      <c r="T18125" s="41"/>
    </row>
    <row r="18126" spans="20:20" s="566" customFormat="1">
      <c r="T18126" s="41"/>
    </row>
    <row r="18127" spans="20:20" s="566" customFormat="1">
      <c r="T18127" s="41"/>
    </row>
    <row r="18128" spans="20:20" s="566" customFormat="1">
      <c r="T18128" s="41"/>
    </row>
    <row r="18129" spans="20:20" s="566" customFormat="1">
      <c r="T18129" s="41"/>
    </row>
    <row r="18130" spans="20:20" s="566" customFormat="1">
      <c r="T18130" s="41"/>
    </row>
    <row r="18131" spans="20:20" s="566" customFormat="1">
      <c r="T18131" s="41"/>
    </row>
    <row r="18132" spans="20:20" s="566" customFormat="1">
      <c r="T18132" s="41"/>
    </row>
    <row r="18133" spans="20:20" s="566" customFormat="1">
      <c r="T18133" s="41"/>
    </row>
    <row r="18134" spans="20:20" s="566" customFormat="1">
      <c r="T18134" s="41"/>
    </row>
    <row r="18135" spans="20:20" s="566" customFormat="1">
      <c r="T18135" s="41"/>
    </row>
    <row r="18136" spans="20:20" s="566" customFormat="1">
      <c r="T18136" s="41"/>
    </row>
    <row r="18137" spans="20:20" s="566" customFormat="1">
      <c r="T18137" s="41"/>
    </row>
    <row r="18138" spans="20:20" s="566" customFormat="1">
      <c r="T18138" s="41"/>
    </row>
    <row r="18139" spans="20:20" s="566" customFormat="1">
      <c r="T18139" s="41"/>
    </row>
    <row r="18140" spans="20:20" s="566" customFormat="1">
      <c r="T18140" s="41"/>
    </row>
    <row r="18141" spans="20:20" s="566" customFormat="1">
      <c r="T18141" s="41"/>
    </row>
    <row r="18142" spans="20:20" s="566" customFormat="1">
      <c r="T18142" s="41"/>
    </row>
    <row r="18143" spans="20:20" s="566" customFormat="1">
      <c r="T18143" s="41"/>
    </row>
    <row r="18144" spans="20:20" s="566" customFormat="1">
      <c r="T18144" s="41"/>
    </row>
    <row r="18145" spans="20:20" s="566" customFormat="1">
      <c r="T18145" s="41"/>
    </row>
    <row r="18146" spans="20:20" s="566" customFormat="1">
      <c r="T18146" s="41"/>
    </row>
    <row r="18147" spans="20:20" s="566" customFormat="1">
      <c r="T18147" s="41"/>
    </row>
    <row r="18148" spans="20:20" s="566" customFormat="1">
      <c r="T18148" s="41"/>
    </row>
    <row r="18149" spans="20:20" s="566" customFormat="1">
      <c r="T18149" s="41"/>
    </row>
    <row r="18150" spans="20:20" s="566" customFormat="1">
      <c r="T18150" s="41"/>
    </row>
    <row r="18151" spans="20:20" s="566" customFormat="1">
      <c r="T18151" s="41"/>
    </row>
    <row r="18152" spans="20:20" s="566" customFormat="1">
      <c r="T18152" s="41"/>
    </row>
    <row r="18153" spans="20:20" s="566" customFormat="1">
      <c r="T18153" s="41"/>
    </row>
    <row r="18154" spans="20:20" s="566" customFormat="1">
      <c r="T18154" s="41"/>
    </row>
    <row r="18155" spans="20:20" s="566" customFormat="1">
      <c r="T18155" s="41"/>
    </row>
    <row r="18156" spans="20:20" s="566" customFormat="1">
      <c r="T18156" s="41"/>
    </row>
    <row r="18157" spans="20:20" s="566" customFormat="1">
      <c r="T18157" s="41"/>
    </row>
    <row r="18158" spans="20:20" s="566" customFormat="1">
      <c r="T18158" s="41"/>
    </row>
    <row r="18159" spans="20:20" s="566" customFormat="1">
      <c r="T18159" s="41"/>
    </row>
    <row r="18160" spans="20:20" s="566" customFormat="1">
      <c r="T18160" s="41"/>
    </row>
    <row r="18161" spans="20:20" s="566" customFormat="1">
      <c r="T18161" s="41"/>
    </row>
    <row r="18162" spans="20:20" s="566" customFormat="1">
      <c r="T18162" s="41"/>
    </row>
    <row r="18163" spans="20:20" s="566" customFormat="1">
      <c r="T18163" s="41"/>
    </row>
    <row r="18164" spans="20:20" s="566" customFormat="1">
      <c r="T18164" s="41"/>
    </row>
    <row r="18165" spans="20:20" s="566" customFormat="1">
      <c r="T18165" s="41"/>
    </row>
    <row r="18166" spans="20:20" s="566" customFormat="1">
      <c r="T18166" s="41"/>
    </row>
    <row r="18167" spans="20:20" s="566" customFormat="1">
      <c r="T18167" s="41"/>
    </row>
    <row r="18168" spans="20:20" s="566" customFormat="1">
      <c r="T18168" s="41"/>
    </row>
    <row r="18169" spans="20:20" s="566" customFormat="1">
      <c r="T18169" s="41"/>
    </row>
    <row r="18170" spans="20:20" s="566" customFormat="1">
      <c r="T18170" s="41"/>
    </row>
    <row r="18171" spans="20:20" s="566" customFormat="1">
      <c r="T18171" s="41"/>
    </row>
    <row r="18172" spans="20:20" s="566" customFormat="1">
      <c r="T18172" s="41"/>
    </row>
    <row r="18173" spans="20:20" s="566" customFormat="1">
      <c r="T18173" s="41"/>
    </row>
    <row r="18174" spans="20:20" s="566" customFormat="1">
      <c r="T18174" s="41"/>
    </row>
    <row r="18175" spans="20:20" s="566" customFormat="1">
      <c r="T18175" s="41"/>
    </row>
    <row r="18176" spans="20:20" s="566" customFormat="1">
      <c r="T18176" s="41"/>
    </row>
    <row r="18177" spans="20:20" s="566" customFormat="1">
      <c r="T18177" s="41"/>
    </row>
    <row r="18178" spans="20:20" s="566" customFormat="1">
      <c r="T18178" s="41"/>
    </row>
    <row r="18179" spans="20:20" s="566" customFormat="1">
      <c r="T18179" s="41"/>
    </row>
    <row r="18180" spans="20:20" s="566" customFormat="1">
      <c r="T18180" s="41"/>
    </row>
    <row r="18181" spans="20:20" s="566" customFormat="1">
      <c r="T18181" s="41"/>
    </row>
    <row r="18182" spans="20:20" s="566" customFormat="1">
      <c r="T18182" s="41"/>
    </row>
    <row r="18183" spans="20:20" s="566" customFormat="1">
      <c r="T18183" s="41"/>
    </row>
    <row r="18184" spans="20:20" s="566" customFormat="1">
      <c r="T18184" s="41"/>
    </row>
    <row r="18185" spans="20:20" s="566" customFormat="1">
      <c r="T18185" s="41"/>
    </row>
    <row r="18186" spans="20:20" s="566" customFormat="1">
      <c r="T18186" s="41"/>
    </row>
    <row r="18187" spans="20:20" s="566" customFormat="1">
      <c r="T18187" s="41"/>
    </row>
    <row r="18188" spans="20:20" s="566" customFormat="1">
      <c r="T18188" s="41"/>
    </row>
    <row r="18189" spans="20:20" s="566" customFormat="1">
      <c r="T18189" s="41"/>
    </row>
    <row r="18190" spans="20:20" s="566" customFormat="1">
      <c r="T18190" s="41"/>
    </row>
    <row r="18191" spans="20:20" s="566" customFormat="1">
      <c r="T18191" s="41"/>
    </row>
    <row r="18192" spans="20:20" s="566" customFormat="1">
      <c r="T18192" s="41"/>
    </row>
    <row r="18193" spans="20:20" s="566" customFormat="1">
      <c r="T18193" s="41"/>
    </row>
    <row r="18194" spans="20:20" s="566" customFormat="1">
      <c r="T18194" s="41"/>
    </row>
    <row r="18195" spans="20:20" s="566" customFormat="1">
      <c r="T18195" s="41"/>
    </row>
    <row r="18196" spans="20:20" s="566" customFormat="1">
      <c r="T18196" s="41"/>
    </row>
    <row r="18197" spans="20:20" s="566" customFormat="1">
      <c r="T18197" s="41"/>
    </row>
    <row r="18198" spans="20:20" s="566" customFormat="1">
      <c r="T18198" s="41"/>
    </row>
    <row r="18199" spans="20:20" s="566" customFormat="1">
      <c r="T18199" s="41"/>
    </row>
    <row r="18200" spans="20:20" s="566" customFormat="1">
      <c r="T18200" s="41"/>
    </row>
    <row r="18201" spans="20:20" s="566" customFormat="1">
      <c r="T18201" s="41"/>
    </row>
    <row r="18202" spans="20:20" s="566" customFormat="1">
      <c r="T18202" s="41"/>
    </row>
    <row r="18203" spans="20:20" s="566" customFormat="1">
      <c r="T18203" s="41"/>
    </row>
    <row r="18204" spans="20:20" s="566" customFormat="1">
      <c r="T18204" s="41"/>
    </row>
    <row r="18205" spans="20:20" s="566" customFormat="1">
      <c r="T18205" s="41"/>
    </row>
    <row r="18206" spans="20:20" s="566" customFormat="1">
      <c r="T18206" s="41"/>
    </row>
    <row r="18207" spans="20:20" s="566" customFormat="1">
      <c r="T18207" s="41"/>
    </row>
    <row r="18208" spans="20:20" s="566" customFormat="1">
      <c r="T18208" s="41"/>
    </row>
    <row r="18209" spans="20:20" s="566" customFormat="1">
      <c r="T18209" s="41"/>
    </row>
    <row r="18210" spans="20:20" s="566" customFormat="1">
      <c r="T18210" s="41"/>
    </row>
    <row r="18211" spans="20:20" s="566" customFormat="1">
      <c r="T18211" s="41"/>
    </row>
    <row r="18212" spans="20:20" s="566" customFormat="1">
      <c r="T18212" s="41"/>
    </row>
    <row r="18213" spans="20:20" s="566" customFormat="1">
      <c r="T18213" s="41"/>
    </row>
    <row r="18214" spans="20:20" s="566" customFormat="1">
      <c r="T18214" s="41"/>
    </row>
    <row r="18215" spans="20:20" s="566" customFormat="1">
      <c r="T18215" s="41"/>
    </row>
    <row r="18216" spans="20:20" s="566" customFormat="1">
      <c r="T18216" s="41"/>
    </row>
    <row r="18217" spans="20:20" s="566" customFormat="1">
      <c r="T18217" s="41"/>
    </row>
    <row r="18218" spans="20:20" s="566" customFormat="1">
      <c r="T18218" s="41"/>
    </row>
    <row r="18219" spans="20:20" s="566" customFormat="1">
      <c r="T18219" s="41"/>
    </row>
    <row r="18220" spans="20:20" s="566" customFormat="1">
      <c r="T18220" s="41"/>
    </row>
    <row r="18221" spans="20:20" s="566" customFormat="1">
      <c r="T18221" s="41"/>
    </row>
    <row r="18222" spans="20:20" s="566" customFormat="1">
      <c r="T18222" s="41"/>
    </row>
    <row r="18223" spans="20:20" s="566" customFormat="1">
      <c r="T18223" s="41"/>
    </row>
    <row r="18224" spans="20:20" s="566" customFormat="1">
      <c r="T18224" s="41"/>
    </row>
    <row r="18225" spans="20:20" s="566" customFormat="1">
      <c r="T18225" s="41"/>
    </row>
    <row r="18226" spans="20:20" s="566" customFormat="1">
      <c r="T18226" s="41"/>
    </row>
    <row r="18227" spans="20:20" s="566" customFormat="1">
      <c r="T18227" s="41"/>
    </row>
    <row r="18228" spans="20:20" s="566" customFormat="1">
      <c r="T18228" s="41"/>
    </row>
    <row r="18229" spans="20:20" s="566" customFormat="1">
      <c r="T18229" s="41"/>
    </row>
    <row r="18230" spans="20:20" s="566" customFormat="1">
      <c r="T18230" s="41"/>
    </row>
    <row r="18231" spans="20:20" s="566" customFormat="1">
      <c r="T18231" s="41"/>
    </row>
    <row r="18232" spans="20:20" s="566" customFormat="1">
      <c r="T18232" s="41"/>
    </row>
    <row r="18233" spans="20:20" s="566" customFormat="1">
      <c r="T18233" s="41"/>
    </row>
    <row r="18234" spans="20:20" s="566" customFormat="1">
      <c r="T18234" s="41"/>
    </row>
    <row r="18235" spans="20:20" s="566" customFormat="1">
      <c r="T18235" s="41"/>
    </row>
    <row r="18236" spans="20:20" s="566" customFormat="1">
      <c r="T18236" s="41"/>
    </row>
    <row r="18237" spans="20:20" s="566" customFormat="1">
      <c r="T18237" s="41"/>
    </row>
    <row r="18238" spans="20:20" s="566" customFormat="1">
      <c r="T18238" s="41"/>
    </row>
    <row r="18239" spans="20:20" s="566" customFormat="1">
      <c r="T18239" s="41"/>
    </row>
    <row r="18240" spans="20:20" s="566" customFormat="1">
      <c r="T18240" s="41"/>
    </row>
    <row r="18241" spans="20:20" s="566" customFormat="1">
      <c r="T18241" s="41"/>
    </row>
    <row r="18242" spans="20:20" s="566" customFormat="1">
      <c r="T18242" s="41"/>
    </row>
    <row r="18243" spans="20:20" s="566" customFormat="1">
      <c r="T18243" s="41"/>
    </row>
    <row r="18244" spans="20:20" s="566" customFormat="1">
      <c r="T18244" s="41"/>
    </row>
    <row r="18245" spans="20:20" s="566" customFormat="1">
      <c r="T18245" s="41"/>
    </row>
    <row r="18246" spans="20:20" s="566" customFormat="1">
      <c r="T18246" s="41"/>
    </row>
    <row r="18247" spans="20:20" s="566" customFormat="1">
      <c r="T18247" s="41"/>
    </row>
    <row r="18248" spans="20:20" s="566" customFormat="1">
      <c r="T18248" s="41"/>
    </row>
    <row r="18249" spans="20:20" s="566" customFormat="1">
      <c r="T18249" s="41"/>
    </row>
    <row r="18250" spans="20:20" s="566" customFormat="1">
      <c r="T18250" s="41"/>
    </row>
    <row r="18251" spans="20:20" s="566" customFormat="1">
      <c r="T18251" s="41"/>
    </row>
    <row r="18252" spans="20:20" s="566" customFormat="1">
      <c r="T18252" s="41"/>
    </row>
    <row r="18253" spans="20:20" s="566" customFormat="1">
      <c r="T18253" s="41"/>
    </row>
    <row r="18254" spans="20:20" s="566" customFormat="1">
      <c r="T18254" s="41"/>
    </row>
    <row r="18255" spans="20:20" s="566" customFormat="1">
      <c r="T18255" s="41"/>
    </row>
    <row r="18256" spans="20:20" s="566" customFormat="1">
      <c r="T18256" s="41"/>
    </row>
    <row r="18257" spans="20:20" s="566" customFormat="1">
      <c r="T18257" s="41"/>
    </row>
    <row r="18258" spans="20:20" s="566" customFormat="1">
      <c r="T18258" s="41"/>
    </row>
    <row r="18259" spans="20:20" s="566" customFormat="1">
      <c r="T18259" s="41"/>
    </row>
    <row r="18260" spans="20:20" s="566" customFormat="1">
      <c r="T18260" s="41"/>
    </row>
    <row r="18261" spans="20:20" s="566" customFormat="1">
      <c r="T18261" s="41"/>
    </row>
    <row r="18262" spans="20:20" s="566" customFormat="1">
      <c r="T18262" s="41"/>
    </row>
    <row r="18263" spans="20:20" s="566" customFormat="1">
      <c r="T18263" s="41"/>
    </row>
    <row r="18264" spans="20:20" s="566" customFormat="1">
      <c r="T18264" s="41"/>
    </row>
    <row r="18265" spans="20:20" s="566" customFormat="1">
      <c r="T18265" s="41"/>
    </row>
    <row r="18266" spans="20:20" s="566" customFormat="1">
      <c r="T18266" s="41"/>
    </row>
    <row r="18267" spans="20:20" s="566" customFormat="1">
      <c r="T18267" s="41"/>
    </row>
    <row r="18268" spans="20:20" s="566" customFormat="1">
      <c r="T18268" s="41"/>
    </row>
    <row r="18269" spans="20:20" s="566" customFormat="1">
      <c r="T18269" s="41"/>
    </row>
    <row r="18270" spans="20:20" s="566" customFormat="1">
      <c r="T18270" s="41"/>
    </row>
    <row r="18271" spans="20:20" s="566" customFormat="1">
      <c r="T18271" s="41"/>
    </row>
    <row r="18272" spans="20:20" s="566" customFormat="1">
      <c r="T18272" s="41"/>
    </row>
    <row r="18273" spans="20:20" s="566" customFormat="1">
      <c r="T18273" s="41"/>
    </row>
    <row r="18274" spans="20:20" s="566" customFormat="1">
      <c r="T18274" s="41"/>
    </row>
    <row r="18275" spans="20:20" s="566" customFormat="1">
      <c r="T18275" s="41"/>
    </row>
    <row r="18276" spans="20:20" s="566" customFormat="1">
      <c r="T18276" s="41"/>
    </row>
    <row r="18277" spans="20:20" s="566" customFormat="1">
      <c r="T18277" s="41"/>
    </row>
    <row r="18278" spans="20:20" s="566" customFormat="1">
      <c r="T18278" s="41"/>
    </row>
    <row r="18279" spans="20:20" s="566" customFormat="1">
      <c r="T18279" s="41"/>
    </row>
    <row r="18280" spans="20:20" s="566" customFormat="1">
      <c r="T18280" s="41"/>
    </row>
    <row r="18281" spans="20:20" s="566" customFormat="1">
      <c r="T18281" s="41"/>
    </row>
    <row r="18282" spans="20:20" s="566" customFormat="1">
      <c r="T18282" s="41"/>
    </row>
    <row r="18283" spans="20:20" s="566" customFormat="1">
      <c r="T18283" s="41"/>
    </row>
    <row r="18284" spans="20:20" s="566" customFormat="1">
      <c r="T18284" s="41"/>
    </row>
    <row r="18285" spans="20:20" s="566" customFormat="1">
      <c r="T18285" s="41"/>
    </row>
    <row r="18286" spans="20:20" s="566" customFormat="1">
      <c r="T18286" s="41"/>
    </row>
    <row r="18287" spans="20:20" s="566" customFormat="1">
      <c r="T18287" s="41"/>
    </row>
    <row r="18288" spans="20:20" s="566" customFormat="1">
      <c r="T18288" s="41"/>
    </row>
    <row r="18289" spans="20:20" s="566" customFormat="1">
      <c r="T18289" s="41"/>
    </row>
    <row r="18290" spans="20:20" s="566" customFormat="1">
      <c r="T18290" s="41"/>
    </row>
    <row r="18291" spans="20:20" s="566" customFormat="1">
      <c r="T18291" s="41"/>
    </row>
    <row r="18292" spans="20:20" s="566" customFormat="1">
      <c r="T18292" s="41"/>
    </row>
    <row r="18293" spans="20:20" s="566" customFormat="1">
      <c r="T18293" s="41"/>
    </row>
    <row r="18294" spans="20:20" s="566" customFormat="1">
      <c r="T18294" s="41"/>
    </row>
    <row r="18295" spans="20:20" s="566" customFormat="1">
      <c r="T18295" s="41"/>
    </row>
    <row r="18296" spans="20:20" s="566" customFormat="1">
      <c r="T18296" s="41"/>
    </row>
    <row r="18297" spans="20:20" s="566" customFormat="1">
      <c r="T18297" s="41"/>
    </row>
    <row r="18298" spans="20:20" s="566" customFormat="1">
      <c r="T18298" s="41"/>
    </row>
    <row r="18299" spans="20:20" s="566" customFormat="1">
      <c r="T18299" s="41"/>
    </row>
    <row r="18300" spans="20:20" s="566" customFormat="1">
      <c r="T18300" s="41"/>
    </row>
    <row r="18301" spans="20:20" s="566" customFormat="1">
      <c r="T18301" s="41"/>
    </row>
    <row r="18302" spans="20:20" s="566" customFormat="1">
      <c r="T18302" s="41"/>
    </row>
    <row r="18303" spans="20:20" s="566" customFormat="1">
      <c r="T18303" s="41"/>
    </row>
    <row r="18304" spans="20:20" s="566" customFormat="1">
      <c r="T18304" s="41"/>
    </row>
    <row r="18305" spans="20:20" s="566" customFormat="1">
      <c r="T18305" s="41"/>
    </row>
    <row r="18306" spans="20:20" s="566" customFormat="1">
      <c r="T18306" s="41"/>
    </row>
    <row r="18307" spans="20:20" s="566" customFormat="1">
      <c r="T18307" s="41"/>
    </row>
    <row r="18308" spans="20:20" s="566" customFormat="1">
      <c r="T18308" s="41"/>
    </row>
    <row r="18309" spans="20:20" s="566" customFormat="1">
      <c r="T18309" s="41"/>
    </row>
    <row r="18310" spans="20:20" s="566" customFormat="1">
      <c r="T18310" s="41"/>
    </row>
    <row r="18311" spans="20:20" s="566" customFormat="1">
      <c r="T18311" s="41"/>
    </row>
    <row r="18312" spans="20:20" s="566" customFormat="1">
      <c r="T18312" s="41"/>
    </row>
    <row r="18313" spans="20:20" s="566" customFormat="1">
      <c r="T18313" s="41"/>
    </row>
    <row r="18314" spans="20:20" s="566" customFormat="1">
      <c r="T18314" s="41"/>
    </row>
    <row r="18315" spans="20:20" s="566" customFormat="1">
      <c r="T18315" s="41"/>
    </row>
    <row r="18316" spans="20:20" s="566" customFormat="1">
      <c r="T18316" s="41"/>
    </row>
    <row r="18317" spans="20:20" s="566" customFormat="1">
      <c r="T18317" s="41"/>
    </row>
    <row r="18318" spans="20:20" s="566" customFormat="1">
      <c r="T18318" s="41"/>
    </row>
    <row r="18319" spans="20:20" s="566" customFormat="1">
      <c r="T18319" s="41"/>
    </row>
    <row r="18320" spans="20:20" s="566" customFormat="1">
      <c r="T18320" s="41"/>
    </row>
    <row r="18321" spans="20:20" s="566" customFormat="1">
      <c r="T18321" s="41"/>
    </row>
    <row r="18322" spans="20:20" s="566" customFormat="1">
      <c r="T18322" s="41"/>
    </row>
    <row r="18323" spans="20:20" s="566" customFormat="1">
      <c r="T18323" s="41"/>
    </row>
    <row r="18324" spans="20:20" s="566" customFormat="1">
      <c r="T18324" s="41"/>
    </row>
    <row r="18325" spans="20:20" s="566" customFormat="1">
      <c r="T18325" s="41"/>
    </row>
    <row r="18326" spans="20:20" s="566" customFormat="1">
      <c r="T18326" s="41"/>
    </row>
    <row r="18327" spans="20:20" s="566" customFormat="1">
      <c r="T18327" s="41"/>
    </row>
    <row r="18328" spans="20:20" s="566" customFormat="1">
      <c r="T18328" s="41"/>
    </row>
    <row r="18329" spans="20:20" s="566" customFormat="1">
      <c r="T18329" s="41"/>
    </row>
    <row r="18330" spans="20:20" s="566" customFormat="1">
      <c r="T18330" s="41"/>
    </row>
    <row r="18331" spans="20:20" s="566" customFormat="1">
      <c r="T18331" s="41"/>
    </row>
    <row r="18332" spans="20:20" s="566" customFormat="1">
      <c r="T18332" s="41"/>
    </row>
    <row r="18333" spans="20:20" s="566" customFormat="1">
      <c r="T18333" s="41"/>
    </row>
    <row r="18334" spans="20:20" s="566" customFormat="1">
      <c r="T18334" s="41"/>
    </row>
    <row r="18335" spans="20:20" s="566" customFormat="1">
      <c r="T18335" s="41"/>
    </row>
    <row r="18336" spans="20:20" s="566" customFormat="1">
      <c r="T18336" s="41"/>
    </row>
    <row r="18337" spans="20:20" s="566" customFormat="1">
      <c r="T18337" s="41"/>
    </row>
    <row r="18338" spans="20:20" s="566" customFormat="1">
      <c r="T18338" s="41"/>
    </row>
    <row r="18339" spans="20:20" s="566" customFormat="1">
      <c r="T18339" s="41"/>
    </row>
    <row r="18340" spans="20:20" s="566" customFormat="1">
      <c r="T18340" s="41"/>
    </row>
    <row r="18341" spans="20:20" s="566" customFormat="1">
      <c r="T18341" s="41"/>
    </row>
    <row r="18342" spans="20:20" s="566" customFormat="1">
      <c r="T18342" s="41"/>
    </row>
    <row r="18343" spans="20:20" s="566" customFormat="1">
      <c r="T18343" s="41"/>
    </row>
    <row r="18344" spans="20:20" s="566" customFormat="1">
      <c r="T18344" s="41"/>
    </row>
    <row r="18345" spans="20:20" s="566" customFormat="1">
      <c r="T18345" s="41"/>
    </row>
    <row r="18346" spans="20:20" s="566" customFormat="1">
      <c r="T18346" s="41"/>
    </row>
    <row r="18347" spans="20:20" s="566" customFormat="1">
      <c r="T18347" s="41"/>
    </row>
    <row r="18348" spans="20:20" s="566" customFormat="1">
      <c r="T18348" s="41"/>
    </row>
    <row r="18349" spans="20:20" s="566" customFormat="1">
      <c r="T18349" s="41"/>
    </row>
    <row r="18350" spans="20:20" s="566" customFormat="1">
      <c r="T18350" s="41"/>
    </row>
    <row r="18351" spans="20:20" s="566" customFormat="1">
      <c r="T18351" s="41"/>
    </row>
    <row r="18352" spans="20:20" s="566" customFormat="1">
      <c r="T18352" s="41"/>
    </row>
    <row r="18353" spans="20:20" s="566" customFormat="1">
      <c r="T18353" s="41"/>
    </row>
    <row r="18354" spans="20:20" s="566" customFormat="1">
      <c r="T18354" s="41"/>
    </row>
    <row r="18355" spans="20:20" s="566" customFormat="1">
      <c r="T18355" s="41"/>
    </row>
    <row r="18356" spans="20:20" s="566" customFormat="1">
      <c r="T18356" s="41"/>
    </row>
    <row r="18357" spans="20:20" s="566" customFormat="1">
      <c r="T18357" s="41"/>
    </row>
    <row r="18358" spans="20:20" s="566" customFormat="1">
      <c r="T18358" s="41"/>
    </row>
    <row r="18359" spans="20:20" s="566" customFormat="1">
      <c r="T18359" s="41"/>
    </row>
    <row r="18360" spans="20:20" s="566" customFormat="1">
      <c r="T18360" s="41"/>
    </row>
    <row r="18361" spans="20:20" s="566" customFormat="1">
      <c r="T18361" s="41"/>
    </row>
    <row r="18362" spans="20:20" s="566" customFormat="1">
      <c r="T18362" s="41"/>
    </row>
    <row r="18363" spans="20:20" s="566" customFormat="1">
      <c r="T18363" s="41"/>
    </row>
    <row r="18364" spans="20:20" s="566" customFormat="1">
      <c r="T18364" s="41"/>
    </row>
    <row r="18365" spans="20:20" s="566" customFormat="1">
      <c r="T18365" s="41"/>
    </row>
    <row r="18366" spans="20:20" s="566" customFormat="1">
      <c r="T18366" s="41"/>
    </row>
    <row r="18367" spans="20:20" s="566" customFormat="1">
      <c r="T18367" s="41"/>
    </row>
    <row r="18368" spans="20:20" s="566" customFormat="1">
      <c r="T18368" s="41"/>
    </row>
    <row r="18369" spans="20:20" s="566" customFormat="1">
      <c r="T18369" s="41"/>
    </row>
    <row r="18370" spans="20:20" s="566" customFormat="1">
      <c r="T18370" s="41"/>
    </row>
    <row r="18371" spans="20:20" s="566" customFormat="1">
      <c r="T18371" s="41"/>
    </row>
    <row r="18372" spans="20:20" s="566" customFormat="1">
      <c r="T18372" s="41"/>
    </row>
    <row r="18373" spans="20:20" s="566" customFormat="1">
      <c r="T18373" s="41"/>
    </row>
    <row r="18374" spans="20:20" s="566" customFormat="1">
      <c r="T18374" s="41"/>
    </row>
    <row r="18375" spans="20:20" s="566" customFormat="1">
      <c r="T18375" s="41"/>
    </row>
    <row r="18376" spans="20:20" s="566" customFormat="1">
      <c r="T18376" s="41"/>
    </row>
    <row r="18377" spans="20:20" s="566" customFormat="1">
      <c r="T18377" s="41"/>
    </row>
    <row r="18378" spans="20:20" s="566" customFormat="1">
      <c r="T18378" s="41"/>
    </row>
    <row r="18379" spans="20:20" s="566" customFormat="1">
      <c r="T18379" s="41"/>
    </row>
    <row r="18380" spans="20:20" s="566" customFormat="1">
      <c r="T18380" s="41"/>
    </row>
    <row r="18381" spans="20:20" s="566" customFormat="1">
      <c r="T18381" s="41"/>
    </row>
    <row r="18382" spans="20:20" s="566" customFormat="1">
      <c r="T18382" s="41"/>
    </row>
    <row r="18383" spans="20:20" s="566" customFormat="1">
      <c r="T18383" s="41"/>
    </row>
    <row r="18384" spans="20:20" s="566" customFormat="1">
      <c r="T18384" s="41"/>
    </row>
    <row r="18385" spans="20:20" s="566" customFormat="1">
      <c r="T18385" s="41"/>
    </row>
    <row r="18386" spans="20:20" s="566" customFormat="1">
      <c r="T18386" s="41"/>
    </row>
    <row r="18387" spans="20:20" s="566" customFormat="1">
      <c r="T18387" s="41"/>
    </row>
    <row r="18388" spans="20:20" s="566" customFormat="1">
      <c r="T18388" s="41"/>
    </row>
    <row r="18389" spans="20:20" s="566" customFormat="1">
      <c r="T18389" s="41"/>
    </row>
    <row r="18390" spans="20:20" s="566" customFormat="1">
      <c r="T18390" s="41"/>
    </row>
    <row r="18391" spans="20:20" s="566" customFormat="1">
      <c r="T18391" s="41"/>
    </row>
    <row r="18392" spans="20:20" s="566" customFormat="1">
      <c r="T18392" s="41"/>
    </row>
    <row r="18393" spans="20:20" s="566" customFormat="1">
      <c r="T18393" s="41"/>
    </row>
    <row r="18394" spans="20:20" s="566" customFormat="1">
      <c r="T18394" s="41"/>
    </row>
    <row r="18395" spans="20:20" s="566" customFormat="1">
      <c r="T18395" s="41"/>
    </row>
    <row r="18396" spans="20:20" s="566" customFormat="1">
      <c r="T18396" s="41"/>
    </row>
    <row r="18397" spans="20:20" s="566" customFormat="1">
      <c r="T18397" s="41"/>
    </row>
    <row r="18398" spans="20:20" s="566" customFormat="1">
      <c r="T18398" s="41"/>
    </row>
    <row r="18399" spans="20:20" s="566" customFormat="1">
      <c r="T18399" s="41"/>
    </row>
    <row r="18400" spans="20:20" s="566" customFormat="1">
      <c r="T18400" s="41"/>
    </row>
    <row r="18401" spans="20:20" s="566" customFormat="1">
      <c r="T18401" s="41"/>
    </row>
    <row r="18402" spans="20:20" s="566" customFormat="1">
      <c r="T18402" s="41"/>
    </row>
    <row r="18403" spans="20:20" s="566" customFormat="1">
      <c r="T18403" s="41"/>
    </row>
    <row r="18404" spans="20:20" s="566" customFormat="1">
      <c r="T18404" s="41"/>
    </row>
    <row r="18405" spans="20:20" s="566" customFormat="1">
      <c r="T18405" s="41"/>
    </row>
    <row r="18406" spans="20:20" s="566" customFormat="1">
      <c r="T18406" s="41"/>
    </row>
    <row r="18407" spans="20:20" s="566" customFormat="1">
      <c r="T18407" s="41"/>
    </row>
    <row r="18408" spans="20:20" s="566" customFormat="1">
      <c r="T18408" s="41"/>
    </row>
    <row r="18409" spans="20:20" s="566" customFormat="1">
      <c r="T18409" s="41"/>
    </row>
    <row r="18410" spans="20:20" s="566" customFormat="1">
      <c r="T18410" s="41"/>
    </row>
    <row r="18411" spans="20:20" s="566" customFormat="1">
      <c r="T18411" s="41"/>
    </row>
    <row r="18412" spans="20:20" s="566" customFormat="1">
      <c r="T18412" s="41"/>
    </row>
    <row r="18413" spans="20:20" s="566" customFormat="1">
      <c r="T18413" s="41"/>
    </row>
    <row r="18414" spans="20:20" s="566" customFormat="1">
      <c r="T18414" s="41"/>
    </row>
    <row r="18415" spans="20:20" s="566" customFormat="1">
      <c r="T18415" s="41"/>
    </row>
    <row r="18416" spans="20:20" s="566" customFormat="1">
      <c r="T18416" s="41"/>
    </row>
    <row r="18417" spans="20:20" s="566" customFormat="1">
      <c r="T18417" s="41"/>
    </row>
    <row r="18418" spans="20:20" s="566" customFormat="1">
      <c r="T18418" s="41"/>
    </row>
    <row r="18419" spans="20:20" s="566" customFormat="1">
      <c r="T18419" s="41"/>
    </row>
    <row r="18420" spans="20:20" s="566" customFormat="1">
      <c r="T18420" s="41"/>
    </row>
    <row r="18421" spans="20:20" s="566" customFormat="1">
      <c r="T18421" s="41"/>
    </row>
    <row r="18422" spans="20:20" s="566" customFormat="1">
      <c r="T18422" s="41"/>
    </row>
    <row r="18423" spans="20:20" s="566" customFormat="1">
      <c r="T18423" s="41"/>
    </row>
    <row r="18424" spans="20:20" s="566" customFormat="1">
      <c r="T18424" s="41"/>
    </row>
    <row r="18425" spans="20:20" s="566" customFormat="1">
      <c r="T18425" s="41"/>
    </row>
    <row r="18426" spans="20:20" s="566" customFormat="1">
      <c r="T18426" s="41"/>
    </row>
    <row r="18427" spans="20:20" s="566" customFormat="1">
      <c r="T18427" s="41"/>
    </row>
    <row r="18428" spans="20:20" s="566" customFormat="1">
      <c r="T18428" s="41"/>
    </row>
    <row r="18429" spans="20:20" s="566" customFormat="1">
      <c r="T18429" s="41"/>
    </row>
    <row r="18430" spans="20:20" s="566" customFormat="1">
      <c r="T18430" s="41"/>
    </row>
    <row r="18431" spans="20:20" s="566" customFormat="1">
      <c r="T18431" s="41"/>
    </row>
    <row r="18432" spans="20:20" s="566" customFormat="1">
      <c r="T18432" s="41"/>
    </row>
    <row r="18433" spans="20:20" s="566" customFormat="1">
      <c r="T18433" s="41"/>
    </row>
    <row r="18434" spans="20:20" s="566" customFormat="1">
      <c r="T18434" s="41"/>
    </row>
    <row r="18435" spans="20:20" s="566" customFormat="1">
      <c r="T18435" s="41"/>
    </row>
    <row r="18436" spans="20:20" s="566" customFormat="1">
      <c r="T18436" s="41"/>
    </row>
    <row r="18437" spans="20:20" s="566" customFormat="1">
      <c r="T18437" s="41"/>
    </row>
    <row r="18438" spans="20:20" s="566" customFormat="1">
      <c r="T18438" s="41"/>
    </row>
    <row r="18439" spans="20:20" s="566" customFormat="1">
      <c r="T18439" s="41"/>
    </row>
    <row r="18440" spans="20:20" s="566" customFormat="1">
      <c r="T18440" s="41"/>
    </row>
    <row r="18441" spans="20:20" s="566" customFormat="1">
      <c r="T18441" s="41"/>
    </row>
    <row r="18442" spans="20:20" s="566" customFormat="1">
      <c r="T18442" s="41"/>
    </row>
    <row r="18443" spans="20:20" s="566" customFormat="1">
      <c r="T18443" s="41"/>
    </row>
    <row r="18444" spans="20:20" s="566" customFormat="1">
      <c r="T18444" s="41"/>
    </row>
    <row r="18445" spans="20:20" s="566" customFormat="1">
      <c r="T18445" s="41"/>
    </row>
    <row r="18446" spans="20:20" s="566" customFormat="1">
      <c r="T18446" s="41"/>
    </row>
    <row r="18447" spans="20:20" s="566" customFormat="1">
      <c r="T18447" s="41"/>
    </row>
    <row r="18448" spans="20:20" s="566" customFormat="1">
      <c r="T18448" s="41"/>
    </row>
    <row r="18449" spans="20:20" s="566" customFormat="1">
      <c r="T18449" s="41"/>
    </row>
    <row r="18450" spans="20:20" s="566" customFormat="1">
      <c r="T18450" s="41"/>
    </row>
    <row r="18451" spans="20:20" s="566" customFormat="1">
      <c r="T18451" s="41"/>
    </row>
    <row r="18452" spans="20:20" s="566" customFormat="1">
      <c r="T18452" s="41"/>
    </row>
    <row r="18453" spans="20:20" s="566" customFormat="1">
      <c r="T18453" s="41"/>
    </row>
    <row r="18454" spans="20:20" s="566" customFormat="1">
      <c r="T18454" s="41"/>
    </row>
    <row r="18455" spans="20:20" s="566" customFormat="1">
      <c r="T18455" s="41"/>
    </row>
    <row r="18456" spans="20:20" s="566" customFormat="1">
      <c r="T18456" s="41"/>
    </row>
    <row r="18457" spans="20:20" s="566" customFormat="1">
      <c r="T18457" s="41"/>
    </row>
    <row r="18458" spans="20:20" s="566" customFormat="1">
      <c r="T18458" s="41"/>
    </row>
    <row r="18459" spans="20:20" s="566" customFormat="1">
      <c r="T18459" s="41"/>
    </row>
    <row r="18460" spans="20:20" s="566" customFormat="1">
      <c r="T18460" s="41"/>
    </row>
    <row r="18461" spans="20:20" s="566" customFormat="1">
      <c r="T18461" s="41"/>
    </row>
    <row r="18462" spans="20:20" s="566" customFormat="1">
      <c r="T18462" s="41"/>
    </row>
    <row r="18463" spans="20:20" s="566" customFormat="1">
      <c r="T18463" s="41"/>
    </row>
    <row r="18464" spans="20:20" s="566" customFormat="1">
      <c r="T18464" s="41"/>
    </row>
    <row r="18465" spans="20:20" s="566" customFormat="1">
      <c r="T18465" s="41"/>
    </row>
    <row r="18466" spans="20:20" s="566" customFormat="1">
      <c r="T18466" s="41"/>
    </row>
    <row r="18467" spans="20:20" s="566" customFormat="1">
      <c r="T18467" s="41"/>
    </row>
    <row r="18468" spans="20:20" s="566" customFormat="1">
      <c r="T18468" s="41"/>
    </row>
    <row r="18469" spans="20:20" s="566" customFormat="1">
      <c r="T18469" s="41"/>
    </row>
    <row r="18470" spans="20:20" s="566" customFormat="1">
      <c r="T18470" s="41"/>
    </row>
    <row r="18471" spans="20:20" s="566" customFormat="1">
      <c r="T18471" s="41"/>
    </row>
    <row r="18472" spans="20:20" s="566" customFormat="1">
      <c r="T18472" s="41"/>
    </row>
    <row r="18473" spans="20:20" s="566" customFormat="1">
      <c r="T18473" s="41"/>
    </row>
    <row r="18474" spans="20:20" s="566" customFormat="1">
      <c r="T18474" s="41"/>
    </row>
    <row r="18475" spans="20:20" s="566" customFormat="1">
      <c r="T18475" s="41"/>
    </row>
    <row r="18476" spans="20:20" s="566" customFormat="1">
      <c r="T18476" s="41"/>
    </row>
    <row r="18477" spans="20:20" s="566" customFormat="1">
      <c r="T18477" s="41"/>
    </row>
    <row r="18478" spans="20:20" s="566" customFormat="1">
      <c r="T18478" s="41"/>
    </row>
    <row r="18479" spans="20:20" s="566" customFormat="1">
      <c r="T18479" s="41"/>
    </row>
    <row r="18480" spans="20:20" s="566" customFormat="1">
      <c r="T18480" s="41"/>
    </row>
    <row r="18481" spans="20:20" s="566" customFormat="1">
      <c r="T18481" s="41"/>
    </row>
    <row r="18482" spans="20:20" s="566" customFormat="1">
      <c r="T18482" s="41"/>
    </row>
    <row r="18483" spans="20:20" s="566" customFormat="1">
      <c r="T18483" s="41"/>
    </row>
    <row r="18484" spans="20:20" s="566" customFormat="1">
      <c r="T18484" s="41"/>
    </row>
    <row r="18485" spans="20:20" s="566" customFormat="1">
      <c r="T18485" s="41"/>
    </row>
    <row r="18486" spans="20:20" s="566" customFormat="1">
      <c r="T18486" s="41"/>
    </row>
    <row r="18487" spans="20:20" s="566" customFormat="1">
      <c r="T18487" s="41"/>
    </row>
    <row r="18488" spans="20:20" s="566" customFormat="1">
      <c r="T18488" s="41"/>
    </row>
    <row r="18489" spans="20:20" s="566" customFormat="1">
      <c r="T18489" s="41"/>
    </row>
    <row r="18490" spans="20:20" s="566" customFormat="1">
      <c r="T18490" s="41"/>
    </row>
    <row r="18491" spans="20:20" s="566" customFormat="1">
      <c r="T18491" s="41"/>
    </row>
    <row r="18492" spans="20:20" s="566" customFormat="1">
      <c r="T18492" s="41"/>
    </row>
    <row r="18493" spans="20:20" s="566" customFormat="1">
      <c r="T18493" s="41"/>
    </row>
    <row r="18494" spans="20:20" s="566" customFormat="1">
      <c r="T18494" s="41"/>
    </row>
    <row r="18495" spans="20:20" s="566" customFormat="1">
      <c r="T18495" s="41"/>
    </row>
    <row r="18496" spans="20:20" s="566" customFormat="1">
      <c r="T18496" s="41"/>
    </row>
    <row r="18497" spans="20:20" s="566" customFormat="1">
      <c r="T18497" s="41"/>
    </row>
    <row r="18498" spans="20:20" s="566" customFormat="1">
      <c r="T18498" s="41"/>
    </row>
    <row r="18499" spans="20:20" s="566" customFormat="1">
      <c r="T18499" s="41"/>
    </row>
    <row r="18500" spans="20:20" s="566" customFormat="1">
      <c r="T18500" s="41"/>
    </row>
    <row r="18501" spans="20:20" s="566" customFormat="1">
      <c r="T18501" s="41"/>
    </row>
    <row r="18502" spans="20:20" s="566" customFormat="1">
      <c r="T18502" s="41"/>
    </row>
    <row r="18503" spans="20:20" s="566" customFormat="1">
      <c r="T18503" s="41"/>
    </row>
    <row r="18504" spans="20:20" s="566" customFormat="1">
      <c r="T18504" s="41"/>
    </row>
    <row r="18505" spans="20:20" s="566" customFormat="1">
      <c r="T18505" s="41"/>
    </row>
    <row r="18506" spans="20:20" s="566" customFormat="1">
      <c r="T18506" s="41"/>
    </row>
    <row r="18507" spans="20:20" s="566" customFormat="1">
      <c r="T18507" s="41"/>
    </row>
    <row r="18508" spans="20:20" s="566" customFormat="1">
      <c r="T18508" s="41"/>
    </row>
    <row r="18509" spans="20:20" s="566" customFormat="1">
      <c r="T18509" s="41"/>
    </row>
    <row r="18510" spans="20:20" s="566" customFormat="1">
      <c r="T18510" s="41"/>
    </row>
    <row r="18511" spans="20:20" s="566" customFormat="1">
      <c r="T18511" s="41"/>
    </row>
    <row r="18512" spans="20:20" s="566" customFormat="1">
      <c r="T18512" s="41"/>
    </row>
    <row r="18513" spans="20:20" s="566" customFormat="1">
      <c r="T18513" s="41"/>
    </row>
    <row r="18514" spans="20:20" s="566" customFormat="1">
      <c r="T18514" s="41"/>
    </row>
    <row r="18515" spans="20:20" s="566" customFormat="1">
      <c r="T18515" s="41"/>
    </row>
    <row r="18516" spans="20:20" s="566" customFormat="1">
      <c r="T18516" s="41"/>
    </row>
    <row r="18517" spans="20:20" s="566" customFormat="1">
      <c r="T18517" s="41"/>
    </row>
    <row r="18518" spans="20:20" s="566" customFormat="1">
      <c r="T18518" s="41"/>
    </row>
    <row r="18519" spans="20:20" s="566" customFormat="1">
      <c r="T18519" s="41"/>
    </row>
    <row r="18520" spans="20:20" s="566" customFormat="1">
      <c r="T18520" s="41"/>
    </row>
    <row r="18521" spans="20:20" s="566" customFormat="1">
      <c r="T18521" s="41"/>
    </row>
    <row r="18522" spans="20:20" s="566" customFormat="1">
      <c r="T18522" s="41"/>
    </row>
    <row r="18523" spans="20:20" s="566" customFormat="1">
      <c r="T18523" s="41"/>
    </row>
    <row r="18524" spans="20:20" s="566" customFormat="1">
      <c r="T18524" s="41"/>
    </row>
    <row r="18525" spans="20:20" s="566" customFormat="1">
      <c r="T18525" s="41"/>
    </row>
    <row r="18526" spans="20:20" s="566" customFormat="1">
      <c r="T18526" s="41"/>
    </row>
    <row r="18527" spans="20:20" s="566" customFormat="1">
      <c r="T18527" s="41"/>
    </row>
    <row r="18528" spans="20:20" s="566" customFormat="1">
      <c r="T18528" s="41"/>
    </row>
    <row r="18529" spans="20:20" s="566" customFormat="1">
      <c r="T18529" s="41"/>
    </row>
    <row r="18530" spans="20:20" s="566" customFormat="1">
      <c r="T18530" s="41"/>
    </row>
    <row r="18531" spans="20:20" s="566" customFormat="1">
      <c r="T18531" s="41"/>
    </row>
    <row r="18532" spans="20:20" s="566" customFormat="1">
      <c r="T18532" s="41"/>
    </row>
    <row r="18533" spans="20:20" s="566" customFormat="1">
      <c r="T18533" s="41"/>
    </row>
    <row r="18534" spans="20:20" s="566" customFormat="1">
      <c r="T18534" s="41"/>
    </row>
    <row r="18535" spans="20:20" s="566" customFormat="1">
      <c r="T18535" s="41"/>
    </row>
    <row r="18536" spans="20:20" s="566" customFormat="1">
      <c r="T18536" s="41"/>
    </row>
    <row r="18537" spans="20:20" s="566" customFormat="1">
      <c r="T18537" s="41"/>
    </row>
    <row r="18538" spans="20:20" s="566" customFormat="1">
      <c r="T18538" s="41"/>
    </row>
    <row r="18539" spans="20:20" s="566" customFormat="1">
      <c r="T18539" s="41"/>
    </row>
    <row r="18540" spans="20:20" s="566" customFormat="1">
      <c r="T18540" s="41"/>
    </row>
    <row r="18541" spans="20:20" s="566" customFormat="1">
      <c r="T18541" s="41"/>
    </row>
    <row r="18542" spans="20:20" s="566" customFormat="1">
      <c r="T18542" s="41"/>
    </row>
    <row r="18543" spans="20:20" s="566" customFormat="1">
      <c r="T18543" s="41"/>
    </row>
    <row r="18544" spans="20:20" s="566" customFormat="1">
      <c r="T18544" s="41"/>
    </row>
    <row r="18545" spans="20:20" s="566" customFormat="1">
      <c r="T18545" s="41"/>
    </row>
    <row r="18546" spans="20:20" s="566" customFormat="1">
      <c r="T18546" s="41"/>
    </row>
    <row r="18547" spans="20:20" s="566" customFormat="1">
      <c r="T18547" s="41"/>
    </row>
    <row r="18548" spans="20:20" s="566" customFormat="1">
      <c r="T18548" s="41"/>
    </row>
    <row r="18549" spans="20:20" s="566" customFormat="1">
      <c r="T18549" s="41"/>
    </row>
    <row r="18550" spans="20:20" s="566" customFormat="1">
      <c r="T18550" s="41"/>
    </row>
    <row r="18551" spans="20:20" s="566" customFormat="1">
      <c r="T18551" s="41"/>
    </row>
    <row r="18552" spans="20:20" s="566" customFormat="1">
      <c r="T18552" s="41"/>
    </row>
    <row r="18553" spans="20:20" s="566" customFormat="1">
      <c r="T18553" s="41"/>
    </row>
    <row r="18554" spans="20:20" s="566" customFormat="1">
      <c r="T18554" s="41"/>
    </row>
    <row r="18555" spans="20:20" s="566" customFormat="1">
      <c r="T18555" s="41"/>
    </row>
    <row r="18556" spans="20:20" s="566" customFormat="1">
      <c r="T18556" s="41"/>
    </row>
    <row r="18557" spans="20:20" s="566" customFormat="1">
      <c r="T18557" s="41"/>
    </row>
    <row r="18558" spans="20:20" s="566" customFormat="1">
      <c r="T18558" s="41"/>
    </row>
    <row r="18559" spans="20:20" s="566" customFormat="1">
      <c r="T18559" s="41"/>
    </row>
    <row r="18560" spans="20:20" s="566" customFormat="1">
      <c r="T18560" s="41"/>
    </row>
    <row r="18561" spans="20:20" s="566" customFormat="1">
      <c r="T18561" s="41"/>
    </row>
    <row r="18562" spans="20:20" s="566" customFormat="1">
      <c r="T18562" s="41"/>
    </row>
    <row r="18563" spans="20:20" s="566" customFormat="1">
      <c r="T18563" s="41"/>
    </row>
    <row r="18564" spans="20:20" s="566" customFormat="1">
      <c r="T18564" s="41"/>
    </row>
    <row r="18565" spans="20:20" s="566" customFormat="1">
      <c r="T18565" s="41"/>
    </row>
    <row r="18566" spans="20:20" s="566" customFormat="1">
      <c r="T18566" s="41"/>
    </row>
    <row r="18567" spans="20:20" s="566" customFormat="1">
      <c r="T18567" s="41"/>
    </row>
    <row r="18568" spans="20:20" s="566" customFormat="1">
      <c r="T18568" s="41"/>
    </row>
    <row r="18569" spans="20:20" s="566" customFormat="1">
      <c r="T18569" s="41"/>
    </row>
    <row r="18570" spans="20:20" s="566" customFormat="1">
      <c r="T18570" s="41"/>
    </row>
    <row r="18571" spans="20:20" s="566" customFormat="1">
      <c r="T18571" s="41"/>
    </row>
    <row r="18572" spans="20:20" s="566" customFormat="1">
      <c r="T18572" s="41"/>
    </row>
    <row r="18573" spans="20:20" s="566" customFormat="1">
      <c r="T18573" s="41"/>
    </row>
    <row r="18574" spans="20:20" s="566" customFormat="1">
      <c r="T18574" s="41"/>
    </row>
    <row r="18575" spans="20:20" s="566" customFormat="1">
      <c r="T18575" s="41"/>
    </row>
    <row r="18576" spans="20:20" s="566" customFormat="1">
      <c r="T18576" s="41"/>
    </row>
    <row r="18577" spans="20:20" s="566" customFormat="1">
      <c r="T18577" s="41"/>
    </row>
    <row r="18578" spans="20:20" s="566" customFormat="1">
      <c r="T18578" s="41"/>
    </row>
    <row r="18579" spans="20:20" s="566" customFormat="1">
      <c r="T18579" s="41"/>
    </row>
    <row r="18580" spans="20:20" s="566" customFormat="1">
      <c r="T18580" s="41"/>
    </row>
    <row r="18581" spans="20:20" s="566" customFormat="1">
      <c r="T18581" s="41"/>
    </row>
    <row r="18582" spans="20:20" s="566" customFormat="1">
      <c r="T18582" s="41"/>
    </row>
    <row r="18583" spans="20:20" s="566" customFormat="1">
      <c r="T18583" s="41"/>
    </row>
    <row r="18584" spans="20:20" s="566" customFormat="1">
      <c r="T18584" s="41"/>
    </row>
    <row r="18585" spans="20:20" s="566" customFormat="1">
      <c r="T18585" s="41"/>
    </row>
    <row r="18586" spans="20:20" s="566" customFormat="1">
      <c r="T18586" s="41"/>
    </row>
    <row r="18587" spans="20:20" s="566" customFormat="1">
      <c r="T18587" s="41"/>
    </row>
    <row r="18588" spans="20:20" s="566" customFormat="1">
      <c r="T18588" s="41"/>
    </row>
    <row r="18589" spans="20:20" s="566" customFormat="1">
      <c r="T18589" s="41"/>
    </row>
    <row r="18590" spans="20:20" s="566" customFormat="1">
      <c r="T18590" s="41"/>
    </row>
    <row r="18591" spans="20:20" s="566" customFormat="1">
      <c r="T18591" s="41"/>
    </row>
    <row r="18592" spans="20:20" s="566" customFormat="1">
      <c r="T18592" s="41"/>
    </row>
    <row r="18593" spans="20:20" s="566" customFormat="1">
      <c r="T18593" s="41"/>
    </row>
    <row r="18594" spans="20:20" s="566" customFormat="1">
      <c r="T18594" s="41"/>
    </row>
    <row r="18595" spans="20:20" s="566" customFormat="1">
      <c r="T18595" s="41"/>
    </row>
    <row r="18596" spans="20:20" s="566" customFormat="1">
      <c r="T18596" s="41"/>
    </row>
    <row r="18597" spans="20:20" s="566" customFormat="1">
      <c r="T18597" s="41"/>
    </row>
    <row r="18598" spans="20:20" s="566" customFormat="1">
      <c r="T18598" s="41"/>
    </row>
    <row r="18599" spans="20:20" s="566" customFormat="1">
      <c r="T18599" s="41"/>
    </row>
    <row r="18600" spans="20:20" s="566" customFormat="1">
      <c r="T18600" s="41"/>
    </row>
    <row r="18601" spans="20:20" s="566" customFormat="1">
      <c r="T18601" s="41"/>
    </row>
    <row r="18602" spans="20:20" s="566" customFormat="1">
      <c r="T18602" s="41"/>
    </row>
    <row r="18603" spans="20:20" s="566" customFormat="1">
      <c r="T18603" s="41"/>
    </row>
    <row r="18604" spans="20:20" s="566" customFormat="1">
      <c r="T18604" s="41"/>
    </row>
    <row r="18605" spans="20:20" s="566" customFormat="1">
      <c r="T18605" s="41"/>
    </row>
    <row r="18606" spans="20:20" s="566" customFormat="1">
      <c r="T18606" s="41"/>
    </row>
    <row r="18607" spans="20:20" s="566" customFormat="1">
      <c r="T18607" s="41"/>
    </row>
    <row r="18608" spans="20:20" s="566" customFormat="1">
      <c r="T18608" s="41"/>
    </row>
    <row r="18609" spans="20:20" s="566" customFormat="1">
      <c r="T18609" s="41"/>
    </row>
    <row r="18610" spans="20:20" s="566" customFormat="1">
      <c r="T18610" s="41"/>
    </row>
    <row r="18611" spans="20:20" s="566" customFormat="1">
      <c r="T18611" s="41"/>
    </row>
    <row r="18612" spans="20:20" s="566" customFormat="1">
      <c r="T18612" s="41"/>
    </row>
    <row r="18613" spans="20:20" s="566" customFormat="1">
      <c r="T18613" s="41"/>
    </row>
    <row r="18614" spans="20:20" s="566" customFormat="1">
      <c r="T18614" s="41"/>
    </row>
    <row r="18615" spans="20:20" s="566" customFormat="1">
      <c r="T18615" s="41"/>
    </row>
    <row r="18616" spans="20:20" s="566" customFormat="1">
      <c r="T18616" s="41"/>
    </row>
    <row r="18617" spans="20:20" s="566" customFormat="1">
      <c r="T18617" s="41"/>
    </row>
    <row r="18618" spans="20:20" s="566" customFormat="1">
      <c r="T18618" s="41"/>
    </row>
    <row r="18619" spans="20:20" s="566" customFormat="1">
      <c r="T18619" s="41"/>
    </row>
    <row r="18620" spans="20:20" s="566" customFormat="1">
      <c r="T18620" s="41"/>
    </row>
    <row r="18621" spans="20:20" s="566" customFormat="1">
      <c r="T18621" s="41"/>
    </row>
    <row r="18622" spans="20:20" s="566" customFormat="1">
      <c r="T18622" s="41"/>
    </row>
    <row r="18623" spans="20:20" s="566" customFormat="1">
      <c r="T18623" s="41"/>
    </row>
    <row r="18624" spans="20:20" s="566" customFormat="1">
      <c r="T18624" s="41"/>
    </row>
    <row r="18625" spans="20:20" s="566" customFormat="1">
      <c r="T18625" s="41"/>
    </row>
    <row r="18626" spans="20:20" s="566" customFormat="1">
      <c r="T18626" s="41"/>
    </row>
    <row r="18627" spans="20:20" s="566" customFormat="1">
      <c r="T18627" s="41"/>
    </row>
    <row r="18628" spans="20:20" s="566" customFormat="1">
      <c r="T18628" s="41"/>
    </row>
    <row r="18629" spans="20:20" s="566" customFormat="1">
      <c r="T18629" s="41"/>
    </row>
    <row r="18630" spans="20:20" s="566" customFormat="1">
      <c r="T18630" s="41"/>
    </row>
    <row r="18631" spans="20:20" s="566" customFormat="1">
      <c r="T18631" s="41"/>
    </row>
    <row r="18632" spans="20:20" s="566" customFormat="1">
      <c r="T18632" s="41"/>
    </row>
    <row r="18633" spans="20:20" s="566" customFormat="1">
      <c r="T18633" s="41"/>
    </row>
    <row r="18634" spans="20:20" s="566" customFormat="1">
      <c r="T18634" s="41"/>
    </row>
    <row r="18635" spans="20:20" s="566" customFormat="1">
      <c r="T18635" s="41"/>
    </row>
    <row r="18636" spans="20:20" s="566" customFormat="1">
      <c r="T18636" s="41"/>
    </row>
    <row r="18637" spans="20:20" s="566" customFormat="1">
      <c r="T18637" s="41"/>
    </row>
    <row r="18638" spans="20:20" s="566" customFormat="1">
      <c r="T18638" s="41"/>
    </row>
    <row r="18639" spans="20:20" s="566" customFormat="1">
      <c r="T18639" s="41"/>
    </row>
    <row r="18640" spans="20:20" s="566" customFormat="1">
      <c r="T18640" s="41"/>
    </row>
    <row r="18641" spans="20:20" s="566" customFormat="1">
      <c r="T18641" s="41"/>
    </row>
    <row r="18642" spans="20:20" s="566" customFormat="1">
      <c r="T18642" s="41"/>
    </row>
    <row r="18643" spans="20:20" s="566" customFormat="1">
      <c r="T18643" s="41"/>
    </row>
    <row r="18644" spans="20:20" s="566" customFormat="1">
      <c r="T18644" s="41"/>
    </row>
    <row r="18645" spans="20:20" s="566" customFormat="1">
      <c r="T18645" s="41"/>
    </row>
    <row r="18646" spans="20:20" s="566" customFormat="1">
      <c r="T18646" s="41"/>
    </row>
    <row r="18647" spans="20:20" s="566" customFormat="1">
      <c r="T18647" s="41"/>
    </row>
    <row r="18648" spans="20:20" s="566" customFormat="1">
      <c r="T18648" s="41"/>
    </row>
    <row r="18649" spans="20:20" s="566" customFormat="1">
      <c r="T18649" s="41"/>
    </row>
    <row r="18650" spans="20:20" s="566" customFormat="1">
      <c r="T18650" s="41"/>
    </row>
    <row r="18651" spans="20:20" s="566" customFormat="1">
      <c r="T18651" s="41"/>
    </row>
    <row r="18652" spans="20:20" s="566" customFormat="1">
      <c r="T18652" s="41"/>
    </row>
    <row r="18653" spans="20:20" s="566" customFormat="1">
      <c r="T18653" s="41"/>
    </row>
    <row r="18654" spans="20:20" s="566" customFormat="1">
      <c r="T18654" s="41"/>
    </row>
    <row r="18655" spans="20:20" s="566" customFormat="1">
      <c r="T18655" s="41"/>
    </row>
    <row r="18656" spans="20:20" s="566" customFormat="1">
      <c r="T18656" s="41"/>
    </row>
    <row r="18657" spans="20:20" s="566" customFormat="1">
      <c r="T18657" s="41"/>
    </row>
    <row r="18658" spans="20:20" s="566" customFormat="1">
      <c r="T18658" s="41"/>
    </row>
    <row r="18659" spans="20:20" s="566" customFormat="1">
      <c r="T18659" s="41"/>
    </row>
    <row r="18660" spans="20:20" s="566" customFormat="1">
      <c r="T18660" s="41"/>
    </row>
    <row r="18661" spans="20:20" s="566" customFormat="1">
      <c r="T18661" s="41"/>
    </row>
    <row r="18662" spans="20:20" s="566" customFormat="1">
      <c r="T18662" s="41"/>
    </row>
    <row r="18663" spans="20:20" s="566" customFormat="1">
      <c r="T18663" s="41"/>
    </row>
    <row r="18664" spans="20:20" s="566" customFormat="1">
      <c r="T18664" s="41"/>
    </row>
    <row r="18665" spans="20:20" s="566" customFormat="1">
      <c r="T18665" s="41"/>
    </row>
    <row r="18666" spans="20:20" s="566" customFormat="1">
      <c r="T18666" s="41"/>
    </row>
    <row r="18667" spans="20:20" s="566" customFormat="1">
      <c r="T18667" s="41"/>
    </row>
    <row r="18668" spans="20:20" s="566" customFormat="1">
      <c r="T18668" s="41"/>
    </row>
    <row r="18669" spans="20:20" s="566" customFormat="1">
      <c r="T18669" s="41"/>
    </row>
    <row r="18670" spans="20:20" s="566" customFormat="1">
      <c r="T18670" s="41"/>
    </row>
    <row r="18671" spans="20:20" s="566" customFormat="1">
      <c r="T18671" s="41"/>
    </row>
    <row r="18672" spans="20:20" s="566" customFormat="1">
      <c r="T18672" s="41"/>
    </row>
    <row r="18673" spans="20:20" s="566" customFormat="1">
      <c r="T18673" s="41"/>
    </row>
    <row r="18674" spans="20:20" s="566" customFormat="1">
      <c r="T18674" s="41"/>
    </row>
    <row r="18675" spans="20:20" s="566" customFormat="1">
      <c r="T18675" s="41"/>
    </row>
    <row r="18676" spans="20:20" s="566" customFormat="1">
      <c r="T18676" s="41"/>
    </row>
    <row r="18677" spans="20:20" s="566" customFormat="1">
      <c r="T18677" s="41"/>
    </row>
    <row r="18678" spans="20:20" s="566" customFormat="1">
      <c r="T18678" s="41"/>
    </row>
    <row r="18679" spans="20:20" s="566" customFormat="1">
      <c r="T18679" s="41"/>
    </row>
    <row r="18680" spans="20:20" s="566" customFormat="1">
      <c r="T18680" s="41"/>
    </row>
    <row r="18681" spans="20:20" s="566" customFormat="1">
      <c r="T18681" s="41"/>
    </row>
    <row r="18682" spans="20:20" s="566" customFormat="1">
      <c r="T18682" s="41"/>
    </row>
    <row r="18683" spans="20:20" s="566" customFormat="1">
      <c r="T18683" s="41"/>
    </row>
    <row r="18684" spans="20:20" s="566" customFormat="1">
      <c r="T18684" s="41"/>
    </row>
    <row r="18685" spans="20:20" s="566" customFormat="1">
      <c r="T18685" s="41"/>
    </row>
    <row r="18686" spans="20:20" s="566" customFormat="1">
      <c r="T18686" s="41"/>
    </row>
    <row r="18687" spans="20:20" s="566" customFormat="1">
      <c r="T18687" s="41"/>
    </row>
    <row r="18688" spans="20:20" s="566" customFormat="1">
      <c r="T18688" s="41"/>
    </row>
    <row r="18689" spans="20:20" s="566" customFormat="1">
      <c r="T18689" s="41"/>
    </row>
    <row r="18690" spans="20:20" s="566" customFormat="1">
      <c r="T18690" s="41"/>
    </row>
    <row r="18691" spans="20:20" s="566" customFormat="1">
      <c r="T18691" s="41"/>
    </row>
    <row r="18692" spans="20:20" s="566" customFormat="1">
      <c r="T18692" s="41"/>
    </row>
    <row r="18693" spans="20:20" s="566" customFormat="1">
      <c r="T18693" s="41"/>
    </row>
    <row r="18694" spans="20:20" s="566" customFormat="1">
      <c r="T18694" s="41"/>
    </row>
    <row r="18695" spans="20:20" s="566" customFormat="1">
      <c r="T18695" s="41"/>
    </row>
    <row r="18696" spans="20:20" s="566" customFormat="1">
      <c r="T18696" s="41"/>
    </row>
    <row r="18697" spans="20:20" s="566" customFormat="1">
      <c r="T18697" s="41"/>
    </row>
    <row r="18698" spans="20:20" s="566" customFormat="1">
      <c r="T18698" s="41"/>
    </row>
    <row r="18699" spans="20:20" s="566" customFormat="1">
      <c r="T18699" s="41"/>
    </row>
    <row r="18700" spans="20:20" s="566" customFormat="1">
      <c r="T18700" s="41"/>
    </row>
    <row r="18701" spans="20:20" s="566" customFormat="1">
      <c r="T18701" s="41"/>
    </row>
    <row r="18702" spans="20:20" s="566" customFormat="1">
      <c r="T18702" s="41"/>
    </row>
    <row r="18703" spans="20:20" s="566" customFormat="1">
      <c r="T18703" s="41"/>
    </row>
    <row r="18704" spans="20:20" s="566" customFormat="1">
      <c r="T18704" s="41"/>
    </row>
    <row r="18705" spans="20:20" s="566" customFormat="1">
      <c r="T18705" s="41"/>
    </row>
    <row r="18706" spans="20:20" s="566" customFormat="1">
      <c r="T18706" s="41"/>
    </row>
    <row r="18707" spans="20:20" s="566" customFormat="1">
      <c r="T18707" s="41"/>
    </row>
    <row r="18708" spans="20:20" s="566" customFormat="1">
      <c r="T18708" s="41"/>
    </row>
    <row r="18709" spans="20:20" s="566" customFormat="1">
      <c r="T18709" s="41"/>
    </row>
    <row r="18710" spans="20:20" s="566" customFormat="1">
      <c r="T18710" s="41"/>
    </row>
    <row r="18711" spans="20:20" s="566" customFormat="1">
      <c r="T18711" s="41"/>
    </row>
    <row r="18712" spans="20:20" s="566" customFormat="1">
      <c r="T18712" s="41"/>
    </row>
    <row r="18713" spans="20:20" s="566" customFormat="1">
      <c r="T18713" s="41"/>
    </row>
    <row r="18714" spans="20:20" s="566" customFormat="1">
      <c r="T18714" s="41"/>
    </row>
    <row r="18715" spans="20:20" s="566" customFormat="1">
      <c r="T18715" s="41"/>
    </row>
    <row r="18716" spans="20:20" s="566" customFormat="1">
      <c r="T18716" s="41"/>
    </row>
    <row r="18717" spans="20:20" s="566" customFormat="1">
      <c r="T18717" s="41"/>
    </row>
    <row r="18718" spans="20:20" s="566" customFormat="1">
      <c r="T18718" s="41"/>
    </row>
    <row r="18719" spans="20:20" s="566" customFormat="1">
      <c r="T18719" s="41"/>
    </row>
    <row r="18720" spans="20:20" s="566" customFormat="1">
      <c r="T18720" s="41"/>
    </row>
    <row r="18721" spans="20:20" s="566" customFormat="1">
      <c r="T18721" s="41"/>
    </row>
    <row r="18722" spans="20:20" s="566" customFormat="1">
      <c r="T18722" s="41"/>
    </row>
    <row r="18723" spans="20:20" s="566" customFormat="1">
      <c r="T18723" s="41"/>
    </row>
    <row r="18724" spans="20:20" s="566" customFormat="1">
      <c r="T18724" s="41"/>
    </row>
    <row r="18725" spans="20:20" s="566" customFormat="1">
      <c r="T18725" s="41"/>
    </row>
    <row r="18726" spans="20:20" s="566" customFormat="1">
      <c r="T18726" s="41"/>
    </row>
    <row r="18727" spans="20:20" s="566" customFormat="1">
      <c r="T18727" s="41"/>
    </row>
    <row r="18728" spans="20:20" s="566" customFormat="1">
      <c r="T18728" s="41"/>
    </row>
    <row r="18729" spans="20:20" s="566" customFormat="1">
      <c r="T18729" s="41"/>
    </row>
    <row r="18730" spans="20:20" s="566" customFormat="1">
      <c r="T18730" s="41"/>
    </row>
    <row r="18731" spans="20:20" s="566" customFormat="1">
      <c r="T18731" s="41"/>
    </row>
    <row r="18732" spans="20:20" s="566" customFormat="1">
      <c r="T18732" s="41"/>
    </row>
    <row r="18733" spans="20:20" s="566" customFormat="1">
      <c r="T18733" s="41"/>
    </row>
    <row r="18734" spans="20:20" s="566" customFormat="1">
      <c r="T18734" s="41"/>
    </row>
    <row r="18735" spans="20:20" s="566" customFormat="1">
      <c r="T18735" s="41"/>
    </row>
    <row r="18736" spans="20:20" s="566" customFormat="1">
      <c r="T18736" s="41"/>
    </row>
    <row r="18737" spans="20:20" s="566" customFormat="1">
      <c r="T18737" s="41"/>
    </row>
    <row r="18738" spans="20:20" s="566" customFormat="1">
      <c r="T18738" s="41"/>
    </row>
    <row r="18739" spans="20:20" s="566" customFormat="1">
      <c r="T18739" s="41"/>
    </row>
    <row r="18740" spans="20:20" s="566" customFormat="1">
      <c r="T18740" s="41"/>
    </row>
    <row r="18741" spans="20:20" s="566" customFormat="1">
      <c r="T18741" s="41"/>
    </row>
    <row r="18742" spans="20:20" s="566" customFormat="1">
      <c r="T18742" s="41"/>
    </row>
    <row r="18743" spans="20:20" s="566" customFormat="1">
      <c r="T18743" s="41"/>
    </row>
    <row r="18744" spans="20:20" s="566" customFormat="1">
      <c r="T18744" s="41"/>
    </row>
    <row r="18745" spans="20:20" s="566" customFormat="1">
      <c r="T18745" s="41"/>
    </row>
    <row r="18746" spans="20:20" s="566" customFormat="1">
      <c r="T18746" s="41"/>
    </row>
    <row r="18747" spans="20:20" s="566" customFormat="1">
      <c r="T18747" s="41"/>
    </row>
    <row r="18748" spans="20:20" s="566" customFormat="1">
      <c r="T18748" s="41"/>
    </row>
    <row r="18749" spans="20:20" s="566" customFormat="1">
      <c r="T18749" s="41"/>
    </row>
    <row r="18750" spans="20:20" s="566" customFormat="1">
      <c r="T18750" s="41"/>
    </row>
    <row r="18751" spans="20:20" s="566" customFormat="1">
      <c r="T18751" s="41"/>
    </row>
    <row r="18752" spans="20:20" s="566" customFormat="1">
      <c r="T18752" s="41"/>
    </row>
    <row r="18753" spans="20:20" s="566" customFormat="1">
      <c r="T18753" s="41"/>
    </row>
    <row r="18754" spans="20:20" s="566" customFormat="1">
      <c r="T18754" s="41"/>
    </row>
    <row r="18755" spans="20:20" s="566" customFormat="1">
      <c r="T18755" s="41"/>
    </row>
    <row r="18756" spans="20:20" s="566" customFormat="1">
      <c r="T18756" s="41"/>
    </row>
    <row r="18757" spans="20:20" s="566" customFormat="1">
      <c r="T18757" s="41"/>
    </row>
    <row r="18758" spans="20:20" s="566" customFormat="1">
      <c r="T18758" s="41"/>
    </row>
    <row r="18759" spans="20:20" s="566" customFormat="1">
      <c r="T18759" s="41"/>
    </row>
    <row r="18760" spans="20:20" s="566" customFormat="1">
      <c r="T18760" s="41"/>
    </row>
    <row r="18761" spans="20:20" s="566" customFormat="1">
      <c r="T18761" s="41"/>
    </row>
    <row r="18762" spans="20:20" s="566" customFormat="1">
      <c r="T18762" s="41"/>
    </row>
    <row r="18763" spans="20:20" s="566" customFormat="1">
      <c r="T18763" s="41"/>
    </row>
    <row r="18764" spans="20:20" s="566" customFormat="1">
      <c r="T18764" s="41"/>
    </row>
    <row r="18765" spans="20:20" s="566" customFormat="1">
      <c r="T18765" s="41"/>
    </row>
    <row r="18766" spans="20:20" s="566" customFormat="1">
      <c r="T18766" s="41"/>
    </row>
    <row r="18767" spans="20:20" s="566" customFormat="1">
      <c r="T18767" s="41"/>
    </row>
    <row r="18768" spans="20:20" s="566" customFormat="1">
      <c r="T18768" s="41"/>
    </row>
    <row r="18769" spans="20:20" s="566" customFormat="1">
      <c r="T18769" s="41"/>
    </row>
    <row r="18770" spans="20:20" s="566" customFormat="1">
      <c r="T18770" s="41"/>
    </row>
    <row r="18771" spans="20:20" s="566" customFormat="1">
      <c r="T18771" s="41"/>
    </row>
    <row r="18772" spans="20:20" s="566" customFormat="1">
      <c r="T18772" s="41"/>
    </row>
    <row r="18773" spans="20:20" s="566" customFormat="1">
      <c r="T18773" s="41"/>
    </row>
    <row r="18774" spans="20:20" s="566" customFormat="1">
      <c r="T18774" s="41"/>
    </row>
    <row r="18775" spans="20:20" s="566" customFormat="1">
      <c r="T18775" s="41"/>
    </row>
    <row r="18776" spans="20:20" s="566" customFormat="1">
      <c r="T18776" s="41"/>
    </row>
    <row r="18777" spans="20:20" s="566" customFormat="1">
      <c r="T18777" s="41"/>
    </row>
    <row r="18778" spans="20:20" s="566" customFormat="1">
      <c r="T18778" s="41"/>
    </row>
    <row r="18779" spans="20:20" s="566" customFormat="1">
      <c r="T18779" s="41"/>
    </row>
    <row r="18780" spans="20:20" s="566" customFormat="1">
      <c r="T18780" s="41"/>
    </row>
    <row r="18781" spans="20:20" s="566" customFormat="1">
      <c r="T18781" s="41"/>
    </row>
    <row r="18782" spans="20:20" s="566" customFormat="1">
      <c r="T18782" s="41"/>
    </row>
    <row r="18783" spans="20:20" s="566" customFormat="1">
      <c r="T18783" s="41"/>
    </row>
    <row r="18784" spans="20:20" s="566" customFormat="1">
      <c r="T18784" s="41"/>
    </row>
    <row r="18785" spans="20:20" s="566" customFormat="1">
      <c r="T18785" s="41"/>
    </row>
    <row r="18786" spans="20:20" s="566" customFormat="1">
      <c r="T18786" s="41"/>
    </row>
    <row r="18787" spans="20:20" s="566" customFormat="1">
      <c r="T18787" s="41"/>
    </row>
    <row r="18788" spans="20:20" s="566" customFormat="1">
      <c r="T18788" s="41"/>
    </row>
    <row r="18789" spans="20:20" s="566" customFormat="1">
      <c r="T18789" s="41"/>
    </row>
    <row r="18790" spans="20:20" s="566" customFormat="1">
      <c r="T18790" s="41"/>
    </row>
    <row r="18791" spans="20:20" s="566" customFormat="1">
      <c r="T18791" s="41"/>
    </row>
    <row r="18792" spans="20:20" s="566" customFormat="1">
      <c r="T18792" s="41"/>
    </row>
    <row r="18793" spans="20:20" s="566" customFormat="1">
      <c r="T18793" s="41"/>
    </row>
    <row r="18794" spans="20:20" s="566" customFormat="1">
      <c r="T18794" s="41"/>
    </row>
    <row r="18795" spans="20:20" s="566" customFormat="1">
      <c r="T18795" s="41"/>
    </row>
    <row r="18796" spans="20:20" s="566" customFormat="1">
      <c r="T18796" s="41"/>
    </row>
    <row r="18797" spans="20:20" s="566" customFormat="1">
      <c r="T18797" s="41"/>
    </row>
    <row r="18798" spans="20:20" s="566" customFormat="1">
      <c r="T18798" s="41"/>
    </row>
    <row r="18799" spans="20:20" s="566" customFormat="1">
      <c r="T18799" s="41"/>
    </row>
    <row r="18800" spans="20:20" s="566" customFormat="1">
      <c r="T18800" s="41"/>
    </row>
    <row r="18801" spans="20:20" s="566" customFormat="1">
      <c r="T18801" s="41"/>
    </row>
    <row r="18802" spans="20:20" s="566" customFormat="1">
      <c r="T18802" s="41"/>
    </row>
    <row r="18803" spans="20:20" s="566" customFormat="1">
      <c r="T18803" s="41"/>
    </row>
    <row r="18804" spans="20:20" s="566" customFormat="1">
      <c r="T18804" s="41"/>
    </row>
    <row r="18805" spans="20:20" s="566" customFormat="1">
      <c r="T18805" s="41"/>
    </row>
    <row r="18806" spans="20:20" s="566" customFormat="1">
      <c r="T18806" s="41"/>
    </row>
    <row r="18807" spans="20:20" s="566" customFormat="1">
      <c r="T18807" s="41"/>
    </row>
    <row r="18808" spans="20:20" s="566" customFormat="1">
      <c r="T18808" s="41"/>
    </row>
    <row r="18809" spans="20:20" s="566" customFormat="1">
      <c r="T18809" s="41"/>
    </row>
    <row r="18810" spans="20:20" s="566" customFormat="1">
      <c r="T18810" s="41"/>
    </row>
    <row r="18811" spans="20:20" s="566" customFormat="1">
      <c r="T18811" s="41"/>
    </row>
    <row r="18812" spans="20:20" s="566" customFormat="1">
      <c r="T18812" s="41"/>
    </row>
    <row r="18813" spans="20:20" s="566" customFormat="1">
      <c r="T18813" s="41"/>
    </row>
    <row r="18814" spans="20:20" s="566" customFormat="1">
      <c r="T18814" s="41"/>
    </row>
    <row r="18815" spans="20:20" s="566" customFormat="1">
      <c r="T18815" s="41"/>
    </row>
    <row r="18816" spans="20:20" s="566" customFormat="1">
      <c r="T18816" s="41"/>
    </row>
    <row r="18817" spans="20:20" s="566" customFormat="1">
      <c r="T18817" s="41"/>
    </row>
    <row r="18818" spans="20:20" s="566" customFormat="1">
      <c r="T18818" s="41"/>
    </row>
    <row r="18819" spans="20:20" s="566" customFormat="1">
      <c r="T18819" s="41"/>
    </row>
    <row r="18820" spans="20:20" s="566" customFormat="1">
      <c r="T18820" s="41"/>
    </row>
    <row r="18821" spans="20:20" s="566" customFormat="1">
      <c r="T18821" s="41"/>
    </row>
    <row r="18822" spans="20:20" s="566" customFormat="1">
      <c r="T18822" s="41"/>
    </row>
    <row r="18823" spans="20:20" s="566" customFormat="1">
      <c r="T18823" s="41"/>
    </row>
    <row r="18824" spans="20:20" s="566" customFormat="1">
      <c r="T18824" s="41"/>
    </row>
    <row r="18825" spans="20:20" s="566" customFormat="1">
      <c r="T18825" s="41"/>
    </row>
    <row r="18826" spans="20:20" s="566" customFormat="1">
      <c r="T18826" s="41"/>
    </row>
    <row r="18827" spans="20:20" s="566" customFormat="1">
      <c r="T18827" s="41"/>
    </row>
    <row r="18828" spans="20:20" s="566" customFormat="1">
      <c r="T18828" s="41"/>
    </row>
    <row r="18829" spans="20:20" s="566" customFormat="1">
      <c r="T18829" s="41"/>
    </row>
    <row r="18830" spans="20:20" s="566" customFormat="1">
      <c r="T18830" s="41"/>
    </row>
    <row r="18831" spans="20:20" s="566" customFormat="1">
      <c r="T18831" s="41"/>
    </row>
    <row r="18832" spans="20:20" s="566" customFormat="1">
      <c r="T18832" s="41"/>
    </row>
    <row r="18833" spans="20:20" s="566" customFormat="1">
      <c r="T18833" s="41"/>
    </row>
    <row r="18834" spans="20:20" s="566" customFormat="1">
      <c r="T18834" s="41"/>
    </row>
    <row r="18835" spans="20:20" s="566" customFormat="1">
      <c r="T18835" s="41"/>
    </row>
    <row r="18836" spans="20:20" s="566" customFormat="1">
      <c r="T18836" s="41"/>
    </row>
    <row r="18837" spans="20:20" s="566" customFormat="1">
      <c r="T18837" s="41"/>
    </row>
    <row r="18838" spans="20:20" s="566" customFormat="1">
      <c r="T18838" s="41"/>
    </row>
    <row r="18839" spans="20:20" s="566" customFormat="1">
      <c r="T18839" s="41"/>
    </row>
    <row r="18840" spans="20:20" s="566" customFormat="1">
      <c r="T18840" s="41"/>
    </row>
    <row r="18841" spans="20:20" s="566" customFormat="1">
      <c r="T18841" s="41"/>
    </row>
    <row r="18842" spans="20:20" s="566" customFormat="1">
      <c r="T18842" s="41"/>
    </row>
    <row r="18843" spans="20:20" s="566" customFormat="1">
      <c r="T18843" s="41"/>
    </row>
    <row r="18844" spans="20:20" s="566" customFormat="1">
      <c r="T18844" s="41"/>
    </row>
    <row r="18845" spans="20:20" s="566" customFormat="1">
      <c r="T18845" s="41"/>
    </row>
    <row r="18846" spans="20:20" s="566" customFormat="1">
      <c r="T18846" s="41"/>
    </row>
    <row r="18847" spans="20:20" s="566" customFormat="1">
      <c r="T18847" s="41"/>
    </row>
    <row r="18848" spans="20:20" s="566" customFormat="1">
      <c r="T18848" s="41"/>
    </row>
    <row r="18849" spans="20:20" s="566" customFormat="1">
      <c r="T18849" s="41"/>
    </row>
    <row r="18850" spans="20:20" s="566" customFormat="1">
      <c r="T18850" s="41"/>
    </row>
    <row r="18851" spans="20:20" s="566" customFormat="1">
      <c r="T18851" s="41"/>
    </row>
    <row r="18852" spans="20:20" s="566" customFormat="1">
      <c r="T18852" s="41"/>
    </row>
    <row r="18853" spans="20:20" s="566" customFormat="1">
      <c r="T18853" s="41"/>
    </row>
    <row r="18854" spans="20:20" s="566" customFormat="1">
      <c r="T18854" s="41"/>
    </row>
    <row r="18855" spans="20:20" s="566" customFormat="1">
      <c r="T18855" s="41"/>
    </row>
    <row r="18856" spans="20:20" s="566" customFormat="1">
      <c r="T18856" s="41"/>
    </row>
    <row r="18857" spans="20:20" s="566" customFormat="1">
      <c r="T18857" s="41"/>
    </row>
    <row r="18858" spans="20:20" s="566" customFormat="1">
      <c r="T18858" s="41"/>
    </row>
    <row r="18859" spans="20:20" s="566" customFormat="1">
      <c r="T18859" s="41"/>
    </row>
    <row r="18860" spans="20:20" s="566" customFormat="1">
      <c r="T18860" s="41"/>
    </row>
    <row r="18861" spans="20:20" s="566" customFormat="1">
      <c r="T18861" s="41"/>
    </row>
    <row r="18862" spans="20:20" s="566" customFormat="1">
      <c r="T18862" s="41"/>
    </row>
    <row r="18863" spans="20:20" s="566" customFormat="1">
      <c r="T18863" s="41"/>
    </row>
    <row r="18864" spans="20:20" s="566" customFormat="1">
      <c r="T18864" s="41"/>
    </row>
    <row r="18865" spans="20:20" s="566" customFormat="1">
      <c r="T18865" s="41"/>
    </row>
    <row r="18866" spans="20:20" s="566" customFormat="1">
      <c r="T18866" s="41"/>
    </row>
    <row r="18867" spans="20:20" s="566" customFormat="1">
      <c r="T18867" s="41"/>
    </row>
    <row r="18868" spans="20:20" s="566" customFormat="1">
      <c r="T18868" s="41"/>
    </row>
    <row r="18869" spans="20:20" s="566" customFormat="1">
      <c r="T18869" s="41"/>
    </row>
    <row r="18870" spans="20:20" s="566" customFormat="1">
      <c r="T18870" s="41"/>
    </row>
    <row r="18871" spans="20:20" s="566" customFormat="1">
      <c r="T18871" s="41"/>
    </row>
    <row r="18872" spans="20:20" s="566" customFormat="1">
      <c r="T18872" s="41"/>
    </row>
    <row r="18873" spans="20:20" s="566" customFormat="1">
      <c r="T18873" s="41"/>
    </row>
    <row r="18874" spans="20:20" s="566" customFormat="1">
      <c r="T18874" s="41"/>
    </row>
    <row r="18875" spans="20:20" s="566" customFormat="1">
      <c r="T18875" s="41"/>
    </row>
    <row r="18876" spans="20:20" s="566" customFormat="1">
      <c r="T18876" s="41"/>
    </row>
    <row r="18877" spans="20:20" s="566" customFormat="1">
      <c r="T18877" s="41"/>
    </row>
    <row r="18878" spans="20:20" s="566" customFormat="1">
      <c r="T18878" s="41"/>
    </row>
    <row r="18879" spans="20:20" s="566" customFormat="1">
      <c r="T18879" s="41"/>
    </row>
    <row r="18880" spans="20:20" s="566" customFormat="1">
      <c r="T18880" s="41"/>
    </row>
    <row r="18881" spans="20:20" s="566" customFormat="1">
      <c r="T18881" s="41"/>
    </row>
    <row r="18882" spans="20:20" s="566" customFormat="1">
      <c r="T18882" s="41"/>
    </row>
    <row r="18883" spans="20:20" s="566" customFormat="1">
      <c r="T18883" s="41"/>
    </row>
    <row r="18884" spans="20:20" s="566" customFormat="1">
      <c r="T18884" s="41"/>
    </row>
    <row r="18885" spans="20:20" s="566" customFormat="1">
      <c r="T18885" s="41"/>
    </row>
    <row r="18886" spans="20:20" s="566" customFormat="1">
      <c r="T18886" s="41"/>
    </row>
    <row r="18887" spans="20:20" s="566" customFormat="1">
      <c r="T18887" s="41"/>
    </row>
    <row r="18888" spans="20:20" s="566" customFormat="1">
      <c r="T18888" s="41"/>
    </row>
    <row r="18889" spans="20:20" s="566" customFormat="1">
      <c r="T18889" s="41"/>
    </row>
    <row r="18890" spans="20:20" s="566" customFormat="1">
      <c r="T18890" s="41"/>
    </row>
    <row r="18891" spans="20:20" s="566" customFormat="1">
      <c r="T18891" s="41"/>
    </row>
    <row r="18892" spans="20:20" s="566" customFormat="1">
      <c r="T18892" s="41"/>
    </row>
    <row r="18893" spans="20:20" s="566" customFormat="1">
      <c r="T18893" s="41"/>
    </row>
    <row r="18894" spans="20:20" s="566" customFormat="1">
      <c r="T18894" s="41"/>
    </row>
    <row r="18895" spans="20:20" s="566" customFormat="1">
      <c r="T18895" s="41"/>
    </row>
    <row r="18896" spans="20:20" s="566" customFormat="1">
      <c r="T18896" s="41"/>
    </row>
    <row r="18897" spans="20:20" s="566" customFormat="1">
      <c r="T18897" s="41"/>
    </row>
    <row r="18898" spans="20:20" s="566" customFormat="1">
      <c r="T18898" s="41"/>
    </row>
    <row r="18899" spans="20:20" s="566" customFormat="1">
      <c r="T18899" s="41"/>
    </row>
    <row r="18900" spans="20:20" s="566" customFormat="1">
      <c r="T18900" s="41"/>
    </row>
    <row r="18901" spans="20:20" s="566" customFormat="1">
      <c r="T18901" s="41"/>
    </row>
    <row r="18902" spans="20:20" s="566" customFormat="1">
      <c r="T18902" s="41"/>
    </row>
    <row r="18903" spans="20:20" s="566" customFormat="1">
      <c r="T18903" s="41"/>
    </row>
    <row r="18904" spans="20:20" s="566" customFormat="1">
      <c r="T18904" s="41"/>
    </row>
    <row r="18905" spans="20:20" s="566" customFormat="1">
      <c r="T18905" s="41"/>
    </row>
    <row r="18906" spans="20:20" s="566" customFormat="1">
      <c r="T18906" s="41"/>
    </row>
    <row r="18907" spans="20:20" s="566" customFormat="1">
      <c r="T18907" s="41"/>
    </row>
    <row r="18908" spans="20:20" s="566" customFormat="1">
      <c r="T18908" s="41"/>
    </row>
    <row r="18909" spans="20:20" s="566" customFormat="1">
      <c r="T18909" s="41"/>
    </row>
    <row r="18910" spans="20:20" s="566" customFormat="1">
      <c r="T18910" s="41"/>
    </row>
    <row r="18911" spans="20:20" s="566" customFormat="1">
      <c r="T18911" s="41"/>
    </row>
    <row r="18912" spans="20:20" s="566" customFormat="1">
      <c r="T18912" s="41"/>
    </row>
    <row r="18913" spans="20:20" s="566" customFormat="1">
      <c r="T18913" s="41"/>
    </row>
    <row r="18914" spans="20:20" s="566" customFormat="1">
      <c r="T18914" s="41"/>
    </row>
    <row r="18915" spans="20:20" s="566" customFormat="1">
      <c r="T18915" s="41"/>
    </row>
    <row r="18916" spans="20:20" s="566" customFormat="1">
      <c r="T18916" s="41"/>
    </row>
    <row r="18917" spans="20:20" s="566" customFormat="1">
      <c r="T18917" s="41"/>
    </row>
    <row r="18918" spans="20:20" s="566" customFormat="1">
      <c r="T18918" s="41"/>
    </row>
    <row r="18919" spans="20:20" s="566" customFormat="1">
      <c r="T18919" s="41"/>
    </row>
    <row r="18920" spans="20:20" s="566" customFormat="1">
      <c r="T18920" s="41"/>
    </row>
    <row r="18921" spans="20:20" s="566" customFormat="1">
      <c r="T18921" s="41"/>
    </row>
    <row r="18922" spans="20:20" s="566" customFormat="1">
      <c r="T18922" s="41"/>
    </row>
    <row r="18923" spans="20:20" s="566" customFormat="1">
      <c r="T18923" s="41"/>
    </row>
    <row r="18924" spans="20:20" s="566" customFormat="1">
      <c r="T18924" s="41"/>
    </row>
    <row r="18925" spans="20:20" s="566" customFormat="1">
      <c r="T18925" s="41"/>
    </row>
    <row r="18926" spans="20:20" s="566" customFormat="1">
      <c r="T18926" s="41"/>
    </row>
    <row r="18927" spans="20:20" s="566" customFormat="1">
      <c r="T18927" s="41"/>
    </row>
    <row r="18928" spans="20:20" s="566" customFormat="1">
      <c r="T18928" s="41"/>
    </row>
    <row r="18929" spans="20:20" s="566" customFormat="1">
      <c r="T18929" s="41"/>
    </row>
    <row r="18930" spans="20:20" s="566" customFormat="1">
      <c r="T18930" s="41"/>
    </row>
    <row r="18931" spans="20:20" s="566" customFormat="1">
      <c r="T18931" s="41"/>
    </row>
    <row r="18932" spans="20:20" s="566" customFormat="1">
      <c r="T18932" s="41"/>
    </row>
    <row r="18933" spans="20:20" s="566" customFormat="1">
      <c r="T18933" s="41"/>
    </row>
    <row r="18934" spans="20:20" s="566" customFormat="1">
      <c r="T18934" s="41"/>
    </row>
    <row r="18935" spans="20:20" s="566" customFormat="1">
      <c r="T18935" s="41"/>
    </row>
    <row r="18936" spans="20:20" s="566" customFormat="1">
      <c r="T18936" s="41"/>
    </row>
    <row r="18937" spans="20:20" s="566" customFormat="1">
      <c r="T18937" s="41"/>
    </row>
    <row r="18938" spans="20:20" s="566" customFormat="1">
      <c r="T18938" s="41"/>
    </row>
    <row r="18939" spans="20:20" s="566" customFormat="1">
      <c r="T18939" s="41"/>
    </row>
    <row r="18940" spans="20:20" s="566" customFormat="1">
      <c r="T18940" s="41"/>
    </row>
    <row r="18941" spans="20:20" s="566" customFormat="1">
      <c r="T18941" s="41"/>
    </row>
    <row r="18942" spans="20:20" s="566" customFormat="1">
      <c r="T18942" s="41"/>
    </row>
    <row r="18943" spans="20:20" s="566" customFormat="1">
      <c r="T18943" s="41"/>
    </row>
    <row r="18944" spans="20:20" s="566" customFormat="1">
      <c r="T18944" s="41"/>
    </row>
    <row r="18945" spans="20:20" s="566" customFormat="1">
      <c r="T18945" s="41"/>
    </row>
    <row r="18946" spans="20:20" s="566" customFormat="1">
      <c r="T18946" s="41"/>
    </row>
    <row r="18947" spans="20:20" s="566" customFormat="1">
      <c r="T18947" s="41"/>
    </row>
    <row r="18948" spans="20:20" s="566" customFormat="1">
      <c r="T18948" s="41"/>
    </row>
    <row r="18949" spans="20:20" s="566" customFormat="1">
      <c r="T18949" s="41"/>
    </row>
    <row r="18950" spans="20:20" s="566" customFormat="1">
      <c r="T18950" s="41"/>
    </row>
    <row r="18951" spans="20:20" s="566" customFormat="1">
      <c r="T18951" s="41"/>
    </row>
    <row r="18952" spans="20:20" s="566" customFormat="1">
      <c r="T18952" s="41"/>
    </row>
    <row r="18953" spans="20:20" s="566" customFormat="1">
      <c r="T18953" s="41"/>
    </row>
    <row r="18954" spans="20:20" s="566" customFormat="1">
      <c r="T18954" s="41"/>
    </row>
    <row r="18955" spans="20:20" s="566" customFormat="1">
      <c r="T18955" s="41"/>
    </row>
    <row r="18956" spans="20:20" s="566" customFormat="1">
      <c r="T18956" s="41"/>
    </row>
    <row r="18957" spans="20:20" s="566" customFormat="1">
      <c r="T18957" s="41"/>
    </row>
    <row r="18958" spans="20:20" s="566" customFormat="1">
      <c r="T18958" s="41"/>
    </row>
    <row r="18959" spans="20:20" s="566" customFormat="1">
      <c r="T18959" s="41"/>
    </row>
    <row r="18960" spans="20:20" s="566" customFormat="1">
      <c r="T18960" s="41"/>
    </row>
    <row r="18961" spans="20:20" s="566" customFormat="1">
      <c r="T18961" s="41"/>
    </row>
    <row r="18962" spans="20:20" s="566" customFormat="1">
      <c r="T18962" s="41"/>
    </row>
    <row r="18963" spans="20:20" s="566" customFormat="1">
      <c r="T18963" s="41"/>
    </row>
    <row r="18964" spans="20:20" s="566" customFormat="1">
      <c r="T18964" s="41"/>
    </row>
    <row r="18965" spans="20:20" s="566" customFormat="1">
      <c r="T18965" s="41"/>
    </row>
    <row r="18966" spans="20:20" s="566" customFormat="1">
      <c r="T18966" s="41"/>
    </row>
    <row r="18967" spans="20:20" s="566" customFormat="1">
      <c r="T18967" s="41"/>
    </row>
    <row r="18968" spans="20:20" s="566" customFormat="1">
      <c r="T18968" s="41"/>
    </row>
    <row r="18969" spans="20:20" s="566" customFormat="1">
      <c r="T18969" s="41"/>
    </row>
    <row r="18970" spans="20:20" s="566" customFormat="1">
      <c r="T18970" s="41"/>
    </row>
    <row r="18971" spans="20:20" s="566" customFormat="1">
      <c r="T18971" s="41"/>
    </row>
    <row r="18972" spans="20:20" s="566" customFormat="1">
      <c r="T18972" s="41"/>
    </row>
    <row r="18973" spans="20:20" s="566" customFormat="1">
      <c r="T18973" s="41"/>
    </row>
    <row r="18974" spans="20:20" s="566" customFormat="1">
      <c r="T18974" s="41"/>
    </row>
    <row r="18975" spans="20:20" s="566" customFormat="1">
      <c r="T18975" s="41"/>
    </row>
    <row r="18976" spans="20:20" s="566" customFormat="1">
      <c r="T18976" s="41"/>
    </row>
    <row r="18977" spans="20:20" s="566" customFormat="1">
      <c r="T18977" s="41"/>
    </row>
    <row r="18978" spans="20:20" s="566" customFormat="1">
      <c r="T18978" s="41"/>
    </row>
    <row r="18979" spans="20:20" s="566" customFormat="1">
      <c r="T18979" s="41"/>
    </row>
    <row r="18980" spans="20:20" s="566" customFormat="1">
      <c r="T18980" s="41"/>
    </row>
    <row r="18981" spans="20:20" s="566" customFormat="1">
      <c r="T18981" s="41"/>
    </row>
    <row r="18982" spans="20:20" s="566" customFormat="1">
      <c r="T18982" s="41"/>
    </row>
    <row r="18983" spans="20:20" s="566" customFormat="1">
      <c r="T18983" s="41"/>
    </row>
    <row r="18984" spans="20:20" s="566" customFormat="1">
      <c r="T18984" s="41"/>
    </row>
    <row r="18985" spans="20:20" s="566" customFormat="1">
      <c r="T18985" s="41"/>
    </row>
    <row r="18986" spans="20:20" s="566" customFormat="1">
      <c r="T18986" s="41"/>
    </row>
    <row r="18987" spans="20:20" s="566" customFormat="1">
      <c r="T18987" s="41"/>
    </row>
    <row r="18988" spans="20:20" s="566" customFormat="1">
      <c r="T18988" s="41"/>
    </row>
    <row r="18989" spans="20:20" s="566" customFormat="1">
      <c r="T18989" s="41"/>
    </row>
    <row r="18990" spans="20:20" s="566" customFormat="1">
      <c r="T18990" s="41"/>
    </row>
    <row r="18991" spans="20:20" s="566" customFormat="1">
      <c r="T18991" s="41"/>
    </row>
    <row r="18992" spans="20:20" s="566" customFormat="1">
      <c r="T18992" s="41"/>
    </row>
    <row r="18993" spans="20:20" s="566" customFormat="1">
      <c r="T18993" s="41"/>
    </row>
    <row r="18994" spans="20:20" s="566" customFormat="1">
      <c r="T18994" s="41"/>
    </row>
    <row r="18995" spans="20:20" s="566" customFormat="1">
      <c r="T18995" s="41"/>
    </row>
    <row r="18996" spans="20:20" s="566" customFormat="1">
      <c r="T18996" s="41"/>
    </row>
    <row r="18997" spans="20:20" s="566" customFormat="1">
      <c r="T18997" s="41"/>
    </row>
    <row r="18998" spans="20:20" s="566" customFormat="1">
      <c r="T18998" s="41"/>
    </row>
    <row r="18999" spans="20:20" s="566" customFormat="1">
      <c r="T18999" s="41"/>
    </row>
    <row r="19000" spans="20:20" s="566" customFormat="1">
      <c r="T19000" s="41"/>
    </row>
    <row r="19001" spans="20:20" s="566" customFormat="1">
      <c r="T19001" s="41"/>
    </row>
    <row r="19002" spans="20:20" s="566" customFormat="1">
      <c r="T19002" s="41"/>
    </row>
    <row r="19003" spans="20:20" s="566" customFormat="1">
      <c r="T19003" s="41"/>
    </row>
    <row r="19004" spans="20:20" s="566" customFormat="1">
      <c r="T19004" s="41"/>
    </row>
    <row r="19005" spans="20:20" s="566" customFormat="1">
      <c r="T19005" s="41"/>
    </row>
    <row r="19006" spans="20:20" s="566" customFormat="1">
      <c r="T19006" s="41"/>
    </row>
    <row r="19007" spans="20:20" s="566" customFormat="1">
      <c r="T19007" s="41"/>
    </row>
    <row r="19008" spans="20:20" s="566" customFormat="1">
      <c r="T19008" s="41"/>
    </row>
    <row r="19009" spans="20:20" s="566" customFormat="1">
      <c r="T19009" s="41"/>
    </row>
    <row r="19010" spans="20:20" s="566" customFormat="1">
      <c r="T19010" s="41"/>
    </row>
    <row r="19011" spans="20:20" s="566" customFormat="1">
      <c r="T19011" s="41"/>
    </row>
    <row r="19012" spans="20:20" s="566" customFormat="1">
      <c r="T19012" s="41"/>
    </row>
    <row r="19013" spans="20:20" s="566" customFormat="1">
      <c r="T19013" s="41"/>
    </row>
    <row r="19014" spans="20:20" s="566" customFormat="1">
      <c r="T19014" s="41"/>
    </row>
    <row r="19015" spans="20:20" s="566" customFormat="1">
      <c r="T19015" s="41"/>
    </row>
    <row r="19016" spans="20:20" s="566" customFormat="1">
      <c r="T19016" s="41"/>
    </row>
    <row r="19017" spans="20:20" s="566" customFormat="1">
      <c r="T19017" s="41"/>
    </row>
    <row r="19018" spans="20:20" s="566" customFormat="1">
      <c r="T19018" s="41"/>
    </row>
    <row r="19019" spans="20:20" s="566" customFormat="1">
      <c r="T19019" s="41"/>
    </row>
    <row r="19020" spans="20:20" s="566" customFormat="1">
      <c r="T19020" s="41"/>
    </row>
    <row r="19021" spans="20:20" s="566" customFormat="1">
      <c r="T19021" s="41"/>
    </row>
    <row r="19022" spans="20:20" s="566" customFormat="1">
      <c r="T19022" s="41"/>
    </row>
    <row r="19023" spans="20:20" s="566" customFormat="1">
      <c r="T19023" s="41"/>
    </row>
    <row r="19024" spans="20:20" s="566" customFormat="1">
      <c r="T19024" s="41"/>
    </row>
    <row r="19025" spans="20:20" s="566" customFormat="1">
      <c r="T19025" s="41"/>
    </row>
    <row r="19026" spans="20:20" s="566" customFormat="1">
      <c r="T19026" s="41"/>
    </row>
    <row r="19027" spans="20:20" s="566" customFormat="1">
      <c r="T19027" s="41"/>
    </row>
    <row r="19028" spans="20:20" s="566" customFormat="1">
      <c r="T19028" s="41"/>
    </row>
    <row r="19029" spans="20:20" s="566" customFormat="1">
      <c r="T19029" s="41"/>
    </row>
    <row r="19030" spans="20:20" s="566" customFormat="1">
      <c r="T19030" s="41"/>
    </row>
    <row r="19031" spans="20:20" s="566" customFormat="1">
      <c r="T19031" s="41"/>
    </row>
    <row r="19032" spans="20:20" s="566" customFormat="1">
      <c r="T19032" s="41"/>
    </row>
    <row r="19033" spans="20:20" s="566" customFormat="1">
      <c r="T19033" s="41"/>
    </row>
    <row r="19034" spans="20:20" s="566" customFormat="1">
      <c r="T19034" s="41"/>
    </row>
    <row r="19035" spans="20:20" s="566" customFormat="1">
      <c r="T19035" s="41"/>
    </row>
    <row r="19036" spans="20:20" s="566" customFormat="1">
      <c r="T19036" s="41"/>
    </row>
    <row r="19037" spans="20:20" s="566" customFormat="1">
      <c r="T19037" s="41"/>
    </row>
    <row r="19038" spans="20:20" s="566" customFormat="1">
      <c r="T19038" s="41"/>
    </row>
    <row r="19039" spans="20:20" s="566" customFormat="1">
      <c r="T19039" s="41"/>
    </row>
    <row r="19040" spans="20:20" s="566" customFormat="1">
      <c r="T19040" s="41"/>
    </row>
    <row r="19041" spans="20:20" s="566" customFormat="1">
      <c r="T19041" s="41"/>
    </row>
    <row r="19042" spans="20:20" s="566" customFormat="1">
      <c r="T19042" s="41"/>
    </row>
    <row r="19043" spans="20:20" s="566" customFormat="1">
      <c r="T19043" s="41"/>
    </row>
    <row r="19044" spans="20:20" s="566" customFormat="1">
      <c r="T19044" s="41"/>
    </row>
    <row r="19045" spans="20:20" s="566" customFormat="1">
      <c r="T19045" s="41"/>
    </row>
    <row r="19046" spans="20:20" s="566" customFormat="1">
      <c r="T19046" s="41"/>
    </row>
    <row r="19047" spans="20:20" s="566" customFormat="1">
      <c r="T19047" s="41"/>
    </row>
    <row r="19048" spans="20:20" s="566" customFormat="1">
      <c r="T19048" s="41"/>
    </row>
    <row r="19049" spans="20:20" s="566" customFormat="1">
      <c r="T19049" s="41"/>
    </row>
    <row r="19050" spans="20:20" s="566" customFormat="1">
      <c r="T19050" s="41"/>
    </row>
    <row r="19051" spans="20:20" s="566" customFormat="1">
      <c r="T19051" s="41"/>
    </row>
    <row r="19052" spans="20:20" s="566" customFormat="1">
      <c r="T19052" s="41"/>
    </row>
    <row r="19053" spans="20:20" s="566" customFormat="1">
      <c r="T19053" s="41"/>
    </row>
    <row r="19054" spans="20:20" s="566" customFormat="1">
      <c r="T19054" s="41"/>
    </row>
    <row r="19055" spans="20:20" s="566" customFormat="1">
      <c r="T19055" s="41"/>
    </row>
    <row r="19056" spans="20:20" s="566" customFormat="1">
      <c r="T19056" s="41"/>
    </row>
    <row r="19057" spans="20:20" s="566" customFormat="1">
      <c r="T19057" s="41"/>
    </row>
    <row r="19058" spans="20:20" s="566" customFormat="1">
      <c r="T19058" s="41"/>
    </row>
    <row r="19059" spans="20:20" s="566" customFormat="1">
      <c r="T19059" s="41"/>
    </row>
    <row r="19060" spans="20:20" s="566" customFormat="1">
      <c r="T19060" s="41"/>
    </row>
    <row r="19061" spans="20:20" s="566" customFormat="1">
      <c r="T19061" s="41"/>
    </row>
    <row r="19062" spans="20:20" s="566" customFormat="1">
      <c r="T19062" s="41"/>
    </row>
    <row r="19063" spans="20:20" s="566" customFormat="1">
      <c r="T19063" s="41"/>
    </row>
    <row r="19064" spans="20:20" s="566" customFormat="1">
      <c r="T19064" s="41"/>
    </row>
    <row r="19065" spans="20:20" s="566" customFormat="1">
      <c r="T19065" s="41"/>
    </row>
    <row r="19066" spans="20:20" s="566" customFormat="1">
      <c r="T19066" s="41"/>
    </row>
    <row r="19067" spans="20:20" s="566" customFormat="1">
      <c r="T19067" s="41"/>
    </row>
    <row r="19068" spans="20:20" s="566" customFormat="1">
      <c r="T19068" s="41"/>
    </row>
    <row r="19069" spans="20:20" s="566" customFormat="1">
      <c r="T19069" s="41"/>
    </row>
    <row r="19070" spans="20:20" s="566" customFormat="1">
      <c r="T19070" s="41"/>
    </row>
    <row r="19071" spans="20:20" s="566" customFormat="1">
      <c r="T19071" s="41"/>
    </row>
    <row r="19072" spans="20:20" s="566" customFormat="1">
      <c r="T19072" s="41"/>
    </row>
    <row r="19073" spans="20:20" s="566" customFormat="1">
      <c r="T19073" s="41"/>
    </row>
    <row r="19074" spans="20:20" s="566" customFormat="1">
      <c r="T19074" s="41"/>
    </row>
    <row r="19075" spans="20:20" s="566" customFormat="1">
      <c r="T19075" s="41"/>
    </row>
    <row r="19076" spans="20:20" s="566" customFormat="1">
      <c r="T19076" s="41"/>
    </row>
    <row r="19077" spans="20:20" s="566" customFormat="1">
      <c r="T19077" s="41"/>
    </row>
    <row r="19078" spans="20:20" s="566" customFormat="1">
      <c r="T19078" s="41"/>
    </row>
    <row r="19079" spans="20:20" s="566" customFormat="1">
      <c r="T19079" s="41"/>
    </row>
    <row r="19080" spans="20:20" s="566" customFormat="1">
      <c r="T19080" s="41"/>
    </row>
    <row r="19081" spans="20:20" s="566" customFormat="1">
      <c r="T19081" s="41"/>
    </row>
    <row r="19082" spans="20:20" s="566" customFormat="1">
      <c r="T19082" s="41"/>
    </row>
    <row r="19083" spans="20:20" s="566" customFormat="1">
      <c r="T19083" s="41"/>
    </row>
    <row r="19084" spans="20:20" s="566" customFormat="1">
      <c r="T19084" s="41"/>
    </row>
    <row r="19085" spans="20:20" s="566" customFormat="1">
      <c r="T19085" s="41"/>
    </row>
    <row r="19086" spans="20:20" s="566" customFormat="1">
      <c r="T19086" s="41"/>
    </row>
    <row r="19087" spans="20:20" s="566" customFormat="1">
      <c r="T19087" s="41"/>
    </row>
    <row r="19088" spans="20:20" s="566" customFormat="1">
      <c r="T19088" s="41"/>
    </row>
    <row r="19089" spans="20:20" s="566" customFormat="1">
      <c r="T19089" s="41"/>
    </row>
    <row r="19090" spans="20:20" s="566" customFormat="1">
      <c r="T19090" s="41"/>
    </row>
    <row r="19091" spans="20:20" s="566" customFormat="1">
      <c r="T19091" s="41"/>
    </row>
    <row r="19092" spans="20:20" s="566" customFormat="1">
      <c r="T19092" s="41"/>
    </row>
    <row r="19093" spans="20:20" s="566" customFormat="1">
      <c r="T19093" s="41"/>
    </row>
    <row r="19094" spans="20:20" s="566" customFormat="1">
      <c r="T19094" s="41"/>
    </row>
    <row r="19095" spans="20:20" s="566" customFormat="1">
      <c r="T19095" s="41"/>
    </row>
    <row r="19096" spans="20:20" s="566" customFormat="1">
      <c r="T19096" s="41"/>
    </row>
    <row r="19097" spans="20:20" s="566" customFormat="1">
      <c r="T19097" s="41"/>
    </row>
    <row r="19098" spans="20:20" s="566" customFormat="1">
      <c r="T19098" s="41"/>
    </row>
    <row r="19099" spans="20:20" s="566" customFormat="1">
      <c r="T19099" s="41"/>
    </row>
    <row r="19100" spans="20:20" s="566" customFormat="1">
      <c r="T19100" s="41"/>
    </row>
    <row r="19101" spans="20:20" s="566" customFormat="1">
      <c r="T19101" s="41"/>
    </row>
    <row r="19102" spans="20:20" s="566" customFormat="1">
      <c r="T19102" s="41"/>
    </row>
    <row r="19103" spans="20:20" s="566" customFormat="1">
      <c r="T19103" s="41"/>
    </row>
    <row r="19104" spans="20:20" s="566" customFormat="1">
      <c r="T19104" s="41"/>
    </row>
    <row r="19105" spans="20:20" s="566" customFormat="1">
      <c r="T19105" s="41"/>
    </row>
    <row r="19106" spans="20:20" s="566" customFormat="1">
      <c r="T19106" s="41"/>
    </row>
    <row r="19107" spans="20:20" s="566" customFormat="1">
      <c r="T19107" s="41"/>
    </row>
    <row r="19108" spans="20:20" s="566" customFormat="1">
      <c r="T19108" s="41"/>
    </row>
    <row r="19109" spans="20:20" s="566" customFormat="1">
      <c r="T19109" s="41"/>
    </row>
    <row r="19110" spans="20:20" s="566" customFormat="1">
      <c r="T19110" s="41"/>
    </row>
    <row r="19111" spans="20:20" s="566" customFormat="1">
      <c r="T19111" s="41"/>
    </row>
    <row r="19112" spans="20:20" s="566" customFormat="1">
      <c r="T19112" s="41"/>
    </row>
    <row r="19113" spans="20:20" s="566" customFormat="1">
      <c r="T19113" s="41"/>
    </row>
    <row r="19114" spans="20:20" s="566" customFormat="1">
      <c r="T19114" s="41"/>
    </row>
    <row r="19115" spans="20:20" s="566" customFormat="1">
      <c r="T19115" s="41"/>
    </row>
    <row r="19116" spans="20:20" s="566" customFormat="1">
      <c r="T19116" s="41"/>
    </row>
    <row r="19117" spans="20:20" s="566" customFormat="1">
      <c r="T19117" s="41"/>
    </row>
    <row r="19118" spans="20:20" s="566" customFormat="1">
      <c r="T19118" s="41"/>
    </row>
    <row r="19119" spans="20:20" s="566" customFormat="1">
      <c r="T19119" s="41"/>
    </row>
    <row r="19120" spans="20:20" s="566" customFormat="1">
      <c r="T19120" s="41"/>
    </row>
    <row r="19121" spans="20:20" s="566" customFormat="1">
      <c r="T19121" s="41"/>
    </row>
    <row r="19122" spans="20:20" s="566" customFormat="1">
      <c r="T19122" s="41"/>
    </row>
    <row r="19123" spans="20:20" s="566" customFormat="1">
      <c r="T19123" s="41"/>
    </row>
    <row r="19124" spans="20:20" s="566" customFormat="1">
      <c r="T19124" s="41"/>
    </row>
    <row r="19125" spans="20:20" s="566" customFormat="1">
      <c r="T19125" s="41"/>
    </row>
    <row r="19126" spans="20:20" s="566" customFormat="1">
      <c r="T19126" s="41"/>
    </row>
    <row r="19127" spans="20:20" s="566" customFormat="1">
      <c r="T19127" s="41"/>
    </row>
    <row r="19128" spans="20:20" s="566" customFormat="1">
      <c r="T19128" s="41"/>
    </row>
    <row r="19129" spans="20:20" s="566" customFormat="1">
      <c r="T19129" s="41"/>
    </row>
    <row r="19130" spans="20:20" s="566" customFormat="1">
      <c r="T19130" s="41"/>
    </row>
    <row r="19131" spans="20:20" s="566" customFormat="1">
      <c r="T19131" s="41"/>
    </row>
    <row r="19132" spans="20:20" s="566" customFormat="1">
      <c r="T19132" s="41"/>
    </row>
    <row r="19133" spans="20:20" s="566" customFormat="1">
      <c r="T19133" s="41"/>
    </row>
    <row r="19134" spans="20:20" s="566" customFormat="1">
      <c r="T19134" s="41"/>
    </row>
    <row r="19135" spans="20:20" s="566" customFormat="1">
      <c r="T19135" s="41"/>
    </row>
    <row r="19136" spans="20:20" s="566" customFormat="1">
      <c r="T19136" s="41"/>
    </row>
    <row r="19137" spans="20:20" s="566" customFormat="1">
      <c r="T19137" s="41"/>
    </row>
    <row r="19138" spans="20:20" s="566" customFormat="1">
      <c r="T19138" s="41"/>
    </row>
    <row r="19139" spans="20:20" s="566" customFormat="1">
      <c r="T19139" s="41"/>
    </row>
    <row r="19140" spans="20:20" s="566" customFormat="1">
      <c r="T19140" s="41"/>
    </row>
    <row r="19141" spans="20:20" s="566" customFormat="1">
      <c r="T19141" s="41"/>
    </row>
    <row r="19142" spans="20:20" s="566" customFormat="1">
      <c r="T19142" s="41"/>
    </row>
    <row r="19143" spans="20:20" s="566" customFormat="1">
      <c r="T19143" s="41"/>
    </row>
    <row r="19144" spans="20:20" s="566" customFormat="1">
      <c r="T19144" s="41"/>
    </row>
    <row r="19145" spans="20:20" s="566" customFormat="1">
      <c r="T19145" s="41"/>
    </row>
    <row r="19146" spans="20:20" s="566" customFormat="1">
      <c r="T19146" s="41"/>
    </row>
    <row r="19147" spans="20:20" s="566" customFormat="1">
      <c r="T19147" s="41"/>
    </row>
    <row r="19148" spans="20:20" s="566" customFormat="1">
      <c r="T19148" s="41"/>
    </row>
    <row r="19149" spans="20:20" s="566" customFormat="1">
      <c r="T19149" s="41"/>
    </row>
    <row r="19150" spans="20:20" s="566" customFormat="1">
      <c r="T19150" s="41"/>
    </row>
    <row r="19151" spans="20:20" s="566" customFormat="1">
      <c r="T19151" s="41"/>
    </row>
    <row r="19152" spans="20:20" s="566" customFormat="1">
      <c r="T19152" s="41"/>
    </row>
    <row r="19153" spans="20:20" s="566" customFormat="1">
      <c r="T19153" s="41"/>
    </row>
    <row r="19154" spans="20:20" s="566" customFormat="1">
      <c r="T19154" s="41"/>
    </row>
    <row r="19155" spans="20:20" s="566" customFormat="1">
      <c r="T19155" s="41"/>
    </row>
    <row r="19156" spans="20:20" s="566" customFormat="1">
      <c r="T19156" s="41"/>
    </row>
    <row r="19157" spans="20:20" s="566" customFormat="1">
      <c r="T19157" s="41"/>
    </row>
    <row r="19158" spans="20:20" s="566" customFormat="1">
      <c r="T19158" s="41"/>
    </row>
    <row r="19159" spans="20:20" s="566" customFormat="1">
      <c r="T19159" s="41"/>
    </row>
    <row r="19160" spans="20:20" s="566" customFormat="1">
      <c r="T19160" s="41"/>
    </row>
    <row r="19161" spans="20:20" s="566" customFormat="1">
      <c r="T19161" s="41"/>
    </row>
    <row r="19162" spans="20:20" s="566" customFormat="1">
      <c r="T19162" s="41"/>
    </row>
    <row r="19163" spans="20:20" s="566" customFormat="1">
      <c r="T19163" s="41"/>
    </row>
    <row r="19164" spans="20:20" s="566" customFormat="1">
      <c r="T19164" s="41"/>
    </row>
    <row r="19165" spans="20:20" s="566" customFormat="1">
      <c r="T19165" s="41"/>
    </row>
    <row r="19166" spans="20:20" s="566" customFormat="1">
      <c r="T19166" s="41"/>
    </row>
    <row r="19167" spans="20:20" s="566" customFormat="1">
      <c r="T19167" s="41"/>
    </row>
    <row r="19168" spans="20:20" s="566" customFormat="1">
      <c r="T19168" s="41"/>
    </row>
    <row r="19169" spans="20:20" s="566" customFormat="1">
      <c r="T19169" s="41"/>
    </row>
    <row r="19170" spans="20:20" s="566" customFormat="1">
      <c r="T19170" s="41"/>
    </row>
    <row r="19171" spans="20:20" s="566" customFormat="1">
      <c r="T19171" s="41"/>
    </row>
    <row r="19172" spans="20:20" s="566" customFormat="1">
      <c r="T19172" s="41"/>
    </row>
    <row r="19173" spans="20:20" s="566" customFormat="1">
      <c r="T19173" s="41"/>
    </row>
    <row r="19174" spans="20:20" s="566" customFormat="1">
      <c r="T19174" s="41"/>
    </row>
    <row r="19175" spans="20:20" s="566" customFormat="1">
      <c r="T19175" s="41"/>
    </row>
    <row r="19176" spans="20:20" s="566" customFormat="1">
      <c r="T19176" s="41"/>
    </row>
    <row r="19177" spans="20:20" s="566" customFormat="1">
      <c r="T19177" s="41"/>
    </row>
    <row r="19178" spans="20:20" s="566" customFormat="1">
      <c r="T19178" s="41"/>
    </row>
    <row r="19179" spans="20:20" s="566" customFormat="1">
      <c r="T19179" s="41"/>
    </row>
    <row r="19180" spans="20:20" s="566" customFormat="1">
      <c r="T19180" s="41"/>
    </row>
    <row r="19181" spans="20:20" s="566" customFormat="1">
      <c r="T19181" s="41"/>
    </row>
    <row r="19182" spans="20:20" s="566" customFormat="1">
      <c r="T19182" s="41"/>
    </row>
    <row r="19183" spans="20:20" s="566" customFormat="1">
      <c r="T19183" s="41"/>
    </row>
    <row r="19184" spans="20:20" s="566" customFormat="1">
      <c r="T19184" s="41"/>
    </row>
    <row r="19185" spans="20:20" s="566" customFormat="1">
      <c r="T19185" s="41"/>
    </row>
    <row r="19186" spans="20:20" s="566" customFormat="1">
      <c r="T19186" s="41"/>
    </row>
    <row r="19187" spans="20:20" s="566" customFormat="1">
      <c r="T19187" s="41"/>
    </row>
    <row r="19188" spans="20:20" s="566" customFormat="1">
      <c r="T19188" s="41"/>
    </row>
    <row r="19189" spans="20:20" s="566" customFormat="1">
      <c r="T19189" s="41"/>
    </row>
    <row r="19190" spans="20:20" s="566" customFormat="1">
      <c r="T19190" s="41"/>
    </row>
    <row r="19191" spans="20:20" s="566" customFormat="1">
      <c r="T19191" s="41"/>
    </row>
    <row r="19192" spans="20:20" s="566" customFormat="1">
      <c r="T19192" s="41"/>
    </row>
    <row r="19193" spans="20:20" s="566" customFormat="1">
      <c r="T19193" s="41"/>
    </row>
    <row r="19194" spans="20:20" s="566" customFormat="1">
      <c r="T19194" s="41"/>
    </row>
    <row r="19195" spans="20:20" s="566" customFormat="1">
      <c r="T19195" s="41"/>
    </row>
    <row r="19196" spans="20:20" s="566" customFormat="1">
      <c r="T19196" s="41"/>
    </row>
    <row r="19197" spans="20:20" s="566" customFormat="1">
      <c r="T19197" s="41"/>
    </row>
    <row r="19198" spans="20:20" s="566" customFormat="1">
      <c r="T19198" s="41"/>
    </row>
    <row r="19199" spans="20:20" s="566" customFormat="1">
      <c r="T19199" s="41"/>
    </row>
    <row r="19200" spans="20:20" s="566" customFormat="1">
      <c r="T19200" s="41"/>
    </row>
    <row r="19201" spans="20:20" s="566" customFormat="1">
      <c r="T19201" s="41"/>
    </row>
    <row r="19202" spans="20:20" s="566" customFormat="1">
      <c r="T19202" s="41"/>
    </row>
    <row r="19203" spans="20:20" s="566" customFormat="1">
      <c r="T19203" s="41"/>
    </row>
    <row r="19204" spans="20:20" s="566" customFormat="1">
      <c r="T19204" s="41"/>
    </row>
    <row r="19205" spans="20:20" s="566" customFormat="1">
      <c r="T19205" s="41"/>
    </row>
    <row r="19206" spans="20:20" s="566" customFormat="1">
      <c r="T19206" s="41"/>
    </row>
    <row r="19207" spans="20:20" s="566" customFormat="1">
      <c r="T19207" s="41"/>
    </row>
    <row r="19208" spans="20:20" s="566" customFormat="1">
      <c r="T19208" s="41"/>
    </row>
    <row r="19209" spans="20:20" s="566" customFormat="1">
      <c r="T19209" s="41"/>
    </row>
    <row r="19210" spans="20:20" s="566" customFormat="1">
      <c r="T19210" s="41"/>
    </row>
    <row r="19211" spans="20:20" s="566" customFormat="1">
      <c r="T19211" s="41"/>
    </row>
    <row r="19212" spans="20:20" s="566" customFormat="1">
      <c r="T19212" s="41"/>
    </row>
    <row r="19213" spans="20:20" s="566" customFormat="1">
      <c r="T19213" s="41"/>
    </row>
    <row r="19214" spans="20:20" s="566" customFormat="1">
      <c r="T19214" s="41"/>
    </row>
    <row r="19215" spans="20:20" s="566" customFormat="1">
      <c r="T19215" s="41"/>
    </row>
    <row r="19216" spans="20:20" s="566" customFormat="1">
      <c r="T19216" s="41"/>
    </row>
    <row r="19217" spans="20:20" s="566" customFormat="1">
      <c r="T19217" s="41"/>
    </row>
    <row r="19218" spans="20:20" s="566" customFormat="1">
      <c r="T19218" s="41"/>
    </row>
    <row r="19219" spans="20:20" s="566" customFormat="1">
      <c r="T19219" s="41"/>
    </row>
    <row r="19220" spans="20:20" s="566" customFormat="1">
      <c r="T19220" s="41"/>
    </row>
    <row r="19221" spans="20:20" s="566" customFormat="1">
      <c r="T19221" s="41"/>
    </row>
    <row r="19222" spans="20:20" s="566" customFormat="1">
      <c r="T19222" s="41"/>
    </row>
    <row r="19223" spans="20:20" s="566" customFormat="1">
      <c r="T19223" s="41"/>
    </row>
    <row r="19224" spans="20:20" s="566" customFormat="1">
      <c r="T19224" s="41"/>
    </row>
    <row r="19225" spans="20:20" s="566" customFormat="1">
      <c r="T19225" s="41"/>
    </row>
    <row r="19226" spans="20:20" s="566" customFormat="1">
      <c r="T19226" s="41"/>
    </row>
    <row r="19227" spans="20:20" s="566" customFormat="1">
      <c r="T19227" s="41"/>
    </row>
    <row r="19228" spans="20:20" s="566" customFormat="1">
      <c r="T19228" s="41"/>
    </row>
    <row r="19229" spans="20:20" s="566" customFormat="1">
      <c r="T19229" s="41"/>
    </row>
    <row r="19230" spans="20:20" s="566" customFormat="1">
      <c r="T19230" s="41"/>
    </row>
    <row r="19231" spans="20:20" s="566" customFormat="1">
      <c r="T19231" s="41"/>
    </row>
    <row r="19232" spans="20:20" s="566" customFormat="1">
      <c r="T19232" s="41"/>
    </row>
    <row r="19233" spans="20:20" s="566" customFormat="1">
      <c r="T19233" s="41"/>
    </row>
    <row r="19234" spans="20:20" s="566" customFormat="1">
      <c r="T19234" s="41"/>
    </row>
    <row r="19235" spans="20:20" s="566" customFormat="1">
      <c r="T19235" s="41"/>
    </row>
    <row r="19236" spans="20:20" s="566" customFormat="1">
      <c r="T19236" s="41"/>
    </row>
    <row r="19237" spans="20:20" s="566" customFormat="1">
      <c r="T19237" s="41"/>
    </row>
    <row r="19238" spans="20:20" s="566" customFormat="1">
      <c r="T19238" s="41"/>
    </row>
    <row r="19239" spans="20:20" s="566" customFormat="1">
      <c r="T19239" s="41"/>
    </row>
    <row r="19240" spans="20:20" s="566" customFormat="1">
      <c r="T19240" s="41"/>
    </row>
    <row r="19241" spans="20:20" s="566" customFormat="1">
      <c r="T19241" s="41"/>
    </row>
    <row r="19242" spans="20:20" s="566" customFormat="1">
      <c r="T19242" s="41"/>
    </row>
    <row r="19243" spans="20:20" s="566" customFormat="1">
      <c r="T19243" s="41"/>
    </row>
    <row r="19244" spans="20:20" s="566" customFormat="1">
      <c r="T19244" s="41"/>
    </row>
    <row r="19245" spans="20:20" s="566" customFormat="1">
      <c r="T19245" s="41"/>
    </row>
    <row r="19246" spans="20:20" s="566" customFormat="1">
      <c r="T19246" s="41"/>
    </row>
    <row r="19247" spans="20:20" s="566" customFormat="1">
      <c r="T19247" s="41"/>
    </row>
    <row r="19248" spans="20:20" s="566" customFormat="1">
      <c r="T19248" s="41"/>
    </row>
    <row r="19249" spans="20:20" s="566" customFormat="1">
      <c r="T19249" s="41"/>
    </row>
    <row r="19250" spans="20:20" s="566" customFormat="1">
      <c r="T19250" s="41"/>
    </row>
    <row r="19251" spans="20:20" s="566" customFormat="1">
      <c r="T19251" s="41"/>
    </row>
    <row r="19252" spans="20:20" s="566" customFormat="1">
      <c r="T19252" s="41"/>
    </row>
    <row r="19253" spans="20:20" s="566" customFormat="1">
      <c r="T19253" s="41"/>
    </row>
    <row r="19254" spans="20:20" s="566" customFormat="1">
      <c r="T19254" s="41"/>
    </row>
    <row r="19255" spans="20:20" s="566" customFormat="1">
      <c r="T19255" s="41"/>
    </row>
    <row r="19256" spans="20:20" s="566" customFormat="1">
      <c r="T19256" s="41"/>
    </row>
    <row r="19257" spans="20:20" s="566" customFormat="1">
      <c r="T19257" s="41"/>
    </row>
    <row r="19258" spans="20:20" s="566" customFormat="1">
      <c r="T19258" s="41"/>
    </row>
    <row r="19259" spans="20:20" s="566" customFormat="1">
      <c r="T19259" s="41"/>
    </row>
    <row r="19260" spans="20:20" s="566" customFormat="1">
      <c r="T19260" s="41"/>
    </row>
    <row r="19261" spans="20:20" s="566" customFormat="1">
      <c r="T19261" s="41"/>
    </row>
    <row r="19262" spans="20:20" s="566" customFormat="1">
      <c r="T19262" s="41"/>
    </row>
    <row r="19263" spans="20:20" s="566" customFormat="1">
      <c r="T19263" s="41"/>
    </row>
    <row r="19264" spans="20:20" s="566" customFormat="1">
      <c r="T19264" s="41"/>
    </row>
    <row r="19265" spans="20:20" s="566" customFormat="1">
      <c r="T19265" s="41"/>
    </row>
    <row r="19266" spans="20:20" s="566" customFormat="1">
      <c r="T19266" s="41"/>
    </row>
    <row r="19267" spans="20:20" s="566" customFormat="1">
      <c r="T19267" s="41"/>
    </row>
    <row r="19268" spans="20:20" s="566" customFormat="1">
      <c r="T19268" s="41"/>
    </row>
    <row r="19269" spans="20:20" s="566" customFormat="1">
      <c r="T19269" s="41"/>
    </row>
    <row r="19270" spans="20:20" s="566" customFormat="1">
      <c r="T19270" s="41"/>
    </row>
    <row r="19271" spans="20:20" s="566" customFormat="1">
      <c r="T19271" s="41"/>
    </row>
    <row r="19272" spans="20:20" s="566" customFormat="1">
      <c r="T19272" s="41"/>
    </row>
    <row r="19273" spans="20:20" s="566" customFormat="1">
      <c r="T19273" s="41"/>
    </row>
    <row r="19274" spans="20:20" s="566" customFormat="1">
      <c r="T19274" s="41"/>
    </row>
    <row r="19275" spans="20:20" s="566" customFormat="1">
      <c r="T19275" s="41"/>
    </row>
    <row r="19276" spans="20:20" s="566" customFormat="1">
      <c r="T19276" s="41"/>
    </row>
    <row r="19277" spans="20:20" s="566" customFormat="1">
      <c r="T19277" s="41"/>
    </row>
    <row r="19278" spans="20:20" s="566" customFormat="1">
      <c r="T19278" s="41"/>
    </row>
    <row r="19279" spans="20:20" s="566" customFormat="1">
      <c r="T19279" s="41"/>
    </row>
    <row r="19280" spans="20:20" s="566" customFormat="1">
      <c r="T19280" s="41"/>
    </row>
    <row r="19281" spans="20:20" s="566" customFormat="1">
      <c r="T19281" s="41"/>
    </row>
    <row r="19282" spans="20:20" s="566" customFormat="1">
      <c r="T19282" s="41"/>
    </row>
    <row r="19283" spans="20:20" s="566" customFormat="1">
      <c r="T19283" s="41"/>
    </row>
    <row r="19284" spans="20:20" s="566" customFormat="1">
      <c r="T19284" s="41"/>
    </row>
    <row r="19285" spans="20:20" s="566" customFormat="1">
      <c r="T19285" s="41"/>
    </row>
    <row r="19286" spans="20:20" s="566" customFormat="1">
      <c r="T19286" s="41"/>
    </row>
    <row r="19287" spans="20:20" s="566" customFormat="1">
      <c r="T19287" s="41"/>
    </row>
    <row r="19288" spans="20:20" s="566" customFormat="1">
      <c r="T19288" s="41"/>
    </row>
    <row r="19289" spans="20:20" s="566" customFormat="1">
      <c r="T19289" s="41"/>
    </row>
    <row r="19290" spans="20:20" s="566" customFormat="1">
      <c r="T19290" s="41"/>
    </row>
    <row r="19291" spans="20:20" s="566" customFormat="1">
      <c r="T19291" s="41"/>
    </row>
    <row r="19292" spans="20:20" s="566" customFormat="1">
      <c r="T19292" s="41"/>
    </row>
    <row r="19293" spans="20:20" s="566" customFormat="1">
      <c r="T19293" s="41"/>
    </row>
    <row r="19294" spans="20:20" s="566" customFormat="1">
      <c r="T19294" s="41"/>
    </row>
    <row r="19295" spans="20:20" s="566" customFormat="1">
      <c r="T19295" s="41"/>
    </row>
    <row r="19296" spans="20:20" s="566" customFormat="1">
      <c r="T19296" s="41"/>
    </row>
    <row r="19297" spans="20:20" s="566" customFormat="1">
      <c r="T19297" s="41"/>
    </row>
    <row r="19298" spans="20:20" s="566" customFormat="1">
      <c r="T19298" s="41"/>
    </row>
    <row r="19299" spans="20:20" s="566" customFormat="1">
      <c r="T19299" s="41"/>
    </row>
    <row r="19300" spans="20:20" s="566" customFormat="1">
      <c r="T19300" s="41"/>
    </row>
    <row r="19301" spans="20:20" s="566" customFormat="1">
      <c r="T19301" s="41"/>
    </row>
    <row r="19302" spans="20:20" s="566" customFormat="1">
      <c r="T19302" s="41"/>
    </row>
    <row r="19303" spans="20:20" s="566" customFormat="1">
      <c r="T19303" s="41"/>
    </row>
    <row r="19304" spans="20:20" s="566" customFormat="1">
      <c r="T19304" s="41"/>
    </row>
    <row r="19305" spans="20:20" s="566" customFormat="1">
      <c r="T19305" s="41"/>
    </row>
    <row r="19306" spans="20:20" s="566" customFormat="1">
      <c r="T19306" s="41"/>
    </row>
    <row r="19307" spans="20:20" s="566" customFormat="1">
      <c r="T19307" s="41"/>
    </row>
    <row r="19308" spans="20:20" s="566" customFormat="1">
      <c r="T19308" s="41"/>
    </row>
    <row r="19309" spans="20:20" s="566" customFormat="1">
      <c r="T19309" s="41"/>
    </row>
    <row r="19310" spans="20:20" s="566" customFormat="1">
      <c r="T19310" s="41"/>
    </row>
    <row r="19311" spans="20:20" s="566" customFormat="1">
      <c r="T19311" s="41"/>
    </row>
    <row r="19312" spans="20:20" s="566" customFormat="1">
      <c r="T19312" s="41"/>
    </row>
    <row r="19313" spans="20:20" s="566" customFormat="1">
      <c r="T19313" s="41"/>
    </row>
    <row r="19314" spans="20:20" s="566" customFormat="1">
      <c r="T19314" s="41"/>
    </row>
    <row r="19315" spans="20:20" s="566" customFormat="1">
      <c r="T19315" s="41"/>
    </row>
    <row r="19316" spans="20:20" s="566" customFormat="1">
      <c r="T19316" s="41"/>
    </row>
    <row r="19317" spans="20:20" s="566" customFormat="1">
      <c r="T19317" s="41"/>
    </row>
    <row r="19318" spans="20:20" s="566" customFormat="1">
      <c r="T19318" s="41"/>
    </row>
    <row r="19319" spans="20:20" s="566" customFormat="1">
      <c r="T19319" s="41"/>
    </row>
    <row r="19320" spans="20:20" s="566" customFormat="1">
      <c r="T19320" s="41"/>
    </row>
    <row r="19321" spans="20:20" s="566" customFormat="1">
      <c r="T19321" s="41"/>
    </row>
    <row r="19322" spans="20:20" s="566" customFormat="1">
      <c r="T19322" s="41"/>
    </row>
    <row r="19323" spans="20:20" s="566" customFormat="1">
      <c r="T19323" s="41"/>
    </row>
    <row r="19324" spans="20:20" s="566" customFormat="1">
      <c r="T19324" s="41"/>
    </row>
    <row r="19325" spans="20:20" s="566" customFormat="1">
      <c r="T19325" s="41"/>
    </row>
    <row r="19326" spans="20:20" s="566" customFormat="1">
      <c r="T19326" s="41"/>
    </row>
    <row r="19327" spans="20:20" s="566" customFormat="1">
      <c r="T19327" s="41"/>
    </row>
    <row r="19328" spans="20:20" s="566" customFormat="1">
      <c r="T19328" s="41"/>
    </row>
    <row r="19329" spans="20:20" s="566" customFormat="1">
      <c r="T19329" s="41"/>
    </row>
    <row r="19330" spans="20:20" s="566" customFormat="1">
      <c r="T19330" s="41"/>
    </row>
    <row r="19331" spans="20:20" s="566" customFormat="1">
      <c r="T19331" s="41"/>
    </row>
    <row r="19332" spans="20:20" s="566" customFormat="1">
      <c r="T19332" s="41"/>
    </row>
    <row r="19333" spans="20:20" s="566" customFormat="1">
      <c r="T19333" s="41"/>
    </row>
    <row r="19334" spans="20:20" s="566" customFormat="1">
      <c r="T19334" s="41"/>
    </row>
    <row r="19335" spans="20:20" s="566" customFormat="1">
      <c r="T19335" s="41"/>
    </row>
    <row r="19336" spans="20:20" s="566" customFormat="1">
      <c r="T19336" s="41"/>
    </row>
    <row r="19337" spans="20:20" s="566" customFormat="1">
      <c r="T19337" s="41"/>
    </row>
    <row r="19338" spans="20:20" s="566" customFormat="1">
      <c r="T19338" s="41"/>
    </row>
    <row r="19339" spans="20:20" s="566" customFormat="1">
      <c r="T19339" s="41"/>
    </row>
    <row r="19340" spans="20:20" s="566" customFormat="1">
      <c r="T19340" s="41"/>
    </row>
    <row r="19341" spans="20:20" s="566" customFormat="1">
      <c r="T19341" s="41"/>
    </row>
    <row r="19342" spans="20:20" s="566" customFormat="1">
      <c r="T19342" s="41"/>
    </row>
    <row r="19343" spans="20:20" s="566" customFormat="1">
      <c r="T19343" s="41"/>
    </row>
    <row r="19344" spans="20:20" s="566" customFormat="1">
      <c r="T19344" s="41"/>
    </row>
    <row r="19345" spans="20:20" s="566" customFormat="1">
      <c r="T19345" s="41"/>
    </row>
    <row r="19346" spans="20:20" s="566" customFormat="1">
      <c r="T19346" s="41"/>
    </row>
    <row r="19347" spans="20:20" s="566" customFormat="1">
      <c r="T19347" s="41"/>
    </row>
    <row r="19348" spans="20:20" s="566" customFormat="1">
      <c r="T19348" s="41"/>
    </row>
    <row r="19349" spans="20:20" s="566" customFormat="1">
      <c r="T19349" s="41"/>
    </row>
    <row r="19350" spans="20:20" s="566" customFormat="1">
      <c r="T19350" s="41"/>
    </row>
    <row r="19351" spans="20:20" s="566" customFormat="1">
      <c r="T19351" s="41"/>
    </row>
    <row r="19352" spans="20:20" s="566" customFormat="1">
      <c r="T19352" s="41"/>
    </row>
    <row r="19353" spans="20:20" s="566" customFormat="1">
      <c r="T19353" s="41"/>
    </row>
    <row r="19354" spans="20:20" s="566" customFormat="1">
      <c r="T19354" s="41"/>
    </row>
    <row r="19355" spans="20:20" s="566" customFormat="1">
      <c r="T19355" s="41"/>
    </row>
    <row r="19356" spans="20:20" s="566" customFormat="1">
      <c r="T19356" s="41"/>
    </row>
    <row r="19357" spans="20:20" s="566" customFormat="1">
      <c r="T19357" s="41"/>
    </row>
    <row r="19358" spans="20:20" s="566" customFormat="1">
      <c r="T19358" s="41"/>
    </row>
    <row r="19359" spans="20:20" s="566" customFormat="1">
      <c r="T19359" s="41"/>
    </row>
    <row r="19360" spans="20:20" s="566" customFormat="1">
      <c r="T19360" s="41"/>
    </row>
    <row r="19361" spans="20:20" s="566" customFormat="1">
      <c r="T19361" s="41"/>
    </row>
    <row r="19362" spans="20:20" s="566" customFormat="1">
      <c r="T19362" s="41"/>
    </row>
    <row r="19363" spans="20:20" s="566" customFormat="1">
      <c r="T19363" s="41"/>
    </row>
    <row r="19364" spans="20:20" s="566" customFormat="1">
      <c r="T19364" s="41"/>
    </row>
    <row r="19365" spans="20:20" s="566" customFormat="1">
      <c r="T19365" s="41"/>
    </row>
    <row r="19366" spans="20:20" s="566" customFormat="1">
      <c r="T19366" s="41"/>
    </row>
    <row r="19367" spans="20:20" s="566" customFormat="1">
      <c r="T19367" s="41"/>
    </row>
    <row r="19368" spans="20:20" s="566" customFormat="1">
      <c r="T19368" s="41"/>
    </row>
    <row r="19369" spans="20:20" s="566" customFormat="1">
      <c r="T19369" s="41"/>
    </row>
    <row r="19370" spans="20:20" s="566" customFormat="1">
      <c r="T19370" s="41"/>
    </row>
    <row r="19371" spans="20:20" s="566" customFormat="1">
      <c r="T19371" s="41"/>
    </row>
    <row r="19372" spans="20:20" s="566" customFormat="1">
      <c r="T19372" s="41"/>
    </row>
    <row r="19373" spans="20:20" s="566" customFormat="1">
      <c r="T19373" s="41"/>
    </row>
    <row r="19374" spans="20:20" s="566" customFormat="1">
      <c r="T19374" s="41"/>
    </row>
    <row r="19375" spans="20:20" s="566" customFormat="1">
      <c r="T19375" s="41"/>
    </row>
    <row r="19376" spans="20:20" s="566" customFormat="1">
      <c r="T19376" s="41"/>
    </row>
    <row r="19377" spans="20:20" s="566" customFormat="1">
      <c r="T19377" s="41"/>
    </row>
    <row r="19378" spans="20:20" s="566" customFormat="1">
      <c r="T19378" s="41"/>
    </row>
    <row r="19379" spans="20:20" s="566" customFormat="1">
      <c r="T19379" s="41"/>
    </row>
    <row r="19380" spans="20:20" s="566" customFormat="1">
      <c r="T19380" s="41"/>
    </row>
    <row r="19381" spans="20:20" s="566" customFormat="1">
      <c r="T19381" s="41"/>
    </row>
    <row r="19382" spans="20:20" s="566" customFormat="1">
      <c r="T19382" s="41"/>
    </row>
    <row r="19383" spans="20:20" s="566" customFormat="1">
      <c r="T19383" s="41"/>
    </row>
    <row r="19384" spans="20:20" s="566" customFormat="1">
      <c r="T19384" s="41"/>
    </row>
    <row r="19385" spans="20:20" s="566" customFormat="1">
      <c r="T19385" s="41"/>
    </row>
    <row r="19386" spans="20:20" s="566" customFormat="1">
      <c r="T19386" s="41"/>
    </row>
    <row r="19387" spans="20:20" s="566" customFormat="1">
      <c r="T19387" s="41"/>
    </row>
    <row r="19388" spans="20:20" s="566" customFormat="1">
      <c r="T19388" s="41"/>
    </row>
    <row r="19389" spans="20:20" s="566" customFormat="1">
      <c r="T19389" s="41"/>
    </row>
    <row r="19390" spans="20:20" s="566" customFormat="1">
      <c r="T19390" s="41"/>
    </row>
    <row r="19391" spans="20:20" s="566" customFormat="1">
      <c r="T19391" s="41"/>
    </row>
    <row r="19392" spans="20:20" s="566" customFormat="1">
      <c r="T19392" s="41"/>
    </row>
    <row r="19393" spans="20:20" s="566" customFormat="1">
      <c r="T19393" s="41"/>
    </row>
    <row r="19394" spans="20:20" s="566" customFormat="1">
      <c r="T19394" s="41"/>
    </row>
    <row r="19395" spans="20:20" s="566" customFormat="1">
      <c r="T19395" s="41"/>
    </row>
    <row r="19396" spans="20:20" s="566" customFormat="1">
      <c r="T19396" s="41"/>
    </row>
    <row r="19397" spans="20:20" s="566" customFormat="1">
      <c r="T19397" s="41"/>
    </row>
    <row r="19398" spans="20:20" s="566" customFormat="1">
      <c r="T19398" s="41"/>
    </row>
    <row r="19399" spans="20:20" s="566" customFormat="1">
      <c r="T19399" s="41"/>
    </row>
    <row r="19400" spans="20:20" s="566" customFormat="1">
      <c r="T19400" s="41"/>
    </row>
    <row r="19401" spans="20:20" s="566" customFormat="1">
      <c r="T19401" s="41"/>
    </row>
    <row r="19402" spans="20:20" s="566" customFormat="1">
      <c r="T19402" s="41"/>
    </row>
    <row r="19403" spans="20:20" s="566" customFormat="1">
      <c r="T19403" s="41"/>
    </row>
    <row r="19404" spans="20:20" s="566" customFormat="1">
      <c r="T19404" s="41"/>
    </row>
    <row r="19405" spans="20:20" s="566" customFormat="1">
      <c r="T19405" s="41"/>
    </row>
    <row r="19406" spans="20:20" s="566" customFormat="1">
      <c r="T19406" s="41"/>
    </row>
    <row r="19407" spans="20:20" s="566" customFormat="1">
      <c r="T19407" s="41"/>
    </row>
    <row r="19408" spans="20:20" s="566" customFormat="1">
      <c r="T19408" s="41"/>
    </row>
    <row r="19409" spans="20:20" s="566" customFormat="1">
      <c r="T19409" s="41"/>
    </row>
    <row r="19410" spans="20:20" s="566" customFormat="1">
      <c r="T19410" s="41"/>
    </row>
    <row r="19411" spans="20:20" s="566" customFormat="1">
      <c r="T19411" s="41"/>
    </row>
    <row r="19412" spans="20:20" s="566" customFormat="1">
      <c r="T19412" s="41"/>
    </row>
    <row r="19413" spans="20:20" s="566" customFormat="1">
      <c r="T19413" s="41"/>
    </row>
    <row r="19414" spans="20:20" s="566" customFormat="1">
      <c r="T19414" s="41"/>
    </row>
    <row r="19415" spans="20:20" s="566" customFormat="1">
      <c r="T19415" s="41"/>
    </row>
    <row r="19416" spans="20:20" s="566" customFormat="1">
      <c r="T19416" s="41"/>
    </row>
    <row r="19417" spans="20:20" s="566" customFormat="1">
      <c r="T19417" s="41"/>
    </row>
    <row r="19418" spans="20:20" s="566" customFormat="1">
      <c r="T19418" s="41"/>
    </row>
    <row r="19419" spans="20:20" s="566" customFormat="1">
      <c r="T19419" s="41"/>
    </row>
    <row r="19420" spans="20:20" s="566" customFormat="1">
      <c r="T19420" s="41"/>
    </row>
    <row r="19421" spans="20:20" s="566" customFormat="1">
      <c r="T19421" s="41"/>
    </row>
    <row r="19422" spans="20:20" s="566" customFormat="1">
      <c r="T19422" s="41"/>
    </row>
    <row r="19423" spans="20:20" s="566" customFormat="1">
      <c r="T19423" s="41"/>
    </row>
    <row r="19424" spans="20:20" s="566" customFormat="1">
      <c r="T19424" s="41"/>
    </row>
    <row r="19425" spans="20:20" s="566" customFormat="1">
      <c r="T19425" s="41"/>
    </row>
    <row r="19426" spans="20:20" s="566" customFormat="1">
      <c r="T19426" s="41"/>
    </row>
    <row r="19427" spans="20:20" s="566" customFormat="1">
      <c r="T19427" s="41"/>
    </row>
    <row r="19428" spans="20:20" s="566" customFormat="1">
      <c r="T19428" s="41"/>
    </row>
    <row r="19429" spans="20:20" s="566" customFormat="1">
      <c r="T19429" s="41"/>
    </row>
    <row r="19430" spans="20:20" s="566" customFormat="1">
      <c r="T19430" s="41"/>
    </row>
    <row r="19431" spans="20:20" s="566" customFormat="1">
      <c r="T19431" s="41"/>
    </row>
    <row r="19432" spans="20:20" s="566" customFormat="1">
      <c r="T19432" s="41"/>
    </row>
    <row r="19433" spans="20:20" s="566" customFormat="1">
      <c r="T19433" s="41"/>
    </row>
    <row r="19434" spans="20:20" s="566" customFormat="1">
      <c r="T19434" s="41"/>
    </row>
    <row r="19435" spans="20:20" s="566" customFormat="1">
      <c r="T19435" s="41"/>
    </row>
    <row r="19436" spans="20:20" s="566" customFormat="1">
      <c r="T19436" s="41"/>
    </row>
    <row r="19437" spans="20:20" s="566" customFormat="1">
      <c r="T19437" s="41"/>
    </row>
    <row r="19438" spans="20:20" s="566" customFormat="1">
      <c r="T19438" s="41"/>
    </row>
    <row r="19439" spans="20:20" s="566" customFormat="1">
      <c r="T19439" s="41"/>
    </row>
    <row r="19440" spans="20:20" s="566" customFormat="1">
      <c r="T19440" s="41"/>
    </row>
    <row r="19441" spans="20:20" s="566" customFormat="1">
      <c r="T19441" s="41"/>
    </row>
    <row r="19442" spans="20:20" s="566" customFormat="1">
      <c r="T19442" s="41"/>
    </row>
    <row r="19443" spans="20:20" s="566" customFormat="1">
      <c r="T19443" s="41"/>
    </row>
    <row r="19444" spans="20:20" s="566" customFormat="1">
      <c r="T19444" s="41"/>
    </row>
    <row r="19445" spans="20:20" s="566" customFormat="1">
      <c r="T19445" s="41"/>
    </row>
    <row r="19446" spans="20:20" s="566" customFormat="1">
      <c r="T19446" s="41"/>
    </row>
    <row r="19447" spans="20:20" s="566" customFormat="1">
      <c r="T19447" s="41"/>
    </row>
    <row r="19448" spans="20:20" s="566" customFormat="1">
      <c r="T19448" s="41"/>
    </row>
    <row r="19449" spans="20:20" s="566" customFormat="1">
      <c r="T19449" s="41"/>
    </row>
    <row r="19450" spans="20:20" s="566" customFormat="1">
      <c r="T19450" s="41"/>
    </row>
    <row r="19451" spans="20:20" s="566" customFormat="1">
      <c r="T19451" s="41"/>
    </row>
    <row r="19452" spans="20:20" s="566" customFormat="1">
      <c r="T19452" s="41"/>
    </row>
    <row r="19453" spans="20:20" s="566" customFormat="1">
      <c r="T19453" s="41"/>
    </row>
    <row r="19454" spans="20:20" s="566" customFormat="1">
      <c r="T19454" s="41"/>
    </row>
    <row r="19455" spans="20:20" s="566" customFormat="1">
      <c r="T19455" s="41"/>
    </row>
    <row r="19456" spans="20:20" s="566" customFormat="1">
      <c r="T19456" s="41"/>
    </row>
    <row r="19457" spans="20:20" s="566" customFormat="1">
      <c r="T19457" s="41"/>
    </row>
    <row r="19458" spans="20:20" s="566" customFormat="1">
      <c r="T19458" s="41"/>
    </row>
    <row r="19459" spans="20:20" s="566" customFormat="1">
      <c r="T19459" s="41"/>
    </row>
    <row r="19460" spans="20:20" s="566" customFormat="1">
      <c r="T19460" s="41"/>
    </row>
    <row r="19461" spans="20:20" s="566" customFormat="1">
      <c r="T19461" s="41"/>
    </row>
    <row r="19462" spans="20:20" s="566" customFormat="1">
      <c r="T19462" s="41"/>
    </row>
    <row r="19463" spans="20:20" s="566" customFormat="1">
      <c r="T19463" s="41"/>
    </row>
    <row r="19464" spans="20:20" s="566" customFormat="1">
      <c r="T19464" s="41"/>
    </row>
    <row r="19465" spans="20:20" s="566" customFormat="1">
      <c r="T19465" s="41"/>
    </row>
    <row r="19466" spans="20:20" s="566" customFormat="1">
      <c r="T19466" s="41"/>
    </row>
    <row r="19467" spans="20:20" s="566" customFormat="1">
      <c r="T19467" s="41"/>
    </row>
    <row r="19468" spans="20:20" s="566" customFormat="1">
      <c r="T19468" s="41"/>
    </row>
    <row r="19469" spans="20:20" s="566" customFormat="1">
      <c r="T19469" s="41"/>
    </row>
    <row r="19470" spans="20:20" s="566" customFormat="1">
      <c r="T19470" s="41"/>
    </row>
    <row r="19471" spans="20:20" s="566" customFormat="1">
      <c r="T19471" s="41"/>
    </row>
    <row r="19472" spans="20:20" s="566" customFormat="1">
      <c r="T19472" s="41"/>
    </row>
    <row r="19473" spans="20:20" s="566" customFormat="1">
      <c r="T19473" s="41"/>
    </row>
    <row r="19474" spans="20:20" s="566" customFormat="1">
      <c r="T19474" s="41"/>
    </row>
    <row r="19475" spans="20:20" s="566" customFormat="1">
      <c r="T19475" s="41"/>
    </row>
    <row r="19476" spans="20:20" s="566" customFormat="1">
      <c r="T19476" s="41"/>
    </row>
    <row r="19477" spans="20:20" s="566" customFormat="1">
      <c r="T19477" s="41"/>
    </row>
    <row r="19478" spans="20:20" s="566" customFormat="1">
      <c r="T19478" s="41"/>
    </row>
    <row r="19479" spans="20:20" s="566" customFormat="1">
      <c r="T19479" s="41"/>
    </row>
    <row r="19480" spans="20:20" s="566" customFormat="1">
      <c r="T19480" s="41"/>
    </row>
    <row r="19481" spans="20:20" s="566" customFormat="1">
      <c r="T19481" s="41"/>
    </row>
    <row r="19482" spans="20:20" s="566" customFormat="1">
      <c r="T19482" s="41"/>
    </row>
    <row r="19483" spans="20:20" s="566" customFormat="1">
      <c r="T19483" s="41"/>
    </row>
    <row r="19484" spans="20:20" s="566" customFormat="1">
      <c r="T19484" s="41"/>
    </row>
    <row r="19485" spans="20:20" s="566" customFormat="1">
      <c r="T19485" s="41"/>
    </row>
    <row r="19486" spans="20:20" s="566" customFormat="1">
      <c r="T19486" s="41"/>
    </row>
    <row r="19487" spans="20:20" s="566" customFormat="1">
      <c r="T19487" s="41"/>
    </row>
    <row r="19488" spans="20:20" s="566" customFormat="1">
      <c r="T19488" s="41"/>
    </row>
    <row r="19489" spans="20:20" s="566" customFormat="1">
      <c r="T19489" s="41"/>
    </row>
    <row r="19490" spans="20:20" s="566" customFormat="1">
      <c r="T19490" s="41"/>
    </row>
    <row r="19491" spans="20:20" s="566" customFormat="1">
      <c r="T19491" s="41"/>
    </row>
    <row r="19492" spans="20:20" s="566" customFormat="1">
      <c r="T19492" s="41"/>
    </row>
    <row r="19493" spans="20:20" s="566" customFormat="1">
      <c r="T19493" s="41"/>
    </row>
    <row r="19494" spans="20:20" s="566" customFormat="1">
      <c r="T19494" s="41"/>
    </row>
    <row r="19495" spans="20:20" s="566" customFormat="1">
      <c r="T19495" s="41"/>
    </row>
    <row r="19496" spans="20:20" s="566" customFormat="1">
      <c r="T19496" s="41"/>
    </row>
    <row r="19497" spans="20:20" s="566" customFormat="1">
      <c r="T19497" s="41"/>
    </row>
    <row r="19498" spans="20:20" s="566" customFormat="1">
      <c r="T19498" s="41"/>
    </row>
    <row r="19499" spans="20:20" s="566" customFormat="1">
      <c r="T19499" s="41"/>
    </row>
    <row r="19500" spans="20:20" s="566" customFormat="1">
      <c r="T19500" s="41"/>
    </row>
    <row r="19501" spans="20:20" s="566" customFormat="1">
      <c r="T19501" s="41"/>
    </row>
    <row r="19502" spans="20:20" s="566" customFormat="1">
      <c r="T19502" s="41"/>
    </row>
    <row r="19503" spans="20:20" s="566" customFormat="1">
      <c r="T19503" s="41"/>
    </row>
    <row r="19504" spans="20:20" s="566" customFormat="1">
      <c r="T19504" s="41"/>
    </row>
    <row r="19505" spans="20:20" s="566" customFormat="1">
      <c r="T19505" s="41"/>
    </row>
    <row r="19506" spans="20:20" s="566" customFormat="1">
      <c r="T19506" s="41"/>
    </row>
    <row r="19507" spans="20:20" s="566" customFormat="1">
      <c r="T19507" s="41"/>
    </row>
    <row r="19508" spans="20:20" s="566" customFormat="1">
      <c r="T19508" s="41"/>
    </row>
    <row r="19509" spans="20:20" s="566" customFormat="1">
      <c r="T19509" s="41"/>
    </row>
    <row r="19510" spans="20:20" s="566" customFormat="1">
      <c r="T19510" s="41"/>
    </row>
    <row r="19511" spans="20:20" s="566" customFormat="1">
      <c r="T19511" s="41"/>
    </row>
    <row r="19512" spans="20:20" s="566" customFormat="1">
      <c r="T19512" s="41"/>
    </row>
    <row r="19513" spans="20:20" s="566" customFormat="1">
      <c r="T19513" s="41"/>
    </row>
    <row r="19514" spans="20:20" s="566" customFormat="1">
      <c r="T19514" s="41"/>
    </row>
    <row r="19515" spans="20:20" s="566" customFormat="1">
      <c r="T19515" s="41"/>
    </row>
    <row r="19516" spans="20:20" s="566" customFormat="1">
      <c r="T19516" s="41"/>
    </row>
    <row r="19517" spans="20:20" s="566" customFormat="1">
      <c r="T19517" s="41"/>
    </row>
    <row r="19518" spans="20:20" s="566" customFormat="1">
      <c r="T19518" s="41"/>
    </row>
    <row r="19519" spans="20:20" s="566" customFormat="1">
      <c r="T19519" s="41"/>
    </row>
    <row r="19520" spans="20:20" s="566" customFormat="1">
      <c r="T19520" s="41"/>
    </row>
    <row r="19521" spans="20:20" s="566" customFormat="1">
      <c r="T19521" s="41"/>
    </row>
    <row r="19522" spans="20:20" s="566" customFormat="1">
      <c r="T19522" s="41"/>
    </row>
    <row r="19523" spans="20:20" s="566" customFormat="1">
      <c r="T19523" s="41"/>
    </row>
    <row r="19524" spans="20:20" s="566" customFormat="1">
      <c r="T19524" s="41"/>
    </row>
    <row r="19525" spans="20:20" s="566" customFormat="1">
      <c r="T19525" s="41"/>
    </row>
    <row r="19526" spans="20:20" s="566" customFormat="1">
      <c r="T19526" s="41"/>
    </row>
    <row r="19527" spans="20:20" s="566" customFormat="1">
      <c r="T19527" s="41"/>
    </row>
    <row r="19528" spans="20:20" s="566" customFormat="1">
      <c r="T19528" s="41"/>
    </row>
    <row r="19529" spans="20:20" s="566" customFormat="1">
      <c r="T19529" s="41"/>
    </row>
    <row r="19530" spans="20:20" s="566" customFormat="1">
      <c r="T19530" s="41"/>
    </row>
    <row r="19531" spans="20:20" s="566" customFormat="1">
      <c r="T19531" s="41"/>
    </row>
    <row r="19532" spans="20:20" s="566" customFormat="1">
      <c r="T19532" s="41"/>
    </row>
    <row r="19533" spans="20:20" s="566" customFormat="1">
      <c r="T19533" s="41"/>
    </row>
    <row r="19534" spans="20:20" s="566" customFormat="1">
      <c r="T19534" s="41"/>
    </row>
    <row r="19535" spans="20:20" s="566" customFormat="1">
      <c r="T19535" s="41"/>
    </row>
    <row r="19536" spans="20:20" s="566" customFormat="1">
      <c r="T19536" s="41"/>
    </row>
    <row r="19537" spans="20:20" s="566" customFormat="1">
      <c r="T19537" s="41"/>
    </row>
    <row r="19538" spans="20:20" s="566" customFormat="1">
      <c r="T19538" s="41"/>
    </row>
    <row r="19539" spans="20:20" s="566" customFormat="1">
      <c r="T19539" s="41"/>
    </row>
    <row r="19540" spans="20:20" s="566" customFormat="1">
      <c r="T19540" s="41"/>
    </row>
    <row r="19541" spans="20:20" s="566" customFormat="1">
      <c r="T19541" s="41"/>
    </row>
    <row r="19542" spans="20:20" s="566" customFormat="1">
      <c r="T19542" s="41"/>
    </row>
    <row r="19543" spans="20:20" s="566" customFormat="1">
      <c r="T19543" s="41"/>
    </row>
    <row r="19544" spans="20:20" s="566" customFormat="1">
      <c r="T19544" s="41"/>
    </row>
    <row r="19545" spans="20:20" s="566" customFormat="1">
      <c r="T19545" s="41"/>
    </row>
    <row r="19546" spans="20:20" s="566" customFormat="1">
      <c r="T19546" s="41"/>
    </row>
    <row r="19547" spans="20:20" s="566" customFormat="1">
      <c r="T19547" s="41"/>
    </row>
    <row r="19548" spans="20:20" s="566" customFormat="1">
      <c r="T19548" s="41"/>
    </row>
    <row r="19549" spans="20:20" s="566" customFormat="1">
      <c r="T19549" s="41"/>
    </row>
    <row r="19550" spans="20:20" s="566" customFormat="1">
      <c r="T19550" s="41"/>
    </row>
    <row r="19551" spans="20:20" s="566" customFormat="1">
      <c r="T19551" s="41"/>
    </row>
    <row r="19552" spans="20:20" s="566" customFormat="1">
      <c r="T19552" s="41"/>
    </row>
    <row r="19553" spans="20:20" s="566" customFormat="1">
      <c r="T19553" s="41"/>
    </row>
    <row r="19554" spans="20:20" s="566" customFormat="1">
      <c r="T19554" s="41"/>
    </row>
    <row r="19555" spans="20:20" s="566" customFormat="1">
      <c r="T19555" s="41"/>
    </row>
    <row r="19556" spans="20:20" s="566" customFormat="1">
      <c r="T19556" s="41"/>
    </row>
    <row r="19557" spans="20:20" s="566" customFormat="1">
      <c r="T19557" s="41"/>
    </row>
    <row r="19558" spans="20:20" s="566" customFormat="1">
      <c r="T19558" s="41"/>
    </row>
    <row r="19559" spans="20:20" s="566" customFormat="1">
      <c r="T19559" s="41"/>
    </row>
    <row r="19560" spans="20:20" s="566" customFormat="1">
      <c r="T19560" s="41"/>
    </row>
    <row r="19561" spans="20:20" s="566" customFormat="1">
      <c r="T19561" s="41"/>
    </row>
    <row r="19562" spans="20:20" s="566" customFormat="1">
      <c r="T19562" s="41"/>
    </row>
    <row r="19563" spans="20:20" s="566" customFormat="1">
      <c r="T19563" s="41"/>
    </row>
    <row r="19564" spans="20:20" s="566" customFormat="1">
      <c r="T19564" s="41"/>
    </row>
    <row r="19565" spans="20:20" s="566" customFormat="1">
      <c r="T19565" s="41"/>
    </row>
    <row r="19566" spans="20:20" s="566" customFormat="1">
      <c r="T19566" s="41"/>
    </row>
    <row r="19567" spans="20:20" s="566" customFormat="1">
      <c r="T19567" s="41"/>
    </row>
    <row r="19568" spans="20:20" s="566" customFormat="1">
      <c r="T19568" s="41"/>
    </row>
    <row r="19569" spans="20:20" s="566" customFormat="1">
      <c r="T19569" s="41"/>
    </row>
    <row r="19570" spans="20:20" s="566" customFormat="1">
      <c r="T19570" s="41"/>
    </row>
    <row r="19571" spans="20:20" s="566" customFormat="1">
      <c r="T19571" s="41"/>
    </row>
    <row r="19572" spans="20:20" s="566" customFormat="1">
      <c r="T19572" s="41"/>
    </row>
    <row r="19573" spans="20:20" s="566" customFormat="1">
      <c r="T19573" s="41"/>
    </row>
    <row r="19574" spans="20:20" s="566" customFormat="1">
      <c r="T19574" s="41"/>
    </row>
    <row r="19575" spans="20:20" s="566" customFormat="1">
      <c r="T19575" s="41"/>
    </row>
    <row r="19576" spans="20:20" s="566" customFormat="1">
      <c r="T19576" s="41"/>
    </row>
    <row r="19577" spans="20:20" s="566" customFormat="1">
      <c r="T19577" s="41"/>
    </row>
    <row r="19578" spans="20:20" s="566" customFormat="1">
      <c r="T19578" s="41"/>
    </row>
    <row r="19579" spans="20:20" s="566" customFormat="1">
      <c r="T19579" s="41"/>
    </row>
    <row r="19580" spans="20:20" s="566" customFormat="1">
      <c r="T19580" s="41"/>
    </row>
    <row r="19581" spans="20:20" s="566" customFormat="1">
      <c r="T19581" s="41"/>
    </row>
    <row r="19582" spans="20:20" s="566" customFormat="1">
      <c r="T19582" s="41"/>
    </row>
    <row r="19583" spans="20:20" s="566" customFormat="1">
      <c r="T19583" s="41"/>
    </row>
    <row r="19584" spans="20:20" s="566" customFormat="1">
      <c r="T19584" s="41"/>
    </row>
    <row r="19585" spans="20:20" s="566" customFormat="1">
      <c r="T19585" s="41"/>
    </row>
    <row r="19586" spans="20:20" s="566" customFormat="1">
      <c r="T19586" s="41"/>
    </row>
    <row r="19587" spans="20:20" s="566" customFormat="1">
      <c r="T19587" s="41"/>
    </row>
    <row r="19588" spans="20:20" s="566" customFormat="1">
      <c r="T19588" s="41"/>
    </row>
    <row r="19589" spans="20:20" s="566" customFormat="1">
      <c r="T19589" s="41"/>
    </row>
    <row r="19590" spans="20:20" s="566" customFormat="1">
      <c r="T19590" s="41"/>
    </row>
    <row r="19591" spans="20:20" s="566" customFormat="1">
      <c r="T19591" s="41"/>
    </row>
    <row r="19592" spans="20:20" s="566" customFormat="1">
      <c r="T19592" s="41"/>
    </row>
    <row r="19593" spans="20:20" s="566" customFormat="1">
      <c r="T19593" s="41"/>
    </row>
    <row r="19594" spans="20:20" s="566" customFormat="1">
      <c r="T19594" s="41"/>
    </row>
    <row r="19595" spans="20:20" s="566" customFormat="1">
      <c r="T19595" s="41"/>
    </row>
    <row r="19596" spans="20:20" s="566" customFormat="1">
      <c r="T19596" s="41"/>
    </row>
    <row r="19597" spans="20:20" s="566" customFormat="1">
      <c r="T19597" s="41"/>
    </row>
    <row r="19598" spans="20:20" s="566" customFormat="1">
      <c r="T19598" s="41"/>
    </row>
    <row r="19599" spans="20:20" s="566" customFormat="1">
      <c r="T19599" s="41"/>
    </row>
    <row r="19600" spans="20:20" s="566" customFormat="1">
      <c r="T19600" s="41"/>
    </row>
    <row r="19601" spans="20:20" s="566" customFormat="1">
      <c r="T19601" s="41"/>
    </row>
    <row r="19602" spans="20:20" s="566" customFormat="1">
      <c r="T19602" s="41"/>
    </row>
    <row r="19603" spans="20:20" s="566" customFormat="1">
      <c r="T19603" s="41"/>
    </row>
    <row r="19604" spans="20:20" s="566" customFormat="1">
      <c r="T19604" s="41"/>
    </row>
    <row r="19605" spans="20:20" s="566" customFormat="1">
      <c r="T19605" s="41"/>
    </row>
    <row r="19606" spans="20:20" s="566" customFormat="1">
      <c r="T19606" s="41"/>
    </row>
    <row r="19607" spans="20:20" s="566" customFormat="1">
      <c r="T19607" s="41"/>
    </row>
    <row r="19608" spans="20:20" s="566" customFormat="1">
      <c r="T19608" s="41"/>
    </row>
    <row r="19609" spans="20:20" s="566" customFormat="1">
      <c r="T19609" s="41"/>
    </row>
    <row r="19610" spans="20:20" s="566" customFormat="1">
      <c r="T19610" s="41"/>
    </row>
    <row r="19611" spans="20:20" s="566" customFormat="1">
      <c r="T19611" s="41"/>
    </row>
    <row r="19612" spans="20:20" s="566" customFormat="1">
      <c r="T19612" s="41"/>
    </row>
    <row r="19613" spans="20:20" s="566" customFormat="1">
      <c r="T19613" s="41"/>
    </row>
    <row r="19614" spans="20:20" s="566" customFormat="1">
      <c r="T19614" s="41"/>
    </row>
    <row r="19615" spans="20:20" s="566" customFormat="1">
      <c r="T19615" s="41"/>
    </row>
    <row r="19616" spans="20:20" s="566" customFormat="1">
      <c r="T19616" s="41"/>
    </row>
    <row r="19617" spans="20:20" s="566" customFormat="1">
      <c r="T19617" s="41"/>
    </row>
    <row r="19618" spans="20:20" s="566" customFormat="1">
      <c r="T19618" s="41"/>
    </row>
    <row r="19619" spans="20:20" s="566" customFormat="1">
      <c r="T19619" s="41"/>
    </row>
    <row r="19620" spans="20:20" s="566" customFormat="1">
      <c r="T19620" s="41"/>
    </row>
    <row r="19621" spans="20:20" s="566" customFormat="1">
      <c r="T19621" s="41"/>
    </row>
    <row r="19622" spans="20:20" s="566" customFormat="1">
      <c r="T19622" s="41"/>
    </row>
    <row r="19623" spans="20:20" s="566" customFormat="1">
      <c r="T19623" s="41"/>
    </row>
    <row r="19624" spans="20:20" s="566" customFormat="1">
      <c r="T19624" s="41"/>
    </row>
    <row r="19625" spans="20:20" s="566" customFormat="1">
      <c r="T19625" s="41"/>
    </row>
    <row r="19626" spans="20:20" s="566" customFormat="1">
      <c r="T19626" s="41"/>
    </row>
    <row r="19627" spans="20:20" s="566" customFormat="1">
      <c r="T19627" s="41"/>
    </row>
    <row r="19628" spans="20:20" s="566" customFormat="1">
      <c r="T19628" s="41"/>
    </row>
    <row r="19629" spans="20:20" s="566" customFormat="1">
      <c r="T19629" s="41"/>
    </row>
    <row r="19630" spans="20:20" s="566" customFormat="1">
      <c r="T19630" s="41"/>
    </row>
    <row r="19631" spans="20:20" s="566" customFormat="1">
      <c r="T19631" s="41"/>
    </row>
    <row r="19632" spans="20:20" s="566" customFormat="1">
      <c r="T19632" s="41"/>
    </row>
    <row r="19633" spans="20:20" s="566" customFormat="1">
      <c r="T19633" s="41"/>
    </row>
    <row r="19634" spans="20:20" s="566" customFormat="1">
      <c r="T19634" s="41"/>
    </row>
    <row r="19635" spans="20:20" s="566" customFormat="1">
      <c r="T19635" s="41"/>
    </row>
    <row r="19636" spans="20:20" s="566" customFormat="1">
      <c r="T19636" s="41"/>
    </row>
    <row r="19637" spans="20:20" s="566" customFormat="1">
      <c r="T19637" s="41"/>
    </row>
    <row r="19638" spans="20:20" s="566" customFormat="1">
      <c r="T19638" s="41"/>
    </row>
    <row r="19639" spans="20:20" s="566" customFormat="1">
      <c r="T19639" s="41"/>
    </row>
    <row r="19640" spans="20:20" s="566" customFormat="1">
      <c r="T19640" s="41"/>
    </row>
    <row r="19641" spans="20:20" s="566" customFormat="1">
      <c r="T19641" s="41"/>
    </row>
    <row r="19642" spans="20:20" s="566" customFormat="1">
      <c r="T19642" s="41"/>
    </row>
    <row r="19643" spans="20:20" s="566" customFormat="1">
      <c r="T19643" s="41"/>
    </row>
    <row r="19644" spans="20:20" s="566" customFormat="1">
      <c r="T19644" s="41"/>
    </row>
    <row r="19645" spans="20:20" s="566" customFormat="1">
      <c r="T19645" s="41"/>
    </row>
    <row r="19646" spans="20:20" s="566" customFormat="1">
      <c r="T19646" s="41"/>
    </row>
    <row r="19647" spans="20:20" s="566" customFormat="1">
      <c r="T19647" s="41"/>
    </row>
    <row r="19648" spans="20:20" s="566" customFormat="1">
      <c r="T19648" s="41"/>
    </row>
    <row r="19649" spans="20:20" s="566" customFormat="1">
      <c r="T19649" s="41"/>
    </row>
    <row r="19650" spans="20:20" s="566" customFormat="1">
      <c r="T19650" s="41"/>
    </row>
    <row r="19651" spans="20:20" s="566" customFormat="1">
      <c r="T19651" s="41"/>
    </row>
    <row r="19652" spans="20:20" s="566" customFormat="1">
      <c r="T19652" s="41"/>
    </row>
    <row r="19653" spans="20:20" s="566" customFormat="1">
      <c r="T19653" s="41"/>
    </row>
    <row r="19654" spans="20:20" s="566" customFormat="1">
      <c r="T19654" s="41"/>
    </row>
    <row r="19655" spans="20:20" s="566" customFormat="1">
      <c r="T19655" s="41"/>
    </row>
    <row r="19656" spans="20:20" s="566" customFormat="1">
      <c r="T19656" s="41"/>
    </row>
    <row r="19657" spans="20:20" s="566" customFormat="1">
      <c r="T19657" s="41"/>
    </row>
    <row r="19658" spans="20:20" s="566" customFormat="1">
      <c r="T19658" s="41"/>
    </row>
    <row r="19659" spans="20:20" s="566" customFormat="1">
      <c r="T19659" s="41"/>
    </row>
    <row r="19660" spans="20:20" s="566" customFormat="1">
      <c r="T19660" s="41"/>
    </row>
    <row r="19661" spans="20:20" s="566" customFormat="1">
      <c r="T19661" s="41"/>
    </row>
    <row r="19662" spans="20:20" s="566" customFormat="1">
      <c r="T19662" s="41"/>
    </row>
    <row r="19663" spans="20:20" s="566" customFormat="1">
      <c r="T19663" s="41"/>
    </row>
    <row r="19664" spans="20:20" s="566" customFormat="1">
      <c r="T19664" s="41"/>
    </row>
    <row r="19665" spans="20:20" s="566" customFormat="1">
      <c r="T19665" s="41"/>
    </row>
    <row r="19666" spans="20:20" s="566" customFormat="1">
      <c r="T19666" s="41"/>
    </row>
    <row r="19667" spans="20:20" s="566" customFormat="1">
      <c r="T19667" s="41"/>
    </row>
    <row r="19668" spans="20:20" s="566" customFormat="1">
      <c r="T19668" s="41"/>
    </row>
    <row r="19669" spans="20:20" s="566" customFormat="1">
      <c r="T19669" s="41"/>
    </row>
    <row r="19670" spans="20:20" s="566" customFormat="1">
      <c r="T19670" s="41"/>
    </row>
    <row r="19671" spans="20:20" s="566" customFormat="1">
      <c r="T19671" s="41"/>
    </row>
    <row r="19672" spans="20:20" s="566" customFormat="1">
      <c r="T19672" s="41"/>
    </row>
    <row r="19673" spans="20:20" s="566" customFormat="1">
      <c r="T19673" s="41"/>
    </row>
    <row r="19674" spans="20:20" s="566" customFormat="1">
      <c r="T19674" s="41"/>
    </row>
    <row r="19675" spans="20:20" s="566" customFormat="1">
      <c r="T19675" s="41"/>
    </row>
    <row r="19676" spans="20:20" s="566" customFormat="1">
      <c r="T19676" s="41"/>
    </row>
    <row r="19677" spans="20:20" s="566" customFormat="1">
      <c r="T19677" s="41"/>
    </row>
    <row r="19678" spans="20:20" s="566" customFormat="1">
      <c r="T19678" s="41"/>
    </row>
    <row r="19679" spans="20:20" s="566" customFormat="1">
      <c r="T19679" s="41"/>
    </row>
    <row r="19680" spans="20:20" s="566" customFormat="1">
      <c r="T19680" s="41"/>
    </row>
    <row r="19681" spans="20:20" s="566" customFormat="1">
      <c r="T19681" s="41"/>
    </row>
    <row r="19682" spans="20:20" s="566" customFormat="1">
      <c r="T19682" s="41"/>
    </row>
    <row r="19683" spans="20:20" s="566" customFormat="1">
      <c r="T19683" s="41"/>
    </row>
    <row r="19684" spans="20:20" s="566" customFormat="1">
      <c r="T19684" s="41"/>
    </row>
    <row r="19685" spans="20:20" s="566" customFormat="1">
      <c r="T19685" s="41"/>
    </row>
    <row r="19686" spans="20:20" s="566" customFormat="1">
      <c r="T19686" s="41"/>
    </row>
    <row r="19687" spans="20:20" s="566" customFormat="1">
      <c r="T19687" s="41"/>
    </row>
    <row r="19688" spans="20:20" s="566" customFormat="1">
      <c r="T19688" s="41"/>
    </row>
    <row r="19689" spans="20:20" s="566" customFormat="1">
      <c r="T19689" s="41"/>
    </row>
    <row r="19690" spans="20:20" s="566" customFormat="1">
      <c r="T19690" s="41"/>
    </row>
    <row r="19691" spans="20:20" s="566" customFormat="1">
      <c r="T19691" s="41"/>
    </row>
    <row r="19692" spans="20:20" s="566" customFormat="1">
      <c r="T19692" s="41"/>
    </row>
    <row r="19693" spans="20:20" s="566" customFormat="1">
      <c r="T19693" s="41"/>
    </row>
    <row r="19694" spans="20:20" s="566" customFormat="1">
      <c r="T19694" s="41"/>
    </row>
    <row r="19695" spans="20:20" s="566" customFormat="1">
      <c r="T19695" s="41"/>
    </row>
    <row r="19696" spans="20:20" s="566" customFormat="1">
      <c r="T19696" s="41"/>
    </row>
    <row r="19697" spans="20:20" s="566" customFormat="1">
      <c r="T19697" s="41"/>
    </row>
    <row r="19698" spans="20:20" s="566" customFormat="1">
      <c r="T19698" s="41"/>
    </row>
    <row r="19699" spans="20:20" s="566" customFormat="1">
      <c r="T19699" s="41"/>
    </row>
    <row r="19700" spans="20:20" s="566" customFormat="1">
      <c r="T19700" s="41"/>
    </row>
    <row r="19701" spans="20:20" s="566" customFormat="1">
      <c r="T19701" s="41"/>
    </row>
    <row r="19702" spans="20:20" s="566" customFormat="1">
      <c r="T19702" s="41"/>
    </row>
    <row r="19703" spans="20:20" s="566" customFormat="1">
      <c r="T19703" s="41"/>
    </row>
    <row r="19704" spans="20:20" s="566" customFormat="1">
      <c r="T19704" s="41"/>
    </row>
    <row r="19705" spans="20:20" s="566" customFormat="1">
      <c r="T19705" s="41"/>
    </row>
    <row r="19706" spans="20:20" s="566" customFormat="1">
      <c r="T19706" s="41"/>
    </row>
    <row r="19707" spans="20:20" s="566" customFormat="1">
      <c r="T19707" s="41"/>
    </row>
    <row r="19708" spans="20:20" s="566" customFormat="1">
      <c r="T19708" s="41"/>
    </row>
    <row r="19709" spans="20:20" s="566" customFormat="1">
      <c r="T19709" s="41"/>
    </row>
    <row r="19710" spans="20:20" s="566" customFormat="1">
      <c r="T19710" s="41"/>
    </row>
    <row r="19711" spans="20:20" s="566" customFormat="1">
      <c r="T19711" s="41"/>
    </row>
    <row r="19712" spans="20:20" s="566" customFormat="1">
      <c r="T19712" s="41"/>
    </row>
    <row r="19713" spans="20:20" s="566" customFormat="1">
      <c r="T19713" s="41"/>
    </row>
    <row r="19714" spans="20:20" s="566" customFormat="1">
      <c r="T19714" s="41"/>
    </row>
    <row r="19715" spans="20:20" s="566" customFormat="1">
      <c r="T19715" s="41"/>
    </row>
    <row r="19716" spans="20:20" s="566" customFormat="1">
      <c r="T19716" s="41"/>
    </row>
    <row r="19717" spans="20:20" s="566" customFormat="1">
      <c r="T19717" s="41"/>
    </row>
    <row r="19718" spans="20:20" s="566" customFormat="1">
      <c r="T19718" s="41"/>
    </row>
    <row r="19719" spans="20:20" s="566" customFormat="1">
      <c r="T19719" s="41"/>
    </row>
    <row r="19720" spans="20:20" s="566" customFormat="1">
      <c r="T19720" s="41"/>
    </row>
    <row r="19721" spans="20:20" s="566" customFormat="1">
      <c r="T19721" s="41"/>
    </row>
    <row r="19722" spans="20:20" s="566" customFormat="1">
      <c r="T19722" s="41"/>
    </row>
    <row r="19723" spans="20:20" s="566" customFormat="1">
      <c r="T19723" s="41"/>
    </row>
    <row r="19724" spans="20:20" s="566" customFormat="1">
      <c r="T19724" s="41"/>
    </row>
    <row r="19725" spans="20:20" s="566" customFormat="1">
      <c r="T19725" s="41"/>
    </row>
    <row r="19726" spans="20:20" s="566" customFormat="1">
      <c r="T19726" s="41"/>
    </row>
    <row r="19727" spans="20:20" s="566" customFormat="1">
      <c r="T19727" s="41"/>
    </row>
    <row r="19728" spans="20:20" s="566" customFormat="1">
      <c r="T19728" s="41"/>
    </row>
    <row r="19729" spans="20:20" s="566" customFormat="1">
      <c r="T19729" s="41"/>
    </row>
    <row r="19730" spans="20:20" s="566" customFormat="1">
      <c r="T19730" s="41"/>
    </row>
    <row r="19731" spans="20:20" s="566" customFormat="1">
      <c r="T19731" s="41"/>
    </row>
    <row r="19732" spans="20:20" s="566" customFormat="1">
      <c r="T19732" s="41"/>
    </row>
    <row r="19733" spans="20:20" s="566" customFormat="1">
      <c r="T19733" s="41"/>
    </row>
    <row r="19734" spans="20:20" s="566" customFormat="1">
      <c r="T19734" s="41"/>
    </row>
    <row r="19735" spans="20:20" s="566" customFormat="1">
      <c r="T19735" s="41"/>
    </row>
    <row r="19736" spans="20:20" s="566" customFormat="1">
      <c r="T19736" s="41"/>
    </row>
    <row r="19737" spans="20:20" s="566" customFormat="1">
      <c r="T19737" s="41"/>
    </row>
    <row r="19738" spans="20:20" s="566" customFormat="1">
      <c r="T19738" s="41"/>
    </row>
    <row r="19739" spans="20:20" s="566" customFormat="1">
      <c r="T19739" s="41"/>
    </row>
    <row r="19740" spans="20:20" s="566" customFormat="1">
      <c r="T19740" s="41"/>
    </row>
    <row r="19741" spans="20:20" s="566" customFormat="1">
      <c r="T19741" s="41"/>
    </row>
    <row r="19742" spans="20:20" s="566" customFormat="1">
      <c r="T19742" s="41"/>
    </row>
    <row r="19743" spans="20:20" s="566" customFormat="1">
      <c r="T19743" s="41"/>
    </row>
    <row r="19744" spans="20:20" s="566" customFormat="1">
      <c r="T19744" s="41"/>
    </row>
    <row r="19745" spans="20:20" s="566" customFormat="1">
      <c r="T19745" s="41"/>
    </row>
    <row r="19746" spans="20:20" s="566" customFormat="1">
      <c r="T19746" s="41"/>
    </row>
    <row r="19747" spans="20:20" s="566" customFormat="1">
      <c r="T19747" s="41"/>
    </row>
    <row r="19748" spans="20:20" s="566" customFormat="1">
      <c r="T19748" s="41"/>
    </row>
    <row r="19749" spans="20:20" s="566" customFormat="1">
      <c r="T19749" s="41"/>
    </row>
    <row r="19750" spans="20:20" s="566" customFormat="1">
      <c r="T19750" s="41"/>
    </row>
    <row r="19751" spans="20:20" s="566" customFormat="1">
      <c r="T19751" s="41"/>
    </row>
    <row r="19752" spans="20:20" s="566" customFormat="1">
      <c r="T19752" s="41"/>
    </row>
    <row r="19753" spans="20:20" s="566" customFormat="1">
      <c r="T19753" s="41"/>
    </row>
    <row r="19754" spans="20:20" s="566" customFormat="1">
      <c r="T19754" s="41"/>
    </row>
    <row r="19755" spans="20:20" s="566" customFormat="1">
      <c r="T19755" s="41"/>
    </row>
    <row r="19756" spans="20:20" s="566" customFormat="1">
      <c r="T19756" s="41"/>
    </row>
    <row r="19757" spans="20:20" s="566" customFormat="1">
      <c r="T19757" s="41"/>
    </row>
    <row r="19758" spans="20:20" s="566" customFormat="1">
      <c r="T19758" s="41"/>
    </row>
    <row r="19759" spans="20:20" s="566" customFormat="1">
      <c r="T19759" s="41"/>
    </row>
    <row r="19760" spans="20:20" s="566" customFormat="1">
      <c r="T19760" s="41"/>
    </row>
    <row r="19761" spans="20:20" s="566" customFormat="1">
      <c r="T19761" s="41"/>
    </row>
    <row r="19762" spans="20:20" s="566" customFormat="1">
      <c r="T19762" s="41"/>
    </row>
    <row r="19763" spans="20:20" s="566" customFormat="1">
      <c r="T19763" s="41"/>
    </row>
    <row r="19764" spans="20:20" s="566" customFormat="1">
      <c r="T19764" s="41"/>
    </row>
    <row r="19765" spans="20:20" s="566" customFormat="1">
      <c r="T19765" s="41"/>
    </row>
    <row r="19766" spans="20:20" s="566" customFormat="1">
      <c r="T19766" s="41"/>
    </row>
    <row r="19767" spans="20:20" s="566" customFormat="1">
      <c r="T19767" s="41"/>
    </row>
    <row r="19768" spans="20:20" s="566" customFormat="1">
      <c r="T19768" s="41"/>
    </row>
    <row r="19769" spans="20:20" s="566" customFormat="1">
      <c r="T19769" s="41"/>
    </row>
    <row r="19770" spans="20:20" s="566" customFormat="1">
      <c r="T19770" s="41"/>
    </row>
    <row r="19771" spans="20:20" s="566" customFormat="1">
      <c r="T19771" s="41"/>
    </row>
    <row r="19772" spans="20:20" s="566" customFormat="1">
      <c r="T19772" s="41"/>
    </row>
    <row r="19773" spans="20:20" s="566" customFormat="1">
      <c r="T19773" s="41"/>
    </row>
    <row r="19774" spans="20:20" s="566" customFormat="1">
      <c r="T19774" s="41"/>
    </row>
    <row r="19775" spans="20:20" s="566" customFormat="1">
      <c r="T19775" s="41"/>
    </row>
    <row r="19776" spans="20:20" s="566" customFormat="1">
      <c r="T19776" s="41"/>
    </row>
    <row r="19777" spans="20:20" s="566" customFormat="1">
      <c r="T19777" s="41"/>
    </row>
    <row r="19778" spans="20:20" s="566" customFormat="1">
      <c r="T19778" s="41"/>
    </row>
    <row r="19779" spans="20:20" s="566" customFormat="1">
      <c r="T19779" s="41"/>
    </row>
    <row r="19780" spans="20:20" s="566" customFormat="1">
      <c r="T19780" s="41"/>
    </row>
    <row r="19781" spans="20:20" s="566" customFormat="1">
      <c r="T19781" s="41"/>
    </row>
    <row r="19782" spans="20:20" s="566" customFormat="1">
      <c r="T19782" s="41"/>
    </row>
    <row r="19783" spans="20:20" s="566" customFormat="1">
      <c r="T19783" s="41"/>
    </row>
    <row r="19784" spans="20:20" s="566" customFormat="1">
      <c r="T19784" s="41"/>
    </row>
    <row r="19785" spans="20:20" s="566" customFormat="1">
      <c r="T19785" s="41"/>
    </row>
    <row r="19786" spans="20:20" s="566" customFormat="1">
      <c r="T19786" s="41"/>
    </row>
    <row r="19787" spans="20:20" s="566" customFormat="1">
      <c r="T19787" s="41"/>
    </row>
    <row r="19788" spans="20:20" s="566" customFormat="1">
      <c r="T19788" s="41"/>
    </row>
    <row r="19789" spans="20:20" s="566" customFormat="1">
      <c r="T19789" s="41"/>
    </row>
    <row r="19790" spans="20:20" s="566" customFormat="1">
      <c r="T19790" s="41"/>
    </row>
    <row r="19791" spans="20:20" s="566" customFormat="1">
      <c r="T19791" s="41"/>
    </row>
    <row r="19792" spans="20:20" s="566" customFormat="1">
      <c r="T19792" s="41"/>
    </row>
    <row r="19793" spans="20:20" s="566" customFormat="1">
      <c r="T19793" s="41"/>
    </row>
    <row r="19794" spans="20:20" s="566" customFormat="1">
      <c r="T19794" s="41"/>
    </row>
    <row r="19795" spans="20:20" s="566" customFormat="1">
      <c r="T19795" s="41"/>
    </row>
    <row r="19796" spans="20:20" s="566" customFormat="1">
      <c r="T19796" s="41"/>
    </row>
    <row r="19797" spans="20:20" s="566" customFormat="1">
      <c r="T19797" s="41"/>
    </row>
    <row r="19798" spans="20:20" s="566" customFormat="1">
      <c r="T19798" s="41"/>
    </row>
    <row r="19799" spans="20:20" s="566" customFormat="1">
      <c r="T19799" s="41"/>
    </row>
    <row r="19800" spans="20:20" s="566" customFormat="1">
      <c r="T19800" s="41"/>
    </row>
    <row r="19801" spans="20:20" s="566" customFormat="1">
      <c r="T19801" s="41"/>
    </row>
    <row r="19802" spans="20:20" s="566" customFormat="1">
      <c r="T19802" s="41"/>
    </row>
    <row r="19803" spans="20:20" s="566" customFormat="1">
      <c r="T19803" s="41"/>
    </row>
    <row r="19804" spans="20:20" s="566" customFormat="1">
      <c r="T19804" s="41"/>
    </row>
    <row r="19805" spans="20:20" s="566" customFormat="1">
      <c r="T19805" s="41"/>
    </row>
    <row r="19806" spans="20:20" s="566" customFormat="1">
      <c r="T19806" s="41"/>
    </row>
    <row r="19807" spans="20:20" s="566" customFormat="1">
      <c r="T19807" s="41"/>
    </row>
    <row r="19808" spans="20:20" s="566" customFormat="1">
      <c r="T19808" s="41"/>
    </row>
    <row r="19809" spans="20:20" s="566" customFormat="1">
      <c r="T19809" s="41"/>
    </row>
    <row r="19810" spans="20:20" s="566" customFormat="1">
      <c r="T19810" s="41"/>
    </row>
    <row r="19811" spans="20:20" s="566" customFormat="1">
      <c r="T19811" s="41"/>
    </row>
    <row r="19812" spans="20:20" s="566" customFormat="1">
      <c r="T19812" s="41"/>
    </row>
    <row r="19813" spans="20:20" s="566" customFormat="1">
      <c r="T19813" s="41"/>
    </row>
    <row r="19814" spans="20:20" s="566" customFormat="1">
      <c r="T19814" s="41"/>
    </row>
    <row r="19815" spans="20:20" s="566" customFormat="1">
      <c r="T19815" s="41"/>
    </row>
    <row r="19816" spans="20:20" s="566" customFormat="1">
      <c r="T19816" s="41"/>
    </row>
    <row r="19817" spans="20:20" s="566" customFormat="1">
      <c r="T19817" s="41"/>
    </row>
    <row r="19818" spans="20:20" s="566" customFormat="1">
      <c r="T19818" s="41"/>
    </row>
    <row r="19819" spans="20:20" s="566" customFormat="1">
      <c r="T19819" s="41"/>
    </row>
    <row r="19820" spans="20:20" s="566" customFormat="1">
      <c r="T19820" s="41"/>
    </row>
    <row r="19821" spans="20:20" s="566" customFormat="1">
      <c r="T19821" s="41"/>
    </row>
    <row r="19822" spans="20:20" s="566" customFormat="1">
      <c r="T19822" s="41"/>
    </row>
    <row r="19823" spans="20:20" s="566" customFormat="1">
      <c r="T19823" s="41"/>
    </row>
    <row r="19824" spans="20:20" s="566" customFormat="1">
      <c r="T19824" s="41"/>
    </row>
    <row r="19825" spans="20:20" s="566" customFormat="1">
      <c r="T19825" s="41"/>
    </row>
    <row r="19826" spans="20:20" s="566" customFormat="1">
      <c r="T19826" s="41"/>
    </row>
    <row r="19827" spans="20:20" s="566" customFormat="1">
      <c r="T19827" s="41"/>
    </row>
    <row r="19828" spans="20:20" s="566" customFormat="1">
      <c r="T19828" s="41"/>
    </row>
    <row r="19829" spans="20:20" s="566" customFormat="1">
      <c r="T19829" s="41"/>
    </row>
    <row r="19830" spans="20:20" s="566" customFormat="1">
      <c r="T19830" s="41"/>
    </row>
    <row r="19831" spans="20:20" s="566" customFormat="1">
      <c r="T19831" s="41"/>
    </row>
    <row r="19832" spans="20:20" s="566" customFormat="1">
      <c r="T19832" s="41"/>
    </row>
    <row r="19833" spans="20:20" s="566" customFormat="1">
      <c r="T19833" s="41"/>
    </row>
    <row r="19834" spans="20:20" s="566" customFormat="1">
      <c r="T19834" s="41"/>
    </row>
    <row r="19835" spans="20:20" s="566" customFormat="1">
      <c r="T19835" s="41"/>
    </row>
    <row r="19836" spans="20:20" s="566" customFormat="1">
      <c r="T19836" s="41"/>
    </row>
    <row r="19837" spans="20:20" s="566" customFormat="1">
      <c r="T19837" s="41"/>
    </row>
    <row r="19838" spans="20:20" s="566" customFormat="1">
      <c r="T19838" s="41"/>
    </row>
    <row r="19839" spans="20:20" s="566" customFormat="1">
      <c r="T19839" s="41"/>
    </row>
    <row r="19840" spans="20:20" s="566" customFormat="1">
      <c r="T19840" s="41"/>
    </row>
    <row r="19841" spans="20:20" s="566" customFormat="1">
      <c r="T19841" s="41"/>
    </row>
    <row r="19842" spans="20:20" s="566" customFormat="1">
      <c r="T19842" s="41"/>
    </row>
    <row r="19843" spans="20:20" s="566" customFormat="1">
      <c r="T19843" s="41"/>
    </row>
    <row r="19844" spans="20:20" s="566" customFormat="1">
      <c r="T19844" s="41"/>
    </row>
    <row r="19845" spans="20:20" s="566" customFormat="1">
      <c r="T19845" s="41"/>
    </row>
    <row r="19846" spans="20:20" s="566" customFormat="1">
      <c r="T19846" s="41"/>
    </row>
    <row r="19847" spans="20:20" s="566" customFormat="1">
      <c r="T19847" s="41"/>
    </row>
    <row r="19848" spans="20:20" s="566" customFormat="1">
      <c r="T19848" s="41"/>
    </row>
    <row r="19849" spans="20:20" s="566" customFormat="1">
      <c r="T19849" s="41"/>
    </row>
    <row r="19850" spans="20:20" s="566" customFormat="1">
      <c r="T19850" s="41"/>
    </row>
    <row r="19851" spans="20:20" s="566" customFormat="1">
      <c r="T19851" s="41"/>
    </row>
    <row r="19852" spans="20:20" s="566" customFormat="1">
      <c r="T19852" s="41"/>
    </row>
    <row r="19853" spans="20:20" s="566" customFormat="1">
      <c r="T19853" s="41"/>
    </row>
    <row r="19854" spans="20:20" s="566" customFormat="1">
      <c r="T19854" s="41"/>
    </row>
    <row r="19855" spans="20:20" s="566" customFormat="1">
      <c r="T19855" s="41"/>
    </row>
    <row r="19856" spans="20:20" s="566" customFormat="1">
      <c r="T19856" s="41"/>
    </row>
    <row r="19857" spans="20:20" s="566" customFormat="1">
      <c r="T19857" s="41"/>
    </row>
    <row r="19858" spans="20:20" s="566" customFormat="1">
      <c r="T19858" s="41"/>
    </row>
    <row r="19859" spans="20:20" s="566" customFormat="1">
      <c r="T19859" s="41"/>
    </row>
    <row r="19860" spans="20:20" s="566" customFormat="1">
      <c r="T19860" s="41"/>
    </row>
    <row r="19861" spans="20:20" s="566" customFormat="1">
      <c r="T19861" s="41"/>
    </row>
    <row r="19862" spans="20:20" s="566" customFormat="1">
      <c r="T19862" s="41"/>
    </row>
    <row r="19863" spans="20:20" s="566" customFormat="1">
      <c r="T19863" s="41"/>
    </row>
    <row r="19864" spans="20:20" s="566" customFormat="1">
      <c r="T19864" s="41"/>
    </row>
    <row r="19865" spans="20:20" s="566" customFormat="1">
      <c r="T19865" s="41"/>
    </row>
    <row r="19866" spans="20:20" s="566" customFormat="1">
      <c r="T19866" s="41"/>
    </row>
    <row r="19867" spans="20:20" s="566" customFormat="1">
      <c r="T19867" s="41"/>
    </row>
    <row r="19868" spans="20:20" s="566" customFormat="1">
      <c r="T19868" s="41"/>
    </row>
    <row r="19869" spans="20:20" s="566" customFormat="1">
      <c r="T19869" s="41"/>
    </row>
    <row r="19870" spans="20:20" s="566" customFormat="1">
      <c r="T19870" s="41"/>
    </row>
    <row r="19871" spans="20:20" s="566" customFormat="1">
      <c r="T19871" s="41"/>
    </row>
    <row r="19872" spans="20:20" s="566" customFormat="1">
      <c r="T19872" s="41"/>
    </row>
    <row r="19873" spans="20:20" s="566" customFormat="1">
      <c r="T19873" s="41"/>
    </row>
    <row r="19874" spans="20:20" s="566" customFormat="1">
      <c r="T19874" s="41"/>
    </row>
    <row r="19875" spans="20:20" s="566" customFormat="1">
      <c r="T19875" s="41"/>
    </row>
    <row r="19876" spans="20:20" s="566" customFormat="1">
      <c r="T19876" s="41"/>
    </row>
    <row r="19877" spans="20:20" s="566" customFormat="1">
      <c r="T19877" s="41"/>
    </row>
    <row r="19878" spans="20:20" s="566" customFormat="1">
      <c r="T19878" s="41"/>
    </row>
    <row r="19879" spans="20:20" s="566" customFormat="1">
      <c r="T19879" s="41"/>
    </row>
    <row r="19880" spans="20:20" s="566" customFormat="1">
      <c r="T19880" s="41"/>
    </row>
    <row r="19881" spans="20:20" s="566" customFormat="1">
      <c r="T19881" s="41"/>
    </row>
    <row r="19882" spans="20:20" s="566" customFormat="1">
      <c r="T19882" s="41"/>
    </row>
    <row r="19883" spans="20:20" s="566" customFormat="1">
      <c r="T19883" s="41"/>
    </row>
    <row r="19884" spans="20:20" s="566" customFormat="1">
      <c r="T19884" s="41"/>
    </row>
    <row r="19885" spans="20:20" s="566" customFormat="1">
      <c r="T19885" s="41"/>
    </row>
    <row r="19886" spans="20:20" s="566" customFormat="1">
      <c r="T19886" s="41"/>
    </row>
    <row r="19887" spans="20:20" s="566" customFormat="1">
      <c r="T19887" s="41"/>
    </row>
    <row r="19888" spans="20:20" s="566" customFormat="1">
      <c r="T19888" s="41"/>
    </row>
    <row r="19889" spans="20:20" s="566" customFormat="1">
      <c r="T19889" s="41"/>
    </row>
    <row r="19890" spans="20:20" s="566" customFormat="1">
      <c r="T19890" s="41"/>
    </row>
    <row r="19891" spans="20:20" s="566" customFormat="1">
      <c r="T19891" s="41"/>
    </row>
    <row r="19892" spans="20:20" s="566" customFormat="1">
      <c r="T19892" s="41"/>
    </row>
    <row r="19893" spans="20:20" s="566" customFormat="1">
      <c r="T19893" s="41"/>
    </row>
    <row r="19894" spans="20:20" s="566" customFormat="1">
      <c r="T19894" s="41"/>
    </row>
    <row r="19895" spans="20:20" s="566" customFormat="1">
      <c r="T19895" s="41"/>
    </row>
    <row r="19896" spans="20:20" s="566" customFormat="1">
      <c r="T19896" s="41"/>
    </row>
    <row r="19897" spans="20:20" s="566" customFormat="1">
      <c r="T19897" s="41"/>
    </row>
    <row r="19898" spans="20:20" s="566" customFormat="1">
      <c r="T19898" s="41"/>
    </row>
    <row r="19899" spans="20:20" s="566" customFormat="1">
      <c r="T19899" s="41"/>
    </row>
    <row r="19900" spans="20:20" s="566" customFormat="1">
      <c r="T19900" s="41"/>
    </row>
    <row r="19901" spans="20:20" s="566" customFormat="1">
      <c r="T19901" s="41"/>
    </row>
    <row r="19902" spans="20:20" s="566" customFormat="1">
      <c r="T19902" s="41"/>
    </row>
    <row r="19903" spans="20:20" s="566" customFormat="1">
      <c r="T19903" s="41"/>
    </row>
    <row r="19904" spans="20:20" s="566" customFormat="1">
      <c r="T19904" s="41"/>
    </row>
    <row r="19905" spans="20:20" s="566" customFormat="1">
      <c r="T19905" s="41"/>
    </row>
    <row r="19906" spans="20:20" s="566" customFormat="1">
      <c r="T19906" s="41"/>
    </row>
    <row r="19907" spans="20:20" s="566" customFormat="1">
      <c r="T19907" s="41"/>
    </row>
    <row r="19908" spans="20:20" s="566" customFormat="1">
      <c r="T19908" s="41"/>
    </row>
    <row r="19909" spans="20:20" s="566" customFormat="1">
      <c r="T19909" s="41"/>
    </row>
    <row r="19910" spans="20:20" s="566" customFormat="1">
      <c r="T19910" s="41"/>
    </row>
    <row r="19911" spans="20:20" s="566" customFormat="1">
      <c r="T19911" s="41"/>
    </row>
    <row r="19912" spans="20:20" s="566" customFormat="1">
      <c r="T19912" s="41"/>
    </row>
    <row r="19913" spans="20:20" s="566" customFormat="1">
      <c r="T19913" s="41"/>
    </row>
    <row r="19914" spans="20:20" s="566" customFormat="1">
      <c r="T19914" s="41"/>
    </row>
    <row r="19915" spans="20:20" s="566" customFormat="1">
      <c r="T19915" s="41"/>
    </row>
    <row r="19916" spans="20:20" s="566" customFormat="1">
      <c r="T19916" s="41"/>
    </row>
    <row r="19917" spans="20:20" s="566" customFormat="1">
      <c r="T19917" s="41"/>
    </row>
    <row r="19918" spans="20:20" s="566" customFormat="1">
      <c r="T19918" s="41"/>
    </row>
    <row r="19919" spans="20:20" s="566" customFormat="1">
      <c r="T19919" s="41"/>
    </row>
    <row r="19920" spans="20:20" s="566" customFormat="1">
      <c r="T19920" s="41"/>
    </row>
    <row r="19921" spans="20:20" s="566" customFormat="1">
      <c r="T19921" s="41"/>
    </row>
    <row r="19922" spans="20:20" s="566" customFormat="1">
      <c r="T19922" s="41"/>
    </row>
    <row r="19923" spans="20:20" s="566" customFormat="1">
      <c r="T19923" s="41"/>
    </row>
    <row r="19924" spans="20:20" s="566" customFormat="1">
      <c r="T19924" s="41"/>
    </row>
    <row r="19925" spans="20:20" s="566" customFormat="1">
      <c r="T19925" s="41"/>
    </row>
    <row r="19926" spans="20:20" s="566" customFormat="1">
      <c r="T19926" s="41"/>
    </row>
    <row r="19927" spans="20:20" s="566" customFormat="1">
      <c r="T19927" s="41"/>
    </row>
    <row r="19928" spans="20:20" s="566" customFormat="1">
      <c r="T19928" s="41"/>
    </row>
    <row r="19929" spans="20:20" s="566" customFormat="1">
      <c r="T19929" s="41"/>
    </row>
    <row r="19930" spans="20:20" s="566" customFormat="1">
      <c r="T19930" s="41"/>
    </row>
    <row r="19931" spans="20:20" s="566" customFormat="1">
      <c r="T19931" s="41"/>
    </row>
    <row r="19932" spans="20:20" s="566" customFormat="1">
      <c r="T19932" s="41"/>
    </row>
    <row r="19933" spans="20:20" s="566" customFormat="1">
      <c r="T19933" s="41"/>
    </row>
    <row r="19934" spans="20:20" s="566" customFormat="1">
      <c r="T19934" s="41"/>
    </row>
    <row r="19935" spans="20:20" s="566" customFormat="1">
      <c r="T19935" s="41"/>
    </row>
    <row r="19936" spans="20:20" s="566" customFormat="1">
      <c r="T19936" s="41"/>
    </row>
    <row r="19937" spans="20:20" s="566" customFormat="1">
      <c r="T19937" s="41"/>
    </row>
    <row r="19938" spans="20:20" s="566" customFormat="1">
      <c r="T19938" s="41"/>
    </row>
    <row r="19939" spans="20:20" s="566" customFormat="1">
      <c r="T19939" s="41"/>
    </row>
    <row r="19940" spans="20:20" s="566" customFormat="1">
      <c r="T19940" s="41"/>
    </row>
    <row r="19941" spans="20:20" s="566" customFormat="1">
      <c r="T19941" s="41"/>
    </row>
    <row r="19942" spans="20:20" s="566" customFormat="1">
      <c r="T19942" s="41"/>
    </row>
    <row r="19943" spans="20:20" s="566" customFormat="1">
      <c r="T19943" s="41"/>
    </row>
    <row r="19944" spans="20:20" s="566" customFormat="1">
      <c r="T19944" s="41"/>
    </row>
    <row r="19945" spans="20:20" s="566" customFormat="1">
      <c r="T19945" s="41"/>
    </row>
    <row r="19946" spans="20:20" s="566" customFormat="1">
      <c r="T19946" s="41"/>
    </row>
    <row r="19947" spans="20:20" s="566" customFormat="1">
      <c r="T19947" s="41"/>
    </row>
    <row r="19948" spans="20:20" s="566" customFormat="1">
      <c r="T19948" s="41"/>
    </row>
    <row r="19949" spans="20:20" s="566" customFormat="1">
      <c r="T19949" s="41"/>
    </row>
    <row r="19950" spans="20:20" s="566" customFormat="1">
      <c r="T19950" s="41"/>
    </row>
    <row r="19951" spans="20:20" s="566" customFormat="1">
      <c r="T19951" s="41"/>
    </row>
    <row r="19952" spans="20:20" s="566" customFormat="1">
      <c r="T19952" s="41"/>
    </row>
    <row r="19953" spans="20:20" s="566" customFormat="1">
      <c r="T19953" s="41"/>
    </row>
    <row r="19954" spans="20:20" s="566" customFormat="1">
      <c r="T19954" s="41"/>
    </row>
    <row r="19955" spans="20:20" s="566" customFormat="1">
      <c r="T19955" s="41"/>
    </row>
    <row r="19956" spans="20:20" s="566" customFormat="1">
      <c r="T19956" s="41"/>
    </row>
    <row r="19957" spans="20:20" s="566" customFormat="1">
      <c r="T19957" s="41"/>
    </row>
    <row r="19958" spans="20:20" s="566" customFormat="1">
      <c r="T19958" s="41"/>
    </row>
    <row r="19959" spans="20:20" s="566" customFormat="1">
      <c r="T19959" s="41"/>
    </row>
    <row r="19960" spans="20:20" s="566" customFormat="1">
      <c r="T19960" s="41"/>
    </row>
    <row r="19961" spans="20:20" s="566" customFormat="1">
      <c r="T19961" s="41"/>
    </row>
    <row r="19962" spans="20:20" s="566" customFormat="1">
      <c r="T19962" s="41"/>
    </row>
    <row r="19963" spans="20:20" s="566" customFormat="1">
      <c r="T19963" s="41"/>
    </row>
    <row r="19964" spans="20:20" s="566" customFormat="1">
      <c r="T19964" s="41"/>
    </row>
    <row r="19965" spans="20:20" s="566" customFormat="1">
      <c r="T19965" s="41"/>
    </row>
    <row r="19966" spans="20:20" s="566" customFormat="1">
      <c r="T19966" s="41"/>
    </row>
    <row r="19967" spans="20:20" s="566" customFormat="1">
      <c r="T19967" s="41"/>
    </row>
    <row r="19968" spans="20:20" s="566" customFormat="1">
      <c r="T19968" s="41"/>
    </row>
    <row r="19969" spans="20:20" s="566" customFormat="1">
      <c r="T19969" s="41"/>
    </row>
    <row r="19970" spans="20:20" s="566" customFormat="1">
      <c r="T19970" s="41"/>
    </row>
    <row r="19971" spans="20:20" s="566" customFormat="1">
      <c r="T19971" s="41"/>
    </row>
    <row r="19972" spans="20:20" s="566" customFormat="1">
      <c r="T19972" s="41"/>
    </row>
    <row r="19973" spans="20:20" s="566" customFormat="1">
      <c r="T19973" s="41"/>
    </row>
    <row r="19974" spans="20:20" s="566" customFormat="1">
      <c r="T19974" s="41"/>
    </row>
    <row r="19975" spans="20:20" s="566" customFormat="1">
      <c r="T19975" s="41"/>
    </row>
    <row r="19976" spans="20:20" s="566" customFormat="1">
      <c r="T19976" s="41"/>
    </row>
    <row r="19977" spans="20:20" s="566" customFormat="1">
      <c r="T19977" s="41"/>
    </row>
    <row r="19978" spans="20:20" s="566" customFormat="1">
      <c r="T19978" s="41"/>
    </row>
    <row r="19979" spans="20:20" s="566" customFormat="1">
      <c r="T19979" s="41"/>
    </row>
    <row r="19980" spans="20:20" s="566" customFormat="1">
      <c r="T19980" s="41"/>
    </row>
    <row r="19981" spans="20:20" s="566" customFormat="1">
      <c r="T19981" s="41"/>
    </row>
    <row r="19982" spans="20:20" s="566" customFormat="1">
      <c r="T19982" s="41"/>
    </row>
    <row r="19983" spans="20:20" s="566" customFormat="1">
      <c r="T19983" s="41"/>
    </row>
    <row r="19984" spans="20:20" s="566" customFormat="1">
      <c r="T19984" s="41"/>
    </row>
    <row r="19985" spans="20:20" s="566" customFormat="1">
      <c r="T19985" s="41"/>
    </row>
    <row r="19986" spans="20:20" s="566" customFormat="1">
      <c r="T19986" s="41"/>
    </row>
    <row r="19987" spans="20:20" s="566" customFormat="1">
      <c r="T19987" s="41"/>
    </row>
    <row r="19988" spans="20:20" s="566" customFormat="1">
      <c r="T19988" s="41"/>
    </row>
    <row r="19989" spans="20:20" s="566" customFormat="1">
      <c r="T19989" s="41"/>
    </row>
    <row r="19990" spans="20:20" s="566" customFormat="1">
      <c r="T19990" s="41"/>
    </row>
    <row r="19991" spans="20:20" s="566" customFormat="1">
      <c r="T19991" s="41"/>
    </row>
    <row r="19992" spans="20:20" s="566" customFormat="1">
      <c r="T19992" s="41"/>
    </row>
    <row r="19993" spans="20:20" s="566" customFormat="1">
      <c r="T19993" s="41"/>
    </row>
    <row r="19994" spans="20:20" s="566" customFormat="1">
      <c r="T19994" s="41"/>
    </row>
    <row r="19995" spans="20:20" s="566" customFormat="1">
      <c r="T19995" s="41"/>
    </row>
    <row r="19996" spans="20:20" s="566" customFormat="1">
      <c r="T19996" s="41"/>
    </row>
    <row r="19997" spans="20:20" s="566" customFormat="1">
      <c r="T19997" s="41"/>
    </row>
    <row r="19998" spans="20:20" s="566" customFormat="1">
      <c r="T19998" s="41"/>
    </row>
    <row r="19999" spans="20:20" s="566" customFormat="1">
      <c r="T19999" s="41"/>
    </row>
    <row r="20000" spans="20:20" s="566" customFormat="1">
      <c r="T20000" s="41"/>
    </row>
    <row r="20001" spans="20:20" s="566" customFormat="1">
      <c r="T20001" s="41"/>
    </row>
    <row r="20002" spans="20:20" s="566" customFormat="1">
      <c r="T20002" s="41"/>
    </row>
    <row r="20003" spans="20:20" s="566" customFormat="1">
      <c r="T20003" s="41"/>
    </row>
    <row r="20004" spans="20:20" s="566" customFormat="1">
      <c r="T20004" s="41"/>
    </row>
    <row r="20005" spans="20:20" s="566" customFormat="1">
      <c r="T20005" s="41"/>
    </row>
    <row r="20006" spans="20:20" s="566" customFormat="1">
      <c r="T20006" s="41"/>
    </row>
    <row r="20007" spans="20:20" s="566" customFormat="1">
      <c r="T20007" s="41"/>
    </row>
    <row r="20008" spans="20:20" s="566" customFormat="1">
      <c r="T20008" s="41"/>
    </row>
    <row r="20009" spans="20:20" s="566" customFormat="1">
      <c r="T20009" s="41"/>
    </row>
    <row r="20010" spans="20:20" s="566" customFormat="1">
      <c r="T20010" s="41"/>
    </row>
    <row r="20011" spans="20:20" s="566" customFormat="1">
      <c r="T20011" s="41"/>
    </row>
    <row r="20012" spans="20:20" s="566" customFormat="1">
      <c r="T20012" s="41"/>
    </row>
    <row r="20013" spans="20:20" s="566" customFormat="1">
      <c r="T20013" s="41"/>
    </row>
    <row r="20014" spans="20:20" s="566" customFormat="1">
      <c r="T20014" s="41"/>
    </row>
    <row r="20015" spans="20:20" s="566" customFormat="1">
      <c r="T20015" s="41"/>
    </row>
    <row r="20016" spans="20:20" s="566" customFormat="1">
      <c r="T20016" s="41"/>
    </row>
    <row r="20017" spans="20:20" s="566" customFormat="1">
      <c r="T20017" s="41"/>
    </row>
    <row r="20018" spans="20:20" s="566" customFormat="1">
      <c r="T20018" s="41"/>
    </row>
    <row r="20019" spans="20:20" s="566" customFormat="1">
      <c r="T20019" s="41"/>
    </row>
    <row r="20020" spans="20:20" s="566" customFormat="1">
      <c r="T20020" s="41"/>
    </row>
    <row r="20021" spans="20:20" s="566" customFormat="1">
      <c r="T20021" s="41"/>
    </row>
    <row r="20022" spans="20:20" s="566" customFormat="1">
      <c r="T20022" s="41"/>
    </row>
    <row r="20023" spans="20:20" s="566" customFormat="1">
      <c r="T20023" s="41"/>
    </row>
    <row r="20024" spans="20:20" s="566" customFormat="1">
      <c r="T20024" s="41"/>
    </row>
    <row r="20025" spans="20:20" s="566" customFormat="1">
      <c r="T20025" s="41"/>
    </row>
    <row r="20026" spans="20:20" s="566" customFormat="1">
      <c r="T20026" s="41"/>
    </row>
    <row r="20027" spans="20:20" s="566" customFormat="1">
      <c r="T20027" s="41"/>
    </row>
    <row r="20028" spans="20:20" s="566" customFormat="1">
      <c r="T20028" s="41"/>
    </row>
    <row r="20029" spans="20:20" s="566" customFormat="1">
      <c r="T20029" s="41"/>
    </row>
    <row r="20030" spans="20:20" s="566" customFormat="1">
      <c r="T20030" s="41"/>
    </row>
    <row r="20031" spans="20:20" s="566" customFormat="1">
      <c r="T20031" s="41"/>
    </row>
    <row r="20032" spans="20:20" s="566" customFormat="1">
      <c r="T20032" s="41"/>
    </row>
    <row r="20033" spans="20:20" s="566" customFormat="1">
      <c r="T20033" s="41"/>
    </row>
    <row r="20034" spans="20:20" s="566" customFormat="1">
      <c r="T20034" s="41"/>
    </row>
    <row r="20035" spans="20:20" s="566" customFormat="1">
      <c r="T20035" s="41"/>
    </row>
    <row r="20036" spans="20:20" s="566" customFormat="1">
      <c r="T20036" s="41"/>
    </row>
    <row r="20037" spans="20:20" s="566" customFormat="1">
      <c r="T20037" s="41"/>
    </row>
    <row r="20038" spans="20:20" s="566" customFormat="1">
      <c r="T20038" s="41"/>
    </row>
    <row r="20039" spans="20:20" s="566" customFormat="1">
      <c r="T20039" s="41"/>
    </row>
    <row r="20040" spans="20:20" s="566" customFormat="1">
      <c r="T20040" s="41"/>
    </row>
    <row r="20041" spans="20:20" s="566" customFormat="1">
      <c r="T20041" s="41"/>
    </row>
    <row r="20042" spans="20:20" s="566" customFormat="1">
      <c r="T20042" s="41"/>
    </row>
    <row r="20043" spans="20:20" s="566" customFormat="1">
      <c r="T20043" s="41"/>
    </row>
    <row r="20044" spans="20:20" s="566" customFormat="1">
      <c r="T20044" s="41"/>
    </row>
    <row r="20045" spans="20:20" s="566" customFormat="1">
      <c r="T20045" s="41"/>
    </row>
    <row r="20046" spans="20:20" s="566" customFormat="1">
      <c r="T20046" s="41"/>
    </row>
    <row r="20047" spans="20:20" s="566" customFormat="1">
      <c r="T20047" s="41"/>
    </row>
    <row r="20048" spans="20:20" s="566" customFormat="1">
      <c r="T20048" s="41"/>
    </row>
    <row r="20049" spans="20:20" s="566" customFormat="1">
      <c r="T20049" s="41"/>
    </row>
    <row r="20050" spans="20:20" s="566" customFormat="1">
      <c r="T20050" s="41"/>
    </row>
    <row r="20051" spans="20:20" s="566" customFormat="1">
      <c r="T20051" s="41"/>
    </row>
    <row r="20052" spans="20:20" s="566" customFormat="1">
      <c r="T20052" s="41"/>
    </row>
    <row r="20053" spans="20:20" s="566" customFormat="1">
      <c r="T20053" s="41"/>
    </row>
    <row r="20054" spans="20:20" s="566" customFormat="1">
      <c r="T20054" s="41"/>
    </row>
    <row r="20055" spans="20:20" s="566" customFormat="1">
      <c r="T20055" s="41"/>
    </row>
    <row r="20056" spans="20:20" s="566" customFormat="1">
      <c r="T20056" s="41"/>
    </row>
    <row r="20057" spans="20:20" s="566" customFormat="1">
      <c r="T20057" s="41"/>
    </row>
    <row r="20058" spans="20:20" s="566" customFormat="1">
      <c r="T20058" s="41"/>
    </row>
    <row r="20059" spans="20:20" s="566" customFormat="1">
      <c r="T20059" s="41"/>
    </row>
    <row r="20060" spans="20:20" s="566" customFormat="1">
      <c r="T20060" s="41"/>
    </row>
    <row r="20061" spans="20:20" s="566" customFormat="1">
      <c r="T20061" s="41"/>
    </row>
    <row r="20062" spans="20:20" s="566" customFormat="1">
      <c r="T20062" s="41"/>
    </row>
    <row r="20063" spans="20:20" s="566" customFormat="1">
      <c r="T20063" s="41"/>
    </row>
    <row r="20064" spans="20:20" s="566" customFormat="1">
      <c r="T20064" s="41"/>
    </row>
    <row r="20065" spans="20:20" s="566" customFormat="1">
      <c r="T20065" s="41"/>
    </row>
    <row r="20066" spans="20:20" s="566" customFormat="1">
      <c r="T20066" s="41"/>
    </row>
    <row r="20067" spans="20:20" s="566" customFormat="1">
      <c r="T20067" s="41"/>
    </row>
    <row r="20068" spans="20:20" s="566" customFormat="1">
      <c r="T20068" s="41"/>
    </row>
    <row r="20069" spans="20:20" s="566" customFormat="1">
      <c r="T20069" s="41"/>
    </row>
    <row r="20070" spans="20:20" s="566" customFormat="1">
      <c r="T20070" s="41"/>
    </row>
    <row r="20071" spans="20:20" s="566" customFormat="1">
      <c r="T20071" s="41"/>
    </row>
    <row r="20072" spans="20:20" s="566" customFormat="1">
      <c r="T20072" s="41"/>
    </row>
    <row r="20073" spans="20:20" s="566" customFormat="1">
      <c r="T20073" s="41"/>
    </row>
    <row r="20074" spans="20:20" s="566" customFormat="1">
      <c r="T20074" s="41"/>
    </row>
    <row r="20075" spans="20:20" s="566" customFormat="1">
      <c r="T20075" s="41"/>
    </row>
    <row r="20076" spans="20:20" s="566" customFormat="1">
      <c r="T20076" s="41"/>
    </row>
    <row r="20077" spans="20:20" s="566" customFormat="1">
      <c r="T20077" s="41"/>
    </row>
    <row r="20078" spans="20:20" s="566" customFormat="1">
      <c r="T20078" s="41"/>
    </row>
    <row r="20079" spans="20:20" s="566" customFormat="1">
      <c r="T20079" s="41"/>
    </row>
    <row r="20080" spans="20:20" s="566" customFormat="1">
      <c r="T20080" s="41"/>
    </row>
    <row r="20081" spans="20:20" s="566" customFormat="1">
      <c r="T20081" s="41"/>
    </row>
    <row r="20082" spans="20:20" s="566" customFormat="1">
      <c r="T20082" s="41"/>
    </row>
    <row r="20083" spans="20:20" s="566" customFormat="1">
      <c r="T20083" s="41"/>
    </row>
    <row r="20084" spans="20:20" s="566" customFormat="1">
      <c r="T20084" s="41"/>
    </row>
    <row r="20085" spans="20:20" s="566" customFormat="1">
      <c r="T20085" s="41"/>
    </row>
    <row r="20086" spans="20:20" s="566" customFormat="1">
      <c r="T20086" s="41"/>
    </row>
    <row r="20087" spans="20:20" s="566" customFormat="1">
      <c r="T20087" s="41"/>
    </row>
    <row r="20088" spans="20:20" s="566" customFormat="1">
      <c r="T20088" s="41"/>
    </row>
    <row r="20089" spans="20:20" s="566" customFormat="1">
      <c r="T20089" s="41"/>
    </row>
    <row r="20090" spans="20:20" s="566" customFormat="1">
      <c r="T20090" s="41"/>
    </row>
    <row r="20091" spans="20:20" s="566" customFormat="1">
      <c r="T20091" s="41"/>
    </row>
    <row r="20092" spans="20:20" s="566" customFormat="1">
      <c r="T20092" s="41"/>
    </row>
    <row r="20093" spans="20:20" s="566" customFormat="1">
      <c r="T20093" s="41"/>
    </row>
    <row r="20094" spans="20:20" s="566" customFormat="1">
      <c r="T20094" s="41"/>
    </row>
    <row r="20095" spans="20:20" s="566" customFormat="1">
      <c r="T20095" s="41"/>
    </row>
    <row r="20096" spans="20:20" s="566" customFormat="1">
      <c r="T20096" s="41"/>
    </row>
    <row r="20097" spans="20:20" s="566" customFormat="1">
      <c r="T20097" s="41"/>
    </row>
    <row r="20098" spans="20:20" s="566" customFormat="1">
      <c r="T20098" s="41"/>
    </row>
    <row r="20099" spans="20:20" s="566" customFormat="1">
      <c r="T20099" s="41"/>
    </row>
    <row r="20100" spans="20:20" s="566" customFormat="1">
      <c r="T20100" s="41"/>
    </row>
    <row r="20101" spans="20:20" s="566" customFormat="1">
      <c r="T20101" s="41"/>
    </row>
    <row r="20102" spans="20:20" s="566" customFormat="1">
      <c r="T20102" s="41"/>
    </row>
    <row r="20103" spans="20:20" s="566" customFormat="1">
      <c r="T20103" s="41"/>
    </row>
    <row r="20104" spans="20:20" s="566" customFormat="1">
      <c r="T20104" s="41"/>
    </row>
    <row r="20105" spans="20:20" s="566" customFormat="1">
      <c r="T20105" s="41"/>
    </row>
    <row r="20106" spans="20:20" s="566" customFormat="1">
      <c r="T20106" s="41"/>
    </row>
    <row r="20107" spans="20:20" s="566" customFormat="1">
      <c r="T20107" s="41"/>
    </row>
    <row r="20108" spans="20:20" s="566" customFormat="1">
      <c r="T20108" s="41"/>
    </row>
    <row r="20109" spans="20:20" s="566" customFormat="1">
      <c r="T20109" s="41"/>
    </row>
    <row r="20110" spans="20:20" s="566" customFormat="1">
      <c r="T20110" s="41"/>
    </row>
    <row r="20111" spans="20:20" s="566" customFormat="1">
      <c r="T20111" s="41"/>
    </row>
    <row r="20112" spans="20:20" s="566" customFormat="1">
      <c r="T20112" s="41"/>
    </row>
    <row r="20113" spans="20:20" s="566" customFormat="1">
      <c r="T20113" s="41"/>
    </row>
    <row r="20114" spans="20:20" s="566" customFormat="1">
      <c r="T20114" s="41"/>
    </row>
    <row r="20115" spans="20:20" s="566" customFormat="1">
      <c r="T20115" s="41"/>
    </row>
    <row r="20116" spans="20:20" s="566" customFormat="1">
      <c r="T20116" s="41"/>
    </row>
    <row r="20117" spans="20:20" s="566" customFormat="1">
      <c r="T20117" s="41"/>
    </row>
    <row r="20118" spans="20:20" s="566" customFormat="1">
      <c r="T20118" s="41"/>
    </row>
    <row r="20119" spans="20:20" s="566" customFormat="1">
      <c r="T20119" s="41"/>
    </row>
    <row r="20120" spans="20:20" s="566" customFormat="1">
      <c r="T20120" s="41"/>
    </row>
    <row r="20121" spans="20:20" s="566" customFormat="1">
      <c r="T20121" s="41"/>
    </row>
    <row r="20122" spans="20:20" s="566" customFormat="1">
      <c r="T20122" s="41"/>
    </row>
    <row r="20123" spans="20:20" s="566" customFormat="1">
      <c r="T20123" s="41"/>
    </row>
    <row r="20124" spans="20:20" s="566" customFormat="1">
      <c r="T20124" s="41"/>
    </row>
    <row r="20125" spans="20:20" s="566" customFormat="1">
      <c r="T20125" s="41"/>
    </row>
    <row r="20126" spans="20:20" s="566" customFormat="1">
      <c r="T20126" s="41"/>
    </row>
    <row r="20127" spans="20:20" s="566" customFormat="1">
      <c r="T20127" s="41"/>
    </row>
    <row r="20128" spans="20:20" s="566" customFormat="1">
      <c r="T20128" s="41"/>
    </row>
    <row r="20129" spans="20:20" s="566" customFormat="1">
      <c r="T20129" s="41"/>
    </row>
    <row r="20130" spans="20:20" s="566" customFormat="1">
      <c r="T20130" s="41"/>
    </row>
    <row r="20131" spans="20:20" s="566" customFormat="1">
      <c r="T20131" s="41"/>
    </row>
    <row r="20132" spans="20:20" s="566" customFormat="1">
      <c r="T20132" s="41"/>
    </row>
    <row r="20133" spans="20:20" s="566" customFormat="1">
      <c r="T20133" s="41"/>
    </row>
    <row r="20134" spans="20:20" s="566" customFormat="1">
      <c r="T20134" s="41"/>
    </row>
    <row r="20135" spans="20:20" s="566" customFormat="1">
      <c r="T20135" s="41"/>
    </row>
    <row r="20136" spans="20:20" s="566" customFormat="1">
      <c r="T20136" s="41"/>
    </row>
    <row r="20137" spans="20:20" s="566" customFormat="1">
      <c r="T20137" s="41"/>
    </row>
    <row r="20138" spans="20:20" s="566" customFormat="1">
      <c r="T20138" s="41"/>
    </row>
    <row r="20139" spans="20:20" s="566" customFormat="1">
      <c r="T20139" s="41"/>
    </row>
    <row r="20140" spans="20:20" s="566" customFormat="1">
      <c r="T20140" s="41"/>
    </row>
    <row r="20141" spans="20:20" s="566" customFormat="1">
      <c r="T20141" s="41"/>
    </row>
    <row r="20142" spans="20:20" s="566" customFormat="1">
      <c r="T20142" s="41"/>
    </row>
    <row r="20143" spans="20:20" s="566" customFormat="1">
      <c r="T20143" s="41"/>
    </row>
    <row r="20144" spans="20:20" s="566" customFormat="1">
      <c r="T20144" s="41"/>
    </row>
    <row r="20145" spans="20:20" s="566" customFormat="1">
      <c r="T20145" s="41"/>
    </row>
    <row r="20146" spans="20:20" s="566" customFormat="1">
      <c r="T20146" s="41"/>
    </row>
    <row r="20147" spans="20:20" s="566" customFormat="1">
      <c r="T20147" s="41"/>
    </row>
    <row r="20148" spans="20:20" s="566" customFormat="1">
      <c r="T20148" s="41"/>
    </row>
    <row r="20149" spans="20:20" s="566" customFormat="1">
      <c r="T20149" s="41"/>
    </row>
    <row r="20150" spans="20:20" s="566" customFormat="1">
      <c r="T20150" s="41"/>
    </row>
    <row r="20151" spans="20:20" s="566" customFormat="1">
      <c r="T20151" s="41"/>
    </row>
    <row r="20152" spans="20:20" s="566" customFormat="1">
      <c r="T20152" s="41"/>
    </row>
    <row r="20153" spans="20:20" s="566" customFormat="1">
      <c r="T20153" s="41"/>
    </row>
    <row r="20154" spans="20:20" s="566" customFormat="1">
      <c r="T20154" s="41"/>
    </row>
    <row r="20155" spans="20:20" s="566" customFormat="1">
      <c r="T20155" s="41"/>
    </row>
    <row r="20156" spans="20:20" s="566" customFormat="1">
      <c r="T20156" s="41"/>
    </row>
    <row r="20157" spans="20:20" s="566" customFormat="1">
      <c r="T20157" s="41"/>
    </row>
    <row r="20158" spans="20:20" s="566" customFormat="1">
      <c r="T20158" s="41"/>
    </row>
    <row r="20159" spans="20:20" s="566" customFormat="1">
      <c r="T20159" s="41"/>
    </row>
    <row r="20160" spans="20:20" s="566" customFormat="1">
      <c r="T20160" s="41"/>
    </row>
    <row r="20161" spans="20:20" s="566" customFormat="1">
      <c r="T20161" s="41"/>
    </row>
    <row r="20162" spans="20:20" s="566" customFormat="1">
      <c r="T20162" s="41"/>
    </row>
    <row r="20163" spans="20:20" s="566" customFormat="1">
      <c r="T20163" s="41"/>
    </row>
    <row r="20164" spans="20:20" s="566" customFormat="1">
      <c r="T20164" s="41"/>
    </row>
    <row r="20165" spans="20:20" s="566" customFormat="1">
      <c r="T20165" s="41"/>
    </row>
    <row r="20166" spans="20:20" s="566" customFormat="1">
      <c r="T20166" s="41"/>
    </row>
    <row r="20167" spans="20:20" s="566" customFormat="1">
      <c r="T20167" s="41"/>
    </row>
    <row r="20168" spans="20:20" s="566" customFormat="1">
      <c r="T20168" s="41"/>
    </row>
    <row r="20169" spans="20:20" s="566" customFormat="1">
      <c r="T20169" s="41"/>
    </row>
    <row r="20170" spans="20:20" s="566" customFormat="1">
      <c r="T20170" s="41"/>
    </row>
    <row r="20171" spans="20:20" s="566" customFormat="1">
      <c r="T20171" s="41"/>
    </row>
    <row r="20172" spans="20:20" s="566" customFormat="1">
      <c r="T20172" s="41"/>
    </row>
    <row r="20173" spans="20:20" s="566" customFormat="1">
      <c r="T20173" s="41"/>
    </row>
    <row r="20174" spans="20:20" s="566" customFormat="1">
      <c r="T20174" s="41"/>
    </row>
    <row r="20175" spans="20:20" s="566" customFormat="1">
      <c r="T20175" s="41"/>
    </row>
    <row r="20176" spans="20:20" s="566" customFormat="1">
      <c r="T20176" s="41"/>
    </row>
    <row r="20177" spans="20:20" s="566" customFormat="1">
      <c r="T20177" s="41"/>
    </row>
    <row r="20178" spans="20:20" s="566" customFormat="1">
      <c r="T20178" s="41"/>
    </row>
    <row r="20179" spans="20:20" s="566" customFormat="1">
      <c r="T20179" s="41"/>
    </row>
    <row r="20180" spans="20:20" s="566" customFormat="1">
      <c r="T20180" s="41"/>
    </row>
    <row r="20181" spans="20:20" s="566" customFormat="1">
      <c r="T20181" s="41"/>
    </row>
    <row r="20182" spans="20:20" s="566" customFormat="1">
      <c r="T20182" s="41"/>
    </row>
    <row r="20183" spans="20:20" s="566" customFormat="1">
      <c r="T20183" s="41"/>
    </row>
    <row r="20184" spans="20:20" s="566" customFormat="1">
      <c r="T20184" s="41"/>
    </row>
    <row r="20185" spans="20:20" s="566" customFormat="1">
      <c r="T20185" s="41"/>
    </row>
    <row r="20186" spans="20:20" s="566" customFormat="1">
      <c r="T20186" s="41"/>
    </row>
    <row r="20187" spans="20:20" s="566" customFormat="1">
      <c r="T20187" s="41"/>
    </row>
    <row r="20188" spans="20:20" s="566" customFormat="1">
      <c r="T20188" s="41"/>
    </row>
    <row r="20189" spans="20:20" s="566" customFormat="1">
      <c r="T20189" s="41"/>
    </row>
    <row r="20190" spans="20:20" s="566" customFormat="1">
      <c r="T20190" s="41"/>
    </row>
    <row r="20191" spans="20:20" s="566" customFormat="1">
      <c r="T20191" s="41"/>
    </row>
    <row r="20192" spans="20:20" s="566" customFormat="1">
      <c r="T20192" s="41"/>
    </row>
    <row r="20193" spans="20:20" s="566" customFormat="1">
      <c r="T20193" s="41"/>
    </row>
    <row r="20194" spans="20:20" s="566" customFormat="1">
      <c r="T20194" s="41"/>
    </row>
    <row r="20195" spans="20:20" s="566" customFormat="1">
      <c r="T20195" s="41"/>
    </row>
    <row r="20196" spans="20:20" s="566" customFormat="1">
      <c r="T20196" s="41"/>
    </row>
    <row r="20197" spans="20:20" s="566" customFormat="1">
      <c r="T20197" s="41"/>
    </row>
    <row r="20198" spans="20:20" s="566" customFormat="1">
      <c r="T20198" s="41"/>
    </row>
    <row r="20199" spans="20:20" s="566" customFormat="1">
      <c r="T20199" s="41"/>
    </row>
    <row r="20200" spans="20:20" s="566" customFormat="1">
      <c r="T20200" s="41"/>
    </row>
    <row r="20201" spans="20:20" s="566" customFormat="1">
      <c r="T20201" s="41"/>
    </row>
    <row r="20202" spans="20:20" s="566" customFormat="1">
      <c r="T20202" s="41"/>
    </row>
    <row r="20203" spans="20:20" s="566" customFormat="1">
      <c r="T20203" s="41"/>
    </row>
    <row r="20204" spans="20:20" s="566" customFormat="1">
      <c r="T20204" s="41"/>
    </row>
    <row r="20205" spans="20:20" s="566" customFormat="1">
      <c r="T20205" s="41"/>
    </row>
    <row r="20206" spans="20:20" s="566" customFormat="1">
      <c r="T20206" s="41"/>
    </row>
    <row r="20207" spans="20:20" s="566" customFormat="1">
      <c r="T20207" s="41"/>
    </row>
    <row r="20208" spans="20:20" s="566" customFormat="1">
      <c r="T20208" s="41"/>
    </row>
    <row r="20209" spans="20:20" s="566" customFormat="1">
      <c r="T20209" s="41"/>
    </row>
    <row r="20210" spans="20:20" s="566" customFormat="1">
      <c r="T20210" s="41"/>
    </row>
    <row r="20211" spans="20:20" s="566" customFormat="1">
      <c r="T20211" s="41"/>
    </row>
    <row r="20212" spans="20:20" s="566" customFormat="1">
      <c r="T20212" s="41"/>
    </row>
    <row r="20213" spans="20:20" s="566" customFormat="1">
      <c r="T20213" s="41"/>
    </row>
    <row r="20214" spans="20:20" s="566" customFormat="1">
      <c r="T20214" s="41"/>
    </row>
    <row r="20215" spans="20:20" s="566" customFormat="1">
      <c r="T20215" s="41"/>
    </row>
    <row r="20216" spans="20:20" s="566" customFormat="1">
      <c r="T20216" s="41"/>
    </row>
    <row r="20217" spans="20:20" s="566" customFormat="1">
      <c r="T20217" s="41"/>
    </row>
    <row r="20218" spans="20:20" s="566" customFormat="1">
      <c r="T20218" s="41"/>
    </row>
    <row r="20219" spans="20:20" s="566" customFormat="1">
      <c r="T20219" s="41"/>
    </row>
    <row r="20220" spans="20:20" s="566" customFormat="1">
      <c r="T20220" s="41"/>
    </row>
    <row r="20221" spans="20:20" s="566" customFormat="1">
      <c r="T20221" s="41"/>
    </row>
    <row r="20222" spans="20:20" s="566" customFormat="1">
      <c r="T20222" s="41"/>
    </row>
    <row r="20223" spans="20:20" s="566" customFormat="1">
      <c r="T20223" s="41"/>
    </row>
    <row r="20224" spans="20:20" s="566" customFormat="1">
      <c r="T20224" s="41"/>
    </row>
    <row r="20225" spans="20:20" s="566" customFormat="1">
      <c r="T20225" s="41"/>
    </row>
    <row r="20226" spans="20:20" s="566" customFormat="1">
      <c r="T20226" s="41"/>
    </row>
    <row r="20227" spans="20:20" s="566" customFormat="1">
      <c r="T20227" s="41"/>
    </row>
    <row r="20228" spans="20:20" s="566" customFormat="1">
      <c r="T20228" s="41"/>
    </row>
    <row r="20229" spans="20:20" s="566" customFormat="1">
      <c r="T20229" s="41"/>
    </row>
    <row r="20230" spans="20:20" s="566" customFormat="1">
      <c r="T20230" s="41"/>
    </row>
    <row r="20231" spans="20:20" s="566" customFormat="1">
      <c r="T20231" s="41"/>
    </row>
    <row r="20232" spans="20:20" s="566" customFormat="1">
      <c r="T20232" s="41"/>
    </row>
    <row r="20233" spans="20:20" s="566" customFormat="1">
      <c r="T20233" s="41"/>
    </row>
    <row r="20234" spans="20:20" s="566" customFormat="1">
      <c r="T20234" s="41"/>
    </row>
    <row r="20235" spans="20:20" s="566" customFormat="1">
      <c r="T20235" s="41"/>
    </row>
    <row r="20236" spans="20:20" s="566" customFormat="1">
      <c r="T20236" s="41"/>
    </row>
    <row r="20237" spans="20:20" s="566" customFormat="1">
      <c r="T20237" s="41"/>
    </row>
    <row r="20238" spans="20:20" s="566" customFormat="1">
      <c r="T20238" s="41"/>
    </row>
    <row r="20239" spans="20:20" s="566" customFormat="1">
      <c r="T20239" s="41"/>
    </row>
    <row r="20240" spans="20:20" s="566" customFormat="1">
      <c r="T20240" s="41"/>
    </row>
    <row r="20241" spans="20:20" s="566" customFormat="1">
      <c r="T20241" s="41"/>
    </row>
    <row r="20242" spans="20:20" s="566" customFormat="1">
      <c r="T20242" s="41"/>
    </row>
    <row r="20243" spans="20:20" s="566" customFormat="1">
      <c r="T20243" s="41"/>
    </row>
    <row r="20244" spans="20:20" s="566" customFormat="1">
      <c r="T20244" s="41"/>
    </row>
    <row r="20245" spans="20:20" s="566" customFormat="1">
      <c r="T20245" s="41"/>
    </row>
    <row r="20246" spans="20:20" s="566" customFormat="1">
      <c r="T20246" s="41"/>
    </row>
    <row r="20247" spans="20:20" s="566" customFormat="1">
      <c r="T20247" s="41"/>
    </row>
    <row r="20248" spans="20:20" s="566" customFormat="1">
      <c r="T20248" s="41"/>
    </row>
    <row r="20249" spans="20:20" s="566" customFormat="1">
      <c r="T20249" s="41"/>
    </row>
    <row r="20250" spans="20:20" s="566" customFormat="1">
      <c r="T20250" s="41"/>
    </row>
    <row r="20251" spans="20:20" s="566" customFormat="1">
      <c r="T20251" s="41"/>
    </row>
    <row r="20252" spans="20:20" s="566" customFormat="1">
      <c r="T20252" s="41"/>
    </row>
    <row r="20253" spans="20:20" s="566" customFormat="1">
      <c r="T20253" s="41"/>
    </row>
    <row r="20254" spans="20:20" s="566" customFormat="1">
      <c r="T20254" s="41"/>
    </row>
    <row r="20255" spans="20:20" s="566" customFormat="1">
      <c r="T20255" s="41"/>
    </row>
    <row r="20256" spans="20:20" s="566" customFormat="1">
      <c r="T20256" s="41"/>
    </row>
    <row r="20257" spans="20:20" s="566" customFormat="1">
      <c r="T20257" s="41"/>
    </row>
    <row r="20258" spans="20:20" s="566" customFormat="1">
      <c r="T20258" s="41"/>
    </row>
    <row r="20259" spans="20:20" s="566" customFormat="1">
      <c r="T20259" s="41"/>
    </row>
    <row r="20260" spans="20:20" s="566" customFormat="1">
      <c r="T20260" s="41"/>
    </row>
    <row r="20261" spans="20:20" s="566" customFormat="1">
      <c r="T20261" s="41"/>
    </row>
    <row r="20262" spans="20:20" s="566" customFormat="1">
      <c r="T20262" s="41"/>
    </row>
    <row r="20263" spans="20:20" s="566" customFormat="1">
      <c r="T20263" s="41"/>
    </row>
    <row r="20264" spans="20:20" s="566" customFormat="1">
      <c r="T20264" s="41"/>
    </row>
    <row r="20265" spans="20:20" s="566" customFormat="1">
      <c r="T20265" s="41"/>
    </row>
    <row r="20266" spans="20:20" s="566" customFormat="1">
      <c r="T20266" s="41"/>
    </row>
    <row r="20267" spans="20:20" s="566" customFormat="1">
      <c r="T20267" s="41"/>
    </row>
    <row r="20268" spans="20:20" s="566" customFormat="1">
      <c r="T20268" s="41"/>
    </row>
    <row r="20269" spans="20:20" s="566" customFormat="1">
      <c r="T20269" s="41"/>
    </row>
    <row r="20270" spans="20:20" s="566" customFormat="1">
      <c r="T20270" s="41"/>
    </row>
    <row r="20271" spans="20:20" s="566" customFormat="1">
      <c r="T20271" s="41"/>
    </row>
    <row r="20272" spans="20:20" s="566" customFormat="1">
      <c r="T20272" s="41"/>
    </row>
    <row r="20273" spans="20:20" s="566" customFormat="1">
      <c r="T20273" s="41"/>
    </row>
    <row r="20274" spans="20:20" s="566" customFormat="1">
      <c r="T20274" s="41"/>
    </row>
    <row r="20275" spans="20:20" s="566" customFormat="1">
      <c r="T20275" s="41"/>
    </row>
    <row r="20276" spans="20:20" s="566" customFormat="1">
      <c r="T20276" s="41"/>
    </row>
    <row r="20277" spans="20:20" s="566" customFormat="1">
      <c r="T20277" s="41"/>
    </row>
    <row r="20278" spans="20:20" s="566" customFormat="1">
      <c r="T20278" s="41"/>
    </row>
    <row r="20279" spans="20:20" s="566" customFormat="1">
      <c r="T20279" s="41"/>
    </row>
    <row r="20280" spans="20:20" s="566" customFormat="1">
      <c r="T20280" s="41"/>
    </row>
    <row r="20281" spans="20:20" s="566" customFormat="1">
      <c r="T20281" s="41"/>
    </row>
    <row r="20282" spans="20:20" s="566" customFormat="1">
      <c r="T20282" s="41"/>
    </row>
    <row r="20283" spans="20:20" s="566" customFormat="1">
      <c r="T20283" s="41"/>
    </row>
    <row r="20284" spans="20:20" s="566" customFormat="1">
      <c r="T20284" s="41"/>
    </row>
    <row r="20285" spans="20:20" s="566" customFormat="1">
      <c r="T20285" s="41"/>
    </row>
    <row r="20286" spans="20:20" s="566" customFormat="1">
      <c r="T20286" s="41"/>
    </row>
    <row r="20287" spans="20:20" s="566" customFormat="1">
      <c r="T20287" s="41"/>
    </row>
    <row r="20288" spans="20:20" s="566" customFormat="1">
      <c r="T20288" s="41"/>
    </row>
    <row r="20289" spans="20:20" s="566" customFormat="1">
      <c r="T20289" s="41"/>
    </row>
    <row r="20290" spans="20:20" s="566" customFormat="1">
      <c r="T20290" s="41"/>
    </row>
    <row r="20291" spans="20:20" s="566" customFormat="1">
      <c r="T20291" s="41"/>
    </row>
    <row r="20292" spans="20:20" s="566" customFormat="1">
      <c r="T20292" s="41"/>
    </row>
    <row r="20293" spans="20:20" s="566" customFormat="1">
      <c r="T20293" s="41"/>
    </row>
    <row r="20294" spans="20:20" s="566" customFormat="1">
      <c r="T20294" s="41"/>
    </row>
    <row r="20295" spans="20:20" s="566" customFormat="1">
      <c r="T20295" s="41"/>
    </row>
    <row r="20296" spans="20:20" s="566" customFormat="1">
      <c r="T20296" s="41"/>
    </row>
    <row r="20297" spans="20:20" s="566" customFormat="1">
      <c r="T20297" s="41"/>
    </row>
    <row r="20298" spans="20:20" s="566" customFormat="1">
      <c r="T20298" s="41"/>
    </row>
    <row r="20299" spans="20:20" s="566" customFormat="1">
      <c r="T20299" s="41"/>
    </row>
    <row r="20300" spans="20:20" s="566" customFormat="1">
      <c r="T20300" s="41"/>
    </row>
    <row r="20301" spans="20:20" s="566" customFormat="1">
      <c r="T20301" s="41"/>
    </row>
    <row r="20302" spans="20:20" s="566" customFormat="1">
      <c r="T20302" s="41"/>
    </row>
    <row r="20303" spans="20:20" s="566" customFormat="1">
      <c r="T20303" s="41"/>
    </row>
    <row r="20304" spans="20:20" s="566" customFormat="1">
      <c r="T20304" s="41"/>
    </row>
    <row r="20305" spans="20:20" s="566" customFormat="1">
      <c r="T20305" s="41"/>
    </row>
    <row r="20306" spans="20:20" s="566" customFormat="1">
      <c r="T20306" s="41"/>
    </row>
    <row r="20307" spans="20:20" s="566" customFormat="1">
      <c r="T20307" s="41"/>
    </row>
    <row r="20308" spans="20:20" s="566" customFormat="1">
      <c r="T20308" s="41"/>
    </row>
    <row r="20309" spans="20:20" s="566" customFormat="1">
      <c r="T20309" s="41"/>
    </row>
    <row r="20310" spans="20:20" s="566" customFormat="1">
      <c r="T20310" s="41"/>
    </row>
    <row r="20311" spans="20:20" s="566" customFormat="1">
      <c r="T20311" s="41"/>
    </row>
    <row r="20312" spans="20:20" s="566" customFormat="1">
      <c r="T20312" s="41"/>
    </row>
    <row r="20313" spans="20:20" s="566" customFormat="1">
      <c r="T20313" s="41"/>
    </row>
    <row r="20314" spans="20:20" s="566" customFormat="1">
      <c r="T20314" s="41"/>
    </row>
    <row r="20315" spans="20:20" s="566" customFormat="1">
      <c r="T20315" s="41"/>
    </row>
    <row r="20316" spans="20:20" s="566" customFormat="1">
      <c r="T20316" s="41"/>
    </row>
    <row r="20317" spans="20:20" s="566" customFormat="1">
      <c r="T20317" s="41"/>
    </row>
    <row r="20318" spans="20:20" s="566" customFormat="1">
      <c r="T20318" s="41"/>
    </row>
    <row r="20319" spans="20:20" s="566" customFormat="1">
      <c r="T20319" s="41"/>
    </row>
    <row r="20320" spans="20:20" s="566" customFormat="1">
      <c r="T20320" s="41"/>
    </row>
    <row r="20321" spans="20:20" s="566" customFormat="1">
      <c r="T20321" s="41"/>
    </row>
    <row r="20322" spans="20:20" s="566" customFormat="1">
      <c r="T20322" s="41"/>
    </row>
    <row r="20323" spans="20:20" s="566" customFormat="1">
      <c r="T20323" s="41"/>
    </row>
    <row r="20324" spans="20:20" s="566" customFormat="1">
      <c r="T20324" s="41"/>
    </row>
    <row r="20325" spans="20:20" s="566" customFormat="1">
      <c r="T20325" s="41"/>
    </row>
    <row r="20326" spans="20:20" s="566" customFormat="1">
      <c r="T20326" s="41"/>
    </row>
    <row r="20327" spans="20:20" s="566" customFormat="1">
      <c r="T20327" s="41"/>
    </row>
    <row r="20328" spans="20:20" s="566" customFormat="1">
      <c r="T20328" s="41"/>
    </row>
    <row r="20329" spans="20:20" s="566" customFormat="1">
      <c r="T20329" s="41"/>
    </row>
    <row r="20330" spans="20:20" s="566" customFormat="1">
      <c r="T20330" s="41"/>
    </row>
    <row r="20331" spans="20:20" s="566" customFormat="1">
      <c r="T20331" s="41"/>
    </row>
    <row r="20332" spans="20:20" s="566" customFormat="1">
      <c r="T20332" s="41"/>
    </row>
    <row r="20333" spans="20:20" s="566" customFormat="1">
      <c r="T20333" s="41"/>
    </row>
    <row r="20334" spans="20:20" s="566" customFormat="1">
      <c r="T20334" s="41"/>
    </row>
    <row r="20335" spans="20:20" s="566" customFormat="1">
      <c r="T20335" s="41"/>
    </row>
    <row r="20336" spans="20:20" s="566" customFormat="1">
      <c r="T20336" s="41"/>
    </row>
    <row r="20337" spans="20:20" s="566" customFormat="1">
      <c r="T20337" s="41"/>
    </row>
    <row r="20338" spans="20:20" s="566" customFormat="1">
      <c r="T20338" s="41"/>
    </row>
    <row r="20339" spans="20:20" s="566" customFormat="1">
      <c r="T20339" s="41"/>
    </row>
    <row r="20340" spans="20:20" s="566" customFormat="1">
      <c r="T20340" s="41"/>
    </row>
    <row r="20341" spans="20:20" s="566" customFormat="1">
      <c r="T20341" s="41"/>
    </row>
    <row r="20342" spans="20:20" s="566" customFormat="1">
      <c r="T20342" s="41"/>
    </row>
    <row r="20343" spans="20:20" s="566" customFormat="1">
      <c r="T20343" s="41"/>
    </row>
    <row r="20344" spans="20:20" s="566" customFormat="1">
      <c r="T20344" s="41"/>
    </row>
    <row r="20345" spans="20:20" s="566" customFormat="1">
      <c r="T20345" s="41"/>
    </row>
    <row r="20346" spans="20:20" s="566" customFormat="1">
      <c r="T20346" s="41"/>
    </row>
    <row r="20347" spans="20:20" s="566" customFormat="1">
      <c r="T20347" s="41"/>
    </row>
    <row r="20348" spans="20:20" s="566" customFormat="1">
      <c r="T20348" s="41"/>
    </row>
    <row r="20349" spans="20:20" s="566" customFormat="1">
      <c r="T20349" s="41"/>
    </row>
    <row r="20350" spans="20:20" s="566" customFormat="1">
      <c r="T20350" s="41"/>
    </row>
    <row r="20351" spans="20:20" s="566" customFormat="1">
      <c r="T20351" s="41"/>
    </row>
    <row r="20352" spans="20:20" s="566" customFormat="1">
      <c r="T20352" s="41"/>
    </row>
    <row r="20353" spans="20:20" s="566" customFormat="1">
      <c r="T20353" s="41"/>
    </row>
    <row r="20354" spans="20:20" s="566" customFormat="1">
      <c r="T20354" s="41"/>
    </row>
    <row r="20355" spans="20:20" s="566" customFormat="1">
      <c r="T20355" s="41"/>
    </row>
    <row r="20356" spans="20:20" s="566" customFormat="1">
      <c r="T20356" s="41"/>
    </row>
    <row r="20357" spans="20:20" s="566" customFormat="1">
      <c r="T20357" s="41"/>
    </row>
    <row r="20358" spans="20:20" s="566" customFormat="1">
      <c r="T20358" s="41"/>
    </row>
    <row r="20359" spans="20:20" s="566" customFormat="1">
      <c r="T20359" s="41"/>
    </row>
    <row r="20360" spans="20:20" s="566" customFormat="1">
      <c r="T20360" s="41"/>
    </row>
    <row r="20361" spans="20:20" s="566" customFormat="1">
      <c r="T20361" s="41"/>
    </row>
    <row r="20362" spans="20:20" s="566" customFormat="1">
      <c r="T20362" s="41"/>
    </row>
    <row r="20363" spans="20:20" s="566" customFormat="1">
      <c r="T20363" s="41"/>
    </row>
    <row r="20364" spans="20:20" s="566" customFormat="1">
      <c r="T20364" s="41"/>
    </row>
    <row r="20365" spans="20:20" s="566" customFormat="1">
      <c r="T20365" s="41"/>
    </row>
    <row r="20366" spans="20:20" s="566" customFormat="1">
      <c r="T20366" s="41"/>
    </row>
    <row r="20367" spans="20:20" s="566" customFormat="1">
      <c r="T20367" s="41"/>
    </row>
    <row r="20368" spans="20:20" s="566" customFormat="1">
      <c r="T20368" s="41"/>
    </row>
    <row r="20369" spans="20:20" s="566" customFormat="1">
      <c r="T20369" s="41"/>
    </row>
    <row r="20370" spans="20:20" s="566" customFormat="1">
      <c r="T20370" s="41"/>
    </row>
    <row r="20371" spans="20:20" s="566" customFormat="1">
      <c r="T20371" s="41"/>
    </row>
    <row r="20372" spans="20:20" s="566" customFormat="1">
      <c r="T20372" s="41"/>
    </row>
    <row r="20373" spans="20:20" s="566" customFormat="1">
      <c r="T20373" s="41"/>
    </row>
    <row r="20374" spans="20:20" s="566" customFormat="1">
      <c r="T20374" s="41"/>
    </row>
    <row r="20375" spans="20:20" s="566" customFormat="1">
      <c r="T20375" s="41"/>
    </row>
    <row r="20376" spans="20:20" s="566" customFormat="1">
      <c r="T20376" s="41"/>
    </row>
    <row r="20377" spans="20:20" s="566" customFormat="1">
      <c r="T20377" s="41"/>
    </row>
    <row r="20378" spans="20:20" s="566" customFormat="1">
      <c r="T20378" s="41"/>
    </row>
    <row r="20379" spans="20:20" s="566" customFormat="1">
      <c r="T20379" s="41"/>
    </row>
    <row r="20380" spans="20:20" s="566" customFormat="1">
      <c r="T20380" s="41"/>
    </row>
    <row r="20381" spans="20:20" s="566" customFormat="1">
      <c r="T20381" s="41"/>
    </row>
    <row r="20382" spans="20:20" s="566" customFormat="1">
      <c r="T20382" s="41"/>
    </row>
    <row r="20383" spans="20:20" s="566" customFormat="1">
      <c r="T20383" s="41"/>
    </row>
    <row r="20384" spans="20:20" s="566" customFormat="1">
      <c r="T20384" s="41"/>
    </row>
    <row r="20385" spans="20:20" s="566" customFormat="1">
      <c r="T20385" s="41"/>
    </row>
    <row r="20386" spans="20:20" s="566" customFormat="1">
      <c r="T20386" s="41"/>
    </row>
    <row r="20387" spans="20:20" s="566" customFormat="1">
      <c r="T20387" s="41"/>
    </row>
    <row r="20388" spans="20:20" s="566" customFormat="1">
      <c r="T20388" s="41"/>
    </row>
    <row r="20389" spans="20:20" s="566" customFormat="1">
      <c r="T20389" s="41"/>
    </row>
    <row r="20390" spans="20:20" s="566" customFormat="1">
      <c r="T20390" s="41"/>
    </row>
    <row r="20391" spans="20:20" s="566" customFormat="1">
      <c r="T20391" s="41"/>
    </row>
    <row r="20392" spans="20:20" s="566" customFormat="1">
      <c r="T20392" s="41"/>
    </row>
    <row r="20393" spans="20:20" s="566" customFormat="1">
      <c r="T20393" s="41"/>
    </row>
    <row r="20394" spans="20:20" s="566" customFormat="1">
      <c r="T20394" s="41"/>
    </row>
    <row r="20395" spans="20:20" s="566" customFormat="1">
      <c r="T20395" s="41"/>
    </row>
    <row r="20396" spans="20:20" s="566" customFormat="1">
      <c r="T20396" s="41"/>
    </row>
    <row r="20397" spans="20:20" s="566" customFormat="1">
      <c r="T20397" s="41"/>
    </row>
    <row r="20398" spans="20:20" s="566" customFormat="1">
      <c r="T20398" s="41"/>
    </row>
    <row r="20399" spans="20:20" s="566" customFormat="1">
      <c r="T20399" s="41"/>
    </row>
    <row r="20400" spans="20:20" s="566" customFormat="1">
      <c r="T20400" s="41"/>
    </row>
    <row r="20401" spans="20:20" s="566" customFormat="1">
      <c r="T20401" s="41"/>
    </row>
    <row r="20402" spans="20:20" s="566" customFormat="1">
      <c r="T20402" s="41"/>
    </row>
    <row r="20403" spans="20:20" s="566" customFormat="1">
      <c r="T20403" s="41"/>
    </row>
    <row r="20404" spans="20:20" s="566" customFormat="1">
      <c r="T20404" s="41"/>
    </row>
    <row r="20405" spans="20:20" s="566" customFormat="1">
      <c r="T20405" s="41"/>
    </row>
    <row r="20406" spans="20:20" s="566" customFormat="1">
      <c r="T20406" s="41"/>
    </row>
    <row r="20407" spans="20:20" s="566" customFormat="1">
      <c r="T20407" s="41"/>
    </row>
    <row r="20408" spans="20:20" s="566" customFormat="1">
      <c r="T20408" s="41"/>
    </row>
    <row r="20409" spans="20:20" s="566" customFormat="1">
      <c r="T20409" s="41"/>
    </row>
    <row r="20410" spans="20:20" s="566" customFormat="1">
      <c r="T20410" s="41"/>
    </row>
    <row r="20411" spans="20:20" s="566" customFormat="1">
      <c r="T20411" s="41"/>
    </row>
    <row r="20412" spans="20:20" s="566" customFormat="1">
      <c r="T20412" s="41"/>
    </row>
    <row r="20413" spans="20:20" s="566" customFormat="1">
      <c r="T20413" s="41"/>
    </row>
    <row r="20414" spans="20:20" s="566" customFormat="1">
      <c r="T20414" s="41"/>
    </row>
    <row r="20415" spans="20:20" s="566" customFormat="1">
      <c r="T20415" s="41"/>
    </row>
    <row r="20416" spans="20:20" s="566" customFormat="1">
      <c r="T20416" s="41"/>
    </row>
    <row r="20417" spans="20:20" s="566" customFormat="1">
      <c r="T20417" s="41"/>
    </row>
    <row r="20418" spans="20:20" s="566" customFormat="1">
      <c r="T20418" s="41"/>
    </row>
    <row r="20419" spans="20:20" s="566" customFormat="1">
      <c r="T20419" s="41"/>
    </row>
    <row r="20420" spans="20:20" s="566" customFormat="1">
      <c r="T20420" s="41"/>
    </row>
    <row r="20421" spans="20:20" s="566" customFormat="1">
      <c r="T20421" s="41"/>
    </row>
    <row r="20422" spans="20:20" s="566" customFormat="1">
      <c r="T20422" s="41"/>
    </row>
    <row r="20423" spans="20:20" s="566" customFormat="1">
      <c r="T20423" s="41"/>
    </row>
    <row r="20424" spans="20:20" s="566" customFormat="1">
      <c r="T20424" s="41"/>
    </row>
    <row r="20425" spans="20:20" s="566" customFormat="1">
      <c r="T20425" s="41"/>
    </row>
    <row r="20426" spans="20:20" s="566" customFormat="1">
      <c r="T20426" s="41"/>
    </row>
    <row r="20427" spans="20:20" s="566" customFormat="1">
      <c r="T20427" s="41"/>
    </row>
    <row r="20428" spans="20:20" s="566" customFormat="1">
      <c r="T20428" s="41"/>
    </row>
    <row r="20429" spans="20:20" s="566" customFormat="1">
      <c r="T20429" s="41"/>
    </row>
    <row r="20430" spans="20:20" s="566" customFormat="1">
      <c r="T20430" s="41"/>
    </row>
    <row r="20431" spans="20:20" s="566" customFormat="1">
      <c r="T20431" s="41"/>
    </row>
    <row r="20432" spans="20:20" s="566" customFormat="1">
      <c r="T20432" s="41"/>
    </row>
    <row r="20433" spans="20:20" s="566" customFormat="1">
      <c r="T20433" s="41"/>
    </row>
    <row r="20434" spans="20:20" s="566" customFormat="1">
      <c r="T20434" s="41"/>
    </row>
    <row r="20435" spans="20:20" s="566" customFormat="1">
      <c r="T20435" s="41"/>
    </row>
    <row r="20436" spans="20:20" s="566" customFormat="1">
      <c r="T20436" s="41"/>
    </row>
    <row r="20437" spans="20:20" s="566" customFormat="1">
      <c r="T20437" s="41"/>
    </row>
    <row r="20438" spans="20:20" s="566" customFormat="1">
      <c r="T20438" s="41"/>
    </row>
    <row r="20439" spans="20:20" s="566" customFormat="1">
      <c r="T20439" s="41"/>
    </row>
    <row r="20440" spans="20:20" s="566" customFormat="1">
      <c r="T20440" s="41"/>
    </row>
    <row r="20441" spans="20:20" s="566" customFormat="1">
      <c r="T20441" s="41"/>
    </row>
    <row r="20442" spans="20:20" s="566" customFormat="1">
      <c r="T20442" s="41"/>
    </row>
    <row r="20443" spans="20:20" s="566" customFormat="1">
      <c r="T20443" s="41"/>
    </row>
    <row r="20444" spans="20:20" s="566" customFormat="1">
      <c r="T20444" s="41"/>
    </row>
    <row r="20445" spans="20:20" s="566" customFormat="1">
      <c r="T20445" s="41"/>
    </row>
    <row r="20446" spans="20:20" s="566" customFormat="1">
      <c r="T20446" s="41"/>
    </row>
    <row r="20447" spans="20:20" s="566" customFormat="1">
      <c r="T20447" s="41"/>
    </row>
    <row r="20448" spans="20:20" s="566" customFormat="1">
      <c r="T20448" s="41"/>
    </row>
    <row r="20449" spans="20:20" s="566" customFormat="1">
      <c r="T20449" s="41"/>
    </row>
    <row r="20450" spans="20:20" s="566" customFormat="1">
      <c r="T20450" s="41"/>
    </row>
    <row r="20451" spans="20:20" s="566" customFormat="1">
      <c r="T20451" s="41"/>
    </row>
    <row r="20452" spans="20:20" s="566" customFormat="1">
      <c r="T20452" s="41"/>
    </row>
    <row r="20453" spans="20:20" s="566" customFormat="1">
      <c r="T20453" s="41"/>
    </row>
    <row r="20454" spans="20:20" s="566" customFormat="1">
      <c r="T20454" s="41"/>
    </row>
    <row r="20455" spans="20:20" s="566" customFormat="1">
      <c r="T20455" s="41"/>
    </row>
    <row r="20456" spans="20:20" s="566" customFormat="1">
      <c r="T20456" s="41"/>
    </row>
    <row r="20457" spans="20:20" s="566" customFormat="1">
      <c r="T20457" s="41"/>
    </row>
    <row r="20458" spans="20:20" s="566" customFormat="1">
      <c r="T20458" s="41"/>
    </row>
    <row r="20459" spans="20:20" s="566" customFormat="1">
      <c r="T20459" s="41"/>
    </row>
    <row r="20460" spans="20:20" s="566" customFormat="1">
      <c r="T20460" s="41"/>
    </row>
    <row r="20461" spans="20:20" s="566" customFormat="1">
      <c r="T20461" s="41"/>
    </row>
    <row r="20462" spans="20:20" s="566" customFormat="1">
      <c r="T20462" s="41"/>
    </row>
    <row r="20463" spans="20:20" s="566" customFormat="1">
      <c r="T20463" s="41"/>
    </row>
    <row r="20464" spans="20:20" s="566" customFormat="1">
      <c r="T20464" s="41"/>
    </row>
    <row r="20465" spans="20:20" s="566" customFormat="1">
      <c r="T20465" s="41"/>
    </row>
    <row r="20466" spans="20:20" s="566" customFormat="1">
      <c r="T20466" s="41"/>
    </row>
    <row r="20467" spans="20:20" s="566" customFormat="1">
      <c r="T20467" s="41"/>
    </row>
    <row r="20468" spans="20:20" s="566" customFormat="1">
      <c r="T20468" s="41"/>
    </row>
    <row r="20469" spans="20:20" s="566" customFormat="1">
      <c r="T20469" s="41"/>
    </row>
    <row r="20470" spans="20:20" s="566" customFormat="1">
      <c r="T20470" s="41"/>
    </row>
    <row r="20471" spans="20:20" s="566" customFormat="1">
      <c r="T20471" s="41"/>
    </row>
    <row r="20472" spans="20:20" s="566" customFormat="1">
      <c r="T20472" s="41"/>
    </row>
    <row r="20473" spans="20:20" s="566" customFormat="1">
      <c r="T20473" s="41"/>
    </row>
    <row r="20474" spans="20:20" s="566" customFormat="1">
      <c r="T20474" s="41"/>
    </row>
    <row r="20475" spans="20:20" s="566" customFormat="1">
      <c r="T20475" s="41"/>
    </row>
    <row r="20476" spans="20:20" s="566" customFormat="1">
      <c r="T20476" s="41"/>
    </row>
    <row r="20477" spans="20:20" s="566" customFormat="1">
      <c r="T20477" s="41"/>
    </row>
    <row r="20478" spans="20:20" s="566" customFormat="1">
      <c r="T20478" s="41"/>
    </row>
    <row r="20479" spans="20:20" s="566" customFormat="1">
      <c r="T20479" s="41"/>
    </row>
    <row r="20480" spans="20:20" s="566" customFormat="1">
      <c r="T20480" s="41"/>
    </row>
    <row r="20481" spans="20:20" s="566" customFormat="1">
      <c r="T20481" s="41"/>
    </row>
    <row r="20482" spans="20:20" s="566" customFormat="1">
      <c r="T20482" s="41"/>
    </row>
    <row r="20483" spans="20:20" s="566" customFormat="1">
      <c r="T20483" s="41"/>
    </row>
    <row r="20484" spans="20:20" s="566" customFormat="1">
      <c r="T20484" s="41"/>
    </row>
    <row r="20485" spans="20:20" s="566" customFormat="1">
      <c r="T20485" s="41"/>
    </row>
    <row r="20486" spans="20:20" s="566" customFormat="1">
      <c r="T20486" s="41"/>
    </row>
    <row r="20487" spans="20:20" s="566" customFormat="1">
      <c r="T20487" s="41"/>
    </row>
    <row r="20488" spans="20:20" s="566" customFormat="1">
      <c r="T20488" s="41"/>
    </row>
    <row r="20489" spans="20:20" s="566" customFormat="1">
      <c r="T20489" s="41"/>
    </row>
    <row r="20490" spans="20:20" s="566" customFormat="1">
      <c r="T20490" s="41"/>
    </row>
    <row r="20491" spans="20:20" s="566" customFormat="1">
      <c r="T20491" s="41"/>
    </row>
    <row r="20492" spans="20:20" s="566" customFormat="1">
      <c r="T20492" s="41"/>
    </row>
    <row r="20493" spans="20:20" s="566" customFormat="1">
      <c r="T20493" s="41"/>
    </row>
    <row r="20494" spans="20:20" s="566" customFormat="1">
      <c r="T20494" s="41"/>
    </row>
    <row r="20495" spans="20:20" s="566" customFormat="1">
      <c r="T20495" s="41"/>
    </row>
    <row r="20496" spans="20:20" s="566" customFormat="1">
      <c r="T20496" s="41"/>
    </row>
    <row r="20497" spans="20:20" s="566" customFormat="1">
      <c r="T20497" s="41"/>
    </row>
    <row r="20498" spans="20:20" s="566" customFormat="1">
      <c r="T20498" s="41"/>
    </row>
    <row r="20499" spans="20:20" s="566" customFormat="1">
      <c r="T20499" s="41"/>
    </row>
    <row r="20500" spans="20:20" s="566" customFormat="1">
      <c r="T20500" s="41"/>
    </row>
    <row r="20501" spans="20:20" s="566" customFormat="1">
      <c r="T20501" s="41"/>
    </row>
    <row r="20502" spans="20:20" s="566" customFormat="1">
      <c r="T20502" s="41"/>
    </row>
    <row r="20503" spans="20:20" s="566" customFormat="1">
      <c r="T20503" s="41"/>
    </row>
    <row r="20504" spans="20:20" s="566" customFormat="1">
      <c r="T20504" s="41"/>
    </row>
    <row r="20505" spans="20:20" s="566" customFormat="1">
      <c r="T20505" s="41"/>
    </row>
    <row r="20506" spans="20:20" s="566" customFormat="1">
      <c r="T20506" s="41"/>
    </row>
    <row r="20507" spans="20:20" s="566" customFormat="1">
      <c r="T20507" s="41"/>
    </row>
    <row r="20508" spans="20:20" s="566" customFormat="1">
      <c r="T20508" s="41"/>
    </row>
    <row r="20509" spans="20:20" s="566" customFormat="1">
      <c r="T20509" s="41"/>
    </row>
    <row r="20510" spans="20:20" s="566" customFormat="1">
      <c r="T20510" s="41"/>
    </row>
    <row r="20511" spans="20:20" s="566" customFormat="1">
      <c r="T20511" s="41"/>
    </row>
    <row r="20512" spans="20:20" s="566" customFormat="1">
      <c r="T20512" s="41"/>
    </row>
    <row r="20513" spans="20:20" s="566" customFormat="1">
      <c r="T20513" s="41"/>
    </row>
    <row r="20514" spans="20:20" s="566" customFormat="1">
      <c r="T20514" s="41"/>
    </row>
    <row r="20515" spans="20:20" s="566" customFormat="1">
      <c r="T20515" s="41"/>
    </row>
    <row r="20516" spans="20:20" s="566" customFormat="1">
      <c r="T20516" s="41"/>
    </row>
    <row r="20517" spans="20:20" s="566" customFormat="1">
      <c r="T20517" s="41"/>
    </row>
    <row r="20518" spans="20:20" s="566" customFormat="1">
      <c r="T20518" s="41"/>
    </row>
    <row r="20519" spans="20:20" s="566" customFormat="1">
      <c r="T20519" s="41"/>
    </row>
    <row r="20520" spans="20:20" s="566" customFormat="1">
      <c r="T20520" s="41"/>
    </row>
    <row r="20521" spans="20:20" s="566" customFormat="1">
      <c r="T20521" s="41"/>
    </row>
    <row r="20522" spans="20:20" s="566" customFormat="1">
      <c r="T20522" s="41"/>
    </row>
    <row r="20523" spans="20:20" s="566" customFormat="1">
      <c r="T20523" s="41"/>
    </row>
    <row r="20524" spans="20:20" s="566" customFormat="1">
      <c r="T20524" s="41"/>
    </row>
    <row r="20525" spans="20:20" s="566" customFormat="1">
      <c r="T20525" s="41"/>
    </row>
    <row r="20526" spans="20:20" s="566" customFormat="1">
      <c r="T20526" s="41"/>
    </row>
    <row r="20527" spans="20:20" s="566" customFormat="1">
      <c r="T20527" s="41"/>
    </row>
    <row r="20528" spans="20:20" s="566" customFormat="1">
      <c r="T20528" s="41"/>
    </row>
    <row r="20529" spans="20:20" s="566" customFormat="1">
      <c r="T20529" s="41"/>
    </row>
    <row r="20530" spans="20:20" s="566" customFormat="1">
      <c r="T20530" s="41"/>
    </row>
    <row r="20531" spans="20:20" s="566" customFormat="1">
      <c r="T20531" s="41"/>
    </row>
    <row r="20532" spans="20:20" s="566" customFormat="1">
      <c r="T20532" s="41"/>
    </row>
    <row r="20533" spans="20:20" s="566" customFormat="1">
      <c r="T20533" s="41"/>
    </row>
    <row r="20534" spans="20:20" s="566" customFormat="1">
      <c r="T20534" s="41"/>
    </row>
    <row r="20535" spans="20:20" s="566" customFormat="1">
      <c r="T20535" s="41"/>
    </row>
    <row r="20536" spans="20:20" s="566" customFormat="1">
      <c r="T20536" s="41"/>
    </row>
    <row r="20537" spans="20:20" s="566" customFormat="1">
      <c r="T20537" s="41"/>
    </row>
    <row r="20538" spans="20:20" s="566" customFormat="1">
      <c r="T20538" s="41"/>
    </row>
    <row r="20539" spans="20:20" s="566" customFormat="1">
      <c r="T20539" s="41"/>
    </row>
    <row r="20540" spans="20:20" s="566" customFormat="1">
      <c r="T20540" s="41"/>
    </row>
    <row r="20541" spans="20:20" s="566" customFormat="1">
      <c r="T20541" s="41"/>
    </row>
    <row r="20542" spans="20:20" s="566" customFormat="1">
      <c r="T20542" s="41"/>
    </row>
    <row r="20543" spans="20:20" s="566" customFormat="1">
      <c r="T20543" s="41"/>
    </row>
    <row r="20544" spans="20:20" s="566" customFormat="1">
      <c r="T20544" s="41"/>
    </row>
    <row r="20545" spans="20:20" s="566" customFormat="1">
      <c r="T20545" s="41"/>
    </row>
    <row r="20546" spans="20:20" s="566" customFormat="1">
      <c r="T20546" s="41"/>
    </row>
    <row r="20547" spans="20:20" s="566" customFormat="1">
      <c r="T20547" s="41"/>
    </row>
    <row r="20548" spans="20:20" s="566" customFormat="1">
      <c r="T20548" s="41"/>
    </row>
    <row r="20549" spans="20:20" s="566" customFormat="1">
      <c r="T20549" s="41"/>
    </row>
    <row r="20550" spans="20:20" s="566" customFormat="1">
      <c r="T20550" s="41"/>
    </row>
    <row r="20551" spans="20:20" s="566" customFormat="1">
      <c r="T20551" s="41"/>
    </row>
    <row r="20552" spans="20:20" s="566" customFormat="1">
      <c r="T20552" s="41"/>
    </row>
    <row r="20553" spans="20:20" s="566" customFormat="1">
      <c r="T20553" s="41"/>
    </row>
    <row r="20554" spans="20:20" s="566" customFormat="1">
      <c r="T20554" s="41"/>
    </row>
    <row r="20555" spans="20:20" s="566" customFormat="1">
      <c r="T20555" s="41"/>
    </row>
    <row r="20556" spans="20:20" s="566" customFormat="1">
      <c r="T20556" s="41"/>
    </row>
    <row r="20557" spans="20:20" s="566" customFormat="1">
      <c r="T20557" s="41"/>
    </row>
    <row r="20558" spans="20:20" s="566" customFormat="1">
      <c r="T20558" s="41"/>
    </row>
    <row r="20559" spans="20:20" s="566" customFormat="1">
      <c r="T20559" s="41"/>
    </row>
    <row r="20560" spans="20:20" s="566" customFormat="1">
      <c r="T20560" s="41"/>
    </row>
    <row r="20561" spans="20:20" s="566" customFormat="1">
      <c r="T20561" s="41"/>
    </row>
    <row r="20562" spans="20:20" s="566" customFormat="1">
      <c r="T20562" s="41"/>
    </row>
    <row r="20563" spans="20:20" s="566" customFormat="1">
      <c r="T20563" s="41"/>
    </row>
    <row r="20564" spans="20:20" s="566" customFormat="1">
      <c r="T20564" s="41"/>
    </row>
    <row r="20565" spans="20:20" s="566" customFormat="1">
      <c r="T20565" s="41"/>
    </row>
    <row r="20566" spans="20:20" s="566" customFormat="1">
      <c r="T20566" s="41"/>
    </row>
    <row r="20567" spans="20:20" s="566" customFormat="1">
      <c r="T20567" s="41"/>
    </row>
    <row r="20568" spans="20:20" s="566" customFormat="1">
      <c r="T20568" s="41"/>
    </row>
    <row r="20569" spans="20:20" s="566" customFormat="1">
      <c r="T20569" s="41"/>
    </row>
    <row r="20570" spans="20:20" s="566" customFormat="1">
      <c r="T20570" s="41"/>
    </row>
    <row r="20571" spans="20:20" s="566" customFormat="1">
      <c r="T20571" s="41"/>
    </row>
    <row r="20572" spans="20:20" s="566" customFormat="1">
      <c r="T20572" s="41"/>
    </row>
    <row r="20573" spans="20:20" s="566" customFormat="1">
      <c r="T20573" s="41"/>
    </row>
    <row r="20574" spans="20:20" s="566" customFormat="1">
      <c r="T20574" s="41"/>
    </row>
    <row r="20575" spans="20:20" s="566" customFormat="1">
      <c r="T20575" s="41"/>
    </row>
    <row r="20576" spans="20:20" s="566" customFormat="1">
      <c r="T20576" s="41"/>
    </row>
    <row r="20577" spans="20:20" s="566" customFormat="1">
      <c r="T20577" s="41"/>
    </row>
    <row r="20578" spans="20:20" s="566" customFormat="1">
      <c r="T20578" s="41"/>
    </row>
    <row r="20579" spans="20:20" s="566" customFormat="1">
      <c r="T20579" s="41"/>
    </row>
    <row r="20580" spans="20:20" s="566" customFormat="1">
      <c r="T20580" s="41"/>
    </row>
    <row r="20581" spans="20:20" s="566" customFormat="1">
      <c r="T20581" s="41"/>
    </row>
    <row r="20582" spans="20:20" s="566" customFormat="1">
      <c r="T20582" s="41"/>
    </row>
    <row r="20583" spans="20:20" s="566" customFormat="1">
      <c r="T20583" s="41"/>
    </row>
    <row r="20584" spans="20:20" s="566" customFormat="1">
      <c r="T20584" s="41"/>
    </row>
    <row r="20585" spans="20:20" s="566" customFormat="1">
      <c r="T20585" s="41"/>
    </row>
    <row r="20586" spans="20:20" s="566" customFormat="1">
      <c r="T20586" s="41"/>
    </row>
    <row r="20587" spans="20:20" s="566" customFormat="1">
      <c r="T20587" s="41"/>
    </row>
    <row r="20588" spans="20:20" s="566" customFormat="1">
      <c r="T20588" s="41"/>
    </row>
    <row r="20589" spans="20:20" s="566" customFormat="1">
      <c r="T20589" s="41"/>
    </row>
    <row r="20590" spans="20:20" s="566" customFormat="1">
      <c r="T20590" s="41"/>
    </row>
    <row r="20591" spans="20:20" s="566" customFormat="1">
      <c r="T20591" s="41"/>
    </row>
    <row r="20592" spans="20:20" s="566" customFormat="1">
      <c r="T20592" s="41"/>
    </row>
    <row r="20593" spans="20:20" s="566" customFormat="1">
      <c r="T20593" s="41"/>
    </row>
    <row r="20594" spans="20:20" s="566" customFormat="1">
      <c r="T20594" s="41"/>
    </row>
    <row r="20595" spans="20:20" s="566" customFormat="1">
      <c r="T20595" s="41"/>
    </row>
    <row r="20596" spans="20:20" s="566" customFormat="1">
      <c r="T20596" s="41"/>
    </row>
    <row r="20597" spans="20:20" s="566" customFormat="1">
      <c r="T20597" s="41"/>
    </row>
    <row r="20598" spans="20:20" s="566" customFormat="1">
      <c r="T20598" s="41"/>
    </row>
    <row r="20599" spans="20:20" s="566" customFormat="1">
      <c r="T20599" s="41"/>
    </row>
    <row r="20600" spans="20:20" s="566" customFormat="1">
      <c r="T20600" s="41"/>
    </row>
    <row r="20601" spans="20:20" s="566" customFormat="1">
      <c r="T20601" s="41"/>
    </row>
    <row r="20602" spans="20:20" s="566" customFormat="1">
      <c r="T20602" s="41"/>
    </row>
    <row r="20603" spans="20:20" s="566" customFormat="1">
      <c r="T20603" s="41"/>
    </row>
    <row r="20604" spans="20:20" s="566" customFormat="1">
      <c r="T20604" s="41"/>
    </row>
    <row r="20605" spans="20:20" s="566" customFormat="1">
      <c r="T20605" s="41"/>
    </row>
    <row r="20606" spans="20:20" s="566" customFormat="1">
      <c r="T20606" s="41"/>
    </row>
    <row r="20607" spans="20:20" s="566" customFormat="1">
      <c r="T20607" s="41"/>
    </row>
    <row r="20608" spans="20:20" s="566" customFormat="1">
      <c r="T20608" s="41"/>
    </row>
    <row r="20609" spans="20:20" s="566" customFormat="1">
      <c r="T20609" s="41"/>
    </row>
    <row r="20610" spans="20:20" s="566" customFormat="1">
      <c r="T20610" s="41"/>
    </row>
    <row r="20611" spans="20:20" s="566" customFormat="1">
      <c r="T20611" s="41"/>
    </row>
    <row r="20612" spans="20:20" s="566" customFormat="1">
      <c r="T20612" s="41"/>
    </row>
    <row r="20613" spans="20:20" s="566" customFormat="1">
      <c r="T20613" s="41"/>
    </row>
    <row r="20614" spans="20:20" s="566" customFormat="1">
      <c r="T20614" s="41"/>
    </row>
    <row r="20615" spans="20:20" s="566" customFormat="1">
      <c r="T20615" s="41"/>
    </row>
    <row r="20616" spans="20:20" s="566" customFormat="1">
      <c r="T20616" s="41"/>
    </row>
    <row r="20617" spans="20:20" s="566" customFormat="1">
      <c r="T20617" s="41"/>
    </row>
    <row r="20618" spans="20:20" s="566" customFormat="1">
      <c r="T20618" s="41"/>
    </row>
    <row r="20619" spans="20:20" s="566" customFormat="1">
      <c r="T20619" s="41"/>
    </row>
    <row r="20620" spans="20:20" s="566" customFormat="1">
      <c r="T20620" s="41"/>
    </row>
    <row r="20621" spans="20:20" s="566" customFormat="1">
      <c r="T20621" s="41"/>
    </row>
    <row r="20622" spans="20:20" s="566" customFormat="1">
      <c r="T20622" s="41"/>
    </row>
    <row r="20623" spans="20:20" s="566" customFormat="1">
      <c r="T20623" s="41"/>
    </row>
    <row r="20624" spans="20:20" s="566" customFormat="1">
      <c r="T20624" s="41"/>
    </row>
    <row r="20625" spans="20:20" s="566" customFormat="1">
      <c r="T20625" s="41"/>
    </row>
    <row r="20626" spans="20:20" s="566" customFormat="1">
      <c r="T20626" s="41"/>
    </row>
    <row r="20627" spans="20:20" s="566" customFormat="1">
      <c r="T20627" s="41"/>
    </row>
    <row r="20628" spans="20:20" s="566" customFormat="1">
      <c r="T20628" s="41"/>
    </row>
    <row r="20629" spans="20:20" s="566" customFormat="1">
      <c r="T20629" s="41"/>
    </row>
    <row r="20630" spans="20:20" s="566" customFormat="1">
      <c r="T20630" s="41"/>
    </row>
    <row r="20631" spans="20:20" s="566" customFormat="1">
      <c r="T20631" s="41"/>
    </row>
    <row r="20632" spans="20:20" s="566" customFormat="1">
      <c r="T20632" s="41"/>
    </row>
    <row r="20633" spans="20:20" s="566" customFormat="1">
      <c r="T20633" s="41"/>
    </row>
    <row r="20634" spans="20:20" s="566" customFormat="1">
      <c r="T20634" s="41"/>
    </row>
    <row r="20635" spans="20:20" s="566" customFormat="1">
      <c r="T20635" s="41"/>
    </row>
    <row r="20636" spans="20:20" s="566" customFormat="1">
      <c r="T20636" s="41"/>
    </row>
    <row r="20637" spans="20:20" s="566" customFormat="1">
      <c r="T20637" s="41"/>
    </row>
    <row r="20638" spans="20:20" s="566" customFormat="1">
      <c r="T20638" s="41"/>
    </row>
    <row r="20639" spans="20:20" s="566" customFormat="1">
      <c r="T20639" s="41"/>
    </row>
    <row r="20640" spans="20:20" s="566" customFormat="1">
      <c r="T20640" s="41"/>
    </row>
    <row r="20641" spans="20:20" s="566" customFormat="1">
      <c r="T20641" s="41"/>
    </row>
    <row r="20642" spans="20:20" s="566" customFormat="1">
      <c r="T20642" s="41"/>
    </row>
    <row r="20643" spans="20:20" s="566" customFormat="1">
      <c r="T20643" s="41"/>
    </row>
    <row r="20644" spans="20:20" s="566" customFormat="1">
      <c r="T20644" s="41"/>
    </row>
    <row r="20645" spans="20:20" s="566" customFormat="1">
      <c r="T20645" s="41"/>
    </row>
    <row r="20646" spans="20:20" s="566" customFormat="1">
      <c r="T20646" s="41"/>
    </row>
    <row r="20647" spans="20:20" s="566" customFormat="1">
      <c r="T20647" s="41"/>
    </row>
    <row r="20648" spans="20:20" s="566" customFormat="1">
      <c r="T20648" s="41"/>
    </row>
    <row r="20649" spans="20:20" s="566" customFormat="1">
      <c r="T20649" s="41"/>
    </row>
    <row r="20650" spans="20:20" s="566" customFormat="1">
      <c r="T20650" s="41"/>
    </row>
    <row r="20651" spans="20:20" s="566" customFormat="1">
      <c r="T20651" s="41"/>
    </row>
    <row r="20652" spans="20:20" s="566" customFormat="1">
      <c r="T20652" s="41"/>
    </row>
    <row r="20653" spans="20:20" s="566" customFormat="1">
      <c r="T20653" s="41"/>
    </row>
    <row r="20654" spans="20:20" s="566" customFormat="1">
      <c r="T20654" s="41"/>
    </row>
    <row r="20655" spans="20:20" s="566" customFormat="1">
      <c r="T20655" s="41"/>
    </row>
    <row r="20656" spans="20:20" s="566" customFormat="1">
      <c r="T20656" s="41"/>
    </row>
    <row r="20657" spans="20:20" s="566" customFormat="1">
      <c r="T20657" s="41"/>
    </row>
    <row r="20658" spans="20:20" s="566" customFormat="1">
      <c r="T20658" s="41"/>
    </row>
    <row r="20659" spans="20:20" s="566" customFormat="1">
      <c r="T20659" s="41"/>
    </row>
    <row r="20660" spans="20:20" s="566" customFormat="1">
      <c r="T20660" s="41"/>
    </row>
    <row r="20661" spans="20:20" s="566" customFormat="1">
      <c r="T20661" s="41"/>
    </row>
    <row r="20662" spans="20:20" s="566" customFormat="1">
      <c r="T20662" s="41"/>
    </row>
    <row r="20663" spans="20:20" s="566" customFormat="1">
      <c r="T20663" s="41"/>
    </row>
    <row r="20664" spans="20:20" s="566" customFormat="1">
      <c r="T20664" s="41"/>
    </row>
    <row r="20665" spans="20:20" s="566" customFormat="1">
      <c r="T20665" s="41"/>
    </row>
    <row r="20666" spans="20:20" s="566" customFormat="1">
      <c r="T20666" s="41"/>
    </row>
    <row r="20667" spans="20:20" s="566" customFormat="1">
      <c r="T20667" s="41"/>
    </row>
    <row r="20668" spans="20:20" s="566" customFormat="1">
      <c r="T20668" s="41"/>
    </row>
    <row r="20669" spans="20:20" s="566" customFormat="1">
      <c r="T20669" s="41"/>
    </row>
    <row r="20670" spans="20:20" s="566" customFormat="1">
      <c r="T20670" s="41"/>
    </row>
    <row r="20671" spans="20:20" s="566" customFormat="1">
      <c r="T20671" s="41"/>
    </row>
    <row r="20672" spans="20:20" s="566" customFormat="1">
      <c r="T20672" s="41"/>
    </row>
    <row r="20673" spans="20:20" s="566" customFormat="1">
      <c r="T20673" s="41"/>
    </row>
    <row r="20674" spans="20:20" s="566" customFormat="1">
      <c r="T20674" s="41"/>
    </row>
    <row r="20675" spans="20:20" s="566" customFormat="1">
      <c r="T20675" s="41"/>
    </row>
    <row r="20676" spans="20:20" s="566" customFormat="1">
      <c r="T20676" s="41"/>
    </row>
    <row r="20677" spans="20:20" s="566" customFormat="1">
      <c r="T20677" s="41"/>
    </row>
    <row r="20678" spans="20:20" s="566" customFormat="1">
      <c r="T20678" s="41"/>
    </row>
    <row r="20679" spans="20:20" s="566" customFormat="1">
      <c r="T20679" s="41"/>
    </row>
    <row r="20680" spans="20:20" s="566" customFormat="1">
      <c r="T20680" s="41"/>
    </row>
    <row r="20681" spans="20:20" s="566" customFormat="1">
      <c r="T20681" s="41"/>
    </row>
    <row r="20682" spans="20:20" s="566" customFormat="1">
      <c r="T20682" s="41"/>
    </row>
    <row r="20683" spans="20:20" s="566" customFormat="1">
      <c r="T20683" s="41"/>
    </row>
    <row r="20684" spans="20:20" s="566" customFormat="1">
      <c r="T20684" s="41"/>
    </row>
    <row r="20685" spans="20:20" s="566" customFormat="1">
      <c r="T20685" s="41"/>
    </row>
    <row r="20686" spans="20:20" s="566" customFormat="1">
      <c r="T20686" s="41"/>
    </row>
    <row r="20687" spans="20:20" s="566" customFormat="1">
      <c r="T20687" s="41"/>
    </row>
    <row r="20688" spans="20:20" s="566" customFormat="1">
      <c r="T20688" s="41"/>
    </row>
    <row r="20689" spans="20:20" s="566" customFormat="1">
      <c r="T20689" s="41"/>
    </row>
    <row r="20690" spans="20:20" s="566" customFormat="1">
      <c r="T20690" s="41"/>
    </row>
    <row r="20691" spans="20:20" s="566" customFormat="1">
      <c r="T20691" s="41"/>
    </row>
    <row r="20692" spans="20:20" s="566" customFormat="1">
      <c r="T20692" s="41"/>
    </row>
    <row r="20693" spans="20:20" s="566" customFormat="1">
      <c r="T20693" s="41"/>
    </row>
    <row r="20694" spans="20:20" s="566" customFormat="1">
      <c r="T20694" s="41"/>
    </row>
    <row r="20695" spans="20:20" s="566" customFormat="1">
      <c r="T20695" s="41"/>
    </row>
    <row r="20696" spans="20:20" s="566" customFormat="1">
      <c r="T20696" s="41"/>
    </row>
    <row r="20697" spans="20:20" s="566" customFormat="1">
      <c r="T20697" s="41"/>
    </row>
    <row r="20698" spans="20:20" s="566" customFormat="1">
      <c r="T20698" s="41"/>
    </row>
    <row r="20699" spans="20:20" s="566" customFormat="1">
      <c r="T20699" s="41"/>
    </row>
    <row r="20700" spans="20:20" s="566" customFormat="1">
      <c r="T20700" s="41"/>
    </row>
    <row r="20701" spans="20:20" s="566" customFormat="1">
      <c r="T20701" s="41"/>
    </row>
    <row r="20702" spans="20:20" s="566" customFormat="1">
      <c r="T20702" s="41"/>
    </row>
    <row r="20703" spans="20:20" s="566" customFormat="1">
      <c r="T20703" s="41"/>
    </row>
    <row r="20704" spans="20:20" s="566" customFormat="1">
      <c r="T20704" s="41"/>
    </row>
    <row r="20705" spans="20:20" s="566" customFormat="1">
      <c r="T20705" s="41"/>
    </row>
    <row r="20706" spans="20:20" s="566" customFormat="1">
      <c r="T20706" s="41"/>
    </row>
    <row r="20707" spans="20:20" s="566" customFormat="1">
      <c r="T20707" s="41"/>
    </row>
    <row r="20708" spans="20:20" s="566" customFormat="1">
      <c r="T20708" s="41"/>
    </row>
    <row r="20709" spans="20:20" s="566" customFormat="1">
      <c r="T20709" s="41"/>
    </row>
    <row r="20710" spans="20:20" s="566" customFormat="1">
      <c r="T20710" s="41"/>
    </row>
    <row r="20711" spans="20:20" s="566" customFormat="1">
      <c r="T20711" s="41"/>
    </row>
    <row r="20712" spans="20:20" s="566" customFormat="1">
      <c r="T20712" s="41"/>
    </row>
    <row r="20713" spans="20:20" s="566" customFormat="1">
      <c r="T20713" s="41"/>
    </row>
    <row r="20714" spans="20:20" s="566" customFormat="1">
      <c r="T20714" s="41"/>
    </row>
    <row r="20715" spans="20:20" s="566" customFormat="1">
      <c r="T20715" s="41"/>
    </row>
    <row r="20716" spans="20:20" s="566" customFormat="1">
      <c r="T20716" s="41"/>
    </row>
    <row r="20717" spans="20:20" s="566" customFormat="1">
      <c r="T20717" s="41"/>
    </row>
    <row r="20718" spans="20:20" s="566" customFormat="1">
      <c r="T20718" s="41"/>
    </row>
    <row r="20719" spans="20:20" s="566" customFormat="1">
      <c r="T20719" s="41"/>
    </row>
    <row r="20720" spans="20:20" s="566" customFormat="1">
      <c r="T20720" s="41"/>
    </row>
    <row r="20721" spans="20:20" s="566" customFormat="1">
      <c r="T20721" s="41"/>
    </row>
    <row r="20722" spans="20:20" s="566" customFormat="1">
      <c r="T20722" s="41"/>
    </row>
    <row r="20723" spans="20:20" s="566" customFormat="1">
      <c r="T20723" s="41"/>
    </row>
    <row r="20724" spans="20:20" s="566" customFormat="1">
      <c r="T20724" s="41"/>
    </row>
    <row r="20725" spans="20:20" s="566" customFormat="1">
      <c r="T20725" s="41"/>
    </row>
    <row r="20726" spans="20:20" s="566" customFormat="1">
      <c r="T20726" s="41"/>
    </row>
    <row r="20727" spans="20:20" s="566" customFormat="1">
      <c r="T20727" s="41"/>
    </row>
    <row r="20728" spans="20:20" s="566" customFormat="1">
      <c r="T20728" s="41"/>
    </row>
    <row r="20729" spans="20:20" s="566" customFormat="1">
      <c r="T20729" s="41"/>
    </row>
    <row r="20730" spans="20:20" s="566" customFormat="1">
      <c r="T20730" s="41"/>
    </row>
    <row r="20731" spans="20:20" s="566" customFormat="1">
      <c r="T20731" s="41"/>
    </row>
    <row r="20732" spans="20:20" s="566" customFormat="1">
      <c r="T20732" s="41"/>
    </row>
    <row r="20733" spans="20:20" s="566" customFormat="1">
      <c r="T20733" s="41"/>
    </row>
    <row r="20734" spans="20:20" s="566" customFormat="1">
      <c r="T20734" s="41"/>
    </row>
    <row r="20735" spans="20:20" s="566" customFormat="1">
      <c r="T20735" s="41"/>
    </row>
    <row r="20736" spans="20:20" s="566" customFormat="1">
      <c r="T20736" s="41"/>
    </row>
    <row r="20737" spans="20:20" s="566" customFormat="1">
      <c r="T20737" s="41"/>
    </row>
    <row r="20738" spans="20:20" s="566" customFormat="1">
      <c r="T20738" s="41"/>
    </row>
    <row r="20739" spans="20:20" s="566" customFormat="1">
      <c r="T20739" s="41"/>
    </row>
    <row r="20740" spans="20:20" s="566" customFormat="1">
      <c r="T20740" s="41"/>
    </row>
    <row r="20741" spans="20:20" s="566" customFormat="1">
      <c r="T20741" s="41"/>
    </row>
    <row r="20742" spans="20:20" s="566" customFormat="1">
      <c r="T20742" s="41"/>
    </row>
    <row r="20743" spans="20:20" s="566" customFormat="1">
      <c r="T20743" s="41"/>
    </row>
    <row r="20744" spans="20:20" s="566" customFormat="1">
      <c r="T20744" s="41"/>
    </row>
    <row r="20745" spans="20:20" s="566" customFormat="1">
      <c r="T20745" s="41"/>
    </row>
    <row r="20746" spans="20:20" s="566" customFormat="1">
      <c r="T20746" s="41"/>
    </row>
    <row r="20747" spans="20:20" s="566" customFormat="1">
      <c r="T20747" s="41"/>
    </row>
    <row r="20748" spans="20:20" s="566" customFormat="1">
      <c r="T20748" s="41"/>
    </row>
    <row r="20749" spans="20:20" s="566" customFormat="1">
      <c r="T20749" s="41"/>
    </row>
    <row r="20750" spans="20:20" s="566" customFormat="1">
      <c r="T20750" s="41"/>
    </row>
    <row r="20751" spans="20:20" s="566" customFormat="1">
      <c r="T20751" s="41"/>
    </row>
    <row r="20752" spans="20:20" s="566" customFormat="1">
      <c r="T20752" s="41"/>
    </row>
    <row r="20753" spans="20:20" s="566" customFormat="1">
      <c r="T20753" s="41"/>
    </row>
    <row r="20754" spans="20:20" s="566" customFormat="1">
      <c r="T20754" s="41"/>
    </row>
    <row r="20755" spans="20:20" s="566" customFormat="1">
      <c r="T20755" s="41"/>
    </row>
    <row r="20756" spans="20:20" s="566" customFormat="1">
      <c r="T20756" s="41"/>
    </row>
    <row r="20757" spans="20:20" s="566" customFormat="1">
      <c r="T20757" s="41"/>
    </row>
    <row r="20758" spans="20:20" s="566" customFormat="1">
      <c r="T20758" s="41"/>
    </row>
    <row r="20759" spans="20:20" s="566" customFormat="1">
      <c r="T20759" s="41"/>
    </row>
    <row r="20760" spans="20:20" s="566" customFormat="1">
      <c r="T20760" s="41"/>
    </row>
    <row r="20761" spans="20:20" s="566" customFormat="1">
      <c r="T20761" s="41"/>
    </row>
    <row r="20762" spans="20:20" s="566" customFormat="1">
      <c r="T20762" s="41"/>
    </row>
    <row r="20763" spans="20:20" s="566" customFormat="1">
      <c r="T20763" s="41"/>
    </row>
    <row r="20764" spans="20:20" s="566" customFormat="1">
      <c r="T20764" s="41"/>
    </row>
    <row r="20765" spans="20:20" s="566" customFormat="1">
      <c r="T20765" s="41"/>
    </row>
    <row r="20766" spans="20:20" s="566" customFormat="1">
      <c r="T20766" s="41"/>
    </row>
    <row r="20767" spans="20:20" s="566" customFormat="1">
      <c r="T20767" s="41"/>
    </row>
    <row r="20768" spans="20:20" s="566" customFormat="1">
      <c r="T20768" s="41"/>
    </row>
    <row r="20769" spans="20:20" s="566" customFormat="1">
      <c r="T20769" s="41"/>
    </row>
    <row r="20770" spans="20:20" s="566" customFormat="1">
      <c r="T20770" s="41"/>
    </row>
    <row r="20771" spans="20:20" s="566" customFormat="1">
      <c r="T20771" s="41"/>
    </row>
    <row r="20772" spans="20:20" s="566" customFormat="1">
      <c r="T20772" s="41"/>
    </row>
    <row r="20773" spans="20:20" s="566" customFormat="1">
      <c r="T20773" s="41"/>
    </row>
    <row r="20774" spans="20:20" s="566" customFormat="1">
      <c r="T20774" s="41"/>
    </row>
    <row r="20775" spans="20:20" s="566" customFormat="1">
      <c r="T20775" s="41"/>
    </row>
    <row r="20776" spans="20:20" s="566" customFormat="1">
      <c r="T20776" s="41"/>
    </row>
    <row r="20777" spans="20:20" s="566" customFormat="1">
      <c r="T20777" s="41"/>
    </row>
    <row r="20778" spans="20:20" s="566" customFormat="1">
      <c r="T20778" s="41"/>
    </row>
    <row r="20779" spans="20:20" s="566" customFormat="1">
      <c r="T20779" s="41"/>
    </row>
    <row r="20780" spans="20:20" s="566" customFormat="1">
      <c r="T20780" s="41"/>
    </row>
    <row r="20781" spans="20:20" s="566" customFormat="1">
      <c r="T20781" s="41"/>
    </row>
    <row r="20782" spans="20:20" s="566" customFormat="1">
      <c r="T20782" s="41"/>
    </row>
    <row r="20783" spans="20:20" s="566" customFormat="1">
      <c r="T20783" s="41"/>
    </row>
    <row r="20784" spans="20:20" s="566" customFormat="1">
      <c r="T20784" s="41"/>
    </row>
    <row r="20785" spans="20:20" s="566" customFormat="1">
      <c r="T20785" s="41"/>
    </row>
    <row r="20786" spans="20:20" s="566" customFormat="1">
      <c r="T20786" s="41"/>
    </row>
    <row r="20787" spans="20:20" s="566" customFormat="1">
      <c r="T20787" s="41"/>
    </row>
    <row r="20788" spans="20:20" s="566" customFormat="1">
      <c r="T20788" s="41"/>
    </row>
    <row r="20789" spans="20:20" s="566" customFormat="1">
      <c r="T20789" s="41"/>
    </row>
    <row r="20790" spans="20:20" s="566" customFormat="1">
      <c r="T20790" s="41"/>
    </row>
    <row r="20791" spans="20:20" s="566" customFormat="1">
      <c r="T20791" s="41"/>
    </row>
    <row r="20792" spans="20:20" s="566" customFormat="1">
      <c r="T20792" s="41"/>
    </row>
    <row r="20793" spans="20:20" s="566" customFormat="1">
      <c r="T20793" s="41"/>
    </row>
    <row r="20794" spans="20:20" s="566" customFormat="1">
      <c r="T20794" s="41"/>
    </row>
    <row r="20795" spans="20:20" s="566" customFormat="1">
      <c r="T20795" s="41"/>
    </row>
    <row r="20796" spans="20:20" s="566" customFormat="1">
      <c r="T20796" s="41"/>
    </row>
    <row r="20797" spans="20:20" s="566" customFormat="1">
      <c r="T20797" s="41"/>
    </row>
    <row r="20798" spans="20:20" s="566" customFormat="1">
      <c r="T20798" s="41"/>
    </row>
    <row r="20799" spans="20:20" s="566" customFormat="1">
      <c r="T20799" s="41"/>
    </row>
    <row r="20800" spans="20:20" s="566" customFormat="1">
      <c r="T20800" s="41"/>
    </row>
    <row r="20801" spans="20:20" s="566" customFormat="1">
      <c r="T20801" s="41"/>
    </row>
    <row r="20802" spans="20:20" s="566" customFormat="1">
      <c r="T20802" s="41"/>
    </row>
    <row r="20803" spans="20:20" s="566" customFormat="1">
      <c r="T20803" s="41"/>
    </row>
    <row r="20804" spans="20:20" s="566" customFormat="1">
      <c r="T20804" s="41"/>
    </row>
    <row r="20805" spans="20:20" s="566" customFormat="1">
      <c r="T20805" s="41"/>
    </row>
    <row r="20806" spans="20:20" s="566" customFormat="1">
      <c r="T20806" s="41"/>
    </row>
    <row r="20807" spans="20:20" s="566" customFormat="1">
      <c r="T20807" s="41"/>
    </row>
    <row r="20808" spans="20:20" s="566" customFormat="1">
      <c r="T20808" s="41"/>
    </row>
    <row r="20809" spans="20:20" s="566" customFormat="1">
      <c r="T20809" s="41"/>
    </row>
    <row r="20810" spans="20:20" s="566" customFormat="1">
      <c r="T20810" s="41"/>
    </row>
    <row r="20811" spans="20:20" s="566" customFormat="1">
      <c r="T20811" s="41"/>
    </row>
    <row r="20812" spans="20:20" s="566" customFormat="1">
      <c r="T20812" s="41"/>
    </row>
    <row r="20813" spans="20:20" s="566" customFormat="1">
      <c r="T20813" s="41"/>
    </row>
    <row r="20814" spans="20:20" s="566" customFormat="1">
      <c r="T20814" s="41"/>
    </row>
    <row r="20815" spans="20:20" s="566" customFormat="1">
      <c r="T20815" s="41"/>
    </row>
    <row r="20816" spans="20:20" s="566" customFormat="1">
      <c r="T20816" s="41"/>
    </row>
    <row r="20817" spans="20:20" s="566" customFormat="1">
      <c r="T20817" s="41"/>
    </row>
    <row r="20818" spans="20:20" s="566" customFormat="1">
      <c r="T20818" s="41"/>
    </row>
    <row r="20819" spans="20:20" s="566" customFormat="1">
      <c r="T20819" s="41"/>
    </row>
    <row r="20820" spans="20:20" s="566" customFormat="1">
      <c r="T20820" s="41"/>
    </row>
    <row r="20821" spans="20:20" s="566" customFormat="1">
      <c r="T20821" s="41"/>
    </row>
    <row r="20822" spans="20:20" s="566" customFormat="1">
      <c r="T20822" s="41"/>
    </row>
    <row r="20823" spans="20:20" s="566" customFormat="1">
      <c r="T20823" s="41"/>
    </row>
    <row r="20824" spans="20:20" s="566" customFormat="1">
      <c r="T20824" s="41"/>
    </row>
    <row r="20825" spans="20:20" s="566" customFormat="1">
      <c r="T20825" s="41"/>
    </row>
    <row r="20826" spans="20:20" s="566" customFormat="1">
      <c r="T20826" s="41"/>
    </row>
    <row r="20827" spans="20:20" s="566" customFormat="1">
      <c r="T20827" s="41"/>
    </row>
    <row r="20828" spans="20:20" s="566" customFormat="1">
      <c r="T20828" s="41"/>
    </row>
    <row r="20829" spans="20:20" s="566" customFormat="1">
      <c r="T20829" s="41"/>
    </row>
    <row r="20830" spans="20:20" s="566" customFormat="1">
      <c r="T20830" s="41"/>
    </row>
    <row r="20831" spans="20:20" s="566" customFormat="1">
      <c r="T20831" s="41"/>
    </row>
    <row r="20832" spans="20:20" s="566" customFormat="1">
      <c r="T20832" s="41"/>
    </row>
    <row r="20833" spans="20:20" s="566" customFormat="1">
      <c r="T20833" s="41"/>
    </row>
    <row r="20834" spans="20:20" s="566" customFormat="1">
      <c r="T20834" s="41"/>
    </row>
    <row r="20835" spans="20:20" s="566" customFormat="1">
      <c r="T20835" s="41"/>
    </row>
    <row r="20836" spans="20:20" s="566" customFormat="1">
      <c r="T20836" s="41"/>
    </row>
    <row r="20837" spans="20:20" s="566" customFormat="1">
      <c r="T20837" s="41"/>
    </row>
    <row r="20838" spans="20:20" s="566" customFormat="1">
      <c r="T20838" s="41"/>
    </row>
    <row r="20839" spans="20:20" s="566" customFormat="1">
      <c r="T20839" s="41"/>
    </row>
    <row r="20840" spans="20:20" s="566" customFormat="1">
      <c r="T20840" s="41"/>
    </row>
    <row r="20841" spans="20:20" s="566" customFormat="1">
      <c r="T20841" s="41"/>
    </row>
    <row r="20842" spans="20:20" s="566" customFormat="1">
      <c r="T20842" s="41"/>
    </row>
    <row r="20843" spans="20:20" s="566" customFormat="1">
      <c r="T20843" s="41"/>
    </row>
    <row r="20844" spans="20:20" s="566" customFormat="1">
      <c r="T20844" s="41"/>
    </row>
    <row r="20845" spans="20:20" s="566" customFormat="1">
      <c r="T20845" s="41"/>
    </row>
    <row r="20846" spans="20:20" s="566" customFormat="1">
      <c r="T20846" s="41"/>
    </row>
    <row r="20847" spans="20:20" s="566" customFormat="1">
      <c r="T20847" s="41"/>
    </row>
    <row r="20848" spans="20:20" s="566" customFormat="1">
      <c r="T20848" s="41"/>
    </row>
    <row r="20849" spans="20:20" s="566" customFormat="1">
      <c r="T20849" s="41"/>
    </row>
    <row r="20850" spans="20:20" s="566" customFormat="1">
      <c r="T20850" s="41"/>
    </row>
    <row r="20851" spans="20:20" s="566" customFormat="1">
      <c r="T20851" s="41"/>
    </row>
    <row r="20852" spans="20:20" s="566" customFormat="1">
      <c r="T20852" s="41"/>
    </row>
    <row r="20853" spans="20:20" s="566" customFormat="1">
      <c r="T20853" s="41"/>
    </row>
    <row r="20854" spans="20:20" s="566" customFormat="1">
      <c r="T20854" s="41"/>
    </row>
    <row r="20855" spans="20:20" s="566" customFormat="1">
      <c r="T20855" s="41"/>
    </row>
    <row r="20856" spans="20:20" s="566" customFormat="1">
      <c r="T20856" s="41"/>
    </row>
    <row r="20857" spans="20:20" s="566" customFormat="1">
      <c r="T20857" s="41"/>
    </row>
    <row r="20858" spans="20:20" s="566" customFormat="1">
      <c r="T20858" s="41"/>
    </row>
    <row r="20859" spans="20:20" s="566" customFormat="1">
      <c r="T20859" s="41"/>
    </row>
    <row r="20860" spans="20:20" s="566" customFormat="1">
      <c r="T20860" s="41"/>
    </row>
    <row r="20861" spans="20:20" s="566" customFormat="1">
      <c r="T20861" s="41"/>
    </row>
    <row r="20862" spans="20:20" s="566" customFormat="1">
      <c r="T20862" s="41"/>
    </row>
    <row r="20863" spans="20:20" s="566" customFormat="1">
      <c r="T20863" s="41"/>
    </row>
    <row r="20864" spans="20:20" s="566" customFormat="1">
      <c r="T20864" s="41"/>
    </row>
    <row r="20865" spans="20:20" s="566" customFormat="1">
      <c r="T20865" s="41"/>
    </row>
    <row r="20866" spans="20:20" s="566" customFormat="1">
      <c r="T20866" s="41"/>
    </row>
    <row r="20867" spans="20:20" s="566" customFormat="1">
      <c r="T20867" s="41"/>
    </row>
    <row r="20868" spans="20:20" s="566" customFormat="1">
      <c r="T20868" s="41"/>
    </row>
    <row r="20869" spans="20:20" s="566" customFormat="1">
      <c r="T20869" s="41"/>
    </row>
    <row r="20870" spans="20:20" s="566" customFormat="1">
      <c r="T20870" s="41"/>
    </row>
    <row r="20871" spans="20:20" s="566" customFormat="1">
      <c r="T20871" s="41"/>
    </row>
    <row r="20872" spans="20:20" s="566" customFormat="1">
      <c r="T20872" s="41"/>
    </row>
    <row r="20873" spans="20:20" s="566" customFormat="1">
      <c r="T20873" s="41"/>
    </row>
    <row r="20874" spans="20:20" s="566" customFormat="1">
      <c r="T20874" s="41"/>
    </row>
    <row r="20875" spans="20:20" s="566" customFormat="1">
      <c r="T20875" s="41"/>
    </row>
    <row r="20876" spans="20:20" s="566" customFormat="1">
      <c r="T20876" s="41"/>
    </row>
    <row r="20877" spans="20:20" s="566" customFormat="1">
      <c r="T20877" s="41"/>
    </row>
    <row r="20878" spans="20:20" s="566" customFormat="1">
      <c r="T20878" s="41"/>
    </row>
    <row r="20879" spans="20:20" s="566" customFormat="1">
      <c r="T20879" s="41"/>
    </row>
    <row r="20880" spans="20:20" s="566" customFormat="1">
      <c r="T20880" s="41"/>
    </row>
    <row r="20881" spans="20:20" s="566" customFormat="1">
      <c r="T20881" s="41"/>
    </row>
    <row r="20882" spans="20:20" s="566" customFormat="1">
      <c r="T20882" s="41"/>
    </row>
    <row r="20883" spans="20:20" s="566" customFormat="1">
      <c r="T20883" s="41"/>
    </row>
    <row r="20884" spans="20:20" s="566" customFormat="1">
      <c r="T20884" s="41"/>
    </row>
    <row r="20885" spans="20:20" s="566" customFormat="1">
      <c r="T20885" s="41"/>
    </row>
    <row r="20886" spans="20:20" s="566" customFormat="1">
      <c r="T20886" s="41"/>
    </row>
    <row r="20887" spans="20:20" s="566" customFormat="1">
      <c r="T20887" s="41"/>
    </row>
    <row r="20888" spans="20:20" s="566" customFormat="1">
      <c r="T20888" s="41"/>
    </row>
    <row r="20889" spans="20:20" s="566" customFormat="1">
      <c r="T20889" s="41"/>
    </row>
    <row r="20890" spans="20:20" s="566" customFormat="1">
      <c r="T20890" s="41"/>
    </row>
    <row r="20891" spans="20:20" s="566" customFormat="1">
      <c r="T20891" s="41"/>
    </row>
    <row r="20892" spans="20:20" s="566" customFormat="1">
      <c r="T20892" s="41"/>
    </row>
    <row r="20893" spans="20:20" s="566" customFormat="1">
      <c r="T20893" s="41"/>
    </row>
    <row r="20894" spans="20:20" s="566" customFormat="1">
      <c r="T20894" s="41"/>
    </row>
    <row r="20895" spans="20:20" s="566" customFormat="1">
      <c r="T20895" s="41"/>
    </row>
    <row r="20896" spans="20:20" s="566" customFormat="1">
      <c r="T20896" s="41"/>
    </row>
    <row r="20897" spans="20:20" s="566" customFormat="1">
      <c r="T20897" s="41"/>
    </row>
    <row r="20898" spans="20:20" s="566" customFormat="1">
      <c r="T20898" s="41"/>
    </row>
    <row r="20899" spans="20:20" s="566" customFormat="1">
      <c r="T20899" s="41"/>
    </row>
    <row r="20900" spans="20:20" s="566" customFormat="1">
      <c r="T20900" s="41"/>
    </row>
    <row r="20901" spans="20:20" s="566" customFormat="1">
      <c r="T20901" s="41"/>
    </row>
    <row r="20902" spans="20:20" s="566" customFormat="1">
      <c r="T20902" s="41"/>
    </row>
    <row r="20903" spans="20:20" s="566" customFormat="1">
      <c r="T20903" s="41"/>
    </row>
    <row r="20904" spans="20:20" s="566" customFormat="1">
      <c r="T20904" s="41"/>
    </row>
    <row r="20905" spans="20:20" s="566" customFormat="1">
      <c r="T20905" s="41"/>
    </row>
    <row r="20906" spans="20:20" s="566" customFormat="1">
      <c r="T20906" s="41"/>
    </row>
    <row r="20907" spans="20:20" s="566" customFormat="1">
      <c r="T20907" s="41"/>
    </row>
    <row r="20908" spans="20:20" s="566" customFormat="1">
      <c r="T20908" s="41"/>
    </row>
    <row r="20909" spans="20:20" s="566" customFormat="1">
      <c r="T20909" s="41"/>
    </row>
    <row r="20910" spans="20:20" s="566" customFormat="1">
      <c r="T20910" s="41"/>
    </row>
    <row r="20911" spans="20:20" s="566" customFormat="1">
      <c r="T20911" s="41"/>
    </row>
    <row r="20912" spans="20:20" s="566" customFormat="1">
      <c r="T20912" s="41"/>
    </row>
    <row r="20913" spans="20:20" s="566" customFormat="1">
      <c r="T20913" s="41"/>
    </row>
    <row r="20914" spans="20:20" s="566" customFormat="1">
      <c r="T20914" s="41"/>
    </row>
    <row r="20915" spans="20:20" s="566" customFormat="1">
      <c r="T20915" s="41"/>
    </row>
    <row r="20916" spans="20:20" s="566" customFormat="1">
      <c r="T20916" s="41"/>
    </row>
    <row r="20917" spans="20:20" s="566" customFormat="1">
      <c r="T20917" s="41"/>
    </row>
    <row r="20918" spans="20:20" s="566" customFormat="1">
      <c r="T20918" s="41"/>
    </row>
    <row r="20919" spans="20:20" s="566" customFormat="1">
      <c r="T20919" s="41"/>
    </row>
    <row r="20920" spans="20:20" s="566" customFormat="1">
      <c r="T20920" s="41"/>
    </row>
    <row r="20921" spans="20:20" s="566" customFormat="1">
      <c r="T20921" s="41"/>
    </row>
    <row r="20922" spans="20:20" s="566" customFormat="1">
      <c r="T20922" s="41"/>
    </row>
    <row r="20923" spans="20:20" s="566" customFormat="1">
      <c r="T20923" s="41"/>
    </row>
    <row r="20924" spans="20:20" s="566" customFormat="1">
      <c r="T20924" s="41"/>
    </row>
    <row r="20925" spans="20:20" s="566" customFormat="1">
      <c r="T20925" s="41"/>
    </row>
    <row r="20926" spans="20:20" s="566" customFormat="1">
      <c r="T20926" s="41"/>
    </row>
    <row r="20927" spans="20:20" s="566" customFormat="1">
      <c r="T20927" s="41"/>
    </row>
    <row r="20928" spans="20:20" s="566" customFormat="1">
      <c r="T20928" s="41"/>
    </row>
    <row r="20929" spans="20:20" s="566" customFormat="1">
      <c r="T20929" s="41"/>
    </row>
    <row r="20930" spans="20:20" s="566" customFormat="1">
      <c r="T20930" s="41"/>
    </row>
    <row r="20931" spans="20:20" s="566" customFormat="1">
      <c r="T20931" s="41"/>
    </row>
    <row r="20932" spans="20:20" s="566" customFormat="1">
      <c r="T20932" s="41"/>
    </row>
    <row r="20933" spans="20:20" s="566" customFormat="1">
      <c r="T20933" s="41"/>
    </row>
    <row r="20934" spans="20:20" s="566" customFormat="1">
      <c r="T20934" s="41"/>
    </row>
    <row r="20935" spans="20:20" s="566" customFormat="1">
      <c r="T20935" s="41"/>
    </row>
    <row r="20936" spans="20:20" s="566" customFormat="1">
      <c r="T20936" s="41"/>
    </row>
    <row r="20937" spans="20:20" s="566" customFormat="1">
      <c r="T20937" s="41"/>
    </row>
    <row r="20938" spans="20:20" s="566" customFormat="1">
      <c r="T20938" s="41"/>
    </row>
    <row r="20939" spans="20:20" s="566" customFormat="1">
      <c r="T20939" s="41"/>
    </row>
    <row r="20940" spans="20:20" s="566" customFormat="1">
      <c r="T20940" s="41"/>
    </row>
    <row r="20941" spans="20:20" s="566" customFormat="1">
      <c r="T20941" s="41"/>
    </row>
    <row r="20942" spans="20:20" s="566" customFormat="1">
      <c r="T20942" s="41"/>
    </row>
    <row r="20943" spans="20:20" s="566" customFormat="1">
      <c r="T20943" s="41"/>
    </row>
    <row r="20944" spans="20:20" s="566" customFormat="1">
      <c r="T20944" s="41"/>
    </row>
    <row r="20945" spans="20:20" s="566" customFormat="1">
      <c r="T20945" s="41"/>
    </row>
    <row r="20946" spans="20:20" s="566" customFormat="1">
      <c r="T20946" s="41"/>
    </row>
    <row r="20947" spans="20:20" s="566" customFormat="1">
      <c r="T20947" s="41"/>
    </row>
    <row r="20948" spans="20:20" s="566" customFormat="1">
      <c r="T20948" s="41"/>
    </row>
    <row r="20949" spans="20:20" s="566" customFormat="1">
      <c r="T20949" s="41"/>
    </row>
    <row r="20950" spans="20:20" s="566" customFormat="1">
      <c r="T20950" s="41"/>
    </row>
    <row r="20951" spans="20:20" s="566" customFormat="1">
      <c r="T20951" s="41"/>
    </row>
    <row r="20952" spans="20:20" s="566" customFormat="1">
      <c r="T20952" s="41"/>
    </row>
    <row r="20953" spans="20:20" s="566" customFormat="1">
      <c r="T20953" s="41"/>
    </row>
    <row r="20954" spans="20:20" s="566" customFormat="1">
      <c r="T20954" s="41"/>
    </row>
    <row r="20955" spans="20:20" s="566" customFormat="1">
      <c r="T20955" s="41"/>
    </row>
    <row r="20956" spans="20:20" s="566" customFormat="1">
      <c r="T20956" s="41"/>
    </row>
    <row r="20957" spans="20:20" s="566" customFormat="1">
      <c r="T20957" s="41"/>
    </row>
    <row r="20958" spans="20:20" s="566" customFormat="1">
      <c r="T20958" s="41"/>
    </row>
    <row r="20959" spans="20:20" s="566" customFormat="1">
      <c r="T20959" s="41"/>
    </row>
    <row r="20960" spans="20:20" s="566" customFormat="1">
      <c r="T20960" s="41"/>
    </row>
    <row r="20961" spans="20:20" s="566" customFormat="1">
      <c r="T20961" s="41"/>
    </row>
    <row r="20962" spans="20:20" s="566" customFormat="1">
      <c r="T20962" s="41"/>
    </row>
    <row r="20963" spans="20:20" s="566" customFormat="1">
      <c r="T20963" s="41"/>
    </row>
    <row r="20964" spans="20:20" s="566" customFormat="1">
      <c r="T20964" s="41"/>
    </row>
    <row r="20965" spans="20:20" s="566" customFormat="1">
      <c r="T20965" s="41"/>
    </row>
    <row r="20966" spans="20:20" s="566" customFormat="1">
      <c r="T20966" s="41"/>
    </row>
    <row r="20967" spans="20:20" s="566" customFormat="1">
      <c r="T20967" s="41"/>
    </row>
    <row r="20968" spans="20:20" s="566" customFormat="1">
      <c r="T20968" s="41"/>
    </row>
    <row r="20969" spans="20:20" s="566" customFormat="1">
      <c r="T20969" s="41"/>
    </row>
    <row r="20970" spans="20:20" s="566" customFormat="1">
      <c r="T20970" s="41"/>
    </row>
    <row r="20971" spans="20:20" s="566" customFormat="1">
      <c r="T20971" s="41"/>
    </row>
    <row r="20972" spans="20:20" s="566" customFormat="1">
      <c r="T20972" s="41"/>
    </row>
    <row r="20973" spans="20:20" s="566" customFormat="1">
      <c r="T20973" s="41"/>
    </row>
    <row r="20974" spans="20:20" s="566" customFormat="1">
      <c r="T20974" s="41"/>
    </row>
    <row r="20975" spans="20:20" s="566" customFormat="1">
      <c r="T20975" s="41"/>
    </row>
    <row r="20976" spans="20:20" s="566" customFormat="1">
      <c r="T20976" s="41"/>
    </row>
    <row r="20977" spans="20:20" s="566" customFormat="1">
      <c r="T20977" s="41"/>
    </row>
    <row r="20978" spans="20:20" s="566" customFormat="1">
      <c r="T20978" s="41"/>
    </row>
    <row r="20979" spans="20:20" s="566" customFormat="1">
      <c r="T20979" s="41"/>
    </row>
    <row r="20980" spans="20:20" s="566" customFormat="1">
      <c r="T20980" s="41"/>
    </row>
    <row r="20981" spans="20:20" s="566" customFormat="1">
      <c r="T20981" s="41"/>
    </row>
    <row r="20982" spans="20:20" s="566" customFormat="1">
      <c r="T20982" s="41"/>
    </row>
    <row r="20983" spans="20:20" s="566" customFormat="1">
      <c r="T20983" s="41"/>
    </row>
    <row r="20984" spans="20:20" s="566" customFormat="1">
      <c r="T20984" s="41"/>
    </row>
    <row r="20985" spans="20:20" s="566" customFormat="1">
      <c r="T20985" s="41"/>
    </row>
    <row r="20986" spans="20:20" s="566" customFormat="1">
      <c r="T20986" s="41"/>
    </row>
    <row r="20987" spans="20:20" s="566" customFormat="1">
      <c r="T20987" s="41"/>
    </row>
    <row r="20988" spans="20:20" s="566" customFormat="1">
      <c r="T20988" s="41"/>
    </row>
    <row r="20989" spans="20:20" s="566" customFormat="1">
      <c r="T20989" s="41"/>
    </row>
    <row r="20990" spans="20:20" s="566" customFormat="1">
      <c r="T20990" s="41"/>
    </row>
    <row r="20991" spans="20:20" s="566" customFormat="1">
      <c r="T20991" s="41"/>
    </row>
    <row r="20992" spans="20:20" s="566" customFormat="1">
      <c r="T20992" s="41"/>
    </row>
    <row r="20993" spans="20:20" s="566" customFormat="1">
      <c r="T20993" s="41"/>
    </row>
    <row r="20994" spans="20:20" s="566" customFormat="1">
      <c r="T20994" s="41"/>
    </row>
    <row r="20995" spans="20:20" s="566" customFormat="1">
      <c r="T20995" s="41"/>
    </row>
    <row r="20996" spans="20:20" s="566" customFormat="1">
      <c r="T20996" s="41"/>
    </row>
    <row r="20997" spans="20:20" s="566" customFormat="1">
      <c r="T20997" s="41"/>
    </row>
    <row r="20998" spans="20:20" s="566" customFormat="1">
      <c r="T20998" s="41"/>
    </row>
    <row r="20999" spans="20:20" s="566" customFormat="1">
      <c r="T20999" s="41"/>
    </row>
    <row r="21000" spans="20:20" s="566" customFormat="1">
      <c r="T21000" s="41"/>
    </row>
    <row r="21001" spans="20:20" s="566" customFormat="1">
      <c r="T21001" s="41"/>
    </row>
    <row r="21002" spans="20:20" s="566" customFormat="1">
      <c r="T21002" s="41"/>
    </row>
    <row r="21003" spans="20:20" s="566" customFormat="1">
      <c r="T21003" s="41"/>
    </row>
    <row r="21004" spans="20:20" s="566" customFormat="1">
      <c r="T21004" s="41"/>
    </row>
    <row r="21005" spans="20:20" s="566" customFormat="1">
      <c r="T21005" s="41"/>
    </row>
    <row r="21006" spans="20:20" s="566" customFormat="1">
      <c r="T21006" s="41"/>
    </row>
    <row r="21007" spans="20:20" s="566" customFormat="1">
      <c r="T21007" s="41"/>
    </row>
    <row r="21008" spans="20:20" s="566" customFormat="1">
      <c r="T21008" s="41"/>
    </row>
    <row r="21009" spans="20:20" s="566" customFormat="1">
      <c r="T21009" s="41"/>
    </row>
    <row r="21010" spans="20:20" s="566" customFormat="1">
      <c r="T21010" s="41"/>
    </row>
    <row r="21011" spans="20:20" s="566" customFormat="1">
      <c r="T21011" s="41"/>
    </row>
    <row r="21012" spans="20:20" s="566" customFormat="1">
      <c r="T21012" s="41"/>
    </row>
    <row r="21013" spans="20:20" s="566" customFormat="1">
      <c r="T21013" s="41"/>
    </row>
    <row r="21014" spans="20:20" s="566" customFormat="1">
      <c r="T21014" s="41"/>
    </row>
    <row r="21015" spans="20:20" s="566" customFormat="1">
      <c r="T21015" s="41"/>
    </row>
    <row r="21016" spans="20:20" s="566" customFormat="1">
      <c r="T21016" s="41"/>
    </row>
    <row r="21017" spans="20:20" s="566" customFormat="1">
      <c r="T21017" s="41"/>
    </row>
    <row r="21018" spans="20:20" s="566" customFormat="1">
      <c r="T21018" s="41"/>
    </row>
    <row r="21019" spans="20:20" s="566" customFormat="1">
      <c r="T21019" s="41"/>
    </row>
    <row r="21020" spans="20:20" s="566" customFormat="1">
      <c r="T21020" s="41"/>
    </row>
    <row r="21021" spans="20:20" s="566" customFormat="1">
      <c r="T21021" s="41"/>
    </row>
    <row r="21022" spans="20:20" s="566" customFormat="1">
      <c r="T21022" s="41"/>
    </row>
    <row r="21023" spans="20:20" s="566" customFormat="1">
      <c r="T21023" s="41"/>
    </row>
    <row r="21024" spans="20:20" s="566" customFormat="1">
      <c r="T21024" s="41"/>
    </row>
    <row r="21025" spans="20:20" s="566" customFormat="1">
      <c r="T21025" s="41"/>
    </row>
    <row r="21026" spans="20:20" s="566" customFormat="1">
      <c r="T21026" s="41"/>
    </row>
    <row r="21027" spans="20:20" s="566" customFormat="1">
      <c r="T21027" s="41"/>
    </row>
    <row r="21028" spans="20:20" s="566" customFormat="1">
      <c r="T21028" s="41"/>
    </row>
    <row r="21029" spans="20:20" s="566" customFormat="1">
      <c r="T21029" s="41"/>
    </row>
    <row r="21030" spans="20:20" s="566" customFormat="1">
      <c r="T21030" s="41"/>
    </row>
    <row r="21031" spans="20:20" s="566" customFormat="1">
      <c r="T21031" s="41"/>
    </row>
    <row r="21032" spans="20:20" s="566" customFormat="1">
      <c r="T21032" s="41"/>
    </row>
    <row r="21033" spans="20:20" s="566" customFormat="1">
      <c r="T21033" s="41"/>
    </row>
    <row r="21034" spans="20:20" s="566" customFormat="1">
      <c r="T21034" s="41"/>
    </row>
    <row r="21035" spans="20:20" s="566" customFormat="1">
      <c r="T21035" s="41"/>
    </row>
    <row r="21036" spans="20:20" s="566" customFormat="1">
      <c r="T21036" s="41"/>
    </row>
    <row r="21037" spans="20:20" s="566" customFormat="1">
      <c r="T21037" s="41"/>
    </row>
    <row r="21038" spans="20:20" s="566" customFormat="1">
      <c r="T21038" s="41"/>
    </row>
    <row r="21039" spans="20:20" s="566" customFormat="1">
      <c r="T21039" s="41"/>
    </row>
    <row r="21040" spans="20:20" s="566" customFormat="1">
      <c r="T21040" s="41"/>
    </row>
    <row r="21041" spans="20:20" s="566" customFormat="1">
      <c r="T21041" s="41"/>
    </row>
    <row r="21042" spans="20:20" s="566" customFormat="1">
      <c r="T21042" s="41"/>
    </row>
    <row r="21043" spans="20:20" s="566" customFormat="1">
      <c r="T21043" s="41"/>
    </row>
    <row r="21044" spans="20:20" s="566" customFormat="1">
      <c r="T21044" s="41"/>
    </row>
    <row r="21045" spans="20:20" s="566" customFormat="1">
      <c r="T21045" s="41"/>
    </row>
    <row r="21046" spans="20:20" s="566" customFormat="1">
      <c r="T21046" s="41"/>
    </row>
    <row r="21047" spans="20:20" s="566" customFormat="1">
      <c r="T21047" s="41"/>
    </row>
    <row r="21048" spans="20:20" s="566" customFormat="1">
      <c r="T21048" s="41"/>
    </row>
    <row r="21049" spans="20:20" s="566" customFormat="1">
      <c r="T21049" s="41"/>
    </row>
    <row r="21050" spans="20:20" s="566" customFormat="1">
      <c r="T21050" s="41"/>
    </row>
    <row r="21051" spans="20:20" s="566" customFormat="1">
      <c r="T21051" s="41"/>
    </row>
    <row r="21052" spans="20:20" s="566" customFormat="1">
      <c r="T21052" s="41"/>
    </row>
    <row r="21053" spans="20:20" s="566" customFormat="1">
      <c r="T21053" s="41"/>
    </row>
    <row r="21054" spans="20:20" s="566" customFormat="1">
      <c r="T21054" s="41"/>
    </row>
    <row r="21055" spans="20:20" s="566" customFormat="1">
      <c r="T21055" s="41"/>
    </row>
    <row r="21056" spans="20:20" s="566" customFormat="1">
      <c r="T21056" s="41"/>
    </row>
    <row r="21057" spans="20:20" s="566" customFormat="1">
      <c r="T21057" s="41"/>
    </row>
    <row r="21058" spans="20:20" s="566" customFormat="1">
      <c r="T21058" s="41"/>
    </row>
    <row r="21059" spans="20:20" s="566" customFormat="1">
      <c r="T21059" s="41"/>
    </row>
    <row r="21060" spans="20:20" s="566" customFormat="1">
      <c r="T21060" s="41"/>
    </row>
    <row r="21061" spans="20:20" s="566" customFormat="1">
      <c r="T21061" s="41"/>
    </row>
    <row r="21062" spans="20:20" s="566" customFormat="1">
      <c r="T21062" s="41"/>
    </row>
    <row r="21063" spans="20:20" s="566" customFormat="1">
      <c r="T21063" s="41"/>
    </row>
    <row r="21064" spans="20:20" s="566" customFormat="1">
      <c r="T21064" s="41"/>
    </row>
    <row r="21065" spans="20:20" s="566" customFormat="1">
      <c r="T21065" s="41"/>
    </row>
    <row r="21066" spans="20:20" s="566" customFormat="1">
      <c r="T21066" s="41"/>
    </row>
    <row r="21067" spans="20:20" s="566" customFormat="1">
      <c r="T21067" s="41"/>
    </row>
    <row r="21068" spans="20:20" s="566" customFormat="1">
      <c r="T21068" s="41"/>
    </row>
    <row r="21069" spans="20:20" s="566" customFormat="1">
      <c r="T21069" s="41"/>
    </row>
    <row r="21070" spans="20:20" s="566" customFormat="1">
      <c r="T21070" s="41"/>
    </row>
    <row r="21071" spans="20:20" s="566" customFormat="1">
      <c r="T21071" s="41"/>
    </row>
    <row r="21072" spans="20:20" s="566" customFormat="1">
      <c r="T21072" s="41"/>
    </row>
    <row r="21073" spans="20:20" s="566" customFormat="1">
      <c r="T21073" s="41"/>
    </row>
    <row r="21074" spans="20:20" s="566" customFormat="1">
      <c r="T21074" s="41"/>
    </row>
    <row r="21075" spans="20:20" s="566" customFormat="1">
      <c r="T21075" s="41"/>
    </row>
    <row r="21076" spans="20:20" s="566" customFormat="1">
      <c r="T21076" s="41"/>
    </row>
    <row r="21077" spans="20:20" s="566" customFormat="1">
      <c r="T21077" s="41"/>
    </row>
    <row r="21078" spans="20:20" s="566" customFormat="1">
      <c r="T21078" s="41"/>
    </row>
    <row r="21079" spans="20:20" s="566" customFormat="1">
      <c r="T21079" s="41"/>
    </row>
    <row r="21080" spans="20:20" s="566" customFormat="1">
      <c r="T21080" s="41"/>
    </row>
    <row r="21081" spans="20:20" s="566" customFormat="1">
      <c r="T21081" s="41"/>
    </row>
    <row r="21082" spans="20:20" s="566" customFormat="1">
      <c r="T21082" s="41"/>
    </row>
    <row r="21083" spans="20:20" s="566" customFormat="1">
      <c r="T21083" s="41"/>
    </row>
    <row r="21084" spans="20:20" s="566" customFormat="1">
      <c r="T21084" s="41"/>
    </row>
    <row r="21085" spans="20:20" s="566" customFormat="1">
      <c r="T21085" s="41"/>
    </row>
    <row r="21086" spans="20:20" s="566" customFormat="1">
      <c r="T21086" s="41"/>
    </row>
    <row r="21087" spans="20:20" s="566" customFormat="1">
      <c r="T21087" s="41"/>
    </row>
    <row r="21088" spans="20:20" s="566" customFormat="1">
      <c r="T21088" s="41"/>
    </row>
    <row r="21089" spans="20:20" s="566" customFormat="1">
      <c r="T21089" s="41"/>
    </row>
    <row r="21090" spans="20:20" s="566" customFormat="1">
      <c r="T21090" s="41"/>
    </row>
    <row r="21091" spans="20:20" s="566" customFormat="1">
      <c r="T21091" s="41"/>
    </row>
    <row r="21092" spans="20:20" s="566" customFormat="1">
      <c r="T21092" s="41"/>
    </row>
    <row r="21093" spans="20:20" s="566" customFormat="1">
      <c r="T21093" s="41"/>
    </row>
    <row r="21094" spans="20:20" s="566" customFormat="1">
      <c r="T21094" s="41"/>
    </row>
    <row r="21095" spans="20:20" s="566" customFormat="1">
      <c r="T21095" s="41"/>
    </row>
    <row r="21096" spans="20:20" s="566" customFormat="1">
      <c r="T21096" s="41"/>
    </row>
    <row r="21097" spans="20:20" s="566" customFormat="1">
      <c r="T21097" s="41"/>
    </row>
    <row r="21098" spans="20:20" s="566" customFormat="1">
      <c r="T21098" s="41"/>
    </row>
    <row r="21099" spans="20:20" s="566" customFormat="1">
      <c r="T21099" s="41"/>
    </row>
    <row r="21100" spans="20:20" s="566" customFormat="1">
      <c r="T21100" s="41"/>
    </row>
    <row r="21101" spans="20:20" s="566" customFormat="1">
      <c r="T21101" s="41"/>
    </row>
    <row r="21102" spans="20:20" s="566" customFormat="1">
      <c r="T21102" s="41"/>
    </row>
    <row r="21103" spans="20:20" s="566" customFormat="1">
      <c r="T21103" s="41"/>
    </row>
    <row r="21104" spans="20:20" s="566" customFormat="1">
      <c r="T21104" s="41"/>
    </row>
    <row r="21105" spans="20:20" s="566" customFormat="1">
      <c r="T21105" s="41"/>
    </row>
    <row r="21106" spans="20:20" s="566" customFormat="1">
      <c r="T21106" s="41"/>
    </row>
    <row r="21107" spans="20:20" s="566" customFormat="1">
      <c r="T21107" s="41"/>
    </row>
    <row r="21108" spans="20:20" s="566" customFormat="1">
      <c r="T21108" s="41"/>
    </row>
    <row r="21109" spans="20:20" s="566" customFormat="1">
      <c r="T21109" s="41"/>
    </row>
    <row r="21110" spans="20:20" s="566" customFormat="1">
      <c r="T21110" s="41"/>
    </row>
    <row r="21111" spans="20:20" s="566" customFormat="1">
      <c r="T21111" s="41"/>
    </row>
    <row r="21112" spans="20:20" s="566" customFormat="1">
      <c r="T21112" s="41"/>
    </row>
    <row r="21113" spans="20:20" s="566" customFormat="1">
      <c r="T21113" s="41"/>
    </row>
    <row r="21114" spans="20:20" s="566" customFormat="1">
      <c r="T21114" s="41"/>
    </row>
    <row r="21115" spans="20:20" s="566" customFormat="1">
      <c r="T21115" s="41"/>
    </row>
    <row r="21116" spans="20:20" s="566" customFormat="1">
      <c r="T21116" s="41"/>
    </row>
    <row r="21117" spans="20:20" s="566" customFormat="1">
      <c r="T21117" s="41"/>
    </row>
    <row r="21118" spans="20:20" s="566" customFormat="1">
      <c r="T21118" s="41"/>
    </row>
    <row r="21119" spans="20:20" s="566" customFormat="1">
      <c r="T21119" s="41"/>
    </row>
    <row r="21120" spans="20:20" s="566" customFormat="1">
      <c r="T21120" s="41"/>
    </row>
    <row r="21121" spans="20:20" s="566" customFormat="1">
      <c r="T21121" s="41"/>
    </row>
    <row r="21122" spans="20:20" s="566" customFormat="1">
      <c r="T21122" s="41"/>
    </row>
    <row r="21123" spans="20:20" s="566" customFormat="1">
      <c r="T21123" s="41"/>
    </row>
    <row r="21124" spans="20:20" s="566" customFormat="1">
      <c r="T21124" s="41"/>
    </row>
    <row r="21125" spans="20:20" s="566" customFormat="1">
      <c r="T21125" s="41"/>
    </row>
    <row r="21126" spans="20:20" s="566" customFormat="1">
      <c r="T21126" s="41"/>
    </row>
    <row r="21127" spans="20:20" s="566" customFormat="1">
      <c r="T21127" s="41"/>
    </row>
    <row r="21128" spans="20:20" s="566" customFormat="1">
      <c r="T21128" s="41"/>
    </row>
    <row r="21129" spans="20:20" s="566" customFormat="1">
      <c r="T21129" s="41"/>
    </row>
    <row r="21130" spans="20:20" s="566" customFormat="1">
      <c r="T21130" s="41"/>
    </row>
    <row r="21131" spans="20:20" s="566" customFormat="1">
      <c r="T21131" s="41"/>
    </row>
    <row r="21132" spans="20:20" s="566" customFormat="1">
      <c r="T21132" s="41"/>
    </row>
    <row r="21133" spans="20:20" s="566" customFormat="1">
      <c r="T21133" s="41"/>
    </row>
    <row r="21134" spans="20:20" s="566" customFormat="1">
      <c r="T21134" s="41"/>
    </row>
    <row r="21135" spans="20:20" s="566" customFormat="1">
      <c r="T21135" s="41"/>
    </row>
    <row r="21136" spans="20:20" s="566" customFormat="1">
      <c r="T21136" s="41"/>
    </row>
    <row r="21137" spans="20:20" s="566" customFormat="1">
      <c r="T21137" s="41"/>
    </row>
    <row r="21138" spans="20:20" s="566" customFormat="1">
      <c r="T21138" s="41"/>
    </row>
    <row r="21139" spans="20:20" s="566" customFormat="1">
      <c r="T21139" s="41"/>
    </row>
    <row r="21140" spans="20:20" s="566" customFormat="1">
      <c r="T21140" s="41"/>
    </row>
    <row r="21141" spans="20:20" s="566" customFormat="1">
      <c r="T21141" s="41"/>
    </row>
    <row r="21142" spans="20:20" s="566" customFormat="1">
      <c r="T21142" s="41"/>
    </row>
    <row r="21143" spans="20:20" s="566" customFormat="1">
      <c r="T21143" s="41"/>
    </row>
    <row r="21144" spans="20:20" s="566" customFormat="1">
      <c r="T21144" s="41"/>
    </row>
    <row r="21145" spans="20:20" s="566" customFormat="1">
      <c r="T21145" s="41"/>
    </row>
    <row r="21146" spans="20:20" s="566" customFormat="1">
      <c r="T21146" s="41"/>
    </row>
    <row r="21147" spans="20:20" s="566" customFormat="1">
      <c r="T21147" s="41"/>
    </row>
    <row r="21148" spans="20:20" s="566" customFormat="1">
      <c r="T21148" s="41"/>
    </row>
    <row r="21149" spans="20:20" s="566" customFormat="1">
      <c r="T21149" s="41"/>
    </row>
    <row r="21150" spans="20:20" s="566" customFormat="1">
      <c r="T21150" s="41"/>
    </row>
    <row r="21151" spans="20:20" s="566" customFormat="1">
      <c r="T21151" s="41"/>
    </row>
    <row r="21152" spans="20:20" s="566" customFormat="1">
      <c r="T21152" s="41"/>
    </row>
    <row r="21153" spans="20:20" s="566" customFormat="1">
      <c r="T21153" s="41"/>
    </row>
    <row r="21154" spans="20:20" s="566" customFormat="1">
      <c r="T21154" s="41"/>
    </row>
    <row r="21155" spans="20:20" s="566" customFormat="1">
      <c r="T21155" s="41"/>
    </row>
    <row r="21156" spans="20:20" s="566" customFormat="1">
      <c r="T21156" s="41"/>
    </row>
    <row r="21157" spans="20:20" s="566" customFormat="1">
      <c r="T21157" s="41"/>
    </row>
    <row r="21158" spans="20:20" s="566" customFormat="1">
      <c r="T21158" s="41"/>
    </row>
    <row r="21159" spans="20:20" s="566" customFormat="1">
      <c r="T21159" s="41"/>
    </row>
    <row r="21160" spans="20:20" s="566" customFormat="1">
      <c r="T21160" s="41"/>
    </row>
    <row r="21161" spans="20:20" s="566" customFormat="1">
      <c r="T21161" s="41"/>
    </row>
    <row r="21162" spans="20:20" s="566" customFormat="1">
      <c r="T21162" s="41"/>
    </row>
    <row r="21163" spans="20:20" s="566" customFormat="1">
      <c r="T21163" s="41"/>
    </row>
    <row r="21164" spans="20:20" s="566" customFormat="1">
      <c r="T21164" s="41"/>
    </row>
    <row r="21165" spans="20:20" s="566" customFormat="1">
      <c r="T21165" s="41"/>
    </row>
    <row r="21166" spans="20:20" s="566" customFormat="1">
      <c r="T21166" s="41"/>
    </row>
    <row r="21167" spans="20:20" s="566" customFormat="1">
      <c r="T21167" s="41"/>
    </row>
    <row r="21168" spans="20:20" s="566" customFormat="1">
      <c r="T21168" s="41"/>
    </row>
    <row r="21169" spans="20:20" s="566" customFormat="1">
      <c r="T21169" s="41"/>
    </row>
    <row r="21170" spans="20:20" s="566" customFormat="1">
      <c r="T21170" s="41"/>
    </row>
    <row r="21171" spans="20:20" s="566" customFormat="1">
      <c r="T21171" s="41"/>
    </row>
    <row r="21172" spans="20:20" s="566" customFormat="1">
      <c r="T21172" s="41"/>
    </row>
    <row r="21173" spans="20:20" s="566" customFormat="1">
      <c r="T21173" s="41"/>
    </row>
    <row r="21174" spans="20:20" s="566" customFormat="1">
      <c r="T21174" s="41"/>
    </row>
    <row r="21175" spans="20:20" s="566" customFormat="1">
      <c r="T21175" s="41"/>
    </row>
    <row r="21176" spans="20:20" s="566" customFormat="1">
      <c r="T21176" s="41"/>
    </row>
    <row r="21177" spans="20:20" s="566" customFormat="1">
      <c r="T21177" s="41"/>
    </row>
    <row r="21178" spans="20:20" s="566" customFormat="1">
      <c r="T21178" s="41"/>
    </row>
    <row r="21179" spans="20:20" s="566" customFormat="1">
      <c r="T21179" s="41"/>
    </row>
    <row r="21180" spans="20:20" s="566" customFormat="1">
      <c r="T21180" s="41"/>
    </row>
    <row r="21181" spans="20:20" s="566" customFormat="1">
      <c r="T21181" s="41"/>
    </row>
    <row r="21182" spans="20:20" s="566" customFormat="1">
      <c r="T21182" s="41"/>
    </row>
    <row r="21183" spans="20:20" s="566" customFormat="1">
      <c r="T21183" s="41"/>
    </row>
    <row r="21184" spans="20:20" s="566" customFormat="1">
      <c r="T21184" s="41"/>
    </row>
    <row r="21185" spans="20:20" s="566" customFormat="1">
      <c r="T21185" s="41"/>
    </row>
    <row r="21186" spans="20:20" s="566" customFormat="1">
      <c r="T21186" s="41"/>
    </row>
    <row r="21187" spans="20:20" s="566" customFormat="1">
      <c r="T21187" s="41"/>
    </row>
    <row r="21188" spans="20:20" s="566" customFormat="1">
      <c r="T21188" s="41"/>
    </row>
    <row r="21189" spans="20:20" s="566" customFormat="1">
      <c r="T21189" s="41"/>
    </row>
    <row r="21190" spans="20:20" s="566" customFormat="1">
      <c r="T21190" s="41"/>
    </row>
    <row r="21191" spans="20:20" s="566" customFormat="1">
      <c r="T21191" s="41"/>
    </row>
    <row r="21192" spans="20:20" s="566" customFormat="1">
      <c r="T21192" s="41"/>
    </row>
    <row r="21193" spans="20:20" s="566" customFormat="1">
      <c r="T21193" s="41"/>
    </row>
    <row r="21194" spans="20:20" s="566" customFormat="1">
      <c r="T21194" s="41"/>
    </row>
    <row r="21195" spans="20:20" s="566" customFormat="1">
      <c r="T21195" s="41"/>
    </row>
    <row r="21196" spans="20:20" s="566" customFormat="1">
      <c r="T21196" s="41"/>
    </row>
    <row r="21197" spans="20:20" s="566" customFormat="1">
      <c r="T21197" s="41"/>
    </row>
    <row r="21198" spans="20:20" s="566" customFormat="1">
      <c r="T21198" s="41"/>
    </row>
    <row r="21199" spans="20:20" s="566" customFormat="1">
      <c r="T21199" s="41"/>
    </row>
    <row r="21200" spans="20:20" s="566" customFormat="1">
      <c r="T21200" s="41"/>
    </row>
    <row r="21201" spans="20:20" s="566" customFormat="1">
      <c r="T21201" s="41"/>
    </row>
    <row r="21202" spans="20:20" s="566" customFormat="1">
      <c r="T21202" s="41"/>
    </row>
    <row r="21203" spans="20:20" s="566" customFormat="1">
      <c r="T21203" s="41"/>
    </row>
    <row r="21204" spans="20:20" s="566" customFormat="1">
      <c r="T21204" s="41"/>
    </row>
    <row r="21205" spans="20:20" s="566" customFormat="1">
      <c r="T21205" s="41"/>
    </row>
    <row r="21206" spans="20:20" s="566" customFormat="1">
      <c r="T21206" s="41"/>
    </row>
    <row r="21207" spans="20:20" s="566" customFormat="1">
      <c r="T21207" s="41"/>
    </row>
    <row r="21208" spans="20:20" s="566" customFormat="1">
      <c r="T21208" s="41"/>
    </row>
    <row r="21209" spans="20:20" s="566" customFormat="1">
      <c r="T21209" s="41"/>
    </row>
    <row r="21210" spans="20:20" s="566" customFormat="1">
      <c r="T21210" s="41"/>
    </row>
    <row r="21211" spans="20:20" s="566" customFormat="1">
      <c r="T21211" s="41"/>
    </row>
    <row r="21212" spans="20:20" s="566" customFormat="1">
      <c r="T21212" s="41"/>
    </row>
    <row r="21213" spans="20:20" s="566" customFormat="1">
      <c r="T21213" s="41"/>
    </row>
    <row r="21214" spans="20:20" s="566" customFormat="1">
      <c r="T21214" s="41"/>
    </row>
    <row r="21215" spans="20:20" s="566" customFormat="1">
      <c r="T21215" s="41"/>
    </row>
    <row r="21216" spans="20:20" s="566" customFormat="1">
      <c r="T21216" s="41"/>
    </row>
    <row r="21217" spans="20:20" s="566" customFormat="1">
      <c r="T21217" s="41"/>
    </row>
    <row r="21218" spans="20:20" s="566" customFormat="1">
      <c r="T21218" s="41"/>
    </row>
    <row r="21219" spans="20:20" s="566" customFormat="1">
      <c r="T21219" s="41"/>
    </row>
    <row r="21220" spans="20:20" s="566" customFormat="1">
      <c r="T21220" s="41"/>
    </row>
    <row r="21221" spans="20:20" s="566" customFormat="1">
      <c r="T21221" s="41"/>
    </row>
    <row r="21222" spans="20:20" s="566" customFormat="1">
      <c r="T21222" s="41"/>
    </row>
    <row r="21223" spans="20:20" s="566" customFormat="1">
      <c r="T21223" s="41"/>
    </row>
    <row r="21224" spans="20:20" s="566" customFormat="1">
      <c r="T21224" s="41"/>
    </row>
    <row r="21225" spans="20:20" s="566" customFormat="1">
      <c r="T21225" s="41"/>
    </row>
    <row r="21226" spans="20:20" s="566" customFormat="1">
      <c r="T21226" s="41"/>
    </row>
    <row r="21227" spans="20:20" s="566" customFormat="1">
      <c r="T21227" s="41"/>
    </row>
    <row r="21228" spans="20:20" s="566" customFormat="1">
      <c r="T21228" s="41"/>
    </row>
    <row r="21229" spans="20:20" s="566" customFormat="1">
      <c r="T21229" s="41"/>
    </row>
    <row r="21230" spans="20:20" s="566" customFormat="1">
      <c r="T21230" s="41"/>
    </row>
    <row r="21231" spans="20:20" s="566" customFormat="1">
      <c r="T21231" s="41"/>
    </row>
    <row r="21232" spans="20:20" s="566" customFormat="1">
      <c r="T21232" s="41"/>
    </row>
    <row r="21233" spans="20:20" s="566" customFormat="1">
      <c r="T21233" s="41"/>
    </row>
    <row r="21234" spans="20:20" s="566" customFormat="1">
      <c r="T21234" s="41"/>
    </row>
    <row r="21235" spans="20:20" s="566" customFormat="1">
      <c r="T21235" s="41"/>
    </row>
    <row r="21236" spans="20:20" s="566" customFormat="1">
      <c r="T21236" s="41"/>
    </row>
    <row r="21237" spans="20:20" s="566" customFormat="1">
      <c r="T21237" s="41"/>
    </row>
    <row r="21238" spans="20:20" s="566" customFormat="1">
      <c r="T21238" s="41"/>
    </row>
    <row r="21239" spans="20:20" s="566" customFormat="1">
      <c r="T21239" s="41"/>
    </row>
    <row r="21240" spans="20:20" s="566" customFormat="1">
      <c r="T21240" s="41"/>
    </row>
    <row r="21241" spans="20:20" s="566" customFormat="1">
      <c r="T21241" s="41"/>
    </row>
    <row r="21242" spans="20:20" s="566" customFormat="1">
      <c r="T21242" s="41"/>
    </row>
    <row r="21243" spans="20:20" s="566" customFormat="1">
      <c r="T21243" s="41"/>
    </row>
    <row r="21244" spans="20:20" s="566" customFormat="1">
      <c r="T21244" s="41"/>
    </row>
    <row r="21245" spans="20:20" s="566" customFormat="1">
      <c r="T21245" s="41"/>
    </row>
    <row r="21246" spans="20:20" s="566" customFormat="1">
      <c r="T21246" s="41"/>
    </row>
    <row r="21247" spans="20:20" s="566" customFormat="1">
      <c r="T21247" s="41"/>
    </row>
    <row r="21248" spans="20:20" s="566" customFormat="1">
      <c r="T21248" s="41"/>
    </row>
    <row r="21249" spans="20:20" s="566" customFormat="1">
      <c r="T21249" s="41"/>
    </row>
    <row r="21250" spans="20:20" s="566" customFormat="1">
      <c r="T21250" s="41"/>
    </row>
    <row r="21251" spans="20:20" s="566" customFormat="1">
      <c r="T21251" s="41"/>
    </row>
    <row r="21252" spans="20:20" s="566" customFormat="1">
      <c r="T21252" s="41"/>
    </row>
    <row r="21253" spans="20:20" s="566" customFormat="1">
      <c r="T21253" s="41"/>
    </row>
    <row r="21254" spans="20:20" s="566" customFormat="1">
      <c r="T21254" s="41"/>
    </row>
    <row r="21255" spans="20:20" s="566" customFormat="1">
      <c r="T21255" s="41"/>
    </row>
    <row r="21256" spans="20:20" s="566" customFormat="1">
      <c r="T21256" s="41"/>
    </row>
    <row r="21257" spans="20:20" s="566" customFormat="1">
      <c r="T21257" s="41"/>
    </row>
    <row r="21258" spans="20:20" s="566" customFormat="1">
      <c r="T21258" s="41"/>
    </row>
    <row r="21259" spans="20:20" s="566" customFormat="1">
      <c r="T21259" s="41"/>
    </row>
    <row r="21260" spans="20:20" s="566" customFormat="1">
      <c r="T21260" s="41"/>
    </row>
    <row r="21261" spans="20:20" s="566" customFormat="1">
      <c r="T21261" s="41"/>
    </row>
    <row r="21262" spans="20:20" s="566" customFormat="1">
      <c r="T21262" s="41"/>
    </row>
    <row r="21263" spans="20:20" s="566" customFormat="1">
      <c r="T21263" s="41"/>
    </row>
    <row r="21264" spans="20:20" s="566" customFormat="1">
      <c r="T21264" s="41"/>
    </row>
    <row r="21265" spans="20:20" s="566" customFormat="1">
      <c r="T21265" s="41"/>
    </row>
    <row r="21266" spans="20:20" s="566" customFormat="1">
      <c r="T21266" s="41"/>
    </row>
    <row r="21267" spans="20:20" s="566" customFormat="1">
      <c r="T21267" s="41"/>
    </row>
    <row r="21268" spans="20:20" s="566" customFormat="1">
      <c r="T21268" s="41"/>
    </row>
    <row r="21269" spans="20:20" s="566" customFormat="1">
      <c r="T21269" s="41"/>
    </row>
    <row r="21270" spans="20:20" s="566" customFormat="1">
      <c r="T21270" s="41"/>
    </row>
    <row r="21271" spans="20:20" s="566" customFormat="1">
      <c r="T21271" s="41"/>
    </row>
    <row r="21272" spans="20:20" s="566" customFormat="1">
      <c r="T21272" s="41"/>
    </row>
    <row r="21273" spans="20:20" s="566" customFormat="1">
      <c r="T21273" s="41"/>
    </row>
    <row r="21274" spans="20:20" s="566" customFormat="1">
      <c r="T21274" s="41"/>
    </row>
    <row r="21275" spans="20:20" s="566" customFormat="1">
      <c r="T21275" s="41"/>
    </row>
    <row r="21276" spans="20:20" s="566" customFormat="1">
      <c r="T21276" s="41"/>
    </row>
    <row r="21277" spans="20:20" s="566" customFormat="1">
      <c r="T21277" s="41"/>
    </row>
    <row r="21278" spans="20:20" s="566" customFormat="1">
      <c r="T21278" s="41"/>
    </row>
    <row r="21279" spans="20:20" s="566" customFormat="1">
      <c r="T21279" s="41"/>
    </row>
    <row r="21280" spans="20:20" s="566" customFormat="1">
      <c r="T21280" s="41"/>
    </row>
    <row r="21281" spans="20:20" s="566" customFormat="1">
      <c r="T21281" s="41"/>
    </row>
    <row r="21282" spans="20:20" s="566" customFormat="1">
      <c r="T21282" s="41"/>
    </row>
    <row r="21283" spans="20:20" s="566" customFormat="1">
      <c r="T21283" s="41"/>
    </row>
    <row r="21284" spans="20:20" s="566" customFormat="1">
      <c r="T21284" s="41"/>
    </row>
    <row r="21285" spans="20:20" s="566" customFormat="1">
      <c r="T21285" s="41"/>
    </row>
    <row r="21286" spans="20:20" s="566" customFormat="1">
      <c r="T21286" s="41"/>
    </row>
    <row r="21287" spans="20:20" s="566" customFormat="1">
      <c r="T21287" s="41"/>
    </row>
    <row r="21288" spans="20:20" s="566" customFormat="1">
      <c r="T21288" s="41"/>
    </row>
    <row r="21289" spans="20:20" s="566" customFormat="1">
      <c r="T21289" s="41"/>
    </row>
    <row r="21290" spans="20:20" s="566" customFormat="1">
      <c r="T21290" s="41"/>
    </row>
    <row r="21291" spans="20:20" s="566" customFormat="1">
      <c r="T21291" s="41"/>
    </row>
    <row r="21292" spans="20:20" s="566" customFormat="1">
      <c r="T21292" s="41"/>
    </row>
    <row r="21293" spans="20:20" s="566" customFormat="1">
      <c r="T21293" s="41"/>
    </row>
    <row r="21294" spans="20:20" s="566" customFormat="1">
      <c r="T21294" s="41"/>
    </row>
    <row r="21295" spans="20:20" s="566" customFormat="1">
      <c r="T21295" s="41"/>
    </row>
    <row r="21296" spans="20:20" s="566" customFormat="1">
      <c r="T21296" s="41"/>
    </row>
    <row r="21297" spans="20:20" s="566" customFormat="1">
      <c r="T21297" s="41"/>
    </row>
    <row r="21298" spans="20:20" s="566" customFormat="1">
      <c r="T21298" s="41"/>
    </row>
    <row r="21299" spans="20:20" s="566" customFormat="1">
      <c r="T21299" s="41"/>
    </row>
    <row r="21300" spans="20:20" s="566" customFormat="1">
      <c r="T21300" s="41"/>
    </row>
    <row r="21301" spans="20:20" s="566" customFormat="1">
      <c r="T21301" s="41"/>
    </row>
    <row r="21302" spans="20:20" s="566" customFormat="1">
      <c r="T21302" s="41"/>
    </row>
    <row r="21303" spans="20:20" s="566" customFormat="1">
      <c r="T21303" s="41"/>
    </row>
    <row r="21304" spans="20:20" s="566" customFormat="1">
      <c r="T21304" s="41"/>
    </row>
    <row r="21305" spans="20:20" s="566" customFormat="1">
      <c r="T21305" s="41"/>
    </row>
    <row r="21306" spans="20:20" s="566" customFormat="1">
      <c r="T21306" s="41"/>
    </row>
    <row r="21307" spans="20:20" s="566" customFormat="1">
      <c r="T21307" s="41"/>
    </row>
    <row r="21308" spans="20:20" s="566" customFormat="1">
      <c r="T21308" s="41"/>
    </row>
    <row r="21309" spans="20:20" s="566" customFormat="1">
      <c r="T21309" s="41"/>
    </row>
    <row r="21310" spans="20:20" s="566" customFormat="1">
      <c r="T21310" s="41"/>
    </row>
    <row r="21311" spans="20:20" s="566" customFormat="1">
      <c r="T21311" s="41"/>
    </row>
    <row r="21312" spans="20:20" s="566" customFormat="1">
      <c r="T21312" s="41"/>
    </row>
    <row r="21313" spans="20:20" s="566" customFormat="1">
      <c r="T21313" s="41"/>
    </row>
    <row r="21314" spans="20:20" s="566" customFormat="1">
      <c r="T21314" s="41"/>
    </row>
    <row r="21315" spans="20:20" s="566" customFormat="1">
      <c r="T21315" s="41"/>
    </row>
    <row r="21316" spans="20:20" s="566" customFormat="1">
      <c r="T21316" s="41"/>
    </row>
    <row r="21317" spans="20:20" s="566" customFormat="1">
      <c r="T21317" s="41"/>
    </row>
    <row r="21318" spans="20:20" s="566" customFormat="1">
      <c r="T21318" s="41"/>
    </row>
    <row r="21319" spans="20:20" s="566" customFormat="1">
      <c r="T21319" s="41"/>
    </row>
    <row r="21320" spans="20:20" s="566" customFormat="1">
      <c r="T21320" s="41"/>
    </row>
    <row r="21321" spans="20:20" s="566" customFormat="1">
      <c r="T21321" s="41"/>
    </row>
    <row r="21322" spans="20:20" s="566" customFormat="1">
      <c r="T21322" s="41"/>
    </row>
    <row r="21323" spans="20:20" s="566" customFormat="1">
      <c r="T21323" s="41"/>
    </row>
    <row r="21324" spans="20:20" s="566" customFormat="1">
      <c r="T21324" s="41"/>
    </row>
    <row r="21325" spans="20:20" s="566" customFormat="1">
      <c r="T21325" s="41"/>
    </row>
    <row r="21326" spans="20:20" s="566" customFormat="1">
      <c r="T21326" s="41"/>
    </row>
    <row r="21327" spans="20:20" s="566" customFormat="1">
      <c r="T21327" s="41"/>
    </row>
    <row r="21328" spans="20:20" s="566" customFormat="1">
      <c r="T21328" s="41"/>
    </row>
    <row r="21329" spans="20:20" s="566" customFormat="1">
      <c r="T21329" s="41"/>
    </row>
    <row r="21330" spans="20:20" s="566" customFormat="1">
      <c r="T21330" s="41"/>
    </row>
    <row r="21331" spans="20:20" s="566" customFormat="1">
      <c r="T21331" s="41"/>
    </row>
    <row r="21332" spans="20:20" s="566" customFormat="1">
      <c r="T21332" s="41"/>
    </row>
    <row r="21333" spans="20:20" s="566" customFormat="1">
      <c r="T21333" s="41"/>
    </row>
    <row r="21334" spans="20:20" s="566" customFormat="1">
      <c r="T21334" s="41"/>
    </row>
    <row r="21335" spans="20:20" s="566" customFormat="1">
      <c r="T21335" s="41"/>
    </row>
    <row r="21336" spans="20:20" s="566" customFormat="1">
      <c r="T21336" s="41"/>
    </row>
    <row r="21337" spans="20:20" s="566" customFormat="1">
      <c r="T21337" s="41"/>
    </row>
    <row r="21338" spans="20:20" s="566" customFormat="1">
      <c r="T21338" s="41"/>
    </row>
    <row r="21339" spans="20:20" s="566" customFormat="1">
      <c r="T21339" s="41"/>
    </row>
    <row r="21340" spans="20:20" s="566" customFormat="1">
      <c r="T21340" s="41"/>
    </row>
    <row r="21341" spans="20:20" s="566" customFormat="1">
      <c r="T21341" s="41"/>
    </row>
    <row r="21342" spans="20:20" s="566" customFormat="1">
      <c r="T21342" s="41"/>
    </row>
    <row r="21343" spans="20:20" s="566" customFormat="1">
      <c r="T21343" s="41"/>
    </row>
    <row r="21344" spans="20:20" s="566" customFormat="1">
      <c r="T21344" s="41"/>
    </row>
    <row r="21345" spans="20:20" s="566" customFormat="1">
      <c r="T21345" s="41"/>
    </row>
    <row r="21346" spans="20:20" s="566" customFormat="1">
      <c r="T21346" s="41"/>
    </row>
    <row r="21347" spans="20:20" s="566" customFormat="1">
      <c r="T21347" s="41"/>
    </row>
    <row r="21348" spans="20:20" s="566" customFormat="1">
      <c r="T21348" s="41"/>
    </row>
    <row r="21349" spans="20:20" s="566" customFormat="1">
      <c r="T21349" s="41"/>
    </row>
    <row r="21350" spans="20:20" s="566" customFormat="1">
      <c r="T21350" s="41"/>
    </row>
    <row r="21351" spans="20:20" s="566" customFormat="1">
      <c r="T21351" s="41"/>
    </row>
    <row r="21352" spans="20:20" s="566" customFormat="1">
      <c r="T21352" s="41"/>
    </row>
    <row r="21353" spans="20:20" s="566" customFormat="1">
      <c r="T21353" s="41"/>
    </row>
    <row r="21354" spans="20:20" s="566" customFormat="1">
      <c r="T21354" s="41"/>
    </row>
    <row r="21355" spans="20:20" s="566" customFormat="1">
      <c r="T21355" s="41"/>
    </row>
    <row r="21356" spans="20:20" s="566" customFormat="1">
      <c r="T21356" s="41"/>
    </row>
    <row r="21357" spans="20:20" s="566" customFormat="1">
      <c r="T21357" s="41"/>
    </row>
    <row r="21358" spans="20:20" s="566" customFormat="1">
      <c r="T21358" s="41"/>
    </row>
    <row r="21359" spans="20:20" s="566" customFormat="1">
      <c r="T21359" s="41"/>
    </row>
    <row r="21360" spans="20:20" s="566" customFormat="1">
      <c r="T21360" s="41"/>
    </row>
    <row r="21361" spans="20:20" s="566" customFormat="1">
      <c r="T21361" s="41"/>
    </row>
    <row r="21362" spans="20:20" s="566" customFormat="1">
      <c r="T21362" s="41"/>
    </row>
    <row r="21363" spans="20:20" s="566" customFormat="1">
      <c r="T21363" s="41"/>
    </row>
    <row r="21364" spans="20:20" s="566" customFormat="1">
      <c r="T21364" s="41"/>
    </row>
    <row r="21365" spans="20:20" s="566" customFormat="1">
      <c r="T21365" s="41"/>
    </row>
    <row r="21366" spans="20:20" s="566" customFormat="1">
      <c r="T21366" s="41"/>
    </row>
    <row r="21367" spans="20:20" s="566" customFormat="1">
      <c r="T21367" s="41"/>
    </row>
    <row r="21368" spans="20:20" s="566" customFormat="1">
      <c r="T21368" s="41"/>
    </row>
    <row r="21369" spans="20:20" s="566" customFormat="1">
      <c r="T21369" s="41"/>
    </row>
    <row r="21370" spans="20:20" s="566" customFormat="1">
      <c r="T21370" s="41"/>
    </row>
    <row r="21371" spans="20:20" s="566" customFormat="1">
      <c r="T21371" s="41"/>
    </row>
    <row r="21372" spans="20:20" s="566" customFormat="1">
      <c r="T21372" s="41"/>
    </row>
    <row r="21373" spans="20:20" s="566" customFormat="1">
      <c r="T21373" s="41"/>
    </row>
    <row r="21374" spans="20:20" s="566" customFormat="1">
      <c r="T21374" s="41"/>
    </row>
    <row r="21375" spans="20:20" s="566" customFormat="1">
      <c r="T21375" s="41"/>
    </row>
    <row r="21376" spans="20:20" s="566" customFormat="1">
      <c r="T21376" s="41"/>
    </row>
    <row r="21377" spans="20:20" s="566" customFormat="1">
      <c r="T21377" s="41"/>
    </row>
    <row r="21378" spans="20:20" s="566" customFormat="1">
      <c r="T21378" s="41"/>
    </row>
    <row r="21379" spans="20:20" s="566" customFormat="1">
      <c r="T21379" s="41"/>
    </row>
    <row r="21380" spans="20:20" s="566" customFormat="1">
      <c r="T21380" s="41"/>
    </row>
    <row r="21381" spans="20:20" s="566" customFormat="1">
      <c r="T21381" s="41"/>
    </row>
    <row r="21382" spans="20:20" s="566" customFormat="1">
      <c r="T21382" s="41"/>
    </row>
    <row r="21383" spans="20:20" s="566" customFormat="1">
      <c r="T21383" s="41"/>
    </row>
    <row r="21384" spans="20:20" s="566" customFormat="1">
      <c r="T21384" s="41"/>
    </row>
    <row r="21385" spans="20:20" s="566" customFormat="1">
      <c r="T21385" s="41"/>
    </row>
    <row r="21386" spans="20:20" s="566" customFormat="1">
      <c r="T21386" s="41"/>
    </row>
    <row r="21387" spans="20:20" s="566" customFormat="1">
      <c r="T21387" s="41"/>
    </row>
    <row r="21388" spans="20:20" s="566" customFormat="1">
      <c r="T21388" s="41"/>
    </row>
    <row r="21389" spans="20:20" s="566" customFormat="1">
      <c r="T21389" s="41"/>
    </row>
    <row r="21390" spans="20:20" s="566" customFormat="1">
      <c r="T21390" s="41"/>
    </row>
    <row r="21391" spans="20:20" s="566" customFormat="1">
      <c r="T21391" s="41"/>
    </row>
    <row r="21392" spans="20:20" s="566" customFormat="1">
      <c r="T21392" s="41"/>
    </row>
    <row r="21393" spans="20:20" s="566" customFormat="1">
      <c r="T21393" s="41"/>
    </row>
    <row r="21394" spans="20:20" s="566" customFormat="1">
      <c r="T21394" s="41"/>
    </row>
    <row r="21395" spans="20:20" s="566" customFormat="1">
      <c r="T21395" s="41"/>
    </row>
    <row r="21396" spans="20:20" s="566" customFormat="1">
      <c r="T21396" s="41"/>
    </row>
    <row r="21397" spans="20:20" s="566" customFormat="1">
      <c r="T21397" s="41"/>
    </row>
    <row r="21398" spans="20:20" s="566" customFormat="1">
      <c r="T21398" s="41"/>
    </row>
    <row r="21399" spans="20:20" s="566" customFormat="1">
      <c r="T21399" s="41"/>
    </row>
    <row r="21400" spans="20:20" s="566" customFormat="1">
      <c r="T21400" s="41"/>
    </row>
    <row r="21401" spans="20:20" s="566" customFormat="1">
      <c r="T21401" s="41"/>
    </row>
    <row r="21402" spans="20:20" s="566" customFormat="1">
      <c r="T21402" s="41"/>
    </row>
    <row r="21403" spans="20:20" s="566" customFormat="1">
      <c r="T21403" s="41"/>
    </row>
    <row r="21404" spans="20:20" s="566" customFormat="1">
      <c r="T21404" s="41"/>
    </row>
    <row r="21405" spans="20:20" s="566" customFormat="1">
      <c r="T21405" s="41"/>
    </row>
    <row r="21406" spans="20:20" s="566" customFormat="1">
      <c r="T21406" s="41"/>
    </row>
    <row r="21407" spans="20:20" s="566" customFormat="1">
      <c r="T21407" s="41"/>
    </row>
    <row r="21408" spans="20:20" s="566" customFormat="1">
      <c r="T21408" s="41"/>
    </row>
    <row r="21409" spans="20:20" s="566" customFormat="1">
      <c r="T21409" s="41"/>
    </row>
    <row r="21410" spans="20:20" s="566" customFormat="1">
      <c r="T21410" s="41"/>
    </row>
    <row r="21411" spans="20:20" s="566" customFormat="1">
      <c r="T21411" s="41"/>
    </row>
    <row r="21412" spans="20:20" s="566" customFormat="1">
      <c r="T21412" s="41"/>
    </row>
    <row r="21413" spans="20:20" s="566" customFormat="1">
      <c r="T21413" s="41"/>
    </row>
    <row r="21414" spans="20:20" s="566" customFormat="1">
      <c r="T21414" s="41"/>
    </row>
    <row r="21415" spans="20:20" s="566" customFormat="1">
      <c r="T21415" s="41"/>
    </row>
    <row r="21416" spans="20:20" s="566" customFormat="1">
      <c r="T21416" s="41"/>
    </row>
    <row r="21417" spans="20:20" s="566" customFormat="1">
      <c r="T21417" s="41"/>
    </row>
    <row r="21418" spans="20:20" s="566" customFormat="1">
      <c r="T21418" s="41"/>
    </row>
    <row r="21419" spans="20:20" s="566" customFormat="1">
      <c r="T21419" s="41"/>
    </row>
    <row r="21420" spans="20:20" s="566" customFormat="1">
      <c r="T21420" s="41"/>
    </row>
    <row r="21421" spans="20:20" s="566" customFormat="1">
      <c r="T21421" s="41"/>
    </row>
    <row r="21422" spans="20:20" s="566" customFormat="1">
      <c r="T21422" s="41"/>
    </row>
    <row r="21423" spans="20:20" s="566" customFormat="1">
      <c r="T21423" s="41"/>
    </row>
    <row r="21424" spans="20:20" s="566" customFormat="1">
      <c r="T21424" s="41"/>
    </row>
    <row r="21425" spans="20:20" s="566" customFormat="1">
      <c r="T21425" s="41"/>
    </row>
    <row r="21426" spans="20:20" s="566" customFormat="1">
      <c r="T21426" s="41"/>
    </row>
    <row r="21427" spans="20:20" s="566" customFormat="1">
      <c r="T21427" s="41"/>
    </row>
    <row r="21428" spans="20:20" s="566" customFormat="1">
      <c r="T21428" s="41"/>
    </row>
    <row r="21429" spans="20:20" s="566" customFormat="1">
      <c r="T21429" s="41"/>
    </row>
    <row r="21430" spans="20:20" s="566" customFormat="1">
      <c r="T21430" s="41"/>
    </row>
    <row r="21431" spans="20:20" s="566" customFormat="1">
      <c r="T21431" s="41"/>
    </row>
    <row r="21432" spans="20:20" s="566" customFormat="1">
      <c r="T21432" s="41"/>
    </row>
    <row r="21433" spans="20:20" s="566" customFormat="1">
      <c r="T21433" s="41"/>
    </row>
    <row r="21434" spans="20:20" s="566" customFormat="1">
      <c r="T21434" s="41"/>
    </row>
    <row r="21435" spans="20:20" s="566" customFormat="1">
      <c r="T21435" s="41"/>
    </row>
    <row r="21436" spans="20:20" s="566" customFormat="1">
      <c r="T21436" s="41"/>
    </row>
    <row r="21437" spans="20:20" s="566" customFormat="1">
      <c r="T21437" s="41"/>
    </row>
    <row r="21438" spans="20:20" s="566" customFormat="1">
      <c r="T21438" s="41"/>
    </row>
    <row r="21439" spans="20:20" s="566" customFormat="1">
      <c r="T21439" s="41"/>
    </row>
    <row r="21440" spans="20:20" s="566" customFormat="1">
      <c r="T21440" s="41"/>
    </row>
    <row r="21441" spans="20:20" s="566" customFormat="1">
      <c r="T21441" s="41"/>
    </row>
    <row r="21442" spans="20:20" s="566" customFormat="1">
      <c r="T21442" s="41"/>
    </row>
    <row r="21443" spans="20:20" s="566" customFormat="1">
      <c r="T21443" s="41"/>
    </row>
    <row r="21444" spans="20:20" s="566" customFormat="1">
      <c r="T21444" s="41"/>
    </row>
    <row r="21445" spans="20:20" s="566" customFormat="1">
      <c r="T21445" s="41"/>
    </row>
    <row r="21446" spans="20:20" s="566" customFormat="1">
      <c r="T21446" s="41"/>
    </row>
    <row r="21447" spans="20:20" s="566" customFormat="1">
      <c r="T21447" s="41"/>
    </row>
    <row r="21448" spans="20:20" s="566" customFormat="1">
      <c r="T21448" s="41"/>
    </row>
    <row r="21449" spans="20:20" s="566" customFormat="1">
      <c r="T21449" s="41"/>
    </row>
    <row r="21450" spans="20:20" s="566" customFormat="1">
      <c r="T21450" s="41"/>
    </row>
    <row r="21451" spans="20:20" s="566" customFormat="1">
      <c r="T21451" s="41"/>
    </row>
    <row r="21452" spans="20:20" s="566" customFormat="1">
      <c r="T21452" s="41"/>
    </row>
    <row r="21453" spans="20:20" s="566" customFormat="1">
      <c r="T21453" s="41"/>
    </row>
    <row r="21454" spans="20:20" s="566" customFormat="1">
      <c r="T21454" s="41"/>
    </row>
    <row r="21455" spans="20:20" s="566" customFormat="1">
      <c r="T21455" s="41"/>
    </row>
    <row r="21456" spans="20:20" s="566" customFormat="1">
      <c r="T21456" s="41"/>
    </row>
    <row r="21457" spans="20:20" s="566" customFormat="1">
      <c r="T21457" s="41"/>
    </row>
    <row r="21458" spans="20:20" s="566" customFormat="1">
      <c r="T21458" s="41"/>
    </row>
    <row r="21459" spans="20:20" s="566" customFormat="1">
      <c r="T21459" s="41"/>
    </row>
    <row r="21460" spans="20:20" s="566" customFormat="1">
      <c r="T21460" s="41"/>
    </row>
    <row r="21461" spans="20:20" s="566" customFormat="1">
      <c r="T21461" s="41"/>
    </row>
    <row r="21462" spans="20:20" s="566" customFormat="1">
      <c r="T21462" s="41"/>
    </row>
    <row r="21463" spans="20:20" s="566" customFormat="1">
      <c r="T21463" s="41"/>
    </row>
    <row r="21464" spans="20:20" s="566" customFormat="1">
      <c r="T21464" s="41"/>
    </row>
    <row r="21465" spans="20:20" s="566" customFormat="1">
      <c r="T21465" s="41"/>
    </row>
    <row r="21466" spans="20:20" s="566" customFormat="1">
      <c r="T21466" s="41"/>
    </row>
    <row r="21467" spans="20:20" s="566" customFormat="1">
      <c r="T21467" s="41"/>
    </row>
    <row r="21468" spans="20:20" s="566" customFormat="1">
      <c r="T21468" s="41"/>
    </row>
    <row r="21469" spans="20:20" s="566" customFormat="1">
      <c r="T21469" s="41"/>
    </row>
    <row r="21470" spans="20:20" s="566" customFormat="1">
      <c r="T21470" s="41"/>
    </row>
    <row r="21471" spans="20:20" s="566" customFormat="1">
      <c r="T21471" s="41"/>
    </row>
    <row r="21472" spans="20:20" s="566" customFormat="1">
      <c r="T21472" s="41"/>
    </row>
    <row r="21473" spans="20:20" s="566" customFormat="1">
      <c r="T21473" s="41"/>
    </row>
    <row r="21474" spans="20:20" s="566" customFormat="1">
      <c r="T21474" s="41"/>
    </row>
    <row r="21475" spans="20:20" s="566" customFormat="1">
      <c r="T21475" s="41"/>
    </row>
    <row r="21476" spans="20:20" s="566" customFormat="1">
      <c r="T21476" s="41"/>
    </row>
    <row r="21477" spans="20:20" s="566" customFormat="1">
      <c r="T21477" s="41"/>
    </row>
    <row r="21478" spans="20:20" s="566" customFormat="1">
      <c r="T21478" s="41"/>
    </row>
    <row r="21479" spans="20:20" s="566" customFormat="1">
      <c r="T21479" s="41"/>
    </row>
    <row r="21480" spans="20:20" s="566" customFormat="1">
      <c r="T21480" s="41"/>
    </row>
    <row r="21481" spans="20:20" s="566" customFormat="1">
      <c r="T21481" s="41"/>
    </row>
    <row r="21482" spans="20:20" s="566" customFormat="1">
      <c r="T21482" s="41"/>
    </row>
    <row r="21483" spans="20:20" s="566" customFormat="1">
      <c r="T21483" s="41"/>
    </row>
    <row r="21484" spans="20:20" s="566" customFormat="1">
      <c r="T21484" s="41"/>
    </row>
    <row r="21485" spans="20:20" s="566" customFormat="1">
      <c r="T21485" s="41"/>
    </row>
    <row r="21486" spans="20:20" s="566" customFormat="1">
      <c r="T21486" s="41"/>
    </row>
    <row r="21487" spans="20:20" s="566" customFormat="1">
      <c r="T21487" s="41"/>
    </row>
    <row r="21488" spans="20:20" s="566" customFormat="1">
      <c r="T21488" s="41"/>
    </row>
    <row r="21489" spans="20:20" s="566" customFormat="1">
      <c r="T21489" s="41"/>
    </row>
    <row r="21490" spans="20:20" s="566" customFormat="1">
      <c r="T21490" s="41"/>
    </row>
    <row r="21491" spans="20:20" s="566" customFormat="1">
      <c r="T21491" s="41"/>
    </row>
    <row r="21492" spans="20:20" s="566" customFormat="1">
      <c r="T21492" s="41"/>
    </row>
    <row r="21493" spans="20:20" s="566" customFormat="1">
      <c r="T21493" s="41"/>
    </row>
    <row r="21494" spans="20:20" s="566" customFormat="1">
      <c r="T21494" s="41"/>
    </row>
    <row r="21495" spans="20:20" s="566" customFormat="1">
      <c r="T21495" s="41"/>
    </row>
    <row r="21496" spans="20:20" s="566" customFormat="1">
      <c r="T21496" s="41"/>
    </row>
    <row r="21497" spans="20:20" s="566" customFormat="1">
      <c r="T21497" s="41"/>
    </row>
    <row r="21498" spans="20:20" s="566" customFormat="1">
      <c r="T21498" s="41"/>
    </row>
    <row r="21499" spans="20:20" s="566" customFormat="1">
      <c r="T21499" s="41"/>
    </row>
    <row r="21500" spans="20:20" s="566" customFormat="1">
      <c r="T21500" s="41"/>
    </row>
    <row r="21501" spans="20:20" s="566" customFormat="1">
      <c r="T21501" s="41"/>
    </row>
    <row r="21502" spans="20:20" s="566" customFormat="1">
      <c r="T21502" s="41"/>
    </row>
    <row r="21503" spans="20:20" s="566" customFormat="1">
      <c r="T21503" s="41"/>
    </row>
    <row r="21504" spans="20:20" s="566" customFormat="1">
      <c r="T21504" s="41"/>
    </row>
    <row r="21505" spans="20:20" s="566" customFormat="1">
      <c r="T21505" s="41"/>
    </row>
    <row r="21506" spans="20:20" s="566" customFormat="1">
      <c r="T21506" s="41"/>
    </row>
    <row r="21507" spans="20:20" s="566" customFormat="1">
      <c r="T21507" s="41"/>
    </row>
    <row r="21508" spans="20:20" s="566" customFormat="1">
      <c r="T21508" s="41"/>
    </row>
    <row r="21509" spans="20:20" s="566" customFormat="1">
      <c r="T21509" s="41"/>
    </row>
    <row r="21510" spans="20:20" s="566" customFormat="1">
      <c r="T21510" s="41"/>
    </row>
    <row r="21511" spans="20:20" s="566" customFormat="1">
      <c r="T21511" s="41"/>
    </row>
    <row r="21512" spans="20:20" s="566" customFormat="1">
      <c r="T21512" s="41"/>
    </row>
    <row r="21513" spans="20:20" s="566" customFormat="1">
      <c r="T21513" s="41"/>
    </row>
    <row r="21514" spans="20:20" s="566" customFormat="1">
      <c r="T21514" s="41"/>
    </row>
    <row r="21515" spans="20:20" s="566" customFormat="1">
      <c r="T21515" s="41"/>
    </row>
    <row r="21516" spans="20:20" s="566" customFormat="1">
      <c r="T21516" s="41"/>
    </row>
    <row r="21517" spans="20:20" s="566" customFormat="1">
      <c r="T21517" s="41"/>
    </row>
    <row r="21518" spans="20:20" s="566" customFormat="1">
      <c r="T21518" s="41"/>
    </row>
    <row r="21519" spans="20:20" s="566" customFormat="1">
      <c r="T21519" s="41"/>
    </row>
    <row r="21520" spans="20:20" s="566" customFormat="1">
      <c r="T21520" s="41"/>
    </row>
    <row r="21521" spans="20:20" s="566" customFormat="1">
      <c r="T21521" s="41"/>
    </row>
    <row r="21522" spans="20:20" s="566" customFormat="1">
      <c r="T21522" s="41"/>
    </row>
    <row r="21523" spans="20:20" s="566" customFormat="1">
      <c r="T21523" s="41"/>
    </row>
    <row r="21524" spans="20:20" s="566" customFormat="1">
      <c r="T21524" s="41"/>
    </row>
    <row r="21525" spans="20:20" s="566" customFormat="1">
      <c r="T21525" s="41"/>
    </row>
    <row r="21526" spans="20:20" s="566" customFormat="1">
      <c r="T21526" s="41"/>
    </row>
    <row r="21527" spans="20:20" s="566" customFormat="1">
      <c r="T21527" s="41"/>
    </row>
    <row r="21528" spans="20:20" s="566" customFormat="1">
      <c r="T21528" s="41"/>
    </row>
    <row r="21529" spans="20:20" s="566" customFormat="1">
      <c r="T21529" s="41"/>
    </row>
    <row r="21530" spans="20:20" s="566" customFormat="1">
      <c r="T21530" s="41"/>
    </row>
    <row r="21531" spans="20:20" s="566" customFormat="1">
      <c r="T21531" s="41"/>
    </row>
    <row r="21532" spans="20:20" s="566" customFormat="1">
      <c r="T21532" s="41"/>
    </row>
    <row r="21533" spans="20:20" s="566" customFormat="1">
      <c r="T21533" s="41"/>
    </row>
    <row r="21534" spans="20:20" s="566" customFormat="1">
      <c r="T21534" s="41"/>
    </row>
    <row r="21535" spans="20:20" s="566" customFormat="1">
      <c r="T21535" s="41"/>
    </row>
    <row r="21536" spans="20:20" s="566" customFormat="1">
      <c r="T21536" s="41"/>
    </row>
    <row r="21537" spans="20:20" s="566" customFormat="1">
      <c r="T21537" s="41"/>
    </row>
    <row r="21538" spans="20:20" s="566" customFormat="1">
      <c r="T21538" s="41"/>
    </row>
    <row r="21539" spans="20:20" s="566" customFormat="1">
      <c r="T21539" s="41"/>
    </row>
    <row r="21540" spans="20:20" s="566" customFormat="1">
      <c r="T21540" s="41"/>
    </row>
    <row r="21541" spans="20:20" s="566" customFormat="1">
      <c r="T21541" s="41"/>
    </row>
    <row r="21542" spans="20:20" s="566" customFormat="1">
      <c r="T21542" s="41"/>
    </row>
    <row r="21543" spans="20:20" s="566" customFormat="1">
      <c r="T21543" s="41"/>
    </row>
    <row r="21544" spans="20:20" s="566" customFormat="1">
      <c r="T21544" s="41"/>
    </row>
    <row r="21545" spans="20:20" s="566" customFormat="1">
      <c r="T21545" s="41"/>
    </row>
    <row r="21546" spans="20:20" s="566" customFormat="1">
      <c r="T21546" s="41"/>
    </row>
    <row r="21547" spans="20:20" s="566" customFormat="1">
      <c r="T21547" s="41"/>
    </row>
    <row r="21548" spans="20:20" s="566" customFormat="1">
      <c r="T21548" s="41"/>
    </row>
    <row r="21549" spans="20:20" s="566" customFormat="1">
      <c r="T21549" s="41"/>
    </row>
    <row r="21550" spans="20:20" s="566" customFormat="1">
      <c r="T21550" s="41"/>
    </row>
    <row r="21551" spans="20:20" s="566" customFormat="1">
      <c r="T21551" s="41"/>
    </row>
    <row r="21552" spans="20:20" s="566" customFormat="1">
      <c r="T21552" s="41"/>
    </row>
    <row r="21553" spans="20:20" s="566" customFormat="1">
      <c r="T21553" s="41"/>
    </row>
    <row r="21554" spans="20:20" s="566" customFormat="1">
      <c r="T21554" s="41"/>
    </row>
    <row r="21555" spans="20:20" s="566" customFormat="1">
      <c r="T21555" s="41"/>
    </row>
    <row r="21556" spans="20:20" s="566" customFormat="1">
      <c r="T21556" s="41"/>
    </row>
    <row r="21557" spans="20:20" s="566" customFormat="1">
      <c r="T21557" s="41"/>
    </row>
    <row r="21558" spans="20:20" s="566" customFormat="1">
      <c r="T21558" s="41"/>
    </row>
    <row r="21559" spans="20:20" s="566" customFormat="1">
      <c r="T21559" s="41"/>
    </row>
    <row r="21560" spans="20:20" s="566" customFormat="1">
      <c r="T21560" s="41"/>
    </row>
    <row r="21561" spans="20:20" s="566" customFormat="1">
      <c r="T21561" s="41"/>
    </row>
    <row r="21562" spans="20:20" s="566" customFormat="1">
      <c r="T21562" s="41"/>
    </row>
    <row r="21563" spans="20:20" s="566" customFormat="1">
      <c r="T21563" s="41"/>
    </row>
    <row r="21564" spans="20:20" s="566" customFormat="1">
      <c r="T21564" s="41"/>
    </row>
    <row r="21565" spans="20:20" s="566" customFormat="1">
      <c r="T21565" s="41"/>
    </row>
    <row r="21566" spans="20:20" s="566" customFormat="1">
      <c r="T21566" s="41"/>
    </row>
    <row r="21567" spans="20:20" s="566" customFormat="1">
      <c r="T21567" s="41"/>
    </row>
    <row r="21568" spans="20:20" s="566" customFormat="1">
      <c r="T21568" s="41"/>
    </row>
    <row r="21569" spans="20:20" s="566" customFormat="1">
      <c r="T21569" s="41"/>
    </row>
    <row r="21570" spans="20:20" s="566" customFormat="1">
      <c r="T21570" s="41"/>
    </row>
    <row r="21571" spans="20:20" s="566" customFormat="1">
      <c r="T21571" s="41"/>
    </row>
    <row r="21572" spans="20:20" s="566" customFormat="1">
      <c r="T21572" s="41"/>
    </row>
    <row r="21573" spans="20:20" s="566" customFormat="1">
      <c r="T21573" s="41"/>
    </row>
    <row r="21574" spans="20:20" s="566" customFormat="1">
      <c r="T21574" s="41"/>
    </row>
    <row r="21575" spans="20:20" s="566" customFormat="1">
      <c r="T21575" s="41"/>
    </row>
    <row r="21576" spans="20:20" s="566" customFormat="1">
      <c r="T21576" s="41"/>
    </row>
    <row r="21577" spans="20:20" s="566" customFormat="1">
      <c r="T21577" s="41"/>
    </row>
    <row r="21578" spans="20:20" s="566" customFormat="1">
      <c r="T21578" s="41"/>
    </row>
    <row r="21579" spans="20:20" s="566" customFormat="1">
      <c r="T21579" s="41"/>
    </row>
    <row r="21580" spans="20:20" s="566" customFormat="1">
      <c r="T21580" s="41"/>
    </row>
    <row r="21581" spans="20:20" s="566" customFormat="1">
      <c r="T21581" s="41"/>
    </row>
    <row r="21582" spans="20:20" s="566" customFormat="1">
      <c r="T21582" s="41"/>
    </row>
    <row r="21583" spans="20:20" s="566" customFormat="1">
      <c r="T21583" s="41"/>
    </row>
    <row r="21584" spans="20:20" s="566" customFormat="1">
      <c r="T21584" s="41"/>
    </row>
    <row r="21585" spans="20:20" s="566" customFormat="1">
      <c r="T21585" s="41"/>
    </row>
    <row r="21586" spans="20:20" s="566" customFormat="1">
      <c r="T21586" s="41"/>
    </row>
    <row r="21587" spans="20:20" s="566" customFormat="1">
      <c r="T21587" s="41"/>
    </row>
    <row r="21588" spans="20:20" s="566" customFormat="1">
      <c r="T21588" s="41"/>
    </row>
    <row r="21589" spans="20:20" s="566" customFormat="1">
      <c r="T21589" s="41"/>
    </row>
    <row r="21590" spans="20:20" s="566" customFormat="1">
      <c r="T21590" s="41"/>
    </row>
    <row r="21591" spans="20:20" s="566" customFormat="1">
      <c r="T21591" s="41"/>
    </row>
    <row r="21592" spans="20:20" s="566" customFormat="1">
      <c r="T21592" s="41"/>
    </row>
    <row r="21593" spans="20:20" s="566" customFormat="1">
      <c r="T21593" s="41"/>
    </row>
    <row r="21594" spans="20:20" s="566" customFormat="1">
      <c r="T21594" s="41"/>
    </row>
    <row r="21595" spans="20:20" s="566" customFormat="1">
      <c r="T21595" s="41"/>
    </row>
    <row r="21596" spans="20:20" s="566" customFormat="1">
      <c r="T21596" s="41"/>
    </row>
    <row r="21597" spans="20:20" s="566" customFormat="1">
      <c r="T21597" s="41"/>
    </row>
    <row r="21598" spans="20:20" s="566" customFormat="1">
      <c r="T21598" s="41"/>
    </row>
    <row r="21599" spans="20:20" s="566" customFormat="1">
      <c r="T21599" s="41"/>
    </row>
    <row r="21600" spans="20:20" s="566" customFormat="1">
      <c r="T21600" s="41"/>
    </row>
    <row r="21601" spans="20:20" s="566" customFormat="1">
      <c r="T21601" s="41"/>
    </row>
    <row r="21602" spans="20:20" s="566" customFormat="1">
      <c r="T21602" s="41"/>
    </row>
    <row r="21603" spans="20:20" s="566" customFormat="1">
      <c r="T21603" s="41"/>
    </row>
    <row r="21604" spans="20:20" s="566" customFormat="1">
      <c r="T21604" s="41"/>
    </row>
    <row r="21605" spans="20:20" s="566" customFormat="1">
      <c r="T21605" s="41"/>
    </row>
    <row r="21606" spans="20:20" s="566" customFormat="1">
      <c r="T21606" s="41"/>
    </row>
    <row r="21607" spans="20:20" s="566" customFormat="1">
      <c r="T21607" s="41"/>
    </row>
    <row r="21608" spans="20:20" s="566" customFormat="1">
      <c r="T21608" s="41"/>
    </row>
    <row r="21609" spans="20:20" s="566" customFormat="1">
      <c r="T21609" s="41"/>
    </row>
    <row r="21610" spans="20:20" s="566" customFormat="1">
      <c r="T21610" s="41"/>
    </row>
    <row r="21611" spans="20:20" s="566" customFormat="1">
      <c r="T21611" s="41"/>
    </row>
    <row r="21612" spans="20:20" s="566" customFormat="1">
      <c r="T21612" s="41"/>
    </row>
    <row r="21613" spans="20:20" s="566" customFormat="1">
      <c r="T21613" s="41"/>
    </row>
    <row r="21614" spans="20:20" s="566" customFormat="1">
      <c r="T21614" s="41"/>
    </row>
    <row r="21615" spans="20:20" s="566" customFormat="1">
      <c r="T21615" s="41"/>
    </row>
    <row r="21616" spans="20:20" s="566" customFormat="1">
      <c r="T21616" s="41"/>
    </row>
    <row r="21617" spans="20:20" s="566" customFormat="1">
      <c r="T21617" s="41"/>
    </row>
    <row r="21618" spans="20:20" s="566" customFormat="1">
      <c r="T21618" s="41"/>
    </row>
    <row r="21619" spans="20:20" s="566" customFormat="1">
      <c r="T21619" s="41"/>
    </row>
    <row r="21620" spans="20:20" s="566" customFormat="1">
      <c r="T21620" s="41"/>
    </row>
    <row r="21621" spans="20:20" s="566" customFormat="1">
      <c r="T21621" s="41"/>
    </row>
    <row r="21622" spans="20:20" s="566" customFormat="1">
      <c r="T21622" s="41"/>
    </row>
    <row r="21623" spans="20:20" s="566" customFormat="1">
      <c r="T21623" s="41"/>
    </row>
    <row r="21624" spans="20:20" s="566" customFormat="1">
      <c r="T21624" s="41"/>
    </row>
    <row r="21625" spans="20:20" s="566" customFormat="1">
      <c r="T21625" s="41"/>
    </row>
    <row r="21626" spans="20:20" s="566" customFormat="1">
      <c r="T21626" s="41"/>
    </row>
    <row r="21627" spans="20:20" s="566" customFormat="1">
      <c r="T21627" s="41"/>
    </row>
    <row r="21628" spans="20:20" s="566" customFormat="1">
      <c r="T21628" s="41"/>
    </row>
    <row r="21629" spans="20:20" s="566" customFormat="1">
      <c r="T21629" s="41"/>
    </row>
    <row r="21630" spans="20:20" s="566" customFormat="1">
      <c r="T21630" s="41"/>
    </row>
    <row r="21631" spans="20:20" s="566" customFormat="1">
      <c r="T21631" s="41"/>
    </row>
    <row r="21632" spans="20:20" s="566" customFormat="1">
      <c r="T21632" s="41"/>
    </row>
    <row r="21633" spans="20:20" s="566" customFormat="1">
      <c r="T21633" s="41"/>
    </row>
    <row r="21634" spans="20:20" s="566" customFormat="1">
      <c r="T21634" s="41"/>
    </row>
    <row r="21635" spans="20:20" s="566" customFormat="1">
      <c r="T21635" s="41"/>
    </row>
    <row r="21636" spans="20:20" s="566" customFormat="1">
      <c r="T21636" s="41"/>
    </row>
    <row r="21637" spans="20:20" s="566" customFormat="1">
      <c r="T21637" s="41"/>
    </row>
    <row r="21638" spans="20:20" s="566" customFormat="1">
      <c r="T21638" s="41"/>
    </row>
    <row r="21639" spans="20:20" s="566" customFormat="1">
      <c r="T21639" s="41"/>
    </row>
    <row r="21640" spans="20:20" s="566" customFormat="1">
      <c r="T21640" s="41"/>
    </row>
    <row r="21641" spans="20:20" s="566" customFormat="1">
      <c r="T21641" s="41"/>
    </row>
    <row r="21642" spans="20:20" s="566" customFormat="1">
      <c r="T21642" s="41"/>
    </row>
    <row r="21643" spans="20:20" s="566" customFormat="1">
      <c r="T21643" s="41"/>
    </row>
    <row r="21644" spans="20:20" s="566" customFormat="1">
      <c r="T21644" s="41"/>
    </row>
    <row r="21645" spans="20:20" s="566" customFormat="1">
      <c r="T21645" s="41"/>
    </row>
    <row r="21646" spans="20:20" s="566" customFormat="1">
      <c r="T21646" s="41"/>
    </row>
    <row r="21647" spans="20:20" s="566" customFormat="1">
      <c r="T21647" s="41"/>
    </row>
    <row r="21648" spans="20:20" s="566" customFormat="1">
      <c r="T21648" s="41"/>
    </row>
    <row r="21649" spans="20:20" s="566" customFormat="1">
      <c r="T21649" s="41"/>
    </row>
    <row r="21650" spans="20:20" s="566" customFormat="1">
      <c r="T21650" s="41"/>
    </row>
    <row r="21651" spans="20:20" s="566" customFormat="1">
      <c r="T21651" s="41"/>
    </row>
    <row r="21652" spans="20:20" s="566" customFormat="1">
      <c r="T21652" s="41"/>
    </row>
    <row r="21653" spans="20:20" s="566" customFormat="1">
      <c r="T21653" s="41"/>
    </row>
    <row r="21654" spans="20:20" s="566" customFormat="1">
      <c r="T21654" s="41"/>
    </row>
    <row r="21655" spans="20:20" s="566" customFormat="1">
      <c r="T21655" s="41"/>
    </row>
    <row r="21656" spans="20:20" s="566" customFormat="1">
      <c r="T21656" s="41"/>
    </row>
    <row r="21657" spans="20:20" s="566" customFormat="1">
      <c r="T21657" s="41"/>
    </row>
    <row r="21658" spans="20:20" s="566" customFormat="1">
      <c r="T21658" s="41"/>
    </row>
    <row r="21659" spans="20:20" s="566" customFormat="1">
      <c r="T21659" s="41"/>
    </row>
    <row r="21660" spans="20:20" s="566" customFormat="1">
      <c r="T21660" s="41"/>
    </row>
    <row r="21661" spans="20:20" s="566" customFormat="1">
      <c r="T21661" s="41"/>
    </row>
    <row r="21662" spans="20:20" s="566" customFormat="1">
      <c r="T21662" s="41"/>
    </row>
    <row r="21663" spans="20:20" s="566" customFormat="1">
      <c r="T21663" s="41"/>
    </row>
    <row r="21664" spans="20:20" s="566" customFormat="1">
      <c r="T21664" s="41"/>
    </row>
    <row r="21665" spans="20:20" s="566" customFormat="1">
      <c r="T21665" s="41"/>
    </row>
    <row r="21666" spans="20:20" s="566" customFormat="1">
      <c r="T21666" s="41"/>
    </row>
    <row r="21667" spans="20:20" s="566" customFormat="1">
      <c r="T21667" s="41"/>
    </row>
    <row r="21668" spans="20:20" s="566" customFormat="1">
      <c r="T21668" s="41"/>
    </row>
    <row r="21669" spans="20:20" s="566" customFormat="1">
      <c r="T21669" s="41"/>
    </row>
    <row r="21670" spans="20:20" s="566" customFormat="1">
      <c r="T21670" s="41"/>
    </row>
    <row r="21671" spans="20:20" s="566" customFormat="1">
      <c r="T21671" s="41"/>
    </row>
    <row r="21672" spans="20:20" s="566" customFormat="1">
      <c r="T21672" s="41"/>
    </row>
    <row r="21673" spans="20:20" s="566" customFormat="1">
      <c r="T21673" s="41"/>
    </row>
    <row r="21674" spans="20:20" s="566" customFormat="1">
      <c r="T21674" s="41"/>
    </row>
    <row r="21675" spans="20:20" s="566" customFormat="1">
      <c r="T21675" s="41"/>
    </row>
    <row r="21676" spans="20:20" s="566" customFormat="1">
      <c r="T21676" s="41"/>
    </row>
    <row r="21677" spans="20:20" s="566" customFormat="1">
      <c r="T21677" s="41"/>
    </row>
    <row r="21678" spans="20:20" s="566" customFormat="1">
      <c r="T21678" s="41"/>
    </row>
    <row r="21679" spans="20:20" s="566" customFormat="1">
      <c r="T21679" s="41"/>
    </row>
    <row r="21680" spans="20:20" s="566" customFormat="1">
      <c r="T21680" s="41"/>
    </row>
    <row r="21681" spans="20:20" s="566" customFormat="1">
      <c r="T21681" s="41"/>
    </row>
    <row r="21682" spans="20:20" s="566" customFormat="1">
      <c r="T21682" s="41"/>
    </row>
    <row r="21683" spans="20:20" s="566" customFormat="1">
      <c r="T21683" s="41"/>
    </row>
    <row r="21684" spans="20:20" s="566" customFormat="1">
      <c r="T21684" s="41"/>
    </row>
    <row r="21685" spans="20:20" s="566" customFormat="1">
      <c r="T21685" s="41"/>
    </row>
    <row r="21686" spans="20:20" s="566" customFormat="1">
      <c r="T21686" s="41"/>
    </row>
    <row r="21687" spans="20:20" s="566" customFormat="1">
      <c r="T21687" s="41"/>
    </row>
    <row r="21688" spans="20:20" s="566" customFormat="1">
      <c r="T21688" s="41"/>
    </row>
    <row r="21689" spans="20:20" s="566" customFormat="1">
      <c r="T21689" s="41"/>
    </row>
    <row r="21690" spans="20:20" s="566" customFormat="1">
      <c r="T21690" s="41"/>
    </row>
    <row r="21691" spans="20:20" s="566" customFormat="1">
      <c r="T21691" s="41"/>
    </row>
    <row r="21692" spans="20:20" s="566" customFormat="1">
      <c r="T21692" s="41"/>
    </row>
    <row r="21693" spans="20:20" s="566" customFormat="1">
      <c r="T21693" s="41"/>
    </row>
    <row r="21694" spans="20:20" s="566" customFormat="1">
      <c r="T21694" s="41"/>
    </row>
    <row r="21695" spans="20:20" s="566" customFormat="1">
      <c r="T21695" s="41"/>
    </row>
    <row r="21696" spans="20:20" s="566" customFormat="1">
      <c r="T21696" s="41"/>
    </row>
    <row r="21697" spans="20:20" s="566" customFormat="1">
      <c r="T21697" s="41"/>
    </row>
    <row r="21698" spans="20:20" s="566" customFormat="1">
      <c r="T21698" s="41"/>
    </row>
    <row r="21699" spans="20:20" s="566" customFormat="1">
      <c r="T21699" s="41"/>
    </row>
    <row r="21700" spans="20:20" s="566" customFormat="1">
      <c r="T21700" s="41"/>
    </row>
    <row r="21701" spans="20:20" s="566" customFormat="1">
      <c r="T21701" s="41"/>
    </row>
    <row r="21702" spans="20:20" s="566" customFormat="1">
      <c r="T21702" s="41"/>
    </row>
    <row r="21703" spans="20:20" s="566" customFormat="1">
      <c r="T21703" s="41"/>
    </row>
    <row r="21704" spans="20:20" s="566" customFormat="1">
      <c r="T21704" s="41"/>
    </row>
    <row r="21705" spans="20:20" s="566" customFormat="1">
      <c r="T21705" s="41"/>
    </row>
    <row r="21706" spans="20:20" s="566" customFormat="1">
      <c r="T21706" s="41"/>
    </row>
    <row r="21707" spans="20:20" s="566" customFormat="1">
      <c r="T21707" s="41"/>
    </row>
    <row r="21708" spans="20:20" s="566" customFormat="1">
      <c r="T21708" s="41"/>
    </row>
    <row r="21709" spans="20:20" s="566" customFormat="1">
      <c r="T21709" s="41"/>
    </row>
    <row r="21710" spans="20:20" s="566" customFormat="1">
      <c r="T21710" s="41"/>
    </row>
    <row r="21711" spans="20:20" s="566" customFormat="1">
      <c r="T21711" s="41"/>
    </row>
    <row r="21712" spans="20:20" s="566" customFormat="1">
      <c r="T21712" s="41"/>
    </row>
    <row r="21713" spans="20:20" s="566" customFormat="1">
      <c r="T21713" s="41"/>
    </row>
    <row r="21714" spans="20:20" s="566" customFormat="1">
      <c r="T21714" s="41"/>
    </row>
    <row r="21715" spans="20:20" s="566" customFormat="1">
      <c r="T21715" s="41"/>
    </row>
    <row r="21716" spans="20:20" s="566" customFormat="1">
      <c r="T21716" s="41"/>
    </row>
    <row r="21717" spans="20:20" s="566" customFormat="1">
      <c r="T21717" s="41"/>
    </row>
    <row r="21718" spans="20:20" s="566" customFormat="1">
      <c r="T21718" s="41"/>
    </row>
    <row r="21719" spans="20:20" s="566" customFormat="1">
      <c r="T21719" s="41"/>
    </row>
    <row r="21720" spans="20:20" s="566" customFormat="1">
      <c r="T21720" s="41"/>
    </row>
    <row r="21721" spans="20:20" s="566" customFormat="1">
      <c r="T21721" s="41"/>
    </row>
    <row r="21722" spans="20:20" s="566" customFormat="1">
      <c r="T21722" s="41"/>
    </row>
    <row r="21723" spans="20:20" s="566" customFormat="1">
      <c r="T21723" s="41"/>
    </row>
    <row r="21724" spans="20:20" s="566" customFormat="1">
      <c r="T21724" s="41"/>
    </row>
    <row r="21725" spans="20:20" s="566" customFormat="1">
      <c r="T21725" s="41"/>
    </row>
    <row r="21726" spans="20:20" s="566" customFormat="1">
      <c r="T21726" s="41"/>
    </row>
    <row r="21727" spans="20:20" s="566" customFormat="1">
      <c r="T21727" s="41"/>
    </row>
    <row r="21728" spans="20:20" s="566" customFormat="1">
      <c r="T21728" s="41"/>
    </row>
    <row r="21729" spans="20:20" s="566" customFormat="1">
      <c r="T21729" s="41"/>
    </row>
    <row r="21730" spans="20:20" s="566" customFormat="1">
      <c r="T21730" s="41"/>
    </row>
    <row r="21731" spans="20:20" s="566" customFormat="1">
      <c r="T21731" s="41"/>
    </row>
    <row r="21732" spans="20:20" s="566" customFormat="1">
      <c r="T21732" s="41"/>
    </row>
    <row r="21733" spans="20:20" s="566" customFormat="1">
      <c r="T21733" s="41"/>
    </row>
    <row r="21734" spans="20:20" s="566" customFormat="1">
      <c r="T21734" s="41"/>
    </row>
    <row r="21735" spans="20:20" s="566" customFormat="1">
      <c r="T21735" s="41"/>
    </row>
    <row r="21736" spans="20:20" s="566" customFormat="1">
      <c r="T21736" s="41"/>
    </row>
    <row r="21737" spans="20:20" s="566" customFormat="1">
      <c r="T21737" s="41"/>
    </row>
    <row r="21738" spans="20:20" s="566" customFormat="1">
      <c r="T21738" s="41"/>
    </row>
    <row r="21739" spans="20:20" s="566" customFormat="1">
      <c r="T21739" s="41"/>
    </row>
    <row r="21740" spans="20:20" s="566" customFormat="1">
      <c r="T21740" s="41"/>
    </row>
    <row r="21741" spans="20:20" s="566" customFormat="1">
      <c r="T21741" s="41"/>
    </row>
    <row r="21742" spans="20:20" s="566" customFormat="1">
      <c r="T21742" s="41"/>
    </row>
    <row r="21743" spans="20:20" s="566" customFormat="1">
      <c r="T21743" s="41"/>
    </row>
    <row r="21744" spans="20:20" s="566" customFormat="1">
      <c r="T21744" s="41"/>
    </row>
    <row r="21745" spans="20:20" s="566" customFormat="1">
      <c r="T21745" s="41"/>
    </row>
    <row r="21746" spans="20:20" s="566" customFormat="1">
      <c r="T21746" s="41"/>
    </row>
    <row r="21747" spans="20:20" s="566" customFormat="1">
      <c r="T21747" s="41"/>
    </row>
    <row r="21748" spans="20:20" s="566" customFormat="1">
      <c r="T21748" s="41"/>
    </row>
    <row r="21749" spans="20:20" s="566" customFormat="1">
      <c r="T21749" s="41"/>
    </row>
    <row r="21750" spans="20:20" s="566" customFormat="1">
      <c r="T21750" s="41"/>
    </row>
    <row r="21751" spans="20:20" s="566" customFormat="1">
      <c r="T21751" s="41"/>
    </row>
    <row r="21752" spans="20:20" s="566" customFormat="1">
      <c r="T21752" s="41"/>
    </row>
    <row r="21753" spans="20:20" s="566" customFormat="1">
      <c r="T21753" s="41"/>
    </row>
    <row r="21754" spans="20:20" s="566" customFormat="1">
      <c r="T21754" s="41"/>
    </row>
    <row r="21755" spans="20:20" s="566" customFormat="1">
      <c r="T21755" s="41"/>
    </row>
    <row r="21756" spans="20:20" s="566" customFormat="1">
      <c r="T21756" s="41"/>
    </row>
    <row r="21757" spans="20:20" s="566" customFormat="1">
      <c r="T21757" s="41"/>
    </row>
    <row r="21758" spans="20:20" s="566" customFormat="1">
      <c r="T21758" s="41"/>
    </row>
    <row r="21759" spans="20:20" s="566" customFormat="1">
      <c r="T21759" s="41"/>
    </row>
    <row r="21760" spans="20:20" s="566" customFormat="1">
      <c r="T21760" s="41"/>
    </row>
    <row r="21761" spans="20:20" s="566" customFormat="1">
      <c r="T21761" s="41"/>
    </row>
    <row r="21762" spans="20:20" s="566" customFormat="1">
      <c r="T21762" s="41"/>
    </row>
    <row r="21763" spans="20:20" s="566" customFormat="1">
      <c r="T21763" s="41"/>
    </row>
    <row r="21764" spans="20:20" s="566" customFormat="1">
      <c r="T21764" s="41"/>
    </row>
    <row r="21765" spans="20:20" s="566" customFormat="1">
      <c r="T21765" s="41"/>
    </row>
    <row r="21766" spans="20:20" s="566" customFormat="1">
      <c r="T21766" s="41"/>
    </row>
    <row r="21767" spans="20:20" s="566" customFormat="1">
      <c r="T21767" s="41"/>
    </row>
    <row r="21768" spans="20:20" s="566" customFormat="1">
      <c r="T21768" s="41"/>
    </row>
    <row r="21769" spans="20:20" s="566" customFormat="1">
      <c r="T21769" s="41"/>
    </row>
    <row r="21770" spans="20:20" s="566" customFormat="1">
      <c r="T21770" s="41"/>
    </row>
    <row r="21771" spans="20:20" s="566" customFormat="1">
      <c r="T21771" s="41"/>
    </row>
    <row r="21772" spans="20:20" s="566" customFormat="1">
      <c r="T21772" s="41"/>
    </row>
    <row r="21773" spans="20:20" s="566" customFormat="1">
      <c r="T21773" s="41"/>
    </row>
    <row r="21774" spans="20:20" s="566" customFormat="1">
      <c r="T21774" s="41"/>
    </row>
    <row r="21775" spans="20:20" s="566" customFormat="1">
      <c r="T21775" s="41"/>
    </row>
    <row r="21776" spans="20:20" s="566" customFormat="1">
      <c r="T21776" s="41"/>
    </row>
    <row r="21777" spans="20:20" s="566" customFormat="1">
      <c r="T21777" s="41"/>
    </row>
    <row r="21778" spans="20:20" s="566" customFormat="1">
      <c r="T21778" s="41"/>
    </row>
    <row r="21779" spans="20:20" s="566" customFormat="1">
      <c r="T21779" s="41"/>
    </row>
    <row r="21780" spans="20:20" s="566" customFormat="1">
      <c r="T21780" s="41"/>
    </row>
    <row r="21781" spans="20:20" s="566" customFormat="1">
      <c r="T21781" s="41"/>
    </row>
    <row r="21782" spans="20:20" s="566" customFormat="1">
      <c r="T21782" s="41"/>
    </row>
    <row r="21783" spans="20:20" s="566" customFormat="1">
      <c r="T21783" s="41"/>
    </row>
    <row r="21784" spans="20:20" s="566" customFormat="1">
      <c r="T21784" s="41"/>
    </row>
    <row r="21785" spans="20:20" s="566" customFormat="1">
      <c r="T21785" s="41"/>
    </row>
    <row r="21786" spans="20:20" s="566" customFormat="1">
      <c r="T21786" s="41"/>
    </row>
    <row r="21787" spans="20:20" s="566" customFormat="1">
      <c r="T21787" s="41"/>
    </row>
    <row r="21788" spans="20:20" s="566" customFormat="1">
      <c r="T21788" s="41"/>
    </row>
    <row r="21789" spans="20:20" s="566" customFormat="1">
      <c r="T21789" s="41"/>
    </row>
    <row r="21790" spans="20:20" s="566" customFormat="1">
      <c r="T21790" s="41"/>
    </row>
    <row r="21791" spans="20:20" s="566" customFormat="1">
      <c r="T21791" s="41"/>
    </row>
    <row r="21792" spans="20:20" s="566" customFormat="1">
      <c r="T21792" s="41"/>
    </row>
    <row r="21793" spans="20:20" s="566" customFormat="1">
      <c r="T21793" s="41"/>
    </row>
    <row r="21794" spans="20:20" s="566" customFormat="1">
      <c r="T21794" s="41"/>
    </row>
    <row r="21795" spans="20:20" s="566" customFormat="1">
      <c r="T21795" s="41"/>
    </row>
    <row r="21796" spans="20:20" s="566" customFormat="1">
      <c r="T21796" s="41"/>
    </row>
    <row r="21797" spans="20:20" s="566" customFormat="1">
      <c r="T21797" s="41"/>
    </row>
    <row r="21798" spans="20:20" s="566" customFormat="1">
      <c r="T21798" s="41"/>
    </row>
    <row r="21799" spans="20:20" s="566" customFormat="1">
      <c r="T21799" s="41"/>
    </row>
    <row r="21800" spans="20:20" s="566" customFormat="1">
      <c r="T21800" s="41"/>
    </row>
    <row r="21801" spans="20:20" s="566" customFormat="1">
      <c r="T21801" s="41"/>
    </row>
    <row r="21802" spans="20:20" s="566" customFormat="1">
      <c r="T21802" s="41"/>
    </row>
    <row r="21803" spans="20:20" s="566" customFormat="1">
      <c r="T21803" s="41"/>
    </row>
    <row r="21804" spans="20:20" s="566" customFormat="1">
      <c r="T21804" s="41"/>
    </row>
    <row r="21805" spans="20:20" s="566" customFormat="1">
      <c r="T21805" s="41"/>
    </row>
    <row r="21806" spans="20:20" s="566" customFormat="1">
      <c r="T21806" s="41"/>
    </row>
    <row r="21807" spans="20:20" s="566" customFormat="1">
      <c r="T21807" s="41"/>
    </row>
    <row r="21808" spans="20:20" s="566" customFormat="1">
      <c r="T21808" s="41"/>
    </row>
    <row r="21809" spans="20:20" s="566" customFormat="1">
      <c r="T21809" s="41"/>
    </row>
    <row r="21810" spans="20:20" s="566" customFormat="1">
      <c r="T21810" s="41"/>
    </row>
    <row r="21811" spans="20:20" s="566" customFormat="1">
      <c r="T21811" s="41"/>
    </row>
    <row r="21812" spans="20:20" s="566" customFormat="1">
      <c r="T21812" s="41"/>
    </row>
    <row r="21813" spans="20:20" s="566" customFormat="1">
      <c r="T21813" s="41"/>
    </row>
    <row r="21814" spans="20:20" s="566" customFormat="1">
      <c r="T21814" s="41"/>
    </row>
    <row r="21815" spans="20:20" s="566" customFormat="1">
      <c r="T21815" s="41"/>
    </row>
    <row r="21816" spans="20:20" s="566" customFormat="1">
      <c r="T21816" s="41"/>
    </row>
    <row r="21817" spans="20:20" s="566" customFormat="1">
      <c r="T21817" s="41"/>
    </row>
    <row r="21818" spans="20:20" s="566" customFormat="1">
      <c r="T21818" s="41"/>
    </row>
    <row r="21819" spans="20:20" s="566" customFormat="1">
      <c r="T21819" s="41"/>
    </row>
    <row r="21820" spans="20:20" s="566" customFormat="1">
      <c r="T21820" s="41"/>
    </row>
    <row r="21821" spans="20:20" s="566" customFormat="1">
      <c r="T21821" s="41"/>
    </row>
    <row r="21822" spans="20:20" s="566" customFormat="1">
      <c r="T21822" s="41"/>
    </row>
    <row r="21823" spans="20:20" s="566" customFormat="1">
      <c r="T21823" s="41"/>
    </row>
    <row r="21824" spans="20:20" s="566" customFormat="1">
      <c r="T21824" s="41"/>
    </row>
    <row r="21825" spans="20:20" s="566" customFormat="1">
      <c r="T21825" s="41"/>
    </row>
    <row r="21826" spans="20:20" s="566" customFormat="1">
      <c r="T21826" s="41"/>
    </row>
    <row r="21827" spans="20:20" s="566" customFormat="1">
      <c r="T21827" s="41"/>
    </row>
    <row r="21828" spans="20:20" s="566" customFormat="1">
      <c r="T21828" s="41"/>
    </row>
    <row r="21829" spans="20:20" s="566" customFormat="1">
      <c r="T21829" s="41"/>
    </row>
    <row r="21830" spans="20:20" s="566" customFormat="1">
      <c r="T21830" s="41"/>
    </row>
    <row r="21831" spans="20:20" s="566" customFormat="1">
      <c r="T21831" s="41"/>
    </row>
    <row r="21832" spans="20:20" s="566" customFormat="1">
      <c r="T21832" s="41"/>
    </row>
    <row r="21833" spans="20:20" s="566" customFormat="1">
      <c r="T21833" s="41"/>
    </row>
    <row r="21834" spans="20:20" s="566" customFormat="1">
      <c r="T21834" s="41"/>
    </row>
    <row r="21835" spans="20:20" s="566" customFormat="1">
      <c r="T21835" s="41"/>
    </row>
    <row r="21836" spans="20:20" s="566" customFormat="1">
      <c r="T21836" s="41"/>
    </row>
    <row r="21837" spans="20:20" s="566" customFormat="1">
      <c r="T21837" s="41"/>
    </row>
    <row r="21838" spans="20:20" s="566" customFormat="1">
      <c r="T21838" s="41"/>
    </row>
    <row r="21839" spans="20:20" s="566" customFormat="1">
      <c r="T21839" s="41"/>
    </row>
    <row r="21840" spans="20:20" s="566" customFormat="1">
      <c r="T21840" s="41"/>
    </row>
    <row r="21841" spans="20:20" s="566" customFormat="1">
      <c r="T21841" s="41"/>
    </row>
    <row r="21842" spans="20:20" s="566" customFormat="1">
      <c r="T21842" s="41"/>
    </row>
    <row r="21843" spans="20:20" s="566" customFormat="1">
      <c r="T21843" s="41"/>
    </row>
    <row r="21844" spans="20:20" s="566" customFormat="1">
      <c r="T21844" s="41"/>
    </row>
    <row r="21845" spans="20:20" s="566" customFormat="1">
      <c r="T21845" s="41"/>
    </row>
    <row r="21846" spans="20:20" s="566" customFormat="1">
      <c r="T21846" s="41"/>
    </row>
    <row r="21847" spans="20:20" s="566" customFormat="1">
      <c r="T21847" s="41"/>
    </row>
    <row r="21848" spans="20:20" s="566" customFormat="1">
      <c r="T21848" s="41"/>
    </row>
    <row r="21849" spans="20:20" s="566" customFormat="1">
      <c r="T21849" s="41"/>
    </row>
    <row r="21850" spans="20:20" s="566" customFormat="1">
      <c r="T21850" s="41"/>
    </row>
    <row r="21851" spans="20:20" s="566" customFormat="1">
      <c r="T21851" s="41"/>
    </row>
    <row r="21852" spans="20:20" s="566" customFormat="1">
      <c r="T21852" s="41"/>
    </row>
    <row r="21853" spans="20:20" s="566" customFormat="1">
      <c r="T21853" s="41"/>
    </row>
    <row r="21854" spans="20:20" s="566" customFormat="1">
      <c r="T21854" s="41"/>
    </row>
    <row r="21855" spans="20:20" s="566" customFormat="1">
      <c r="T21855" s="41"/>
    </row>
    <row r="21856" spans="20:20" s="566" customFormat="1">
      <c r="T21856" s="41"/>
    </row>
    <row r="21857" spans="20:20" s="566" customFormat="1">
      <c r="T21857" s="41"/>
    </row>
    <row r="21858" spans="20:20" s="566" customFormat="1">
      <c r="T21858" s="41"/>
    </row>
    <row r="21859" spans="20:20" s="566" customFormat="1">
      <c r="T21859" s="41"/>
    </row>
    <row r="21860" spans="20:20" s="566" customFormat="1">
      <c r="T21860" s="41"/>
    </row>
    <row r="21861" spans="20:20" s="566" customFormat="1">
      <c r="T21861" s="41"/>
    </row>
    <row r="21862" spans="20:20" s="566" customFormat="1">
      <c r="T21862" s="41"/>
    </row>
    <row r="21863" spans="20:20" s="566" customFormat="1">
      <c r="T21863" s="41"/>
    </row>
    <row r="21864" spans="20:20" s="566" customFormat="1">
      <c r="T21864" s="41"/>
    </row>
    <row r="21865" spans="20:20" s="566" customFormat="1">
      <c r="T21865" s="41"/>
    </row>
    <row r="21866" spans="20:20" s="566" customFormat="1">
      <c r="T21866" s="41"/>
    </row>
    <row r="21867" spans="20:20" s="566" customFormat="1">
      <c r="T21867" s="41"/>
    </row>
    <row r="21868" spans="20:20" s="566" customFormat="1">
      <c r="T21868" s="41"/>
    </row>
    <row r="21869" spans="20:20" s="566" customFormat="1">
      <c r="T21869" s="41"/>
    </row>
    <row r="21870" spans="20:20" s="566" customFormat="1">
      <c r="T21870" s="41"/>
    </row>
    <row r="21871" spans="20:20" s="566" customFormat="1">
      <c r="T21871" s="41"/>
    </row>
    <row r="21872" spans="20:20" s="566" customFormat="1">
      <c r="T21872" s="41"/>
    </row>
    <row r="21873" spans="20:20" s="566" customFormat="1">
      <c r="T21873" s="41"/>
    </row>
    <row r="21874" spans="20:20" s="566" customFormat="1">
      <c r="T21874" s="41"/>
    </row>
    <row r="21875" spans="20:20" s="566" customFormat="1">
      <c r="T21875" s="41"/>
    </row>
    <row r="21876" spans="20:20" s="566" customFormat="1">
      <c r="T21876" s="41"/>
    </row>
    <row r="21877" spans="20:20" s="566" customFormat="1">
      <c r="T21877" s="41"/>
    </row>
    <row r="21878" spans="20:20" s="566" customFormat="1">
      <c r="T21878" s="41"/>
    </row>
    <row r="21879" spans="20:20" s="566" customFormat="1">
      <c r="T21879" s="41"/>
    </row>
    <row r="21880" spans="20:20" s="566" customFormat="1">
      <c r="T21880" s="41"/>
    </row>
    <row r="21881" spans="20:20" s="566" customFormat="1">
      <c r="T21881" s="41"/>
    </row>
    <row r="21882" spans="20:20" s="566" customFormat="1">
      <c r="T21882" s="41"/>
    </row>
    <row r="21883" spans="20:20" s="566" customFormat="1">
      <c r="T21883" s="41"/>
    </row>
    <row r="21884" spans="20:20" s="566" customFormat="1">
      <c r="T21884" s="41"/>
    </row>
    <row r="21885" spans="20:20" s="566" customFormat="1">
      <c r="T21885" s="41"/>
    </row>
    <row r="21886" spans="20:20" s="566" customFormat="1">
      <c r="T21886" s="41"/>
    </row>
    <row r="21887" spans="20:20" s="566" customFormat="1">
      <c r="T21887" s="41"/>
    </row>
    <row r="21888" spans="20:20" s="566" customFormat="1">
      <c r="T21888" s="41"/>
    </row>
    <row r="21889" spans="20:20" s="566" customFormat="1">
      <c r="T21889" s="41"/>
    </row>
    <row r="21890" spans="20:20" s="566" customFormat="1">
      <c r="T21890" s="41"/>
    </row>
    <row r="21891" spans="20:20" s="566" customFormat="1">
      <c r="T21891" s="41"/>
    </row>
    <row r="21892" spans="20:20" s="566" customFormat="1">
      <c r="T21892" s="41"/>
    </row>
    <row r="21893" spans="20:20" s="566" customFormat="1">
      <c r="T21893" s="41"/>
    </row>
    <row r="21894" spans="20:20" s="566" customFormat="1">
      <c r="T21894" s="41"/>
    </row>
    <row r="21895" spans="20:20" s="566" customFormat="1">
      <c r="T21895" s="41"/>
    </row>
    <row r="21896" spans="20:20" s="566" customFormat="1">
      <c r="T21896" s="41"/>
    </row>
    <row r="21897" spans="20:20" s="566" customFormat="1">
      <c r="T21897" s="41"/>
    </row>
    <row r="21898" spans="20:20" s="566" customFormat="1">
      <c r="T21898" s="41"/>
    </row>
    <row r="21899" spans="20:20" s="566" customFormat="1">
      <c r="T21899" s="41"/>
    </row>
    <row r="21900" spans="20:20" s="566" customFormat="1">
      <c r="T21900" s="41"/>
    </row>
    <row r="21901" spans="20:20" s="566" customFormat="1">
      <c r="T21901" s="41"/>
    </row>
    <row r="21902" spans="20:20" s="566" customFormat="1">
      <c r="T21902" s="41"/>
    </row>
    <row r="21903" spans="20:20" s="566" customFormat="1">
      <c r="T21903" s="41"/>
    </row>
    <row r="21904" spans="20:20" s="566" customFormat="1">
      <c r="T21904" s="41"/>
    </row>
    <row r="21905" spans="20:20" s="566" customFormat="1">
      <c r="T21905" s="41"/>
    </row>
    <row r="21906" spans="20:20" s="566" customFormat="1">
      <c r="T21906" s="41"/>
    </row>
    <row r="21907" spans="20:20" s="566" customFormat="1">
      <c r="T21907" s="41"/>
    </row>
    <row r="21908" spans="20:20" s="566" customFormat="1">
      <c r="T21908" s="41"/>
    </row>
    <row r="21909" spans="20:20" s="566" customFormat="1">
      <c r="T21909" s="41"/>
    </row>
    <row r="21910" spans="20:20" s="566" customFormat="1">
      <c r="T21910" s="41"/>
    </row>
    <row r="21911" spans="20:20" s="566" customFormat="1">
      <c r="T21911" s="41"/>
    </row>
    <row r="21912" spans="20:20" s="566" customFormat="1">
      <c r="T21912" s="41"/>
    </row>
    <row r="21913" spans="20:20" s="566" customFormat="1">
      <c r="T21913" s="41"/>
    </row>
    <row r="21914" spans="20:20" s="566" customFormat="1">
      <c r="T21914" s="41"/>
    </row>
    <row r="21915" spans="20:20" s="566" customFormat="1">
      <c r="T21915" s="41"/>
    </row>
    <row r="21916" spans="20:20" s="566" customFormat="1">
      <c r="T21916" s="41"/>
    </row>
    <row r="21917" spans="20:20" s="566" customFormat="1">
      <c r="T21917" s="41"/>
    </row>
    <row r="21918" spans="20:20" s="566" customFormat="1">
      <c r="T21918" s="41"/>
    </row>
    <row r="21919" spans="20:20" s="566" customFormat="1">
      <c r="T21919" s="41"/>
    </row>
    <row r="21920" spans="20:20" s="566" customFormat="1">
      <c r="T21920" s="41"/>
    </row>
    <row r="21921" spans="20:20" s="566" customFormat="1">
      <c r="T21921" s="41"/>
    </row>
    <row r="21922" spans="20:20" s="566" customFormat="1">
      <c r="T21922" s="41"/>
    </row>
    <row r="21923" spans="20:20" s="566" customFormat="1">
      <c r="T21923" s="41"/>
    </row>
    <row r="21924" spans="20:20" s="566" customFormat="1">
      <c r="T21924" s="41"/>
    </row>
    <row r="21925" spans="20:20" s="566" customFormat="1">
      <c r="T21925" s="41"/>
    </row>
    <row r="21926" spans="20:20" s="566" customFormat="1">
      <c r="T21926" s="41"/>
    </row>
    <row r="21927" spans="20:20" s="566" customFormat="1">
      <c r="T21927" s="41"/>
    </row>
    <row r="21928" spans="20:20" s="566" customFormat="1">
      <c r="T21928" s="41"/>
    </row>
    <row r="21929" spans="20:20" s="566" customFormat="1">
      <c r="T21929" s="41"/>
    </row>
    <row r="21930" spans="20:20" s="566" customFormat="1">
      <c r="T21930" s="41"/>
    </row>
    <row r="21931" spans="20:20" s="566" customFormat="1">
      <c r="T21931" s="41"/>
    </row>
    <row r="21932" spans="20:20" s="566" customFormat="1">
      <c r="T21932" s="41"/>
    </row>
    <row r="21933" spans="20:20" s="566" customFormat="1">
      <c r="T21933" s="41"/>
    </row>
    <row r="21934" spans="20:20" s="566" customFormat="1">
      <c r="T21934" s="41"/>
    </row>
    <row r="21935" spans="20:20" s="566" customFormat="1">
      <c r="T21935" s="41"/>
    </row>
    <row r="21936" spans="20:20" s="566" customFormat="1">
      <c r="T21936" s="41"/>
    </row>
    <row r="21937" spans="20:20" s="566" customFormat="1">
      <c r="T21937" s="41"/>
    </row>
    <row r="21938" spans="20:20" s="566" customFormat="1">
      <c r="T21938" s="41"/>
    </row>
    <row r="21939" spans="20:20" s="566" customFormat="1">
      <c r="T21939" s="41"/>
    </row>
    <row r="21940" spans="20:20" s="566" customFormat="1">
      <c r="T21940" s="41"/>
    </row>
    <row r="21941" spans="20:20" s="566" customFormat="1">
      <c r="T21941" s="41"/>
    </row>
    <row r="21942" spans="20:20" s="566" customFormat="1">
      <c r="T21942" s="41"/>
    </row>
    <row r="21943" spans="20:20" s="566" customFormat="1">
      <c r="T21943" s="41"/>
    </row>
    <row r="21944" spans="20:20" s="566" customFormat="1">
      <c r="T21944" s="41"/>
    </row>
    <row r="21945" spans="20:20" s="566" customFormat="1">
      <c r="T21945" s="41"/>
    </row>
    <row r="21946" spans="20:20" s="566" customFormat="1">
      <c r="T21946" s="41"/>
    </row>
    <row r="21947" spans="20:20" s="566" customFormat="1">
      <c r="T21947" s="41"/>
    </row>
    <row r="21948" spans="20:20" s="566" customFormat="1">
      <c r="T21948" s="41"/>
    </row>
    <row r="21949" spans="20:20" s="566" customFormat="1">
      <c r="T21949" s="41"/>
    </row>
    <row r="21950" spans="20:20" s="566" customFormat="1">
      <c r="T21950" s="41"/>
    </row>
    <row r="21951" spans="20:20" s="566" customFormat="1">
      <c r="T21951" s="41"/>
    </row>
    <row r="21952" spans="20:20" s="566" customFormat="1">
      <c r="T21952" s="41"/>
    </row>
    <row r="21953" spans="20:20" s="566" customFormat="1">
      <c r="T21953" s="41"/>
    </row>
    <row r="21954" spans="20:20" s="566" customFormat="1">
      <c r="T21954" s="41"/>
    </row>
    <row r="21955" spans="20:20" s="566" customFormat="1">
      <c r="T21955" s="41"/>
    </row>
    <row r="21956" spans="20:20" s="566" customFormat="1">
      <c r="T21956" s="41"/>
    </row>
    <row r="21957" spans="20:20" s="566" customFormat="1">
      <c r="T21957" s="41"/>
    </row>
    <row r="21958" spans="20:20" s="566" customFormat="1">
      <c r="T21958" s="41"/>
    </row>
    <row r="21959" spans="20:20" s="566" customFormat="1">
      <c r="T21959" s="41"/>
    </row>
    <row r="21960" spans="20:20" s="566" customFormat="1">
      <c r="T21960" s="41"/>
    </row>
    <row r="21961" spans="20:20" s="566" customFormat="1">
      <c r="T21961" s="41"/>
    </row>
    <row r="21962" spans="20:20" s="566" customFormat="1">
      <c r="T21962" s="41"/>
    </row>
    <row r="21963" spans="20:20" s="566" customFormat="1">
      <c r="T21963" s="41"/>
    </row>
    <row r="21964" spans="20:20" s="566" customFormat="1">
      <c r="T21964" s="41"/>
    </row>
    <row r="21965" spans="20:20" s="566" customFormat="1">
      <c r="T21965" s="41"/>
    </row>
    <row r="21966" spans="20:20" s="566" customFormat="1">
      <c r="T21966" s="41"/>
    </row>
    <row r="21967" spans="20:20" s="566" customFormat="1">
      <c r="T21967" s="41"/>
    </row>
    <row r="21968" spans="20:20" s="566" customFormat="1">
      <c r="T21968" s="41"/>
    </row>
    <row r="21969" spans="20:20" s="566" customFormat="1">
      <c r="T21969" s="41"/>
    </row>
    <row r="21970" spans="20:20" s="566" customFormat="1">
      <c r="T21970" s="41"/>
    </row>
    <row r="21971" spans="20:20" s="566" customFormat="1">
      <c r="T21971" s="41"/>
    </row>
    <row r="21972" spans="20:20" s="566" customFormat="1">
      <c r="T21972" s="41"/>
    </row>
    <row r="21973" spans="20:20" s="566" customFormat="1">
      <c r="T21973" s="41"/>
    </row>
    <row r="21974" spans="20:20" s="566" customFormat="1">
      <c r="T21974" s="41"/>
    </row>
    <row r="21975" spans="20:20" s="566" customFormat="1">
      <c r="T21975" s="41"/>
    </row>
    <row r="21976" spans="20:20" s="566" customFormat="1">
      <c r="T21976" s="41"/>
    </row>
    <row r="21977" spans="20:20" s="566" customFormat="1">
      <c r="T21977" s="41"/>
    </row>
    <row r="21978" spans="20:20" s="566" customFormat="1">
      <c r="T21978" s="41"/>
    </row>
    <row r="21979" spans="20:20" s="566" customFormat="1">
      <c r="T21979" s="41"/>
    </row>
    <row r="21980" spans="20:20" s="566" customFormat="1">
      <c r="T21980" s="41"/>
    </row>
    <row r="21981" spans="20:20" s="566" customFormat="1">
      <c r="T21981" s="41"/>
    </row>
    <row r="21982" spans="20:20" s="566" customFormat="1">
      <c r="T21982" s="41"/>
    </row>
    <row r="21983" spans="20:20" s="566" customFormat="1">
      <c r="T21983" s="41"/>
    </row>
    <row r="21984" spans="20:20" s="566" customFormat="1">
      <c r="T21984" s="41"/>
    </row>
    <row r="21985" spans="20:20" s="566" customFormat="1">
      <c r="T21985" s="41"/>
    </row>
    <row r="21986" spans="20:20" s="566" customFormat="1">
      <c r="T21986" s="41"/>
    </row>
    <row r="21987" spans="20:20" s="566" customFormat="1">
      <c r="T21987" s="41"/>
    </row>
    <row r="21988" spans="20:20" s="566" customFormat="1">
      <c r="T21988" s="41"/>
    </row>
    <row r="21989" spans="20:20" s="566" customFormat="1">
      <c r="T21989" s="41"/>
    </row>
    <row r="21990" spans="20:20" s="566" customFormat="1">
      <c r="T21990" s="41"/>
    </row>
    <row r="21991" spans="20:20" s="566" customFormat="1">
      <c r="T21991" s="41"/>
    </row>
    <row r="21992" spans="20:20" s="566" customFormat="1">
      <c r="T21992" s="41"/>
    </row>
    <row r="21993" spans="20:20" s="566" customFormat="1">
      <c r="T21993" s="41"/>
    </row>
    <row r="21994" spans="20:20" s="566" customFormat="1">
      <c r="T21994" s="41"/>
    </row>
    <row r="21995" spans="20:20" s="566" customFormat="1">
      <c r="T21995" s="41"/>
    </row>
    <row r="21996" spans="20:20" s="566" customFormat="1">
      <c r="T21996" s="41"/>
    </row>
    <row r="21997" spans="20:20" s="566" customFormat="1">
      <c r="T21997" s="41"/>
    </row>
    <row r="21998" spans="20:20" s="566" customFormat="1">
      <c r="T21998" s="41"/>
    </row>
    <row r="21999" spans="20:20" s="566" customFormat="1">
      <c r="T21999" s="41"/>
    </row>
    <row r="22000" spans="20:20" s="566" customFormat="1">
      <c r="T22000" s="41"/>
    </row>
    <row r="22001" spans="20:20" s="566" customFormat="1">
      <c r="T22001" s="41"/>
    </row>
    <row r="22002" spans="20:20" s="566" customFormat="1">
      <c r="T22002" s="41"/>
    </row>
    <row r="22003" spans="20:20" s="566" customFormat="1">
      <c r="T22003" s="41"/>
    </row>
    <row r="22004" spans="20:20" s="566" customFormat="1">
      <c r="T22004" s="41"/>
    </row>
    <row r="22005" spans="20:20" s="566" customFormat="1">
      <c r="T22005" s="41"/>
    </row>
    <row r="22006" spans="20:20" s="566" customFormat="1">
      <c r="T22006" s="41"/>
    </row>
    <row r="22007" spans="20:20" s="566" customFormat="1">
      <c r="T22007" s="41"/>
    </row>
    <row r="22008" spans="20:20" s="566" customFormat="1">
      <c r="T22008" s="41"/>
    </row>
    <row r="22009" spans="20:20" s="566" customFormat="1">
      <c r="T22009" s="41"/>
    </row>
    <row r="22010" spans="20:20" s="566" customFormat="1">
      <c r="T22010" s="41"/>
    </row>
    <row r="22011" spans="20:20" s="566" customFormat="1">
      <c r="T22011" s="41"/>
    </row>
    <row r="22012" spans="20:20" s="566" customFormat="1">
      <c r="T22012" s="41"/>
    </row>
    <row r="22013" spans="20:20" s="566" customFormat="1">
      <c r="T22013" s="41"/>
    </row>
    <row r="22014" spans="20:20" s="566" customFormat="1">
      <c r="T22014" s="41"/>
    </row>
    <row r="22015" spans="20:20" s="566" customFormat="1">
      <c r="T22015" s="41"/>
    </row>
    <row r="22016" spans="20:20" s="566" customFormat="1">
      <c r="T22016" s="41"/>
    </row>
    <row r="22017" spans="20:20" s="566" customFormat="1">
      <c r="T22017" s="41"/>
    </row>
    <row r="22018" spans="20:20" s="566" customFormat="1">
      <c r="T22018" s="41"/>
    </row>
    <row r="22019" spans="20:20" s="566" customFormat="1">
      <c r="T22019" s="41"/>
    </row>
    <row r="22020" spans="20:20" s="566" customFormat="1">
      <c r="T22020" s="41"/>
    </row>
    <row r="22021" spans="20:20" s="566" customFormat="1">
      <c r="T22021" s="41"/>
    </row>
    <row r="22022" spans="20:20" s="566" customFormat="1">
      <c r="T22022" s="41"/>
    </row>
    <row r="22023" spans="20:20" s="566" customFormat="1">
      <c r="T22023" s="41"/>
    </row>
    <row r="22024" spans="20:20" s="566" customFormat="1">
      <c r="T22024" s="41"/>
    </row>
    <row r="22025" spans="20:20" s="566" customFormat="1">
      <c r="T22025" s="41"/>
    </row>
    <row r="22026" spans="20:20" s="566" customFormat="1">
      <c r="T22026" s="41"/>
    </row>
    <row r="22027" spans="20:20" s="566" customFormat="1">
      <c r="T22027" s="41"/>
    </row>
    <row r="22028" spans="20:20" s="566" customFormat="1">
      <c r="T22028" s="41"/>
    </row>
    <row r="22029" spans="20:20" s="566" customFormat="1">
      <c r="T22029" s="41"/>
    </row>
    <row r="22030" spans="20:20" s="566" customFormat="1">
      <c r="T22030" s="41"/>
    </row>
    <row r="22031" spans="20:20" s="566" customFormat="1">
      <c r="T22031" s="41"/>
    </row>
    <row r="22032" spans="20:20" s="566" customFormat="1">
      <c r="T22032" s="41"/>
    </row>
    <row r="22033" spans="20:20" s="566" customFormat="1">
      <c r="T22033" s="41"/>
    </row>
    <row r="22034" spans="20:20" s="566" customFormat="1">
      <c r="T22034" s="41"/>
    </row>
    <row r="22035" spans="20:20" s="566" customFormat="1">
      <c r="T22035" s="41"/>
    </row>
    <row r="22036" spans="20:20" s="566" customFormat="1">
      <c r="T22036" s="41"/>
    </row>
    <row r="22037" spans="20:20" s="566" customFormat="1">
      <c r="T22037" s="41"/>
    </row>
    <row r="22038" spans="20:20" s="566" customFormat="1">
      <c r="T22038" s="41"/>
    </row>
    <row r="22039" spans="20:20" s="566" customFormat="1">
      <c r="T22039" s="41"/>
    </row>
    <row r="22040" spans="20:20" s="566" customFormat="1">
      <c r="T22040" s="41"/>
    </row>
    <row r="22041" spans="20:20" s="566" customFormat="1">
      <c r="T22041" s="41"/>
    </row>
    <row r="22042" spans="20:20" s="566" customFormat="1">
      <c r="T22042" s="41"/>
    </row>
    <row r="22043" spans="20:20" s="566" customFormat="1">
      <c r="T22043" s="41"/>
    </row>
    <row r="22044" spans="20:20" s="566" customFormat="1">
      <c r="T22044" s="41"/>
    </row>
    <row r="22045" spans="20:20" s="566" customFormat="1">
      <c r="T22045" s="41"/>
    </row>
    <row r="22046" spans="20:20" s="566" customFormat="1">
      <c r="T22046" s="41"/>
    </row>
    <row r="22047" spans="20:20" s="566" customFormat="1">
      <c r="T22047" s="41"/>
    </row>
    <row r="22048" spans="20:20" s="566" customFormat="1">
      <c r="T22048" s="41"/>
    </row>
    <row r="22049" spans="20:20" s="566" customFormat="1">
      <c r="T22049" s="41"/>
    </row>
    <row r="22050" spans="20:20" s="566" customFormat="1">
      <c r="T22050" s="41"/>
    </row>
    <row r="22051" spans="20:20" s="566" customFormat="1">
      <c r="T22051" s="41"/>
    </row>
    <row r="22052" spans="20:20" s="566" customFormat="1">
      <c r="T22052" s="41"/>
    </row>
    <row r="22053" spans="20:20" s="566" customFormat="1">
      <c r="T22053" s="41"/>
    </row>
    <row r="22054" spans="20:20" s="566" customFormat="1">
      <c r="T22054" s="41"/>
    </row>
    <row r="22055" spans="20:20" s="566" customFormat="1">
      <c r="T22055" s="41"/>
    </row>
    <row r="22056" spans="20:20" s="566" customFormat="1">
      <c r="T22056" s="41"/>
    </row>
    <row r="22057" spans="20:20" s="566" customFormat="1">
      <c r="T22057" s="41"/>
    </row>
    <row r="22058" spans="20:20" s="566" customFormat="1">
      <c r="T22058" s="41"/>
    </row>
    <row r="22059" spans="20:20" s="566" customFormat="1">
      <c r="T22059" s="41"/>
    </row>
    <row r="22060" spans="20:20" s="566" customFormat="1">
      <c r="T22060" s="41"/>
    </row>
    <row r="22061" spans="20:20" s="566" customFormat="1">
      <c r="T22061" s="41"/>
    </row>
    <row r="22062" spans="20:20" s="566" customFormat="1">
      <c r="T22062" s="41"/>
    </row>
    <row r="22063" spans="20:20" s="566" customFormat="1">
      <c r="T22063" s="41"/>
    </row>
    <row r="22064" spans="20:20" s="566" customFormat="1">
      <c r="T22064" s="41"/>
    </row>
    <row r="22065" spans="20:20" s="566" customFormat="1">
      <c r="T22065" s="41"/>
    </row>
    <row r="22066" spans="20:20" s="566" customFormat="1">
      <c r="T22066" s="41"/>
    </row>
    <row r="22067" spans="20:20" s="566" customFormat="1">
      <c r="T22067" s="41"/>
    </row>
    <row r="22068" spans="20:20" s="566" customFormat="1">
      <c r="T22068" s="41"/>
    </row>
    <row r="22069" spans="20:20" s="566" customFormat="1">
      <c r="T22069" s="41"/>
    </row>
    <row r="22070" spans="20:20" s="566" customFormat="1">
      <c r="T22070" s="41"/>
    </row>
    <row r="22071" spans="20:20" s="566" customFormat="1">
      <c r="T22071" s="41"/>
    </row>
    <row r="22072" spans="20:20" s="566" customFormat="1">
      <c r="T22072" s="41"/>
    </row>
    <row r="22073" spans="20:20" s="566" customFormat="1">
      <c r="T22073" s="41"/>
    </row>
    <row r="22074" spans="20:20" s="566" customFormat="1">
      <c r="T22074" s="41"/>
    </row>
    <row r="22075" spans="20:20" s="566" customFormat="1">
      <c r="T22075" s="41"/>
    </row>
    <row r="22076" spans="20:20" s="566" customFormat="1">
      <c r="T22076" s="41"/>
    </row>
    <row r="22077" spans="20:20" s="566" customFormat="1">
      <c r="T22077" s="41"/>
    </row>
    <row r="22078" spans="20:20" s="566" customFormat="1">
      <c r="T22078" s="41"/>
    </row>
    <row r="22079" spans="20:20" s="566" customFormat="1">
      <c r="T22079" s="41"/>
    </row>
    <row r="22080" spans="20:20" s="566" customFormat="1">
      <c r="T22080" s="41"/>
    </row>
    <row r="22081" spans="20:20" s="566" customFormat="1">
      <c r="T22081" s="41"/>
    </row>
    <row r="22082" spans="20:20" s="566" customFormat="1">
      <c r="T22082" s="41"/>
    </row>
    <row r="22083" spans="20:20" s="566" customFormat="1">
      <c r="T22083" s="41"/>
    </row>
    <row r="22084" spans="20:20" s="566" customFormat="1">
      <c r="T22084" s="41"/>
    </row>
    <row r="22085" spans="20:20" s="566" customFormat="1">
      <c r="T22085" s="41"/>
    </row>
    <row r="22086" spans="20:20" s="566" customFormat="1">
      <c r="T22086" s="41"/>
    </row>
    <row r="22087" spans="20:20" s="566" customFormat="1">
      <c r="T22087" s="41"/>
    </row>
    <row r="22088" spans="20:20" s="566" customFormat="1">
      <c r="T22088" s="41"/>
    </row>
    <row r="22089" spans="20:20" s="566" customFormat="1">
      <c r="T22089" s="41"/>
    </row>
    <row r="22090" spans="20:20" s="566" customFormat="1">
      <c r="T22090" s="41"/>
    </row>
    <row r="22091" spans="20:20" s="566" customFormat="1">
      <c r="T22091" s="41"/>
    </row>
    <row r="22092" spans="20:20" s="566" customFormat="1">
      <c r="T22092" s="41"/>
    </row>
    <row r="22093" spans="20:20" s="566" customFormat="1">
      <c r="T22093" s="41"/>
    </row>
    <row r="22094" spans="20:20" s="566" customFormat="1">
      <c r="T22094" s="41"/>
    </row>
    <row r="22095" spans="20:20" s="566" customFormat="1">
      <c r="T22095" s="41"/>
    </row>
    <row r="22096" spans="20:20" s="566" customFormat="1">
      <c r="T22096" s="41"/>
    </row>
    <row r="22097" spans="20:20" s="566" customFormat="1">
      <c r="T22097" s="41"/>
    </row>
    <row r="22098" spans="20:20" s="566" customFormat="1">
      <c r="T22098" s="41"/>
    </row>
    <row r="22099" spans="20:20" s="566" customFormat="1">
      <c r="T22099" s="41"/>
    </row>
    <row r="22100" spans="20:20" s="566" customFormat="1">
      <c r="T22100" s="41"/>
    </row>
    <row r="22101" spans="20:20" s="566" customFormat="1">
      <c r="T22101" s="41"/>
    </row>
    <row r="22102" spans="20:20" s="566" customFormat="1">
      <c r="T22102" s="41"/>
    </row>
    <row r="22103" spans="20:20" s="566" customFormat="1">
      <c r="T22103" s="41"/>
    </row>
    <row r="22104" spans="20:20" s="566" customFormat="1">
      <c r="T22104" s="41"/>
    </row>
    <row r="22105" spans="20:20" s="566" customFormat="1">
      <c r="T22105" s="41"/>
    </row>
    <row r="22106" spans="20:20" s="566" customFormat="1">
      <c r="T22106" s="41"/>
    </row>
    <row r="22107" spans="20:20" s="566" customFormat="1">
      <c r="T22107" s="41"/>
    </row>
    <row r="22108" spans="20:20" s="566" customFormat="1">
      <c r="T22108" s="41"/>
    </row>
    <row r="22109" spans="20:20" s="566" customFormat="1">
      <c r="T22109" s="41"/>
    </row>
    <row r="22110" spans="20:20" s="566" customFormat="1">
      <c r="T22110" s="41"/>
    </row>
    <row r="22111" spans="20:20" s="566" customFormat="1">
      <c r="T22111" s="41"/>
    </row>
    <row r="22112" spans="20:20" s="566" customFormat="1">
      <c r="T22112" s="41"/>
    </row>
    <row r="22113" spans="20:20" s="566" customFormat="1">
      <c r="T22113" s="41"/>
    </row>
    <row r="22114" spans="20:20" s="566" customFormat="1">
      <c r="T22114" s="41"/>
    </row>
    <row r="22115" spans="20:20" s="566" customFormat="1">
      <c r="T22115" s="41"/>
    </row>
    <row r="22116" spans="20:20" s="566" customFormat="1">
      <c r="T22116" s="41"/>
    </row>
    <row r="22117" spans="20:20" s="566" customFormat="1">
      <c r="T22117" s="41"/>
    </row>
    <row r="22118" spans="20:20" s="566" customFormat="1">
      <c r="T22118" s="41"/>
    </row>
    <row r="22119" spans="20:20" s="566" customFormat="1">
      <c r="T22119" s="41"/>
    </row>
    <row r="22120" spans="20:20" s="566" customFormat="1">
      <c r="T22120" s="41"/>
    </row>
    <row r="22121" spans="20:20" s="566" customFormat="1">
      <c r="T22121" s="41"/>
    </row>
    <row r="22122" spans="20:20" s="566" customFormat="1">
      <c r="T22122" s="41"/>
    </row>
    <row r="22123" spans="20:20" s="566" customFormat="1">
      <c r="T22123" s="41"/>
    </row>
    <row r="22124" spans="20:20" s="566" customFormat="1">
      <c r="T22124" s="41"/>
    </row>
    <row r="22125" spans="20:20" s="566" customFormat="1">
      <c r="T22125" s="41"/>
    </row>
    <row r="22126" spans="20:20" s="566" customFormat="1">
      <c r="T22126" s="41"/>
    </row>
    <row r="22127" spans="20:20" s="566" customFormat="1">
      <c r="T22127" s="41"/>
    </row>
    <row r="22128" spans="20:20" s="566" customFormat="1">
      <c r="T22128" s="41"/>
    </row>
    <row r="22129" spans="20:20" s="566" customFormat="1">
      <c r="T22129" s="41"/>
    </row>
    <row r="22130" spans="20:20" s="566" customFormat="1">
      <c r="T22130" s="41"/>
    </row>
    <row r="22131" spans="20:20" s="566" customFormat="1">
      <c r="T22131" s="41"/>
    </row>
    <row r="22132" spans="20:20" s="566" customFormat="1">
      <c r="T22132" s="41"/>
    </row>
    <row r="22133" spans="20:20" s="566" customFormat="1">
      <c r="T22133" s="41"/>
    </row>
    <row r="22134" spans="20:20" s="566" customFormat="1">
      <c r="T22134" s="41"/>
    </row>
    <row r="22135" spans="20:20" s="566" customFormat="1">
      <c r="T22135" s="41"/>
    </row>
    <row r="22136" spans="20:20" s="566" customFormat="1">
      <c r="T22136" s="41"/>
    </row>
    <row r="22137" spans="20:20" s="566" customFormat="1">
      <c r="T22137" s="41"/>
    </row>
    <row r="22138" spans="20:20" s="566" customFormat="1">
      <c r="T22138" s="41"/>
    </row>
    <row r="22139" spans="20:20" s="566" customFormat="1">
      <c r="T22139" s="41"/>
    </row>
    <row r="22140" spans="20:20" s="566" customFormat="1">
      <c r="T22140" s="41"/>
    </row>
    <row r="22141" spans="20:20" s="566" customFormat="1">
      <c r="T22141" s="41"/>
    </row>
    <row r="22142" spans="20:20" s="566" customFormat="1">
      <c r="T22142" s="41"/>
    </row>
    <row r="22143" spans="20:20" s="566" customFormat="1">
      <c r="T22143" s="41"/>
    </row>
    <row r="22144" spans="20:20" s="566" customFormat="1">
      <c r="T22144" s="41"/>
    </row>
    <row r="22145" spans="20:20" s="566" customFormat="1">
      <c r="T22145" s="41"/>
    </row>
    <row r="22146" spans="20:20" s="566" customFormat="1">
      <c r="T22146" s="41"/>
    </row>
    <row r="22147" spans="20:20" s="566" customFormat="1">
      <c r="T22147" s="41"/>
    </row>
    <row r="22148" spans="20:20" s="566" customFormat="1">
      <c r="T22148" s="41"/>
    </row>
    <row r="22149" spans="20:20" s="566" customFormat="1">
      <c r="T22149" s="41"/>
    </row>
    <row r="22150" spans="20:20" s="566" customFormat="1">
      <c r="T22150" s="41"/>
    </row>
    <row r="22151" spans="20:20" s="566" customFormat="1">
      <c r="T22151" s="41"/>
    </row>
    <row r="22152" spans="20:20" s="566" customFormat="1">
      <c r="T22152" s="41"/>
    </row>
    <row r="22153" spans="20:20" s="566" customFormat="1">
      <c r="T22153" s="41"/>
    </row>
    <row r="22154" spans="20:20" s="566" customFormat="1">
      <c r="T22154" s="41"/>
    </row>
    <row r="22155" spans="20:20" s="566" customFormat="1">
      <c r="T22155" s="41"/>
    </row>
    <row r="22156" spans="20:20" s="566" customFormat="1">
      <c r="T22156" s="41"/>
    </row>
    <row r="22157" spans="20:20" s="566" customFormat="1">
      <c r="T22157" s="41"/>
    </row>
    <row r="22158" spans="20:20" s="566" customFormat="1">
      <c r="T22158" s="41"/>
    </row>
    <row r="22159" spans="20:20" s="566" customFormat="1">
      <c r="T22159" s="41"/>
    </row>
    <row r="22160" spans="20:20" s="566" customFormat="1">
      <c r="T22160" s="41"/>
    </row>
    <row r="22161" spans="20:20" s="566" customFormat="1">
      <c r="T22161" s="41"/>
    </row>
    <row r="22162" spans="20:20" s="566" customFormat="1">
      <c r="T22162" s="41"/>
    </row>
    <row r="22163" spans="20:20" s="566" customFormat="1">
      <c r="T22163" s="41"/>
    </row>
    <row r="22164" spans="20:20" s="566" customFormat="1">
      <c r="T22164" s="41"/>
    </row>
    <row r="22165" spans="20:20" s="566" customFormat="1">
      <c r="T22165" s="41"/>
    </row>
    <row r="22166" spans="20:20" s="566" customFormat="1">
      <c r="T22166" s="41"/>
    </row>
    <row r="22167" spans="20:20" s="566" customFormat="1">
      <c r="T22167" s="41"/>
    </row>
    <row r="22168" spans="20:20" s="566" customFormat="1">
      <c r="T22168" s="41"/>
    </row>
    <row r="22169" spans="20:20" s="566" customFormat="1">
      <c r="T22169" s="41"/>
    </row>
    <row r="22170" spans="20:20" s="566" customFormat="1">
      <c r="T22170" s="41"/>
    </row>
    <row r="22171" spans="20:20" s="566" customFormat="1">
      <c r="T22171" s="41"/>
    </row>
    <row r="22172" spans="20:20" s="566" customFormat="1">
      <c r="T22172" s="41"/>
    </row>
    <row r="22173" spans="20:20" s="566" customFormat="1">
      <c r="T22173" s="41"/>
    </row>
    <row r="22174" spans="20:20" s="566" customFormat="1">
      <c r="T22174" s="41"/>
    </row>
    <row r="22175" spans="20:20" s="566" customFormat="1">
      <c r="T22175" s="41"/>
    </row>
    <row r="22176" spans="20:20" s="566" customFormat="1">
      <c r="T22176" s="41"/>
    </row>
    <row r="22177" spans="20:20" s="566" customFormat="1">
      <c r="T22177" s="41"/>
    </row>
    <row r="22178" spans="20:20" s="566" customFormat="1">
      <c r="T22178" s="41"/>
    </row>
    <row r="22179" spans="20:20" s="566" customFormat="1">
      <c r="T22179" s="41"/>
    </row>
    <row r="22180" spans="20:20" s="566" customFormat="1">
      <c r="T22180" s="41"/>
    </row>
    <row r="22181" spans="20:20" s="566" customFormat="1">
      <c r="T22181" s="41"/>
    </row>
    <row r="22182" spans="20:20" s="566" customFormat="1">
      <c r="T22182" s="41"/>
    </row>
    <row r="22183" spans="20:20" s="566" customFormat="1">
      <c r="T22183" s="41"/>
    </row>
    <row r="22184" spans="20:20" s="566" customFormat="1">
      <c r="T22184" s="41"/>
    </row>
    <row r="22185" spans="20:20" s="566" customFormat="1">
      <c r="T22185" s="41"/>
    </row>
    <row r="22186" spans="20:20" s="566" customFormat="1">
      <c r="T22186" s="41"/>
    </row>
    <row r="22187" spans="20:20" s="566" customFormat="1">
      <c r="T22187" s="41"/>
    </row>
    <row r="22188" spans="20:20" s="566" customFormat="1">
      <c r="T22188" s="41"/>
    </row>
    <row r="22189" spans="20:20" s="566" customFormat="1">
      <c r="T22189" s="41"/>
    </row>
    <row r="22190" spans="20:20" s="566" customFormat="1">
      <c r="T22190" s="41"/>
    </row>
    <row r="22191" spans="20:20" s="566" customFormat="1">
      <c r="T22191" s="41"/>
    </row>
    <row r="22192" spans="20:20" s="566" customFormat="1">
      <c r="T22192" s="41"/>
    </row>
    <row r="22193" spans="20:20" s="566" customFormat="1">
      <c r="T22193" s="41"/>
    </row>
    <row r="22194" spans="20:20" s="566" customFormat="1">
      <c r="T22194" s="41"/>
    </row>
    <row r="22195" spans="20:20" s="566" customFormat="1">
      <c r="T22195" s="41"/>
    </row>
    <row r="22196" spans="20:20" s="566" customFormat="1">
      <c r="T22196" s="41"/>
    </row>
    <row r="22197" spans="20:20" s="566" customFormat="1">
      <c r="T22197" s="41"/>
    </row>
    <row r="22198" spans="20:20" s="566" customFormat="1">
      <c r="T22198" s="41"/>
    </row>
    <row r="22199" spans="20:20" s="566" customFormat="1">
      <c r="T22199" s="41"/>
    </row>
    <row r="22200" spans="20:20" s="566" customFormat="1">
      <c r="T22200" s="41"/>
    </row>
    <row r="22201" spans="20:20" s="566" customFormat="1">
      <c r="T22201" s="41"/>
    </row>
    <row r="22202" spans="20:20" s="566" customFormat="1">
      <c r="T22202" s="41"/>
    </row>
    <row r="22203" spans="20:20" s="566" customFormat="1">
      <c r="T22203" s="41"/>
    </row>
    <row r="22204" spans="20:20" s="566" customFormat="1">
      <c r="T22204" s="41"/>
    </row>
    <row r="22205" spans="20:20" s="566" customFormat="1">
      <c r="T22205" s="41"/>
    </row>
    <row r="22206" spans="20:20" s="566" customFormat="1">
      <c r="T22206" s="41"/>
    </row>
    <row r="22207" spans="20:20" s="566" customFormat="1">
      <c r="T22207" s="41"/>
    </row>
    <row r="22208" spans="20:20" s="566" customFormat="1">
      <c r="T22208" s="41"/>
    </row>
    <row r="22209" spans="20:20" s="566" customFormat="1">
      <c r="T22209" s="41"/>
    </row>
    <row r="22210" spans="20:20" s="566" customFormat="1">
      <c r="T22210" s="41"/>
    </row>
    <row r="22211" spans="20:20" s="566" customFormat="1">
      <c r="T22211" s="41"/>
    </row>
    <row r="22212" spans="20:20" s="566" customFormat="1">
      <c r="T22212" s="41"/>
    </row>
    <row r="22213" spans="20:20" s="566" customFormat="1">
      <c r="T22213" s="41"/>
    </row>
    <row r="22214" spans="20:20" s="566" customFormat="1">
      <c r="T22214" s="41"/>
    </row>
    <row r="22215" spans="20:20" s="566" customFormat="1">
      <c r="T22215" s="41"/>
    </row>
    <row r="22216" spans="20:20" s="566" customFormat="1">
      <c r="T22216" s="41"/>
    </row>
    <row r="22217" spans="20:20" s="566" customFormat="1">
      <c r="T22217" s="41"/>
    </row>
    <row r="22218" spans="20:20" s="566" customFormat="1">
      <c r="T22218" s="41"/>
    </row>
    <row r="22219" spans="20:20" s="566" customFormat="1">
      <c r="T22219" s="41"/>
    </row>
    <row r="22220" spans="20:20" s="566" customFormat="1">
      <c r="T22220" s="41"/>
    </row>
    <row r="22221" spans="20:20" s="566" customFormat="1">
      <c r="T22221" s="41"/>
    </row>
    <row r="22222" spans="20:20" s="566" customFormat="1">
      <c r="T22222" s="41"/>
    </row>
    <row r="22223" spans="20:20" s="566" customFormat="1">
      <c r="T22223" s="41"/>
    </row>
    <row r="22224" spans="20:20" s="566" customFormat="1">
      <c r="T22224" s="41"/>
    </row>
    <row r="22225" spans="20:20" s="566" customFormat="1">
      <c r="T22225" s="41"/>
    </row>
    <row r="22226" spans="20:20" s="566" customFormat="1">
      <c r="T22226" s="41"/>
    </row>
    <row r="22227" spans="20:20" s="566" customFormat="1">
      <c r="T22227" s="41"/>
    </row>
    <row r="22228" spans="20:20" s="566" customFormat="1">
      <c r="T22228" s="41"/>
    </row>
    <row r="22229" spans="20:20" s="566" customFormat="1">
      <c r="T22229" s="41"/>
    </row>
    <row r="22230" spans="20:20" s="566" customFormat="1">
      <c r="T22230" s="41"/>
    </row>
    <row r="22231" spans="20:20" s="566" customFormat="1">
      <c r="T22231" s="41"/>
    </row>
    <row r="22232" spans="20:20" s="566" customFormat="1">
      <c r="T22232" s="41"/>
    </row>
    <row r="22233" spans="20:20" s="566" customFormat="1">
      <c r="T22233" s="41"/>
    </row>
    <row r="22234" spans="20:20" s="566" customFormat="1">
      <c r="T22234" s="41"/>
    </row>
    <row r="22235" spans="20:20" s="566" customFormat="1">
      <c r="T22235" s="41"/>
    </row>
    <row r="22236" spans="20:20" s="566" customFormat="1">
      <c r="T22236" s="41"/>
    </row>
    <row r="22237" spans="20:20" s="566" customFormat="1">
      <c r="T22237" s="41"/>
    </row>
    <row r="22238" spans="20:20" s="566" customFormat="1">
      <c r="T22238" s="41"/>
    </row>
    <row r="22239" spans="20:20" s="566" customFormat="1">
      <c r="T22239" s="41"/>
    </row>
    <row r="22240" spans="20:20" s="566" customFormat="1">
      <c r="T22240" s="41"/>
    </row>
    <row r="22241" spans="20:20" s="566" customFormat="1">
      <c r="T22241" s="41"/>
    </row>
    <row r="22242" spans="20:20" s="566" customFormat="1">
      <c r="T22242" s="41"/>
    </row>
    <row r="22243" spans="20:20" s="566" customFormat="1">
      <c r="T22243" s="41"/>
    </row>
    <row r="22244" spans="20:20" s="566" customFormat="1">
      <c r="T22244" s="41"/>
    </row>
    <row r="22245" spans="20:20" s="566" customFormat="1">
      <c r="T22245" s="41"/>
    </row>
    <row r="22246" spans="20:20" s="566" customFormat="1">
      <c r="T22246" s="41"/>
    </row>
    <row r="22247" spans="20:20" s="566" customFormat="1">
      <c r="T22247" s="41"/>
    </row>
    <row r="22248" spans="20:20" s="566" customFormat="1">
      <c r="T22248" s="41"/>
    </row>
    <row r="22249" spans="20:20" s="566" customFormat="1">
      <c r="T22249" s="41"/>
    </row>
    <row r="22250" spans="20:20" s="566" customFormat="1">
      <c r="T22250" s="41"/>
    </row>
    <row r="22251" spans="20:20" s="566" customFormat="1">
      <c r="T22251" s="41"/>
    </row>
    <row r="22252" spans="20:20" s="566" customFormat="1">
      <c r="T22252" s="41"/>
    </row>
    <row r="22253" spans="20:20" s="566" customFormat="1">
      <c r="T22253" s="41"/>
    </row>
    <row r="22254" spans="20:20" s="566" customFormat="1">
      <c r="T22254" s="41"/>
    </row>
    <row r="22255" spans="20:20" s="566" customFormat="1">
      <c r="T22255" s="41"/>
    </row>
    <row r="22256" spans="20:20" s="566" customFormat="1">
      <c r="T22256" s="41"/>
    </row>
    <row r="22257" spans="20:20" s="566" customFormat="1">
      <c r="T22257" s="41"/>
    </row>
    <row r="22258" spans="20:20" s="566" customFormat="1">
      <c r="T22258" s="41"/>
    </row>
    <row r="22259" spans="20:20" s="566" customFormat="1">
      <c r="T22259" s="41"/>
    </row>
    <row r="22260" spans="20:20" s="566" customFormat="1">
      <c r="T22260" s="41"/>
    </row>
    <row r="22261" spans="20:20" s="566" customFormat="1">
      <c r="T22261" s="41"/>
    </row>
    <row r="22262" spans="20:20" s="566" customFormat="1">
      <c r="T22262" s="41"/>
    </row>
    <row r="22263" spans="20:20" s="566" customFormat="1">
      <c r="T22263" s="41"/>
    </row>
    <row r="22264" spans="20:20" s="566" customFormat="1">
      <c r="T22264" s="41"/>
    </row>
    <row r="22265" spans="20:20" s="566" customFormat="1">
      <c r="T22265" s="41"/>
    </row>
    <row r="22266" spans="20:20" s="566" customFormat="1">
      <c r="T22266" s="41"/>
    </row>
    <row r="22267" spans="20:20" s="566" customFormat="1">
      <c r="T22267" s="41"/>
    </row>
    <row r="22268" spans="20:20" s="566" customFormat="1">
      <c r="T22268" s="41"/>
    </row>
    <row r="22269" spans="20:20" s="566" customFormat="1">
      <c r="T22269" s="41"/>
    </row>
    <row r="22270" spans="20:20" s="566" customFormat="1">
      <c r="T22270" s="41"/>
    </row>
    <row r="22271" spans="20:20" s="566" customFormat="1">
      <c r="T22271" s="41"/>
    </row>
    <row r="22272" spans="20:20" s="566" customFormat="1">
      <c r="T22272" s="41"/>
    </row>
    <row r="22273" spans="20:20" s="566" customFormat="1">
      <c r="T22273" s="41"/>
    </row>
    <row r="22274" spans="20:20" s="566" customFormat="1">
      <c r="T22274" s="41"/>
    </row>
    <row r="22275" spans="20:20" s="566" customFormat="1">
      <c r="T22275" s="41"/>
    </row>
    <row r="22276" spans="20:20" s="566" customFormat="1">
      <c r="T22276" s="41"/>
    </row>
    <row r="22277" spans="20:20" s="566" customFormat="1">
      <c r="T22277" s="41"/>
    </row>
    <row r="22278" spans="20:20" s="566" customFormat="1">
      <c r="T22278" s="41"/>
    </row>
    <row r="22279" spans="20:20" s="566" customFormat="1">
      <c r="T22279" s="41"/>
    </row>
    <row r="22280" spans="20:20" s="566" customFormat="1">
      <c r="T22280" s="41"/>
    </row>
    <row r="22281" spans="20:20" s="566" customFormat="1">
      <c r="T22281" s="41"/>
    </row>
    <row r="22282" spans="20:20" s="566" customFormat="1">
      <c r="T22282" s="41"/>
    </row>
    <row r="22283" spans="20:20" s="566" customFormat="1">
      <c r="T22283" s="41"/>
    </row>
    <row r="22284" spans="20:20" s="566" customFormat="1">
      <c r="T22284" s="41"/>
    </row>
    <row r="22285" spans="20:20" s="566" customFormat="1">
      <c r="T22285" s="41"/>
    </row>
    <row r="22286" spans="20:20" s="566" customFormat="1">
      <c r="T22286" s="41"/>
    </row>
    <row r="22287" spans="20:20" s="566" customFormat="1">
      <c r="T22287" s="41"/>
    </row>
    <row r="22288" spans="20:20" s="566" customFormat="1">
      <c r="T22288" s="41"/>
    </row>
    <row r="22289" spans="20:20" s="566" customFormat="1">
      <c r="T22289" s="41"/>
    </row>
    <row r="22290" spans="20:20" s="566" customFormat="1">
      <c r="T22290" s="41"/>
    </row>
    <row r="22291" spans="20:20" s="566" customFormat="1">
      <c r="T22291" s="41"/>
    </row>
    <row r="22292" spans="20:20" s="566" customFormat="1">
      <c r="T22292" s="41"/>
    </row>
    <row r="22293" spans="20:20" s="566" customFormat="1">
      <c r="T22293" s="41"/>
    </row>
    <row r="22294" spans="20:20" s="566" customFormat="1">
      <c r="T22294" s="41"/>
    </row>
    <row r="22295" spans="20:20" s="566" customFormat="1">
      <c r="T22295" s="41"/>
    </row>
    <row r="22296" spans="20:20" s="566" customFormat="1">
      <c r="T22296" s="41"/>
    </row>
    <row r="22297" spans="20:20" s="566" customFormat="1">
      <c r="T22297" s="41"/>
    </row>
    <row r="22298" spans="20:20" s="566" customFormat="1">
      <c r="T22298" s="41"/>
    </row>
    <row r="22299" spans="20:20" s="566" customFormat="1">
      <c r="T22299" s="41"/>
    </row>
    <row r="22300" spans="20:20" s="566" customFormat="1">
      <c r="T22300" s="41"/>
    </row>
    <row r="22301" spans="20:20" s="566" customFormat="1">
      <c r="T22301" s="41"/>
    </row>
    <row r="22302" spans="20:20" s="566" customFormat="1">
      <c r="T22302" s="41"/>
    </row>
    <row r="22303" spans="20:20" s="566" customFormat="1">
      <c r="T22303" s="41"/>
    </row>
    <row r="22304" spans="20:20" s="566" customFormat="1">
      <c r="T22304" s="41"/>
    </row>
    <row r="22305" spans="20:20" s="566" customFormat="1">
      <c r="T22305" s="41"/>
    </row>
    <row r="22306" spans="20:20" s="566" customFormat="1">
      <c r="T22306" s="41"/>
    </row>
    <row r="22307" spans="20:20" s="566" customFormat="1">
      <c r="T22307" s="41"/>
    </row>
    <row r="22308" spans="20:20" s="566" customFormat="1">
      <c r="T22308" s="41"/>
    </row>
    <row r="22309" spans="20:20" s="566" customFormat="1">
      <c r="T22309" s="41"/>
    </row>
    <row r="22310" spans="20:20" s="566" customFormat="1">
      <c r="T22310" s="41"/>
    </row>
    <row r="22311" spans="20:20" s="566" customFormat="1">
      <c r="T22311" s="41"/>
    </row>
    <row r="22312" spans="20:20" s="566" customFormat="1">
      <c r="T22312" s="41"/>
    </row>
    <row r="22313" spans="20:20" s="566" customFormat="1">
      <c r="T22313" s="41"/>
    </row>
    <row r="22314" spans="20:20" s="566" customFormat="1">
      <c r="T22314" s="41"/>
    </row>
    <row r="22315" spans="20:20" s="566" customFormat="1">
      <c r="T22315" s="41"/>
    </row>
    <row r="22316" spans="20:20" s="566" customFormat="1">
      <c r="T22316" s="41"/>
    </row>
    <row r="22317" spans="20:20" s="566" customFormat="1">
      <c r="T22317" s="41"/>
    </row>
    <row r="22318" spans="20:20" s="566" customFormat="1">
      <c r="T22318" s="41"/>
    </row>
    <row r="22319" spans="20:20" s="566" customFormat="1">
      <c r="T22319" s="41"/>
    </row>
    <row r="22320" spans="20:20" s="566" customFormat="1">
      <c r="T22320" s="41"/>
    </row>
    <row r="22321" spans="20:20" s="566" customFormat="1">
      <c r="T22321" s="41"/>
    </row>
    <row r="22322" spans="20:20" s="566" customFormat="1">
      <c r="T22322" s="41"/>
    </row>
    <row r="22323" spans="20:20" s="566" customFormat="1">
      <c r="T22323" s="41"/>
    </row>
    <row r="22324" spans="20:20" s="566" customFormat="1">
      <c r="T22324" s="41"/>
    </row>
    <row r="22325" spans="20:20" s="566" customFormat="1">
      <c r="T22325" s="41"/>
    </row>
    <row r="22326" spans="20:20" s="566" customFormat="1">
      <c r="T22326" s="41"/>
    </row>
    <row r="22327" spans="20:20" s="566" customFormat="1">
      <c r="T22327" s="41"/>
    </row>
    <row r="22328" spans="20:20" s="566" customFormat="1">
      <c r="T22328" s="41"/>
    </row>
    <row r="22329" spans="20:20" s="566" customFormat="1">
      <c r="T22329" s="41"/>
    </row>
    <row r="22330" spans="20:20" s="566" customFormat="1">
      <c r="T22330" s="41"/>
    </row>
    <row r="22331" spans="20:20" s="566" customFormat="1">
      <c r="T22331" s="41"/>
    </row>
    <row r="22332" spans="20:20" s="566" customFormat="1">
      <c r="T22332" s="41"/>
    </row>
    <row r="22333" spans="20:20" s="566" customFormat="1">
      <c r="T22333" s="41"/>
    </row>
    <row r="22334" spans="20:20" s="566" customFormat="1">
      <c r="T22334" s="41"/>
    </row>
    <row r="22335" spans="20:20" s="566" customFormat="1">
      <c r="T22335" s="41"/>
    </row>
    <row r="22336" spans="20:20" s="566" customFormat="1">
      <c r="T22336" s="41"/>
    </row>
    <row r="22337" spans="20:20" s="566" customFormat="1">
      <c r="T22337" s="41"/>
    </row>
    <row r="22338" spans="20:20" s="566" customFormat="1">
      <c r="T22338" s="41"/>
    </row>
    <row r="22339" spans="20:20" s="566" customFormat="1">
      <c r="T22339" s="41"/>
    </row>
    <row r="22340" spans="20:20" s="566" customFormat="1">
      <c r="T22340" s="41"/>
    </row>
    <row r="22341" spans="20:20" s="566" customFormat="1">
      <c r="T22341" s="41"/>
    </row>
    <row r="22342" spans="20:20" s="566" customFormat="1">
      <c r="T22342" s="41"/>
    </row>
    <row r="22343" spans="20:20" s="566" customFormat="1">
      <c r="T22343" s="41"/>
    </row>
    <row r="22344" spans="20:20" s="566" customFormat="1">
      <c r="T22344" s="41"/>
    </row>
    <row r="22345" spans="20:20" s="566" customFormat="1">
      <c r="T22345" s="41"/>
    </row>
    <row r="22346" spans="20:20" s="566" customFormat="1">
      <c r="T22346" s="41"/>
    </row>
    <row r="22347" spans="20:20" s="566" customFormat="1">
      <c r="T22347" s="41"/>
    </row>
    <row r="22348" spans="20:20" s="566" customFormat="1">
      <c r="T22348" s="41"/>
    </row>
    <row r="22349" spans="20:20" s="566" customFormat="1">
      <c r="T22349" s="41"/>
    </row>
    <row r="22350" spans="20:20" s="566" customFormat="1">
      <c r="T22350" s="41"/>
    </row>
    <row r="22351" spans="20:20" s="566" customFormat="1">
      <c r="T22351" s="41"/>
    </row>
    <row r="22352" spans="20:20" s="566" customFormat="1">
      <c r="T22352" s="41"/>
    </row>
    <row r="22353" spans="20:20" s="566" customFormat="1">
      <c r="T22353" s="41"/>
    </row>
    <row r="22354" spans="20:20" s="566" customFormat="1">
      <c r="T22354" s="41"/>
    </row>
    <row r="22355" spans="20:20" s="566" customFormat="1">
      <c r="T22355" s="41"/>
    </row>
    <row r="22356" spans="20:20" s="566" customFormat="1">
      <c r="T22356" s="41"/>
    </row>
    <row r="22357" spans="20:20" s="566" customFormat="1">
      <c r="T22357" s="41"/>
    </row>
    <row r="22358" spans="20:20" s="566" customFormat="1">
      <c r="T22358" s="41"/>
    </row>
    <row r="22359" spans="20:20" s="566" customFormat="1">
      <c r="T22359" s="41"/>
    </row>
    <row r="22360" spans="20:20" s="566" customFormat="1">
      <c r="T22360" s="41"/>
    </row>
    <row r="22361" spans="20:20" s="566" customFormat="1">
      <c r="T22361" s="41"/>
    </row>
    <row r="22362" spans="20:20" s="566" customFormat="1">
      <c r="T22362" s="41"/>
    </row>
    <row r="22363" spans="20:20" s="566" customFormat="1">
      <c r="T22363" s="41"/>
    </row>
    <row r="22364" spans="20:20" s="566" customFormat="1">
      <c r="T22364" s="41"/>
    </row>
    <row r="22365" spans="20:20" s="566" customFormat="1">
      <c r="T22365" s="41"/>
    </row>
    <row r="22366" spans="20:20" s="566" customFormat="1">
      <c r="T22366" s="41"/>
    </row>
    <row r="22367" spans="20:20" s="566" customFormat="1">
      <c r="T22367" s="41"/>
    </row>
    <row r="22368" spans="20:20" s="566" customFormat="1">
      <c r="T22368" s="41"/>
    </row>
    <row r="22369" spans="20:20" s="566" customFormat="1">
      <c r="T22369" s="41"/>
    </row>
    <row r="22370" spans="20:20" s="566" customFormat="1">
      <c r="T22370" s="41"/>
    </row>
    <row r="22371" spans="20:20" s="566" customFormat="1">
      <c r="T22371" s="41"/>
    </row>
    <row r="22372" spans="20:20" s="566" customFormat="1">
      <c r="T22372" s="41"/>
    </row>
    <row r="22373" spans="20:20" s="566" customFormat="1">
      <c r="T22373" s="41"/>
    </row>
    <row r="22374" spans="20:20" s="566" customFormat="1">
      <c r="T22374" s="41"/>
    </row>
    <row r="22375" spans="20:20" s="566" customFormat="1">
      <c r="T22375" s="41"/>
    </row>
    <row r="22376" spans="20:20" s="566" customFormat="1">
      <c r="T22376" s="41"/>
    </row>
    <row r="22377" spans="20:20" s="566" customFormat="1">
      <c r="T22377" s="41"/>
    </row>
    <row r="22378" spans="20:20" s="566" customFormat="1">
      <c r="T22378" s="41"/>
    </row>
    <row r="22379" spans="20:20" s="566" customFormat="1">
      <c r="T22379" s="41"/>
    </row>
    <row r="22380" spans="20:20" s="566" customFormat="1">
      <c r="T22380" s="41"/>
    </row>
    <row r="22381" spans="20:20" s="566" customFormat="1">
      <c r="T22381" s="41"/>
    </row>
    <row r="22382" spans="20:20" s="566" customFormat="1">
      <c r="T22382" s="41"/>
    </row>
    <row r="22383" spans="20:20" s="566" customFormat="1">
      <c r="T22383" s="41"/>
    </row>
    <row r="22384" spans="20:20" s="566" customFormat="1">
      <c r="T22384" s="41"/>
    </row>
    <row r="22385" spans="20:20" s="566" customFormat="1">
      <c r="T22385" s="41"/>
    </row>
    <row r="22386" spans="20:20" s="566" customFormat="1">
      <c r="T22386" s="41"/>
    </row>
    <row r="22387" spans="20:20" s="566" customFormat="1">
      <c r="T22387" s="41"/>
    </row>
    <row r="22388" spans="20:20" s="566" customFormat="1">
      <c r="T22388" s="41"/>
    </row>
    <row r="22389" spans="20:20" s="566" customFormat="1">
      <c r="T22389" s="41"/>
    </row>
    <row r="22390" spans="20:20" s="566" customFormat="1">
      <c r="T22390" s="41"/>
    </row>
    <row r="22391" spans="20:20" s="566" customFormat="1">
      <c r="T22391" s="41"/>
    </row>
    <row r="22392" spans="20:20" s="566" customFormat="1">
      <c r="T22392" s="41"/>
    </row>
    <row r="22393" spans="20:20" s="566" customFormat="1">
      <c r="T22393" s="41"/>
    </row>
    <row r="22394" spans="20:20" s="566" customFormat="1">
      <c r="T22394" s="41"/>
    </row>
    <row r="22395" spans="20:20" s="566" customFormat="1">
      <c r="T22395" s="41"/>
    </row>
    <row r="22396" spans="20:20" s="566" customFormat="1">
      <c r="T22396" s="41"/>
    </row>
    <row r="22397" spans="20:20" s="566" customFormat="1">
      <c r="T22397" s="41"/>
    </row>
    <row r="22398" spans="20:20" s="566" customFormat="1">
      <c r="T22398" s="41"/>
    </row>
    <row r="22399" spans="20:20" s="566" customFormat="1">
      <c r="T22399" s="41"/>
    </row>
    <row r="22400" spans="20:20" s="566" customFormat="1">
      <c r="T22400" s="41"/>
    </row>
    <row r="22401" spans="20:20" s="566" customFormat="1">
      <c r="T22401" s="41"/>
    </row>
    <row r="22402" spans="20:20" s="566" customFormat="1">
      <c r="T22402" s="41"/>
    </row>
    <row r="22403" spans="20:20" s="566" customFormat="1">
      <c r="T22403" s="41"/>
    </row>
    <row r="22404" spans="20:20" s="566" customFormat="1">
      <c r="T22404" s="41"/>
    </row>
    <row r="22405" spans="20:20" s="566" customFormat="1">
      <c r="T22405" s="41"/>
    </row>
    <row r="22406" spans="20:20" s="566" customFormat="1">
      <c r="T22406" s="41"/>
    </row>
    <row r="22407" spans="20:20" s="566" customFormat="1">
      <c r="T22407" s="41"/>
    </row>
    <row r="22408" spans="20:20" s="566" customFormat="1">
      <c r="T22408" s="41"/>
    </row>
    <row r="22409" spans="20:20" s="566" customFormat="1">
      <c r="T22409" s="41"/>
    </row>
    <row r="22410" spans="20:20" s="566" customFormat="1">
      <c r="T22410" s="41"/>
    </row>
    <row r="22411" spans="20:20" s="566" customFormat="1">
      <c r="T22411" s="41"/>
    </row>
    <row r="22412" spans="20:20" s="566" customFormat="1">
      <c r="T22412" s="41"/>
    </row>
    <row r="22413" spans="20:20" s="566" customFormat="1">
      <c r="T22413" s="41"/>
    </row>
    <row r="22414" spans="20:20" s="566" customFormat="1">
      <c r="T22414" s="41"/>
    </row>
    <row r="22415" spans="20:20" s="566" customFormat="1">
      <c r="T22415" s="41"/>
    </row>
    <row r="22416" spans="20:20" s="566" customFormat="1">
      <c r="T22416" s="41"/>
    </row>
    <row r="22417" spans="20:20" s="566" customFormat="1">
      <c r="T22417" s="41"/>
    </row>
    <row r="22418" spans="20:20" s="566" customFormat="1">
      <c r="T22418" s="41"/>
    </row>
    <row r="22419" spans="20:20" s="566" customFormat="1">
      <c r="T22419" s="41"/>
    </row>
    <row r="22420" spans="20:20" s="566" customFormat="1">
      <c r="T22420" s="41"/>
    </row>
    <row r="22421" spans="20:20" s="566" customFormat="1">
      <c r="T22421" s="41"/>
    </row>
    <row r="22422" spans="20:20" s="566" customFormat="1">
      <c r="T22422" s="41"/>
    </row>
    <row r="22423" spans="20:20" s="566" customFormat="1">
      <c r="T22423" s="41"/>
    </row>
    <row r="22424" spans="20:20" s="566" customFormat="1">
      <c r="T22424" s="41"/>
    </row>
    <row r="22425" spans="20:20" s="566" customFormat="1">
      <c r="T22425" s="41"/>
    </row>
    <row r="22426" spans="20:20" s="566" customFormat="1">
      <c r="T22426" s="41"/>
    </row>
    <row r="22427" spans="20:20" s="566" customFormat="1">
      <c r="T22427" s="41"/>
    </row>
    <row r="22428" spans="20:20" s="566" customFormat="1">
      <c r="T22428" s="41"/>
    </row>
    <row r="22429" spans="20:20" s="566" customFormat="1">
      <c r="T22429" s="41"/>
    </row>
    <row r="22430" spans="20:20" s="566" customFormat="1">
      <c r="T22430" s="41"/>
    </row>
    <row r="22431" spans="20:20" s="566" customFormat="1">
      <c r="T22431" s="41"/>
    </row>
    <row r="22432" spans="20:20" s="566" customFormat="1">
      <c r="T22432" s="41"/>
    </row>
    <row r="22433" spans="20:20" s="566" customFormat="1">
      <c r="T22433" s="41"/>
    </row>
    <row r="22434" spans="20:20" s="566" customFormat="1">
      <c r="T22434" s="41"/>
    </row>
    <row r="22435" spans="20:20" s="566" customFormat="1">
      <c r="T22435" s="41"/>
    </row>
    <row r="22436" spans="20:20" s="566" customFormat="1">
      <c r="T22436" s="41"/>
    </row>
    <row r="22437" spans="20:20" s="566" customFormat="1">
      <c r="T22437" s="41"/>
    </row>
    <row r="22438" spans="20:20" s="566" customFormat="1">
      <c r="T22438" s="41"/>
    </row>
    <row r="22439" spans="20:20" s="566" customFormat="1">
      <c r="T22439" s="41"/>
    </row>
    <row r="22440" spans="20:20" s="566" customFormat="1">
      <c r="T22440" s="41"/>
    </row>
    <row r="22441" spans="20:20" s="566" customFormat="1">
      <c r="T22441" s="41"/>
    </row>
    <row r="22442" spans="20:20" s="566" customFormat="1">
      <c r="T22442" s="41"/>
    </row>
    <row r="22443" spans="20:20" s="566" customFormat="1">
      <c r="T22443" s="41"/>
    </row>
    <row r="22444" spans="20:20" s="566" customFormat="1">
      <c r="T22444" s="41"/>
    </row>
    <row r="22445" spans="20:20" s="566" customFormat="1">
      <c r="T22445" s="41"/>
    </row>
    <row r="22446" spans="20:20" s="566" customFormat="1">
      <c r="T22446" s="41"/>
    </row>
    <row r="22447" spans="20:20" s="566" customFormat="1">
      <c r="T22447" s="41"/>
    </row>
    <row r="22448" spans="20:20" s="566" customFormat="1">
      <c r="T22448" s="41"/>
    </row>
    <row r="22449" spans="20:20" s="566" customFormat="1">
      <c r="T22449" s="41"/>
    </row>
    <row r="22450" spans="20:20" s="566" customFormat="1">
      <c r="T22450" s="41"/>
    </row>
    <row r="22451" spans="20:20" s="566" customFormat="1">
      <c r="T22451" s="41"/>
    </row>
    <row r="22452" spans="20:20" s="566" customFormat="1">
      <c r="T22452" s="41"/>
    </row>
    <row r="22453" spans="20:20" s="566" customFormat="1">
      <c r="T22453" s="41"/>
    </row>
    <row r="22454" spans="20:20" s="566" customFormat="1">
      <c r="T22454" s="41"/>
    </row>
    <row r="22455" spans="20:20" s="566" customFormat="1">
      <c r="T22455" s="41"/>
    </row>
    <row r="22456" spans="20:20" s="566" customFormat="1">
      <c r="T22456" s="41"/>
    </row>
    <row r="22457" spans="20:20" s="566" customFormat="1">
      <c r="T22457" s="41"/>
    </row>
    <row r="22458" spans="20:20" s="566" customFormat="1">
      <c r="T22458" s="41"/>
    </row>
    <row r="22459" spans="20:20" s="566" customFormat="1">
      <c r="T22459" s="41"/>
    </row>
    <row r="22460" spans="20:20" s="566" customFormat="1">
      <c r="T22460" s="41"/>
    </row>
    <row r="22461" spans="20:20" s="566" customFormat="1">
      <c r="T22461" s="41"/>
    </row>
    <row r="22462" spans="20:20" s="566" customFormat="1">
      <c r="T22462" s="41"/>
    </row>
    <row r="22463" spans="20:20" s="566" customFormat="1">
      <c r="T22463" s="41"/>
    </row>
    <row r="22464" spans="20:20" s="566" customFormat="1">
      <c r="T22464" s="41"/>
    </row>
    <row r="22465" spans="20:20" s="566" customFormat="1">
      <c r="T22465" s="41"/>
    </row>
    <row r="22466" spans="20:20" s="566" customFormat="1">
      <c r="T22466" s="41"/>
    </row>
    <row r="22467" spans="20:20" s="566" customFormat="1">
      <c r="T22467" s="41"/>
    </row>
    <row r="22468" spans="20:20" s="566" customFormat="1">
      <c r="T22468" s="41"/>
    </row>
    <row r="22469" spans="20:20" s="566" customFormat="1">
      <c r="T22469" s="41"/>
    </row>
    <row r="22470" spans="20:20" s="566" customFormat="1">
      <c r="T22470" s="41"/>
    </row>
    <row r="22471" spans="20:20" s="566" customFormat="1">
      <c r="T22471" s="41"/>
    </row>
    <row r="22472" spans="20:20" s="566" customFormat="1">
      <c r="T22472" s="41"/>
    </row>
    <row r="22473" spans="20:20" s="566" customFormat="1">
      <c r="T22473" s="41"/>
    </row>
    <row r="22474" spans="20:20" s="566" customFormat="1">
      <c r="T22474" s="41"/>
    </row>
    <row r="22475" spans="20:20" s="566" customFormat="1">
      <c r="T22475" s="41"/>
    </row>
    <row r="22476" spans="20:20" s="566" customFormat="1">
      <c r="T22476" s="41"/>
    </row>
    <row r="22477" spans="20:20" s="566" customFormat="1">
      <c r="T22477" s="41"/>
    </row>
    <row r="22478" spans="20:20" s="566" customFormat="1">
      <c r="T22478" s="41"/>
    </row>
    <row r="22479" spans="20:20" s="566" customFormat="1">
      <c r="T22479" s="41"/>
    </row>
    <row r="22480" spans="20:20" s="566" customFormat="1">
      <c r="T22480" s="41"/>
    </row>
    <row r="22481" spans="20:20" s="566" customFormat="1">
      <c r="T22481" s="41"/>
    </row>
    <row r="22482" spans="20:20" s="566" customFormat="1">
      <c r="T22482" s="41"/>
    </row>
    <row r="22483" spans="20:20" s="566" customFormat="1">
      <c r="T22483" s="41"/>
    </row>
    <row r="22484" spans="20:20" s="566" customFormat="1">
      <c r="T22484" s="41"/>
    </row>
    <row r="22485" spans="20:20" s="566" customFormat="1">
      <c r="T22485" s="41"/>
    </row>
    <row r="22486" spans="20:20" s="566" customFormat="1">
      <c r="T22486" s="41"/>
    </row>
    <row r="22487" spans="20:20" s="566" customFormat="1">
      <c r="T22487" s="41"/>
    </row>
    <row r="22488" spans="20:20" s="566" customFormat="1">
      <c r="T22488" s="41"/>
    </row>
    <row r="22489" spans="20:20" s="566" customFormat="1">
      <c r="T22489" s="41"/>
    </row>
    <row r="22490" spans="20:20" s="566" customFormat="1">
      <c r="T22490" s="41"/>
    </row>
    <row r="22491" spans="20:20" s="566" customFormat="1">
      <c r="T22491" s="41"/>
    </row>
    <row r="22492" spans="20:20" s="566" customFormat="1">
      <c r="T22492" s="41"/>
    </row>
    <row r="22493" spans="20:20" s="566" customFormat="1">
      <c r="T22493" s="41"/>
    </row>
    <row r="22494" spans="20:20" s="566" customFormat="1">
      <c r="T22494" s="41"/>
    </row>
    <row r="22495" spans="20:20" s="566" customFormat="1">
      <c r="T22495" s="41"/>
    </row>
    <row r="22496" spans="20:20" s="566" customFormat="1">
      <c r="T22496" s="41"/>
    </row>
    <row r="22497" spans="20:20" s="566" customFormat="1">
      <c r="T22497" s="41"/>
    </row>
    <row r="22498" spans="20:20" s="566" customFormat="1">
      <c r="T22498" s="41"/>
    </row>
    <row r="22499" spans="20:20" s="566" customFormat="1">
      <c r="T22499" s="41"/>
    </row>
    <row r="22500" spans="20:20" s="566" customFormat="1">
      <c r="T22500" s="41"/>
    </row>
    <row r="22501" spans="20:20" s="566" customFormat="1">
      <c r="T22501" s="41"/>
    </row>
    <row r="22502" spans="20:20" s="566" customFormat="1">
      <c r="T22502" s="41"/>
    </row>
    <row r="22503" spans="20:20" s="566" customFormat="1">
      <c r="T22503" s="41"/>
    </row>
    <row r="22504" spans="20:20" s="566" customFormat="1">
      <c r="T22504" s="41"/>
    </row>
    <row r="22505" spans="20:20" s="566" customFormat="1">
      <c r="T22505" s="41"/>
    </row>
    <row r="22506" spans="20:20" s="566" customFormat="1">
      <c r="T22506" s="41"/>
    </row>
    <row r="22507" spans="20:20" s="566" customFormat="1">
      <c r="T22507" s="41"/>
    </row>
    <row r="22508" spans="20:20" s="566" customFormat="1">
      <c r="T22508" s="41"/>
    </row>
    <row r="22509" spans="20:20" s="566" customFormat="1">
      <c r="T22509" s="41"/>
    </row>
    <row r="22510" spans="20:20" s="566" customFormat="1">
      <c r="T22510" s="41"/>
    </row>
    <row r="22511" spans="20:20" s="566" customFormat="1">
      <c r="T22511" s="41"/>
    </row>
    <row r="22512" spans="20:20" s="566" customFormat="1">
      <c r="T22512" s="41"/>
    </row>
    <row r="22513" spans="20:20" s="566" customFormat="1">
      <c r="T22513" s="41"/>
    </row>
    <row r="22514" spans="20:20" s="566" customFormat="1">
      <c r="T22514" s="41"/>
    </row>
    <row r="22515" spans="20:20" s="566" customFormat="1">
      <c r="T22515" s="41"/>
    </row>
    <row r="22516" spans="20:20" s="566" customFormat="1">
      <c r="T22516" s="41"/>
    </row>
    <row r="22517" spans="20:20" s="566" customFormat="1">
      <c r="T22517" s="41"/>
    </row>
    <row r="22518" spans="20:20" s="566" customFormat="1">
      <c r="T22518" s="41"/>
    </row>
    <row r="22519" spans="20:20" s="566" customFormat="1">
      <c r="T22519" s="41"/>
    </row>
    <row r="22520" spans="20:20" s="566" customFormat="1">
      <c r="T22520" s="41"/>
    </row>
    <row r="22521" spans="20:20" s="566" customFormat="1">
      <c r="T22521" s="41"/>
    </row>
    <row r="22522" spans="20:20" s="566" customFormat="1">
      <c r="T22522" s="41"/>
    </row>
    <row r="22523" spans="20:20" s="566" customFormat="1">
      <c r="T22523" s="41"/>
    </row>
    <row r="22524" spans="20:20" s="566" customFormat="1">
      <c r="T22524" s="41"/>
    </row>
    <row r="22525" spans="20:20" s="566" customFormat="1">
      <c r="T22525" s="41"/>
    </row>
    <row r="22526" spans="20:20" s="566" customFormat="1">
      <c r="T22526" s="41"/>
    </row>
    <row r="22527" spans="20:20" s="566" customFormat="1">
      <c r="T22527" s="41"/>
    </row>
    <row r="22528" spans="20:20" s="566" customFormat="1">
      <c r="T22528" s="41"/>
    </row>
    <row r="22529" spans="20:20" s="566" customFormat="1">
      <c r="T22529" s="41"/>
    </row>
    <row r="22530" spans="20:20" s="566" customFormat="1">
      <c r="T22530" s="41"/>
    </row>
    <row r="22531" spans="20:20" s="566" customFormat="1">
      <c r="T22531" s="41"/>
    </row>
    <row r="22532" spans="20:20" s="566" customFormat="1">
      <c r="T22532" s="41"/>
    </row>
    <row r="22533" spans="20:20" s="566" customFormat="1">
      <c r="T22533" s="41"/>
    </row>
    <row r="22534" spans="20:20" s="566" customFormat="1">
      <c r="T22534" s="41"/>
    </row>
    <row r="22535" spans="20:20" s="566" customFormat="1">
      <c r="T22535" s="41"/>
    </row>
    <row r="22536" spans="20:20" s="566" customFormat="1">
      <c r="T22536" s="41"/>
    </row>
    <row r="22537" spans="20:20" s="566" customFormat="1">
      <c r="T22537" s="41"/>
    </row>
    <row r="22538" spans="20:20" s="566" customFormat="1">
      <c r="T22538" s="41"/>
    </row>
    <row r="22539" spans="20:20" s="566" customFormat="1">
      <c r="T22539" s="41"/>
    </row>
    <row r="22540" spans="20:20" s="566" customFormat="1">
      <c r="T22540" s="41"/>
    </row>
    <row r="22541" spans="20:20" s="566" customFormat="1">
      <c r="T22541" s="41"/>
    </row>
    <row r="22542" spans="20:20" s="566" customFormat="1">
      <c r="T22542" s="41"/>
    </row>
    <row r="22543" spans="20:20" s="566" customFormat="1">
      <c r="T22543" s="41"/>
    </row>
    <row r="22544" spans="20:20" s="566" customFormat="1">
      <c r="T22544" s="41"/>
    </row>
    <row r="22545" spans="20:20" s="566" customFormat="1">
      <c r="T22545" s="41"/>
    </row>
    <row r="22546" spans="20:20" s="566" customFormat="1">
      <c r="T22546" s="41"/>
    </row>
    <row r="22547" spans="20:20" s="566" customFormat="1">
      <c r="T22547" s="41"/>
    </row>
    <row r="22548" spans="20:20" s="566" customFormat="1">
      <c r="T22548" s="41"/>
    </row>
    <row r="22549" spans="20:20" s="566" customFormat="1">
      <c r="T22549" s="41"/>
    </row>
    <row r="22550" spans="20:20" s="566" customFormat="1">
      <c r="T22550" s="41"/>
    </row>
    <row r="22551" spans="20:20" s="566" customFormat="1">
      <c r="T22551" s="41"/>
    </row>
    <row r="22552" spans="20:20" s="566" customFormat="1">
      <c r="T22552" s="41"/>
    </row>
    <row r="22553" spans="20:20" s="566" customFormat="1">
      <c r="T22553" s="41"/>
    </row>
    <row r="22554" spans="20:20" s="566" customFormat="1">
      <c r="T22554" s="41"/>
    </row>
    <row r="22555" spans="20:20" s="566" customFormat="1">
      <c r="T22555" s="41"/>
    </row>
    <row r="22556" spans="20:20" s="566" customFormat="1">
      <c r="T22556" s="41"/>
    </row>
    <row r="22557" spans="20:20" s="566" customFormat="1">
      <c r="T22557" s="41"/>
    </row>
    <row r="22558" spans="20:20" s="566" customFormat="1">
      <c r="T22558" s="41"/>
    </row>
    <row r="22559" spans="20:20" s="566" customFormat="1">
      <c r="T22559" s="41"/>
    </row>
    <row r="22560" spans="20:20" s="566" customFormat="1">
      <c r="T22560" s="41"/>
    </row>
    <row r="22561" spans="20:20" s="566" customFormat="1">
      <c r="T22561" s="41"/>
    </row>
    <row r="22562" spans="20:20" s="566" customFormat="1">
      <c r="T22562" s="41"/>
    </row>
    <row r="22563" spans="20:20" s="566" customFormat="1">
      <c r="T22563" s="41"/>
    </row>
    <row r="22564" spans="20:20" s="566" customFormat="1">
      <c r="T22564" s="41"/>
    </row>
    <row r="22565" spans="20:20" s="566" customFormat="1">
      <c r="T22565" s="41"/>
    </row>
    <row r="22566" spans="20:20" s="566" customFormat="1">
      <c r="T22566" s="41"/>
    </row>
    <row r="22567" spans="20:20" s="566" customFormat="1">
      <c r="T22567" s="41"/>
    </row>
    <row r="22568" spans="20:20" s="566" customFormat="1">
      <c r="T22568" s="41"/>
    </row>
    <row r="22569" spans="20:20" s="566" customFormat="1">
      <c r="T22569" s="41"/>
    </row>
    <row r="22570" spans="20:20" s="566" customFormat="1">
      <c r="T22570" s="41"/>
    </row>
    <row r="22571" spans="20:20" s="566" customFormat="1">
      <c r="T22571" s="41"/>
    </row>
    <row r="22572" spans="20:20" s="566" customFormat="1">
      <c r="T22572" s="41"/>
    </row>
    <row r="22573" spans="20:20" s="566" customFormat="1">
      <c r="T22573" s="41"/>
    </row>
    <row r="22574" spans="20:20" s="566" customFormat="1">
      <c r="T22574" s="41"/>
    </row>
    <row r="22575" spans="20:20" s="566" customFormat="1">
      <c r="T22575" s="41"/>
    </row>
    <row r="22576" spans="20:20" s="566" customFormat="1">
      <c r="T22576" s="41"/>
    </row>
    <row r="22577" spans="20:20" s="566" customFormat="1">
      <c r="T22577" s="41"/>
    </row>
    <row r="22578" spans="20:20" s="566" customFormat="1">
      <c r="T22578" s="41"/>
    </row>
    <row r="22579" spans="20:20" s="566" customFormat="1">
      <c r="T22579" s="41"/>
    </row>
    <row r="22580" spans="20:20" s="566" customFormat="1">
      <c r="T22580" s="41"/>
    </row>
    <row r="22581" spans="20:20" s="566" customFormat="1">
      <c r="T22581" s="41"/>
    </row>
    <row r="22582" spans="20:20" s="566" customFormat="1">
      <c r="T22582" s="41"/>
    </row>
    <row r="22583" spans="20:20" s="566" customFormat="1">
      <c r="T22583" s="41"/>
    </row>
    <row r="22584" spans="20:20" s="566" customFormat="1">
      <c r="T22584" s="41"/>
    </row>
    <row r="22585" spans="20:20" s="566" customFormat="1">
      <c r="T22585" s="41"/>
    </row>
    <row r="22586" spans="20:20" s="566" customFormat="1">
      <c r="T22586" s="41"/>
    </row>
    <row r="22587" spans="20:20" s="566" customFormat="1">
      <c r="T22587" s="41"/>
    </row>
    <row r="22588" spans="20:20" s="566" customFormat="1">
      <c r="T22588" s="41"/>
    </row>
    <row r="22589" spans="20:20" s="566" customFormat="1">
      <c r="T22589" s="41"/>
    </row>
    <row r="22590" spans="20:20" s="566" customFormat="1">
      <c r="T22590" s="41"/>
    </row>
    <row r="22591" spans="20:20" s="566" customFormat="1">
      <c r="T22591" s="41"/>
    </row>
    <row r="22592" spans="20:20" s="566" customFormat="1">
      <c r="T22592" s="41"/>
    </row>
    <row r="22593" spans="20:20" s="566" customFormat="1">
      <c r="T22593" s="41"/>
    </row>
    <row r="22594" spans="20:20" s="566" customFormat="1">
      <c r="T22594" s="41"/>
    </row>
    <row r="22595" spans="20:20" s="566" customFormat="1">
      <c r="T22595" s="41"/>
    </row>
    <row r="22596" spans="20:20" s="566" customFormat="1">
      <c r="T22596" s="41"/>
    </row>
    <row r="22597" spans="20:20" s="566" customFormat="1">
      <c r="T22597" s="41"/>
    </row>
    <row r="22598" spans="20:20" s="566" customFormat="1">
      <c r="T22598" s="41"/>
    </row>
    <row r="22599" spans="20:20" s="566" customFormat="1">
      <c r="T22599" s="41"/>
    </row>
    <row r="22600" spans="20:20" s="566" customFormat="1">
      <c r="T22600" s="41"/>
    </row>
    <row r="22601" spans="20:20" s="566" customFormat="1">
      <c r="T22601" s="41"/>
    </row>
    <row r="22602" spans="20:20" s="566" customFormat="1">
      <c r="T22602" s="41"/>
    </row>
    <row r="22603" spans="20:20" s="566" customFormat="1">
      <c r="T22603" s="41"/>
    </row>
    <row r="22604" spans="20:20" s="566" customFormat="1">
      <c r="T22604" s="41"/>
    </row>
    <row r="22605" spans="20:20" s="566" customFormat="1">
      <c r="T22605" s="41"/>
    </row>
    <row r="22606" spans="20:20" s="566" customFormat="1">
      <c r="T22606" s="41"/>
    </row>
    <row r="22607" spans="20:20" s="566" customFormat="1">
      <c r="T22607" s="41"/>
    </row>
    <row r="22608" spans="20:20" s="566" customFormat="1">
      <c r="T22608" s="41"/>
    </row>
    <row r="22609" spans="20:20" s="566" customFormat="1">
      <c r="T22609" s="41"/>
    </row>
    <row r="22610" spans="20:20" s="566" customFormat="1">
      <c r="T22610" s="41"/>
    </row>
    <row r="22611" spans="20:20" s="566" customFormat="1">
      <c r="T22611" s="41"/>
    </row>
    <row r="22612" spans="20:20" s="566" customFormat="1">
      <c r="T22612" s="41"/>
    </row>
    <row r="22613" spans="20:20" s="566" customFormat="1">
      <c r="T22613" s="41"/>
    </row>
    <row r="22614" spans="20:20" s="566" customFormat="1">
      <c r="T22614" s="41"/>
    </row>
    <row r="22615" spans="20:20" s="566" customFormat="1">
      <c r="T22615" s="41"/>
    </row>
    <row r="22616" spans="20:20" s="566" customFormat="1">
      <c r="T22616" s="41"/>
    </row>
    <row r="22617" spans="20:20" s="566" customFormat="1">
      <c r="T22617" s="41"/>
    </row>
    <row r="22618" spans="20:20" s="566" customFormat="1">
      <c r="T22618" s="41"/>
    </row>
    <row r="22619" spans="20:20" s="566" customFormat="1">
      <c r="T22619" s="41"/>
    </row>
    <row r="22620" spans="20:20" s="566" customFormat="1">
      <c r="T22620" s="41"/>
    </row>
    <row r="22621" spans="20:20" s="566" customFormat="1">
      <c r="T22621" s="41"/>
    </row>
    <row r="22622" spans="20:20" s="566" customFormat="1">
      <c r="T22622" s="41"/>
    </row>
    <row r="22623" spans="20:20" s="566" customFormat="1">
      <c r="T22623" s="41"/>
    </row>
    <row r="22624" spans="20:20" s="566" customFormat="1">
      <c r="T22624" s="41"/>
    </row>
    <row r="22625" spans="20:20" s="566" customFormat="1">
      <c r="T22625" s="41"/>
    </row>
    <row r="22626" spans="20:20" s="566" customFormat="1">
      <c r="T22626" s="41"/>
    </row>
    <row r="22627" spans="20:20" s="566" customFormat="1">
      <c r="T22627" s="41"/>
    </row>
    <row r="22628" spans="20:20" s="566" customFormat="1">
      <c r="T22628" s="41"/>
    </row>
    <row r="22629" spans="20:20" s="566" customFormat="1">
      <c r="T22629" s="41"/>
    </row>
    <row r="22630" spans="20:20" s="566" customFormat="1">
      <c r="T22630" s="41"/>
    </row>
    <row r="22631" spans="20:20" s="566" customFormat="1">
      <c r="T22631" s="41"/>
    </row>
    <row r="22632" spans="20:20" s="566" customFormat="1">
      <c r="T22632" s="41"/>
    </row>
    <row r="22633" spans="20:20" s="566" customFormat="1">
      <c r="T22633" s="41"/>
    </row>
    <row r="22634" spans="20:20" s="566" customFormat="1">
      <c r="T22634" s="41"/>
    </row>
    <row r="22635" spans="20:20" s="566" customFormat="1">
      <c r="T22635" s="41"/>
    </row>
    <row r="22636" spans="20:20" s="566" customFormat="1">
      <c r="T22636" s="41"/>
    </row>
    <row r="22637" spans="20:20" s="566" customFormat="1">
      <c r="T22637" s="41"/>
    </row>
    <row r="22638" spans="20:20" s="566" customFormat="1">
      <c r="T22638" s="41"/>
    </row>
    <row r="22639" spans="20:20" s="566" customFormat="1">
      <c r="T22639" s="41"/>
    </row>
    <row r="22640" spans="20:20" s="566" customFormat="1">
      <c r="T22640" s="41"/>
    </row>
    <row r="22641" spans="20:20" s="566" customFormat="1">
      <c r="T22641" s="41"/>
    </row>
    <row r="22642" spans="20:20" s="566" customFormat="1">
      <c r="T22642" s="41"/>
    </row>
    <row r="22643" spans="20:20" s="566" customFormat="1">
      <c r="T22643" s="41"/>
    </row>
    <row r="22644" spans="20:20" s="566" customFormat="1">
      <c r="T22644" s="41"/>
    </row>
    <row r="22645" spans="20:20" s="566" customFormat="1">
      <c r="T22645" s="41"/>
    </row>
    <row r="22646" spans="20:20" s="566" customFormat="1">
      <c r="T22646" s="41"/>
    </row>
    <row r="22647" spans="20:20" s="566" customFormat="1">
      <c r="T22647" s="41"/>
    </row>
    <row r="22648" spans="20:20" s="566" customFormat="1">
      <c r="T22648" s="41"/>
    </row>
    <row r="22649" spans="20:20" s="566" customFormat="1">
      <c r="T22649" s="41"/>
    </row>
    <row r="22650" spans="20:20" s="566" customFormat="1">
      <c r="T22650" s="41"/>
    </row>
    <row r="22651" spans="20:20" s="566" customFormat="1">
      <c r="T22651" s="41"/>
    </row>
    <row r="22652" spans="20:20" s="566" customFormat="1">
      <c r="T22652" s="41"/>
    </row>
    <row r="22653" spans="20:20" s="566" customFormat="1">
      <c r="T22653" s="41"/>
    </row>
    <row r="22654" spans="20:20" s="566" customFormat="1">
      <c r="T22654" s="41"/>
    </row>
    <row r="22655" spans="20:20" s="566" customFormat="1">
      <c r="T22655" s="41"/>
    </row>
    <row r="22656" spans="20:20" s="566" customFormat="1">
      <c r="T22656" s="41"/>
    </row>
    <row r="22657" spans="20:20" s="566" customFormat="1">
      <c r="T22657" s="41"/>
    </row>
    <row r="22658" spans="20:20" s="566" customFormat="1">
      <c r="T22658" s="41"/>
    </row>
    <row r="22659" spans="20:20" s="566" customFormat="1">
      <c r="T22659" s="41"/>
    </row>
    <row r="22660" spans="20:20" s="566" customFormat="1">
      <c r="T22660" s="41"/>
    </row>
    <row r="22661" spans="20:20" s="566" customFormat="1">
      <c r="T22661" s="41"/>
    </row>
    <row r="22662" spans="20:20" s="566" customFormat="1">
      <c r="T22662" s="41"/>
    </row>
    <row r="22663" spans="20:20" s="566" customFormat="1">
      <c r="T22663" s="41"/>
    </row>
    <row r="22664" spans="20:20" s="566" customFormat="1">
      <c r="T22664" s="41"/>
    </row>
    <row r="22665" spans="20:20" s="566" customFormat="1">
      <c r="T22665" s="41"/>
    </row>
    <row r="22666" spans="20:20" s="566" customFormat="1">
      <c r="T22666" s="41"/>
    </row>
    <row r="22667" spans="20:20" s="566" customFormat="1">
      <c r="T22667" s="41"/>
    </row>
    <row r="22668" spans="20:20" s="566" customFormat="1">
      <c r="T22668" s="41"/>
    </row>
    <row r="22669" spans="20:20" s="566" customFormat="1">
      <c r="T22669" s="41"/>
    </row>
    <row r="22670" spans="20:20" s="566" customFormat="1">
      <c r="T22670" s="41"/>
    </row>
    <row r="22671" spans="20:20" s="566" customFormat="1">
      <c r="T22671" s="41"/>
    </row>
    <row r="22672" spans="20:20" s="566" customFormat="1">
      <c r="T22672" s="41"/>
    </row>
    <row r="22673" spans="20:20" s="566" customFormat="1">
      <c r="T22673" s="41"/>
    </row>
    <row r="22674" spans="20:20" s="566" customFormat="1">
      <c r="T22674" s="41"/>
    </row>
    <row r="22675" spans="20:20" s="566" customFormat="1">
      <c r="T22675" s="41"/>
    </row>
    <row r="22676" spans="20:20" s="566" customFormat="1">
      <c r="T22676" s="41"/>
    </row>
    <row r="22677" spans="20:20" s="566" customFormat="1">
      <c r="T22677" s="41"/>
    </row>
    <row r="22678" spans="20:20" s="566" customFormat="1">
      <c r="T22678" s="41"/>
    </row>
    <row r="22679" spans="20:20" s="566" customFormat="1">
      <c r="T22679" s="41"/>
    </row>
    <row r="22680" spans="20:20" s="566" customFormat="1">
      <c r="T22680" s="41"/>
    </row>
    <row r="22681" spans="20:20" s="566" customFormat="1">
      <c r="T22681" s="41"/>
    </row>
    <row r="22682" spans="20:20" s="566" customFormat="1">
      <c r="T22682" s="41"/>
    </row>
    <row r="22683" spans="20:20" s="566" customFormat="1">
      <c r="T22683" s="41"/>
    </row>
    <row r="22684" spans="20:20" s="566" customFormat="1">
      <c r="T22684" s="41"/>
    </row>
    <row r="22685" spans="20:20" s="566" customFormat="1">
      <c r="T22685" s="41"/>
    </row>
    <row r="22686" spans="20:20" s="566" customFormat="1">
      <c r="T22686" s="41"/>
    </row>
    <row r="22687" spans="20:20" s="566" customFormat="1">
      <c r="T22687" s="41"/>
    </row>
    <row r="22688" spans="20:20" s="566" customFormat="1">
      <c r="T22688" s="41"/>
    </row>
    <row r="22689" spans="20:20" s="566" customFormat="1">
      <c r="T22689" s="41"/>
    </row>
    <row r="22690" spans="20:20" s="566" customFormat="1">
      <c r="T22690" s="41"/>
    </row>
    <row r="22691" spans="20:20" s="566" customFormat="1">
      <c r="T22691" s="41"/>
    </row>
    <row r="22692" spans="20:20" s="566" customFormat="1">
      <c r="T22692" s="41"/>
    </row>
    <row r="22693" spans="20:20" s="566" customFormat="1">
      <c r="T22693" s="41"/>
    </row>
    <row r="22694" spans="20:20" s="566" customFormat="1">
      <c r="T22694" s="41"/>
    </row>
    <row r="22695" spans="20:20" s="566" customFormat="1">
      <c r="T22695" s="41"/>
    </row>
    <row r="22696" spans="20:20" s="566" customFormat="1">
      <c r="T22696" s="41"/>
    </row>
    <row r="22697" spans="20:20" s="566" customFormat="1">
      <c r="T22697" s="41"/>
    </row>
    <row r="22698" spans="20:20" s="566" customFormat="1">
      <c r="T22698" s="41"/>
    </row>
    <row r="22699" spans="20:20" s="566" customFormat="1">
      <c r="T22699" s="41"/>
    </row>
    <row r="22700" spans="20:20" s="566" customFormat="1">
      <c r="T22700" s="41"/>
    </row>
    <row r="22701" spans="20:20" s="566" customFormat="1">
      <c r="T22701" s="41"/>
    </row>
    <row r="22702" spans="20:20" s="566" customFormat="1">
      <c r="T22702" s="41"/>
    </row>
    <row r="22703" spans="20:20" s="566" customFormat="1">
      <c r="T22703" s="41"/>
    </row>
    <row r="22704" spans="20:20" s="566" customFormat="1">
      <c r="T22704" s="41"/>
    </row>
    <row r="22705" spans="20:20" s="566" customFormat="1">
      <c r="T22705" s="41"/>
    </row>
    <row r="22706" spans="20:20" s="566" customFormat="1">
      <c r="T22706" s="41"/>
    </row>
    <row r="22707" spans="20:20" s="566" customFormat="1">
      <c r="T22707" s="41"/>
    </row>
    <row r="22708" spans="20:20" s="566" customFormat="1">
      <c r="T22708" s="41"/>
    </row>
    <row r="22709" spans="20:20" s="566" customFormat="1">
      <c r="T22709" s="41"/>
    </row>
    <row r="22710" spans="20:20" s="566" customFormat="1">
      <c r="T22710" s="41"/>
    </row>
    <row r="22711" spans="20:20" s="566" customFormat="1">
      <c r="T22711" s="41"/>
    </row>
    <row r="22712" spans="20:20" s="566" customFormat="1">
      <c r="T22712" s="41"/>
    </row>
    <row r="22713" spans="20:20" s="566" customFormat="1">
      <c r="T22713" s="41"/>
    </row>
    <row r="22714" spans="20:20" s="566" customFormat="1">
      <c r="T22714" s="41"/>
    </row>
    <row r="22715" spans="20:20" s="566" customFormat="1">
      <c r="T22715" s="41"/>
    </row>
    <row r="22716" spans="20:20" s="566" customFormat="1">
      <c r="T22716" s="41"/>
    </row>
    <row r="22717" spans="20:20" s="566" customFormat="1">
      <c r="T22717" s="41"/>
    </row>
    <row r="22718" spans="20:20" s="566" customFormat="1">
      <c r="T22718" s="41"/>
    </row>
    <row r="22719" spans="20:20" s="566" customFormat="1">
      <c r="T22719" s="41"/>
    </row>
    <row r="22720" spans="20:20" s="566" customFormat="1">
      <c r="T22720" s="41"/>
    </row>
    <row r="22721" spans="20:20" s="566" customFormat="1">
      <c r="T22721" s="41"/>
    </row>
    <row r="22722" spans="20:20" s="566" customFormat="1">
      <c r="T22722" s="41"/>
    </row>
    <row r="22723" spans="20:20" s="566" customFormat="1">
      <c r="T22723" s="41"/>
    </row>
    <row r="22724" spans="20:20" s="566" customFormat="1">
      <c r="T22724" s="41"/>
    </row>
    <row r="22725" spans="20:20" s="566" customFormat="1">
      <c r="T22725" s="41"/>
    </row>
    <row r="22726" spans="20:20" s="566" customFormat="1">
      <c r="T22726" s="41"/>
    </row>
    <row r="22727" spans="20:20" s="566" customFormat="1">
      <c r="T22727" s="41"/>
    </row>
    <row r="22728" spans="20:20" s="566" customFormat="1">
      <c r="T22728" s="41"/>
    </row>
    <row r="22729" spans="20:20" s="566" customFormat="1">
      <c r="T22729" s="41"/>
    </row>
    <row r="22730" spans="20:20" s="566" customFormat="1">
      <c r="T22730" s="41"/>
    </row>
    <row r="22731" spans="20:20" s="566" customFormat="1">
      <c r="T22731" s="41"/>
    </row>
    <row r="22732" spans="20:20" s="566" customFormat="1">
      <c r="T22732" s="41"/>
    </row>
    <row r="22733" spans="20:20" s="566" customFormat="1">
      <c r="T22733" s="41"/>
    </row>
    <row r="22734" spans="20:20" s="566" customFormat="1">
      <c r="T22734" s="41"/>
    </row>
    <row r="22735" spans="20:20" s="566" customFormat="1">
      <c r="T22735" s="41"/>
    </row>
    <row r="22736" spans="20:20" s="566" customFormat="1">
      <c r="T22736" s="41"/>
    </row>
    <row r="22737" spans="20:20" s="566" customFormat="1">
      <c r="T22737" s="41"/>
    </row>
    <row r="22738" spans="20:20" s="566" customFormat="1">
      <c r="T22738" s="41"/>
    </row>
    <row r="22739" spans="20:20" s="566" customFormat="1">
      <c r="T22739" s="41"/>
    </row>
    <row r="22740" spans="20:20" s="566" customFormat="1">
      <c r="T22740" s="41"/>
    </row>
    <row r="22741" spans="20:20" s="566" customFormat="1">
      <c r="T22741" s="41"/>
    </row>
    <row r="22742" spans="20:20" s="566" customFormat="1">
      <c r="T22742" s="41"/>
    </row>
    <row r="22743" spans="20:20" s="566" customFormat="1">
      <c r="T22743" s="41"/>
    </row>
    <row r="22744" spans="20:20" s="566" customFormat="1">
      <c r="T22744" s="41"/>
    </row>
    <row r="22745" spans="20:20" s="566" customFormat="1">
      <c r="T22745" s="41"/>
    </row>
    <row r="22746" spans="20:20" s="566" customFormat="1">
      <c r="T22746" s="41"/>
    </row>
    <row r="22747" spans="20:20" s="566" customFormat="1">
      <c r="T22747" s="41"/>
    </row>
    <row r="22748" spans="20:20" s="566" customFormat="1">
      <c r="T22748" s="41"/>
    </row>
    <row r="22749" spans="20:20" s="566" customFormat="1">
      <c r="T22749" s="41"/>
    </row>
    <row r="22750" spans="20:20" s="566" customFormat="1">
      <c r="T22750" s="41"/>
    </row>
    <row r="22751" spans="20:20" s="566" customFormat="1">
      <c r="T22751" s="41"/>
    </row>
    <row r="22752" spans="20:20" s="566" customFormat="1">
      <c r="T22752" s="41"/>
    </row>
    <row r="22753" spans="20:20" s="566" customFormat="1">
      <c r="T22753" s="41"/>
    </row>
    <row r="22754" spans="20:20" s="566" customFormat="1">
      <c r="T22754" s="41"/>
    </row>
    <row r="22755" spans="20:20" s="566" customFormat="1">
      <c r="T22755" s="41"/>
    </row>
    <row r="22756" spans="20:20" s="566" customFormat="1">
      <c r="T22756" s="41"/>
    </row>
    <row r="22757" spans="20:20" s="566" customFormat="1">
      <c r="T22757" s="41"/>
    </row>
    <row r="22758" spans="20:20" s="566" customFormat="1">
      <c r="T22758" s="41"/>
    </row>
    <row r="22759" spans="20:20" s="566" customFormat="1">
      <c r="T22759" s="41"/>
    </row>
    <row r="22760" spans="20:20" s="566" customFormat="1">
      <c r="T22760" s="41"/>
    </row>
    <row r="22761" spans="20:20" s="566" customFormat="1">
      <c r="T22761" s="41"/>
    </row>
    <row r="22762" spans="20:20" s="566" customFormat="1">
      <c r="T22762" s="41"/>
    </row>
    <row r="22763" spans="20:20" s="566" customFormat="1">
      <c r="T22763" s="41"/>
    </row>
    <row r="22764" spans="20:20" s="566" customFormat="1">
      <c r="T22764" s="41"/>
    </row>
    <row r="22765" spans="20:20" s="566" customFormat="1">
      <c r="T22765" s="41"/>
    </row>
    <row r="22766" spans="20:20" s="566" customFormat="1">
      <c r="T22766" s="41"/>
    </row>
    <row r="22767" spans="20:20" s="566" customFormat="1">
      <c r="T22767" s="41"/>
    </row>
    <row r="22768" spans="20:20" s="566" customFormat="1">
      <c r="T22768" s="41"/>
    </row>
    <row r="22769" spans="20:20" s="566" customFormat="1">
      <c r="T22769" s="41"/>
    </row>
    <row r="22770" spans="20:20" s="566" customFormat="1">
      <c r="T22770" s="41"/>
    </row>
    <row r="22771" spans="20:20" s="566" customFormat="1">
      <c r="T22771" s="41"/>
    </row>
    <row r="22772" spans="20:20" s="566" customFormat="1">
      <c r="T22772" s="41"/>
    </row>
    <row r="22773" spans="20:20" s="566" customFormat="1">
      <c r="T22773" s="41"/>
    </row>
    <row r="22774" spans="20:20" s="566" customFormat="1">
      <c r="T22774" s="41"/>
    </row>
    <row r="22775" spans="20:20" s="566" customFormat="1">
      <c r="T22775" s="41"/>
    </row>
    <row r="22776" spans="20:20" s="566" customFormat="1">
      <c r="T22776" s="41"/>
    </row>
    <row r="22777" spans="20:20" s="566" customFormat="1">
      <c r="T22777" s="41"/>
    </row>
    <row r="22778" spans="20:20" s="566" customFormat="1">
      <c r="T22778" s="41"/>
    </row>
    <row r="22779" spans="20:20" s="566" customFormat="1">
      <c r="T22779" s="41"/>
    </row>
    <row r="22780" spans="20:20" s="566" customFormat="1">
      <c r="T22780" s="41"/>
    </row>
    <row r="22781" spans="20:20" s="566" customFormat="1">
      <c r="T22781" s="41"/>
    </row>
    <row r="22782" spans="20:20" s="566" customFormat="1">
      <c r="T22782" s="41"/>
    </row>
    <row r="22783" spans="20:20" s="566" customFormat="1">
      <c r="T22783" s="41"/>
    </row>
    <row r="22784" spans="20:20" s="566" customFormat="1">
      <c r="T22784" s="41"/>
    </row>
    <row r="22785" spans="20:20" s="566" customFormat="1">
      <c r="T22785" s="41"/>
    </row>
    <row r="22786" spans="20:20" s="566" customFormat="1">
      <c r="T22786" s="41"/>
    </row>
    <row r="22787" spans="20:20" s="566" customFormat="1">
      <c r="T22787" s="41"/>
    </row>
    <row r="22788" spans="20:20" s="566" customFormat="1">
      <c r="T22788" s="41"/>
    </row>
    <row r="22789" spans="20:20" s="566" customFormat="1">
      <c r="T22789" s="41"/>
    </row>
    <row r="22790" spans="20:20" s="566" customFormat="1">
      <c r="T22790" s="41"/>
    </row>
    <row r="22791" spans="20:20" s="566" customFormat="1">
      <c r="T22791" s="41"/>
    </row>
    <row r="22792" spans="20:20" s="566" customFormat="1">
      <c r="T22792" s="41"/>
    </row>
    <row r="22793" spans="20:20" s="566" customFormat="1">
      <c r="T22793" s="41"/>
    </row>
    <row r="22794" spans="20:20" s="566" customFormat="1">
      <c r="T22794" s="41"/>
    </row>
    <row r="22795" spans="20:20" s="566" customFormat="1">
      <c r="T22795" s="41"/>
    </row>
    <row r="22796" spans="20:20" s="566" customFormat="1">
      <c r="T22796" s="41"/>
    </row>
    <row r="22797" spans="20:20" s="566" customFormat="1">
      <c r="T22797" s="41"/>
    </row>
    <row r="22798" spans="20:20" s="566" customFormat="1">
      <c r="T22798" s="41"/>
    </row>
    <row r="22799" spans="20:20" s="566" customFormat="1">
      <c r="T22799" s="41"/>
    </row>
    <row r="22800" spans="20:20" s="566" customFormat="1">
      <c r="T22800" s="41"/>
    </row>
    <row r="22801" spans="20:20" s="566" customFormat="1">
      <c r="T22801" s="41"/>
    </row>
    <row r="22802" spans="20:20" s="566" customFormat="1">
      <c r="T22802" s="41"/>
    </row>
    <row r="22803" spans="20:20" s="566" customFormat="1">
      <c r="T22803" s="41"/>
    </row>
    <row r="22804" spans="20:20" s="566" customFormat="1">
      <c r="T22804" s="41"/>
    </row>
    <row r="22805" spans="20:20" s="566" customFormat="1">
      <c r="T22805" s="41"/>
    </row>
    <row r="22806" spans="20:20" s="566" customFormat="1">
      <c r="T22806" s="41"/>
    </row>
    <row r="22807" spans="20:20" s="566" customFormat="1">
      <c r="T22807" s="41"/>
    </row>
    <row r="22808" spans="20:20" s="566" customFormat="1">
      <c r="T22808" s="41"/>
    </row>
    <row r="22809" spans="20:20" s="566" customFormat="1">
      <c r="T22809" s="41"/>
    </row>
    <row r="22810" spans="20:20" s="566" customFormat="1">
      <c r="T22810" s="41"/>
    </row>
    <row r="22811" spans="20:20" s="566" customFormat="1">
      <c r="T22811" s="41"/>
    </row>
    <row r="22812" spans="20:20" s="566" customFormat="1">
      <c r="T22812" s="41"/>
    </row>
    <row r="22813" spans="20:20" s="566" customFormat="1">
      <c r="T22813" s="41"/>
    </row>
    <row r="22814" spans="20:20" s="566" customFormat="1">
      <c r="T22814" s="41"/>
    </row>
    <row r="22815" spans="20:20" s="566" customFormat="1">
      <c r="T22815" s="41"/>
    </row>
    <row r="22816" spans="20:20" s="566" customFormat="1">
      <c r="T22816" s="41"/>
    </row>
    <row r="22817" spans="20:20" s="566" customFormat="1">
      <c r="T22817" s="41"/>
    </row>
    <row r="22818" spans="20:20" s="566" customFormat="1">
      <c r="T22818" s="41"/>
    </row>
    <row r="22819" spans="20:20" s="566" customFormat="1">
      <c r="T22819" s="41"/>
    </row>
    <row r="22820" spans="20:20" s="566" customFormat="1">
      <c r="T22820" s="41"/>
    </row>
    <row r="22821" spans="20:20" s="566" customFormat="1">
      <c r="T22821" s="41"/>
    </row>
    <row r="22822" spans="20:20" s="566" customFormat="1">
      <c r="T22822" s="41"/>
    </row>
    <row r="22823" spans="20:20" s="566" customFormat="1">
      <c r="T22823" s="41"/>
    </row>
    <row r="22824" spans="20:20" s="566" customFormat="1">
      <c r="T22824" s="41"/>
    </row>
    <row r="22825" spans="20:20" s="566" customFormat="1">
      <c r="T22825" s="41"/>
    </row>
    <row r="22826" spans="20:20" s="566" customFormat="1">
      <c r="T22826" s="41"/>
    </row>
    <row r="22827" spans="20:20" s="566" customFormat="1">
      <c r="T22827" s="41"/>
    </row>
    <row r="22828" spans="20:20" s="566" customFormat="1">
      <c r="T22828" s="41"/>
    </row>
    <row r="22829" spans="20:20" s="566" customFormat="1">
      <c r="T22829" s="41"/>
    </row>
    <row r="22830" spans="20:20" s="566" customFormat="1">
      <c r="T22830" s="41"/>
    </row>
    <row r="22831" spans="20:20" s="566" customFormat="1">
      <c r="T22831" s="41"/>
    </row>
    <row r="22832" spans="20:20" s="566" customFormat="1">
      <c r="T22832" s="41"/>
    </row>
    <row r="22833" spans="20:20" s="566" customFormat="1">
      <c r="T22833" s="41"/>
    </row>
    <row r="22834" spans="20:20" s="566" customFormat="1">
      <c r="T22834" s="41"/>
    </row>
    <row r="22835" spans="20:20" s="566" customFormat="1">
      <c r="T22835" s="41"/>
    </row>
    <row r="22836" spans="20:20" s="566" customFormat="1">
      <c r="T22836" s="41"/>
    </row>
    <row r="22837" spans="20:20" s="566" customFormat="1">
      <c r="T22837" s="41"/>
    </row>
    <row r="22838" spans="20:20" s="566" customFormat="1">
      <c r="T22838" s="41"/>
    </row>
    <row r="22839" spans="20:20" s="566" customFormat="1">
      <c r="T22839" s="41"/>
    </row>
    <row r="22840" spans="20:20" s="566" customFormat="1">
      <c r="T22840" s="41"/>
    </row>
    <row r="22841" spans="20:20" s="566" customFormat="1">
      <c r="T22841" s="41"/>
    </row>
    <row r="22842" spans="20:20" s="566" customFormat="1">
      <c r="T22842" s="41"/>
    </row>
    <row r="22843" spans="20:20" s="566" customFormat="1">
      <c r="T22843" s="41"/>
    </row>
    <row r="22844" spans="20:20" s="566" customFormat="1">
      <c r="T22844" s="41"/>
    </row>
    <row r="22845" spans="20:20" s="566" customFormat="1">
      <c r="T22845" s="41"/>
    </row>
    <row r="22846" spans="20:20" s="566" customFormat="1">
      <c r="T22846" s="41"/>
    </row>
    <row r="22847" spans="20:20" s="566" customFormat="1">
      <c r="T22847" s="41"/>
    </row>
    <row r="22848" spans="20:20" s="566" customFormat="1">
      <c r="T22848" s="41"/>
    </row>
    <row r="22849" spans="20:20" s="566" customFormat="1">
      <c r="T22849" s="41"/>
    </row>
    <row r="22850" spans="20:20" s="566" customFormat="1">
      <c r="T22850" s="41"/>
    </row>
    <row r="22851" spans="20:20" s="566" customFormat="1">
      <c r="T22851" s="41"/>
    </row>
    <row r="22852" spans="20:20" s="566" customFormat="1">
      <c r="T22852" s="41"/>
    </row>
    <row r="22853" spans="20:20" s="566" customFormat="1">
      <c r="T22853" s="41"/>
    </row>
    <row r="22854" spans="20:20" s="566" customFormat="1">
      <c r="T22854" s="41"/>
    </row>
    <row r="22855" spans="20:20" s="566" customFormat="1">
      <c r="T22855" s="41"/>
    </row>
    <row r="22856" spans="20:20" s="566" customFormat="1">
      <c r="T22856" s="41"/>
    </row>
    <row r="22857" spans="20:20" s="566" customFormat="1">
      <c r="T22857" s="41"/>
    </row>
    <row r="22858" spans="20:20" s="566" customFormat="1">
      <c r="T22858" s="41"/>
    </row>
    <row r="22859" spans="20:20" s="566" customFormat="1">
      <c r="T22859" s="41"/>
    </row>
    <row r="22860" spans="20:20" s="566" customFormat="1">
      <c r="T22860" s="41"/>
    </row>
    <row r="22861" spans="20:20" s="566" customFormat="1">
      <c r="T22861" s="41"/>
    </row>
    <row r="22862" spans="20:20" s="566" customFormat="1">
      <c r="T22862" s="41"/>
    </row>
    <row r="22863" spans="20:20" s="566" customFormat="1">
      <c r="T22863" s="41"/>
    </row>
    <row r="22864" spans="20:20" s="566" customFormat="1">
      <c r="T22864" s="41"/>
    </row>
    <row r="22865" spans="20:20" s="566" customFormat="1">
      <c r="T22865" s="41"/>
    </row>
    <row r="22866" spans="20:20" s="566" customFormat="1">
      <c r="T22866" s="41"/>
    </row>
    <row r="22867" spans="20:20" s="566" customFormat="1">
      <c r="T22867" s="41"/>
    </row>
    <row r="22868" spans="20:20" s="566" customFormat="1">
      <c r="T22868" s="41"/>
    </row>
    <row r="22869" spans="20:20" s="566" customFormat="1">
      <c r="T22869" s="41"/>
    </row>
    <row r="22870" spans="20:20" s="566" customFormat="1">
      <c r="T22870" s="41"/>
    </row>
    <row r="22871" spans="20:20" s="566" customFormat="1">
      <c r="T22871" s="41"/>
    </row>
    <row r="22872" spans="20:20" s="566" customFormat="1">
      <c r="T22872" s="41"/>
    </row>
    <row r="22873" spans="20:20" s="566" customFormat="1">
      <c r="T22873" s="41"/>
    </row>
    <row r="22874" spans="20:20" s="566" customFormat="1">
      <c r="T22874" s="41"/>
    </row>
    <row r="22875" spans="20:20" s="566" customFormat="1">
      <c r="T22875" s="41"/>
    </row>
    <row r="22876" spans="20:20" s="566" customFormat="1">
      <c r="T22876" s="41"/>
    </row>
    <row r="22877" spans="20:20" s="566" customFormat="1">
      <c r="T22877" s="41"/>
    </row>
    <row r="22878" spans="20:20" s="566" customFormat="1">
      <c r="T22878" s="41"/>
    </row>
    <row r="22879" spans="20:20" s="566" customFormat="1">
      <c r="T22879" s="41"/>
    </row>
    <row r="22880" spans="20:20" s="566" customFormat="1">
      <c r="T22880" s="41"/>
    </row>
    <row r="22881" spans="20:20" s="566" customFormat="1">
      <c r="T22881" s="41"/>
    </row>
    <row r="22882" spans="20:20" s="566" customFormat="1">
      <c r="T22882" s="41"/>
    </row>
    <row r="22883" spans="20:20" s="566" customFormat="1">
      <c r="T22883" s="41"/>
    </row>
    <row r="22884" spans="20:20" s="566" customFormat="1">
      <c r="T22884" s="41"/>
    </row>
    <row r="22885" spans="20:20" s="566" customFormat="1">
      <c r="T22885" s="41"/>
    </row>
    <row r="22886" spans="20:20" s="566" customFormat="1">
      <c r="T22886" s="41"/>
    </row>
    <row r="22887" spans="20:20" s="566" customFormat="1">
      <c r="T22887" s="41"/>
    </row>
    <row r="22888" spans="20:20" s="566" customFormat="1">
      <c r="T22888" s="41"/>
    </row>
    <row r="22889" spans="20:20" s="566" customFormat="1">
      <c r="T22889" s="41"/>
    </row>
    <row r="22890" spans="20:20" s="566" customFormat="1">
      <c r="T22890" s="41"/>
    </row>
    <row r="22891" spans="20:20" s="566" customFormat="1">
      <c r="T22891" s="41"/>
    </row>
    <row r="22892" spans="20:20" s="566" customFormat="1">
      <c r="T22892" s="41"/>
    </row>
    <row r="22893" spans="20:20" s="566" customFormat="1">
      <c r="T22893" s="41"/>
    </row>
    <row r="22894" spans="20:20" s="566" customFormat="1">
      <c r="T22894" s="41"/>
    </row>
    <row r="22895" spans="20:20" s="566" customFormat="1">
      <c r="T22895" s="41"/>
    </row>
    <row r="22896" spans="20:20" s="566" customFormat="1">
      <c r="T22896" s="41"/>
    </row>
    <row r="22897" spans="20:20" s="566" customFormat="1">
      <c r="T22897" s="41"/>
    </row>
    <row r="22898" spans="20:20" s="566" customFormat="1">
      <c r="T22898" s="41"/>
    </row>
    <row r="22899" spans="20:20" s="566" customFormat="1">
      <c r="T22899" s="41"/>
    </row>
    <row r="22900" spans="20:20" s="566" customFormat="1">
      <c r="T22900" s="41"/>
    </row>
    <row r="22901" spans="20:20" s="566" customFormat="1">
      <c r="T22901" s="41"/>
    </row>
    <row r="22902" spans="20:20" s="566" customFormat="1">
      <c r="T22902" s="41"/>
    </row>
    <row r="22903" spans="20:20" s="566" customFormat="1">
      <c r="T22903" s="41"/>
    </row>
    <row r="22904" spans="20:20" s="566" customFormat="1">
      <c r="T22904" s="41"/>
    </row>
    <row r="22905" spans="20:20" s="566" customFormat="1">
      <c r="T22905" s="41"/>
    </row>
    <row r="22906" spans="20:20" s="566" customFormat="1">
      <c r="T22906" s="41"/>
    </row>
    <row r="22907" spans="20:20" s="566" customFormat="1">
      <c r="T22907" s="41"/>
    </row>
    <row r="22908" spans="20:20" s="566" customFormat="1">
      <c r="T22908" s="41"/>
    </row>
    <row r="22909" spans="20:20" s="566" customFormat="1">
      <c r="T22909" s="41"/>
    </row>
    <row r="22910" spans="20:20" s="566" customFormat="1">
      <c r="T22910" s="41"/>
    </row>
    <row r="22911" spans="20:20" s="566" customFormat="1">
      <c r="T22911" s="41"/>
    </row>
    <row r="22912" spans="20:20" s="566" customFormat="1">
      <c r="T22912" s="41"/>
    </row>
    <row r="22913" spans="20:20" s="566" customFormat="1">
      <c r="T22913" s="41"/>
    </row>
    <row r="22914" spans="20:20" s="566" customFormat="1">
      <c r="T22914" s="41"/>
    </row>
    <row r="22915" spans="20:20" s="566" customFormat="1">
      <c r="T22915" s="41"/>
    </row>
    <row r="22916" spans="20:20" s="566" customFormat="1">
      <c r="T22916" s="41"/>
    </row>
    <row r="22917" spans="20:20" s="566" customFormat="1">
      <c r="T22917" s="41"/>
    </row>
    <row r="22918" spans="20:20" s="566" customFormat="1">
      <c r="T22918" s="41"/>
    </row>
    <row r="22919" spans="20:20" s="566" customFormat="1">
      <c r="T22919" s="41"/>
    </row>
    <row r="22920" spans="20:20" s="566" customFormat="1">
      <c r="T22920" s="41"/>
    </row>
    <row r="22921" spans="20:20" s="566" customFormat="1">
      <c r="T22921" s="41"/>
    </row>
    <row r="22922" spans="20:20" s="566" customFormat="1">
      <c r="T22922" s="41"/>
    </row>
    <row r="22923" spans="20:20" s="566" customFormat="1">
      <c r="T22923" s="41"/>
    </row>
    <row r="22924" spans="20:20" s="566" customFormat="1">
      <c r="T22924" s="41"/>
    </row>
    <row r="22925" spans="20:20" s="566" customFormat="1">
      <c r="T22925" s="41"/>
    </row>
    <row r="22926" spans="20:20" s="566" customFormat="1">
      <c r="T22926" s="41"/>
    </row>
    <row r="22927" spans="20:20" s="566" customFormat="1">
      <c r="T22927" s="41"/>
    </row>
    <row r="22928" spans="20:20" s="566" customFormat="1">
      <c r="T22928" s="41"/>
    </row>
    <row r="22929" spans="20:20" s="566" customFormat="1">
      <c r="T22929" s="41"/>
    </row>
    <row r="22930" spans="20:20" s="566" customFormat="1">
      <c r="T22930" s="41"/>
    </row>
    <row r="22931" spans="20:20" s="566" customFormat="1">
      <c r="T22931" s="41"/>
    </row>
    <row r="22932" spans="20:20" s="566" customFormat="1">
      <c r="T22932" s="41"/>
    </row>
    <row r="22933" spans="20:20" s="566" customFormat="1">
      <c r="T22933" s="41"/>
    </row>
    <row r="22934" spans="20:20" s="566" customFormat="1">
      <c r="T22934" s="41"/>
    </row>
    <row r="22935" spans="20:20" s="566" customFormat="1">
      <c r="T22935" s="41"/>
    </row>
    <row r="22936" spans="20:20" s="566" customFormat="1">
      <c r="T22936" s="41"/>
    </row>
    <row r="22937" spans="20:20" s="566" customFormat="1">
      <c r="T22937" s="41"/>
    </row>
    <row r="22938" spans="20:20" s="566" customFormat="1">
      <c r="T22938" s="41"/>
    </row>
    <row r="22939" spans="20:20" s="566" customFormat="1">
      <c r="T22939" s="41"/>
    </row>
    <row r="22940" spans="20:20" s="566" customFormat="1">
      <c r="T22940" s="41"/>
    </row>
    <row r="22941" spans="20:20" s="566" customFormat="1">
      <c r="T22941" s="41"/>
    </row>
    <row r="22942" spans="20:20" s="566" customFormat="1">
      <c r="T22942" s="41"/>
    </row>
    <row r="22943" spans="20:20" s="566" customFormat="1">
      <c r="T22943" s="41"/>
    </row>
    <row r="22944" spans="20:20" s="566" customFormat="1">
      <c r="T22944" s="41"/>
    </row>
    <row r="22945" spans="20:20" s="566" customFormat="1">
      <c r="T22945" s="41"/>
    </row>
    <row r="22946" spans="20:20" s="566" customFormat="1">
      <c r="T22946" s="41"/>
    </row>
    <row r="22947" spans="20:20" s="566" customFormat="1">
      <c r="T22947" s="41"/>
    </row>
    <row r="22948" spans="20:20" s="566" customFormat="1">
      <c r="T22948" s="41"/>
    </row>
    <row r="22949" spans="20:20" s="566" customFormat="1">
      <c r="T22949" s="41"/>
    </row>
    <row r="22950" spans="20:20" s="566" customFormat="1">
      <c r="T22950" s="41"/>
    </row>
    <row r="22951" spans="20:20" s="566" customFormat="1">
      <c r="T22951" s="41"/>
    </row>
    <row r="22952" spans="20:20" s="566" customFormat="1">
      <c r="T22952" s="41"/>
    </row>
    <row r="22953" spans="20:20" s="566" customFormat="1">
      <c r="T22953" s="41"/>
    </row>
    <row r="22954" spans="20:20" s="566" customFormat="1">
      <c r="T22954" s="41"/>
    </row>
    <row r="22955" spans="20:20" s="566" customFormat="1">
      <c r="T22955" s="41"/>
    </row>
    <row r="22956" spans="20:20" s="566" customFormat="1">
      <c r="T22956" s="41"/>
    </row>
    <row r="22957" spans="20:20" s="566" customFormat="1">
      <c r="T22957" s="41"/>
    </row>
    <row r="22958" spans="20:20" s="566" customFormat="1">
      <c r="T22958" s="41"/>
    </row>
    <row r="22959" spans="20:20" s="566" customFormat="1">
      <c r="T22959" s="41"/>
    </row>
    <row r="22960" spans="20:20" s="566" customFormat="1">
      <c r="T22960" s="41"/>
    </row>
    <row r="22961" spans="20:20" s="566" customFormat="1">
      <c r="T22961" s="41"/>
    </row>
    <row r="22962" spans="20:20" s="566" customFormat="1">
      <c r="T22962" s="41"/>
    </row>
    <row r="22963" spans="20:20" s="566" customFormat="1">
      <c r="T22963" s="41"/>
    </row>
    <row r="22964" spans="20:20" s="566" customFormat="1">
      <c r="T22964" s="41"/>
    </row>
    <row r="22965" spans="20:20" s="566" customFormat="1">
      <c r="T22965" s="41"/>
    </row>
    <row r="22966" spans="20:20" s="566" customFormat="1">
      <c r="T22966" s="41"/>
    </row>
    <row r="22967" spans="20:20" s="566" customFormat="1">
      <c r="T22967" s="41"/>
    </row>
    <row r="22968" spans="20:20" s="566" customFormat="1">
      <c r="T22968" s="41"/>
    </row>
    <row r="22969" spans="20:20" s="566" customFormat="1">
      <c r="T22969" s="41"/>
    </row>
    <row r="22970" spans="20:20" s="566" customFormat="1">
      <c r="T22970" s="41"/>
    </row>
    <row r="22971" spans="20:20" s="566" customFormat="1">
      <c r="T22971" s="41"/>
    </row>
    <row r="22972" spans="20:20" s="566" customFormat="1">
      <c r="T22972" s="41"/>
    </row>
    <row r="22973" spans="20:20" s="566" customFormat="1">
      <c r="T22973" s="41"/>
    </row>
    <row r="22974" spans="20:20" s="566" customFormat="1">
      <c r="T22974" s="41"/>
    </row>
    <row r="22975" spans="20:20" s="566" customFormat="1">
      <c r="T22975" s="41"/>
    </row>
    <row r="22976" spans="20:20" s="566" customFormat="1">
      <c r="T22976" s="41"/>
    </row>
    <row r="22977" spans="20:20" s="566" customFormat="1">
      <c r="T22977" s="41"/>
    </row>
    <row r="22978" spans="20:20" s="566" customFormat="1">
      <c r="T22978" s="41"/>
    </row>
    <row r="22979" spans="20:20" s="566" customFormat="1">
      <c r="T22979" s="41"/>
    </row>
    <row r="22980" spans="20:20" s="566" customFormat="1">
      <c r="T22980" s="41"/>
    </row>
    <row r="22981" spans="20:20" s="566" customFormat="1">
      <c r="T22981" s="41"/>
    </row>
    <row r="22982" spans="20:20" s="566" customFormat="1">
      <c r="T22982" s="41"/>
    </row>
    <row r="22983" spans="20:20" s="566" customFormat="1">
      <c r="T22983" s="41"/>
    </row>
    <row r="22984" spans="20:20" s="566" customFormat="1">
      <c r="T22984" s="41"/>
    </row>
    <row r="22985" spans="20:20" s="566" customFormat="1">
      <c r="T22985" s="41"/>
    </row>
    <row r="22986" spans="20:20" s="566" customFormat="1">
      <c r="T22986" s="41"/>
    </row>
    <row r="22987" spans="20:20" s="566" customFormat="1">
      <c r="T22987" s="41"/>
    </row>
    <row r="22988" spans="20:20" s="566" customFormat="1">
      <c r="T22988" s="41"/>
    </row>
    <row r="22989" spans="20:20" s="566" customFormat="1">
      <c r="T22989" s="41"/>
    </row>
    <row r="22990" spans="20:20" s="566" customFormat="1">
      <c r="T22990" s="41"/>
    </row>
    <row r="22991" spans="20:20" s="566" customFormat="1">
      <c r="T22991" s="41"/>
    </row>
    <row r="22992" spans="20:20" s="566" customFormat="1">
      <c r="T22992" s="41"/>
    </row>
    <row r="22993" spans="20:20" s="566" customFormat="1">
      <c r="T22993" s="41"/>
    </row>
    <row r="22994" spans="20:20" s="566" customFormat="1">
      <c r="T22994" s="41"/>
    </row>
    <row r="22995" spans="20:20" s="566" customFormat="1">
      <c r="T22995" s="41"/>
    </row>
    <row r="22996" spans="20:20" s="566" customFormat="1">
      <c r="T22996" s="41"/>
    </row>
    <row r="22997" spans="20:20" s="566" customFormat="1">
      <c r="T22997" s="41"/>
    </row>
    <row r="22998" spans="20:20" s="566" customFormat="1">
      <c r="T22998" s="41"/>
    </row>
    <row r="22999" spans="20:20" s="566" customFormat="1">
      <c r="T22999" s="41"/>
    </row>
    <row r="23000" spans="20:20" s="566" customFormat="1">
      <c r="T23000" s="41"/>
    </row>
    <row r="23001" spans="20:20" s="566" customFormat="1">
      <c r="T23001" s="41"/>
    </row>
    <row r="23002" spans="20:20" s="566" customFormat="1">
      <c r="T23002" s="41"/>
    </row>
    <row r="23003" spans="20:20" s="566" customFormat="1">
      <c r="T23003" s="41"/>
    </row>
    <row r="23004" spans="20:20" s="566" customFormat="1">
      <c r="T23004" s="41"/>
    </row>
    <row r="23005" spans="20:20" s="566" customFormat="1">
      <c r="T23005" s="41"/>
    </row>
    <row r="23006" spans="20:20" s="566" customFormat="1">
      <c r="T23006" s="41"/>
    </row>
    <row r="23007" spans="20:20" s="566" customFormat="1">
      <c r="T23007" s="41"/>
    </row>
    <row r="23008" spans="20:20" s="566" customFormat="1">
      <c r="T23008" s="41"/>
    </row>
    <row r="23009" spans="20:20" s="566" customFormat="1">
      <c r="T23009" s="41"/>
    </row>
    <row r="23010" spans="20:20" s="566" customFormat="1">
      <c r="T23010" s="41"/>
    </row>
    <row r="23011" spans="20:20" s="566" customFormat="1">
      <c r="T23011" s="41"/>
    </row>
    <row r="23012" spans="20:20" s="566" customFormat="1">
      <c r="T23012" s="41"/>
    </row>
    <row r="23013" spans="20:20" s="566" customFormat="1">
      <c r="T23013" s="41"/>
    </row>
    <row r="23014" spans="20:20" s="566" customFormat="1">
      <c r="T23014" s="41"/>
    </row>
    <row r="23015" spans="20:20" s="566" customFormat="1">
      <c r="T23015" s="41"/>
    </row>
    <row r="23016" spans="20:20" s="566" customFormat="1">
      <c r="T23016" s="41"/>
    </row>
    <row r="23017" spans="20:20" s="566" customFormat="1">
      <c r="T23017" s="41"/>
    </row>
    <row r="23018" spans="20:20" s="566" customFormat="1">
      <c r="T23018" s="41"/>
    </row>
    <row r="23019" spans="20:20" s="566" customFormat="1">
      <c r="T23019" s="41"/>
    </row>
    <row r="23020" spans="20:20" s="566" customFormat="1">
      <c r="T23020" s="41"/>
    </row>
    <row r="23021" spans="20:20" s="566" customFormat="1">
      <c r="T23021" s="41"/>
    </row>
    <row r="23022" spans="20:20" s="566" customFormat="1">
      <c r="T23022" s="41"/>
    </row>
    <row r="23023" spans="20:20" s="566" customFormat="1">
      <c r="T23023" s="41"/>
    </row>
    <row r="23024" spans="20:20" s="566" customFormat="1">
      <c r="T23024" s="41"/>
    </row>
    <row r="23025" spans="20:20" s="566" customFormat="1">
      <c r="T23025" s="41"/>
    </row>
    <row r="23026" spans="20:20" s="566" customFormat="1">
      <c r="T23026" s="41"/>
    </row>
    <row r="23027" spans="20:20" s="566" customFormat="1">
      <c r="T23027" s="41"/>
    </row>
    <row r="23028" spans="20:20" s="566" customFormat="1">
      <c r="T23028" s="41"/>
    </row>
    <row r="23029" spans="20:20" s="566" customFormat="1">
      <c r="T23029" s="41"/>
    </row>
    <row r="23030" spans="20:20" s="566" customFormat="1">
      <c r="T23030" s="41"/>
    </row>
    <row r="23031" spans="20:20" s="566" customFormat="1">
      <c r="T23031" s="41"/>
    </row>
    <row r="23032" spans="20:20" s="566" customFormat="1">
      <c r="T23032" s="41"/>
    </row>
    <row r="23033" spans="20:20" s="566" customFormat="1">
      <c r="T23033" s="41"/>
    </row>
    <row r="23034" spans="20:20" s="566" customFormat="1">
      <c r="T23034" s="41"/>
    </row>
    <row r="23035" spans="20:20" s="566" customFormat="1">
      <c r="T23035" s="41"/>
    </row>
    <row r="23036" spans="20:20" s="566" customFormat="1">
      <c r="T23036" s="41"/>
    </row>
    <row r="23037" spans="20:20" s="566" customFormat="1">
      <c r="T23037" s="41"/>
    </row>
    <row r="23038" spans="20:20" s="566" customFormat="1">
      <c r="T23038" s="41"/>
    </row>
    <row r="23039" spans="20:20" s="566" customFormat="1">
      <c r="T23039" s="41"/>
    </row>
    <row r="23040" spans="20:20" s="566" customFormat="1">
      <c r="T23040" s="41"/>
    </row>
    <row r="23041" spans="20:20" s="566" customFormat="1">
      <c r="T23041" s="41"/>
    </row>
    <row r="23042" spans="20:20" s="566" customFormat="1">
      <c r="T23042" s="41"/>
    </row>
    <row r="23043" spans="20:20" s="566" customFormat="1">
      <c r="T23043" s="41"/>
    </row>
    <row r="23044" spans="20:20" s="566" customFormat="1">
      <c r="T23044" s="41"/>
    </row>
    <row r="23045" spans="20:20" s="566" customFormat="1">
      <c r="T23045" s="41"/>
    </row>
    <row r="23046" spans="20:20" s="566" customFormat="1">
      <c r="T23046" s="41"/>
    </row>
    <row r="23047" spans="20:20" s="566" customFormat="1">
      <c r="T23047" s="41"/>
    </row>
    <row r="23048" spans="20:20" s="566" customFormat="1">
      <c r="T23048" s="41"/>
    </row>
    <row r="23049" spans="20:20" s="566" customFormat="1">
      <c r="T23049" s="41"/>
    </row>
    <row r="23050" spans="20:20" s="566" customFormat="1">
      <c r="T23050" s="41"/>
    </row>
    <row r="23051" spans="20:20" s="566" customFormat="1">
      <c r="T23051" s="41"/>
    </row>
    <row r="23052" spans="20:20" s="566" customFormat="1">
      <c r="T23052" s="41"/>
    </row>
    <row r="23053" spans="20:20" s="566" customFormat="1">
      <c r="T23053" s="41"/>
    </row>
    <row r="23054" spans="20:20" s="566" customFormat="1">
      <c r="T23054" s="41"/>
    </row>
    <row r="23055" spans="20:20" s="566" customFormat="1">
      <c r="T23055" s="41"/>
    </row>
    <row r="23056" spans="20:20" s="566" customFormat="1">
      <c r="T23056" s="41"/>
    </row>
    <row r="23057" spans="20:20" s="566" customFormat="1">
      <c r="T23057" s="41"/>
    </row>
    <row r="23058" spans="20:20" s="566" customFormat="1">
      <c r="T23058" s="41"/>
    </row>
    <row r="23059" spans="20:20" s="566" customFormat="1">
      <c r="T23059" s="41"/>
    </row>
    <row r="23060" spans="20:20" s="566" customFormat="1">
      <c r="T23060" s="41"/>
    </row>
    <row r="23061" spans="20:20" s="566" customFormat="1">
      <c r="T23061" s="41"/>
    </row>
    <row r="23062" spans="20:20" s="566" customFormat="1">
      <c r="T23062" s="41"/>
    </row>
    <row r="23063" spans="20:20" s="566" customFormat="1">
      <c r="T23063" s="41"/>
    </row>
    <row r="23064" spans="20:20" s="566" customFormat="1">
      <c r="T23064" s="41"/>
    </row>
    <row r="23065" spans="20:20" s="566" customFormat="1">
      <c r="T23065" s="41"/>
    </row>
    <row r="23066" spans="20:20" s="566" customFormat="1">
      <c r="T23066" s="41"/>
    </row>
    <row r="23067" spans="20:20" s="566" customFormat="1">
      <c r="T23067" s="41"/>
    </row>
    <row r="23068" spans="20:20" s="566" customFormat="1">
      <c r="T23068" s="41"/>
    </row>
    <row r="23069" spans="20:20" s="566" customFormat="1">
      <c r="T23069" s="41"/>
    </row>
    <row r="23070" spans="20:20" s="566" customFormat="1">
      <c r="T23070" s="41"/>
    </row>
    <row r="23071" spans="20:20" s="566" customFormat="1">
      <c r="T23071" s="41"/>
    </row>
    <row r="23072" spans="20:20" s="566" customFormat="1">
      <c r="T23072" s="41"/>
    </row>
    <row r="23073" spans="20:20" s="566" customFormat="1">
      <c r="T23073" s="41"/>
    </row>
    <row r="23074" spans="20:20" s="566" customFormat="1">
      <c r="T23074" s="41"/>
    </row>
    <row r="23075" spans="20:20" s="566" customFormat="1">
      <c r="T23075" s="41"/>
    </row>
    <row r="23076" spans="20:20" s="566" customFormat="1">
      <c r="T23076" s="41"/>
    </row>
    <row r="23077" spans="20:20" s="566" customFormat="1">
      <c r="T23077" s="41"/>
    </row>
    <row r="23078" spans="20:20" s="566" customFormat="1">
      <c r="T23078" s="41"/>
    </row>
    <row r="23079" spans="20:20" s="566" customFormat="1">
      <c r="T23079" s="41"/>
    </row>
    <row r="23080" spans="20:20" s="566" customFormat="1">
      <c r="T23080" s="41"/>
    </row>
    <row r="23081" spans="20:20" s="566" customFormat="1">
      <c r="T23081" s="41"/>
    </row>
    <row r="23082" spans="20:20" s="566" customFormat="1">
      <c r="T23082" s="41"/>
    </row>
    <row r="23083" spans="20:20" s="566" customFormat="1">
      <c r="T23083" s="41"/>
    </row>
    <row r="23084" spans="20:20" s="566" customFormat="1">
      <c r="T23084" s="41"/>
    </row>
    <row r="23085" spans="20:20" s="566" customFormat="1">
      <c r="T23085" s="41"/>
    </row>
    <row r="23086" spans="20:20" s="566" customFormat="1">
      <c r="T23086" s="41"/>
    </row>
    <row r="23087" spans="20:20" s="566" customFormat="1">
      <c r="T23087" s="41"/>
    </row>
    <row r="23088" spans="20:20" s="566" customFormat="1">
      <c r="T23088" s="41"/>
    </row>
    <row r="23089" spans="20:20" s="566" customFormat="1">
      <c r="T23089" s="41"/>
    </row>
    <row r="23090" spans="20:20" s="566" customFormat="1">
      <c r="T23090" s="41"/>
    </row>
    <row r="23091" spans="20:20" s="566" customFormat="1">
      <c r="T23091" s="41"/>
    </row>
    <row r="23092" spans="20:20" s="566" customFormat="1">
      <c r="T23092" s="41"/>
    </row>
    <row r="23093" spans="20:20" s="566" customFormat="1">
      <c r="T23093" s="41"/>
    </row>
    <row r="23094" spans="20:20" s="566" customFormat="1">
      <c r="T23094" s="41"/>
    </row>
    <row r="23095" spans="20:20" s="566" customFormat="1">
      <c r="T23095" s="41"/>
    </row>
    <row r="23096" spans="20:20" s="566" customFormat="1">
      <c r="T23096" s="41"/>
    </row>
    <row r="23097" spans="20:20" s="566" customFormat="1">
      <c r="T23097" s="41"/>
    </row>
    <row r="23098" spans="20:20" s="566" customFormat="1">
      <c r="T23098" s="41"/>
    </row>
    <row r="23099" spans="20:20" s="566" customFormat="1">
      <c r="T23099" s="41"/>
    </row>
    <row r="23100" spans="20:20" s="566" customFormat="1">
      <c r="T23100" s="41"/>
    </row>
    <row r="23101" spans="20:20" s="566" customFormat="1">
      <c r="T23101" s="41"/>
    </row>
    <row r="23102" spans="20:20" s="566" customFormat="1">
      <c r="T23102" s="41"/>
    </row>
    <row r="23103" spans="20:20" s="566" customFormat="1">
      <c r="T23103" s="41"/>
    </row>
    <row r="23104" spans="20:20" s="566" customFormat="1">
      <c r="T23104" s="41"/>
    </row>
    <row r="23105" spans="20:20" s="566" customFormat="1">
      <c r="T23105" s="41"/>
    </row>
    <row r="23106" spans="20:20" s="566" customFormat="1">
      <c r="T23106" s="41"/>
    </row>
    <row r="23107" spans="20:20" s="566" customFormat="1">
      <c r="T23107" s="41"/>
    </row>
    <row r="23108" spans="20:20" s="566" customFormat="1">
      <c r="T23108" s="41"/>
    </row>
    <row r="23109" spans="20:20" s="566" customFormat="1">
      <c r="T23109" s="41"/>
    </row>
    <row r="23110" spans="20:20" s="566" customFormat="1">
      <c r="T23110" s="41"/>
    </row>
    <row r="23111" spans="20:20" s="566" customFormat="1">
      <c r="T23111" s="41"/>
    </row>
    <row r="23112" spans="20:20" s="566" customFormat="1">
      <c r="T23112" s="41"/>
    </row>
    <row r="23113" spans="20:20" s="566" customFormat="1">
      <c r="T23113" s="41"/>
    </row>
    <row r="23114" spans="20:20" s="566" customFormat="1">
      <c r="T23114" s="41"/>
    </row>
    <row r="23115" spans="20:20" s="566" customFormat="1">
      <c r="T23115" s="41"/>
    </row>
    <row r="23116" spans="20:20" s="566" customFormat="1">
      <c r="T23116" s="41"/>
    </row>
    <row r="23117" spans="20:20" s="566" customFormat="1">
      <c r="T23117" s="41"/>
    </row>
    <row r="23118" spans="20:20" s="566" customFormat="1">
      <c r="T23118" s="41"/>
    </row>
    <row r="23119" spans="20:20" s="566" customFormat="1">
      <c r="T23119" s="41"/>
    </row>
    <row r="23120" spans="20:20" s="566" customFormat="1">
      <c r="T23120" s="41"/>
    </row>
    <row r="23121" spans="20:20" s="566" customFormat="1">
      <c r="T23121" s="41"/>
    </row>
    <row r="23122" spans="20:20" s="566" customFormat="1">
      <c r="T23122" s="41"/>
    </row>
    <row r="23123" spans="20:20" s="566" customFormat="1">
      <c r="T23123" s="41"/>
    </row>
    <row r="23124" spans="20:20" s="566" customFormat="1">
      <c r="T23124" s="41"/>
    </row>
    <row r="23125" spans="20:20" s="566" customFormat="1">
      <c r="T23125" s="41"/>
    </row>
    <row r="23126" spans="20:20" s="566" customFormat="1">
      <c r="T23126" s="41"/>
    </row>
    <row r="23127" spans="20:20" s="566" customFormat="1">
      <c r="T23127" s="41"/>
    </row>
    <row r="23128" spans="20:20" s="566" customFormat="1">
      <c r="T23128" s="41"/>
    </row>
    <row r="23129" spans="20:20" s="566" customFormat="1">
      <c r="T23129" s="41"/>
    </row>
    <row r="23130" spans="20:20" s="566" customFormat="1">
      <c r="T23130" s="41"/>
    </row>
    <row r="23131" spans="20:20" s="566" customFormat="1">
      <c r="T23131" s="41"/>
    </row>
    <row r="23132" spans="20:20" s="566" customFormat="1">
      <c r="T23132" s="41"/>
    </row>
    <row r="23133" spans="20:20" s="566" customFormat="1">
      <c r="T23133" s="41"/>
    </row>
    <row r="23134" spans="20:20" s="566" customFormat="1">
      <c r="T23134" s="41"/>
    </row>
    <row r="23135" spans="20:20" s="566" customFormat="1">
      <c r="T23135" s="41"/>
    </row>
    <row r="23136" spans="20:20" s="566" customFormat="1">
      <c r="T23136" s="41"/>
    </row>
    <row r="23137" spans="20:20" s="566" customFormat="1">
      <c r="T23137" s="41"/>
    </row>
    <row r="23138" spans="20:20" s="566" customFormat="1">
      <c r="T23138" s="41"/>
    </row>
    <row r="23139" spans="20:20" s="566" customFormat="1">
      <c r="T23139" s="41"/>
    </row>
    <row r="23140" spans="20:20" s="566" customFormat="1">
      <c r="T23140" s="41"/>
    </row>
    <row r="23141" spans="20:20" s="566" customFormat="1">
      <c r="T23141" s="41"/>
    </row>
    <row r="23142" spans="20:20" s="566" customFormat="1">
      <c r="T23142" s="41"/>
    </row>
    <row r="23143" spans="20:20" s="566" customFormat="1">
      <c r="T23143" s="41"/>
    </row>
    <row r="23144" spans="20:20" s="566" customFormat="1">
      <c r="T23144" s="41"/>
    </row>
    <row r="23145" spans="20:20" s="566" customFormat="1">
      <c r="T23145" s="41"/>
    </row>
    <row r="23146" spans="20:20" s="566" customFormat="1">
      <c r="T23146" s="41"/>
    </row>
    <row r="23147" spans="20:20" s="566" customFormat="1">
      <c r="T23147" s="41"/>
    </row>
    <row r="23148" spans="20:20" s="566" customFormat="1">
      <c r="T23148" s="41"/>
    </row>
    <row r="23149" spans="20:20" s="566" customFormat="1">
      <c r="T23149" s="41"/>
    </row>
    <row r="23150" spans="20:20" s="566" customFormat="1">
      <c r="T23150" s="41"/>
    </row>
    <row r="23151" spans="20:20" s="566" customFormat="1">
      <c r="T23151" s="41"/>
    </row>
    <row r="23152" spans="20:20" s="566" customFormat="1">
      <c r="T23152" s="41"/>
    </row>
    <row r="23153" spans="20:20" s="566" customFormat="1">
      <c r="T23153" s="41"/>
    </row>
    <row r="23154" spans="20:20" s="566" customFormat="1">
      <c r="T23154" s="41"/>
    </row>
    <row r="23155" spans="20:20" s="566" customFormat="1">
      <c r="T23155" s="41"/>
    </row>
    <row r="23156" spans="20:20" s="566" customFormat="1">
      <c r="T23156" s="41"/>
    </row>
    <row r="23157" spans="20:20" s="566" customFormat="1">
      <c r="T23157" s="41"/>
    </row>
    <row r="23158" spans="20:20" s="566" customFormat="1">
      <c r="T23158" s="41"/>
    </row>
    <row r="23159" spans="20:20" s="566" customFormat="1">
      <c r="T23159" s="41"/>
    </row>
    <row r="23160" spans="20:20" s="566" customFormat="1">
      <c r="T23160" s="41"/>
    </row>
    <row r="23161" spans="20:20" s="566" customFormat="1">
      <c r="T23161" s="41"/>
    </row>
    <row r="23162" spans="20:20" s="566" customFormat="1">
      <c r="T23162" s="41"/>
    </row>
    <row r="23163" spans="20:20" s="566" customFormat="1">
      <c r="T23163" s="41"/>
    </row>
    <row r="23164" spans="20:20" s="566" customFormat="1">
      <c r="T23164" s="41"/>
    </row>
    <row r="23165" spans="20:20" s="566" customFormat="1">
      <c r="T23165" s="41"/>
    </row>
    <row r="23166" spans="20:20" s="566" customFormat="1">
      <c r="T23166" s="41"/>
    </row>
    <row r="23167" spans="20:20" s="566" customFormat="1">
      <c r="T23167" s="41"/>
    </row>
    <row r="23168" spans="20:20" s="566" customFormat="1">
      <c r="T23168" s="41"/>
    </row>
    <row r="23169" spans="20:20" s="566" customFormat="1">
      <c r="T23169" s="41"/>
    </row>
    <row r="23170" spans="20:20" s="566" customFormat="1">
      <c r="T23170" s="41"/>
    </row>
    <row r="23171" spans="20:20" s="566" customFormat="1">
      <c r="T23171" s="41"/>
    </row>
    <row r="23172" spans="20:20" s="566" customFormat="1">
      <c r="T23172" s="41"/>
    </row>
    <row r="23173" spans="20:20" s="566" customFormat="1">
      <c r="T23173" s="41"/>
    </row>
    <row r="23174" spans="20:20" s="566" customFormat="1">
      <c r="T23174" s="41"/>
    </row>
    <row r="23175" spans="20:20" s="566" customFormat="1">
      <c r="T23175" s="41"/>
    </row>
    <row r="23176" spans="20:20" s="566" customFormat="1">
      <c r="T23176" s="41"/>
    </row>
    <row r="23177" spans="20:20" s="566" customFormat="1">
      <c r="T23177" s="41"/>
    </row>
    <row r="23178" spans="20:20" s="566" customFormat="1">
      <c r="T23178" s="41"/>
    </row>
    <row r="23179" spans="20:20" s="566" customFormat="1">
      <c r="T23179" s="41"/>
    </row>
    <row r="23180" spans="20:20" s="566" customFormat="1">
      <c r="T23180" s="41"/>
    </row>
    <row r="23181" spans="20:20" s="566" customFormat="1">
      <c r="T23181" s="41"/>
    </row>
    <row r="23182" spans="20:20" s="566" customFormat="1">
      <c r="T23182" s="41"/>
    </row>
    <row r="23183" spans="20:20" s="566" customFormat="1">
      <c r="T23183" s="41"/>
    </row>
    <row r="23184" spans="20:20" s="566" customFormat="1">
      <c r="T23184" s="41"/>
    </row>
    <row r="23185" spans="20:20" s="566" customFormat="1">
      <c r="T23185" s="41"/>
    </row>
    <row r="23186" spans="20:20" s="566" customFormat="1">
      <c r="T23186" s="41"/>
    </row>
    <row r="23187" spans="20:20" s="566" customFormat="1">
      <c r="T23187" s="41"/>
    </row>
    <row r="23188" spans="20:20" s="566" customFormat="1">
      <c r="T23188" s="41"/>
    </row>
    <row r="23189" spans="20:20" s="566" customFormat="1">
      <c r="T23189" s="41"/>
    </row>
    <row r="23190" spans="20:20" s="566" customFormat="1">
      <c r="T23190" s="41"/>
    </row>
    <row r="23191" spans="20:20" s="566" customFormat="1">
      <c r="T23191" s="41"/>
    </row>
    <row r="23192" spans="20:20" s="566" customFormat="1">
      <c r="T23192" s="41"/>
    </row>
    <row r="23193" spans="20:20" s="566" customFormat="1">
      <c r="T23193" s="41"/>
    </row>
    <row r="23194" spans="20:20" s="566" customFormat="1">
      <c r="T23194" s="41"/>
    </row>
    <row r="23195" spans="20:20" s="566" customFormat="1">
      <c r="T23195" s="41"/>
    </row>
    <row r="23196" spans="20:20" s="566" customFormat="1">
      <c r="T23196" s="41"/>
    </row>
    <row r="23197" spans="20:20" s="566" customFormat="1">
      <c r="T23197" s="41"/>
    </row>
    <row r="23198" spans="20:20" s="566" customFormat="1">
      <c r="T23198" s="41"/>
    </row>
    <row r="23199" spans="20:20" s="566" customFormat="1">
      <c r="T23199" s="41"/>
    </row>
    <row r="23200" spans="20:20" s="566" customFormat="1">
      <c r="T23200" s="41"/>
    </row>
    <row r="23201" spans="20:20" s="566" customFormat="1">
      <c r="T23201" s="41"/>
    </row>
    <row r="23202" spans="20:20" s="566" customFormat="1">
      <c r="T23202" s="41"/>
    </row>
    <row r="23203" spans="20:20" s="566" customFormat="1">
      <c r="T23203" s="41"/>
    </row>
    <row r="23204" spans="20:20" s="566" customFormat="1">
      <c r="T23204" s="41"/>
    </row>
    <row r="23205" spans="20:20" s="566" customFormat="1">
      <c r="T23205" s="41"/>
    </row>
    <row r="23206" spans="20:20" s="566" customFormat="1">
      <c r="T23206" s="41"/>
    </row>
    <row r="23207" spans="20:20" s="566" customFormat="1">
      <c r="T23207" s="41"/>
    </row>
    <row r="23208" spans="20:20" s="566" customFormat="1">
      <c r="T23208" s="41"/>
    </row>
    <row r="23209" spans="20:20" s="566" customFormat="1">
      <c r="T23209" s="41"/>
    </row>
    <row r="23210" spans="20:20" s="566" customFormat="1">
      <c r="T23210" s="41"/>
    </row>
    <row r="23211" spans="20:20" s="566" customFormat="1">
      <c r="T23211" s="41"/>
    </row>
    <row r="23212" spans="20:20" s="566" customFormat="1">
      <c r="T23212" s="41"/>
    </row>
    <row r="23213" spans="20:20" s="566" customFormat="1">
      <c r="T23213" s="41"/>
    </row>
    <row r="23214" spans="20:20" s="566" customFormat="1">
      <c r="T23214" s="41"/>
    </row>
    <row r="23215" spans="20:20" s="566" customFormat="1">
      <c r="T23215" s="41"/>
    </row>
    <row r="23216" spans="20:20" s="566" customFormat="1">
      <c r="T23216" s="41"/>
    </row>
    <row r="23217" spans="20:20" s="566" customFormat="1">
      <c r="T23217" s="41"/>
    </row>
    <row r="23218" spans="20:20" s="566" customFormat="1">
      <c r="T23218" s="41"/>
    </row>
    <row r="23219" spans="20:20" s="566" customFormat="1">
      <c r="T23219" s="41"/>
    </row>
    <row r="23220" spans="20:20" s="566" customFormat="1">
      <c r="T23220" s="41"/>
    </row>
    <row r="23221" spans="20:20" s="566" customFormat="1">
      <c r="T23221" s="41"/>
    </row>
    <row r="23222" spans="20:20" s="566" customFormat="1">
      <c r="T23222" s="41"/>
    </row>
    <row r="23223" spans="20:20" s="566" customFormat="1">
      <c r="T23223" s="41"/>
    </row>
    <row r="23224" spans="20:20" s="566" customFormat="1">
      <c r="T23224" s="41"/>
    </row>
    <row r="23225" spans="20:20" s="566" customFormat="1">
      <c r="T23225" s="41"/>
    </row>
    <row r="23226" spans="20:20" s="566" customFormat="1">
      <c r="T23226" s="41"/>
    </row>
    <row r="23227" spans="20:20" s="566" customFormat="1">
      <c r="T23227" s="41"/>
    </row>
    <row r="23228" spans="20:20" s="566" customFormat="1">
      <c r="T23228" s="41"/>
    </row>
    <row r="23229" spans="20:20" s="566" customFormat="1">
      <c r="T23229" s="41"/>
    </row>
    <row r="23230" spans="20:20" s="566" customFormat="1">
      <c r="T23230" s="41"/>
    </row>
    <row r="23231" spans="20:20" s="566" customFormat="1">
      <c r="T23231" s="41"/>
    </row>
    <row r="23232" spans="20:20" s="566" customFormat="1">
      <c r="T23232" s="41"/>
    </row>
    <row r="23233" spans="20:20" s="566" customFormat="1">
      <c r="T23233" s="41"/>
    </row>
    <row r="23234" spans="20:20" s="566" customFormat="1">
      <c r="T23234" s="41"/>
    </row>
    <row r="23235" spans="20:20" s="566" customFormat="1">
      <c r="T23235" s="41"/>
    </row>
    <row r="23236" spans="20:20" s="566" customFormat="1">
      <c r="T23236" s="41"/>
    </row>
    <row r="23237" spans="20:20" s="566" customFormat="1">
      <c r="T23237" s="41"/>
    </row>
    <row r="23238" spans="20:20" s="566" customFormat="1">
      <c r="T23238" s="41"/>
    </row>
    <row r="23239" spans="20:20" s="566" customFormat="1">
      <c r="T23239" s="41"/>
    </row>
    <row r="23240" spans="20:20" s="566" customFormat="1">
      <c r="T23240" s="41"/>
    </row>
    <row r="23241" spans="20:20" s="566" customFormat="1">
      <c r="T23241" s="41"/>
    </row>
    <row r="23242" spans="20:20" s="566" customFormat="1">
      <c r="T23242" s="41"/>
    </row>
    <row r="23243" spans="20:20" s="566" customFormat="1">
      <c r="T23243" s="41"/>
    </row>
    <row r="23244" spans="20:20" s="566" customFormat="1">
      <c r="T23244" s="41"/>
    </row>
    <row r="23245" spans="20:20" s="566" customFormat="1">
      <c r="T23245" s="41"/>
    </row>
    <row r="23246" spans="20:20" s="566" customFormat="1">
      <c r="T23246" s="41"/>
    </row>
    <row r="23247" spans="20:20" s="566" customFormat="1">
      <c r="T23247" s="41"/>
    </row>
    <row r="23248" spans="20:20" s="566" customFormat="1">
      <c r="T23248" s="41"/>
    </row>
    <row r="23249" spans="20:20" s="566" customFormat="1">
      <c r="T23249" s="41"/>
    </row>
    <row r="23250" spans="20:20" s="566" customFormat="1">
      <c r="T23250" s="41"/>
    </row>
    <row r="23251" spans="20:20" s="566" customFormat="1">
      <c r="T23251" s="41"/>
    </row>
    <row r="23252" spans="20:20" s="566" customFormat="1">
      <c r="T23252" s="41"/>
    </row>
    <row r="23253" spans="20:20" s="566" customFormat="1">
      <c r="T23253" s="41"/>
    </row>
    <row r="23254" spans="20:20" s="566" customFormat="1">
      <c r="T23254" s="41"/>
    </row>
    <row r="23255" spans="20:20" s="566" customFormat="1">
      <c r="T23255" s="41"/>
    </row>
    <row r="23256" spans="20:20" s="566" customFormat="1">
      <c r="T23256" s="41"/>
    </row>
    <row r="23257" spans="20:20" s="566" customFormat="1">
      <c r="T23257" s="41"/>
    </row>
    <row r="23258" spans="20:20" s="566" customFormat="1">
      <c r="T23258" s="41"/>
    </row>
    <row r="23259" spans="20:20" s="566" customFormat="1">
      <c r="T23259" s="41"/>
    </row>
    <row r="23260" spans="20:20" s="566" customFormat="1">
      <c r="T23260" s="41"/>
    </row>
    <row r="23261" spans="20:20" s="566" customFormat="1">
      <c r="T23261" s="41"/>
    </row>
    <row r="23262" spans="20:20" s="566" customFormat="1">
      <c r="T23262" s="41"/>
    </row>
    <row r="23263" spans="20:20" s="566" customFormat="1">
      <c r="T23263" s="41"/>
    </row>
    <row r="23264" spans="20:20" s="566" customFormat="1">
      <c r="T23264" s="41"/>
    </row>
    <row r="23265" spans="20:20" s="566" customFormat="1">
      <c r="T23265" s="41"/>
    </row>
    <row r="23266" spans="20:20" s="566" customFormat="1">
      <c r="T23266" s="41"/>
    </row>
    <row r="23267" spans="20:20" s="566" customFormat="1">
      <c r="T23267" s="41"/>
    </row>
    <row r="23268" spans="20:20" s="566" customFormat="1">
      <c r="T23268" s="41"/>
    </row>
    <row r="23269" spans="20:20" s="566" customFormat="1">
      <c r="T23269" s="41"/>
    </row>
    <row r="23270" spans="20:20" s="566" customFormat="1">
      <c r="T23270" s="41"/>
    </row>
    <row r="23271" spans="20:20" s="566" customFormat="1">
      <c r="T23271" s="41"/>
    </row>
    <row r="23272" spans="20:20" s="566" customFormat="1">
      <c r="T23272" s="41"/>
    </row>
    <row r="23273" spans="20:20" s="566" customFormat="1">
      <c r="T23273" s="41"/>
    </row>
    <row r="23274" spans="20:20" s="566" customFormat="1">
      <c r="T23274" s="41"/>
    </row>
    <row r="23275" spans="20:20" s="566" customFormat="1">
      <c r="T23275" s="41"/>
    </row>
    <row r="23276" spans="20:20" s="566" customFormat="1">
      <c r="T23276" s="41"/>
    </row>
    <row r="23277" spans="20:20" s="566" customFormat="1">
      <c r="T23277" s="41"/>
    </row>
    <row r="23278" spans="20:20" s="566" customFormat="1">
      <c r="T23278" s="41"/>
    </row>
    <row r="23279" spans="20:20" s="566" customFormat="1">
      <c r="T23279" s="41"/>
    </row>
    <row r="23280" spans="20:20" s="566" customFormat="1">
      <c r="T23280" s="41"/>
    </row>
    <row r="23281" spans="20:20" s="566" customFormat="1">
      <c r="T23281" s="41"/>
    </row>
    <row r="23282" spans="20:20" s="566" customFormat="1">
      <c r="T23282" s="41"/>
    </row>
    <row r="23283" spans="20:20" s="566" customFormat="1">
      <c r="T23283" s="41"/>
    </row>
    <row r="23284" spans="20:20" s="566" customFormat="1">
      <c r="T23284" s="41"/>
    </row>
    <row r="23285" spans="20:20" s="566" customFormat="1">
      <c r="T23285" s="41"/>
    </row>
    <row r="23286" spans="20:20" s="566" customFormat="1">
      <c r="T23286" s="41"/>
    </row>
    <row r="23287" spans="20:20" s="566" customFormat="1">
      <c r="T23287" s="41"/>
    </row>
    <row r="23288" spans="20:20" s="566" customFormat="1">
      <c r="T23288" s="41"/>
    </row>
    <row r="23289" spans="20:20" s="566" customFormat="1">
      <c r="T23289" s="41"/>
    </row>
    <row r="23290" spans="20:20" s="566" customFormat="1">
      <c r="T23290" s="41"/>
    </row>
    <row r="23291" spans="20:20" s="566" customFormat="1">
      <c r="T23291" s="41"/>
    </row>
    <row r="23292" spans="20:20" s="566" customFormat="1">
      <c r="T23292" s="41"/>
    </row>
    <row r="23293" spans="20:20" s="566" customFormat="1">
      <c r="T23293" s="41"/>
    </row>
    <row r="23294" spans="20:20" s="566" customFormat="1">
      <c r="T23294" s="41"/>
    </row>
    <row r="23295" spans="20:20" s="566" customFormat="1">
      <c r="T23295" s="41"/>
    </row>
    <row r="23296" spans="20:20" s="566" customFormat="1">
      <c r="T23296" s="41"/>
    </row>
    <row r="23297" spans="20:20" s="566" customFormat="1">
      <c r="T23297" s="41"/>
    </row>
    <row r="23298" spans="20:20" s="566" customFormat="1">
      <c r="T23298" s="41"/>
    </row>
    <row r="23299" spans="20:20" s="566" customFormat="1">
      <c r="T23299" s="41"/>
    </row>
    <row r="23300" spans="20:20" s="566" customFormat="1">
      <c r="T23300" s="41"/>
    </row>
    <row r="23301" spans="20:20" s="566" customFormat="1">
      <c r="T23301" s="41"/>
    </row>
    <row r="23302" spans="20:20" s="566" customFormat="1">
      <c r="T23302" s="41"/>
    </row>
    <row r="23303" spans="20:20" s="566" customFormat="1">
      <c r="T23303" s="41"/>
    </row>
    <row r="23304" spans="20:20" s="566" customFormat="1">
      <c r="T23304" s="41"/>
    </row>
    <row r="23305" spans="20:20" s="566" customFormat="1">
      <c r="T23305" s="41"/>
    </row>
    <row r="23306" spans="20:20" s="566" customFormat="1">
      <c r="T23306" s="41"/>
    </row>
    <row r="23307" spans="20:20" s="566" customFormat="1">
      <c r="T23307" s="41"/>
    </row>
    <row r="23308" spans="20:20" s="566" customFormat="1">
      <c r="T23308" s="41"/>
    </row>
    <row r="23309" spans="20:20" s="566" customFormat="1">
      <c r="T23309" s="41"/>
    </row>
    <row r="23310" spans="20:20" s="566" customFormat="1">
      <c r="T23310" s="41"/>
    </row>
    <row r="23311" spans="20:20" s="566" customFormat="1">
      <c r="T23311" s="41"/>
    </row>
    <row r="23312" spans="20:20" s="566" customFormat="1">
      <c r="T23312" s="41"/>
    </row>
    <row r="23313" spans="20:20" s="566" customFormat="1">
      <c r="T23313" s="41"/>
    </row>
    <row r="23314" spans="20:20" s="566" customFormat="1">
      <c r="T23314" s="41"/>
    </row>
    <row r="23315" spans="20:20" s="566" customFormat="1">
      <c r="T23315" s="41"/>
    </row>
    <row r="23316" spans="20:20" s="566" customFormat="1">
      <c r="T23316" s="41"/>
    </row>
    <row r="23317" spans="20:20" s="566" customFormat="1">
      <c r="T23317" s="41"/>
    </row>
    <row r="23318" spans="20:20" s="566" customFormat="1">
      <c r="T23318" s="41"/>
    </row>
    <row r="23319" spans="20:20" s="566" customFormat="1">
      <c r="T23319" s="41"/>
    </row>
    <row r="23320" spans="20:20" s="566" customFormat="1">
      <c r="T23320" s="41"/>
    </row>
    <row r="23321" spans="20:20" s="566" customFormat="1">
      <c r="T23321" s="41"/>
    </row>
    <row r="23322" spans="20:20" s="566" customFormat="1">
      <c r="T23322" s="41"/>
    </row>
    <row r="23323" spans="20:20" s="566" customFormat="1">
      <c r="T23323" s="41"/>
    </row>
    <row r="23324" spans="20:20" s="566" customFormat="1">
      <c r="T23324" s="41"/>
    </row>
    <row r="23325" spans="20:20" s="566" customFormat="1">
      <c r="T23325" s="41"/>
    </row>
    <row r="23326" spans="20:20" s="566" customFormat="1">
      <c r="T23326" s="41"/>
    </row>
    <row r="23327" spans="20:20" s="566" customFormat="1">
      <c r="T23327" s="41"/>
    </row>
    <row r="23328" spans="20:20" s="566" customFormat="1">
      <c r="T23328" s="41"/>
    </row>
    <row r="23329" spans="20:20" s="566" customFormat="1">
      <c r="T23329" s="41"/>
    </row>
    <row r="23330" spans="20:20" s="566" customFormat="1">
      <c r="T23330" s="41"/>
    </row>
    <row r="23331" spans="20:20" s="566" customFormat="1">
      <c r="T23331" s="41"/>
    </row>
    <row r="23332" spans="20:20" s="566" customFormat="1">
      <c r="T23332" s="41"/>
    </row>
    <row r="23333" spans="20:20" s="566" customFormat="1">
      <c r="T23333" s="41"/>
    </row>
    <row r="23334" spans="20:20" s="566" customFormat="1">
      <c r="T23334" s="41"/>
    </row>
    <row r="23335" spans="20:20" s="566" customFormat="1">
      <c r="T23335" s="41"/>
    </row>
    <row r="23336" spans="20:20" s="566" customFormat="1">
      <c r="T23336" s="41"/>
    </row>
    <row r="23337" spans="20:20" s="566" customFormat="1">
      <c r="T23337" s="41"/>
    </row>
    <row r="23338" spans="20:20" s="566" customFormat="1">
      <c r="T23338" s="41"/>
    </row>
    <row r="23339" spans="20:20" s="566" customFormat="1">
      <c r="T23339" s="41"/>
    </row>
    <row r="23340" spans="20:20" s="566" customFormat="1">
      <c r="T23340" s="41"/>
    </row>
    <row r="23341" spans="20:20" s="566" customFormat="1">
      <c r="T23341" s="41"/>
    </row>
    <row r="23342" spans="20:20" s="566" customFormat="1">
      <c r="T23342" s="41"/>
    </row>
    <row r="23343" spans="20:20" s="566" customFormat="1">
      <c r="T23343" s="41"/>
    </row>
    <row r="23344" spans="20:20" s="566" customFormat="1">
      <c r="T23344" s="41"/>
    </row>
    <row r="23345" spans="20:20" s="566" customFormat="1">
      <c r="T23345" s="41"/>
    </row>
    <row r="23346" spans="20:20" s="566" customFormat="1">
      <c r="T23346" s="41"/>
    </row>
    <row r="23347" spans="20:20" s="566" customFormat="1">
      <c r="T23347" s="41"/>
    </row>
    <row r="23348" spans="20:20" s="566" customFormat="1">
      <c r="T23348" s="41"/>
    </row>
    <row r="23349" spans="20:20" s="566" customFormat="1">
      <c r="T23349" s="41"/>
    </row>
    <row r="23350" spans="20:20" s="566" customFormat="1">
      <c r="T23350" s="41"/>
    </row>
    <row r="23351" spans="20:20" s="566" customFormat="1">
      <c r="T23351" s="41"/>
    </row>
    <row r="23352" spans="20:20" s="566" customFormat="1">
      <c r="T23352" s="41"/>
    </row>
    <row r="23353" spans="20:20" s="566" customFormat="1">
      <c r="T23353" s="41"/>
    </row>
    <row r="23354" spans="20:20" s="566" customFormat="1">
      <c r="T23354" s="41"/>
    </row>
    <row r="23355" spans="20:20" s="566" customFormat="1">
      <c r="T23355" s="41"/>
    </row>
    <row r="23356" spans="20:20" s="566" customFormat="1">
      <c r="T23356" s="41"/>
    </row>
    <row r="23357" spans="20:20" s="566" customFormat="1">
      <c r="T23357" s="41"/>
    </row>
    <row r="23358" spans="20:20" s="566" customFormat="1">
      <c r="T23358" s="41"/>
    </row>
    <row r="23359" spans="20:20" s="566" customFormat="1">
      <c r="T23359" s="41"/>
    </row>
    <row r="23360" spans="20:20" s="566" customFormat="1">
      <c r="T23360" s="41"/>
    </row>
    <row r="23361" spans="20:20" s="566" customFormat="1">
      <c r="T23361" s="41"/>
    </row>
    <row r="23362" spans="20:20" s="566" customFormat="1">
      <c r="T23362" s="41"/>
    </row>
    <row r="23363" spans="20:20" s="566" customFormat="1">
      <c r="T23363" s="41"/>
    </row>
    <row r="23364" spans="20:20" s="566" customFormat="1">
      <c r="T23364" s="41"/>
    </row>
    <row r="23365" spans="20:20" s="566" customFormat="1">
      <c r="T23365" s="41"/>
    </row>
    <row r="23366" spans="20:20" s="566" customFormat="1">
      <c r="T23366" s="41"/>
    </row>
    <row r="23367" spans="20:20" s="566" customFormat="1">
      <c r="T23367" s="41"/>
    </row>
    <row r="23368" spans="20:20" s="566" customFormat="1">
      <c r="T23368" s="41"/>
    </row>
    <row r="23369" spans="20:20" s="566" customFormat="1">
      <c r="T23369" s="41"/>
    </row>
    <row r="23370" spans="20:20" s="566" customFormat="1">
      <c r="T23370" s="41"/>
    </row>
    <row r="23371" spans="20:20" s="566" customFormat="1">
      <c r="T23371" s="41"/>
    </row>
    <row r="23372" spans="20:20" s="566" customFormat="1">
      <c r="T23372" s="41"/>
    </row>
    <row r="23373" spans="20:20" s="566" customFormat="1">
      <c r="T23373" s="41"/>
    </row>
    <row r="23374" spans="20:20" s="566" customFormat="1">
      <c r="T23374" s="41"/>
    </row>
    <row r="23375" spans="20:20" s="566" customFormat="1">
      <c r="T23375" s="41"/>
    </row>
    <row r="23376" spans="20:20" s="566" customFormat="1">
      <c r="T23376" s="41"/>
    </row>
    <row r="23377" spans="20:20" s="566" customFormat="1">
      <c r="T23377" s="41"/>
    </row>
    <row r="23378" spans="20:20" s="566" customFormat="1">
      <c r="T23378" s="41"/>
    </row>
    <row r="23379" spans="20:20" s="566" customFormat="1">
      <c r="T23379" s="41"/>
    </row>
    <row r="23380" spans="20:20" s="566" customFormat="1">
      <c r="T23380" s="41"/>
    </row>
    <row r="23381" spans="20:20" s="566" customFormat="1">
      <c r="T23381" s="41"/>
    </row>
    <row r="23382" spans="20:20" s="566" customFormat="1">
      <c r="T23382" s="41"/>
    </row>
    <row r="23383" spans="20:20" s="566" customFormat="1">
      <c r="T23383" s="41"/>
    </row>
    <row r="23384" spans="20:20" s="566" customFormat="1">
      <c r="T23384" s="41"/>
    </row>
    <row r="23385" spans="20:20" s="566" customFormat="1">
      <c r="T23385" s="41"/>
    </row>
    <row r="23386" spans="20:20" s="566" customFormat="1">
      <c r="T23386" s="41"/>
    </row>
    <row r="23387" spans="20:20" s="566" customFormat="1">
      <c r="T23387" s="41"/>
    </row>
    <row r="23388" spans="20:20" s="566" customFormat="1">
      <c r="T23388" s="41"/>
    </row>
    <row r="23389" spans="20:20" s="566" customFormat="1">
      <c r="T23389" s="41"/>
    </row>
    <row r="23390" spans="20:20" s="566" customFormat="1">
      <c r="T23390" s="41"/>
    </row>
    <row r="23391" spans="20:20" s="566" customFormat="1">
      <c r="T23391" s="41"/>
    </row>
    <row r="23392" spans="20:20" s="566" customFormat="1">
      <c r="T23392" s="41"/>
    </row>
    <row r="23393" spans="20:20" s="566" customFormat="1">
      <c r="T23393" s="41"/>
    </row>
    <row r="23394" spans="20:20" s="566" customFormat="1">
      <c r="T23394" s="41"/>
    </row>
    <row r="23395" spans="20:20" s="566" customFormat="1">
      <c r="T23395" s="41"/>
    </row>
    <row r="23396" spans="20:20" s="566" customFormat="1">
      <c r="T23396" s="41"/>
    </row>
    <row r="23397" spans="20:20" s="566" customFormat="1">
      <c r="T23397" s="41"/>
    </row>
    <row r="23398" spans="20:20" s="566" customFormat="1">
      <c r="T23398" s="41"/>
    </row>
    <row r="23399" spans="20:20" s="566" customFormat="1">
      <c r="T23399" s="41"/>
    </row>
    <row r="23400" spans="20:20" s="566" customFormat="1">
      <c r="T23400" s="41"/>
    </row>
    <row r="23401" spans="20:20" s="566" customFormat="1">
      <c r="T23401" s="41"/>
    </row>
    <row r="23402" spans="20:20" s="566" customFormat="1">
      <c r="T23402" s="41"/>
    </row>
    <row r="23403" spans="20:20" s="566" customFormat="1">
      <c r="T23403" s="41"/>
    </row>
    <row r="23404" spans="20:20" s="566" customFormat="1">
      <c r="T23404" s="41"/>
    </row>
    <row r="23405" spans="20:20" s="566" customFormat="1">
      <c r="T23405" s="41"/>
    </row>
    <row r="23406" spans="20:20" s="566" customFormat="1">
      <c r="T23406" s="41"/>
    </row>
    <row r="23407" spans="20:20" s="566" customFormat="1">
      <c r="T23407" s="41"/>
    </row>
    <row r="23408" spans="20:20" s="566" customFormat="1">
      <c r="T23408" s="41"/>
    </row>
    <row r="23409" spans="20:20" s="566" customFormat="1">
      <c r="T23409" s="41"/>
    </row>
    <row r="23410" spans="20:20" s="566" customFormat="1">
      <c r="T23410" s="41"/>
    </row>
    <row r="23411" spans="20:20" s="566" customFormat="1">
      <c r="T23411" s="41"/>
    </row>
    <row r="23412" spans="20:20" s="566" customFormat="1">
      <c r="T23412" s="41"/>
    </row>
    <row r="23413" spans="20:20" s="566" customFormat="1">
      <c r="T23413" s="41"/>
    </row>
    <row r="23414" spans="20:20" s="566" customFormat="1">
      <c r="T23414" s="41"/>
    </row>
    <row r="23415" spans="20:20" s="566" customFormat="1">
      <c r="T23415" s="41"/>
    </row>
    <row r="23416" spans="20:20" s="566" customFormat="1">
      <c r="T23416" s="41"/>
    </row>
    <row r="23417" spans="20:20" s="566" customFormat="1">
      <c r="T23417" s="41"/>
    </row>
    <row r="23418" spans="20:20" s="566" customFormat="1">
      <c r="T23418" s="41"/>
    </row>
    <row r="23419" spans="20:20" s="566" customFormat="1">
      <c r="T23419" s="41"/>
    </row>
    <row r="23420" spans="20:20" s="566" customFormat="1">
      <c r="T23420" s="41"/>
    </row>
    <row r="23421" spans="20:20" s="566" customFormat="1">
      <c r="T23421" s="41"/>
    </row>
    <row r="23422" spans="20:20" s="566" customFormat="1">
      <c r="T23422" s="41"/>
    </row>
    <row r="23423" spans="20:20" s="566" customFormat="1">
      <c r="T23423" s="41"/>
    </row>
    <row r="23424" spans="20:20" s="566" customFormat="1">
      <c r="T23424" s="41"/>
    </row>
    <row r="23425" spans="20:20" s="566" customFormat="1">
      <c r="T23425" s="41"/>
    </row>
    <row r="23426" spans="20:20" s="566" customFormat="1">
      <c r="T23426" s="41"/>
    </row>
    <row r="23427" spans="20:20" s="566" customFormat="1">
      <c r="T23427" s="41"/>
    </row>
    <row r="23428" spans="20:20" s="566" customFormat="1">
      <c r="T23428" s="41"/>
    </row>
    <row r="23429" spans="20:20" s="566" customFormat="1">
      <c r="T23429" s="41"/>
    </row>
    <row r="23430" spans="20:20" s="566" customFormat="1">
      <c r="T23430" s="41"/>
    </row>
    <row r="23431" spans="20:20" s="566" customFormat="1">
      <c r="T23431" s="41"/>
    </row>
    <row r="23432" spans="20:20" s="566" customFormat="1">
      <c r="T23432" s="41"/>
    </row>
    <row r="23433" spans="20:20" s="566" customFormat="1">
      <c r="T23433" s="41"/>
    </row>
    <row r="23434" spans="20:20" s="566" customFormat="1">
      <c r="T23434" s="41"/>
    </row>
    <row r="23435" spans="20:20" s="566" customFormat="1">
      <c r="T23435" s="41"/>
    </row>
    <row r="23436" spans="20:20" s="566" customFormat="1">
      <c r="T23436" s="41"/>
    </row>
    <row r="23437" spans="20:20" s="566" customFormat="1">
      <c r="T23437" s="41"/>
    </row>
    <row r="23438" spans="20:20" s="566" customFormat="1">
      <c r="T23438" s="41"/>
    </row>
    <row r="23439" spans="20:20" s="566" customFormat="1">
      <c r="T23439" s="41"/>
    </row>
    <row r="23440" spans="20:20" s="566" customFormat="1">
      <c r="T23440" s="41"/>
    </row>
    <row r="23441" spans="20:20" s="566" customFormat="1">
      <c r="T23441" s="41"/>
    </row>
    <row r="23442" spans="20:20" s="566" customFormat="1">
      <c r="T23442" s="41"/>
    </row>
    <row r="23443" spans="20:20" s="566" customFormat="1">
      <c r="T23443" s="41"/>
    </row>
    <row r="23444" spans="20:20" s="566" customFormat="1">
      <c r="T23444" s="41"/>
    </row>
    <row r="23445" spans="20:20" s="566" customFormat="1">
      <c r="T23445" s="41"/>
    </row>
    <row r="23446" spans="20:20" s="566" customFormat="1">
      <c r="T23446" s="41"/>
    </row>
    <row r="23447" spans="20:20" s="566" customFormat="1">
      <c r="T23447" s="41"/>
    </row>
    <row r="23448" spans="20:20" s="566" customFormat="1">
      <c r="T23448" s="41"/>
    </row>
    <row r="23449" spans="20:20" s="566" customFormat="1">
      <c r="T23449" s="41"/>
    </row>
    <row r="23450" spans="20:20" s="566" customFormat="1">
      <c r="T23450" s="41"/>
    </row>
    <row r="23451" spans="20:20" s="566" customFormat="1">
      <c r="T23451" s="41"/>
    </row>
    <row r="23452" spans="20:20" s="566" customFormat="1">
      <c r="T23452" s="41"/>
    </row>
    <row r="23453" spans="20:20" s="566" customFormat="1">
      <c r="T23453" s="41"/>
    </row>
    <row r="23454" spans="20:20" s="566" customFormat="1">
      <c r="T23454" s="41"/>
    </row>
    <row r="23455" spans="20:20" s="566" customFormat="1">
      <c r="T23455" s="41"/>
    </row>
    <row r="23456" spans="20:20" s="566" customFormat="1">
      <c r="T23456" s="41"/>
    </row>
    <row r="23457" spans="20:20" s="566" customFormat="1">
      <c r="T23457" s="41"/>
    </row>
    <row r="23458" spans="20:20" s="566" customFormat="1">
      <c r="T23458" s="41"/>
    </row>
    <row r="23459" spans="20:20" s="566" customFormat="1">
      <c r="T23459" s="41"/>
    </row>
    <row r="23460" spans="20:20" s="566" customFormat="1">
      <c r="T23460" s="41"/>
    </row>
    <row r="23461" spans="20:20" s="566" customFormat="1">
      <c r="T23461" s="41"/>
    </row>
    <row r="23462" spans="20:20" s="566" customFormat="1">
      <c r="T23462" s="41"/>
    </row>
    <row r="23463" spans="20:20" s="566" customFormat="1">
      <c r="T23463" s="41"/>
    </row>
    <row r="23464" spans="20:20" s="566" customFormat="1">
      <c r="T23464" s="41"/>
    </row>
    <row r="23465" spans="20:20" s="566" customFormat="1">
      <c r="T23465" s="41"/>
    </row>
    <row r="23466" spans="20:20" s="566" customFormat="1">
      <c r="T23466" s="41"/>
    </row>
    <row r="23467" spans="20:20" s="566" customFormat="1">
      <c r="T23467" s="41"/>
    </row>
    <row r="23468" spans="20:20" s="566" customFormat="1">
      <c r="T23468" s="41"/>
    </row>
    <row r="23469" spans="20:20" s="566" customFormat="1">
      <c r="T23469" s="41"/>
    </row>
    <row r="23470" spans="20:20" s="566" customFormat="1">
      <c r="T23470" s="41"/>
    </row>
    <row r="23471" spans="20:20" s="566" customFormat="1">
      <c r="T23471" s="41"/>
    </row>
    <row r="23472" spans="20:20" s="566" customFormat="1">
      <c r="T23472" s="41"/>
    </row>
    <row r="23473" spans="20:20" s="566" customFormat="1">
      <c r="T23473" s="41"/>
    </row>
    <row r="23474" spans="20:20" s="566" customFormat="1">
      <c r="T23474" s="41"/>
    </row>
    <row r="23475" spans="20:20" s="566" customFormat="1">
      <c r="T23475" s="41"/>
    </row>
    <row r="23476" spans="20:20" s="566" customFormat="1">
      <c r="T23476" s="41"/>
    </row>
    <row r="23477" spans="20:20" s="566" customFormat="1">
      <c r="T23477" s="41"/>
    </row>
    <row r="23478" spans="20:20" s="566" customFormat="1">
      <c r="T23478" s="41"/>
    </row>
    <row r="23479" spans="20:20" s="566" customFormat="1">
      <c r="T23479" s="41"/>
    </row>
    <row r="23480" spans="20:20" s="566" customFormat="1">
      <c r="T23480" s="41"/>
    </row>
    <row r="23481" spans="20:20" s="566" customFormat="1">
      <c r="T23481" s="41"/>
    </row>
    <row r="23482" spans="20:20" s="566" customFormat="1">
      <c r="T23482" s="41"/>
    </row>
    <row r="23483" spans="20:20" s="566" customFormat="1">
      <c r="T23483" s="41"/>
    </row>
    <row r="23484" spans="20:20" s="566" customFormat="1">
      <c r="T23484" s="41"/>
    </row>
    <row r="23485" spans="20:20" s="566" customFormat="1">
      <c r="T23485" s="41"/>
    </row>
    <row r="23486" spans="20:20" s="566" customFormat="1">
      <c r="T23486" s="41"/>
    </row>
    <row r="23487" spans="20:20" s="566" customFormat="1">
      <c r="T23487" s="41"/>
    </row>
    <row r="23488" spans="20:20" s="566" customFormat="1">
      <c r="T23488" s="41"/>
    </row>
    <row r="23489" spans="20:20" s="566" customFormat="1">
      <c r="T23489" s="41"/>
    </row>
    <row r="23490" spans="20:20" s="566" customFormat="1">
      <c r="T23490" s="41"/>
    </row>
    <row r="23491" spans="20:20" s="566" customFormat="1">
      <c r="T23491" s="41"/>
    </row>
    <row r="23492" spans="20:20" s="566" customFormat="1">
      <c r="T23492" s="41"/>
    </row>
    <row r="23493" spans="20:20" s="566" customFormat="1">
      <c r="T23493" s="41"/>
    </row>
    <row r="23494" spans="20:20" s="566" customFormat="1">
      <c r="T23494" s="41"/>
    </row>
    <row r="23495" spans="20:20" s="566" customFormat="1">
      <c r="T23495" s="41"/>
    </row>
    <row r="23496" spans="20:20" s="566" customFormat="1">
      <c r="T23496" s="41"/>
    </row>
    <row r="23497" spans="20:20" s="566" customFormat="1">
      <c r="T23497" s="41"/>
    </row>
    <row r="23498" spans="20:20" s="566" customFormat="1">
      <c r="T23498" s="41"/>
    </row>
    <row r="23499" spans="20:20" s="566" customFormat="1">
      <c r="T23499" s="41"/>
    </row>
    <row r="23500" spans="20:20" s="566" customFormat="1">
      <c r="T23500" s="41"/>
    </row>
    <row r="23501" spans="20:20" s="566" customFormat="1">
      <c r="T23501" s="41"/>
    </row>
    <row r="23502" spans="20:20" s="566" customFormat="1">
      <c r="T23502" s="41"/>
    </row>
    <row r="23503" spans="20:20" s="566" customFormat="1">
      <c r="T23503" s="41"/>
    </row>
    <row r="23504" spans="20:20" s="566" customFormat="1">
      <c r="T23504" s="41"/>
    </row>
    <row r="23505" spans="20:20" s="566" customFormat="1">
      <c r="T23505" s="41"/>
    </row>
    <row r="23506" spans="20:20" s="566" customFormat="1">
      <c r="T23506" s="41"/>
    </row>
    <row r="23507" spans="20:20" s="566" customFormat="1">
      <c r="T23507" s="41"/>
    </row>
    <row r="23508" spans="20:20" s="566" customFormat="1">
      <c r="T23508" s="41"/>
    </row>
    <row r="23509" spans="20:20" s="566" customFormat="1">
      <c r="T23509" s="41"/>
    </row>
    <row r="23510" spans="20:20" s="566" customFormat="1">
      <c r="T23510" s="41"/>
    </row>
    <row r="23511" spans="20:20" s="566" customFormat="1">
      <c r="T23511" s="41"/>
    </row>
    <row r="23512" spans="20:20" s="566" customFormat="1">
      <c r="T23512" s="41"/>
    </row>
    <row r="23513" spans="20:20" s="566" customFormat="1">
      <c r="T23513" s="41"/>
    </row>
    <row r="23514" spans="20:20" s="566" customFormat="1">
      <c r="T23514" s="41"/>
    </row>
    <row r="23515" spans="20:20" s="566" customFormat="1">
      <c r="T23515" s="41"/>
    </row>
    <row r="23516" spans="20:20" s="566" customFormat="1">
      <c r="T23516" s="41"/>
    </row>
    <row r="23517" spans="20:20" s="566" customFormat="1">
      <c r="T23517" s="41"/>
    </row>
    <row r="23518" spans="20:20" s="566" customFormat="1">
      <c r="T23518" s="41"/>
    </row>
    <row r="23519" spans="20:20" s="566" customFormat="1">
      <c r="T23519" s="41"/>
    </row>
    <row r="23520" spans="20:20" s="566" customFormat="1">
      <c r="T23520" s="41"/>
    </row>
    <row r="23521" spans="20:20" s="566" customFormat="1">
      <c r="T23521" s="41"/>
    </row>
    <row r="23522" spans="20:20" s="566" customFormat="1">
      <c r="T23522" s="41"/>
    </row>
    <row r="23523" spans="20:20" s="566" customFormat="1">
      <c r="T23523" s="41"/>
    </row>
    <row r="23524" spans="20:20" s="566" customFormat="1">
      <c r="T23524" s="41"/>
    </row>
    <row r="23525" spans="20:20" s="566" customFormat="1">
      <c r="T23525" s="41"/>
    </row>
    <row r="23526" spans="20:20" s="566" customFormat="1">
      <c r="T23526" s="41"/>
    </row>
    <row r="23527" spans="20:20" s="566" customFormat="1">
      <c r="T23527" s="41"/>
    </row>
    <row r="23528" spans="20:20" s="566" customFormat="1">
      <c r="T23528" s="41"/>
    </row>
    <row r="23529" spans="20:20" s="566" customFormat="1">
      <c r="T23529" s="41"/>
    </row>
    <row r="23530" spans="20:20" s="566" customFormat="1">
      <c r="T23530" s="41"/>
    </row>
    <row r="23531" spans="20:20" s="566" customFormat="1">
      <c r="T23531" s="41"/>
    </row>
    <row r="23532" spans="20:20" s="566" customFormat="1">
      <c r="T23532" s="41"/>
    </row>
    <row r="23533" spans="20:20" s="566" customFormat="1">
      <c r="T23533" s="41"/>
    </row>
    <row r="23534" spans="20:20" s="566" customFormat="1">
      <c r="T23534" s="41"/>
    </row>
    <row r="23535" spans="20:20" s="566" customFormat="1">
      <c r="T23535" s="41"/>
    </row>
    <row r="23536" spans="20:20" s="566" customFormat="1">
      <c r="T23536" s="41"/>
    </row>
    <row r="23537" spans="20:20" s="566" customFormat="1">
      <c r="T23537" s="41"/>
    </row>
    <row r="23538" spans="20:20" s="566" customFormat="1">
      <c r="T23538" s="41"/>
    </row>
    <row r="23539" spans="20:20" s="566" customFormat="1">
      <c r="T23539" s="41"/>
    </row>
    <row r="23540" spans="20:20" s="566" customFormat="1">
      <c r="T23540" s="41"/>
    </row>
    <row r="23541" spans="20:20" s="566" customFormat="1">
      <c r="T23541" s="41"/>
    </row>
    <row r="23542" spans="20:20" s="566" customFormat="1">
      <c r="T23542" s="41"/>
    </row>
    <row r="23543" spans="20:20" s="566" customFormat="1">
      <c r="T23543" s="41"/>
    </row>
    <row r="23544" spans="20:20" s="566" customFormat="1">
      <c r="T23544" s="41"/>
    </row>
    <row r="23545" spans="20:20" s="566" customFormat="1">
      <c r="T23545" s="41"/>
    </row>
    <row r="23546" spans="20:20" s="566" customFormat="1">
      <c r="T23546" s="41"/>
    </row>
    <row r="23547" spans="20:20" s="566" customFormat="1">
      <c r="T23547" s="41"/>
    </row>
    <row r="23548" spans="20:20" s="566" customFormat="1">
      <c r="T23548" s="41"/>
    </row>
    <row r="23549" spans="20:20" s="566" customFormat="1">
      <c r="T23549" s="41"/>
    </row>
    <row r="23550" spans="20:20" s="566" customFormat="1">
      <c r="T23550" s="41"/>
    </row>
    <row r="23551" spans="20:20" s="566" customFormat="1">
      <c r="T23551" s="41"/>
    </row>
    <row r="23552" spans="20:20" s="566" customFormat="1">
      <c r="T23552" s="41"/>
    </row>
    <row r="23553" spans="20:20" s="566" customFormat="1">
      <c r="T23553" s="41"/>
    </row>
    <row r="23554" spans="20:20" s="566" customFormat="1">
      <c r="T23554" s="41"/>
    </row>
    <row r="23555" spans="20:20" s="566" customFormat="1">
      <c r="T23555" s="41"/>
    </row>
    <row r="23556" spans="20:20" s="566" customFormat="1">
      <c r="T23556" s="41"/>
    </row>
    <row r="23557" spans="20:20" s="566" customFormat="1">
      <c r="T23557" s="41"/>
    </row>
    <row r="23558" spans="20:20" s="566" customFormat="1">
      <c r="T23558" s="41"/>
    </row>
    <row r="23559" spans="20:20" s="566" customFormat="1">
      <c r="T23559" s="41"/>
    </row>
    <row r="23560" spans="20:20" s="566" customFormat="1">
      <c r="T23560" s="41"/>
    </row>
    <row r="23561" spans="20:20" s="566" customFormat="1">
      <c r="T23561" s="41"/>
    </row>
    <row r="23562" spans="20:20" s="566" customFormat="1">
      <c r="T23562" s="41"/>
    </row>
    <row r="23563" spans="20:20" s="566" customFormat="1">
      <c r="T23563" s="41"/>
    </row>
    <row r="23564" spans="20:20" s="566" customFormat="1">
      <c r="T23564" s="41"/>
    </row>
    <row r="23565" spans="20:20" s="566" customFormat="1">
      <c r="T23565" s="41"/>
    </row>
    <row r="23566" spans="20:20" s="566" customFormat="1">
      <c r="T23566" s="41"/>
    </row>
    <row r="23567" spans="20:20" s="566" customFormat="1">
      <c r="T23567" s="41"/>
    </row>
    <row r="23568" spans="20:20" s="566" customFormat="1">
      <c r="T23568" s="41"/>
    </row>
    <row r="23569" spans="20:20" s="566" customFormat="1">
      <c r="T23569" s="41"/>
    </row>
    <row r="23570" spans="20:20" s="566" customFormat="1">
      <c r="T23570" s="41"/>
    </row>
    <row r="23571" spans="20:20" s="566" customFormat="1">
      <c r="T23571" s="41"/>
    </row>
    <row r="23572" spans="20:20" s="566" customFormat="1">
      <c r="T23572" s="41"/>
    </row>
    <row r="23573" spans="20:20" s="566" customFormat="1">
      <c r="T23573" s="41"/>
    </row>
    <row r="23574" spans="20:20" s="566" customFormat="1">
      <c r="T23574" s="41"/>
    </row>
    <row r="23575" spans="20:20" s="566" customFormat="1">
      <c r="T23575" s="41"/>
    </row>
    <row r="23576" spans="20:20" s="566" customFormat="1">
      <c r="T23576" s="41"/>
    </row>
    <row r="23577" spans="20:20" s="566" customFormat="1">
      <c r="T23577" s="41"/>
    </row>
    <row r="23578" spans="20:20" s="566" customFormat="1">
      <c r="T23578" s="41"/>
    </row>
    <row r="23579" spans="20:20" s="566" customFormat="1">
      <c r="T23579" s="41"/>
    </row>
    <row r="23580" spans="20:20" s="566" customFormat="1">
      <c r="T23580" s="41"/>
    </row>
    <row r="23581" spans="20:20" s="566" customFormat="1">
      <c r="T23581" s="41"/>
    </row>
    <row r="23582" spans="20:20" s="566" customFormat="1">
      <c r="T23582" s="41"/>
    </row>
    <row r="23583" spans="20:20" s="566" customFormat="1">
      <c r="T23583" s="41"/>
    </row>
    <row r="23584" spans="20:20" s="566" customFormat="1">
      <c r="T23584" s="41"/>
    </row>
    <row r="23585" spans="20:20" s="566" customFormat="1">
      <c r="T23585" s="41"/>
    </row>
    <row r="23586" spans="20:20" s="566" customFormat="1">
      <c r="T23586" s="41"/>
    </row>
    <row r="23587" spans="20:20" s="566" customFormat="1">
      <c r="T23587" s="41"/>
    </row>
    <row r="23588" spans="20:20" s="566" customFormat="1">
      <c r="T23588" s="41"/>
    </row>
    <row r="23589" spans="20:20" s="566" customFormat="1">
      <c r="T23589" s="41"/>
    </row>
    <row r="23590" spans="20:20" s="566" customFormat="1">
      <c r="T23590" s="41"/>
    </row>
    <row r="23591" spans="20:20" s="566" customFormat="1">
      <c r="T23591" s="41"/>
    </row>
    <row r="23592" spans="20:20" s="566" customFormat="1">
      <c r="T23592" s="41"/>
    </row>
    <row r="23593" spans="20:20" s="566" customFormat="1">
      <c r="T23593" s="41"/>
    </row>
    <row r="23594" spans="20:20" s="566" customFormat="1">
      <c r="T23594" s="41"/>
    </row>
    <row r="23595" spans="20:20" s="566" customFormat="1">
      <c r="T23595" s="41"/>
    </row>
    <row r="23596" spans="20:20" s="566" customFormat="1">
      <c r="T23596" s="41"/>
    </row>
    <row r="23597" spans="20:20" s="566" customFormat="1">
      <c r="T23597" s="41"/>
    </row>
    <row r="23598" spans="20:20" s="566" customFormat="1">
      <c r="T23598" s="41"/>
    </row>
    <row r="23599" spans="20:20" s="566" customFormat="1">
      <c r="T23599" s="41"/>
    </row>
    <row r="23600" spans="20:20" s="566" customFormat="1">
      <c r="T23600" s="41"/>
    </row>
    <row r="23601" spans="20:20" s="566" customFormat="1">
      <c r="T23601" s="41"/>
    </row>
    <row r="23602" spans="20:20" s="566" customFormat="1">
      <c r="T23602" s="41"/>
    </row>
    <row r="23603" spans="20:20" s="566" customFormat="1">
      <c r="T23603" s="41"/>
    </row>
    <row r="23604" spans="20:20" s="566" customFormat="1">
      <c r="T23604" s="41"/>
    </row>
    <row r="23605" spans="20:20" s="566" customFormat="1">
      <c r="T23605" s="41"/>
    </row>
    <row r="23606" spans="20:20" s="566" customFormat="1">
      <c r="T23606" s="41"/>
    </row>
    <row r="23607" spans="20:20" s="566" customFormat="1">
      <c r="T23607" s="41"/>
    </row>
    <row r="23608" spans="20:20" s="566" customFormat="1">
      <c r="T23608" s="41"/>
    </row>
    <row r="23609" spans="20:20" s="566" customFormat="1">
      <c r="T23609" s="41"/>
    </row>
    <row r="23610" spans="20:20" s="566" customFormat="1">
      <c r="T23610" s="41"/>
    </row>
    <row r="23611" spans="20:20" s="566" customFormat="1">
      <c r="T23611" s="41"/>
    </row>
    <row r="23612" spans="20:20" s="566" customFormat="1">
      <c r="T23612" s="41"/>
    </row>
    <row r="23613" spans="20:20" s="566" customFormat="1">
      <c r="T23613" s="41"/>
    </row>
    <row r="23614" spans="20:20" s="566" customFormat="1">
      <c r="T23614" s="41"/>
    </row>
    <row r="23615" spans="20:20" s="566" customFormat="1">
      <c r="T23615" s="41"/>
    </row>
    <row r="23616" spans="20:20" s="566" customFormat="1">
      <c r="T23616" s="41"/>
    </row>
    <row r="23617" spans="20:20" s="566" customFormat="1">
      <c r="T23617" s="41"/>
    </row>
    <row r="23618" spans="20:20" s="566" customFormat="1">
      <c r="T23618" s="41"/>
    </row>
    <row r="23619" spans="20:20" s="566" customFormat="1">
      <c r="T23619" s="41"/>
    </row>
    <row r="23620" spans="20:20" s="566" customFormat="1">
      <c r="T23620" s="41"/>
    </row>
    <row r="23621" spans="20:20" s="566" customFormat="1">
      <c r="T23621" s="41"/>
    </row>
    <row r="23622" spans="20:20" s="566" customFormat="1">
      <c r="T23622" s="41"/>
    </row>
    <row r="23623" spans="20:20" s="566" customFormat="1">
      <c r="T23623" s="41"/>
    </row>
    <row r="23624" spans="20:20" s="566" customFormat="1">
      <c r="T23624" s="41"/>
    </row>
    <row r="23625" spans="20:20" s="566" customFormat="1">
      <c r="T23625" s="41"/>
    </row>
    <row r="23626" spans="20:20" s="566" customFormat="1">
      <c r="T23626" s="41"/>
    </row>
    <row r="23627" spans="20:20" s="566" customFormat="1">
      <c r="T23627" s="41"/>
    </row>
    <row r="23628" spans="20:20" s="566" customFormat="1">
      <c r="T23628" s="41"/>
    </row>
    <row r="23629" spans="20:20" s="566" customFormat="1">
      <c r="T23629" s="41"/>
    </row>
    <row r="23630" spans="20:20" s="566" customFormat="1">
      <c r="T23630" s="41"/>
    </row>
    <row r="23631" spans="20:20" s="566" customFormat="1">
      <c r="T23631" s="41"/>
    </row>
    <row r="23632" spans="20:20" s="566" customFormat="1">
      <c r="T23632" s="41"/>
    </row>
    <row r="23633" spans="20:20" s="566" customFormat="1">
      <c r="T23633" s="41"/>
    </row>
    <row r="23634" spans="20:20" s="566" customFormat="1">
      <c r="T23634" s="41"/>
    </row>
    <row r="23635" spans="20:20" s="566" customFormat="1">
      <c r="T23635" s="41"/>
    </row>
    <row r="23636" spans="20:20" s="566" customFormat="1">
      <c r="T23636" s="41"/>
    </row>
    <row r="23637" spans="20:20" s="566" customFormat="1">
      <c r="T23637" s="41"/>
    </row>
    <row r="23638" spans="20:20" s="566" customFormat="1">
      <c r="T23638" s="41"/>
    </row>
    <row r="23639" spans="20:20" s="566" customFormat="1">
      <c r="T23639" s="41"/>
    </row>
    <row r="23640" spans="20:20" s="566" customFormat="1">
      <c r="T23640" s="41"/>
    </row>
    <row r="23641" spans="20:20" s="566" customFormat="1">
      <c r="T23641" s="41"/>
    </row>
    <row r="23642" spans="20:20" s="566" customFormat="1">
      <c r="T23642" s="41"/>
    </row>
    <row r="23643" spans="20:20" s="566" customFormat="1">
      <c r="T23643" s="41"/>
    </row>
    <row r="23644" spans="20:20" s="566" customFormat="1">
      <c r="T23644" s="41"/>
    </row>
    <row r="23645" spans="20:20" s="566" customFormat="1">
      <c r="T23645" s="41"/>
    </row>
    <row r="23646" spans="20:20" s="566" customFormat="1">
      <c r="T23646" s="41"/>
    </row>
    <row r="23647" spans="20:20" s="566" customFormat="1">
      <c r="T23647" s="41"/>
    </row>
    <row r="23648" spans="20:20" s="566" customFormat="1">
      <c r="T23648" s="41"/>
    </row>
    <row r="23649" spans="20:20" s="566" customFormat="1">
      <c r="T23649" s="41"/>
    </row>
    <row r="23650" spans="20:20" s="566" customFormat="1">
      <c r="T23650" s="41"/>
    </row>
    <row r="23651" spans="20:20" s="566" customFormat="1">
      <c r="T23651" s="41"/>
    </row>
    <row r="23652" spans="20:20" s="566" customFormat="1">
      <c r="T23652" s="41"/>
    </row>
    <row r="23653" spans="20:20" s="566" customFormat="1">
      <c r="T23653" s="41"/>
    </row>
    <row r="23654" spans="20:20" s="566" customFormat="1">
      <c r="T23654" s="41"/>
    </row>
    <row r="23655" spans="20:20" s="566" customFormat="1">
      <c r="T23655" s="41"/>
    </row>
    <row r="23656" spans="20:20" s="566" customFormat="1">
      <c r="T23656" s="41"/>
    </row>
    <row r="23657" spans="20:20" s="566" customFormat="1">
      <c r="T23657" s="41"/>
    </row>
    <row r="23658" spans="20:20" s="566" customFormat="1">
      <c r="T23658" s="41"/>
    </row>
    <row r="23659" spans="20:20" s="566" customFormat="1">
      <c r="T23659" s="41"/>
    </row>
    <row r="23660" spans="20:20" s="566" customFormat="1">
      <c r="T23660" s="41"/>
    </row>
    <row r="23661" spans="20:20" s="566" customFormat="1">
      <c r="T23661" s="41"/>
    </row>
    <row r="23662" spans="20:20" s="566" customFormat="1">
      <c r="T23662" s="41"/>
    </row>
    <row r="23663" spans="20:20" s="566" customFormat="1">
      <c r="T23663" s="41"/>
    </row>
    <row r="23664" spans="20:20" s="566" customFormat="1">
      <c r="T23664" s="41"/>
    </row>
    <row r="23665" spans="20:20" s="566" customFormat="1">
      <c r="T23665" s="41"/>
    </row>
    <row r="23666" spans="20:20" s="566" customFormat="1">
      <c r="T23666" s="41"/>
    </row>
    <row r="23667" spans="20:20" s="566" customFormat="1">
      <c r="T23667" s="41"/>
    </row>
    <row r="23668" spans="20:20" s="566" customFormat="1">
      <c r="T23668" s="41"/>
    </row>
    <row r="23669" spans="20:20" s="566" customFormat="1">
      <c r="T23669" s="41"/>
    </row>
    <row r="23670" spans="20:20" s="566" customFormat="1">
      <c r="T23670" s="41"/>
    </row>
    <row r="23671" spans="20:20" s="566" customFormat="1">
      <c r="T23671" s="41"/>
    </row>
    <row r="23672" spans="20:20" s="566" customFormat="1">
      <c r="T23672" s="41"/>
    </row>
    <row r="23673" spans="20:20" s="566" customFormat="1">
      <c r="T23673" s="41"/>
    </row>
    <row r="23674" spans="20:20" s="566" customFormat="1">
      <c r="T23674" s="41"/>
    </row>
    <row r="23675" spans="20:20" s="566" customFormat="1">
      <c r="T23675" s="41"/>
    </row>
    <row r="23676" spans="20:20" s="566" customFormat="1">
      <c r="T23676" s="41"/>
    </row>
    <row r="23677" spans="20:20" s="566" customFormat="1">
      <c r="T23677" s="41"/>
    </row>
    <row r="23678" spans="20:20" s="566" customFormat="1">
      <c r="T23678" s="41"/>
    </row>
    <row r="23679" spans="20:20" s="566" customFormat="1">
      <c r="T23679" s="41"/>
    </row>
    <row r="23680" spans="20:20" s="566" customFormat="1">
      <c r="T23680" s="41"/>
    </row>
    <row r="23681" spans="20:20" s="566" customFormat="1">
      <c r="T23681" s="41"/>
    </row>
    <row r="23682" spans="20:20" s="566" customFormat="1">
      <c r="T23682" s="41"/>
    </row>
    <row r="23683" spans="20:20" s="566" customFormat="1">
      <c r="T23683" s="41"/>
    </row>
    <row r="23684" spans="20:20" s="566" customFormat="1">
      <c r="T23684" s="41"/>
    </row>
    <row r="23685" spans="20:20" s="566" customFormat="1">
      <c r="T23685" s="41"/>
    </row>
    <row r="23686" spans="20:20" s="566" customFormat="1">
      <c r="T23686" s="41"/>
    </row>
    <row r="23687" spans="20:20" s="566" customFormat="1">
      <c r="T23687" s="41"/>
    </row>
    <row r="23688" spans="20:20" s="566" customFormat="1">
      <c r="T23688" s="41"/>
    </row>
    <row r="23689" spans="20:20" s="566" customFormat="1">
      <c r="T23689" s="41"/>
    </row>
    <row r="23690" spans="20:20" s="566" customFormat="1">
      <c r="T23690" s="41"/>
    </row>
    <row r="23691" spans="20:20" s="566" customFormat="1">
      <c r="T23691" s="41"/>
    </row>
    <row r="23692" spans="20:20" s="566" customFormat="1">
      <c r="T23692" s="41"/>
    </row>
    <row r="23693" spans="20:20" s="566" customFormat="1">
      <c r="T23693" s="41"/>
    </row>
    <row r="23694" spans="20:20" s="566" customFormat="1">
      <c r="T23694" s="41"/>
    </row>
    <row r="23695" spans="20:20" s="566" customFormat="1">
      <c r="T23695" s="41"/>
    </row>
    <row r="23696" spans="20:20" s="566" customFormat="1">
      <c r="T23696" s="41"/>
    </row>
    <row r="23697" spans="20:20" s="566" customFormat="1">
      <c r="T23697" s="41"/>
    </row>
    <row r="23698" spans="20:20" s="566" customFormat="1">
      <c r="T23698" s="41"/>
    </row>
    <row r="23699" spans="20:20" s="566" customFormat="1">
      <c r="T23699" s="41"/>
    </row>
    <row r="23700" spans="20:20" s="566" customFormat="1">
      <c r="T23700" s="41"/>
    </row>
    <row r="23701" spans="20:20" s="566" customFormat="1">
      <c r="T23701" s="41"/>
    </row>
    <row r="23702" spans="20:20" s="566" customFormat="1">
      <c r="T23702" s="41"/>
    </row>
    <row r="23703" spans="20:20" s="566" customFormat="1">
      <c r="T23703" s="41"/>
    </row>
    <row r="23704" spans="20:20" s="566" customFormat="1">
      <c r="T23704" s="41"/>
    </row>
    <row r="23705" spans="20:20" s="566" customFormat="1">
      <c r="T23705" s="41"/>
    </row>
    <row r="23706" spans="20:20" s="566" customFormat="1">
      <c r="T23706" s="41"/>
    </row>
    <row r="23707" spans="20:20" s="566" customFormat="1">
      <c r="T23707" s="41"/>
    </row>
    <row r="23708" spans="20:20" s="566" customFormat="1">
      <c r="T23708" s="41"/>
    </row>
    <row r="23709" spans="20:20" s="566" customFormat="1">
      <c r="T23709" s="41"/>
    </row>
    <row r="23710" spans="20:20" s="566" customFormat="1">
      <c r="T23710" s="41"/>
    </row>
    <row r="23711" spans="20:20" s="566" customFormat="1">
      <c r="T23711" s="41"/>
    </row>
    <row r="23712" spans="20:20" s="566" customFormat="1">
      <c r="T23712" s="41"/>
    </row>
    <row r="23713" spans="20:20" s="566" customFormat="1">
      <c r="T23713" s="41"/>
    </row>
    <row r="23714" spans="20:20" s="566" customFormat="1">
      <c r="T23714" s="41"/>
    </row>
    <row r="23715" spans="20:20" s="566" customFormat="1">
      <c r="T23715" s="41"/>
    </row>
    <row r="23716" spans="20:20" s="566" customFormat="1">
      <c r="T23716" s="41"/>
    </row>
    <row r="23717" spans="20:20" s="566" customFormat="1">
      <c r="T23717" s="41"/>
    </row>
    <row r="23718" spans="20:20" s="566" customFormat="1">
      <c r="T23718" s="41"/>
    </row>
    <row r="23719" spans="20:20" s="566" customFormat="1">
      <c r="T23719" s="41"/>
    </row>
    <row r="23720" spans="20:20" s="566" customFormat="1">
      <c r="T23720" s="41"/>
    </row>
    <row r="23721" spans="20:20" s="566" customFormat="1">
      <c r="T23721" s="41"/>
    </row>
    <row r="23722" spans="20:20" s="566" customFormat="1">
      <c r="T23722" s="41"/>
    </row>
    <row r="23723" spans="20:20" s="566" customFormat="1">
      <c r="T23723" s="41"/>
    </row>
    <row r="23724" spans="20:20" s="566" customFormat="1">
      <c r="T23724" s="41"/>
    </row>
    <row r="23725" spans="20:20" s="566" customFormat="1">
      <c r="T23725" s="41"/>
    </row>
    <row r="23726" spans="20:20" s="566" customFormat="1">
      <c r="T23726" s="41"/>
    </row>
    <row r="23727" spans="20:20" s="566" customFormat="1">
      <c r="T23727" s="41"/>
    </row>
    <row r="23728" spans="20:20" s="566" customFormat="1">
      <c r="T23728" s="41"/>
    </row>
    <row r="23729" spans="20:20" s="566" customFormat="1">
      <c r="T23729" s="41"/>
    </row>
    <row r="23730" spans="20:20" s="566" customFormat="1">
      <c r="T23730" s="41"/>
    </row>
    <row r="23731" spans="20:20" s="566" customFormat="1">
      <c r="T23731" s="41"/>
    </row>
    <row r="23732" spans="20:20" s="566" customFormat="1">
      <c r="T23732" s="41"/>
    </row>
    <row r="23733" spans="20:20" s="566" customFormat="1">
      <c r="T23733" s="41"/>
    </row>
    <row r="23734" spans="20:20" s="566" customFormat="1">
      <c r="T23734" s="41"/>
    </row>
    <row r="23735" spans="20:20" s="566" customFormat="1">
      <c r="T23735" s="41"/>
    </row>
    <row r="23736" spans="20:20" s="566" customFormat="1">
      <c r="T23736" s="41"/>
    </row>
    <row r="23737" spans="20:20" s="566" customFormat="1">
      <c r="T23737" s="41"/>
    </row>
    <row r="23738" spans="20:20" s="566" customFormat="1">
      <c r="T23738" s="41"/>
    </row>
    <row r="23739" spans="20:20" s="566" customFormat="1">
      <c r="T23739" s="41"/>
    </row>
    <row r="23740" spans="20:20" s="566" customFormat="1">
      <c r="T23740" s="41"/>
    </row>
    <row r="23741" spans="20:20" s="566" customFormat="1">
      <c r="T23741" s="41"/>
    </row>
    <row r="23742" spans="20:20" s="566" customFormat="1">
      <c r="T23742" s="41"/>
    </row>
    <row r="23743" spans="20:20" s="566" customFormat="1">
      <c r="T23743" s="41"/>
    </row>
    <row r="23744" spans="20:20" s="566" customFormat="1">
      <c r="T23744" s="41"/>
    </row>
    <row r="23745" spans="20:20" s="566" customFormat="1">
      <c r="T23745" s="41"/>
    </row>
    <row r="23746" spans="20:20" s="566" customFormat="1">
      <c r="T23746" s="41"/>
    </row>
    <row r="23747" spans="20:20" s="566" customFormat="1">
      <c r="T23747" s="41"/>
    </row>
    <row r="23748" spans="20:20" s="566" customFormat="1">
      <c r="T23748" s="41"/>
    </row>
    <row r="23749" spans="20:20" s="566" customFormat="1">
      <c r="T23749" s="41"/>
    </row>
    <row r="23750" spans="20:20" s="566" customFormat="1">
      <c r="T23750" s="41"/>
    </row>
    <row r="23751" spans="20:20" s="566" customFormat="1">
      <c r="T23751" s="41"/>
    </row>
    <row r="23752" spans="20:20" s="566" customFormat="1">
      <c r="T23752" s="41"/>
    </row>
    <row r="23753" spans="20:20" s="566" customFormat="1">
      <c r="T23753" s="41"/>
    </row>
    <row r="23754" spans="20:20" s="566" customFormat="1">
      <c r="T23754" s="41"/>
    </row>
    <row r="23755" spans="20:20" s="566" customFormat="1">
      <c r="T23755" s="41"/>
    </row>
    <row r="23756" spans="20:20" s="566" customFormat="1">
      <c r="T23756" s="41"/>
    </row>
    <row r="23757" spans="20:20" s="566" customFormat="1">
      <c r="T23757" s="41"/>
    </row>
    <row r="23758" spans="20:20" s="566" customFormat="1">
      <c r="T23758" s="41"/>
    </row>
    <row r="23759" spans="20:20" s="566" customFormat="1">
      <c r="T23759" s="41"/>
    </row>
    <row r="23760" spans="20:20" s="566" customFormat="1">
      <c r="T23760" s="41"/>
    </row>
    <row r="23761" spans="20:20" s="566" customFormat="1">
      <c r="T23761" s="41"/>
    </row>
    <row r="23762" spans="20:20" s="566" customFormat="1">
      <c r="T23762" s="41"/>
    </row>
    <row r="23763" spans="20:20" s="566" customFormat="1">
      <c r="T23763" s="41"/>
    </row>
    <row r="23764" spans="20:20" s="566" customFormat="1">
      <c r="T23764" s="41"/>
    </row>
    <row r="23765" spans="20:20" s="566" customFormat="1">
      <c r="T23765" s="41"/>
    </row>
    <row r="23766" spans="20:20" s="566" customFormat="1">
      <c r="T23766" s="41"/>
    </row>
    <row r="23767" spans="20:20" s="566" customFormat="1">
      <c r="T23767" s="41"/>
    </row>
    <row r="23768" spans="20:20" s="566" customFormat="1">
      <c r="T23768" s="41"/>
    </row>
    <row r="23769" spans="20:20" s="566" customFormat="1">
      <c r="T23769" s="41"/>
    </row>
    <row r="23770" spans="20:20" s="566" customFormat="1">
      <c r="T23770" s="41"/>
    </row>
    <row r="23771" spans="20:20" s="566" customFormat="1">
      <c r="T23771" s="41"/>
    </row>
    <row r="23772" spans="20:20" s="566" customFormat="1">
      <c r="T23772" s="41"/>
    </row>
    <row r="23773" spans="20:20" s="566" customFormat="1">
      <c r="T23773" s="41"/>
    </row>
    <row r="23774" spans="20:20" s="566" customFormat="1">
      <c r="T23774" s="41"/>
    </row>
    <row r="23775" spans="20:20" s="566" customFormat="1">
      <c r="T23775" s="41"/>
    </row>
    <row r="23776" spans="20:20" s="566" customFormat="1">
      <c r="T23776" s="41"/>
    </row>
    <row r="23777" spans="20:20" s="566" customFormat="1">
      <c r="T23777" s="41"/>
    </row>
    <row r="23778" spans="20:20" s="566" customFormat="1">
      <c r="T23778" s="41"/>
    </row>
    <row r="23779" spans="20:20" s="566" customFormat="1">
      <c r="T23779" s="41"/>
    </row>
    <row r="23780" spans="20:20" s="566" customFormat="1">
      <c r="T23780" s="41"/>
    </row>
    <row r="23781" spans="20:20" s="566" customFormat="1">
      <c r="T23781" s="41"/>
    </row>
    <row r="23782" spans="20:20" s="566" customFormat="1">
      <c r="T23782" s="41"/>
    </row>
    <row r="23783" spans="20:20" s="566" customFormat="1">
      <c r="T23783" s="41"/>
    </row>
    <row r="23784" spans="20:20" s="566" customFormat="1">
      <c r="T23784" s="41"/>
    </row>
    <row r="23785" spans="20:20" s="566" customFormat="1">
      <c r="T23785" s="41"/>
    </row>
    <row r="23786" spans="20:20" s="566" customFormat="1">
      <c r="T23786" s="41"/>
    </row>
    <row r="23787" spans="20:20" s="566" customFormat="1">
      <c r="T23787" s="41"/>
    </row>
    <row r="23788" spans="20:20" s="566" customFormat="1">
      <c r="T23788" s="41"/>
    </row>
    <row r="23789" spans="20:20" s="566" customFormat="1">
      <c r="T23789" s="41"/>
    </row>
    <row r="23790" spans="20:20" s="566" customFormat="1">
      <c r="T23790" s="41"/>
    </row>
    <row r="23791" spans="20:20" s="566" customFormat="1">
      <c r="T23791" s="41"/>
    </row>
    <row r="23792" spans="20:20" s="566" customFormat="1">
      <c r="T23792" s="41"/>
    </row>
    <row r="23793" spans="20:20" s="566" customFormat="1">
      <c r="T23793" s="41"/>
    </row>
    <row r="23794" spans="20:20" s="566" customFormat="1">
      <c r="T23794" s="41"/>
    </row>
    <row r="23795" spans="20:20" s="566" customFormat="1">
      <c r="T23795" s="41"/>
    </row>
    <row r="23796" spans="20:20" s="566" customFormat="1">
      <c r="T23796" s="41"/>
    </row>
    <row r="23797" spans="20:20" s="566" customFormat="1">
      <c r="T23797" s="41"/>
    </row>
    <row r="23798" spans="20:20" s="566" customFormat="1">
      <c r="T23798" s="41"/>
    </row>
    <row r="23799" spans="20:20" s="566" customFormat="1">
      <c r="T23799" s="41"/>
    </row>
    <row r="23800" spans="20:20" s="566" customFormat="1">
      <c r="T23800" s="41"/>
    </row>
    <row r="23801" spans="20:20" s="566" customFormat="1">
      <c r="T23801" s="41"/>
    </row>
    <row r="23802" spans="20:20" s="566" customFormat="1">
      <c r="T23802" s="41"/>
    </row>
    <row r="23803" spans="20:20" s="566" customFormat="1">
      <c r="T23803" s="41"/>
    </row>
    <row r="23804" spans="20:20" s="566" customFormat="1">
      <c r="T23804" s="41"/>
    </row>
    <row r="23805" spans="20:20" s="566" customFormat="1">
      <c r="T23805" s="41"/>
    </row>
    <row r="23806" spans="20:20" s="566" customFormat="1">
      <c r="T23806" s="41"/>
    </row>
    <row r="23807" spans="20:20" s="566" customFormat="1">
      <c r="T23807" s="41"/>
    </row>
    <row r="23808" spans="20:20" s="566" customFormat="1">
      <c r="T23808" s="41"/>
    </row>
    <row r="23809" spans="20:20" s="566" customFormat="1">
      <c r="T23809" s="41"/>
    </row>
    <row r="23810" spans="20:20" s="566" customFormat="1">
      <c r="T23810" s="41"/>
    </row>
    <row r="23811" spans="20:20" s="566" customFormat="1">
      <c r="T23811" s="41"/>
    </row>
    <row r="23812" spans="20:20" s="566" customFormat="1">
      <c r="T23812" s="41"/>
    </row>
    <row r="23813" spans="20:20" s="566" customFormat="1">
      <c r="T23813" s="41"/>
    </row>
    <row r="23814" spans="20:20" s="566" customFormat="1">
      <c r="T23814" s="41"/>
    </row>
    <row r="23815" spans="20:20" s="566" customFormat="1">
      <c r="T23815" s="41"/>
    </row>
    <row r="23816" spans="20:20" s="566" customFormat="1">
      <c r="T23816" s="41"/>
    </row>
    <row r="23817" spans="20:20" s="566" customFormat="1">
      <c r="T23817" s="41"/>
    </row>
    <row r="23818" spans="20:20" s="566" customFormat="1">
      <c r="T23818" s="41"/>
    </row>
    <row r="23819" spans="20:20" s="566" customFormat="1">
      <c r="T23819" s="41"/>
    </row>
    <row r="23820" spans="20:20" s="566" customFormat="1">
      <c r="T23820" s="41"/>
    </row>
    <row r="23821" spans="20:20" s="566" customFormat="1">
      <c r="T23821" s="41"/>
    </row>
    <row r="23822" spans="20:20" s="566" customFormat="1">
      <c r="T23822" s="41"/>
    </row>
    <row r="23823" spans="20:20" s="566" customFormat="1">
      <c r="T23823" s="41"/>
    </row>
    <row r="23824" spans="20:20" s="566" customFormat="1">
      <c r="T23824" s="41"/>
    </row>
    <row r="23825" spans="20:20" s="566" customFormat="1">
      <c r="T23825" s="41"/>
    </row>
    <row r="23826" spans="20:20" s="566" customFormat="1">
      <c r="T23826" s="41"/>
    </row>
    <row r="23827" spans="20:20" s="566" customFormat="1">
      <c r="T23827" s="41"/>
    </row>
    <row r="23828" spans="20:20" s="566" customFormat="1">
      <c r="T23828" s="41"/>
    </row>
    <row r="23829" spans="20:20" s="566" customFormat="1">
      <c r="T23829" s="41"/>
    </row>
    <row r="23830" spans="20:20" s="566" customFormat="1">
      <c r="T23830" s="41"/>
    </row>
    <row r="23831" spans="20:20" s="566" customFormat="1">
      <c r="T23831" s="41"/>
    </row>
    <row r="23832" spans="20:20" s="566" customFormat="1">
      <c r="T23832" s="41"/>
    </row>
    <row r="23833" spans="20:20" s="566" customFormat="1">
      <c r="T23833" s="41"/>
    </row>
    <row r="23834" spans="20:20" s="566" customFormat="1">
      <c r="T23834" s="41"/>
    </row>
    <row r="23835" spans="20:20" s="566" customFormat="1">
      <c r="T23835" s="41"/>
    </row>
    <row r="23836" spans="20:20" s="566" customFormat="1">
      <c r="T23836" s="41"/>
    </row>
    <row r="23837" spans="20:20" s="566" customFormat="1">
      <c r="T23837" s="41"/>
    </row>
    <row r="23838" spans="20:20" s="566" customFormat="1">
      <c r="T23838" s="41"/>
    </row>
    <row r="23839" spans="20:20" s="566" customFormat="1">
      <c r="T23839" s="41"/>
    </row>
    <row r="23840" spans="20:20" s="566" customFormat="1">
      <c r="T23840" s="41"/>
    </row>
    <row r="23841" spans="20:20" s="566" customFormat="1">
      <c r="T23841" s="41"/>
    </row>
    <row r="23842" spans="20:20" s="566" customFormat="1">
      <c r="T23842" s="41"/>
    </row>
    <row r="23843" spans="20:20" s="566" customFormat="1">
      <c r="T23843" s="41"/>
    </row>
    <row r="23844" spans="20:20" s="566" customFormat="1">
      <c r="T23844" s="41"/>
    </row>
    <row r="23845" spans="20:20" s="566" customFormat="1">
      <c r="T23845" s="41"/>
    </row>
    <row r="23846" spans="20:20" s="566" customFormat="1">
      <c r="T23846" s="41"/>
    </row>
    <row r="23847" spans="20:20" s="566" customFormat="1">
      <c r="T23847" s="41"/>
    </row>
    <row r="23848" spans="20:20" s="566" customFormat="1">
      <c r="T23848" s="41"/>
    </row>
    <row r="23849" spans="20:20" s="566" customFormat="1">
      <c r="T23849" s="41"/>
    </row>
    <row r="23850" spans="20:20" s="566" customFormat="1">
      <c r="T23850" s="41"/>
    </row>
    <row r="23851" spans="20:20" s="566" customFormat="1">
      <c r="T23851" s="41"/>
    </row>
    <row r="23852" spans="20:20" s="566" customFormat="1">
      <c r="T23852" s="41"/>
    </row>
    <row r="23853" spans="20:20" s="566" customFormat="1">
      <c r="T23853" s="41"/>
    </row>
    <row r="23854" spans="20:20" s="566" customFormat="1">
      <c r="T23854" s="41"/>
    </row>
    <row r="23855" spans="20:20" s="566" customFormat="1">
      <c r="T23855" s="41"/>
    </row>
    <row r="23856" spans="20:20" s="566" customFormat="1">
      <c r="T23856" s="41"/>
    </row>
    <row r="23857" spans="20:20" s="566" customFormat="1">
      <c r="T23857" s="41"/>
    </row>
    <row r="23858" spans="20:20" s="566" customFormat="1">
      <c r="T23858" s="41"/>
    </row>
    <row r="23859" spans="20:20" s="566" customFormat="1">
      <c r="T23859" s="41"/>
    </row>
    <row r="23860" spans="20:20" s="566" customFormat="1">
      <c r="T23860" s="41"/>
    </row>
    <row r="23861" spans="20:20" s="566" customFormat="1">
      <c r="T23861" s="41"/>
    </row>
    <row r="23862" spans="20:20" s="566" customFormat="1">
      <c r="T23862" s="41"/>
    </row>
    <row r="23863" spans="20:20" s="566" customFormat="1">
      <c r="T23863" s="41"/>
    </row>
    <row r="23864" spans="20:20" s="566" customFormat="1">
      <c r="T23864" s="41"/>
    </row>
    <row r="23865" spans="20:20" s="566" customFormat="1">
      <c r="T23865" s="41"/>
    </row>
    <row r="23866" spans="20:20" s="566" customFormat="1">
      <c r="T23866" s="41"/>
    </row>
    <row r="23867" spans="20:20" s="566" customFormat="1">
      <c r="T23867" s="41"/>
    </row>
    <row r="23868" spans="20:20" s="566" customFormat="1">
      <c r="T23868" s="41"/>
    </row>
    <row r="23869" spans="20:20" s="566" customFormat="1">
      <c r="T23869" s="41"/>
    </row>
    <row r="23870" spans="20:20" s="566" customFormat="1">
      <c r="T23870" s="41"/>
    </row>
    <row r="23871" spans="20:20" s="566" customFormat="1">
      <c r="T23871" s="41"/>
    </row>
    <row r="23872" spans="20:20" s="566" customFormat="1">
      <c r="T23872" s="41"/>
    </row>
    <row r="23873" spans="20:20" s="566" customFormat="1">
      <c r="T23873" s="41"/>
    </row>
    <row r="23874" spans="20:20" s="566" customFormat="1">
      <c r="T23874" s="41"/>
    </row>
    <row r="23875" spans="20:20" s="566" customFormat="1">
      <c r="T23875" s="41"/>
    </row>
    <row r="23876" spans="20:20" s="566" customFormat="1">
      <c r="T23876" s="41"/>
    </row>
    <row r="23877" spans="20:20" s="566" customFormat="1">
      <c r="T23877" s="41"/>
    </row>
    <row r="23878" spans="20:20" s="566" customFormat="1">
      <c r="T23878" s="41"/>
    </row>
    <row r="23879" spans="20:20" s="566" customFormat="1">
      <c r="T23879" s="41"/>
    </row>
    <row r="23880" spans="20:20" s="566" customFormat="1">
      <c r="T23880" s="41"/>
    </row>
    <row r="23881" spans="20:20" s="566" customFormat="1">
      <c r="T23881" s="41"/>
    </row>
    <row r="23882" spans="20:20" s="566" customFormat="1">
      <c r="T23882" s="41"/>
    </row>
    <row r="23883" spans="20:20" s="566" customFormat="1">
      <c r="T23883" s="41"/>
    </row>
    <row r="23884" spans="20:20" s="566" customFormat="1">
      <c r="T23884" s="41"/>
    </row>
    <row r="23885" spans="20:20" s="566" customFormat="1">
      <c r="T23885" s="41"/>
    </row>
    <row r="23886" spans="20:20" s="566" customFormat="1">
      <c r="T23886" s="41"/>
    </row>
    <row r="23887" spans="20:20" s="566" customFormat="1">
      <c r="T23887" s="41"/>
    </row>
    <row r="23888" spans="20:20" s="566" customFormat="1">
      <c r="T23888" s="41"/>
    </row>
    <row r="23889" spans="20:20" s="566" customFormat="1">
      <c r="T23889" s="41"/>
    </row>
    <row r="23890" spans="20:20" s="566" customFormat="1">
      <c r="T23890" s="41"/>
    </row>
    <row r="23891" spans="20:20" s="566" customFormat="1">
      <c r="T23891" s="41"/>
    </row>
    <row r="23892" spans="20:20" s="566" customFormat="1">
      <c r="T23892" s="41"/>
    </row>
    <row r="23893" spans="20:20" s="566" customFormat="1">
      <c r="T23893" s="41"/>
    </row>
    <row r="23894" spans="20:20" s="566" customFormat="1">
      <c r="T23894" s="41"/>
    </row>
    <row r="23895" spans="20:20" s="566" customFormat="1">
      <c r="T23895" s="41"/>
    </row>
    <row r="23896" spans="20:20" s="566" customFormat="1">
      <c r="T23896" s="41"/>
    </row>
    <row r="23897" spans="20:20" s="566" customFormat="1">
      <c r="T23897" s="41"/>
    </row>
    <row r="23898" spans="20:20" s="566" customFormat="1">
      <c r="T23898" s="41"/>
    </row>
    <row r="23899" spans="20:20" s="566" customFormat="1">
      <c r="T23899" s="41"/>
    </row>
    <row r="23900" spans="20:20" s="566" customFormat="1">
      <c r="T23900" s="41"/>
    </row>
    <row r="23901" spans="20:20" s="566" customFormat="1">
      <c r="T23901" s="41"/>
    </row>
    <row r="23902" spans="20:20" s="566" customFormat="1">
      <c r="T23902" s="41"/>
    </row>
    <row r="23903" spans="20:20" s="566" customFormat="1">
      <c r="T23903" s="41"/>
    </row>
    <row r="23904" spans="20:20" s="566" customFormat="1">
      <c r="T23904" s="41"/>
    </row>
    <row r="23905" spans="20:20" s="566" customFormat="1">
      <c r="T23905" s="41"/>
    </row>
    <row r="23906" spans="20:20" s="566" customFormat="1">
      <c r="T23906" s="41"/>
    </row>
    <row r="23907" spans="20:20" s="566" customFormat="1">
      <c r="T23907" s="41"/>
    </row>
    <row r="23908" spans="20:20" s="566" customFormat="1">
      <c r="T23908" s="41"/>
    </row>
    <row r="23909" spans="20:20" s="566" customFormat="1">
      <c r="T23909" s="41"/>
    </row>
    <row r="23910" spans="20:20" s="566" customFormat="1">
      <c r="T23910" s="41"/>
    </row>
    <row r="23911" spans="20:20" s="566" customFormat="1">
      <c r="T23911" s="41"/>
    </row>
    <row r="23912" spans="20:20" s="566" customFormat="1">
      <c r="T23912" s="41"/>
    </row>
    <row r="23913" spans="20:20" s="566" customFormat="1">
      <c r="T23913" s="41"/>
    </row>
    <row r="23914" spans="20:20" s="566" customFormat="1">
      <c r="T23914" s="41"/>
    </row>
    <row r="23915" spans="20:20" s="566" customFormat="1">
      <c r="T23915" s="41"/>
    </row>
    <row r="23916" spans="20:20" s="566" customFormat="1">
      <c r="T23916" s="41"/>
    </row>
    <row r="23917" spans="20:20" s="566" customFormat="1">
      <c r="T23917" s="41"/>
    </row>
    <row r="23918" spans="20:20" s="566" customFormat="1">
      <c r="T23918" s="41"/>
    </row>
    <row r="23919" spans="20:20" s="566" customFormat="1">
      <c r="T23919" s="41"/>
    </row>
    <row r="23920" spans="20:20" s="566" customFormat="1">
      <c r="T23920" s="41"/>
    </row>
    <row r="23921" spans="20:20" s="566" customFormat="1">
      <c r="T23921" s="41"/>
    </row>
    <row r="23922" spans="20:20" s="566" customFormat="1">
      <c r="T23922" s="41"/>
    </row>
    <row r="23923" spans="20:20" s="566" customFormat="1">
      <c r="T23923" s="41"/>
    </row>
    <row r="23924" spans="20:20" s="566" customFormat="1">
      <c r="T23924" s="41"/>
    </row>
    <row r="23925" spans="20:20" s="566" customFormat="1">
      <c r="T23925" s="41"/>
    </row>
    <row r="23926" spans="20:20" s="566" customFormat="1">
      <c r="T23926" s="41"/>
    </row>
    <row r="23927" spans="20:20" s="566" customFormat="1">
      <c r="T23927" s="41"/>
    </row>
    <row r="23928" spans="20:20" s="566" customFormat="1">
      <c r="T23928" s="41"/>
    </row>
    <row r="23929" spans="20:20" s="566" customFormat="1">
      <c r="T23929" s="41"/>
    </row>
    <row r="23930" spans="20:20" s="566" customFormat="1">
      <c r="T23930" s="41"/>
    </row>
    <row r="23931" spans="20:20" s="566" customFormat="1">
      <c r="T23931" s="41"/>
    </row>
    <row r="23932" spans="20:20" s="566" customFormat="1">
      <c r="T23932" s="41"/>
    </row>
    <row r="23933" spans="20:20" s="566" customFormat="1">
      <c r="T23933" s="41"/>
    </row>
    <row r="23934" spans="20:20" s="566" customFormat="1">
      <c r="T23934" s="41"/>
    </row>
    <row r="23935" spans="20:20" s="566" customFormat="1">
      <c r="T23935" s="41"/>
    </row>
    <row r="23936" spans="20:20" s="566" customFormat="1">
      <c r="T23936" s="41"/>
    </row>
    <row r="23937" spans="20:20" s="566" customFormat="1">
      <c r="T23937" s="41"/>
    </row>
    <row r="23938" spans="20:20" s="566" customFormat="1">
      <c r="T23938" s="41"/>
    </row>
    <row r="23939" spans="20:20" s="566" customFormat="1">
      <c r="T23939" s="41"/>
    </row>
    <row r="23940" spans="20:20" s="566" customFormat="1">
      <c r="T23940" s="41"/>
    </row>
    <row r="23941" spans="20:20" s="566" customFormat="1">
      <c r="T23941" s="41"/>
    </row>
    <row r="23942" spans="20:20" s="566" customFormat="1">
      <c r="T23942" s="41"/>
    </row>
    <row r="23943" spans="20:20" s="566" customFormat="1">
      <c r="T23943" s="41"/>
    </row>
    <row r="23944" spans="20:20" s="566" customFormat="1">
      <c r="T23944" s="41"/>
    </row>
    <row r="23945" spans="20:20" s="566" customFormat="1">
      <c r="T23945" s="41"/>
    </row>
    <row r="23946" spans="20:20" s="566" customFormat="1">
      <c r="T23946" s="41"/>
    </row>
    <row r="23947" spans="20:20" s="566" customFormat="1">
      <c r="T23947" s="41"/>
    </row>
    <row r="23948" spans="20:20" s="566" customFormat="1">
      <c r="T23948" s="41"/>
    </row>
    <row r="23949" spans="20:20" s="566" customFormat="1">
      <c r="T23949" s="41"/>
    </row>
    <row r="23950" spans="20:20" s="566" customFormat="1">
      <c r="T23950" s="41"/>
    </row>
    <row r="23951" spans="20:20" s="566" customFormat="1">
      <c r="T23951" s="41"/>
    </row>
    <row r="23952" spans="20:20" s="566" customFormat="1">
      <c r="T23952" s="41"/>
    </row>
    <row r="23953" spans="20:20" s="566" customFormat="1">
      <c r="T23953" s="41"/>
    </row>
    <row r="23954" spans="20:20" s="566" customFormat="1">
      <c r="T23954" s="41"/>
    </row>
    <row r="23955" spans="20:20" s="566" customFormat="1">
      <c r="T23955" s="41"/>
    </row>
    <row r="23956" spans="20:20" s="566" customFormat="1">
      <c r="T23956" s="41"/>
    </row>
    <row r="23957" spans="20:20" s="566" customFormat="1">
      <c r="T23957" s="41"/>
    </row>
    <row r="23958" spans="20:20" s="566" customFormat="1">
      <c r="T23958" s="41"/>
    </row>
    <row r="23959" spans="20:20" s="566" customFormat="1">
      <c r="T23959" s="41"/>
    </row>
    <row r="23960" spans="20:20" s="566" customFormat="1">
      <c r="T23960" s="41"/>
    </row>
    <row r="23961" spans="20:20" s="566" customFormat="1">
      <c r="T23961" s="41"/>
    </row>
    <row r="23962" spans="20:20" s="566" customFormat="1">
      <c r="T23962" s="41"/>
    </row>
    <row r="23963" spans="20:20" s="566" customFormat="1">
      <c r="T23963" s="41"/>
    </row>
    <row r="23964" spans="20:20" s="566" customFormat="1">
      <c r="T23964" s="41"/>
    </row>
    <row r="23965" spans="20:20" s="566" customFormat="1">
      <c r="T23965" s="41"/>
    </row>
    <row r="23966" spans="20:20" s="566" customFormat="1">
      <c r="T23966" s="41"/>
    </row>
    <row r="23967" spans="20:20" s="566" customFormat="1">
      <c r="T23967" s="41"/>
    </row>
    <row r="23968" spans="20:20" s="566" customFormat="1">
      <c r="T23968" s="41"/>
    </row>
    <row r="23969" spans="20:20" s="566" customFormat="1">
      <c r="T23969" s="41"/>
    </row>
    <row r="23970" spans="20:20" s="566" customFormat="1">
      <c r="T23970" s="41"/>
    </row>
    <row r="23971" spans="20:20" s="566" customFormat="1">
      <c r="T23971" s="41"/>
    </row>
    <row r="23972" spans="20:20" s="566" customFormat="1">
      <c r="T23972" s="41"/>
    </row>
    <row r="23973" spans="20:20" s="566" customFormat="1">
      <c r="T23973" s="41"/>
    </row>
    <row r="23974" spans="20:20" s="566" customFormat="1">
      <c r="T23974" s="41"/>
    </row>
    <row r="23975" spans="20:20" s="566" customFormat="1">
      <c r="T23975" s="41"/>
    </row>
    <row r="23976" spans="20:20" s="566" customFormat="1">
      <c r="T23976" s="41"/>
    </row>
    <row r="23977" spans="20:20" s="566" customFormat="1">
      <c r="T23977" s="41"/>
    </row>
    <row r="23978" spans="20:20" s="566" customFormat="1">
      <c r="T23978" s="41"/>
    </row>
    <row r="23979" spans="20:20" s="566" customFormat="1">
      <c r="T23979" s="41"/>
    </row>
    <row r="23980" spans="20:20" s="566" customFormat="1">
      <c r="T23980" s="41"/>
    </row>
    <row r="23981" spans="20:20" s="566" customFormat="1">
      <c r="T23981" s="41"/>
    </row>
    <row r="23982" spans="20:20" s="566" customFormat="1">
      <c r="T23982" s="41"/>
    </row>
    <row r="23983" spans="20:20" s="566" customFormat="1">
      <c r="T23983" s="41"/>
    </row>
    <row r="23984" spans="20:20" s="566" customFormat="1">
      <c r="T23984" s="41"/>
    </row>
    <row r="23985" spans="20:20" s="566" customFormat="1">
      <c r="T23985" s="41"/>
    </row>
    <row r="23986" spans="20:20" s="566" customFormat="1">
      <c r="T23986" s="41"/>
    </row>
    <row r="23987" spans="20:20" s="566" customFormat="1">
      <c r="T23987" s="41"/>
    </row>
    <row r="23988" spans="20:20" s="566" customFormat="1">
      <c r="T23988" s="41"/>
    </row>
    <row r="23989" spans="20:20" s="566" customFormat="1">
      <c r="T23989" s="41"/>
    </row>
    <row r="23990" spans="20:20" s="566" customFormat="1">
      <c r="T23990" s="41"/>
    </row>
    <row r="23991" spans="20:20" s="566" customFormat="1">
      <c r="T23991" s="41"/>
    </row>
    <row r="23992" spans="20:20" s="566" customFormat="1">
      <c r="T23992" s="41"/>
    </row>
    <row r="23993" spans="20:20" s="566" customFormat="1">
      <c r="T23993" s="41"/>
    </row>
    <row r="23994" spans="20:20" s="566" customFormat="1">
      <c r="T23994" s="41"/>
    </row>
    <row r="23995" spans="20:20" s="566" customFormat="1">
      <c r="T23995" s="41"/>
    </row>
    <row r="23996" spans="20:20" s="566" customFormat="1">
      <c r="T23996" s="41"/>
    </row>
    <row r="23997" spans="20:20" s="566" customFormat="1">
      <c r="T23997" s="41"/>
    </row>
    <row r="23998" spans="20:20" s="566" customFormat="1">
      <c r="T23998" s="41"/>
    </row>
    <row r="23999" spans="20:20" s="566" customFormat="1">
      <c r="T23999" s="41"/>
    </row>
    <row r="24000" spans="20:20" s="566" customFormat="1">
      <c r="T24000" s="41"/>
    </row>
    <row r="24001" spans="20:20" s="566" customFormat="1">
      <c r="T24001" s="41"/>
    </row>
    <row r="24002" spans="20:20" s="566" customFormat="1">
      <c r="T24002" s="41"/>
    </row>
    <row r="24003" spans="20:20" s="566" customFormat="1">
      <c r="T24003" s="41"/>
    </row>
    <row r="24004" spans="20:20" s="566" customFormat="1">
      <c r="T24004" s="41"/>
    </row>
    <row r="24005" spans="20:20" s="566" customFormat="1">
      <c r="T24005" s="41"/>
    </row>
    <row r="24006" spans="20:20" s="566" customFormat="1">
      <c r="T24006" s="41"/>
    </row>
    <row r="24007" spans="20:20" s="566" customFormat="1">
      <c r="T24007" s="41"/>
    </row>
    <row r="24008" spans="20:20" s="566" customFormat="1">
      <c r="T24008" s="41"/>
    </row>
    <row r="24009" spans="20:20" s="566" customFormat="1">
      <c r="T24009" s="41"/>
    </row>
    <row r="24010" spans="20:20" s="566" customFormat="1">
      <c r="T24010" s="41"/>
    </row>
    <row r="24011" spans="20:20" s="566" customFormat="1">
      <c r="T24011" s="41"/>
    </row>
    <row r="24012" spans="20:20" s="566" customFormat="1">
      <c r="T24012" s="41"/>
    </row>
    <row r="24013" spans="20:20" s="566" customFormat="1">
      <c r="T24013" s="41"/>
    </row>
    <row r="24014" spans="20:20" s="566" customFormat="1">
      <c r="T24014" s="41"/>
    </row>
    <row r="24015" spans="20:20" s="566" customFormat="1">
      <c r="T24015" s="41"/>
    </row>
    <row r="24016" spans="20:20" s="566" customFormat="1">
      <c r="T24016" s="41"/>
    </row>
    <row r="24017" spans="20:20" s="566" customFormat="1">
      <c r="T24017" s="41"/>
    </row>
    <row r="24018" spans="20:20" s="566" customFormat="1">
      <c r="T24018" s="41"/>
    </row>
    <row r="24019" spans="20:20" s="566" customFormat="1">
      <c r="T24019" s="41"/>
    </row>
    <row r="24020" spans="20:20" s="566" customFormat="1">
      <c r="T24020" s="41"/>
    </row>
    <row r="24021" spans="20:20" s="566" customFormat="1">
      <c r="T24021" s="41"/>
    </row>
    <row r="24022" spans="20:20" s="566" customFormat="1">
      <c r="T24022" s="41"/>
    </row>
    <row r="24023" spans="20:20" s="566" customFormat="1">
      <c r="T24023" s="41"/>
    </row>
    <row r="24024" spans="20:20" s="566" customFormat="1">
      <c r="T24024" s="41"/>
    </row>
    <row r="24025" spans="20:20" s="566" customFormat="1">
      <c r="T24025" s="41"/>
    </row>
    <row r="24026" spans="20:20" s="566" customFormat="1">
      <c r="T24026" s="41"/>
    </row>
    <row r="24027" spans="20:20" s="566" customFormat="1">
      <c r="T24027" s="41"/>
    </row>
    <row r="24028" spans="20:20" s="566" customFormat="1">
      <c r="T24028" s="41"/>
    </row>
    <row r="24029" spans="20:20" s="566" customFormat="1">
      <c r="T24029" s="41"/>
    </row>
    <row r="24030" spans="20:20" s="566" customFormat="1">
      <c r="T24030" s="41"/>
    </row>
    <row r="24031" spans="20:20" s="566" customFormat="1">
      <c r="T24031" s="41"/>
    </row>
    <row r="24032" spans="20:20" s="566" customFormat="1">
      <c r="T24032" s="41"/>
    </row>
    <row r="24033" spans="20:20" s="566" customFormat="1">
      <c r="T24033" s="41"/>
    </row>
    <row r="24034" spans="20:20" s="566" customFormat="1">
      <c r="T24034" s="41"/>
    </row>
    <row r="24035" spans="20:20" s="566" customFormat="1">
      <c r="T24035" s="41"/>
    </row>
    <row r="24036" spans="20:20" s="566" customFormat="1">
      <c r="T24036" s="41"/>
    </row>
    <row r="24037" spans="20:20" s="566" customFormat="1">
      <c r="T24037" s="41"/>
    </row>
    <row r="24038" spans="20:20" s="566" customFormat="1">
      <c r="T24038" s="41"/>
    </row>
    <row r="24039" spans="20:20" s="566" customFormat="1">
      <c r="T24039" s="41"/>
    </row>
    <row r="24040" spans="20:20" s="566" customFormat="1">
      <c r="T24040" s="41"/>
    </row>
    <row r="24041" spans="20:20" s="566" customFormat="1">
      <c r="T24041" s="41"/>
    </row>
    <row r="24042" spans="20:20" s="566" customFormat="1">
      <c r="T24042" s="41"/>
    </row>
    <row r="24043" spans="20:20" s="566" customFormat="1">
      <c r="T24043" s="41"/>
    </row>
    <row r="24044" spans="20:20" s="566" customFormat="1">
      <c r="T24044" s="41"/>
    </row>
    <row r="24045" spans="20:20" s="566" customFormat="1">
      <c r="T24045" s="41"/>
    </row>
    <row r="24046" spans="20:20" s="566" customFormat="1">
      <c r="T24046" s="41"/>
    </row>
    <row r="24047" spans="20:20" s="566" customFormat="1">
      <c r="T24047" s="41"/>
    </row>
    <row r="24048" spans="20:20" s="566" customFormat="1">
      <c r="T24048" s="41"/>
    </row>
    <row r="24049" spans="20:20" s="566" customFormat="1">
      <c r="T24049" s="41"/>
    </row>
    <row r="24050" spans="20:20" s="566" customFormat="1">
      <c r="T24050" s="41"/>
    </row>
    <row r="24051" spans="20:20" s="566" customFormat="1">
      <c r="T24051" s="41"/>
    </row>
    <row r="24052" spans="20:20" s="566" customFormat="1">
      <c r="T24052" s="41"/>
    </row>
    <row r="24053" spans="20:20" s="566" customFormat="1">
      <c r="T24053" s="41"/>
    </row>
    <row r="24054" spans="20:20" s="566" customFormat="1">
      <c r="T24054" s="41"/>
    </row>
    <row r="24055" spans="20:20" s="566" customFormat="1">
      <c r="T24055" s="41"/>
    </row>
    <row r="24056" spans="20:20" s="566" customFormat="1">
      <c r="T24056" s="41"/>
    </row>
    <row r="24057" spans="20:20" s="566" customFormat="1">
      <c r="T24057" s="41"/>
    </row>
    <row r="24058" spans="20:20" s="566" customFormat="1">
      <c r="T24058" s="41"/>
    </row>
    <row r="24059" spans="20:20" s="566" customFormat="1">
      <c r="T24059" s="41"/>
    </row>
    <row r="24060" spans="20:20" s="566" customFormat="1">
      <c r="T24060" s="41"/>
    </row>
    <row r="24061" spans="20:20" s="566" customFormat="1">
      <c r="T24061" s="41"/>
    </row>
    <row r="24062" spans="20:20" s="566" customFormat="1">
      <c r="T24062" s="41"/>
    </row>
    <row r="24063" spans="20:20" s="566" customFormat="1">
      <c r="T24063" s="41"/>
    </row>
    <row r="24064" spans="20:20" s="566" customFormat="1">
      <c r="T24064" s="41"/>
    </row>
    <row r="24065" spans="20:20" s="566" customFormat="1">
      <c r="T24065" s="41"/>
    </row>
    <row r="24066" spans="20:20" s="566" customFormat="1">
      <c r="T24066" s="41"/>
    </row>
    <row r="24067" spans="20:20" s="566" customFormat="1">
      <c r="T24067" s="41"/>
    </row>
    <row r="24068" spans="20:20" s="566" customFormat="1">
      <c r="T24068" s="41"/>
    </row>
    <row r="24069" spans="20:20" s="566" customFormat="1">
      <c r="T24069" s="41"/>
    </row>
    <row r="24070" spans="20:20" s="566" customFormat="1">
      <c r="T24070" s="41"/>
    </row>
    <row r="24071" spans="20:20" s="566" customFormat="1">
      <c r="T24071" s="41"/>
    </row>
    <row r="24072" spans="20:20" s="566" customFormat="1">
      <c r="T24072" s="41"/>
    </row>
    <row r="24073" spans="20:20" s="566" customFormat="1">
      <c r="T24073" s="41"/>
    </row>
    <row r="24074" spans="20:20" s="566" customFormat="1">
      <c r="T24074" s="41"/>
    </row>
    <row r="24075" spans="20:20" s="566" customFormat="1">
      <c r="T24075" s="41"/>
    </row>
    <row r="24076" spans="20:20" s="566" customFormat="1">
      <c r="T24076" s="41"/>
    </row>
    <row r="24077" spans="20:20" s="566" customFormat="1">
      <c r="T24077" s="41"/>
    </row>
    <row r="24078" spans="20:20" s="566" customFormat="1">
      <c r="T24078" s="41"/>
    </row>
    <row r="24079" spans="20:20" s="566" customFormat="1">
      <c r="T24079" s="41"/>
    </row>
    <row r="24080" spans="20:20" s="566" customFormat="1">
      <c r="T24080" s="41"/>
    </row>
    <row r="24081" spans="20:20" s="566" customFormat="1">
      <c r="T24081" s="41"/>
    </row>
    <row r="24082" spans="20:20" s="566" customFormat="1">
      <c r="T24082" s="41"/>
    </row>
    <row r="24083" spans="20:20" s="566" customFormat="1">
      <c r="T24083" s="41"/>
    </row>
    <row r="24084" spans="20:20" s="566" customFormat="1">
      <c r="T24084" s="41"/>
    </row>
    <row r="24085" spans="20:20" s="566" customFormat="1">
      <c r="T24085" s="41"/>
    </row>
    <row r="24086" spans="20:20" s="566" customFormat="1">
      <c r="T24086" s="41"/>
    </row>
    <row r="24087" spans="20:20" s="566" customFormat="1">
      <c r="T24087" s="41"/>
    </row>
    <row r="24088" spans="20:20" s="566" customFormat="1">
      <c r="T24088" s="41"/>
    </row>
    <row r="24089" spans="20:20" s="566" customFormat="1">
      <c r="T24089" s="41"/>
    </row>
    <row r="24090" spans="20:20" s="566" customFormat="1">
      <c r="T24090" s="41"/>
    </row>
    <row r="24091" spans="20:20" s="566" customFormat="1">
      <c r="T24091" s="41"/>
    </row>
    <row r="24092" spans="20:20" s="566" customFormat="1">
      <c r="T24092" s="41"/>
    </row>
    <row r="24093" spans="20:20" s="566" customFormat="1">
      <c r="T24093" s="41"/>
    </row>
    <row r="24094" spans="20:20" s="566" customFormat="1">
      <c r="T24094" s="41"/>
    </row>
    <row r="24095" spans="20:20" s="566" customFormat="1">
      <c r="T24095" s="41"/>
    </row>
    <row r="24096" spans="20:20" s="566" customFormat="1">
      <c r="T24096" s="41"/>
    </row>
    <row r="24097" spans="20:20" s="566" customFormat="1">
      <c r="T24097" s="41"/>
    </row>
    <row r="24098" spans="20:20" s="566" customFormat="1">
      <c r="T24098" s="41"/>
    </row>
    <row r="24099" spans="20:20" s="566" customFormat="1">
      <c r="T24099" s="41"/>
    </row>
    <row r="24100" spans="20:20" s="566" customFormat="1">
      <c r="T24100" s="41"/>
    </row>
    <row r="24101" spans="20:20" s="566" customFormat="1">
      <c r="T24101" s="41"/>
    </row>
    <row r="24102" spans="20:20" s="566" customFormat="1">
      <c r="T24102" s="41"/>
    </row>
    <row r="24103" spans="20:20" s="566" customFormat="1">
      <c r="T24103" s="41"/>
    </row>
    <row r="24104" spans="20:20" s="566" customFormat="1">
      <c r="T24104" s="41"/>
    </row>
    <row r="24105" spans="20:20" s="566" customFormat="1">
      <c r="T24105" s="41"/>
    </row>
    <row r="24106" spans="20:20" s="566" customFormat="1">
      <c r="T24106" s="41"/>
    </row>
    <row r="24107" spans="20:20" s="566" customFormat="1">
      <c r="T24107" s="41"/>
    </row>
    <row r="24108" spans="20:20" s="566" customFormat="1">
      <c r="T24108" s="41"/>
    </row>
    <row r="24109" spans="20:20" s="566" customFormat="1">
      <c r="T24109" s="41"/>
    </row>
    <row r="24110" spans="20:20" s="566" customFormat="1">
      <c r="T24110" s="41"/>
    </row>
    <row r="24111" spans="20:20" s="566" customFormat="1">
      <c r="T24111" s="41"/>
    </row>
    <row r="24112" spans="20:20" s="566" customFormat="1">
      <c r="T24112" s="41"/>
    </row>
    <row r="24113" spans="20:20" s="566" customFormat="1">
      <c r="T24113" s="41"/>
    </row>
    <row r="24114" spans="20:20" s="566" customFormat="1">
      <c r="T24114" s="41"/>
    </row>
    <row r="24115" spans="20:20" s="566" customFormat="1">
      <c r="T24115" s="41"/>
    </row>
    <row r="24116" spans="20:20" s="566" customFormat="1">
      <c r="T24116" s="41"/>
    </row>
    <row r="24117" spans="20:20" s="566" customFormat="1">
      <c r="T24117" s="41"/>
    </row>
    <row r="24118" spans="20:20" s="566" customFormat="1">
      <c r="T24118" s="41"/>
    </row>
    <row r="24119" spans="20:20" s="566" customFormat="1">
      <c r="T24119" s="41"/>
    </row>
    <row r="24120" spans="20:20" s="566" customFormat="1">
      <c r="T24120" s="41"/>
    </row>
    <row r="24121" spans="20:20" s="566" customFormat="1">
      <c r="T24121" s="41"/>
    </row>
    <row r="24122" spans="20:20" s="566" customFormat="1">
      <c r="T24122" s="41"/>
    </row>
    <row r="24123" spans="20:20" s="566" customFormat="1">
      <c r="T24123" s="41"/>
    </row>
    <row r="24124" spans="20:20" s="566" customFormat="1">
      <c r="T24124" s="41"/>
    </row>
    <row r="24125" spans="20:20" s="566" customFormat="1">
      <c r="T24125" s="41"/>
    </row>
    <row r="24126" spans="20:20" s="566" customFormat="1">
      <c r="T24126" s="41"/>
    </row>
    <row r="24127" spans="20:20" s="566" customFormat="1">
      <c r="T24127" s="41"/>
    </row>
    <row r="24128" spans="20:20" s="566" customFormat="1">
      <c r="T24128" s="41"/>
    </row>
    <row r="24129" spans="20:20" s="566" customFormat="1">
      <c r="T24129" s="41"/>
    </row>
    <row r="24130" spans="20:20" s="566" customFormat="1">
      <c r="T24130" s="41"/>
    </row>
    <row r="24131" spans="20:20" s="566" customFormat="1">
      <c r="T24131" s="41"/>
    </row>
    <row r="24132" spans="20:20" s="566" customFormat="1">
      <c r="T24132" s="41"/>
    </row>
    <row r="24133" spans="20:20" s="566" customFormat="1">
      <c r="T24133" s="41"/>
    </row>
    <row r="24134" spans="20:20" s="566" customFormat="1">
      <c r="T24134" s="41"/>
    </row>
    <row r="24135" spans="20:20" s="566" customFormat="1">
      <c r="T24135" s="41"/>
    </row>
    <row r="24136" spans="20:20" s="566" customFormat="1">
      <c r="T24136" s="41"/>
    </row>
    <row r="24137" spans="20:20" s="566" customFormat="1">
      <c r="T24137" s="41"/>
    </row>
    <row r="24138" spans="20:20" s="566" customFormat="1">
      <c r="T24138" s="41"/>
    </row>
    <row r="24139" spans="20:20" s="566" customFormat="1">
      <c r="T24139" s="41"/>
    </row>
    <row r="24140" spans="20:20" s="566" customFormat="1">
      <c r="T24140" s="41"/>
    </row>
    <row r="24141" spans="20:20" s="566" customFormat="1">
      <c r="T24141" s="41"/>
    </row>
    <row r="24142" spans="20:20" s="566" customFormat="1">
      <c r="T24142" s="41"/>
    </row>
    <row r="24143" spans="20:20" s="566" customFormat="1">
      <c r="T24143" s="41"/>
    </row>
    <row r="24144" spans="20:20" s="566" customFormat="1">
      <c r="T24144" s="41"/>
    </row>
    <row r="24145" spans="20:20" s="566" customFormat="1">
      <c r="T24145" s="41"/>
    </row>
    <row r="24146" spans="20:20" s="566" customFormat="1">
      <c r="T24146" s="41"/>
    </row>
    <row r="24147" spans="20:20" s="566" customFormat="1">
      <c r="T24147" s="41"/>
    </row>
    <row r="24148" spans="20:20" s="566" customFormat="1">
      <c r="T24148" s="41"/>
    </row>
    <row r="24149" spans="20:20" s="566" customFormat="1">
      <c r="T24149" s="41"/>
    </row>
    <row r="24150" spans="20:20" s="566" customFormat="1">
      <c r="T24150" s="41"/>
    </row>
    <row r="24151" spans="20:20" s="566" customFormat="1">
      <c r="T24151" s="41"/>
    </row>
    <row r="24152" spans="20:20" s="566" customFormat="1">
      <c r="T24152" s="41"/>
    </row>
    <row r="24153" spans="20:20" s="566" customFormat="1">
      <c r="T24153" s="41"/>
    </row>
    <row r="24154" spans="20:20" s="566" customFormat="1">
      <c r="T24154" s="41"/>
    </row>
    <row r="24155" spans="20:20" s="566" customFormat="1">
      <c r="T24155" s="41"/>
    </row>
    <row r="24156" spans="20:20" s="566" customFormat="1">
      <c r="T24156" s="41"/>
    </row>
    <row r="24157" spans="20:20" s="566" customFormat="1">
      <c r="T24157" s="41"/>
    </row>
    <row r="24158" spans="20:20" s="566" customFormat="1">
      <c r="T24158" s="41"/>
    </row>
    <row r="24159" spans="20:20" s="566" customFormat="1">
      <c r="T24159" s="41"/>
    </row>
    <row r="24160" spans="20:20" s="566" customFormat="1">
      <c r="T24160" s="41"/>
    </row>
    <row r="24161" spans="20:20" s="566" customFormat="1">
      <c r="T24161" s="41"/>
    </row>
    <row r="24162" spans="20:20" s="566" customFormat="1">
      <c r="T24162" s="41"/>
    </row>
    <row r="24163" spans="20:20" s="566" customFormat="1">
      <c r="T24163" s="41"/>
    </row>
    <row r="24164" spans="20:20" s="566" customFormat="1">
      <c r="T24164" s="41"/>
    </row>
    <row r="24165" spans="20:20" s="566" customFormat="1">
      <c r="T24165" s="41"/>
    </row>
    <row r="24166" spans="20:20" s="566" customFormat="1">
      <c r="T24166" s="41"/>
    </row>
    <row r="24167" spans="20:20" s="566" customFormat="1">
      <c r="T24167" s="41"/>
    </row>
    <row r="24168" spans="20:20" s="566" customFormat="1">
      <c r="T24168" s="41"/>
    </row>
    <row r="24169" spans="20:20" s="566" customFormat="1">
      <c r="T24169" s="41"/>
    </row>
    <row r="24170" spans="20:20" s="566" customFormat="1">
      <c r="T24170" s="41"/>
    </row>
    <row r="24171" spans="20:20" s="566" customFormat="1">
      <c r="T24171" s="41"/>
    </row>
    <row r="24172" spans="20:20" s="566" customFormat="1">
      <c r="T24172" s="41"/>
    </row>
    <row r="24173" spans="20:20" s="566" customFormat="1">
      <c r="T24173" s="41"/>
    </row>
    <row r="24174" spans="20:20" s="566" customFormat="1">
      <c r="T24174" s="41"/>
    </row>
    <row r="24175" spans="20:20" s="566" customFormat="1">
      <c r="T24175" s="41"/>
    </row>
    <row r="24176" spans="20:20" s="566" customFormat="1">
      <c r="T24176" s="41"/>
    </row>
    <row r="24177" spans="20:20" s="566" customFormat="1">
      <c r="T24177" s="41"/>
    </row>
    <row r="24178" spans="20:20" s="566" customFormat="1">
      <c r="T24178" s="41"/>
    </row>
    <row r="24179" spans="20:20" s="566" customFormat="1">
      <c r="T24179" s="41"/>
    </row>
    <row r="24180" spans="20:20" s="566" customFormat="1">
      <c r="T24180" s="41"/>
    </row>
    <row r="24181" spans="20:20" s="566" customFormat="1">
      <c r="T24181" s="41"/>
    </row>
    <row r="24182" spans="20:20" s="566" customFormat="1">
      <c r="T24182" s="41"/>
    </row>
    <row r="24183" spans="20:20" s="566" customFormat="1">
      <c r="T24183" s="41"/>
    </row>
    <row r="24184" spans="20:20" s="566" customFormat="1">
      <c r="T24184" s="41"/>
    </row>
    <row r="24185" spans="20:20" s="566" customFormat="1">
      <c r="T24185" s="41"/>
    </row>
    <row r="24186" spans="20:20" s="566" customFormat="1">
      <c r="T24186" s="41"/>
    </row>
    <row r="24187" spans="20:20" s="566" customFormat="1">
      <c r="T24187" s="41"/>
    </row>
    <row r="24188" spans="20:20" s="566" customFormat="1">
      <c r="T24188" s="41"/>
    </row>
    <row r="24189" spans="20:20" s="566" customFormat="1">
      <c r="T24189" s="41"/>
    </row>
    <row r="24190" spans="20:20" s="566" customFormat="1">
      <c r="T24190" s="41"/>
    </row>
    <row r="24191" spans="20:20" s="566" customFormat="1">
      <c r="T24191" s="41"/>
    </row>
    <row r="24192" spans="20:20" s="566" customFormat="1">
      <c r="T24192" s="41"/>
    </row>
    <row r="24193" spans="20:20" s="566" customFormat="1">
      <c r="T24193" s="41"/>
    </row>
    <row r="24194" spans="20:20" s="566" customFormat="1">
      <c r="T24194" s="41"/>
    </row>
    <row r="24195" spans="20:20" s="566" customFormat="1">
      <c r="T24195" s="41"/>
    </row>
    <row r="24196" spans="20:20" s="566" customFormat="1">
      <c r="T24196" s="41"/>
    </row>
    <row r="24197" spans="20:20" s="566" customFormat="1">
      <c r="T24197" s="41"/>
    </row>
    <row r="24198" spans="20:20" s="566" customFormat="1">
      <c r="T24198" s="41"/>
    </row>
    <row r="24199" spans="20:20" s="566" customFormat="1">
      <c r="T24199" s="41"/>
    </row>
    <row r="24200" spans="20:20" s="566" customFormat="1">
      <c r="T24200" s="41"/>
    </row>
    <row r="24201" spans="20:20" s="566" customFormat="1">
      <c r="T24201" s="41"/>
    </row>
    <row r="24202" spans="20:20" s="566" customFormat="1">
      <c r="T24202" s="41"/>
    </row>
    <row r="24203" spans="20:20" s="566" customFormat="1">
      <c r="T24203" s="41"/>
    </row>
    <row r="24204" spans="20:20" s="566" customFormat="1">
      <c r="T24204" s="41"/>
    </row>
    <row r="24205" spans="20:20" s="566" customFormat="1">
      <c r="T24205" s="41"/>
    </row>
    <row r="24206" spans="20:20" s="566" customFormat="1">
      <c r="T24206" s="41"/>
    </row>
    <row r="24207" spans="20:20" s="566" customFormat="1">
      <c r="T24207" s="41"/>
    </row>
    <row r="24208" spans="20:20" s="566" customFormat="1">
      <c r="T24208" s="41"/>
    </row>
    <row r="24209" spans="20:20" s="566" customFormat="1">
      <c r="T24209" s="41"/>
    </row>
    <row r="24210" spans="20:20" s="566" customFormat="1">
      <c r="T24210" s="41"/>
    </row>
    <row r="24211" spans="20:20" s="566" customFormat="1">
      <c r="T24211" s="41"/>
    </row>
    <row r="24212" spans="20:20" s="566" customFormat="1">
      <c r="T24212" s="41"/>
    </row>
    <row r="24213" spans="20:20" s="566" customFormat="1">
      <c r="T24213" s="41"/>
    </row>
    <row r="24214" spans="20:20" s="566" customFormat="1">
      <c r="T24214" s="41"/>
    </row>
    <row r="24215" spans="20:20" s="566" customFormat="1">
      <c r="T24215" s="41"/>
    </row>
    <row r="24216" spans="20:20" s="566" customFormat="1">
      <c r="T24216" s="41"/>
    </row>
    <row r="24217" spans="20:20" s="566" customFormat="1">
      <c r="T24217" s="41"/>
    </row>
    <row r="24218" spans="20:20" s="566" customFormat="1">
      <c r="T24218" s="41"/>
    </row>
    <row r="24219" spans="20:20" s="566" customFormat="1">
      <c r="T24219" s="41"/>
    </row>
    <row r="24220" spans="20:20" s="566" customFormat="1">
      <c r="T24220" s="41"/>
    </row>
    <row r="24221" spans="20:20" s="566" customFormat="1">
      <c r="T24221" s="41"/>
    </row>
    <row r="24222" spans="20:20" s="566" customFormat="1">
      <c r="T24222" s="41"/>
    </row>
    <row r="24223" spans="20:20" s="566" customFormat="1">
      <c r="T24223" s="41"/>
    </row>
    <row r="24224" spans="20:20" s="566" customFormat="1">
      <c r="T24224" s="41"/>
    </row>
    <row r="24225" spans="20:20" s="566" customFormat="1">
      <c r="T24225" s="41"/>
    </row>
    <row r="24226" spans="20:20" s="566" customFormat="1">
      <c r="T24226" s="41"/>
    </row>
    <row r="24227" spans="20:20" s="566" customFormat="1">
      <c r="T24227" s="41"/>
    </row>
    <row r="24228" spans="20:20" s="566" customFormat="1">
      <c r="T24228" s="41"/>
    </row>
    <row r="24229" spans="20:20" s="566" customFormat="1">
      <c r="T24229" s="41"/>
    </row>
    <row r="24230" spans="20:20" s="566" customFormat="1">
      <c r="T24230" s="41"/>
    </row>
    <row r="24231" spans="20:20" s="566" customFormat="1">
      <c r="T24231" s="41"/>
    </row>
    <row r="24232" spans="20:20" s="566" customFormat="1">
      <c r="T24232" s="41"/>
    </row>
    <row r="24233" spans="20:20" s="566" customFormat="1">
      <c r="T24233" s="41"/>
    </row>
    <row r="24234" spans="20:20" s="566" customFormat="1">
      <c r="T24234" s="41"/>
    </row>
    <row r="24235" spans="20:20" s="566" customFormat="1">
      <c r="T24235" s="41"/>
    </row>
    <row r="24236" spans="20:20" s="566" customFormat="1">
      <c r="T24236" s="41"/>
    </row>
    <row r="24237" spans="20:20" s="566" customFormat="1">
      <c r="T24237" s="41"/>
    </row>
    <row r="24238" spans="20:20" s="566" customFormat="1">
      <c r="T24238" s="41"/>
    </row>
    <row r="24239" spans="20:20" s="566" customFormat="1">
      <c r="T24239" s="41"/>
    </row>
    <row r="24240" spans="20:20" s="566" customFormat="1">
      <c r="T24240" s="41"/>
    </row>
    <row r="24241" spans="20:20" s="566" customFormat="1">
      <c r="T24241" s="41"/>
    </row>
    <row r="24242" spans="20:20" s="566" customFormat="1">
      <c r="T24242" s="41"/>
    </row>
    <row r="24243" spans="20:20" s="566" customFormat="1">
      <c r="T24243" s="41"/>
    </row>
    <row r="24244" spans="20:20" s="566" customFormat="1">
      <c r="T24244" s="41"/>
    </row>
    <row r="24245" spans="20:20" s="566" customFormat="1">
      <c r="T24245" s="41"/>
    </row>
    <row r="24246" spans="20:20" s="566" customFormat="1">
      <c r="T24246" s="41"/>
    </row>
    <row r="24247" spans="20:20" s="566" customFormat="1">
      <c r="T24247" s="41"/>
    </row>
    <row r="24248" spans="20:20" s="566" customFormat="1">
      <c r="T24248" s="41"/>
    </row>
    <row r="24249" spans="20:20" s="566" customFormat="1">
      <c r="T24249" s="41"/>
    </row>
    <row r="24250" spans="20:20" s="566" customFormat="1">
      <c r="T24250" s="41"/>
    </row>
    <row r="24251" spans="20:20" s="566" customFormat="1">
      <c r="T24251" s="41"/>
    </row>
    <row r="24252" spans="20:20" s="566" customFormat="1">
      <c r="T24252" s="41"/>
    </row>
    <row r="24253" spans="20:20" s="566" customFormat="1">
      <c r="T24253" s="41"/>
    </row>
    <row r="24254" spans="20:20" s="566" customFormat="1">
      <c r="T24254" s="41"/>
    </row>
    <row r="24255" spans="20:20" s="566" customFormat="1">
      <c r="T24255" s="41"/>
    </row>
    <row r="24256" spans="20:20" s="566" customFormat="1">
      <c r="T24256" s="41"/>
    </row>
    <row r="24257" spans="20:20" s="566" customFormat="1">
      <c r="T24257" s="41"/>
    </row>
    <row r="24258" spans="20:20" s="566" customFormat="1">
      <c r="T24258" s="41"/>
    </row>
    <row r="24259" spans="20:20" s="566" customFormat="1">
      <c r="T24259" s="41"/>
    </row>
    <row r="24260" spans="20:20" s="566" customFormat="1">
      <c r="T24260" s="41"/>
    </row>
    <row r="24261" spans="20:20" s="566" customFormat="1">
      <c r="T24261" s="41"/>
    </row>
    <row r="24262" spans="20:20" s="566" customFormat="1">
      <c r="T24262" s="41"/>
    </row>
    <row r="24263" spans="20:20" s="566" customFormat="1">
      <c r="T24263" s="41"/>
    </row>
    <row r="24264" spans="20:20" s="566" customFormat="1">
      <c r="T24264" s="41"/>
    </row>
    <row r="24265" spans="20:20" s="566" customFormat="1">
      <c r="T24265" s="41"/>
    </row>
    <row r="24266" spans="20:20" s="566" customFormat="1">
      <c r="T24266" s="41"/>
    </row>
    <row r="24267" spans="20:20" s="566" customFormat="1">
      <c r="T24267" s="41"/>
    </row>
    <row r="24268" spans="20:20" s="566" customFormat="1">
      <c r="T24268" s="41"/>
    </row>
    <row r="24269" spans="20:20" s="566" customFormat="1">
      <c r="T24269" s="41"/>
    </row>
    <row r="24270" spans="20:20" s="566" customFormat="1">
      <c r="T24270" s="41"/>
    </row>
    <row r="24271" spans="20:20" s="566" customFormat="1">
      <c r="T24271" s="41"/>
    </row>
    <row r="24272" spans="20:20" s="566" customFormat="1">
      <c r="T24272" s="41"/>
    </row>
    <row r="24273" spans="20:20" s="566" customFormat="1">
      <c r="T24273" s="41"/>
    </row>
    <row r="24274" spans="20:20" s="566" customFormat="1">
      <c r="T24274" s="41"/>
    </row>
    <row r="24275" spans="20:20" s="566" customFormat="1">
      <c r="T24275" s="41"/>
    </row>
    <row r="24276" spans="20:20" s="566" customFormat="1">
      <c r="T24276" s="41"/>
    </row>
    <row r="24277" spans="20:20" s="566" customFormat="1">
      <c r="T24277" s="41"/>
    </row>
    <row r="24278" spans="20:20" s="566" customFormat="1">
      <c r="T24278" s="41"/>
    </row>
    <row r="24279" spans="20:20" s="566" customFormat="1">
      <c r="T24279" s="41"/>
    </row>
    <row r="24280" spans="20:20" s="566" customFormat="1">
      <c r="T24280" s="41"/>
    </row>
    <row r="24281" spans="20:20" s="566" customFormat="1">
      <c r="T24281" s="41"/>
    </row>
    <row r="24282" spans="20:20" s="566" customFormat="1">
      <c r="T24282" s="41"/>
    </row>
    <row r="24283" spans="20:20" s="566" customFormat="1">
      <c r="T24283" s="41"/>
    </row>
    <row r="24284" spans="20:20" s="566" customFormat="1">
      <c r="T24284" s="41"/>
    </row>
    <row r="24285" spans="20:20" s="566" customFormat="1">
      <c r="T24285" s="41"/>
    </row>
    <row r="24286" spans="20:20" s="566" customFormat="1">
      <c r="T24286" s="41"/>
    </row>
    <row r="24287" spans="20:20" s="566" customFormat="1">
      <c r="T24287" s="41"/>
    </row>
    <row r="24288" spans="20:20" s="566" customFormat="1">
      <c r="T24288" s="41"/>
    </row>
    <row r="24289" spans="20:20" s="566" customFormat="1">
      <c r="T24289" s="41"/>
    </row>
    <row r="24290" spans="20:20" s="566" customFormat="1">
      <c r="T24290" s="41"/>
    </row>
    <row r="24291" spans="20:20" s="566" customFormat="1">
      <c r="T24291" s="41"/>
    </row>
    <row r="24292" spans="20:20" s="566" customFormat="1">
      <c r="T24292" s="41"/>
    </row>
    <row r="24293" spans="20:20" s="566" customFormat="1">
      <c r="T24293" s="41"/>
    </row>
    <row r="24294" spans="20:20" s="566" customFormat="1">
      <c r="T24294" s="41"/>
    </row>
    <row r="24295" spans="20:20" s="566" customFormat="1">
      <c r="T24295" s="41"/>
    </row>
    <row r="24296" spans="20:20" s="566" customFormat="1">
      <c r="T24296" s="41"/>
    </row>
    <row r="24297" spans="20:20" s="566" customFormat="1">
      <c r="T24297" s="41"/>
    </row>
    <row r="24298" spans="20:20" s="566" customFormat="1">
      <c r="T24298" s="41"/>
    </row>
    <row r="24299" spans="20:20" s="566" customFormat="1">
      <c r="T24299" s="41"/>
    </row>
    <row r="24300" spans="20:20" s="566" customFormat="1">
      <c r="T24300" s="41"/>
    </row>
    <row r="24301" spans="20:20" s="566" customFormat="1">
      <c r="T24301" s="41"/>
    </row>
    <row r="24302" spans="20:20" s="566" customFormat="1">
      <c r="T24302" s="41"/>
    </row>
    <row r="24303" spans="20:20" s="566" customFormat="1">
      <c r="T24303" s="41"/>
    </row>
    <row r="24304" spans="20:20" s="566" customFormat="1">
      <c r="T24304" s="41"/>
    </row>
    <row r="24305" spans="20:20" s="566" customFormat="1">
      <c r="T24305" s="41"/>
    </row>
    <row r="24306" spans="20:20" s="566" customFormat="1">
      <c r="T24306" s="41"/>
    </row>
    <row r="24307" spans="20:20" s="566" customFormat="1">
      <c r="T24307" s="41"/>
    </row>
    <row r="24308" spans="20:20" s="566" customFormat="1">
      <c r="T24308" s="41"/>
    </row>
    <row r="24309" spans="20:20" s="566" customFormat="1">
      <c r="T24309" s="41"/>
    </row>
    <row r="24310" spans="20:20" s="566" customFormat="1">
      <c r="T24310" s="41"/>
    </row>
    <row r="24311" spans="20:20" s="566" customFormat="1">
      <c r="T24311" s="41"/>
    </row>
    <row r="24312" spans="20:20" s="566" customFormat="1">
      <c r="T24312" s="41"/>
    </row>
    <row r="24313" spans="20:20" s="566" customFormat="1">
      <c r="T24313" s="41"/>
    </row>
    <row r="24314" spans="20:20" s="566" customFormat="1">
      <c r="T24314" s="41"/>
    </row>
    <row r="24315" spans="20:20" s="566" customFormat="1">
      <c r="T24315" s="41"/>
    </row>
    <row r="24316" spans="20:20" s="566" customFormat="1">
      <c r="T24316" s="41"/>
    </row>
    <row r="24317" spans="20:20" s="566" customFormat="1">
      <c r="T24317" s="41"/>
    </row>
    <row r="24318" spans="20:20" s="566" customFormat="1">
      <c r="T24318" s="41"/>
    </row>
    <row r="24319" spans="20:20" s="566" customFormat="1">
      <c r="T24319" s="41"/>
    </row>
    <row r="24320" spans="20:20" s="566" customFormat="1">
      <c r="T24320" s="41"/>
    </row>
    <row r="24321" spans="20:20" s="566" customFormat="1">
      <c r="T24321" s="41"/>
    </row>
    <row r="24322" spans="20:20" s="566" customFormat="1">
      <c r="T24322" s="41"/>
    </row>
    <row r="24323" spans="20:20" s="566" customFormat="1">
      <c r="T24323" s="41"/>
    </row>
    <row r="24324" spans="20:20" s="566" customFormat="1">
      <c r="T24324" s="41"/>
    </row>
    <row r="24325" spans="20:20" s="566" customFormat="1">
      <c r="T24325" s="41"/>
    </row>
    <row r="24326" spans="20:20" s="566" customFormat="1">
      <c r="T24326" s="41"/>
    </row>
    <row r="24327" spans="20:20" s="566" customFormat="1">
      <c r="T24327" s="41"/>
    </row>
    <row r="24328" spans="20:20" s="566" customFormat="1">
      <c r="T24328" s="41"/>
    </row>
    <row r="24329" spans="20:20" s="566" customFormat="1">
      <c r="T24329" s="41"/>
    </row>
    <row r="24330" spans="20:20" s="566" customFormat="1">
      <c r="T24330" s="41"/>
    </row>
    <row r="24331" spans="20:20" s="566" customFormat="1">
      <c r="T24331" s="41"/>
    </row>
    <row r="24332" spans="20:20" s="566" customFormat="1">
      <c r="T24332" s="41"/>
    </row>
    <row r="24333" spans="20:20" s="566" customFormat="1">
      <c r="T24333" s="41"/>
    </row>
    <row r="24334" spans="20:20" s="566" customFormat="1">
      <c r="T24334" s="41"/>
    </row>
    <row r="24335" spans="20:20" s="566" customFormat="1">
      <c r="T24335" s="41"/>
    </row>
    <row r="24336" spans="20:20" s="566" customFormat="1">
      <c r="T24336" s="41"/>
    </row>
    <row r="24337" spans="20:20" s="566" customFormat="1">
      <c r="T24337" s="41"/>
    </row>
    <row r="24338" spans="20:20" s="566" customFormat="1">
      <c r="T24338" s="41"/>
    </row>
    <row r="24339" spans="20:20" s="566" customFormat="1">
      <c r="T24339" s="41"/>
    </row>
    <row r="24340" spans="20:20" s="566" customFormat="1">
      <c r="T24340" s="41"/>
    </row>
    <row r="24341" spans="20:20" s="566" customFormat="1">
      <c r="T24341" s="41"/>
    </row>
    <row r="24342" spans="20:20" s="566" customFormat="1">
      <c r="T24342" s="41"/>
    </row>
    <row r="24343" spans="20:20" s="566" customFormat="1">
      <c r="T24343" s="41"/>
    </row>
    <row r="24344" spans="20:20" s="566" customFormat="1">
      <c r="T24344" s="41"/>
    </row>
    <row r="24345" spans="20:20" s="566" customFormat="1">
      <c r="T24345" s="41"/>
    </row>
    <row r="24346" spans="20:20" s="566" customFormat="1">
      <c r="T24346" s="41"/>
    </row>
    <row r="24347" spans="20:20" s="566" customFormat="1">
      <c r="T24347" s="41"/>
    </row>
    <row r="24348" spans="20:20" s="566" customFormat="1">
      <c r="T24348" s="41"/>
    </row>
    <row r="24349" spans="20:20" s="566" customFormat="1">
      <c r="T24349" s="41"/>
    </row>
    <row r="24350" spans="20:20" s="566" customFormat="1">
      <c r="T24350" s="41"/>
    </row>
    <row r="24351" spans="20:20" s="566" customFormat="1">
      <c r="T24351" s="41"/>
    </row>
    <row r="24352" spans="20:20" s="566" customFormat="1">
      <c r="T24352" s="41"/>
    </row>
    <row r="24353" spans="20:20" s="566" customFormat="1">
      <c r="T24353" s="41"/>
    </row>
    <row r="24354" spans="20:20" s="566" customFormat="1">
      <c r="T24354" s="41"/>
    </row>
    <row r="24355" spans="20:20" s="566" customFormat="1">
      <c r="T24355" s="41"/>
    </row>
    <row r="24356" spans="20:20" s="566" customFormat="1">
      <c r="T24356" s="41"/>
    </row>
    <row r="24357" spans="20:20" s="566" customFormat="1">
      <c r="T24357" s="41"/>
    </row>
    <row r="24358" spans="20:20" s="566" customFormat="1">
      <c r="T24358" s="41"/>
    </row>
    <row r="24359" spans="20:20" s="566" customFormat="1">
      <c r="T24359" s="41"/>
    </row>
    <row r="24360" spans="20:20" s="566" customFormat="1">
      <c r="T24360" s="41"/>
    </row>
    <row r="24361" spans="20:20" s="566" customFormat="1">
      <c r="T24361" s="41"/>
    </row>
    <row r="24362" spans="20:20" s="566" customFormat="1">
      <c r="T24362" s="41"/>
    </row>
    <row r="24363" spans="20:20" s="566" customFormat="1">
      <c r="T24363" s="41"/>
    </row>
    <row r="24364" spans="20:20" s="566" customFormat="1">
      <c r="T24364" s="41"/>
    </row>
    <row r="24365" spans="20:20" s="566" customFormat="1">
      <c r="T24365" s="41"/>
    </row>
    <row r="24366" spans="20:20" s="566" customFormat="1">
      <c r="T24366" s="41"/>
    </row>
    <row r="24367" spans="20:20" s="566" customFormat="1">
      <c r="T24367" s="41"/>
    </row>
    <row r="24368" spans="20:20" s="566" customFormat="1">
      <c r="T24368" s="41"/>
    </row>
    <row r="24369" spans="20:20" s="566" customFormat="1">
      <c r="T24369" s="41"/>
    </row>
    <row r="24370" spans="20:20" s="566" customFormat="1">
      <c r="T24370" s="41"/>
    </row>
    <row r="24371" spans="20:20" s="566" customFormat="1">
      <c r="T24371" s="41"/>
    </row>
    <row r="24372" spans="20:20" s="566" customFormat="1">
      <c r="T24372" s="41"/>
    </row>
    <row r="24373" spans="20:20" s="566" customFormat="1">
      <c r="T24373" s="41"/>
    </row>
    <row r="24374" spans="20:20" s="566" customFormat="1">
      <c r="T24374" s="41"/>
    </row>
    <row r="24375" spans="20:20" s="566" customFormat="1">
      <c r="T24375" s="41"/>
    </row>
    <row r="24376" spans="20:20" s="566" customFormat="1">
      <c r="T24376" s="41"/>
    </row>
    <row r="24377" spans="20:20" s="566" customFormat="1">
      <c r="T24377" s="41"/>
    </row>
    <row r="24378" spans="20:20" s="566" customFormat="1">
      <c r="T24378" s="41"/>
    </row>
    <row r="24379" spans="20:20" s="566" customFormat="1">
      <c r="T24379" s="41"/>
    </row>
    <row r="24380" spans="20:20" s="566" customFormat="1">
      <c r="T24380" s="41"/>
    </row>
    <row r="24381" spans="20:20" s="566" customFormat="1">
      <c r="T24381" s="41"/>
    </row>
    <row r="24382" spans="20:20" s="566" customFormat="1">
      <c r="T24382" s="41"/>
    </row>
    <row r="24383" spans="20:20" s="566" customFormat="1">
      <c r="T24383" s="41"/>
    </row>
    <row r="24384" spans="20:20" s="566" customFormat="1">
      <c r="T24384" s="41"/>
    </row>
    <row r="24385" spans="20:20" s="566" customFormat="1">
      <c r="T24385" s="41"/>
    </row>
    <row r="24386" spans="20:20" s="566" customFormat="1">
      <c r="T24386" s="41"/>
    </row>
    <row r="24387" spans="20:20" s="566" customFormat="1">
      <c r="T24387" s="41"/>
    </row>
    <row r="24388" spans="20:20" s="566" customFormat="1">
      <c r="T24388" s="41"/>
    </row>
    <row r="24389" spans="20:20" s="566" customFormat="1">
      <c r="T24389" s="41"/>
    </row>
    <row r="24390" spans="20:20" s="566" customFormat="1">
      <c r="T24390" s="41"/>
    </row>
    <row r="24391" spans="20:20" s="566" customFormat="1">
      <c r="T24391" s="41"/>
    </row>
    <row r="24392" spans="20:20" s="566" customFormat="1">
      <c r="T24392" s="41"/>
    </row>
    <row r="24393" spans="20:20" s="566" customFormat="1">
      <c r="T24393" s="41"/>
    </row>
    <row r="24394" spans="20:20" s="566" customFormat="1">
      <c r="T24394" s="41"/>
    </row>
    <row r="24395" spans="20:20" s="566" customFormat="1">
      <c r="T24395" s="41"/>
    </row>
    <row r="24396" spans="20:20" s="566" customFormat="1">
      <c r="T24396" s="41"/>
    </row>
    <row r="24397" spans="20:20" s="566" customFormat="1">
      <c r="T24397" s="41"/>
    </row>
    <row r="24398" spans="20:20" s="566" customFormat="1">
      <c r="T24398" s="41"/>
    </row>
    <row r="24399" spans="20:20" s="566" customFormat="1">
      <c r="T24399" s="41"/>
    </row>
    <row r="24400" spans="20:20" s="566" customFormat="1">
      <c r="T24400" s="41"/>
    </row>
    <row r="24401" spans="20:20" s="566" customFormat="1">
      <c r="T24401" s="41"/>
    </row>
    <row r="24402" spans="20:20" s="566" customFormat="1">
      <c r="T24402" s="41"/>
    </row>
    <row r="24403" spans="20:20" s="566" customFormat="1">
      <c r="T24403" s="41"/>
    </row>
    <row r="24404" spans="20:20" s="566" customFormat="1">
      <c r="T24404" s="41"/>
    </row>
    <row r="24405" spans="20:20" s="566" customFormat="1">
      <c r="T24405" s="41"/>
    </row>
    <row r="24406" spans="20:20" s="566" customFormat="1">
      <c r="T24406" s="41"/>
    </row>
    <row r="24407" spans="20:20" s="566" customFormat="1">
      <c r="T24407" s="41"/>
    </row>
    <row r="24408" spans="20:20" s="566" customFormat="1">
      <c r="T24408" s="41"/>
    </row>
    <row r="24409" spans="20:20" s="566" customFormat="1">
      <c r="T24409" s="41"/>
    </row>
    <row r="24410" spans="20:20" s="566" customFormat="1">
      <c r="T24410" s="41"/>
    </row>
    <row r="24411" spans="20:20" s="566" customFormat="1">
      <c r="T24411" s="41"/>
    </row>
    <row r="24412" spans="20:20" s="566" customFormat="1">
      <c r="T24412" s="41"/>
    </row>
    <row r="24413" spans="20:20" s="566" customFormat="1">
      <c r="T24413" s="41"/>
    </row>
    <row r="24414" spans="20:20" s="566" customFormat="1">
      <c r="T24414" s="41"/>
    </row>
    <row r="24415" spans="20:20" s="566" customFormat="1">
      <c r="T24415" s="41"/>
    </row>
    <row r="24416" spans="20:20" s="566" customFormat="1">
      <c r="T24416" s="41"/>
    </row>
    <row r="24417" spans="20:20" s="566" customFormat="1">
      <c r="T24417" s="41"/>
    </row>
    <row r="24418" spans="20:20" s="566" customFormat="1">
      <c r="T24418" s="41"/>
    </row>
    <row r="24419" spans="20:20" s="566" customFormat="1">
      <c r="T24419" s="41"/>
    </row>
    <row r="24420" spans="20:20" s="566" customFormat="1">
      <c r="T24420" s="41"/>
    </row>
    <row r="24421" spans="20:20" s="566" customFormat="1">
      <c r="T24421" s="41"/>
    </row>
    <row r="24422" spans="20:20" s="566" customFormat="1">
      <c r="T24422" s="41"/>
    </row>
    <row r="24423" spans="20:20" s="566" customFormat="1">
      <c r="T24423" s="41"/>
    </row>
    <row r="24424" spans="20:20" s="566" customFormat="1">
      <c r="T24424" s="41"/>
    </row>
    <row r="24425" spans="20:20" s="566" customFormat="1">
      <c r="T24425" s="41"/>
    </row>
    <row r="24426" spans="20:20" s="566" customFormat="1">
      <c r="T24426" s="41"/>
    </row>
    <row r="24427" spans="20:20" s="566" customFormat="1">
      <c r="T24427" s="41"/>
    </row>
    <row r="24428" spans="20:20" s="566" customFormat="1">
      <c r="T24428" s="41"/>
    </row>
    <row r="24429" spans="20:20" s="566" customFormat="1">
      <c r="T24429" s="41"/>
    </row>
    <row r="24430" spans="20:20" s="566" customFormat="1">
      <c r="T24430" s="41"/>
    </row>
    <row r="24431" spans="20:20" s="566" customFormat="1">
      <c r="T24431" s="41"/>
    </row>
    <row r="24432" spans="20:20" s="566" customFormat="1">
      <c r="T24432" s="41"/>
    </row>
    <row r="24433" spans="20:20" s="566" customFormat="1">
      <c r="T24433" s="41"/>
    </row>
    <row r="24434" spans="20:20" s="566" customFormat="1">
      <c r="T24434" s="41"/>
    </row>
    <row r="24435" spans="20:20" s="566" customFormat="1">
      <c r="T24435" s="41"/>
    </row>
    <row r="24436" spans="20:20" s="566" customFormat="1">
      <c r="T24436" s="41"/>
    </row>
    <row r="24437" spans="20:20" s="566" customFormat="1">
      <c r="T24437" s="41"/>
    </row>
    <row r="24438" spans="20:20" s="566" customFormat="1">
      <c r="T24438" s="41"/>
    </row>
    <row r="24439" spans="20:20" s="566" customFormat="1">
      <c r="T24439" s="41"/>
    </row>
    <row r="24440" spans="20:20" s="566" customFormat="1">
      <c r="T24440" s="41"/>
    </row>
    <row r="24441" spans="20:20" s="566" customFormat="1">
      <c r="T24441" s="41"/>
    </row>
    <row r="24442" spans="20:20" s="566" customFormat="1">
      <c r="T24442" s="41"/>
    </row>
    <row r="24443" spans="20:20" s="566" customFormat="1">
      <c r="T24443" s="41"/>
    </row>
    <row r="24444" spans="20:20" s="566" customFormat="1">
      <c r="T24444" s="41"/>
    </row>
    <row r="24445" spans="20:20" s="566" customFormat="1">
      <c r="T24445" s="41"/>
    </row>
    <row r="24446" spans="20:20" s="566" customFormat="1">
      <c r="T24446" s="41"/>
    </row>
    <row r="24447" spans="20:20" s="566" customFormat="1">
      <c r="T24447" s="41"/>
    </row>
    <row r="24448" spans="20:20" s="566" customFormat="1">
      <c r="T24448" s="41"/>
    </row>
    <row r="24449" spans="20:20" s="566" customFormat="1">
      <c r="T24449" s="41"/>
    </row>
    <row r="24450" spans="20:20" s="566" customFormat="1">
      <c r="T24450" s="41"/>
    </row>
    <row r="24451" spans="20:20" s="566" customFormat="1">
      <c r="T24451" s="41"/>
    </row>
    <row r="24452" spans="20:20" s="566" customFormat="1">
      <c r="T24452" s="41"/>
    </row>
    <row r="24453" spans="20:20" s="566" customFormat="1">
      <c r="T24453" s="41"/>
    </row>
    <row r="24454" spans="20:20" s="566" customFormat="1">
      <c r="T24454" s="41"/>
    </row>
    <row r="24455" spans="20:20" s="566" customFormat="1">
      <c r="T24455" s="41"/>
    </row>
    <row r="24456" spans="20:20" s="566" customFormat="1">
      <c r="T24456" s="41"/>
    </row>
    <row r="24457" spans="20:20" s="566" customFormat="1">
      <c r="T24457" s="41"/>
    </row>
    <row r="24458" spans="20:20" s="566" customFormat="1">
      <c r="T24458" s="41"/>
    </row>
    <row r="24459" spans="20:20" s="566" customFormat="1">
      <c r="T24459" s="41"/>
    </row>
    <row r="24460" spans="20:20" s="566" customFormat="1">
      <c r="T24460" s="41"/>
    </row>
    <row r="24461" spans="20:20" s="566" customFormat="1">
      <c r="T24461" s="41"/>
    </row>
    <row r="24462" spans="20:20" s="566" customFormat="1">
      <c r="T24462" s="41"/>
    </row>
    <row r="24463" spans="20:20" s="566" customFormat="1">
      <c r="T24463" s="41"/>
    </row>
    <row r="24464" spans="20:20" s="566" customFormat="1">
      <c r="T24464" s="41"/>
    </row>
    <row r="24465" spans="20:20" s="566" customFormat="1">
      <c r="T24465" s="41"/>
    </row>
    <row r="24466" spans="20:20" s="566" customFormat="1">
      <c r="T24466" s="41"/>
    </row>
    <row r="24467" spans="20:20" s="566" customFormat="1">
      <c r="T24467" s="41"/>
    </row>
    <row r="24468" spans="20:20" s="566" customFormat="1">
      <c r="T24468" s="41"/>
    </row>
    <row r="24469" spans="20:20" s="566" customFormat="1">
      <c r="T24469" s="41"/>
    </row>
    <row r="24470" spans="20:20" s="566" customFormat="1">
      <c r="T24470" s="41"/>
    </row>
    <row r="24471" spans="20:20" s="566" customFormat="1">
      <c r="T24471" s="41"/>
    </row>
    <row r="24472" spans="20:20" s="566" customFormat="1">
      <c r="T24472" s="41"/>
    </row>
    <row r="24473" spans="20:20" s="566" customFormat="1">
      <c r="T24473" s="41"/>
    </row>
    <row r="24474" spans="20:20" s="566" customFormat="1">
      <c r="T24474" s="41"/>
    </row>
    <row r="24475" spans="20:20" s="566" customFormat="1">
      <c r="T24475" s="41"/>
    </row>
    <row r="24476" spans="20:20" s="566" customFormat="1">
      <c r="T24476" s="41"/>
    </row>
    <row r="24477" spans="20:20" s="566" customFormat="1">
      <c r="T24477" s="41"/>
    </row>
    <row r="24478" spans="20:20" s="566" customFormat="1">
      <c r="T24478" s="41"/>
    </row>
    <row r="24479" spans="20:20" s="566" customFormat="1">
      <c r="T24479" s="41"/>
    </row>
    <row r="24480" spans="20:20" s="566" customFormat="1">
      <c r="T24480" s="41"/>
    </row>
    <row r="24481" spans="20:20" s="566" customFormat="1">
      <c r="T24481" s="41"/>
    </row>
    <row r="24482" spans="20:20" s="566" customFormat="1">
      <c r="T24482" s="41"/>
    </row>
    <row r="24483" spans="20:20" s="566" customFormat="1">
      <c r="T24483" s="41"/>
    </row>
    <row r="24484" spans="20:20" s="566" customFormat="1">
      <c r="T24484" s="41"/>
    </row>
    <row r="24485" spans="20:20" s="566" customFormat="1">
      <c r="T24485" s="41"/>
    </row>
    <row r="24486" spans="20:20" s="566" customFormat="1">
      <c r="T24486" s="41"/>
    </row>
    <row r="24487" spans="20:20" s="566" customFormat="1">
      <c r="T24487" s="41"/>
    </row>
    <row r="24488" spans="20:20" s="566" customFormat="1">
      <c r="T24488" s="41"/>
    </row>
    <row r="24489" spans="20:20" s="566" customFormat="1">
      <c r="T24489" s="41"/>
    </row>
    <row r="24490" spans="20:20" s="566" customFormat="1">
      <c r="T24490" s="41"/>
    </row>
    <row r="24491" spans="20:20" s="566" customFormat="1">
      <c r="T24491" s="41"/>
    </row>
    <row r="24492" spans="20:20" s="566" customFormat="1">
      <c r="T24492" s="41"/>
    </row>
    <row r="24493" spans="20:20" s="566" customFormat="1">
      <c r="T24493" s="41"/>
    </row>
    <row r="24494" spans="20:20" s="566" customFormat="1">
      <c r="T24494" s="41"/>
    </row>
    <row r="24495" spans="20:20" s="566" customFormat="1">
      <c r="T24495" s="41"/>
    </row>
    <row r="24496" spans="20:20" s="566" customFormat="1">
      <c r="T24496" s="41"/>
    </row>
    <row r="24497" spans="20:20" s="566" customFormat="1">
      <c r="T24497" s="41"/>
    </row>
    <row r="24498" spans="20:20" s="566" customFormat="1">
      <c r="T24498" s="41"/>
    </row>
    <row r="24499" spans="20:20" s="566" customFormat="1">
      <c r="T24499" s="41"/>
    </row>
    <row r="24500" spans="20:20" s="566" customFormat="1">
      <c r="T24500" s="41"/>
    </row>
    <row r="24501" spans="20:20" s="566" customFormat="1">
      <c r="T24501" s="41"/>
    </row>
    <row r="24502" spans="20:20" s="566" customFormat="1">
      <c r="T24502" s="41"/>
    </row>
    <row r="24503" spans="20:20" s="566" customFormat="1">
      <c r="T24503" s="41"/>
    </row>
    <row r="24504" spans="20:20" s="566" customFormat="1">
      <c r="T24504" s="41"/>
    </row>
    <row r="24505" spans="20:20" s="566" customFormat="1">
      <c r="T24505" s="41"/>
    </row>
    <row r="24506" spans="20:20" s="566" customFormat="1">
      <c r="T24506" s="41"/>
    </row>
    <row r="24507" spans="20:20" s="566" customFormat="1">
      <c r="T24507" s="41"/>
    </row>
    <row r="24508" spans="20:20" s="566" customFormat="1">
      <c r="T24508" s="41"/>
    </row>
    <row r="24509" spans="20:20" s="566" customFormat="1">
      <c r="T24509" s="41"/>
    </row>
    <row r="24510" spans="20:20" s="566" customFormat="1">
      <c r="T24510" s="41"/>
    </row>
    <row r="24511" spans="20:20" s="566" customFormat="1">
      <c r="T24511" s="41"/>
    </row>
    <row r="24512" spans="20:20" s="566" customFormat="1">
      <c r="T24512" s="41"/>
    </row>
    <row r="24513" spans="20:20" s="566" customFormat="1">
      <c r="T24513" s="41"/>
    </row>
    <row r="24514" spans="20:20" s="566" customFormat="1">
      <c r="T24514" s="41"/>
    </row>
    <row r="24515" spans="20:20" s="566" customFormat="1">
      <c r="T24515" s="41"/>
    </row>
    <row r="24516" spans="20:20" s="566" customFormat="1">
      <c r="T24516" s="41"/>
    </row>
    <row r="24517" spans="20:20" s="566" customFormat="1">
      <c r="T24517" s="41"/>
    </row>
    <row r="24518" spans="20:20" s="566" customFormat="1">
      <c r="T24518" s="41"/>
    </row>
    <row r="24519" spans="20:20" s="566" customFormat="1">
      <c r="T24519" s="41"/>
    </row>
    <row r="24520" spans="20:20" s="566" customFormat="1">
      <c r="T24520" s="41"/>
    </row>
    <row r="24521" spans="20:20" s="566" customFormat="1">
      <c r="T24521" s="41"/>
    </row>
    <row r="24522" spans="20:20" s="566" customFormat="1">
      <c r="T24522" s="41"/>
    </row>
    <row r="24523" spans="20:20" s="566" customFormat="1">
      <c r="T24523" s="41"/>
    </row>
    <row r="24524" spans="20:20" s="566" customFormat="1">
      <c r="T24524" s="41"/>
    </row>
    <row r="24525" spans="20:20" s="566" customFormat="1">
      <c r="T24525" s="41"/>
    </row>
    <row r="24526" spans="20:20" s="566" customFormat="1">
      <c r="T24526" s="41"/>
    </row>
    <row r="24527" spans="20:20" s="566" customFormat="1">
      <c r="T24527" s="41"/>
    </row>
    <row r="24528" spans="20:20" s="566" customFormat="1">
      <c r="T24528" s="41"/>
    </row>
    <row r="24529" spans="20:20" s="566" customFormat="1">
      <c r="T24529" s="41"/>
    </row>
    <row r="24530" spans="20:20" s="566" customFormat="1">
      <c r="T24530" s="41"/>
    </row>
    <row r="24531" spans="20:20" s="566" customFormat="1">
      <c r="T24531" s="41"/>
    </row>
    <row r="24532" spans="20:20" s="566" customFormat="1">
      <c r="T24532" s="41"/>
    </row>
    <row r="24533" spans="20:20" s="566" customFormat="1">
      <c r="T24533" s="41"/>
    </row>
    <row r="24534" spans="20:20" s="566" customFormat="1">
      <c r="T24534" s="41"/>
    </row>
    <row r="24535" spans="20:20" s="566" customFormat="1">
      <c r="T24535" s="41"/>
    </row>
    <row r="24536" spans="20:20" s="566" customFormat="1">
      <c r="T24536" s="41"/>
    </row>
    <row r="24537" spans="20:20" s="566" customFormat="1">
      <c r="T24537" s="41"/>
    </row>
    <row r="24538" spans="20:20" s="566" customFormat="1">
      <c r="T24538" s="41"/>
    </row>
    <row r="24539" spans="20:20" s="566" customFormat="1">
      <c r="T24539" s="41"/>
    </row>
    <row r="24540" spans="20:20" s="566" customFormat="1">
      <c r="T24540" s="41"/>
    </row>
    <row r="24541" spans="20:20" s="566" customFormat="1">
      <c r="T24541" s="41"/>
    </row>
    <row r="24542" spans="20:20" s="566" customFormat="1">
      <c r="T24542" s="41"/>
    </row>
    <row r="24543" spans="20:20" s="566" customFormat="1">
      <c r="T24543" s="41"/>
    </row>
    <row r="24544" spans="20:20" s="566" customFormat="1">
      <c r="T24544" s="41"/>
    </row>
    <row r="24545" spans="20:20" s="566" customFormat="1">
      <c r="T24545" s="41"/>
    </row>
    <row r="24546" spans="20:20" s="566" customFormat="1">
      <c r="T24546" s="41"/>
    </row>
    <row r="24547" spans="20:20" s="566" customFormat="1">
      <c r="T24547" s="41"/>
    </row>
    <row r="24548" spans="20:20" s="566" customFormat="1">
      <c r="T24548" s="41"/>
    </row>
    <row r="24549" spans="20:20" s="566" customFormat="1">
      <c r="T24549" s="41"/>
    </row>
    <row r="24550" spans="20:20" s="566" customFormat="1">
      <c r="T24550" s="41"/>
    </row>
    <row r="24551" spans="20:20" s="566" customFormat="1">
      <c r="T24551" s="41"/>
    </row>
    <row r="24552" spans="20:20" s="566" customFormat="1">
      <c r="T24552" s="41"/>
    </row>
    <row r="24553" spans="20:20" s="566" customFormat="1">
      <c r="T24553" s="41"/>
    </row>
    <row r="24554" spans="20:20" s="566" customFormat="1">
      <c r="T24554" s="41"/>
    </row>
    <row r="24555" spans="20:20" s="566" customFormat="1">
      <c r="T24555" s="41"/>
    </row>
    <row r="24556" spans="20:20" s="566" customFormat="1">
      <c r="T24556" s="41"/>
    </row>
    <row r="24557" spans="20:20" s="566" customFormat="1">
      <c r="T24557" s="41"/>
    </row>
    <row r="24558" spans="20:20" s="566" customFormat="1">
      <c r="T24558" s="41"/>
    </row>
    <row r="24559" spans="20:20" s="566" customFormat="1">
      <c r="T24559" s="41"/>
    </row>
    <row r="24560" spans="20:20" s="566" customFormat="1">
      <c r="T24560" s="41"/>
    </row>
    <row r="24561" spans="20:20" s="566" customFormat="1">
      <c r="T24561" s="41"/>
    </row>
    <row r="24562" spans="20:20" s="566" customFormat="1">
      <c r="T24562" s="41"/>
    </row>
    <row r="24563" spans="20:20" s="566" customFormat="1">
      <c r="T24563" s="41"/>
    </row>
    <row r="24564" spans="20:20" s="566" customFormat="1">
      <c r="T24564" s="41"/>
    </row>
    <row r="24565" spans="20:20" s="566" customFormat="1">
      <c r="T24565" s="41"/>
    </row>
    <row r="24566" spans="20:20" s="566" customFormat="1">
      <c r="T24566" s="41"/>
    </row>
    <row r="24567" spans="20:20" s="566" customFormat="1">
      <c r="T24567" s="41"/>
    </row>
    <row r="24568" spans="20:20" s="566" customFormat="1">
      <c r="T24568" s="41"/>
    </row>
    <row r="24569" spans="20:20" s="566" customFormat="1">
      <c r="T24569" s="41"/>
    </row>
    <row r="24570" spans="20:20" s="566" customFormat="1">
      <c r="T24570" s="41"/>
    </row>
    <row r="24571" spans="20:20" s="566" customFormat="1">
      <c r="T24571" s="41"/>
    </row>
    <row r="24572" spans="20:20" s="566" customFormat="1">
      <c r="T24572" s="41"/>
    </row>
    <row r="24573" spans="20:20" s="566" customFormat="1">
      <c r="T24573" s="41"/>
    </row>
    <row r="24574" spans="20:20" s="566" customFormat="1">
      <c r="T24574" s="41"/>
    </row>
    <row r="24575" spans="20:20" s="566" customFormat="1">
      <c r="T24575" s="41"/>
    </row>
    <row r="24576" spans="20:20" s="566" customFormat="1">
      <c r="T24576" s="41"/>
    </row>
    <row r="24577" spans="20:20" s="566" customFormat="1">
      <c r="T24577" s="41"/>
    </row>
    <row r="24578" spans="20:20" s="566" customFormat="1">
      <c r="T24578" s="41"/>
    </row>
    <row r="24579" spans="20:20" s="566" customFormat="1">
      <c r="T24579" s="41"/>
    </row>
    <row r="24580" spans="20:20" s="566" customFormat="1">
      <c r="T24580" s="41"/>
    </row>
    <row r="24581" spans="20:20" s="566" customFormat="1">
      <c r="T24581" s="41"/>
    </row>
    <row r="24582" spans="20:20" s="566" customFormat="1">
      <c r="T24582" s="41"/>
    </row>
    <row r="24583" spans="20:20" s="566" customFormat="1">
      <c r="T24583" s="41"/>
    </row>
    <row r="24584" spans="20:20" s="566" customFormat="1">
      <c r="T24584" s="41"/>
    </row>
    <row r="24585" spans="20:20" s="566" customFormat="1">
      <c r="T24585" s="41"/>
    </row>
    <row r="24586" spans="20:20" s="566" customFormat="1">
      <c r="T24586" s="41"/>
    </row>
    <row r="24587" spans="20:20" s="566" customFormat="1">
      <c r="T24587" s="41"/>
    </row>
    <row r="24588" spans="20:20" s="566" customFormat="1">
      <c r="T24588" s="41"/>
    </row>
    <row r="24589" spans="20:20" s="566" customFormat="1">
      <c r="T24589" s="41"/>
    </row>
    <row r="24590" spans="20:20" s="566" customFormat="1">
      <c r="T24590" s="41"/>
    </row>
    <row r="24591" spans="20:20" s="566" customFormat="1">
      <c r="T24591" s="41"/>
    </row>
    <row r="24592" spans="20:20" s="566" customFormat="1">
      <c r="T24592" s="41"/>
    </row>
    <row r="24593" spans="20:20" s="566" customFormat="1">
      <c r="T24593" s="41"/>
    </row>
    <row r="24594" spans="20:20" s="566" customFormat="1">
      <c r="T24594" s="41"/>
    </row>
    <row r="24595" spans="20:20" s="566" customFormat="1">
      <c r="T24595" s="41"/>
    </row>
    <row r="24596" spans="20:20" s="566" customFormat="1">
      <c r="T24596" s="41"/>
    </row>
    <row r="24597" spans="20:20" s="566" customFormat="1">
      <c r="T24597" s="41"/>
    </row>
    <row r="24598" spans="20:20" s="566" customFormat="1">
      <c r="T24598" s="41"/>
    </row>
    <row r="24599" spans="20:20" s="566" customFormat="1">
      <c r="T24599" s="41"/>
    </row>
    <row r="24600" spans="20:20" s="566" customFormat="1">
      <c r="T24600" s="41"/>
    </row>
    <row r="24601" spans="20:20" s="566" customFormat="1">
      <c r="T24601" s="41"/>
    </row>
    <row r="24602" spans="20:20" s="566" customFormat="1">
      <c r="T24602" s="41"/>
    </row>
    <row r="24603" spans="20:20" s="566" customFormat="1">
      <c r="T24603" s="41"/>
    </row>
    <row r="24604" spans="20:20" s="566" customFormat="1">
      <c r="T24604" s="41"/>
    </row>
    <row r="24605" spans="20:20" s="566" customFormat="1">
      <c r="T24605" s="41"/>
    </row>
    <row r="24606" spans="20:20" s="566" customFormat="1">
      <c r="T24606" s="41"/>
    </row>
    <row r="24607" spans="20:20" s="566" customFormat="1">
      <c r="T24607" s="41"/>
    </row>
    <row r="24608" spans="20:20" s="566" customFormat="1">
      <c r="T24608" s="41"/>
    </row>
    <row r="24609" spans="20:20" s="566" customFormat="1">
      <c r="T24609" s="41"/>
    </row>
    <row r="24610" spans="20:20" s="566" customFormat="1">
      <c r="T24610" s="41"/>
    </row>
    <row r="24611" spans="20:20" s="566" customFormat="1">
      <c r="T24611" s="41"/>
    </row>
    <row r="24612" spans="20:20" s="566" customFormat="1">
      <c r="T24612" s="41"/>
    </row>
    <row r="24613" spans="20:20" s="566" customFormat="1">
      <c r="T24613" s="41"/>
    </row>
    <row r="24614" spans="20:20" s="566" customFormat="1">
      <c r="T24614" s="41"/>
    </row>
    <row r="24615" spans="20:20" s="566" customFormat="1">
      <c r="T24615" s="41"/>
    </row>
    <row r="24616" spans="20:20" s="566" customFormat="1">
      <c r="T24616" s="41"/>
    </row>
    <row r="24617" spans="20:20" s="566" customFormat="1">
      <c r="T24617" s="41"/>
    </row>
    <row r="24618" spans="20:20" s="566" customFormat="1">
      <c r="T24618" s="41"/>
    </row>
    <row r="24619" spans="20:20" s="566" customFormat="1">
      <c r="T24619" s="41"/>
    </row>
    <row r="24620" spans="20:20" s="566" customFormat="1">
      <c r="T24620" s="41"/>
    </row>
    <row r="24621" spans="20:20" s="566" customFormat="1">
      <c r="T24621" s="41"/>
    </row>
    <row r="24622" spans="20:20" s="566" customFormat="1">
      <c r="T24622" s="41"/>
    </row>
    <row r="24623" spans="20:20" s="566" customFormat="1">
      <c r="T24623" s="41"/>
    </row>
    <row r="24624" spans="20:20" s="566" customFormat="1">
      <c r="T24624" s="41"/>
    </row>
    <row r="24625" spans="20:20" s="566" customFormat="1">
      <c r="T24625" s="41"/>
    </row>
    <row r="24626" spans="20:20" s="566" customFormat="1">
      <c r="T24626" s="41"/>
    </row>
    <row r="24627" spans="20:20" s="566" customFormat="1">
      <c r="T24627" s="41"/>
    </row>
    <row r="24628" spans="20:20" s="566" customFormat="1">
      <c r="T24628" s="41"/>
    </row>
    <row r="24629" spans="20:20" s="566" customFormat="1">
      <c r="T24629" s="41"/>
    </row>
    <row r="24630" spans="20:20" s="566" customFormat="1">
      <c r="T24630" s="41"/>
    </row>
    <row r="24631" spans="20:20" s="566" customFormat="1">
      <c r="T24631" s="41"/>
    </row>
    <row r="24632" spans="20:20" s="566" customFormat="1">
      <c r="T24632" s="41"/>
    </row>
    <row r="24633" spans="20:20" s="566" customFormat="1">
      <c r="T24633" s="41"/>
    </row>
    <row r="24634" spans="20:20" s="566" customFormat="1">
      <c r="T24634" s="41"/>
    </row>
    <row r="24635" spans="20:20" s="566" customFormat="1">
      <c r="T24635" s="41"/>
    </row>
    <row r="24636" spans="20:20" s="566" customFormat="1">
      <c r="T24636" s="41"/>
    </row>
    <row r="24637" spans="20:20" s="566" customFormat="1">
      <c r="T24637" s="41"/>
    </row>
    <row r="24638" spans="20:20" s="566" customFormat="1">
      <c r="T24638" s="41"/>
    </row>
    <row r="24639" spans="20:20" s="566" customFormat="1">
      <c r="T24639" s="41"/>
    </row>
    <row r="24640" spans="20:20" s="566" customFormat="1">
      <c r="T24640" s="41"/>
    </row>
    <row r="24641" spans="20:20" s="566" customFormat="1">
      <c r="T24641" s="41"/>
    </row>
    <row r="24642" spans="20:20" s="566" customFormat="1">
      <c r="T24642" s="41"/>
    </row>
    <row r="24643" spans="20:20" s="566" customFormat="1">
      <c r="T24643" s="41"/>
    </row>
    <row r="24644" spans="20:20" s="566" customFormat="1">
      <c r="T24644" s="41"/>
    </row>
    <row r="24645" spans="20:20" s="566" customFormat="1">
      <c r="T24645" s="41"/>
    </row>
    <row r="24646" spans="20:20" s="566" customFormat="1">
      <c r="T24646" s="41"/>
    </row>
    <row r="24647" spans="20:20" s="566" customFormat="1">
      <c r="T24647" s="41"/>
    </row>
    <row r="24648" spans="20:20" s="566" customFormat="1">
      <c r="T24648" s="41"/>
    </row>
    <row r="24649" spans="20:20" s="566" customFormat="1">
      <c r="T24649" s="41"/>
    </row>
    <row r="24650" spans="20:20" s="566" customFormat="1">
      <c r="T24650" s="41"/>
    </row>
    <row r="24651" spans="20:20" s="566" customFormat="1">
      <c r="T24651" s="41"/>
    </row>
    <row r="24652" spans="20:20" s="566" customFormat="1">
      <c r="T24652" s="41"/>
    </row>
    <row r="24653" spans="20:20" s="566" customFormat="1">
      <c r="T24653" s="41"/>
    </row>
    <row r="24654" spans="20:20" s="566" customFormat="1">
      <c r="T24654" s="41"/>
    </row>
    <row r="24655" spans="20:20" s="566" customFormat="1">
      <c r="T24655" s="41"/>
    </row>
    <row r="24656" spans="20:20" s="566" customFormat="1">
      <c r="T24656" s="41"/>
    </row>
    <row r="24657" spans="20:20" s="566" customFormat="1">
      <c r="T24657" s="41"/>
    </row>
    <row r="24658" spans="20:20" s="566" customFormat="1">
      <c r="T24658" s="41"/>
    </row>
    <row r="24659" spans="20:20" s="566" customFormat="1">
      <c r="T24659" s="41"/>
    </row>
    <row r="24660" spans="20:20" s="566" customFormat="1">
      <c r="T24660" s="41"/>
    </row>
    <row r="24661" spans="20:20" s="566" customFormat="1">
      <c r="T24661" s="41"/>
    </row>
    <row r="24662" spans="20:20" s="566" customFormat="1">
      <c r="T24662" s="41"/>
    </row>
    <row r="24663" spans="20:20" s="566" customFormat="1">
      <c r="T24663" s="41"/>
    </row>
    <row r="24664" spans="20:20" s="566" customFormat="1">
      <c r="T24664" s="41"/>
    </row>
    <row r="24665" spans="20:20" s="566" customFormat="1">
      <c r="T24665" s="41"/>
    </row>
    <row r="24666" spans="20:20" s="566" customFormat="1">
      <c r="T24666" s="41"/>
    </row>
    <row r="24667" spans="20:20" s="566" customFormat="1">
      <c r="T24667" s="41"/>
    </row>
    <row r="24668" spans="20:20" s="566" customFormat="1">
      <c r="T24668" s="41"/>
    </row>
    <row r="24669" spans="20:20" s="566" customFormat="1">
      <c r="T24669" s="41"/>
    </row>
    <row r="24670" spans="20:20" s="566" customFormat="1">
      <c r="T24670" s="41"/>
    </row>
    <row r="24671" spans="20:20" s="566" customFormat="1">
      <c r="T24671" s="41"/>
    </row>
    <row r="24672" spans="20:20" s="566" customFormat="1">
      <c r="T24672" s="41"/>
    </row>
    <row r="24673" spans="20:20" s="566" customFormat="1">
      <c r="T24673" s="41"/>
    </row>
    <row r="24674" spans="20:20" s="566" customFormat="1">
      <c r="T24674" s="41"/>
    </row>
    <row r="24675" spans="20:20" s="566" customFormat="1">
      <c r="T24675" s="41"/>
    </row>
    <row r="24676" spans="20:20" s="566" customFormat="1">
      <c r="T24676" s="41"/>
    </row>
    <row r="24677" spans="20:20" s="566" customFormat="1">
      <c r="T24677" s="41"/>
    </row>
    <row r="24678" spans="20:20" s="566" customFormat="1">
      <c r="T24678" s="41"/>
    </row>
    <row r="24679" spans="20:20" s="566" customFormat="1">
      <c r="T24679" s="41"/>
    </row>
    <row r="24680" spans="20:20" s="566" customFormat="1">
      <c r="T24680" s="41"/>
    </row>
    <row r="24681" spans="20:20" s="566" customFormat="1">
      <c r="T24681" s="41"/>
    </row>
    <row r="24682" spans="20:20" s="566" customFormat="1">
      <c r="T24682" s="41"/>
    </row>
    <row r="24683" spans="20:20" s="566" customFormat="1">
      <c r="T24683" s="41"/>
    </row>
    <row r="24684" spans="20:20" s="566" customFormat="1">
      <c r="T24684" s="41"/>
    </row>
    <row r="24685" spans="20:20" s="566" customFormat="1">
      <c r="T24685" s="41"/>
    </row>
    <row r="24686" spans="20:20" s="566" customFormat="1">
      <c r="T24686" s="41"/>
    </row>
    <row r="24687" spans="20:20" s="566" customFormat="1">
      <c r="T24687" s="41"/>
    </row>
    <row r="24688" spans="20:20" s="566" customFormat="1">
      <c r="T24688" s="41"/>
    </row>
    <row r="24689" spans="20:20" s="566" customFormat="1">
      <c r="T24689" s="41"/>
    </row>
    <row r="24690" spans="20:20" s="566" customFormat="1">
      <c r="T24690" s="41"/>
    </row>
    <row r="24691" spans="20:20" s="566" customFormat="1">
      <c r="T24691" s="41"/>
    </row>
    <row r="24692" spans="20:20" s="566" customFormat="1">
      <c r="T24692" s="41"/>
    </row>
    <row r="24693" spans="20:20" s="566" customFormat="1">
      <c r="T24693" s="41"/>
    </row>
    <row r="24694" spans="20:20" s="566" customFormat="1">
      <c r="T24694" s="41"/>
    </row>
    <row r="24695" spans="20:20" s="566" customFormat="1">
      <c r="T24695" s="41"/>
    </row>
    <row r="24696" spans="20:20" s="566" customFormat="1">
      <c r="T24696" s="41"/>
    </row>
    <row r="24697" spans="20:20" s="566" customFormat="1">
      <c r="T24697" s="41"/>
    </row>
    <row r="24698" spans="20:20" s="566" customFormat="1">
      <c r="T24698" s="41"/>
    </row>
    <row r="24699" spans="20:20" s="566" customFormat="1">
      <c r="T24699" s="41"/>
    </row>
    <row r="24700" spans="20:20" s="566" customFormat="1">
      <c r="T24700" s="41"/>
    </row>
    <row r="24701" spans="20:20" s="566" customFormat="1">
      <c r="T24701" s="41"/>
    </row>
    <row r="24702" spans="20:20" s="566" customFormat="1">
      <c r="T24702" s="41"/>
    </row>
    <row r="24703" spans="20:20" s="566" customFormat="1">
      <c r="T24703" s="41"/>
    </row>
    <row r="24704" spans="20:20" s="566" customFormat="1">
      <c r="T24704" s="41"/>
    </row>
    <row r="24705" spans="20:20" s="566" customFormat="1">
      <c r="T24705" s="41"/>
    </row>
    <row r="24706" spans="20:20" s="566" customFormat="1">
      <c r="T24706" s="41"/>
    </row>
    <row r="24707" spans="20:20" s="566" customFormat="1">
      <c r="T24707" s="41"/>
    </row>
    <row r="24708" spans="20:20" s="566" customFormat="1">
      <c r="T24708" s="41"/>
    </row>
    <row r="24709" spans="20:20" s="566" customFormat="1">
      <c r="T24709" s="41"/>
    </row>
    <row r="24710" spans="20:20" s="566" customFormat="1">
      <c r="T24710" s="41"/>
    </row>
    <row r="24711" spans="20:20" s="566" customFormat="1">
      <c r="T24711" s="41"/>
    </row>
    <row r="24712" spans="20:20" s="566" customFormat="1">
      <c r="T24712" s="41"/>
    </row>
    <row r="24713" spans="20:20" s="566" customFormat="1">
      <c r="T24713" s="41"/>
    </row>
    <row r="24714" spans="20:20" s="566" customFormat="1">
      <c r="T24714" s="41"/>
    </row>
    <row r="24715" spans="20:20" s="566" customFormat="1">
      <c r="T24715" s="41"/>
    </row>
    <row r="24716" spans="20:20" s="566" customFormat="1">
      <c r="T24716" s="41"/>
    </row>
    <row r="24717" spans="20:20" s="566" customFormat="1">
      <c r="T24717" s="41"/>
    </row>
    <row r="24718" spans="20:20" s="566" customFormat="1">
      <c r="T24718" s="41"/>
    </row>
    <row r="24719" spans="20:20" s="566" customFormat="1">
      <c r="T24719" s="41"/>
    </row>
    <row r="24720" spans="20:20" s="566" customFormat="1">
      <c r="T24720" s="41"/>
    </row>
    <row r="24721" spans="20:20" s="566" customFormat="1">
      <c r="T24721" s="41"/>
    </row>
    <row r="24722" spans="20:20" s="566" customFormat="1">
      <c r="T24722" s="41"/>
    </row>
    <row r="24723" spans="20:20" s="566" customFormat="1">
      <c r="T24723" s="41"/>
    </row>
    <row r="24724" spans="20:20" s="566" customFormat="1">
      <c r="T24724" s="41"/>
    </row>
    <row r="24725" spans="20:20" s="566" customFormat="1">
      <c r="T24725" s="41"/>
    </row>
    <row r="24726" spans="20:20" s="566" customFormat="1">
      <c r="T24726" s="41"/>
    </row>
    <row r="24727" spans="20:20" s="566" customFormat="1">
      <c r="T24727" s="41"/>
    </row>
    <row r="24728" spans="20:20" s="566" customFormat="1">
      <c r="T24728" s="41"/>
    </row>
    <row r="24729" spans="20:20" s="566" customFormat="1">
      <c r="T24729" s="41"/>
    </row>
    <row r="24730" spans="20:20" s="566" customFormat="1">
      <c r="T24730" s="41"/>
    </row>
    <row r="24731" spans="20:20" s="566" customFormat="1">
      <c r="T24731" s="41"/>
    </row>
    <row r="24732" spans="20:20" s="566" customFormat="1">
      <c r="T24732" s="41"/>
    </row>
    <row r="24733" spans="20:20" s="566" customFormat="1">
      <c r="T24733" s="41"/>
    </row>
    <row r="24734" spans="20:20" s="566" customFormat="1">
      <c r="T24734" s="41"/>
    </row>
    <row r="24735" spans="20:20" s="566" customFormat="1">
      <c r="T24735" s="41"/>
    </row>
    <row r="24736" spans="20:20" s="566" customFormat="1">
      <c r="T24736" s="41"/>
    </row>
    <row r="24737" spans="20:20" s="566" customFormat="1">
      <c r="T24737" s="41"/>
    </row>
    <row r="24738" spans="20:20" s="566" customFormat="1">
      <c r="T24738" s="41"/>
    </row>
    <row r="24739" spans="20:20" s="566" customFormat="1">
      <c r="T24739" s="41"/>
    </row>
    <row r="24740" spans="20:20" s="566" customFormat="1">
      <c r="T24740" s="41"/>
    </row>
    <row r="24741" spans="20:20" s="566" customFormat="1">
      <c r="T24741" s="41"/>
    </row>
    <row r="24742" spans="20:20" s="566" customFormat="1">
      <c r="T24742" s="41"/>
    </row>
    <row r="24743" spans="20:20" s="566" customFormat="1">
      <c r="T24743" s="41"/>
    </row>
    <row r="24744" spans="20:20" s="566" customFormat="1">
      <c r="T24744" s="41"/>
    </row>
    <row r="24745" spans="20:20" s="566" customFormat="1">
      <c r="T24745" s="41"/>
    </row>
    <row r="24746" spans="20:20" s="566" customFormat="1">
      <c r="T24746" s="41"/>
    </row>
    <row r="24747" spans="20:20" s="566" customFormat="1">
      <c r="T24747" s="41"/>
    </row>
    <row r="24748" spans="20:20" s="566" customFormat="1">
      <c r="T24748" s="41"/>
    </row>
    <row r="24749" spans="20:20" s="566" customFormat="1">
      <c r="T24749" s="41"/>
    </row>
    <row r="24750" spans="20:20" s="566" customFormat="1">
      <c r="T24750" s="41"/>
    </row>
    <row r="24751" spans="20:20" s="566" customFormat="1">
      <c r="T24751" s="41"/>
    </row>
    <row r="24752" spans="20:20" s="566" customFormat="1">
      <c r="T24752" s="41"/>
    </row>
    <row r="24753" spans="20:20" s="566" customFormat="1">
      <c r="T24753" s="41"/>
    </row>
    <row r="24754" spans="20:20" s="566" customFormat="1">
      <c r="T24754" s="41"/>
    </row>
    <row r="24755" spans="20:20" s="566" customFormat="1">
      <c r="T24755" s="41"/>
    </row>
    <row r="24756" spans="20:20" s="566" customFormat="1">
      <c r="T24756" s="41"/>
    </row>
    <row r="24757" spans="20:20" s="566" customFormat="1">
      <c r="T24757" s="41"/>
    </row>
    <row r="24758" spans="20:20" s="566" customFormat="1">
      <c r="T24758" s="41"/>
    </row>
    <row r="24759" spans="20:20" s="566" customFormat="1">
      <c r="T24759" s="41"/>
    </row>
    <row r="24760" spans="20:20" s="566" customFormat="1">
      <c r="T24760" s="41"/>
    </row>
    <row r="24761" spans="20:20" s="566" customFormat="1">
      <c r="T24761" s="41"/>
    </row>
    <row r="24762" spans="20:20" s="566" customFormat="1">
      <c r="T24762" s="41"/>
    </row>
    <row r="24763" spans="20:20" s="566" customFormat="1">
      <c r="T24763" s="41"/>
    </row>
    <row r="24764" spans="20:20" s="566" customFormat="1">
      <c r="T24764" s="41"/>
    </row>
    <row r="24765" spans="20:20" s="566" customFormat="1">
      <c r="T24765" s="41"/>
    </row>
    <row r="24766" spans="20:20" s="566" customFormat="1">
      <c r="T24766" s="41"/>
    </row>
    <row r="24767" spans="20:20" s="566" customFormat="1">
      <c r="T24767" s="41"/>
    </row>
    <row r="24768" spans="20:20" s="566" customFormat="1">
      <c r="T24768" s="41"/>
    </row>
    <row r="24769" spans="20:20" s="566" customFormat="1">
      <c r="T24769" s="41"/>
    </row>
    <row r="24770" spans="20:20" s="566" customFormat="1">
      <c r="T24770" s="41"/>
    </row>
    <row r="24771" spans="20:20" s="566" customFormat="1">
      <c r="T24771" s="41"/>
    </row>
    <row r="24772" spans="20:20" s="566" customFormat="1">
      <c r="T24772" s="41"/>
    </row>
    <row r="24773" spans="20:20" s="566" customFormat="1">
      <c r="T24773" s="41"/>
    </row>
    <row r="24774" spans="20:20" s="566" customFormat="1">
      <c r="T24774" s="41"/>
    </row>
    <row r="24775" spans="20:20" s="566" customFormat="1">
      <c r="T24775" s="41"/>
    </row>
    <row r="24776" spans="20:20" s="566" customFormat="1">
      <c r="T24776" s="41"/>
    </row>
    <row r="24777" spans="20:20" s="566" customFormat="1">
      <c r="T24777" s="41"/>
    </row>
    <row r="24778" spans="20:20" s="566" customFormat="1">
      <c r="T24778" s="41"/>
    </row>
    <row r="24779" spans="20:20" s="566" customFormat="1">
      <c r="T24779" s="41"/>
    </row>
    <row r="24780" spans="20:20" s="566" customFormat="1">
      <c r="T24780" s="41"/>
    </row>
    <row r="24781" spans="20:20" s="566" customFormat="1">
      <c r="T24781" s="41"/>
    </row>
    <row r="24782" spans="20:20" s="566" customFormat="1">
      <c r="T24782" s="41"/>
    </row>
    <row r="24783" spans="20:20" s="566" customFormat="1">
      <c r="T24783" s="41"/>
    </row>
    <row r="24784" spans="20:20" s="566" customFormat="1">
      <c r="T24784" s="41"/>
    </row>
    <row r="24785" spans="20:20" s="566" customFormat="1">
      <c r="T24785" s="41"/>
    </row>
    <row r="24786" spans="20:20" s="566" customFormat="1">
      <c r="T24786" s="41"/>
    </row>
    <row r="24787" spans="20:20" s="566" customFormat="1">
      <c r="T24787" s="41"/>
    </row>
    <row r="24788" spans="20:20" s="566" customFormat="1">
      <c r="T24788" s="41"/>
    </row>
    <row r="24789" spans="20:20" s="566" customFormat="1">
      <c r="T24789" s="41"/>
    </row>
    <row r="24790" spans="20:20" s="566" customFormat="1">
      <c r="T24790" s="41"/>
    </row>
    <row r="24791" spans="20:20" s="566" customFormat="1">
      <c r="T24791" s="41"/>
    </row>
    <row r="24792" spans="20:20" s="566" customFormat="1">
      <c r="T24792" s="41"/>
    </row>
    <row r="24793" spans="20:20" s="566" customFormat="1">
      <c r="T24793" s="41"/>
    </row>
    <row r="24794" spans="20:20" s="566" customFormat="1">
      <c r="T24794" s="41"/>
    </row>
    <row r="24795" spans="20:20" s="566" customFormat="1">
      <c r="T24795" s="41"/>
    </row>
    <row r="24796" spans="20:20" s="566" customFormat="1">
      <c r="T24796" s="41"/>
    </row>
    <row r="24797" spans="20:20" s="566" customFormat="1">
      <c r="T24797" s="41"/>
    </row>
    <row r="24798" spans="20:20" s="566" customFormat="1">
      <c r="T24798" s="41"/>
    </row>
    <row r="24799" spans="20:20" s="566" customFormat="1">
      <c r="T24799" s="41"/>
    </row>
    <row r="24800" spans="20:20" s="566" customFormat="1">
      <c r="T24800" s="41"/>
    </row>
    <row r="24801" spans="20:20" s="566" customFormat="1">
      <c r="T24801" s="41"/>
    </row>
    <row r="24802" spans="20:20" s="566" customFormat="1">
      <c r="T24802" s="41"/>
    </row>
    <row r="24803" spans="20:20" s="566" customFormat="1">
      <c r="T24803" s="41"/>
    </row>
    <row r="24804" spans="20:20" s="566" customFormat="1">
      <c r="T24804" s="41"/>
    </row>
    <row r="24805" spans="20:20" s="566" customFormat="1">
      <c r="T24805" s="41"/>
    </row>
    <row r="24806" spans="20:20" s="566" customFormat="1">
      <c r="T24806" s="41"/>
    </row>
    <row r="24807" spans="20:20" s="566" customFormat="1">
      <c r="T24807" s="41"/>
    </row>
    <row r="24808" spans="20:20" s="566" customFormat="1">
      <c r="T24808" s="41"/>
    </row>
    <row r="24809" spans="20:20" s="566" customFormat="1">
      <c r="T24809" s="41"/>
    </row>
    <row r="24810" spans="20:20" s="566" customFormat="1">
      <c r="T24810" s="41"/>
    </row>
    <row r="24811" spans="20:20" s="566" customFormat="1">
      <c r="T24811" s="41"/>
    </row>
    <row r="24812" spans="20:20" s="566" customFormat="1">
      <c r="T24812" s="41"/>
    </row>
    <row r="24813" spans="20:20" s="566" customFormat="1">
      <c r="T24813" s="41"/>
    </row>
    <row r="24814" spans="20:20" s="566" customFormat="1">
      <c r="T24814" s="41"/>
    </row>
    <row r="24815" spans="20:20" s="566" customFormat="1">
      <c r="T24815" s="41"/>
    </row>
    <row r="24816" spans="20:20" s="566" customFormat="1">
      <c r="T24816" s="41"/>
    </row>
    <row r="24817" spans="20:20" s="566" customFormat="1">
      <c r="T24817" s="41"/>
    </row>
    <row r="24818" spans="20:20" s="566" customFormat="1">
      <c r="T24818" s="41"/>
    </row>
    <row r="24819" spans="20:20" s="566" customFormat="1">
      <c r="T24819" s="41"/>
    </row>
    <row r="24820" spans="20:20" s="566" customFormat="1">
      <c r="T24820" s="41"/>
    </row>
    <row r="24821" spans="20:20" s="566" customFormat="1">
      <c r="T24821" s="41"/>
    </row>
    <row r="24822" spans="20:20" s="566" customFormat="1">
      <c r="T24822" s="41"/>
    </row>
    <row r="24823" spans="20:20" s="566" customFormat="1">
      <c r="T24823" s="41"/>
    </row>
    <row r="24824" spans="20:20" s="566" customFormat="1">
      <c r="T24824" s="41"/>
    </row>
    <row r="24825" spans="20:20" s="566" customFormat="1">
      <c r="T24825" s="41"/>
    </row>
    <row r="24826" spans="20:20" s="566" customFormat="1">
      <c r="T24826" s="41"/>
    </row>
    <row r="24827" spans="20:20" s="566" customFormat="1">
      <c r="T24827" s="41"/>
    </row>
    <row r="24828" spans="20:20" s="566" customFormat="1">
      <c r="T24828" s="41"/>
    </row>
    <row r="24829" spans="20:20" s="566" customFormat="1">
      <c r="T24829" s="41"/>
    </row>
    <row r="24830" spans="20:20" s="566" customFormat="1">
      <c r="T24830" s="41"/>
    </row>
    <row r="24831" spans="20:20" s="566" customFormat="1">
      <c r="T24831" s="41"/>
    </row>
    <row r="24832" spans="20:20" s="566" customFormat="1">
      <c r="T24832" s="41"/>
    </row>
    <row r="24833" spans="20:20" s="566" customFormat="1">
      <c r="T24833" s="41"/>
    </row>
    <row r="24834" spans="20:20" s="566" customFormat="1">
      <c r="T24834" s="41"/>
    </row>
    <row r="24835" spans="20:20" s="566" customFormat="1">
      <c r="T24835" s="41"/>
    </row>
    <row r="24836" spans="20:20" s="566" customFormat="1">
      <c r="T24836" s="41"/>
    </row>
    <row r="24837" spans="20:20" s="566" customFormat="1">
      <c r="T24837" s="41"/>
    </row>
    <row r="24838" spans="20:20" s="566" customFormat="1">
      <c r="T24838" s="41"/>
    </row>
    <row r="24839" spans="20:20" s="566" customFormat="1">
      <c r="T24839" s="41"/>
    </row>
    <row r="24840" spans="20:20" s="566" customFormat="1">
      <c r="T24840" s="41"/>
    </row>
    <row r="24841" spans="20:20" s="566" customFormat="1">
      <c r="T24841" s="41"/>
    </row>
    <row r="24842" spans="20:20" s="566" customFormat="1">
      <c r="T24842" s="41"/>
    </row>
    <row r="24843" spans="20:20" s="566" customFormat="1">
      <c r="T24843" s="41"/>
    </row>
    <row r="24844" spans="20:20" s="566" customFormat="1">
      <c r="T24844" s="41"/>
    </row>
    <row r="24845" spans="20:20" s="566" customFormat="1">
      <c r="T24845" s="41"/>
    </row>
    <row r="24846" spans="20:20" s="566" customFormat="1">
      <c r="T24846" s="41"/>
    </row>
    <row r="24847" spans="20:20" s="566" customFormat="1">
      <c r="T24847" s="41"/>
    </row>
    <row r="24848" spans="20:20" s="566" customFormat="1">
      <c r="T24848" s="41"/>
    </row>
    <row r="24849" spans="20:20" s="566" customFormat="1">
      <c r="T24849" s="41"/>
    </row>
    <row r="24850" spans="20:20" s="566" customFormat="1">
      <c r="T24850" s="41"/>
    </row>
    <row r="24851" spans="20:20" s="566" customFormat="1">
      <c r="T24851" s="41"/>
    </row>
    <row r="24852" spans="20:20" s="566" customFormat="1">
      <c r="T24852" s="41"/>
    </row>
    <row r="24853" spans="20:20" s="566" customFormat="1">
      <c r="T24853" s="41"/>
    </row>
    <row r="24854" spans="20:20" s="566" customFormat="1">
      <c r="T24854" s="41"/>
    </row>
    <row r="24855" spans="20:20" s="566" customFormat="1">
      <c r="T24855" s="41"/>
    </row>
    <row r="24856" spans="20:20" s="566" customFormat="1">
      <c r="T24856" s="41"/>
    </row>
    <row r="24857" spans="20:20" s="566" customFormat="1">
      <c r="T24857" s="41"/>
    </row>
    <row r="24858" spans="20:20" s="566" customFormat="1">
      <c r="T24858" s="41"/>
    </row>
    <row r="24859" spans="20:20" s="566" customFormat="1">
      <c r="T24859" s="41"/>
    </row>
    <row r="24860" spans="20:20" s="566" customFormat="1">
      <c r="T24860" s="41"/>
    </row>
    <row r="24861" spans="20:20" s="566" customFormat="1">
      <c r="T24861" s="41"/>
    </row>
    <row r="24862" spans="20:20" s="566" customFormat="1">
      <c r="T24862" s="41"/>
    </row>
    <row r="24863" spans="20:20" s="566" customFormat="1">
      <c r="T24863" s="41"/>
    </row>
    <row r="24864" spans="20:20" s="566" customFormat="1">
      <c r="T24864" s="41"/>
    </row>
    <row r="24865" spans="20:20" s="566" customFormat="1">
      <c r="T24865" s="41"/>
    </row>
    <row r="24866" spans="20:20" s="566" customFormat="1">
      <c r="T24866" s="41"/>
    </row>
    <row r="24867" spans="20:20" s="566" customFormat="1">
      <c r="T24867" s="41"/>
    </row>
    <row r="24868" spans="20:20" s="566" customFormat="1">
      <c r="T24868" s="41"/>
    </row>
    <row r="24869" spans="20:20" s="566" customFormat="1">
      <c r="T24869" s="41"/>
    </row>
    <row r="24870" spans="20:20" s="566" customFormat="1">
      <c r="T24870" s="41"/>
    </row>
    <row r="24871" spans="20:20" s="566" customFormat="1">
      <c r="T24871" s="41"/>
    </row>
    <row r="24872" spans="20:20" s="566" customFormat="1">
      <c r="T24872" s="41"/>
    </row>
    <row r="24873" spans="20:20" s="566" customFormat="1">
      <c r="T24873" s="41"/>
    </row>
    <row r="24874" spans="20:20" s="566" customFormat="1">
      <c r="T24874" s="41"/>
    </row>
    <row r="24875" spans="20:20" s="566" customFormat="1">
      <c r="T24875" s="41"/>
    </row>
    <row r="24876" spans="20:20" s="566" customFormat="1">
      <c r="T24876" s="41"/>
    </row>
    <row r="24877" spans="20:20" s="566" customFormat="1">
      <c r="T24877" s="41"/>
    </row>
    <row r="24878" spans="20:20" s="566" customFormat="1">
      <c r="T24878" s="41"/>
    </row>
    <row r="24879" spans="20:20" s="566" customFormat="1">
      <c r="T24879" s="41"/>
    </row>
    <row r="24880" spans="20:20" s="566" customFormat="1">
      <c r="T24880" s="41"/>
    </row>
    <row r="24881" spans="20:20" s="566" customFormat="1">
      <c r="T24881" s="41"/>
    </row>
    <row r="24882" spans="20:20" s="566" customFormat="1">
      <c r="T24882" s="41"/>
    </row>
    <row r="24883" spans="20:20" s="566" customFormat="1">
      <c r="T24883" s="41"/>
    </row>
    <row r="24884" spans="20:20" s="566" customFormat="1">
      <c r="T24884" s="41"/>
    </row>
    <row r="24885" spans="20:20" s="566" customFormat="1">
      <c r="T24885" s="41"/>
    </row>
    <row r="24886" spans="20:20" s="566" customFormat="1">
      <c r="T24886" s="41"/>
    </row>
    <row r="24887" spans="20:20" s="566" customFormat="1">
      <c r="T24887" s="41"/>
    </row>
    <row r="24888" spans="20:20" s="566" customFormat="1">
      <c r="T24888" s="41"/>
    </row>
    <row r="24889" spans="20:20" s="566" customFormat="1">
      <c r="T24889" s="41"/>
    </row>
    <row r="24890" spans="20:20" s="566" customFormat="1">
      <c r="T24890" s="41"/>
    </row>
    <row r="24891" spans="20:20" s="566" customFormat="1">
      <c r="T24891" s="41"/>
    </row>
    <row r="24892" spans="20:20" s="566" customFormat="1">
      <c r="T24892" s="41"/>
    </row>
    <row r="24893" spans="20:20" s="566" customFormat="1">
      <c r="T24893" s="41"/>
    </row>
    <row r="24894" spans="20:20" s="566" customFormat="1">
      <c r="T24894" s="41"/>
    </row>
    <row r="24895" spans="20:20" s="566" customFormat="1">
      <c r="T24895" s="41"/>
    </row>
    <row r="24896" spans="20:20" s="566" customFormat="1">
      <c r="T24896" s="41"/>
    </row>
    <row r="24897" spans="20:20" s="566" customFormat="1">
      <c r="T24897" s="41"/>
    </row>
    <row r="24898" spans="20:20" s="566" customFormat="1">
      <c r="T24898" s="41"/>
    </row>
    <row r="24899" spans="20:20" s="566" customFormat="1">
      <c r="T24899" s="41"/>
    </row>
    <row r="24900" spans="20:20" s="566" customFormat="1">
      <c r="T24900" s="41"/>
    </row>
    <row r="24901" spans="20:20" s="566" customFormat="1">
      <c r="T24901" s="41"/>
    </row>
    <row r="24902" spans="20:20" s="566" customFormat="1">
      <c r="T24902" s="41"/>
    </row>
    <row r="24903" spans="20:20" s="566" customFormat="1">
      <c r="T24903" s="41"/>
    </row>
    <row r="24904" spans="20:20" s="566" customFormat="1">
      <c r="T24904" s="41"/>
    </row>
    <row r="24905" spans="20:20" s="566" customFormat="1">
      <c r="T24905" s="41"/>
    </row>
    <row r="24906" spans="20:20" s="566" customFormat="1">
      <c r="T24906" s="41"/>
    </row>
    <row r="24907" spans="20:20" s="566" customFormat="1">
      <c r="T24907" s="41"/>
    </row>
    <row r="24908" spans="20:20" s="566" customFormat="1">
      <c r="T24908" s="41"/>
    </row>
    <row r="24909" spans="20:20" s="566" customFormat="1">
      <c r="T24909" s="41"/>
    </row>
    <row r="24910" spans="20:20" s="566" customFormat="1">
      <c r="T24910" s="41"/>
    </row>
    <row r="24911" spans="20:20" s="566" customFormat="1">
      <c r="T24911" s="41"/>
    </row>
    <row r="24912" spans="20:20" s="566" customFormat="1">
      <c r="T24912" s="41"/>
    </row>
    <row r="24913" spans="20:20" s="566" customFormat="1">
      <c r="T24913" s="41"/>
    </row>
    <row r="24914" spans="20:20" s="566" customFormat="1">
      <c r="T24914" s="41"/>
    </row>
    <row r="24915" spans="20:20" s="566" customFormat="1">
      <c r="T24915" s="41"/>
    </row>
    <row r="24916" spans="20:20" s="566" customFormat="1">
      <c r="T24916" s="41"/>
    </row>
    <row r="24917" spans="20:20" s="566" customFormat="1">
      <c r="T24917" s="41"/>
    </row>
    <row r="24918" spans="20:20" s="566" customFormat="1">
      <c r="T24918" s="41"/>
    </row>
    <row r="24919" spans="20:20" s="566" customFormat="1">
      <c r="T24919" s="41"/>
    </row>
    <row r="24920" spans="20:20" s="566" customFormat="1">
      <c r="T24920" s="41"/>
    </row>
    <row r="24921" spans="20:20" s="566" customFormat="1">
      <c r="T24921" s="41"/>
    </row>
    <row r="24922" spans="20:20" s="566" customFormat="1">
      <c r="T24922" s="41"/>
    </row>
    <row r="24923" spans="20:20" s="566" customFormat="1">
      <c r="T24923" s="41"/>
    </row>
    <row r="24924" spans="20:20" s="566" customFormat="1">
      <c r="T24924" s="41"/>
    </row>
    <row r="24925" spans="20:20" s="566" customFormat="1">
      <c r="T24925" s="41"/>
    </row>
    <row r="24926" spans="20:20" s="566" customFormat="1">
      <c r="T24926" s="41"/>
    </row>
    <row r="24927" spans="20:20" s="566" customFormat="1">
      <c r="T24927" s="41"/>
    </row>
    <row r="24928" spans="20:20" s="566" customFormat="1">
      <c r="T24928" s="41"/>
    </row>
    <row r="24929" spans="20:20" s="566" customFormat="1">
      <c r="T24929" s="41"/>
    </row>
    <row r="24930" spans="20:20" s="566" customFormat="1">
      <c r="T24930" s="41"/>
    </row>
    <row r="24931" spans="20:20" s="566" customFormat="1">
      <c r="T24931" s="41"/>
    </row>
    <row r="24932" spans="20:20" s="566" customFormat="1">
      <c r="T24932" s="41"/>
    </row>
    <row r="24933" spans="20:20" s="566" customFormat="1">
      <c r="T24933" s="41"/>
    </row>
    <row r="24934" spans="20:20" s="566" customFormat="1">
      <c r="T24934" s="41"/>
    </row>
    <row r="24935" spans="20:20" s="566" customFormat="1">
      <c r="T24935" s="41"/>
    </row>
    <row r="24936" spans="20:20" s="566" customFormat="1">
      <c r="T24936" s="41"/>
    </row>
    <row r="24937" spans="20:20" s="566" customFormat="1">
      <c r="T24937" s="41"/>
    </row>
    <row r="24938" spans="20:20" s="566" customFormat="1">
      <c r="T24938" s="41"/>
    </row>
    <row r="24939" spans="20:20" s="566" customFormat="1">
      <c r="T24939" s="41"/>
    </row>
    <row r="24940" spans="20:20" s="566" customFormat="1">
      <c r="T24940" s="41"/>
    </row>
    <row r="24941" spans="20:20" s="566" customFormat="1">
      <c r="T24941" s="41"/>
    </row>
    <row r="24942" spans="20:20" s="566" customFormat="1">
      <c r="T24942" s="41"/>
    </row>
    <row r="24943" spans="20:20" s="566" customFormat="1">
      <c r="T24943" s="41"/>
    </row>
    <row r="24944" spans="20:20" s="566" customFormat="1">
      <c r="T24944" s="41"/>
    </row>
    <row r="24945" spans="20:20" s="566" customFormat="1">
      <c r="T24945" s="41"/>
    </row>
    <row r="24946" spans="20:20" s="566" customFormat="1">
      <c r="T24946" s="41"/>
    </row>
    <row r="24947" spans="20:20" s="566" customFormat="1">
      <c r="T24947" s="41"/>
    </row>
    <row r="24948" spans="20:20" s="566" customFormat="1">
      <c r="T24948" s="41"/>
    </row>
    <row r="24949" spans="20:20" s="566" customFormat="1">
      <c r="T24949" s="41"/>
    </row>
    <row r="24950" spans="20:20" s="566" customFormat="1">
      <c r="T24950" s="41"/>
    </row>
    <row r="24951" spans="20:20" s="566" customFormat="1">
      <c r="T24951" s="41"/>
    </row>
    <row r="24952" spans="20:20" s="566" customFormat="1">
      <c r="T24952" s="41"/>
    </row>
    <row r="24953" spans="20:20" s="566" customFormat="1">
      <c r="T24953" s="41"/>
    </row>
    <row r="24954" spans="20:20" s="566" customFormat="1">
      <c r="T24954" s="41"/>
    </row>
    <row r="24955" spans="20:20" s="566" customFormat="1">
      <c r="T24955" s="41"/>
    </row>
    <row r="24956" spans="20:20" s="566" customFormat="1">
      <c r="T24956" s="41"/>
    </row>
    <row r="24957" spans="20:20" s="566" customFormat="1">
      <c r="T24957" s="41"/>
    </row>
    <row r="24958" spans="20:20" s="566" customFormat="1">
      <c r="T24958" s="41"/>
    </row>
    <row r="24959" spans="20:20" s="566" customFormat="1">
      <c r="T24959" s="41"/>
    </row>
    <row r="24960" spans="20:20" s="566" customFormat="1">
      <c r="T24960" s="41"/>
    </row>
    <row r="24961" spans="20:20" s="566" customFormat="1">
      <c r="T24961" s="41"/>
    </row>
    <row r="24962" spans="20:20" s="566" customFormat="1">
      <c r="T24962" s="41"/>
    </row>
    <row r="24963" spans="20:20" s="566" customFormat="1">
      <c r="T24963" s="41"/>
    </row>
    <row r="24964" spans="20:20" s="566" customFormat="1">
      <c r="T24964" s="41"/>
    </row>
    <row r="24965" spans="20:20" s="566" customFormat="1">
      <c r="T24965" s="41"/>
    </row>
    <row r="24966" spans="20:20" s="566" customFormat="1">
      <c r="T24966" s="41"/>
    </row>
    <row r="24967" spans="20:20" s="566" customFormat="1">
      <c r="T24967" s="41"/>
    </row>
    <row r="24968" spans="20:20" s="566" customFormat="1">
      <c r="T24968" s="41"/>
    </row>
    <row r="24969" spans="20:20" s="566" customFormat="1">
      <c r="T24969" s="41"/>
    </row>
    <row r="24970" spans="20:20" s="566" customFormat="1">
      <c r="T24970" s="41"/>
    </row>
    <row r="24971" spans="20:20" s="566" customFormat="1">
      <c r="T24971" s="41"/>
    </row>
    <row r="24972" spans="20:20" s="566" customFormat="1">
      <c r="T24972" s="41"/>
    </row>
    <row r="24973" spans="20:20" s="566" customFormat="1">
      <c r="T24973" s="41"/>
    </row>
    <row r="24974" spans="20:20" s="566" customFormat="1">
      <c r="T24974" s="41"/>
    </row>
    <row r="24975" spans="20:20" s="566" customFormat="1">
      <c r="T24975" s="41"/>
    </row>
    <row r="24976" spans="20:20" s="566" customFormat="1">
      <c r="T24976" s="41"/>
    </row>
    <row r="24977" spans="20:20" s="566" customFormat="1">
      <c r="T24977" s="41"/>
    </row>
    <row r="24978" spans="20:20" s="566" customFormat="1">
      <c r="T24978" s="41"/>
    </row>
    <row r="24979" spans="20:20" s="566" customFormat="1">
      <c r="T24979" s="41"/>
    </row>
    <row r="24980" spans="20:20" s="566" customFormat="1">
      <c r="T24980" s="41"/>
    </row>
    <row r="24981" spans="20:20" s="566" customFormat="1">
      <c r="T24981" s="41"/>
    </row>
    <row r="24982" spans="20:20" s="566" customFormat="1">
      <c r="T24982" s="41"/>
    </row>
    <row r="24983" spans="20:20" s="566" customFormat="1">
      <c r="T24983" s="41"/>
    </row>
    <row r="24984" spans="20:20" s="566" customFormat="1">
      <c r="T24984" s="41"/>
    </row>
    <row r="24985" spans="20:20" s="566" customFormat="1">
      <c r="T24985" s="41"/>
    </row>
    <row r="24986" spans="20:20" s="566" customFormat="1">
      <c r="T24986" s="41"/>
    </row>
    <row r="24987" spans="20:20" s="566" customFormat="1">
      <c r="T24987" s="41"/>
    </row>
    <row r="24988" spans="20:20" s="566" customFormat="1">
      <c r="T24988" s="41"/>
    </row>
    <row r="24989" spans="20:20" s="566" customFormat="1">
      <c r="T24989" s="41"/>
    </row>
    <row r="24990" spans="20:20" s="566" customFormat="1">
      <c r="T24990" s="41"/>
    </row>
    <row r="24991" spans="20:20" s="566" customFormat="1">
      <c r="T24991" s="41"/>
    </row>
    <row r="24992" spans="20:20" s="566" customFormat="1">
      <c r="T24992" s="41"/>
    </row>
    <row r="24993" spans="20:20" s="566" customFormat="1">
      <c r="T24993" s="41"/>
    </row>
    <row r="24994" spans="20:20" s="566" customFormat="1">
      <c r="T24994" s="41"/>
    </row>
    <row r="24995" spans="20:20" s="566" customFormat="1">
      <c r="T24995" s="41"/>
    </row>
    <row r="24996" spans="20:20" s="566" customFormat="1">
      <c r="T24996" s="41"/>
    </row>
    <row r="24997" spans="20:20" s="566" customFormat="1">
      <c r="T24997" s="41"/>
    </row>
    <row r="24998" spans="20:20" s="566" customFormat="1">
      <c r="T24998" s="41"/>
    </row>
    <row r="24999" spans="20:20" s="566" customFormat="1">
      <c r="T24999" s="41"/>
    </row>
    <row r="25000" spans="20:20" s="566" customFormat="1">
      <c r="T25000" s="41"/>
    </row>
    <row r="25001" spans="20:20" s="566" customFormat="1">
      <c r="T25001" s="41"/>
    </row>
    <row r="25002" spans="20:20" s="566" customFormat="1">
      <c r="T25002" s="41"/>
    </row>
    <row r="25003" spans="20:20" s="566" customFormat="1">
      <c r="T25003" s="41"/>
    </row>
    <row r="25004" spans="20:20" s="566" customFormat="1">
      <c r="T25004" s="41"/>
    </row>
    <row r="25005" spans="20:20" s="566" customFormat="1">
      <c r="T25005" s="41"/>
    </row>
    <row r="25006" spans="20:20" s="566" customFormat="1">
      <c r="T25006" s="41"/>
    </row>
    <row r="25007" spans="20:20" s="566" customFormat="1">
      <c r="T25007" s="41"/>
    </row>
    <row r="25008" spans="20:20" s="566" customFormat="1">
      <c r="T25008" s="41"/>
    </row>
    <row r="25009" spans="20:20" s="566" customFormat="1">
      <c r="T25009" s="41"/>
    </row>
    <row r="25010" spans="20:20" s="566" customFormat="1">
      <c r="T25010" s="41"/>
    </row>
    <row r="25011" spans="20:20" s="566" customFormat="1">
      <c r="T25011" s="41"/>
    </row>
    <row r="25012" spans="20:20" s="566" customFormat="1">
      <c r="T25012" s="41"/>
    </row>
    <row r="25013" spans="20:20" s="566" customFormat="1">
      <c r="T25013" s="41"/>
    </row>
    <row r="25014" spans="20:20" s="566" customFormat="1">
      <c r="T25014" s="41"/>
    </row>
    <row r="25015" spans="20:20" s="566" customFormat="1">
      <c r="T25015" s="41"/>
    </row>
    <row r="25016" spans="20:20" s="566" customFormat="1">
      <c r="T25016" s="41"/>
    </row>
    <row r="25017" spans="20:20" s="566" customFormat="1">
      <c r="T25017" s="41"/>
    </row>
    <row r="25018" spans="20:20" s="566" customFormat="1">
      <c r="T25018" s="41"/>
    </row>
    <row r="25019" spans="20:20" s="566" customFormat="1">
      <c r="T25019" s="41"/>
    </row>
    <row r="25020" spans="20:20" s="566" customFormat="1">
      <c r="T25020" s="41"/>
    </row>
    <row r="25021" spans="20:20" s="566" customFormat="1">
      <c r="T25021" s="41"/>
    </row>
    <row r="25022" spans="20:20" s="566" customFormat="1">
      <c r="T25022" s="41"/>
    </row>
    <row r="25023" spans="20:20" s="566" customFormat="1">
      <c r="T25023" s="41"/>
    </row>
    <row r="25024" spans="20:20" s="566" customFormat="1">
      <c r="T25024" s="41"/>
    </row>
    <row r="25025" spans="20:20" s="566" customFormat="1">
      <c r="T25025" s="41"/>
    </row>
    <row r="25026" spans="20:20" s="566" customFormat="1">
      <c r="T25026" s="41"/>
    </row>
    <row r="25027" spans="20:20" s="566" customFormat="1">
      <c r="T25027" s="41"/>
    </row>
    <row r="25028" spans="20:20" s="566" customFormat="1">
      <c r="T25028" s="41"/>
    </row>
    <row r="25029" spans="20:20" s="566" customFormat="1">
      <c r="T25029" s="41"/>
    </row>
    <row r="25030" spans="20:20" s="566" customFormat="1">
      <c r="T25030" s="41"/>
    </row>
    <row r="25031" spans="20:20" s="566" customFormat="1">
      <c r="T25031" s="41"/>
    </row>
    <row r="25032" spans="20:20" s="566" customFormat="1">
      <c r="T25032" s="41"/>
    </row>
    <row r="25033" spans="20:20" s="566" customFormat="1">
      <c r="T25033" s="41"/>
    </row>
    <row r="25034" spans="20:20" s="566" customFormat="1">
      <c r="T25034" s="41"/>
    </row>
    <row r="25035" spans="20:20" s="566" customFormat="1">
      <c r="T25035" s="41"/>
    </row>
    <row r="25036" spans="20:20" s="566" customFormat="1">
      <c r="T25036" s="41"/>
    </row>
    <row r="25037" spans="20:20" s="566" customFormat="1">
      <c r="T25037" s="41"/>
    </row>
    <row r="25038" spans="20:20" s="566" customFormat="1">
      <c r="T25038" s="41"/>
    </row>
    <row r="25039" spans="20:20" s="566" customFormat="1">
      <c r="T25039" s="41"/>
    </row>
    <row r="25040" spans="20:20" s="566" customFormat="1">
      <c r="T25040" s="41"/>
    </row>
    <row r="25041" spans="20:20" s="566" customFormat="1">
      <c r="T25041" s="41"/>
    </row>
    <row r="25042" spans="20:20" s="566" customFormat="1">
      <c r="T25042" s="41"/>
    </row>
    <row r="25043" spans="20:20" s="566" customFormat="1">
      <c r="T25043" s="41"/>
    </row>
    <row r="25044" spans="20:20" s="566" customFormat="1">
      <c r="T25044" s="41"/>
    </row>
    <row r="25045" spans="20:20" s="566" customFormat="1">
      <c r="T25045" s="41"/>
    </row>
    <row r="25046" spans="20:20" s="566" customFormat="1">
      <c r="T25046" s="41"/>
    </row>
    <row r="25047" spans="20:20" s="566" customFormat="1">
      <c r="T25047" s="41"/>
    </row>
    <row r="25048" spans="20:20" s="566" customFormat="1">
      <c r="T25048" s="41"/>
    </row>
    <row r="25049" spans="20:20" s="566" customFormat="1">
      <c r="T25049" s="41"/>
    </row>
    <row r="25050" spans="20:20" s="566" customFormat="1">
      <c r="T25050" s="41"/>
    </row>
    <row r="25051" spans="20:20" s="566" customFormat="1">
      <c r="T25051" s="41"/>
    </row>
    <row r="25052" spans="20:20" s="566" customFormat="1">
      <c r="T25052" s="41"/>
    </row>
    <row r="25053" spans="20:20" s="566" customFormat="1">
      <c r="T25053" s="41"/>
    </row>
    <row r="25054" spans="20:20" s="566" customFormat="1">
      <c r="T25054" s="41"/>
    </row>
    <row r="25055" spans="20:20" s="566" customFormat="1">
      <c r="T25055" s="41"/>
    </row>
    <row r="25056" spans="20:20" s="566" customFormat="1">
      <c r="T25056" s="41"/>
    </row>
    <row r="25057" spans="20:20" s="566" customFormat="1">
      <c r="T25057" s="41"/>
    </row>
    <row r="25058" spans="20:20" s="566" customFormat="1">
      <c r="T25058" s="41"/>
    </row>
    <row r="25059" spans="20:20" s="566" customFormat="1">
      <c r="T25059" s="41"/>
    </row>
    <row r="25060" spans="20:20" s="566" customFormat="1">
      <c r="T25060" s="41"/>
    </row>
    <row r="25061" spans="20:20" s="566" customFormat="1">
      <c r="T25061" s="41"/>
    </row>
    <row r="25062" spans="20:20" s="566" customFormat="1">
      <c r="T25062" s="41"/>
    </row>
    <row r="25063" spans="20:20" s="566" customFormat="1">
      <c r="T25063" s="41"/>
    </row>
    <row r="25064" spans="20:20" s="566" customFormat="1">
      <c r="T25064" s="41"/>
    </row>
    <row r="25065" spans="20:20" s="566" customFormat="1">
      <c r="T25065" s="41"/>
    </row>
    <row r="25066" spans="20:20" s="566" customFormat="1">
      <c r="T25066" s="41"/>
    </row>
    <row r="25067" spans="20:20" s="566" customFormat="1">
      <c r="T25067" s="41"/>
    </row>
    <row r="25068" spans="20:20" s="566" customFormat="1">
      <c r="T25068" s="41"/>
    </row>
    <row r="25069" spans="20:20" s="566" customFormat="1">
      <c r="T25069" s="41"/>
    </row>
    <row r="25070" spans="20:20" s="566" customFormat="1">
      <c r="T25070" s="41"/>
    </row>
    <row r="25071" spans="20:20" s="566" customFormat="1">
      <c r="T25071" s="41"/>
    </row>
    <row r="25072" spans="20:20" s="566" customFormat="1">
      <c r="T25072" s="41"/>
    </row>
    <row r="25073" spans="20:20" s="566" customFormat="1">
      <c r="T25073" s="41"/>
    </row>
    <row r="25074" spans="20:20" s="566" customFormat="1">
      <c r="T25074" s="41"/>
    </row>
    <row r="25075" spans="20:20" s="566" customFormat="1">
      <c r="T25075" s="41"/>
    </row>
    <row r="25076" spans="20:20" s="566" customFormat="1">
      <c r="T25076" s="41"/>
    </row>
    <row r="25077" spans="20:20" s="566" customFormat="1">
      <c r="T25077" s="41"/>
    </row>
    <row r="25078" spans="20:20" s="566" customFormat="1">
      <c r="T25078" s="41"/>
    </row>
    <row r="25079" spans="20:20" s="566" customFormat="1">
      <c r="T25079" s="41"/>
    </row>
    <row r="25080" spans="20:20" s="566" customFormat="1">
      <c r="T25080" s="41"/>
    </row>
    <row r="25081" spans="20:20" s="566" customFormat="1">
      <c r="T25081" s="41"/>
    </row>
    <row r="25082" spans="20:20" s="566" customFormat="1">
      <c r="T25082" s="41"/>
    </row>
    <row r="25083" spans="20:20" s="566" customFormat="1">
      <c r="T25083" s="41"/>
    </row>
    <row r="25084" spans="20:20" s="566" customFormat="1">
      <c r="T25084" s="41"/>
    </row>
    <row r="25085" spans="20:20" s="566" customFormat="1">
      <c r="T25085" s="41"/>
    </row>
    <row r="25086" spans="20:20" s="566" customFormat="1">
      <c r="T25086" s="41"/>
    </row>
    <row r="25087" spans="20:20" s="566" customFormat="1">
      <c r="T25087" s="41"/>
    </row>
    <row r="25088" spans="20:20" s="566" customFormat="1">
      <c r="T25088" s="41"/>
    </row>
    <row r="25089" spans="20:20" s="566" customFormat="1">
      <c r="T25089" s="41"/>
    </row>
    <row r="25090" spans="20:20" s="566" customFormat="1">
      <c r="T25090" s="41"/>
    </row>
    <row r="25091" spans="20:20" s="566" customFormat="1">
      <c r="T25091" s="41"/>
    </row>
    <row r="25092" spans="20:20" s="566" customFormat="1">
      <c r="T25092" s="41"/>
    </row>
    <row r="25093" spans="20:20" s="566" customFormat="1">
      <c r="T25093" s="41"/>
    </row>
    <row r="25094" spans="20:20" s="566" customFormat="1">
      <c r="T25094" s="41"/>
    </row>
    <row r="25095" spans="20:20" s="566" customFormat="1">
      <c r="T25095" s="41"/>
    </row>
    <row r="25096" spans="20:20" s="566" customFormat="1">
      <c r="T25096" s="41"/>
    </row>
    <row r="25097" spans="20:20" s="566" customFormat="1">
      <c r="T25097" s="41"/>
    </row>
    <row r="25098" spans="20:20" s="566" customFormat="1">
      <c r="T25098" s="41"/>
    </row>
    <row r="25099" spans="20:20" s="566" customFormat="1">
      <c r="T25099" s="41"/>
    </row>
    <row r="25100" spans="20:20" s="566" customFormat="1">
      <c r="T25100" s="41"/>
    </row>
    <row r="25101" spans="20:20" s="566" customFormat="1">
      <c r="T25101" s="41"/>
    </row>
    <row r="25102" spans="20:20" s="566" customFormat="1">
      <c r="T25102" s="41"/>
    </row>
    <row r="25103" spans="20:20" s="566" customFormat="1">
      <c r="T25103" s="41"/>
    </row>
    <row r="25104" spans="20:20" s="566" customFormat="1">
      <c r="T25104" s="41"/>
    </row>
    <row r="25105" spans="20:20" s="566" customFormat="1">
      <c r="T25105" s="41"/>
    </row>
    <row r="25106" spans="20:20" s="566" customFormat="1">
      <c r="T25106" s="41"/>
    </row>
    <row r="25107" spans="20:20" s="566" customFormat="1">
      <c r="T25107" s="41"/>
    </row>
    <row r="25108" spans="20:20" s="566" customFormat="1">
      <c r="T25108" s="41"/>
    </row>
    <row r="25109" spans="20:20" s="566" customFormat="1">
      <c r="T25109" s="41"/>
    </row>
    <row r="25110" spans="20:20" s="566" customFormat="1">
      <c r="T25110" s="41"/>
    </row>
    <row r="25111" spans="20:20" s="566" customFormat="1">
      <c r="T25111" s="41"/>
    </row>
    <row r="25112" spans="20:20" s="566" customFormat="1">
      <c r="T25112" s="41"/>
    </row>
    <row r="25113" spans="20:20" s="566" customFormat="1">
      <c r="T25113" s="41"/>
    </row>
    <row r="25114" spans="20:20" s="566" customFormat="1">
      <c r="T25114" s="41"/>
    </row>
    <row r="25115" spans="20:20" s="566" customFormat="1">
      <c r="T25115" s="41"/>
    </row>
    <row r="25116" spans="20:20" s="566" customFormat="1">
      <c r="T25116" s="41"/>
    </row>
    <row r="25117" spans="20:20" s="566" customFormat="1">
      <c r="T25117" s="41"/>
    </row>
    <row r="25118" spans="20:20" s="566" customFormat="1">
      <c r="T25118" s="41"/>
    </row>
    <row r="25119" spans="20:20" s="566" customFormat="1">
      <c r="T25119" s="41"/>
    </row>
    <row r="25120" spans="20:20" s="566" customFormat="1">
      <c r="T25120" s="41"/>
    </row>
    <row r="25121" spans="20:20" s="566" customFormat="1">
      <c r="T25121" s="41"/>
    </row>
    <row r="25122" spans="20:20" s="566" customFormat="1">
      <c r="T25122" s="41"/>
    </row>
    <row r="25123" spans="20:20" s="566" customFormat="1">
      <c r="T25123" s="41"/>
    </row>
    <row r="25124" spans="20:20" s="566" customFormat="1">
      <c r="T25124" s="41"/>
    </row>
    <row r="25125" spans="20:20" s="566" customFormat="1">
      <c r="T25125" s="41"/>
    </row>
    <row r="25126" spans="20:20" s="566" customFormat="1">
      <c r="T25126" s="41"/>
    </row>
    <row r="25127" spans="20:20" s="566" customFormat="1">
      <c r="T25127" s="41"/>
    </row>
    <row r="25128" spans="20:20" s="566" customFormat="1">
      <c r="T25128" s="41"/>
    </row>
    <row r="25129" spans="20:20" s="566" customFormat="1">
      <c r="T25129" s="41"/>
    </row>
    <row r="25130" spans="20:20" s="566" customFormat="1">
      <c r="T25130" s="41"/>
    </row>
    <row r="25131" spans="20:20" s="566" customFormat="1">
      <c r="T25131" s="41"/>
    </row>
    <row r="25132" spans="20:20" s="566" customFormat="1">
      <c r="T25132" s="41"/>
    </row>
    <row r="25133" spans="20:20" s="566" customFormat="1">
      <c r="T25133" s="41"/>
    </row>
    <row r="25134" spans="20:20" s="566" customFormat="1">
      <c r="T25134" s="41"/>
    </row>
    <row r="25135" spans="20:20" s="566" customFormat="1">
      <c r="T25135" s="41"/>
    </row>
    <row r="25136" spans="20:20" s="566" customFormat="1">
      <c r="T25136" s="41"/>
    </row>
    <row r="25137" spans="20:20" s="566" customFormat="1">
      <c r="T25137" s="41"/>
    </row>
    <row r="25138" spans="20:20" s="566" customFormat="1">
      <c r="T25138" s="41"/>
    </row>
    <row r="25139" spans="20:20" s="566" customFormat="1">
      <c r="T25139" s="41"/>
    </row>
    <row r="25140" spans="20:20" s="566" customFormat="1">
      <c r="T25140" s="41"/>
    </row>
    <row r="25141" spans="20:20" s="566" customFormat="1">
      <c r="T25141" s="41"/>
    </row>
    <row r="25142" spans="20:20" s="566" customFormat="1">
      <c r="T25142" s="41"/>
    </row>
    <row r="25143" spans="20:20" s="566" customFormat="1">
      <c r="T25143" s="41"/>
    </row>
    <row r="25144" spans="20:20" s="566" customFormat="1">
      <c r="T25144" s="41"/>
    </row>
    <row r="25145" spans="20:20" s="566" customFormat="1">
      <c r="T25145" s="41"/>
    </row>
    <row r="25146" spans="20:20" s="566" customFormat="1">
      <c r="T25146" s="41"/>
    </row>
    <row r="25147" spans="20:20" s="566" customFormat="1">
      <c r="T25147" s="41"/>
    </row>
    <row r="25148" spans="20:20" s="566" customFormat="1">
      <c r="T25148" s="41"/>
    </row>
    <row r="25149" spans="20:20" s="566" customFormat="1">
      <c r="T25149" s="41"/>
    </row>
    <row r="25150" spans="20:20" s="566" customFormat="1">
      <c r="T25150" s="41"/>
    </row>
    <row r="25151" spans="20:20" s="566" customFormat="1">
      <c r="T25151" s="41"/>
    </row>
    <row r="25152" spans="20:20" s="566" customFormat="1">
      <c r="T25152" s="41"/>
    </row>
    <row r="25153" spans="20:20" s="566" customFormat="1">
      <c r="T25153" s="41"/>
    </row>
    <row r="25154" spans="20:20" s="566" customFormat="1">
      <c r="T25154" s="41"/>
    </row>
    <row r="25155" spans="20:20" s="566" customFormat="1">
      <c r="T25155" s="41"/>
    </row>
    <row r="25156" spans="20:20" s="566" customFormat="1">
      <c r="T25156" s="41"/>
    </row>
    <row r="25157" spans="20:20" s="566" customFormat="1">
      <c r="T25157" s="41"/>
    </row>
    <row r="25158" spans="20:20" s="566" customFormat="1">
      <c r="T25158" s="41"/>
    </row>
    <row r="25159" spans="20:20" s="566" customFormat="1">
      <c r="T25159" s="41"/>
    </row>
    <row r="25160" spans="20:20" s="566" customFormat="1">
      <c r="T25160" s="41"/>
    </row>
    <row r="25161" spans="20:20" s="566" customFormat="1">
      <c r="T25161" s="41"/>
    </row>
    <row r="25162" spans="20:20" s="566" customFormat="1">
      <c r="T25162" s="41"/>
    </row>
    <row r="25163" spans="20:20" s="566" customFormat="1">
      <c r="T25163" s="41"/>
    </row>
    <row r="25164" spans="20:20" s="566" customFormat="1">
      <c r="T25164" s="41"/>
    </row>
    <row r="25165" spans="20:20" s="566" customFormat="1">
      <c r="T25165" s="41"/>
    </row>
    <row r="25166" spans="20:20" s="566" customFormat="1">
      <c r="T25166" s="41"/>
    </row>
    <row r="25167" spans="20:20" s="566" customFormat="1">
      <c r="T25167" s="41"/>
    </row>
    <row r="25168" spans="20:20" s="566" customFormat="1">
      <c r="T25168" s="41"/>
    </row>
    <row r="25169" spans="20:20" s="566" customFormat="1">
      <c r="T25169" s="41"/>
    </row>
    <row r="25170" spans="20:20" s="566" customFormat="1">
      <c r="T25170" s="41"/>
    </row>
    <row r="25171" spans="20:20" s="566" customFormat="1">
      <c r="T25171" s="41"/>
    </row>
    <row r="25172" spans="20:20" s="566" customFormat="1">
      <c r="T25172" s="41"/>
    </row>
    <row r="25173" spans="20:20" s="566" customFormat="1">
      <c r="T25173" s="41"/>
    </row>
    <row r="25174" spans="20:20" s="566" customFormat="1">
      <c r="T25174" s="41"/>
    </row>
    <row r="25175" spans="20:20" s="566" customFormat="1">
      <c r="T25175" s="41"/>
    </row>
    <row r="25176" spans="20:20" s="566" customFormat="1">
      <c r="T25176" s="41"/>
    </row>
    <row r="25177" spans="20:20" s="566" customFormat="1">
      <c r="T25177" s="41"/>
    </row>
    <row r="25178" spans="20:20" s="566" customFormat="1">
      <c r="T25178" s="41"/>
    </row>
    <row r="25179" spans="20:20" s="566" customFormat="1">
      <c r="T25179" s="41"/>
    </row>
    <row r="25180" spans="20:20" s="566" customFormat="1">
      <c r="T25180" s="41"/>
    </row>
    <row r="25181" spans="20:20" s="566" customFormat="1">
      <c r="T25181" s="41"/>
    </row>
    <row r="25182" spans="20:20" s="566" customFormat="1">
      <c r="T25182" s="41"/>
    </row>
    <row r="25183" spans="20:20" s="566" customFormat="1">
      <c r="T25183" s="41"/>
    </row>
    <row r="25184" spans="20:20" s="566" customFormat="1">
      <c r="T25184" s="41"/>
    </row>
    <row r="25185" spans="20:20" s="566" customFormat="1">
      <c r="T25185" s="41"/>
    </row>
    <row r="25186" spans="20:20" s="566" customFormat="1">
      <c r="T25186" s="41"/>
    </row>
    <row r="25187" spans="20:20" s="566" customFormat="1">
      <c r="T25187" s="41"/>
    </row>
    <row r="25188" spans="20:20" s="566" customFormat="1">
      <c r="T25188" s="41"/>
    </row>
    <row r="25189" spans="20:20" s="566" customFormat="1">
      <c r="T25189" s="41"/>
    </row>
    <row r="25190" spans="20:20" s="566" customFormat="1">
      <c r="T25190" s="41"/>
    </row>
    <row r="25191" spans="20:20" s="566" customFormat="1">
      <c r="T25191" s="41"/>
    </row>
    <row r="25192" spans="20:20" s="566" customFormat="1">
      <c r="T25192" s="41"/>
    </row>
    <row r="25193" spans="20:20" s="566" customFormat="1">
      <c r="T25193" s="41"/>
    </row>
    <row r="25194" spans="20:20" s="566" customFormat="1">
      <c r="T25194" s="41"/>
    </row>
    <row r="25195" spans="20:20" s="566" customFormat="1">
      <c r="T25195" s="41"/>
    </row>
    <row r="25196" spans="20:20" s="566" customFormat="1">
      <c r="T25196" s="41"/>
    </row>
    <row r="25197" spans="20:20" s="566" customFormat="1">
      <c r="T25197" s="41"/>
    </row>
    <row r="25198" spans="20:20" s="566" customFormat="1">
      <c r="T25198" s="41"/>
    </row>
    <row r="25199" spans="20:20" s="566" customFormat="1">
      <c r="T25199" s="41"/>
    </row>
    <row r="25200" spans="20:20" s="566" customFormat="1">
      <c r="T25200" s="41"/>
    </row>
    <row r="25201" spans="20:20" s="566" customFormat="1">
      <c r="T25201" s="41"/>
    </row>
    <row r="25202" spans="20:20" s="566" customFormat="1">
      <c r="T25202" s="41"/>
    </row>
    <row r="25203" spans="20:20" s="566" customFormat="1">
      <c r="T25203" s="41"/>
    </row>
    <row r="25204" spans="20:20" s="566" customFormat="1">
      <c r="T25204" s="41"/>
    </row>
    <row r="25205" spans="20:20" s="566" customFormat="1">
      <c r="T25205" s="41"/>
    </row>
    <row r="25206" spans="20:20" s="566" customFormat="1">
      <c r="T25206" s="41"/>
    </row>
    <row r="25207" spans="20:20" s="566" customFormat="1">
      <c r="T25207" s="41"/>
    </row>
    <row r="25208" spans="20:20" s="566" customFormat="1">
      <c r="T25208" s="41"/>
    </row>
    <row r="25209" spans="20:20" s="566" customFormat="1">
      <c r="T25209" s="41"/>
    </row>
    <row r="25210" spans="20:20" s="566" customFormat="1">
      <c r="T25210" s="41"/>
    </row>
    <row r="25211" spans="20:20" s="566" customFormat="1">
      <c r="T25211" s="41"/>
    </row>
    <row r="25212" spans="20:20" s="566" customFormat="1">
      <c r="T25212" s="41"/>
    </row>
    <row r="25213" spans="20:20" s="566" customFormat="1">
      <c r="T25213" s="41"/>
    </row>
    <row r="25214" spans="20:20" s="566" customFormat="1">
      <c r="T25214" s="41"/>
    </row>
    <row r="25215" spans="20:20" s="566" customFormat="1">
      <c r="T25215" s="41"/>
    </row>
    <row r="25216" spans="20:20" s="566" customFormat="1">
      <c r="T25216" s="41"/>
    </row>
    <row r="25217" spans="20:20" s="566" customFormat="1">
      <c r="T25217" s="41"/>
    </row>
    <row r="25218" spans="20:20" s="566" customFormat="1">
      <c r="T25218" s="41"/>
    </row>
    <row r="25219" spans="20:20" s="566" customFormat="1">
      <c r="T25219" s="41"/>
    </row>
    <row r="25220" spans="20:20" s="566" customFormat="1">
      <c r="T25220" s="41"/>
    </row>
    <row r="25221" spans="20:20" s="566" customFormat="1">
      <c r="T25221" s="41"/>
    </row>
    <row r="25222" spans="20:20" s="566" customFormat="1">
      <c r="T25222" s="41"/>
    </row>
    <row r="25223" spans="20:20" s="566" customFormat="1">
      <c r="T25223" s="41"/>
    </row>
    <row r="25224" spans="20:20" s="566" customFormat="1">
      <c r="T25224" s="41"/>
    </row>
    <row r="25225" spans="20:20" s="566" customFormat="1">
      <c r="T25225" s="41"/>
    </row>
    <row r="25226" spans="20:20" s="566" customFormat="1">
      <c r="T25226" s="41"/>
    </row>
    <row r="25227" spans="20:20" s="566" customFormat="1">
      <c r="T25227" s="41"/>
    </row>
    <row r="25228" spans="20:20" s="566" customFormat="1">
      <c r="T25228" s="41"/>
    </row>
    <row r="25229" spans="20:20" s="566" customFormat="1">
      <c r="T25229" s="41"/>
    </row>
    <row r="25230" spans="20:20" s="566" customFormat="1">
      <c r="T25230" s="41"/>
    </row>
    <row r="25231" spans="20:20" s="566" customFormat="1">
      <c r="T25231" s="41"/>
    </row>
    <row r="25232" spans="20:20" s="566" customFormat="1">
      <c r="T25232" s="41"/>
    </row>
    <row r="25233" spans="20:20" s="566" customFormat="1">
      <c r="T25233" s="41"/>
    </row>
    <row r="25234" spans="20:20" s="566" customFormat="1">
      <c r="T25234" s="41"/>
    </row>
    <row r="25235" spans="20:20" s="566" customFormat="1">
      <c r="T25235" s="41"/>
    </row>
    <row r="25236" spans="20:20" s="566" customFormat="1">
      <c r="T25236" s="41"/>
    </row>
    <row r="25237" spans="20:20" s="566" customFormat="1">
      <c r="T25237" s="41"/>
    </row>
    <row r="25238" spans="20:20" s="566" customFormat="1">
      <c r="T25238" s="41"/>
    </row>
    <row r="25239" spans="20:20" s="566" customFormat="1">
      <c r="T25239" s="41"/>
    </row>
    <row r="25240" spans="20:20" s="566" customFormat="1">
      <c r="T25240" s="41"/>
    </row>
    <row r="25241" spans="20:20" s="566" customFormat="1">
      <c r="T25241" s="41"/>
    </row>
    <row r="25242" spans="20:20" s="566" customFormat="1">
      <c r="T25242" s="41"/>
    </row>
    <row r="25243" spans="20:20" s="566" customFormat="1">
      <c r="T25243" s="41"/>
    </row>
    <row r="25244" spans="20:20" s="566" customFormat="1">
      <c r="T25244" s="41"/>
    </row>
    <row r="25245" spans="20:20" s="566" customFormat="1">
      <c r="T25245" s="41"/>
    </row>
    <row r="25246" spans="20:20" s="566" customFormat="1">
      <c r="T25246" s="41"/>
    </row>
    <row r="25247" spans="20:20" s="566" customFormat="1">
      <c r="T25247" s="41"/>
    </row>
    <row r="25248" spans="20:20" s="566" customFormat="1">
      <c r="T25248" s="41"/>
    </row>
    <row r="25249" spans="20:20" s="566" customFormat="1">
      <c r="T25249" s="41"/>
    </row>
    <row r="25250" spans="20:20" s="566" customFormat="1">
      <c r="T25250" s="41"/>
    </row>
    <row r="25251" spans="20:20" s="566" customFormat="1">
      <c r="T25251" s="41"/>
    </row>
    <row r="25252" spans="20:20" s="566" customFormat="1">
      <c r="T25252" s="41"/>
    </row>
    <row r="25253" spans="20:20" s="566" customFormat="1">
      <c r="T25253" s="41"/>
    </row>
    <row r="25254" spans="20:20" s="566" customFormat="1">
      <c r="T25254" s="41"/>
    </row>
    <row r="25255" spans="20:20" s="566" customFormat="1">
      <c r="T25255" s="41"/>
    </row>
    <row r="25256" spans="20:20" s="566" customFormat="1">
      <c r="T25256" s="41"/>
    </row>
    <row r="25257" spans="20:20" s="566" customFormat="1">
      <c r="T25257" s="41"/>
    </row>
    <row r="25258" spans="20:20" s="566" customFormat="1">
      <c r="T25258" s="41"/>
    </row>
    <row r="25259" spans="20:20" s="566" customFormat="1">
      <c r="T25259" s="41"/>
    </row>
    <row r="25260" spans="20:20" s="566" customFormat="1">
      <c r="T25260" s="41"/>
    </row>
    <row r="25261" spans="20:20" s="566" customFormat="1">
      <c r="T25261" s="41"/>
    </row>
    <row r="25262" spans="20:20" s="566" customFormat="1">
      <c r="T25262" s="41"/>
    </row>
    <row r="25263" spans="20:20" s="566" customFormat="1">
      <c r="T25263" s="41"/>
    </row>
    <row r="25264" spans="20:20" s="566" customFormat="1">
      <c r="T25264" s="41"/>
    </row>
    <row r="25265" spans="20:20" s="566" customFormat="1">
      <c r="T25265" s="41"/>
    </row>
    <row r="25266" spans="20:20" s="566" customFormat="1">
      <c r="T25266" s="41"/>
    </row>
    <row r="25267" spans="20:20" s="566" customFormat="1">
      <c r="T25267" s="41"/>
    </row>
    <row r="25268" spans="20:20" s="566" customFormat="1">
      <c r="T25268" s="41"/>
    </row>
    <row r="25269" spans="20:20" s="566" customFormat="1">
      <c r="T25269" s="41"/>
    </row>
    <row r="25270" spans="20:20" s="566" customFormat="1">
      <c r="T25270" s="41"/>
    </row>
    <row r="25271" spans="20:20" s="566" customFormat="1">
      <c r="T25271" s="41"/>
    </row>
    <row r="25272" spans="20:20" s="566" customFormat="1">
      <c r="T25272" s="41"/>
    </row>
    <row r="25273" spans="20:20" s="566" customFormat="1">
      <c r="T25273" s="41"/>
    </row>
    <row r="25274" spans="20:20" s="566" customFormat="1">
      <c r="T25274" s="41"/>
    </row>
    <row r="25275" spans="20:20" s="566" customFormat="1">
      <c r="T25275" s="41"/>
    </row>
    <row r="25276" spans="20:20" s="566" customFormat="1">
      <c r="T25276" s="41"/>
    </row>
    <row r="25277" spans="20:20" s="566" customFormat="1">
      <c r="T25277" s="41"/>
    </row>
    <row r="25278" spans="20:20" s="566" customFormat="1">
      <c r="T25278" s="41"/>
    </row>
    <row r="25279" spans="20:20" s="566" customFormat="1">
      <c r="T25279" s="41"/>
    </row>
    <row r="25280" spans="20:20" s="566" customFormat="1">
      <c r="T25280" s="41"/>
    </row>
    <row r="25281" spans="20:20" s="566" customFormat="1">
      <c r="T25281" s="41"/>
    </row>
    <row r="25282" spans="20:20" s="566" customFormat="1">
      <c r="T25282" s="41"/>
    </row>
    <row r="25283" spans="20:20" s="566" customFormat="1">
      <c r="T25283" s="41"/>
    </row>
    <row r="25284" spans="20:20" s="566" customFormat="1">
      <c r="T25284" s="41"/>
    </row>
    <row r="25285" spans="20:20" s="566" customFormat="1">
      <c r="T25285" s="41"/>
    </row>
    <row r="25286" spans="20:20" s="566" customFormat="1">
      <c r="T25286" s="41"/>
    </row>
    <row r="25287" spans="20:20" s="566" customFormat="1">
      <c r="T25287" s="41"/>
    </row>
    <row r="25288" spans="20:20" s="566" customFormat="1">
      <c r="T25288" s="41"/>
    </row>
    <row r="25289" spans="20:20" s="566" customFormat="1">
      <c r="T25289" s="41"/>
    </row>
    <row r="25290" spans="20:20" s="566" customFormat="1">
      <c r="T25290" s="41"/>
    </row>
    <row r="25291" spans="20:20" s="566" customFormat="1">
      <c r="T25291" s="41"/>
    </row>
    <row r="25292" spans="20:20" s="566" customFormat="1">
      <c r="T25292" s="41"/>
    </row>
    <row r="25293" spans="20:20" s="566" customFormat="1">
      <c r="T25293" s="41"/>
    </row>
    <row r="25294" spans="20:20" s="566" customFormat="1">
      <c r="T25294" s="41"/>
    </row>
    <row r="25295" spans="20:20" s="566" customFormat="1">
      <c r="T25295" s="41"/>
    </row>
    <row r="25296" spans="20:20" s="566" customFormat="1">
      <c r="T25296" s="41"/>
    </row>
    <row r="25297" spans="20:20" s="566" customFormat="1">
      <c r="T25297" s="41"/>
    </row>
    <row r="25298" spans="20:20" s="566" customFormat="1">
      <c r="T25298" s="41"/>
    </row>
    <row r="25299" spans="20:20" s="566" customFormat="1">
      <c r="T25299" s="41"/>
    </row>
    <row r="25300" spans="20:20" s="566" customFormat="1">
      <c r="T25300" s="41"/>
    </row>
    <row r="25301" spans="20:20" s="566" customFormat="1">
      <c r="T25301" s="41"/>
    </row>
    <row r="25302" spans="20:20" s="566" customFormat="1">
      <c r="T25302" s="41"/>
    </row>
    <row r="25303" spans="20:20" s="566" customFormat="1">
      <c r="T25303" s="41"/>
    </row>
    <row r="25304" spans="20:20" s="566" customFormat="1">
      <c r="T25304" s="41"/>
    </row>
    <row r="25305" spans="20:20" s="566" customFormat="1">
      <c r="T25305" s="41"/>
    </row>
    <row r="25306" spans="20:20" s="566" customFormat="1">
      <c r="T25306" s="41"/>
    </row>
    <row r="25307" spans="20:20" s="566" customFormat="1">
      <c r="T25307" s="41"/>
    </row>
    <row r="25308" spans="20:20" s="566" customFormat="1">
      <c r="T25308" s="41"/>
    </row>
    <row r="25309" spans="20:20" s="566" customFormat="1">
      <c r="T25309" s="41"/>
    </row>
    <row r="25310" spans="20:20" s="566" customFormat="1">
      <c r="T25310" s="41"/>
    </row>
    <row r="25311" spans="20:20" s="566" customFormat="1">
      <c r="T25311" s="41"/>
    </row>
    <row r="25312" spans="20:20" s="566" customFormat="1">
      <c r="T25312" s="41"/>
    </row>
    <row r="25313" spans="20:20" s="566" customFormat="1">
      <c r="T25313" s="41"/>
    </row>
    <row r="25314" spans="20:20" s="566" customFormat="1">
      <c r="T25314" s="41"/>
    </row>
    <row r="25315" spans="20:20" s="566" customFormat="1">
      <c r="T25315" s="41"/>
    </row>
    <row r="25316" spans="20:20" s="566" customFormat="1">
      <c r="T25316" s="41"/>
    </row>
    <row r="25317" spans="20:20" s="566" customFormat="1">
      <c r="T25317" s="41"/>
    </row>
    <row r="25318" spans="20:20" s="566" customFormat="1">
      <c r="T25318" s="41"/>
    </row>
    <row r="25319" spans="20:20" s="566" customFormat="1">
      <c r="T25319" s="41"/>
    </row>
    <row r="25320" spans="20:20" s="566" customFormat="1">
      <c r="T25320" s="41"/>
    </row>
    <row r="25321" spans="20:20" s="566" customFormat="1">
      <c r="T25321" s="41"/>
    </row>
    <row r="25322" spans="20:20" s="566" customFormat="1">
      <c r="T25322" s="41"/>
    </row>
    <row r="25323" spans="20:20" s="566" customFormat="1">
      <c r="T25323" s="41"/>
    </row>
    <row r="25324" spans="20:20" s="566" customFormat="1">
      <c r="T25324" s="41"/>
    </row>
    <row r="25325" spans="20:20" s="566" customFormat="1">
      <c r="T25325" s="41"/>
    </row>
    <row r="25326" spans="20:20" s="566" customFormat="1">
      <c r="T25326" s="41"/>
    </row>
    <row r="25327" spans="20:20" s="566" customFormat="1">
      <c r="T25327" s="41"/>
    </row>
    <row r="25328" spans="20:20" s="566" customFormat="1">
      <c r="T25328" s="41"/>
    </row>
    <row r="25329" spans="20:20" s="566" customFormat="1">
      <c r="T25329" s="41"/>
    </row>
    <row r="25330" spans="20:20" s="566" customFormat="1">
      <c r="T25330" s="41"/>
    </row>
    <row r="25331" spans="20:20" s="566" customFormat="1">
      <c r="T25331" s="41"/>
    </row>
    <row r="25332" spans="20:20" s="566" customFormat="1">
      <c r="T25332" s="41"/>
    </row>
    <row r="25333" spans="20:20" s="566" customFormat="1">
      <c r="T25333" s="41"/>
    </row>
    <row r="25334" spans="20:20" s="566" customFormat="1">
      <c r="T25334" s="41"/>
    </row>
    <row r="25335" spans="20:20" s="566" customFormat="1">
      <c r="T25335" s="41"/>
    </row>
    <row r="25336" spans="20:20" s="566" customFormat="1">
      <c r="T25336" s="41"/>
    </row>
    <row r="25337" spans="20:20" s="566" customFormat="1">
      <c r="T25337" s="41"/>
    </row>
    <row r="25338" spans="20:20" s="566" customFormat="1">
      <c r="T25338" s="41"/>
    </row>
    <row r="25339" spans="20:20" s="566" customFormat="1">
      <c r="T25339" s="41"/>
    </row>
    <row r="25340" spans="20:20" s="566" customFormat="1">
      <c r="T25340" s="41"/>
    </row>
    <row r="25341" spans="20:20" s="566" customFormat="1">
      <c r="T25341" s="41"/>
    </row>
    <row r="25342" spans="20:20" s="566" customFormat="1">
      <c r="T25342" s="41"/>
    </row>
    <row r="25343" spans="20:20" s="566" customFormat="1">
      <c r="T25343" s="41"/>
    </row>
    <row r="25344" spans="20:20" s="566" customFormat="1">
      <c r="T25344" s="41"/>
    </row>
    <row r="25345" spans="20:20" s="566" customFormat="1">
      <c r="T25345" s="41"/>
    </row>
    <row r="25346" spans="20:20" s="566" customFormat="1">
      <c r="T25346" s="41"/>
    </row>
    <row r="25347" spans="20:20" s="566" customFormat="1">
      <c r="T25347" s="41"/>
    </row>
    <row r="25348" spans="20:20" s="566" customFormat="1">
      <c r="T25348" s="41"/>
    </row>
    <row r="25349" spans="20:20" s="566" customFormat="1">
      <c r="T25349" s="41"/>
    </row>
    <row r="25350" spans="20:20" s="566" customFormat="1">
      <c r="T25350" s="41"/>
    </row>
    <row r="25351" spans="20:20" s="566" customFormat="1">
      <c r="T25351" s="41"/>
    </row>
    <row r="25352" spans="20:20" s="566" customFormat="1">
      <c r="T25352" s="41"/>
    </row>
    <row r="25353" spans="20:20" s="566" customFormat="1">
      <c r="T25353" s="41"/>
    </row>
    <row r="25354" spans="20:20" s="566" customFormat="1">
      <c r="T25354" s="41"/>
    </row>
    <row r="25355" spans="20:20" s="566" customFormat="1">
      <c r="T25355" s="41"/>
    </row>
    <row r="25356" spans="20:20" s="566" customFormat="1">
      <c r="T25356" s="41"/>
    </row>
    <row r="25357" spans="20:20" s="566" customFormat="1">
      <c r="T25357" s="41"/>
    </row>
    <row r="25358" spans="20:20" s="566" customFormat="1">
      <c r="T25358" s="41"/>
    </row>
    <row r="25359" spans="20:20" s="566" customFormat="1">
      <c r="T25359" s="41"/>
    </row>
    <row r="25360" spans="20:20" s="566" customFormat="1">
      <c r="T25360" s="41"/>
    </row>
    <row r="25361" spans="20:20" s="566" customFormat="1">
      <c r="T25361" s="41"/>
    </row>
    <row r="25362" spans="20:20" s="566" customFormat="1">
      <c r="T25362" s="41"/>
    </row>
    <row r="25363" spans="20:20" s="566" customFormat="1">
      <c r="T25363" s="41"/>
    </row>
    <row r="25364" spans="20:20" s="566" customFormat="1">
      <c r="T25364" s="41"/>
    </row>
    <row r="25365" spans="20:20" s="566" customFormat="1">
      <c r="T25365" s="41"/>
    </row>
    <row r="25366" spans="20:20" s="566" customFormat="1">
      <c r="T25366" s="41"/>
    </row>
    <row r="25367" spans="20:20" s="566" customFormat="1">
      <c r="T25367" s="41"/>
    </row>
    <row r="25368" spans="20:20" s="566" customFormat="1">
      <c r="T25368" s="41"/>
    </row>
    <row r="25369" spans="20:20" s="566" customFormat="1">
      <c r="T25369" s="41"/>
    </row>
    <row r="25370" spans="20:20" s="566" customFormat="1">
      <c r="T25370" s="41"/>
    </row>
    <row r="25371" spans="20:20" s="566" customFormat="1">
      <c r="T25371" s="41"/>
    </row>
    <row r="25372" spans="20:20" s="566" customFormat="1">
      <c r="T25372" s="41"/>
    </row>
    <row r="25373" spans="20:20" s="566" customFormat="1">
      <c r="T25373" s="41"/>
    </row>
    <row r="25374" spans="20:20" s="566" customFormat="1">
      <c r="T25374" s="41"/>
    </row>
    <row r="25375" spans="20:20" s="566" customFormat="1">
      <c r="T25375" s="41"/>
    </row>
    <row r="25376" spans="20:20" s="566" customFormat="1">
      <c r="T25376" s="41"/>
    </row>
    <row r="25377" spans="20:20" s="566" customFormat="1">
      <c r="T25377" s="41"/>
    </row>
    <row r="25378" spans="20:20" s="566" customFormat="1">
      <c r="T25378" s="41"/>
    </row>
    <row r="25379" spans="20:20" s="566" customFormat="1">
      <c r="T25379" s="41"/>
    </row>
    <row r="25380" spans="20:20" s="566" customFormat="1">
      <c r="T25380" s="41"/>
    </row>
    <row r="25381" spans="20:20" s="566" customFormat="1">
      <c r="T25381" s="41"/>
    </row>
    <row r="25382" spans="20:20" s="566" customFormat="1">
      <c r="T25382" s="41"/>
    </row>
    <row r="25383" spans="20:20" s="566" customFormat="1">
      <c r="T25383" s="41"/>
    </row>
    <row r="25384" spans="20:20" s="566" customFormat="1">
      <c r="T25384" s="41"/>
    </row>
    <row r="25385" spans="20:20" s="566" customFormat="1">
      <c r="T25385" s="41"/>
    </row>
    <row r="25386" spans="20:20" s="566" customFormat="1">
      <c r="T25386" s="41"/>
    </row>
    <row r="25387" spans="20:20" s="566" customFormat="1">
      <c r="T25387" s="41"/>
    </row>
    <row r="25388" spans="20:20" s="566" customFormat="1">
      <c r="T25388" s="41"/>
    </row>
    <row r="25389" spans="20:20" s="566" customFormat="1">
      <c r="T25389" s="41"/>
    </row>
    <row r="25390" spans="20:20" s="566" customFormat="1">
      <c r="T25390" s="41"/>
    </row>
    <row r="25391" spans="20:20" s="566" customFormat="1">
      <c r="T25391" s="41"/>
    </row>
    <row r="25392" spans="20:20" s="566" customFormat="1">
      <c r="T25392" s="41"/>
    </row>
    <row r="25393" spans="20:20" s="566" customFormat="1">
      <c r="T25393" s="41"/>
    </row>
    <row r="25394" spans="20:20" s="566" customFormat="1">
      <c r="T25394" s="41"/>
    </row>
    <row r="25395" spans="20:20" s="566" customFormat="1">
      <c r="T25395" s="41"/>
    </row>
    <row r="25396" spans="20:20" s="566" customFormat="1">
      <c r="T25396" s="41"/>
    </row>
    <row r="25397" spans="20:20" s="566" customFormat="1">
      <c r="T25397" s="41"/>
    </row>
    <row r="25398" spans="20:20" s="566" customFormat="1">
      <c r="T25398" s="41"/>
    </row>
    <row r="25399" spans="20:20" s="566" customFormat="1">
      <c r="T25399" s="41"/>
    </row>
    <row r="25400" spans="20:20" s="566" customFormat="1">
      <c r="T25400" s="41"/>
    </row>
    <row r="25401" spans="20:20" s="566" customFormat="1">
      <c r="T25401" s="41"/>
    </row>
    <row r="25402" spans="20:20" s="566" customFormat="1">
      <c r="T25402" s="41"/>
    </row>
    <row r="25403" spans="20:20" s="566" customFormat="1">
      <c r="T25403" s="41"/>
    </row>
    <row r="25404" spans="20:20" s="566" customFormat="1">
      <c r="T25404" s="41"/>
    </row>
    <row r="25405" spans="20:20" s="566" customFormat="1">
      <c r="T25405" s="41"/>
    </row>
    <row r="25406" spans="20:20" s="566" customFormat="1">
      <c r="T25406" s="41"/>
    </row>
    <row r="25407" spans="20:20" s="566" customFormat="1">
      <c r="T25407" s="41"/>
    </row>
    <row r="25408" spans="20:20" s="566" customFormat="1">
      <c r="T25408" s="41"/>
    </row>
    <row r="25409" spans="20:20" s="566" customFormat="1">
      <c r="T25409" s="41"/>
    </row>
    <row r="25410" spans="20:20" s="566" customFormat="1">
      <c r="T25410" s="41"/>
    </row>
    <row r="25411" spans="20:20" s="566" customFormat="1">
      <c r="T25411" s="41"/>
    </row>
    <row r="25412" spans="20:20" s="566" customFormat="1">
      <c r="T25412" s="41"/>
    </row>
    <row r="25413" spans="20:20" s="566" customFormat="1">
      <c r="T25413" s="41"/>
    </row>
    <row r="25414" spans="20:20" s="566" customFormat="1">
      <c r="T25414" s="41"/>
    </row>
    <row r="25415" spans="20:20" s="566" customFormat="1">
      <c r="T25415" s="41"/>
    </row>
    <row r="25416" spans="20:20" s="566" customFormat="1">
      <c r="T25416" s="41"/>
    </row>
    <row r="25417" spans="20:20" s="566" customFormat="1">
      <c r="T25417" s="41"/>
    </row>
    <row r="25418" spans="20:20" s="566" customFormat="1">
      <c r="T25418" s="41"/>
    </row>
    <row r="25419" spans="20:20" s="566" customFormat="1">
      <c r="T25419" s="41"/>
    </row>
    <row r="25420" spans="20:20" s="566" customFormat="1">
      <c r="T25420" s="41"/>
    </row>
    <row r="25421" spans="20:20" s="566" customFormat="1">
      <c r="T25421" s="41"/>
    </row>
    <row r="25422" spans="20:20" s="566" customFormat="1">
      <c r="T25422" s="41"/>
    </row>
    <row r="25423" spans="20:20" s="566" customFormat="1">
      <c r="T25423" s="41"/>
    </row>
    <row r="25424" spans="20:20" s="566" customFormat="1">
      <c r="T25424" s="41"/>
    </row>
    <row r="25425" spans="20:20" s="566" customFormat="1">
      <c r="T25425" s="41"/>
    </row>
    <row r="25426" spans="20:20" s="566" customFormat="1">
      <c r="T25426" s="41"/>
    </row>
    <row r="25427" spans="20:20" s="566" customFormat="1">
      <c r="T25427" s="41"/>
    </row>
    <row r="25428" spans="20:20" s="566" customFormat="1">
      <c r="T25428" s="41"/>
    </row>
    <row r="25429" spans="20:20" s="566" customFormat="1">
      <c r="T25429" s="41"/>
    </row>
    <row r="25430" spans="20:20" s="566" customFormat="1">
      <c r="T25430" s="41"/>
    </row>
    <row r="25431" spans="20:20" s="566" customFormat="1">
      <c r="T25431" s="41"/>
    </row>
    <row r="25432" spans="20:20" s="566" customFormat="1">
      <c r="T25432" s="41"/>
    </row>
    <row r="25433" spans="20:20" s="566" customFormat="1">
      <c r="T25433" s="41"/>
    </row>
    <row r="25434" spans="20:20" s="566" customFormat="1">
      <c r="T25434" s="41"/>
    </row>
    <row r="25435" spans="20:20" s="566" customFormat="1">
      <c r="T25435" s="41"/>
    </row>
    <row r="25436" spans="20:20" s="566" customFormat="1">
      <c r="T25436" s="41"/>
    </row>
    <row r="25437" spans="20:20" s="566" customFormat="1">
      <c r="T25437" s="41"/>
    </row>
    <row r="25438" spans="20:20" s="566" customFormat="1">
      <c r="T25438" s="41"/>
    </row>
    <row r="25439" spans="20:20" s="566" customFormat="1">
      <c r="T25439" s="41"/>
    </row>
    <row r="25440" spans="20:20" s="566" customFormat="1">
      <c r="T25440" s="41"/>
    </row>
    <row r="25441" spans="20:20" s="566" customFormat="1">
      <c r="T25441" s="41"/>
    </row>
    <row r="25442" spans="20:20" s="566" customFormat="1">
      <c r="T25442" s="41"/>
    </row>
    <row r="25443" spans="20:20" s="566" customFormat="1">
      <c r="T25443" s="41"/>
    </row>
    <row r="25444" spans="20:20" s="566" customFormat="1">
      <c r="T25444" s="41"/>
    </row>
    <row r="25445" spans="20:20" s="566" customFormat="1">
      <c r="T25445" s="41"/>
    </row>
    <row r="25446" spans="20:20" s="566" customFormat="1">
      <c r="T25446" s="41"/>
    </row>
    <row r="25447" spans="20:20" s="566" customFormat="1">
      <c r="T25447" s="41"/>
    </row>
    <row r="25448" spans="20:20" s="566" customFormat="1">
      <c r="T25448" s="41"/>
    </row>
    <row r="25449" spans="20:20" s="566" customFormat="1">
      <c r="T25449" s="41"/>
    </row>
    <row r="25450" spans="20:20" s="566" customFormat="1">
      <c r="T25450" s="41"/>
    </row>
    <row r="25451" spans="20:20" s="566" customFormat="1">
      <c r="T25451" s="41"/>
    </row>
    <row r="25452" spans="20:20" s="566" customFormat="1">
      <c r="T25452" s="41"/>
    </row>
    <row r="25453" spans="20:20" s="566" customFormat="1">
      <c r="T25453" s="41"/>
    </row>
    <row r="25454" spans="20:20" s="566" customFormat="1">
      <c r="T25454" s="41"/>
    </row>
    <row r="25455" spans="20:20" s="566" customFormat="1">
      <c r="T25455" s="41"/>
    </row>
    <row r="25456" spans="20:20" s="566" customFormat="1">
      <c r="T25456" s="41"/>
    </row>
    <row r="25457" spans="20:20" s="566" customFormat="1">
      <c r="T25457" s="41"/>
    </row>
    <row r="25458" spans="20:20" s="566" customFormat="1">
      <c r="T25458" s="41"/>
    </row>
    <row r="25459" spans="20:20" s="566" customFormat="1">
      <c r="T25459" s="41"/>
    </row>
    <row r="25460" spans="20:20" s="566" customFormat="1">
      <c r="T25460" s="41"/>
    </row>
    <row r="25461" spans="20:20" s="566" customFormat="1">
      <c r="T25461" s="41"/>
    </row>
    <row r="25462" spans="20:20" s="566" customFormat="1">
      <c r="T25462" s="41"/>
    </row>
    <row r="25463" spans="20:20" s="566" customFormat="1">
      <c r="T25463" s="41"/>
    </row>
    <row r="25464" spans="20:20" s="566" customFormat="1">
      <c r="T25464" s="41"/>
    </row>
    <row r="25465" spans="20:20" s="566" customFormat="1">
      <c r="T25465" s="41"/>
    </row>
    <row r="25466" spans="20:20" s="566" customFormat="1">
      <c r="T25466" s="41"/>
    </row>
    <row r="25467" spans="20:20" s="566" customFormat="1">
      <c r="T25467" s="41"/>
    </row>
    <row r="25468" spans="20:20" s="566" customFormat="1">
      <c r="T25468" s="41"/>
    </row>
    <row r="25469" spans="20:20" s="566" customFormat="1">
      <c r="T25469" s="41"/>
    </row>
    <row r="25470" spans="20:20" s="566" customFormat="1">
      <c r="T25470" s="41"/>
    </row>
    <row r="25471" spans="20:20" s="566" customFormat="1">
      <c r="T25471" s="41"/>
    </row>
    <row r="25472" spans="20:20" s="566" customFormat="1">
      <c r="T25472" s="41"/>
    </row>
    <row r="25473" spans="20:20" s="566" customFormat="1">
      <c r="T25473" s="41"/>
    </row>
    <row r="25474" spans="20:20" s="566" customFormat="1">
      <c r="T25474" s="41"/>
    </row>
    <row r="25475" spans="20:20" s="566" customFormat="1">
      <c r="T25475" s="41"/>
    </row>
    <row r="25476" spans="20:20" s="566" customFormat="1">
      <c r="T25476" s="41"/>
    </row>
    <row r="25477" spans="20:20" s="566" customFormat="1">
      <c r="T25477" s="41"/>
    </row>
    <row r="25478" spans="20:20" s="566" customFormat="1">
      <c r="T25478" s="41"/>
    </row>
    <row r="25479" spans="20:20" s="566" customFormat="1">
      <c r="T25479" s="41"/>
    </row>
    <row r="25480" spans="20:20" s="566" customFormat="1">
      <c r="T25480" s="41"/>
    </row>
    <row r="25481" spans="20:20" s="566" customFormat="1">
      <c r="T25481" s="41"/>
    </row>
    <row r="25482" spans="20:20" s="566" customFormat="1">
      <c r="T25482" s="41"/>
    </row>
    <row r="25483" spans="20:20" s="566" customFormat="1">
      <c r="T25483" s="41"/>
    </row>
    <row r="25484" spans="20:20" s="566" customFormat="1">
      <c r="T25484" s="41"/>
    </row>
    <row r="25485" spans="20:20" s="566" customFormat="1">
      <c r="T25485" s="41"/>
    </row>
    <row r="25486" spans="20:20" s="566" customFormat="1">
      <c r="T25486" s="41"/>
    </row>
    <row r="25487" spans="20:20" s="566" customFormat="1">
      <c r="T25487" s="41"/>
    </row>
    <row r="25488" spans="20:20" s="566" customFormat="1">
      <c r="T25488" s="41"/>
    </row>
    <row r="25489" spans="20:20" s="566" customFormat="1">
      <c r="T25489" s="41"/>
    </row>
    <row r="25490" spans="20:20" s="566" customFormat="1">
      <c r="T25490" s="41"/>
    </row>
    <row r="25491" spans="20:20" s="566" customFormat="1">
      <c r="T25491" s="41"/>
    </row>
    <row r="25492" spans="20:20" s="566" customFormat="1">
      <c r="T25492" s="41"/>
    </row>
    <row r="25493" spans="20:20" s="566" customFormat="1">
      <c r="T25493" s="41"/>
    </row>
    <row r="25494" spans="20:20" s="566" customFormat="1">
      <c r="T25494" s="41"/>
    </row>
    <row r="25495" spans="20:20" s="566" customFormat="1">
      <c r="T25495" s="41"/>
    </row>
    <row r="25496" spans="20:20" s="566" customFormat="1">
      <c r="T25496" s="41"/>
    </row>
    <row r="25497" spans="20:20" s="566" customFormat="1">
      <c r="T25497" s="41"/>
    </row>
    <row r="25498" spans="20:20" s="566" customFormat="1">
      <c r="T25498" s="41"/>
    </row>
    <row r="25499" spans="20:20" s="566" customFormat="1">
      <c r="T25499" s="41"/>
    </row>
    <row r="25500" spans="20:20" s="566" customFormat="1">
      <c r="T25500" s="41"/>
    </row>
    <row r="25501" spans="20:20" s="566" customFormat="1">
      <c r="T25501" s="41"/>
    </row>
    <row r="25502" spans="20:20" s="566" customFormat="1">
      <c r="T25502" s="41"/>
    </row>
    <row r="25503" spans="20:20" s="566" customFormat="1">
      <c r="T25503" s="41"/>
    </row>
    <row r="25504" spans="20:20" s="566" customFormat="1">
      <c r="T25504" s="41"/>
    </row>
    <row r="25505" spans="20:20" s="566" customFormat="1">
      <c r="T25505" s="41"/>
    </row>
    <row r="25506" spans="20:20" s="566" customFormat="1">
      <c r="T25506" s="41"/>
    </row>
    <row r="25507" spans="20:20" s="566" customFormat="1">
      <c r="T25507" s="41"/>
    </row>
    <row r="25508" spans="20:20" s="566" customFormat="1">
      <c r="T25508" s="41"/>
    </row>
    <row r="25509" spans="20:20" s="566" customFormat="1">
      <c r="T25509" s="41"/>
    </row>
    <row r="25510" spans="20:20" s="566" customFormat="1">
      <c r="T25510" s="41"/>
    </row>
    <row r="25511" spans="20:20" s="566" customFormat="1">
      <c r="T25511" s="41"/>
    </row>
    <row r="25512" spans="20:20" s="566" customFormat="1">
      <c r="T25512" s="41"/>
    </row>
    <row r="25513" spans="20:20" s="566" customFormat="1">
      <c r="T25513" s="41"/>
    </row>
    <row r="25514" spans="20:20" s="566" customFormat="1">
      <c r="T25514" s="41"/>
    </row>
    <row r="25515" spans="20:20" s="566" customFormat="1">
      <c r="T25515" s="41"/>
    </row>
    <row r="25516" spans="20:20" s="566" customFormat="1">
      <c r="T25516" s="41"/>
    </row>
    <row r="25517" spans="20:20" s="566" customFormat="1">
      <c r="T25517" s="41"/>
    </row>
    <row r="25518" spans="20:20" s="566" customFormat="1">
      <c r="T25518" s="41"/>
    </row>
    <row r="25519" spans="20:20" s="566" customFormat="1">
      <c r="T25519" s="41"/>
    </row>
    <row r="25520" spans="20:20" s="566" customFormat="1">
      <c r="T25520" s="41"/>
    </row>
    <row r="25521" spans="20:20" s="566" customFormat="1">
      <c r="T25521" s="41"/>
    </row>
    <row r="25522" spans="20:20" s="566" customFormat="1">
      <c r="T25522" s="41"/>
    </row>
    <row r="25523" spans="20:20" s="566" customFormat="1">
      <c r="T25523" s="41"/>
    </row>
    <row r="25524" spans="20:20" s="566" customFormat="1">
      <c r="T25524" s="41"/>
    </row>
    <row r="25525" spans="20:20" s="566" customFormat="1">
      <c r="T25525" s="41"/>
    </row>
    <row r="25526" spans="20:20" s="566" customFormat="1">
      <c r="T25526" s="41"/>
    </row>
    <row r="25527" spans="20:20" s="566" customFormat="1">
      <c r="T25527" s="41"/>
    </row>
    <row r="25528" spans="20:20" s="566" customFormat="1">
      <c r="T25528" s="41"/>
    </row>
    <row r="25529" spans="20:20" s="566" customFormat="1">
      <c r="T25529" s="41"/>
    </row>
    <row r="25530" spans="20:20" s="566" customFormat="1">
      <c r="T25530" s="41"/>
    </row>
    <row r="25531" spans="20:20" s="566" customFormat="1">
      <c r="T25531" s="41"/>
    </row>
    <row r="25532" spans="20:20" s="566" customFormat="1">
      <c r="T25532" s="41"/>
    </row>
    <row r="25533" spans="20:20" s="566" customFormat="1">
      <c r="T25533" s="41"/>
    </row>
    <row r="25534" spans="20:20" s="566" customFormat="1">
      <c r="T25534" s="41"/>
    </row>
    <row r="25535" spans="20:20" s="566" customFormat="1">
      <c r="T25535" s="41"/>
    </row>
    <row r="25536" spans="20:20" s="566" customFormat="1">
      <c r="T25536" s="41"/>
    </row>
    <row r="25537" spans="20:20" s="566" customFormat="1">
      <c r="T25537" s="41"/>
    </row>
    <row r="25538" spans="20:20" s="566" customFormat="1">
      <c r="T25538" s="41"/>
    </row>
    <row r="25539" spans="20:20" s="566" customFormat="1">
      <c r="T25539" s="41"/>
    </row>
    <row r="25540" spans="20:20" s="566" customFormat="1">
      <c r="T25540" s="41"/>
    </row>
    <row r="25541" spans="20:20" s="566" customFormat="1">
      <c r="T25541" s="41"/>
    </row>
    <row r="25542" spans="20:20" s="566" customFormat="1">
      <c r="T25542" s="41"/>
    </row>
    <row r="25543" spans="20:20" s="566" customFormat="1">
      <c r="T25543" s="41"/>
    </row>
    <row r="25544" spans="20:20" s="566" customFormat="1">
      <c r="T25544" s="41"/>
    </row>
    <row r="25545" spans="20:20" s="566" customFormat="1">
      <c r="T25545" s="41"/>
    </row>
    <row r="25546" spans="20:20" s="566" customFormat="1">
      <c r="T25546" s="41"/>
    </row>
    <row r="25547" spans="20:20" s="566" customFormat="1">
      <c r="T25547" s="41"/>
    </row>
    <row r="25548" spans="20:20" s="566" customFormat="1">
      <c r="T25548" s="41"/>
    </row>
    <row r="25549" spans="20:20" s="566" customFormat="1">
      <c r="T25549" s="41"/>
    </row>
    <row r="25550" spans="20:20" s="566" customFormat="1">
      <c r="T25550" s="41"/>
    </row>
    <row r="25551" spans="20:20" s="566" customFormat="1">
      <c r="T25551" s="41"/>
    </row>
    <row r="25552" spans="20:20" s="566" customFormat="1">
      <c r="T25552" s="41"/>
    </row>
    <row r="25553" spans="20:20" s="566" customFormat="1">
      <c r="T25553" s="41"/>
    </row>
    <row r="25554" spans="20:20" s="566" customFormat="1">
      <c r="T25554" s="41"/>
    </row>
    <row r="25555" spans="20:20" s="566" customFormat="1">
      <c r="T25555" s="41"/>
    </row>
    <row r="25556" spans="20:20" s="566" customFormat="1">
      <c r="T25556" s="41"/>
    </row>
    <row r="25557" spans="20:20" s="566" customFormat="1">
      <c r="T25557" s="41"/>
    </row>
    <row r="25558" spans="20:20" s="566" customFormat="1">
      <c r="T25558" s="41"/>
    </row>
    <row r="25559" spans="20:20" s="566" customFormat="1">
      <c r="T25559" s="41"/>
    </row>
    <row r="25560" spans="20:20" s="566" customFormat="1">
      <c r="T25560" s="41"/>
    </row>
    <row r="25561" spans="20:20" s="566" customFormat="1">
      <c r="T25561" s="41"/>
    </row>
    <row r="25562" spans="20:20" s="566" customFormat="1">
      <c r="T25562" s="41"/>
    </row>
    <row r="25563" spans="20:20" s="566" customFormat="1">
      <c r="T25563" s="41"/>
    </row>
    <row r="25564" spans="20:20" s="566" customFormat="1">
      <c r="T25564" s="41"/>
    </row>
    <row r="25565" spans="20:20" s="566" customFormat="1">
      <c r="T25565" s="41"/>
    </row>
    <row r="25566" spans="20:20" s="566" customFormat="1">
      <c r="T25566" s="41"/>
    </row>
    <row r="25567" spans="20:20" s="566" customFormat="1">
      <c r="T25567" s="41"/>
    </row>
    <row r="25568" spans="20:20" s="566" customFormat="1">
      <c r="T25568" s="41"/>
    </row>
    <row r="25569" spans="20:20" s="566" customFormat="1">
      <c r="T25569" s="41"/>
    </row>
    <row r="25570" spans="20:20" s="566" customFormat="1">
      <c r="T25570" s="41"/>
    </row>
    <row r="25571" spans="20:20" s="566" customFormat="1">
      <c r="T25571" s="41"/>
    </row>
    <row r="25572" spans="20:20" s="566" customFormat="1">
      <c r="T25572" s="41"/>
    </row>
    <row r="25573" spans="20:20" s="566" customFormat="1">
      <c r="T25573" s="41"/>
    </row>
    <row r="25574" spans="20:20" s="566" customFormat="1">
      <c r="T25574" s="41"/>
    </row>
    <row r="25575" spans="20:20" s="566" customFormat="1">
      <c r="T25575" s="41"/>
    </row>
    <row r="25576" spans="20:20" s="566" customFormat="1">
      <c r="T25576" s="41"/>
    </row>
    <row r="25577" spans="20:20" s="566" customFormat="1">
      <c r="T25577" s="41"/>
    </row>
    <row r="25578" spans="20:20" s="566" customFormat="1">
      <c r="T25578" s="41"/>
    </row>
    <row r="25579" spans="20:20" s="566" customFormat="1">
      <c r="T25579" s="41"/>
    </row>
    <row r="25580" spans="20:20" s="566" customFormat="1">
      <c r="T25580" s="41"/>
    </row>
    <row r="25581" spans="20:20" s="566" customFormat="1">
      <c r="T25581" s="41"/>
    </row>
    <row r="25582" spans="20:20" s="566" customFormat="1">
      <c r="T25582" s="41"/>
    </row>
    <row r="25583" spans="20:20" s="566" customFormat="1">
      <c r="T25583" s="41"/>
    </row>
    <row r="25584" spans="20:20" s="566" customFormat="1">
      <c r="T25584" s="41"/>
    </row>
    <row r="25585" spans="20:20" s="566" customFormat="1">
      <c r="T25585" s="41"/>
    </row>
    <row r="25586" spans="20:20" s="566" customFormat="1">
      <c r="T25586" s="41"/>
    </row>
    <row r="25587" spans="20:20" s="566" customFormat="1">
      <c r="T25587" s="41"/>
    </row>
    <row r="25588" spans="20:20" s="566" customFormat="1">
      <c r="T25588" s="41"/>
    </row>
    <row r="25589" spans="20:20" s="566" customFormat="1">
      <c r="T25589" s="41"/>
    </row>
    <row r="25590" spans="20:20" s="566" customFormat="1">
      <c r="T25590" s="41"/>
    </row>
    <row r="25591" spans="20:20" s="566" customFormat="1">
      <c r="T25591" s="41"/>
    </row>
    <row r="25592" spans="20:20" s="566" customFormat="1">
      <c r="T25592" s="41"/>
    </row>
    <row r="25593" spans="20:20" s="566" customFormat="1">
      <c r="T25593" s="41"/>
    </row>
    <row r="25594" spans="20:20" s="566" customFormat="1">
      <c r="T25594" s="41"/>
    </row>
    <row r="25595" spans="20:20" s="566" customFormat="1">
      <c r="T25595" s="41"/>
    </row>
    <row r="25596" spans="20:20" s="566" customFormat="1">
      <c r="T25596" s="41"/>
    </row>
    <row r="25597" spans="20:20" s="566" customFormat="1">
      <c r="T25597" s="41"/>
    </row>
    <row r="25598" spans="20:20" s="566" customFormat="1">
      <c r="T25598" s="41"/>
    </row>
    <row r="25599" spans="20:20" s="566" customFormat="1">
      <c r="T25599" s="41"/>
    </row>
    <row r="25600" spans="20:20" s="566" customFormat="1">
      <c r="T25600" s="41"/>
    </row>
    <row r="25601" spans="20:20" s="566" customFormat="1">
      <c r="T25601" s="41"/>
    </row>
    <row r="25602" spans="20:20" s="566" customFormat="1">
      <c r="T25602" s="41"/>
    </row>
    <row r="25603" spans="20:20" s="566" customFormat="1">
      <c r="T25603" s="41"/>
    </row>
    <row r="25604" spans="20:20" s="566" customFormat="1">
      <c r="T25604" s="41"/>
    </row>
    <row r="25605" spans="20:20" s="566" customFormat="1">
      <c r="T25605" s="41"/>
    </row>
    <row r="25606" spans="20:20" s="566" customFormat="1">
      <c r="T25606" s="41"/>
    </row>
    <row r="25607" spans="20:20" s="566" customFormat="1">
      <c r="T25607" s="41"/>
    </row>
    <row r="25608" spans="20:20" s="566" customFormat="1">
      <c r="T25608" s="41"/>
    </row>
    <row r="25609" spans="20:20" s="566" customFormat="1">
      <c r="T25609" s="41"/>
    </row>
    <row r="25610" spans="20:20" s="566" customFormat="1">
      <c r="T25610" s="41"/>
    </row>
    <row r="25611" spans="20:20" s="566" customFormat="1">
      <c r="T25611" s="41"/>
    </row>
    <row r="25612" spans="20:20" s="566" customFormat="1">
      <c r="T25612" s="41"/>
    </row>
    <row r="25613" spans="20:20" s="566" customFormat="1">
      <c r="T25613" s="41"/>
    </row>
    <row r="25614" spans="20:20" s="566" customFormat="1">
      <c r="T25614" s="41"/>
    </row>
    <row r="25615" spans="20:20" s="566" customFormat="1">
      <c r="T25615" s="41"/>
    </row>
    <row r="25616" spans="20:20" s="566" customFormat="1">
      <c r="T25616" s="41"/>
    </row>
    <row r="25617" spans="20:20" s="566" customFormat="1">
      <c r="T25617" s="41"/>
    </row>
    <row r="25618" spans="20:20" s="566" customFormat="1">
      <c r="T25618" s="41"/>
    </row>
    <row r="25619" spans="20:20" s="566" customFormat="1">
      <c r="T25619" s="41"/>
    </row>
    <row r="25620" spans="20:20" s="566" customFormat="1">
      <c r="T25620" s="41"/>
    </row>
    <row r="25621" spans="20:20" s="566" customFormat="1">
      <c r="T25621" s="41"/>
    </row>
    <row r="25622" spans="20:20" s="566" customFormat="1">
      <c r="T25622" s="41"/>
    </row>
    <row r="25623" spans="20:20" s="566" customFormat="1">
      <c r="T25623" s="41"/>
    </row>
    <row r="25624" spans="20:20" s="566" customFormat="1">
      <c r="T25624" s="41"/>
    </row>
    <row r="25625" spans="20:20" s="566" customFormat="1">
      <c r="T25625" s="41"/>
    </row>
    <row r="25626" spans="20:20" s="566" customFormat="1">
      <c r="T25626" s="41"/>
    </row>
    <row r="25627" spans="20:20" s="566" customFormat="1">
      <c r="T25627" s="41"/>
    </row>
    <row r="25628" spans="20:20" s="566" customFormat="1">
      <c r="T25628" s="41"/>
    </row>
    <row r="25629" spans="20:20" s="566" customFormat="1">
      <c r="T25629" s="41"/>
    </row>
    <row r="25630" spans="20:20" s="566" customFormat="1">
      <c r="T25630" s="41"/>
    </row>
    <row r="25631" spans="20:20" s="566" customFormat="1">
      <c r="T25631" s="41"/>
    </row>
    <row r="25632" spans="20:20" s="566" customFormat="1">
      <c r="T25632" s="41"/>
    </row>
    <row r="25633" spans="20:20" s="566" customFormat="1">
      <c r="T25633" s="41"/>
    </row>
    <row r="25634" spans="20:20" s="566" customFormat="1">
      <c r="T25634" s="41"/>
    </row>
    <row r="25635" spans="20:20" s="566" customFormat="1">
      <c r="T25635" s="41"/>
    </row>
    <row r="25636" spans="20:20" s="566" customFormat="1">
      <c r="T25636" s="41"/>
    </row>
    <row r="25637" spans="20:20" s="566" customFormat="1">
      <c r="T25637" s="41"/>
    </row>
    <row r="25638" spans="20:20" s="566" customFormat="1">
      <c r="T25638" s="41"/>
    </row>
    <row r="25639" spans="20:20" s="566" customFormat="1">
      <c r="T25639" s="41"/>
    </row>
    <row r="25640" spans="20:20" s="566" customFormat="1">
      <c r="T25640" s="41"/>
    </row>
    <row r="25641" spans="20:20" s="566" customFormat="1">
      <c r="T25641" s="41"/>
    </row>
    <row r="25642" spans="20:20" s="566" customFormat="1">
      <c r="T25642" s="41"/>
    </row>
    <row r="25643" spans="20:20" s="566" customFormat="1">
      <c r="T25643" s="41"/>
    </row>
    <row r="25644" spans="20:20" s="566" customFormat="1">
      <c r="T25644" s="41"/>
    </row>
    <row r="25645" spans="20:20" s="566" customFormat="1">
      <c r="T25645" s="41"/>
    </row>
    <row r="25646" spans="20:20" s="566" customFormat="1">
      <c r="T25646" s="41"/>
    </row>
    <row r="25647" spans="20:20" s="566" customFormat="1">
      <c r="T25647" s="41"/>
    </row>
    <row r="25648" spans="20:20" s="566" customFormat="1">
      <c r="T25648" s="41"/>
    </row>
    <row r="25649" spans="20:20" s="566" customFormat="1">
      <c r="T25649" s="41"/>
    </row>
    <row r="25650" spans="20:20" s="566" customFormat="1">
      <c r="T25650" s="41"/>
    </row>
    <row r="25651" spans="20:20" s="566" customFormat="1">
      <c r="T25651" s="41"/>
    </row>
    <row r="25652" spans="20:20" s="566" customFormat="1">
      <c r="T25652" s="41"/>
    </row>
    <row r="25653" spans="20:20" s="566" customFormat="1">
      <c r="T25653" s="41"/>
    </row>
    <row r="25654" spans="20:20" s="566" customFormat="1">
      <c r="T25654" s="41"/>
    </row>
    <row r="25655" spans="20:20" s="566" customFormat="1">
      <c r="T25655" s="41"/>
    </row>
    <row r="25656" spans="20:20" s="566" customFormat="1">
      <c r="T25656" s="41"/>
    </row>
    <row r="25657" spans="20:20" s="566" customFormat="1">
      <c r="T25657" s="41"/>
    </row>
    <row r="25658" spans="20:20" s="566" customFormat="1">
      <c r="T25658" s="41"/>
    </row>
    <row r="25659" spans="20:20" s="566" customFormat="1">
      <c r="T25659" s="41"/>
    </row>
    <row r="25660" spans="20:20" s="566" customFormat="1">
      <c r="T25660" s="41"/>
    </row>
    <row r="25661" spans="20:20" s="566" customFormat="1">
      <c r="T25661" s="41"/>
    </row>
    <row r="25662" spans="20:20" s="566" customFormat="1">
      <c r="T25662" s="41"/>
    </row>
    <row r="25663" spans="20:20" s="566" customFormat="1">
      <c r="T25663" s="41"/>
    </row>
    <row r="25664" spans="20:20" s="566" customFormat="1">
      <c r="T25664" s="41"/>
    </row>
    <row r="25665" spans="20:20" s="566" customFormat="1">
      <c r="T25665" s="41"/>
    </row>
    <row r="25666" spans="20:20" s="566" customFormat="1">
      <c r="T25666" s="41"/>
    </row>
    <row r="25667" spans="20:20" s="566" customFormat="1">
      <c r="T25667" s="41"/>
    </row>
    <row r="25668" spans="20:20" s="566" customFormat="1">
      <c r="T25668" s="41"/>
    </row>
    <row r="25669" spans="20:20" s="566" customFormat="1">
      <c r="T25669" s="41"/>
    </row>
    <row r="25670" spans="20:20" s="566" customFormat="1">
      <c r="T25670" s="41"/>
    </row>
    <row r="25671" spans="20:20" s="566" customFormat="1">
      <c r="T25671" s="41"/>
    </row>
    <row r="25672" spans="20:20" s="566" customFormat="1">
      <c r="T25672" s="41"/>
    </row>
    <row r="25673" spans="20:20" s="566" customFormat="1">
      <c r="T25673" s="41"/>
    </row>
    <row r="25674" spans="20:20" s="566" customFormat="1">
      <c r="T25674" s="41"/>
    </row>
    <row r="25675" spans="20:20" s="566" customFormat="1">
      <c r="T25675" s="41"/>
    </row>
    <row r="25676" spans="20:20" s="566" customFormat="1">
      <c r="T25676" s="41"/>
    </row>
    <row r="25677" spans="20:20" s="566" customFormat="1">
      <c r="T25677" s="41"/>
    </row>
    <row r="25678" spans="20:20" s="566" customFormat="1">
      <c r="T25678" s="41"/>
    </row>
    <row r="25679" spans="20:20" s="566" customFormat="1">
      <c r="T25679" s="41"/>
    </row>
    <row r="25680" spans="20:20" s="566" customFormat="1">
      <c r="T25680" s="41"/>
    </row>
    <row r="25681" spans="20:20" s="566" customFormat="1">
      <c r="T25681" s="41"/>
    </row>
    <row r="25682" spans="20:20" s="566" customFormat="1">
      <c r="T25682" s="41"/>
    </row>
    <row r="25683" spans="20:20" s="566" customFormat="1">
      <c r="T25683" s="41"/>
    </row>
    <row r="25684" spans="20:20" s="566" customFormat="1">
      <c r="T25684" s="41"/>
    </row>
    <row r="25685" spans="20:20" s="566" customFormat="1">
      <c r="T25685" s="41"/>
    </row>
    <row r="25686" spans="20:20" s="566" customFormat="1">
      <c r="T25686" s="41"/>
    </row>
    <row r="25687" spans="20:20" s="566" customFormat="1">
      <c r="T25687" s="41"/>
    </row>
    <row r="25688" spans="20:20" s="566" customFormat="1">
      <c r="T25688" s="41"/>
    </row>
    <row r="25689" spans="20:20" s="566" customFormat="1">
      <c r="T25689" s="41"/>
    </row>
    <row r="25690" spans="20:20" s="566" customFormat="1">
      <c r="T25690" s="41"/>
    </row>
    <row r="25691" spans="20:20" s="566" customFormat="1">
      <c r="T25691" s="41"/>
    </row>
    <row r="25692" spans="20:20" s="566" customFormat="1">
      <c r="T25692" s="41"/>
    </row>
    <row r="25693" spans="20:20" s="566" customFormat="1">
      <c r="T25693" s="41"/>
    </row>
    <row r="25694" spans="20:20" s="566" customFormat="1">
      <c r="T25694" s="41"/>
    </row>
    <row r="25695" spans="20:20" s="566" customFormat="1">
      <c r="T25695" s="41"/>
    </row>
    <row r="25696" spans="20:20" s="566" customFormat="1">
      <c r="T25696" s="41"/>
    </row>
    <row r="25697" spans="20:20" s="566" customFormat="1">
      <c r="T25697" s="41"/>
    </row>
    <row r="25698" spans="20:20" s="566" customFormat="1">
      <c r="T25698" s="41"/>
    </row>
    <row r="25699" spans="20:20" s="566" customFormat="1">
      <c r="T25699" s="41"/>
    </row>
    <row r="25700" spans="20:20" s="566" customFormat="1">
      <c r="T25700" s="41"/>
    </row>
    <row r="25701" spans="20:20" s="566" customFormat="1">
      <c r="T25701" s="41"/>
    </row>
    <row r="25702" spans="20:20" s="566" customFormat="1">
      <c r="T25702" s="41"/>
    </row>
    <row r="25703" spans="20:20" s="566" customFormat="1">
      <c r="T25703" s="41"/>
    </row>
    <row r="25704" spans="20:20" s="566" customFormat="1">
      <c r="T25704" s="41"/>
    </row>
    <row r="25705" spans="20:20" s="566" customFormat="1">
      <c r="T25705" s="41"/>
    </row>
    <row r="25706" spans="20:20" s="566" customFormat="1">
      <c r="T25706" s="41"/>
    </row>
    <row r="25707" spans="20:20" s="566" customFormat="1">
      <c r="T25707" s="41"/>
    </row>
    <row r="25708" spans="20:20" s="566" customFormat="1">
      <c r="T25708" s="41"/>
    </row>
    <row r="25709" spans="20:20" s="566" customFormat="1">
      <c r="T25709" s="41"/>
    </row>
    <row r="25710" spans="20:20" s="566" customFormat="1">
      <c r="T25710" s="41"/>
    </row>
    <row r="25711" spans="20:20" s="566" customFormat="1">
      <c r="T25711" s="41"/>
    </row>
    <row r="25712" spans="20:20" s="566" customFormat="1">
      <c r="T25712" s="41"/>
    </row>
    <row r="25713" spans="20:20" s="566" customFormat="1">
      <c r="T25713" s="41"/>
    </row>
    <row r="25714" spans="20:20" s="566" customFormat="1">
      <c r="T25714" s="41"/>
    </row>
    <row r="25715" spans="20:20" s="566" customFormat="1">
      <c r="T25715" s="41"/>
    </row>
    <row r="25716" spans="20:20" s="566" customFormat="1">
      <c r="T25716" s="41"/>
    </row>
    <row r="25717" spans="20:20" s="566" customFormat="1">
      <c r="T25717" s="41"/>
    </row>
    <row r="25718" spans="20:20" s="566" customFormat="1">
      <c r="T25718" s="41"/>
    </row>
    <row r="25719" spans="20:20" s="566" customFormat="1">
      <c r="T25719" s="41"/>
    </row>
    <row r="25720" spans="20:20" s="566" customFormat="1">
      <c r="T25720" s="41"/>
    </row>
    <row r="25721" spans="20:20" s="566" customFormat="1">
      <c r="T25721" s="41"/>
    </row>
    <row r="25722" spans="20:20" s="566" customFormat="1">
      <c r="T25722" s="41"/>
    </row>
    <row r="25723" spans="20:20" s="566" customFormat="1">
      <c r="T25723" s="41"/>
    </row>
    <row r="25724" spans="20:20" s="566" customFormat="1">
      <c r="T25724" s="41"/>
    </row>
    <row r="25725" spans="20:20" s="566" customFormat="1">
      <c r="T25725" s="41"/>
    </row>
    <row r="25726" spans="20:20" s="566" customFormat="1">
      <c r="T25726" s="41"/>
    </row>
    <row r="25727" spans="20:20" s="566" customFormat="1">
      <c r="T25727" s="41"/>
    </row>
    <row r="25728" spans="20:20" s="566" customFormat="1">
      <c r="T25728" s="41"/>
    </row>
    <row r="25729" spans="20:20" s="566" customFormat="1">
      <c r="T25729" s="41"/>
    </row>
    <row r="25730" spans="20:20" s="566" customFormat="1">
      <c r="T25730" s="41"/>
    </row>
    <row r="25731" spans="20:20" s="566" customFormat="1">
      <c r="T25731" s="41"/>
    </row>
    <row r="25732" spans="20:20" s="566" customFormat="1">
      <c r="T25732" s="41"/>
    </row>
    <row r="25733" spans="20:20" s="566" customFormat="1">
      <c r="T25733" s="41"/>
    </row>
    <row r="25734" spans="20:20" s="566" customFormat="1">
      <c r="T25734" s="41"/>
    </row>
    <row r="25735" spans="20:20" s="566" customFormat="1">
      <c r="T25735" s="41"/>
    </row>
    <row r="25736" spans="20:20" s="566" customFormat="1">
      <c r="T25736" s="41"/>
    </row>
    <row r="25737" spans="20:20" s="566" customFormat="1">
      <c r="T25737" s="41"/>
    </row>
    <row r="25738" spans="20:20" s="566" customFormat="1">
      <c r="T25738" s="41"/>
    </row>
    <row r="25739" spans="20:20" s="566" customFormat="1">
      <c r="T25739" s="41"/>
    </row>
    <row r="25740" spans="20:20" s="566" customFormat="1">
      <c r="T25740" s="41"/>
    </row>
    <row r="25741" spans="20:20" s="566" customFormat="1">
      <c r="T25741" s="41"/>
    </row>
    <row r="25742" spans="20:20" s="566" customFormat="1">
      <c r="T25742" s="41"/>
    </row>
    <row r="25743" spans="20:20" s="566" customFormat="1">
      <c r="T25743" s="41"/>
    </row>
    <row r="25744" spans="20:20" s="566" customFormat="1">
      <c r="T25744" s="41"/>
    </row>
    <row r="25745" spans="20:20" s="566" customFormat="1">
      <c r="T25745" s="41"/>
    </row>
    <row r="25746" spans="20:20" s="566" customFormat="1">
      <c r="T25746" s="41"/>
    </row>
    <row r="25747" spans="20:20" s="566" customFormat="1">
      <c r="T25747" s="41"/>
    </row>
    <row r="25748" spans="20:20" s="566" customFormat="1">
      <c r="T25748" s="41"/>
    </row>
    <row r="25749" spans="20:20" s="566" customFormat="1">
      <c r="T25749" s="41"/>
    </row>
    <row r="25750" spans="20:20" s="566" customFormat="1">
      <c r="T25750" s="41"/>
    </row>
    <row r="25751" spans="20:20" s="566" customFormat="1">
      <c r="T25751" s="41"/>
    </row>
    <row r="25752" spans="20:20" s="566" customFormat="1">
      <c r="T25752" s="41"/>
    </row>
    <row r="25753" spans="20:20" s="566" customFormat="1">
      <c r="T25753" s="41"/>
    </row>
    <row r="25754" spans="20:20" s="566" customFormat="1">
      <c r="T25754" s="41"/>
    </row>
    <row r="25755" spans="20:20" s="566" customFormat="1">
      <c r="T25755" s="41"/>
    </row>
    <row r="25756" spans="20:20" s="566" customFormat="1">
      <c r="T25756" s="41"/>
    </row>
    <row r="25757" spans="20:20" s="566" customFormat="1">
      <c r="T25757" s="41"/>
    </row>
    <row r="25758" spans="20:20" s="566" customFormat="1">
      <c r="T25758" s="41"/>
    </row>
    <row r="25759" spans="20:20" s="566" customFormat="1">
      <c r="T25759" s="41"/>
    </row>
    <row r="25760" spans="20:20" s="566" customFormat="1">
      <c r="T25760" s="41"/>
    </row>
    <row r="25761" spans="20:20" s="566" customFormat="1">
      <c r="T25761" s="41"/>
    </row>
    <row r="25762" spans="20:20" s="566" customFormat="1">
      <c r="T25762" s="41"/>
    </row>
    <row r="25763" spans="20:20" s="566" customFormat="1">
      <c r="T25763" s="41"/>
    </row>
    <row r="25764" spans="20:20" s="566" customFormat="1">
      <c r="T25764" s="41"/>
    </row>
    <row r="25765" spans="20:20" s="566" customFormat="1">
      <c r="T25765" s="41"/>
    </row>
    <row r="25766" spans="20:20" s="566" customFormat="1">
      <c r="T25766" s="41"/>
    </row>
    <row r="25767" spans="20:20" s="566" customFormat="1">
      <c r="T25767" s="41"/>
    </row>
    <row r="25768" spans="20:20" s="566" customFormat="1">
      <c r="T25768" s="41"/>
    </row>
    <row r="25769" spans="20:20" s="566" customFormat="1">
      <c r="T25769" s="41"/>
    </row>
    <row r="25770" spans="20:20" s="566" customFormat="1">
      <c r="T25770" s="41"/>
    </row>
    <row r="25771" spans="20:20" s="566" customFormat="1">
      <c r="T25771" s="41"/>
    </row>
    <row r="25772" spans="20:20" s="566" customFormat="1">
      <c r="T25772" s="41"/>
    </row>
    <row r="25773" spans="20:20" s="566" customFormat="1">
      <c r="T25773" s="41"/>
    </row>
    <row r="25774" spans="20:20" s="566" customFormat="1">
      <c r="T25774" s="41"/>
    </row>
    <row r="25775" spans="20:20" s="566" customFormat="1">
      <c r="T25775" s="41"/>
    </row>
    <row r="25776" spans="20:20" s="566" customFormat="1">
      <c r="T25776" s="41"/>
    </row>
    <row r="25777" spans="20:20" s="566" customFormat="1">
      <c r="T25777" s="41"/>
    </row>
    <row r="25778" spans="20:20" s="566" customFormat="1">
      <c r="T25778" s="41"/>
    </row>
    <row r="25779" spans="20:20" s="566" customFormat="1">
      <c r="T25779" s="41"/>
    </row>
    <row r="25780" spans="20:20" s="566" customFormat="1">
      <c r="T25780" s="41"/>
    </row>
    <row r="25781" spans="20:20" s="566" customFormat="1">
      <c r="T25781" s="41"/>
    </row>
    <row r="25782" spans="20:20" s="566" customFormat="1">
      <c r="T25782" s="41"/>
    </row>
    <row r="25783" spans="20:20" s="566" customFormat="1">
      <c r="T25783" s="41"/>
    </row>
    <row r="25784" spans="20:20" s="566" customFormat="1">
      <c r="T25784" s="41"/>
    </row>
    <row r="25785" spans="20:20" s="566" customFormat="1">
      <c r="T25785" s="41"/>
    </row>
    <row r="25786" spans="20:20" s="566" customFormat="1">
      <c r="T25786" s="41"/>
    </row>
    <row r="25787" spans="20:20" s="566" customFormat="1">
      <c r="T25787" s="41"/>
    </row>
    <row r="25788" spans="20:20" s="566" customFormat="1">
      <c r="T25788" s="41"/>
    </row>
    <row r="25789" spans="20:20" s="566" customFormat="1">
      <c r="T25789" s="41"/>
    </row>
    <row r="25790" spans="20:20" s="566" customFormat="1">
      <c r="T25790" s="41"/>
    </row>
    <row r="25791" spans="20:20" s="566" customFormat="1">
      <c r="T25791" s="41"/>
    </row>
    <row r="25792" spans="20:20" s="566" customFormat="1">
      <c r="T25792" s="41"/>
    </row>
    <row r="25793" spans="20:20" s="566" customFormat="1">
      <c r="T25793" s="41"/>
    </row>
    <row r="25794" spans="20:20" s="566" customFormat="1">
      <c r="T25794" s="41"/>
    </row>
    <row r="25795" spans="20:20" s="566" customFormat="1">
      <c r="T25795" s="41"/>
    </row>
    <row r="25796" spans="20:20" s="566" customFormat="1">
      <c r="T25796" s="41"/>
    </row>
    <row r="25797" spans="20:20" s="566" customFormat="1">
      <c r="T25797" s="41"/>
    </row>
    <row r="25798" spans="20:20" s="566" customFormat="1">
      <c r="T25798" s="41"/>
    </row>
    <row r="25799" spans="20:20" s="566" customFormat="1">
      <c r="T25799" s="41"/>
    </row>
    <row r="25800" spans="20:20" s="566" customFormat="1">
      <c r="T25800" s="41"/>
    </row>
    <row r="25801" spans="20:20" s="566" customFormat="1">
      <c r="T25801" s="41"/>
    </row>
    <row r="25802" spans="20:20" s="566" customFormat="1">
      <c r="T25802" s="41"/>
    </row>
    <row r="25803" spans="20:20" s="566" customFormat="1">
      <c r="T25803" s="41"/>
    </row>
    <row r="25804" spans="20:20" s="566" customFormat="1">
      <c r="T25804" s="41"/>
    </row>
    <row r="25805" spans="20:20" s="566" customFormat="1">
      <c r="T25805" s="41"/>
    </row>
    <row r="25806" spans="20:20" s="566" customFormat="1">
      <c r="T25806" s="41"/>
    </row>
    <row r="25807" spans="20:20" s="566" customFormat="1">
      <c r="T25807" s="41"/>
    </row>
    <row r="25808" spans="20:20" s="566" customFormat="1">
      <c r="T25808" s="41"/>
    </row>
    <row r="25809" spans="20:20" s="566" customFormat="1">
      <c r="T25809" s="41"/>
    </row>
    <row r="25810" spans="20:20" s="566" customFormat="1">
      <c r="T25810" s="41"/>
    </row>
    <row r="25811" spans="20:20" s="566" customFormat="1">
      <c r="T25811" s="41"/>
    </row>
    <row r="25812" spans="20:20" s="566" customFormat="1">
      <c r="T25812" s="41"/>
    </row>
    <row r="25813" spans="20:20" s="566" customFormat="1">
      <c r="T25813" s="41"/>
    </row>
    <row r="25814" spans="20:20" s="566" customFormat="1">
      <c r="T25814" s="41"/>
    </row>
    <row r="25815" spans="20:20" s="566" customFormat="1">
      <c r="T25815" s="41"/>
    </row>
    <row r="25816" spans="20:20" s="566" customFormat="1">
      <c r="T25816" s="41"/>
    </row>
    <row r="25817" spans="20:20" s="566" customFormat="1">
      <c r="T25817" s="41"/>
    </row>
    <row r="25818" spans="20:20" s="566" customFormat="1">
      <c r="T25818" s="41"/>
    </row>
    <row r="25819" spans="20:20" s="566" customFormat="1">
      <c r="T25819" s="41"/>
    </row>
    <row r="25820" spans="20:20" s="566" customFormat="1">
      <c r="T25820" s="41"/>
    </row>
    <row r="25821" spans="20:20" s="566" customFormat="1">
      <c r="T25821" s="41"/>
    </row>
    <row r="25822" spans="20:20" s="566" customFormat="1">
      <c r="T25822" s="41"/>
    </row>
    <row r="25823" spans="20:20" s="566" customFormat="1">
      <c r="T25823" s="41"/>
    </row>
    <row r="25824" spans="20:20" s="566" customFormat="1">
      <c r="T25824" s="41"/>
    </row>
    <row r="25825" spans="20:20" s="566" customFormat="1">
      <c r="T25825" s="41"/>
    </row>
    <row r="25826" spans="20:20" s="566" customFormat="1">
      <c r="T25826" s="41"/>
    </row>
    <row r="25827" spans="20:20" s="566" customFormat="1">
      <c r="T25827" s="41"/>
    </row>
    <row r="25828" spans="20:20" s="566" customFormat="1">
      <c r="T25828" s="41"/>
    </row>
    <row r="25829" spans="20:20" s="566" customFormat="1">
      <c r="T25829" s="41"/>
    </row>
    <row r="25830" spans="20:20" s="566" customFormat="1">
      <c r="T25830" s="41"/>
    </row>
    <row r="25831" spans="20:20" s="566" customFormat="1">
      <c r="T25831" s="41"/>
    </row>
    <row r="25832" spans="20:20" s="566" customFormat="1">
      <c r="T25832" s="41"/>
    </row>
    <row r="25833" spans="20:20" s="566" customFormat="1">
      <c r="T25833" s="41"/>
    </row>
    <row r="25834" spans="20:20" s="566" customFormat="1">
      <c r="T25834" s="41"/>
    </row>
    <row r="25835" spans="20:20" s="566" customFormat="1">
      <c r="T25835" s="41"/>
    </row>
    <row r="25836" spans="20:20" s="566" customFormat="1">
      <c r="T25836" s="41"/>
    </row>
    <row r="25837" spans="20:20" s="566" customFormat="1">
      <c r="T25837" s="41"/>
    </row>
    <row r="25838" spans="20:20" s="566" customFormat="1">
      <c r="T25838" s="41"/>
    </row>
    <row r="25839" spans="20:20" s="566" customFormat="1">
      <c r="T25839" s="41"/>
    </row>
    <row r="25840" spans="20:20" s="566" customFormat="1">
      <c r="T25840" s="41"/>
    </row>
    <row r="25841" spans="20:20" s="566" customFormat="1">
      <c r="T25841" s="41"/>
    </row>
    <row r="25842" spans="20:20" s="566" customFormat="1">
      <c r="T25842" s="41"/>
    </row>
    <row r="25843" spans="20:20" s="566" customFormat="1">
      <c r="T25843" s="41"/>
    </row>
    <row r="25844" spans="20:20" s="566" customFormat="1">
      <c r="T25844" s="41"/>
    </row>
    <row r="25845" spans="20:20" s="566" customFormat="1">
      <c r="T25845" s="41"/>
    </row>
    <row r="25846" spans="20:20" s="566" customFormat="1">
      <c r="T25846" s="41"/>
    </row>
    <row r="25847" spans="20:20" s="566" customFormat="1">
      <c r="T25847" s="41"/>
    </row>
    <row r="25848" spans="20:20" s="566" customFormat="1">
      <c r="T25848" s="41"/>
    </row>
    <row r="25849" spans="20:20" s="566" customFormat="1">
      <c r="T25849" s="41"/>
    </row>
    <row r="25850" spans="20:20" s="566" customFormat="1">
      <c r="T25850" s="41"/>
    </row>
    <row r="25851" spans="20:20" s="566" customFormat="1">
      <c r="T25851" s="41"/>
    </row>
    <row r="25852" spans="20:20" s="566" customFormat="1">
      <c r="T25852" s="41"/>
    </row>
    <row r="25853" spans="20:20" s="566" customFormat="1">
      <c r="T25853" s="41"/>
    </row>
    <row r="25854" spans="20:20" s="566" customFormat="1">
      <c r="T25854" s="41"/>
    </row>
    <row r="25855" spans="20:20" s="566" customFormat="1">
      <c r="T25855" s="41"/>
    </row>
    <row r="25856" spans="20:20" s="566" customFormat="1">
      <c r="T25856" s="41"/>
    </row>
    <row r="25857" spans="20:20" s="566" customFormat="1">
      <c r="T25857" s="41"/>
    </row>
    <row r="25858" spans="20:20" s="566" customFormat="1">
      <c r="T25858" s="41"/>
    </row>
    <row r="25859" spans="20:20" s="566" customFormat="1">
      <c r="T25859" s="41"/>
    </row>
    <row r="25860" spans="20:20" s="566" customFormat="1">
      <c r="T25860" s="41"/>
    </row>
    <row r="25861" spans="20:20" s="566" customFormat="1">
      <c r="T25861" s="41"/>
    </row>
    <row r="25862" spans="20:20" s="566" customFormat="1">
      <c r="T25862" s="41"/>
    </row>
    <row r="25863" spans="20:20" s="566" customFormat="1">
      <c r="T25863" s="41"/>
    </row>
    <row r="25864" spans="20:20" s="566" customFormat="1">
      <c r="T25864" s="41"/>
    </row>
    <row r="25865" spans="20:20" s="566" customFormat="1">
      <c r="T25865" s="41"/>
    </row>
    <row r="25866" spans="20:20" s="566" customFormat="1">
      <c r="T25866" s="41"/>
    </row>
    <row r="25867" spans="20:20" s="566" customFormat="1">
      <c r="T25867" s="41"/>
    </row>
    <row r="25868" spans="20:20" s="566" customFormat="1">
      <c r="T25868" s="41"/>
    </row>
    <row r="25869" spans="20:20" s="566" customFormat="1">
      <c r="T25869" s="41"/>
    </row>
    <row r="25870" spans="20:20" s="566" customFormat="1">
      <c r="T25870" s="41"/>
    </row>
    <row r="25871" spans="20:20" s="566" customFormat="1">
      <c r="T25871" s="41"/>
    </row>
    <row r="25872" spans="20:20" s="566" customFormat="1">
      <c r="T25872" s="41"/>
    </row>
    <row r="25873" spans="20:20" s="566" customFormat="1">
      <c r="T25873" s="41"/>
    </row>
    <row r="25874" spans="20:20" s="566" customFormat="1">
      <c r="T25874" s="41"/>
    </row>
    <row r="25875" spans="20:20" s="566" customFormat="1">
      <c r="T25875" s="41"/>
    </row>
    <row r="25876" spans="20:20" s="566" customFormat="1">
      <c r="T25876" s="41"/>
    </row>
    <row r="25877" spans="20:20" s="566" customFormat="1">
      <c r="T25877" s="41"/>
    </row>
    <row r="25878" spans="20:20" s="566" customFormat="1">
      <c r="T25878" s="41"/>
    </row>
    <row r="25879" spans="20:20" s="566" customFormat="1">
      <c r="T25879" s="41"/>
    </row>
    <row r="25880" spans="20:20" s="566" customFormat="1">
      <c r="T25880" s="41"/>
    </row>
    <row r="25881" spans="20:20" s="566" customFormat="1">
      <c r="T25881" s="41"/>
    </row>
    <row r="25882" spans="20:20" s="566" customFormat="1">
      <c r="T25882" s="41"/>
    </row>
    <row r="25883" spans="20:20" s="566" customFormat="1">
      <c r="T25883" s="41"/>
    </row>
    <row r="25884" spans="20:20" s="566" customFormat="1">
      <c r="T25884" s="41"/>
    </row>
    <row r="25885" spans="20:20" s="566" customFormat="1">
      <c r="T25885" s="41"/>
    </row>
    <row r="25886" spans="20:20" s="566" customFormat="1">
      <c r="T25886" s="41"/>
    </row>
    <row r="25887" spans="20:20" s="566" customFormat="1">
      <c r="T25887" s="41"/>
    </row>
    <row r="25888" spans="20:20" s="566" customFormat="1">
      <c r="T25888" s="41"/>
    </row>
    <row r="25889" spans="20:20" s="566" customFormat="1">
      <c r="T25889" s="41"/>
    </row>
    <row r="25890" spans="20:20" s="566" customFormat="1">
      <c r="T25890" s="41"/>
    </row>
    <row r="25891" spans="20:20" s="566" customFormat="1">
      <c r="T25891" s="41"/>
    </row>
    <row r="25892" spans="20:20" s="566" customFormat="1">
      <c r="T25892" s="41"/>
    </row>
    <row r="25893" spans="20:20" s="566" customFormat="1">
      <c r="T25893" s="41"/>
    </row>
    <row r="25894" spans="20:20" s="566" customFormat="1">
      <c r="T25894" s="41"/>
    </row>
    <row r="25895" spans="20:20" s="566" customFormat="1">
      <c r="T25895" s="41"/>
    </row>
    <row r="25896" spans="20:20" s="566" customFormat="1">
      <c r="T25896" s="41"/>
    </row>
    <row r="25897" spans="20:20" s="566" customFormat="1">
      <c r="T25897" s="41"/>
    </row>
    <row r="25898" spans="20:20" s="566" customFormat="1">
      <c r="T25898" s="41"/>
    </row>
    <row r="25899" spans="20:20" s="566" customFormat="1">
      <c r="T25899" s="41"/>
    </row>
    <row r="25900" spans="20:20" s="566" customFormat="1">
      <c r="T25900" s="41"/>
    </row>
    <row r="25901" spans="20:20" s="566" customFormat="1">
      <c r="T25901" s="41"/>
    </row>
    <row r="25902" spans="20:20" s="566" customFormat="1">
      <c r="T25902" s="41"/>
    </row>
    <row r="25903" spans="20:20" s="566" customFormat="1">
      <c r="T25903" s="41"/>
    </row>
    <row r="25904" spans="20:20" s="566" customFormat="1">
      <c r="T25904" s="41"/>
    </row>
    <row r="25905" spans="20:20" s="566" customFormat="1">
      <c r="T25905" s="41"/>
    </row>
    <row r="25906" spans="20:20" s="566" customFormat="1">
      <c r="T25906" s="41"/>
    </row>
    <row r="25907" spans="20:20" s="566" customFormat="1">
      <c r="T25907" s="41"/>
    </row>
    <row r="25908" spans="20:20" s="566" customFormat="1">
      <c r="T25908" s="41"/>
    </row>
    <row r="25909" spans="20:20" s="566" customFormat="1">
      <c r="T25909" s="41"/>
    </row>
    <row r="25910" spans="20:20" s="566" customFormat="1">
      <c r="T25910" s="41"/>
    </row>
    <row r="25911" spans="20:20" s="566" customFormat="1">
      <c r="T25911" s="41"/>
    </row>
    <row r="25912" spans="20:20" s="566" customFormat="1">
      <c r="T25912" s="41"/>
    </row>
    <row r="25913" spans="20:20" s="566" customFormat="1">
      <c r="T25913" s="41"/>
    </row>
    <row r="25914" spans="20:20" s="566" customFormat="1">
      <c r="T25914" s="41"/>
    </row>
    <row r="25915" spans="20:20" s="566" customFormat="1">
      <c r="T25915" s="41"/>
    </row>
    <row r="25916" spans="20:20" s="566" customFormat="1">
      <c r="T25916" s="41"/>
    </row>
    <row r="25917" spans="20:20" s="566" customFormat="1">
      <c r="T25917" s="41"/>
    </row>
    <row r="25918" spans="20:20" s="566" customFormat="1">
      <c r="T25918" s="41"/>
    </row>
    <row r="25919" spans="20:20" s="566" customFormat="1">
      <c r="T25919" s="41"/>
    </row>
    <row r="25920" spans="20:20" s="566" customFormat="1">
      <c r="T25920" s="41"/>
    </row>
    <row r="25921" spans="20:20" s="566" customFormat="1">
      <c r="T25921" s="41"/>
    </row>
    <row r="25922" spans="20:20" s="566" customFormat="1">
      <c r="T25922" s="41"/>
    </row>
    <row r="25923" spans="20:20" s="566" customFormat="1">
      <c r="T25923" s="41"/>
    </row>
    <row r="25924" spans="20:20" s="566" customFormat="1">
      <c r="T25924" s="41"/>
    </row>
    <row r="25925" spans="20:20" s="566" customFormat="1">
      <c r="T25925" s="41"/>
    </row>
    <row r="25926" spans="20:20" s="566" customFormat="1">
      <c r="T25926" s="41"/>
    </row>
    <row r="25927" spans="20:20" s="566" customFormat="1">
      <c r="T25927" s="41"/>
    </row>
    <row r="25928" spans="20:20" s="566" customFormat="1">
      <c r="T25928" s="41"/>
    </row>
    <row r="25929" spans="20:20" s="566" customFormat="1">
      <c r="T25929" s="41"/>
    </row>
    <row r="25930" spans="20:20" s="566" customFormat="1">
      <c r="T25930" s="41"/>
    </row>
    <row r="25931" spans="20:20" s="566" customFormat="1">
      <c r="T25931" s="41"/>
    </row>
    <row r="25932" spans="20:20" s="566" customFormat="1">
      <c r="T25932" s="41"/>
    </row>
    <row r="25933" spans="20:20" s="566" customFormat="1">
      <c r="T25933" s="41"/>
    </row>
    <row r="25934" spans="20:20" s="566" customFormat="1">
      <c r="T25934" s="41"/>
    </row>
    <row r="25935" spans="20:20" s="566" customFormat="1">
      <c r="T25935" s="41"/>
    </row>
    <row r="25936" spans="20:20" s="566" customFormat="1">
      <c r="T25936" s="41"/>
    </row>
    <row r="25937" spans="20:20" s="566" customFormat="1">
      <c r="T25937" s="41"/>
    </row>
    <row r="25938" spans="20:20" s="566" customFormat="1">
      <c r="T25938" s="41"/>
    </row>
    <row r="25939" spans="20:20" s="566" customFormat="1">
      <c r="T25939" s="41"/>
    </row>
    <row r="25940" spans="20:20" s="566" customFormat="1">
      <c r="T25940" s="41"/>
    </row>
    <row r="25941" spans="20:20" s="566" customFormat="1">
      <c r="T25941" s="41"/>
    </row>
    <row r="25942" spans="20:20" s="566" customFormat="1">
      <c r="T25942" s="41"/>
    </row>
    <row r="25943" spans="20:20" s="566" customFormat="1">
      <c r="T25943" s="41"/>
    </row>
    <row r="25944" spans="20:20" s="566" customFormat="1">
      <c r="T25944" s="41"/>
    </row>
    <row r="25945" spans="20:20" s="566" customFormat="1">
      <c r="T25945" s="41"/>
    </row>
    <row r="25946" spans="20:20" s="566" customFormat="1">
      <c r="T25946" s="41"/>
    </row>
    <row r="25947" spans="20:20" s="566" customFormat="1">
      <c r="T25947" s="41"/>
    </row>
    <row r="25948" spans="20:20" s="566" customFormat="1">
      <c r="T25948" s="41"/>
    </row>
    <row r="25949" spans="20:20" s="566" customFormat="1">
      <c r="T25949" s="41"/>
    </row>
    <row r="25950" spans="20:20" s="566" customFormat="1">
      <c r="T25950" s="41"/>
    </row>
    <row r="25951" spans="20:20" s="566" customFormat="1">
      <c r="T25951" s="41"/>
    </row>
    <row r="25952" spans="20:20" s="566" customFormat="1">
      <c r="T25952" s="41"/>
    </row>
    <row r="25953" spans="20:20" s="566" customFormat="1">
      <c r="T25953" s="41"/>
    </row>
    <row r="25954" spans="20:20" s="566" customFormat="1">
      <c r="T25954" s="41"/>
    </row>
    <row r="25955" spans="20:20" s="566" customFormat="1">
      <c r="T25955" s="41"/>
    </row>
    <row r="25956" spans="20:20" s="566" customFormat="1">
      <c r="T25956" s="41"/>
    </row>
    <row r="25957" spans="20:20" s="566" customFormat="1">
      <c r="T25957" s="41"/>
    </row>
    <row r="25958" spans="20:20" s="566" customFormat="1">
      <c r="T25958" s="41"/>
    </row>
    <row r="25959" spans="20:20" s="566" customFormat="1">
      <c r="T25959" s="41"/>
    </row>
    <row r="25960" spans="20:20" s="566" customFormat="1">
      <c r="T25960" s="41"/>
    </row>
    <row r="25961" spans="20:20" s="566" customFormat="1">
      <c r="T25961" s="41"/>
    </row>
    <row r="25962" spans="20:20" s="566" customFormat="1">
      <c r="T25962" s="41"/>
    </row>
    <row r="25963" spans="20:20" s="566" customFormat="1">
      <c r="T25963" s="41"/>
    </row>
    <row r="25964" spans="20:20" s="566" customFormat="1">
      <c r="T25964" s="41"/>
    </row>
    <row r="25965" spans="20:20" s="566" customFormat="1">
      <c r="T25965" s="41"/>
    </row>
    <row r="25966" spans="20:20" s="566" customFormat="1">
      <c r="T25966" s="41"/>
    </row>
    <row r="25967" spans="20:20" s="566" customFormat="1">
      <c r="T25967" s="41"/>
    </row>
    <row r="25968" spans="20:20" s="566" customFormat="1">
      <c r="T25968" s="41"/>
    </row>
    <row r="25969" spans="20:20" s="566" customFormat="1">
      <c r="T25969" s="41"/>
    </row>
    <row r="25970" spans="20:20" s="566" customFormat="1">
      <c r="T25970" s="41"/>
    </row>
    <row r="25971" spans="20:20" s="566" customFormat="1">
      <c r="T25971" s="41"/>
    </row>
    <row r="25972" spans="20:20" s="566" customFormat="1">
      <c r="T25972" s="41"/>
    </row>
    <row r="25973" spans="20:20" s="566" customFormat="1">
      <c r="T25973" s="41"/>
    </row>
    <row r="25974" spans="20:20" s="566" customFormat="1">
      <c r="T25974" s="41"/>
    </row>
    <row r="25975" spans="20:20" s="566" customFormat="1">
      <c r="T25975" s="41"/>
    </row>
    <row r="25976" spans="20:20" s="566" customFormat="1">
      <c r="T25976" s="41"/>
    </row>
    <row r="25977" spans="20:20" s="566" customFormat="1">
      <c r="T25977" s="41"/>
    </row>
    <row r="25978" spans="20:20" s="566" customFormat="1">
      <c r="T25978" s="41"/>
    </row>
    <row r="25979" spans="20:20" s="566" customFormat="1">
      <c r="T25979" s="41"/>
    </row>
    <row r="25980" spans="20:20" s="566" customFormat="1">
      <c r="T25980" s="41"/>
    </row>
    <row r="25981" spans="20:20" s="566" customFormat="1">
      <c r="T25981" s="41"/>
    </row>
    <row r="25982" spans="20:20" s="566" customFormat="1">
      <c r="T25982" s="41"/>
    </row>
    <row r="25983" spans="20:20" s="566" customFormat="1">
      <c r="T25983" s="41"/>
    </row>
    <row r="25984" spans="20:20" s="566" customFormat="1">
      <c r="T25984" s="41"/>
    </row>
    <row r="25985" spans="20:20" s="566" customFormat="1">
      <c r="T25985" s="41"/>
    </row>
    <row r="25986" spans="20:20" s="566" customFormat="1">
      <c r="T25986" s="41"/>
    </row>
    <row r="25987" spans="20:20" s="566" customFormat="1">
      <c r="T25987" s="41"/>
    </row>
    <row r="25988" spans="20:20" s="566" customFormat="1">
      <c r="T25988" s="41"/>
    </row>
    <row r="25989" spans="20:20" s="566" customFormat="1">
      <c r="T25989" s="41"/>
    </row>
    <row r="25990" spans="20:20" s="566" customFormat="1">
      <c r="T25990" s="41"/>
    </row>
    <row r="25991" spans="20:20" s="566" customFormat="1">
      <c r="T25991" s="41"/>
    </row>
    <row r="25992" spans="20:20" s="566" customFormat="1">
      <c r="T25992" s="41"/>
    </row>
    <row r="25993" spans="20:20" s="566" customFormat="1">
      <c r="T25993" s="41"/>
    </row>
    <row r="25994" spans="20:20" s="566" customFormat="1">
      <c r="T25994" s="41"/>
    </row>
    <row r="25995" spans="20:20" s="566" customFormat="1">
      <c r="T25995" s="41"/>
    </row>
    <row r="25996" spans="20:20" s="566" customFormat="1">
      <c r="T25996" s="41"/>
    </row>
    <row r="25997" spans="20:20" s="566" customFormat="1">
      <c r="T25997" s="41"/>
    </row>
    <row r="25998" spans="20:20" s="566" customFormat="1">
      <c r="T25998" s="41"/>
    </row>
    <row r="25999" spans="20:20" s="566" customFormat="1">
      <c r="T25999" s="41"/>
    </row>
    <row r="26000" spans="20:20" s="566" customFormat="1">
      <c r="T26000" s="41"/>
    </row>
    <row r="26001" spans="20:20" s="566" customFormat="1">
      <c r="T26001" s="41"/>
    </row>
    <row r="26002" spans="20:20" s="566" customFormat="1">
      <c r="T26002" s="41"/>
    </row>
    <row r="26003" spans="20:20" s="566" customFormat="1">
      <c r="T26003" s="41"/>
    </row>
    <row r="26004" spans="20:20" s="566" customFormat="1">
      <c r="T26004" s="41"/>
    </row>
    <row r="26005" spans="20:20" s="566" customFormat="1">
      <c r="T26005" s="41"/>
    </row>
    <row r="26006" spans="20:20" s="566" customFormat="1">
      <c r="T26006" s="41"/>
    </row>
    <row r="26007" spans="20:20" s="566" customFormat="1">
      <c r="T26007" s="41"/>
    </row>
    <row r="26008" spans="20:20" s="566" customFormat="1">
      <c r="T26008" s="41"/>
    </row>
    <row r="26009" spans="20:20" s="566" customFormat="1">
      <c r="T26009" s="41"/>
    </row>
    <row r="26010" spans="20:20" s="566" customFormat="1">
      <c r="T26010" s="41"/>
    </row>
    <row r="26011" spans="20:20" s="566" customFormat="1">
      <c r="T26011" s="41"/>
    </row>
    <row r="26012" spans="20:20" s="566" customFormat="1">
      <c r="T26012" s="41"/>
    </row>
    <row r="26013" spans="20:20" s="566" customFormat="1">
      <c r="T26013" s="41"/>
    </row>
    <row r="26014" spans="20:20" s="566" customFormat="1">
      <c r="T26014" s="41"/>
    </row>
    <row r="26015" spans="20:20" s="566" customFormat="1">
      <c r="T26015" s="41"/>
    </row>
    <row r="26016" spans="20:20" s="566" customFormat="1">
      <c r="T26016" s="41"/>
    </row>
    <row r="26017" spans="20:20" s="566" customFormat="1">
      <c r="T26017" s="41"/>
    </row>
    <row r="26018" spans="20:20" s="566" customFormat="1">
      <c r="T26018" s="41"/>
    </row>
    <row r="26019" spans="20:20" s="566" customFormat="1">
      <c r="T26019" s="41"/>
    </row>
    <row r="26020" spans="20:20" s="566" customFormat="1">
      <c r="T26020" s="41"/>
    </row>
    <row r="26021" spans="20:20" s="566" customFormat="1">
      <c r="T26021" s="41"/>
    </row>
    <row r="26022" spans="20:20" s="566" customFormat="1">
      <c r="T26022" s="41"/>
    </row>
    <row r="26023" spans="20:20" s="566" customFormat="1">
      <c r="T26023" s="41"/>
    </row>
    <row r="26024" spans="20:20" s="566" customFormat="1">
      <c r="T26024" s="41"/>
    </row>
    <row r="26025" spans="20:20" s="566" customFormat="1">
      <c r="T26025" s="41"/>
    </row>
    <row r="26026" spans="20:20" s="566" customFormat="1">
      <c r="T26026" s="41"/>
    </row>
    <row r="26027" spans="20:20" s="566" customFormat="1">
      <c r="T26027" s="41"/>
    </row>
    <row r="26028" spans="20:20" s="566" customFormat="1">
      <c r="T26028" s="41"/>
    </row>
    <row r="26029" spans="20:20" s="566" customFormat="1">
      <c r="T26029" s="41"/>
    </row>
    <row r="26030" spans="20:20" s="566" customFormat="1">
      <c r="T26030" s="41"/>
    </row>
    <row r="26031" spans="20:20" s="566" customFormat="1">
      <c r="T26031" s="41"/>
    </row>
    <row r="26032" spans="20:20" s="566" customFormat="1">
      <c r="T26032" s="41"/>
    </row>
    <row r="26033" spans="20:20" s="566" customFormat="1">
      <c r="T26033" s="41"/>
    </row>
    <row r="26034" spans="20:20" s="566" customFormat="1">
      <c r="T26034" s="41"/>
    </row>
    <row r="26035" spans="20:20" s="566" customFormat="1">
      <c r="T26035" s="41"/>
    </row>
    <row r="26036" spans="20:20" s="566" customFormat="1">
      <c r="T26036" s="41"/>
    </row>
    <row r="26037" spans="20:20" s="566" customFormat="1">
      <c r="T26037" s="41"/>
    </row>
    <row r="26038" spans="20:20" s="566" customFormat="1">
      <c r="T26038" s="41"/>
    </row>
    <row r="26039" spans="20:20" s="566" customFormat="1">
      <c r="T26039" s="41"/>
    </row>
    <row r="26040" spans="20:20" s="566" customFormat="1">
      <c r="T26040" s="41"/>
    </row>
    <row r="26041" spans="20:20" s="566" customFormat="1">
      <c r="T26041" s="41"/>
    </row>
    <row r="26042" spans="20:20" s="566" customFormat="1">
      <c r="T26042" s="41"/>
    </row>
    <row r="26043" spans="20:20" s="566" customFormat="1">
      <c r="T26043" s="41"/>
    </row>
    <row r="26044" spans="20:20" s="566" customFormat="1">
      <c r="T26044" s="41"/>
    </row>
    <row r="26045" spans="20:20" s="566" customFormat="1">
      <c r="T26045" s="41"/>
    </row>
    <row r="26046" spans="20:20" s="566" customFormat="1">
      <c r="T26046" s="41"/>
    </row>
    <row r="26047" spans="20:20" s="566" customFormat="1">
      <c r="T26047" s="41"/>
    </row>
    <row r="26048" spans="20:20" s="566" customFormat="1">
      <c r="T26048" s="41"/>
    </row>
    <row r="26049" spans="20:20" s="566" customFormat="1">
      <c r="T26049" s="41"/>
    </row>
    <row r="26050" spans="20:20" s="566" customFormat="1">
      <c r="T26050" s="41"/>
    </row>
    <row r="26051" spans="20:20" s="566" customFormat="1">
      <c r="T26051" s="41"/>
    </row>
    <row r="26052" spans="20:20" s="566" customFormat="1">
      <c r="T26052" s="41"/>
    </row>
    <row r="26053" spans="20:20" s="566" customFormat="1">
      <c r="T26053" s="41"/>
    </row>
    <row r="26054" spans="20:20" s="566" customFormat="1">
      <c r="T26054" s="41"/>
    </row>
    <row r="26055" spans="20:20" s="566" customFormat="1">
      <c r="T26055" s="41"/>
    </row>
    <row r="26056" spans="20:20" s="566" customFormat="1">
      <c r="T26056" s="41"/>
    </row>
    <row r="26057" spans="20:20" s="566" customFormat="1">
      <c r="T26057" s="41"/>
    </row>
    <row r="26058" spans="20:20" s="566" customFormat="1">
      <c r="T26058" s="41"/>
    </row>
    <row r="26059" spans="20:20" s="566" customFormat="1">
      <c r="T26059" s="41"/>
    </row>
    <row r="26060" spans="20:20" s="566" customFormat="1">
      <c r="T26060" s="41"/>
    </row>
    <row r="26061" spans="20:20" s="566" customFormat="1">
      <c r="T26061" s="41"/>
    </row>
    <row r="26062" spans="20:20" s="566" customFormat="1">
      <c r="T26062" s="41"/>
    </row>
    <row r="26063" spans="20:20" s="566" customFormat="1">
      <c r="T26063" s="41"/>
    </row>
    <row r="26064" spans="20:20" s="566" customFormat="1">
      <c r="T26064" s="41"/>
    </row>
    <row r="26065" spans="20:20" s="566" customFormat="1">
      <c r="T26065" s="41"/>
    </row>
    <row r="26066" spans="20:20" s="566" customFormat="1">
      <c r="T26066" s="41"/>
    </row>
    <row r="26067" spans="20:20" s="566" customFormat="1">
      <c r="T26067" s="41"/>
    </row>
    <row r="26068" spans="20:20" s="566" customFormat="1">
      <c r="T26068" s="41"/>
    </row>
    <row r="26069" spans="20:20" s="566" customFormat="1">
      <c r="T26069" s="41"/>
    </row>
    <row r="26070" spans="20:20" s="566" customFormat="1">
      <c r="T26070" s="41"/>
    </row>
    <row r="26071" spans="20:20" s="566" customFormat="1">
      <c r="T26071" s="41"/>
    </row>
    <row r="26072" spans="20:20" s="566" customFormat="1">
      <c r="T26072" s="41"/>
    </row>
    <row r="26073" spans="20:20" s="566" customFormat="1">
      <c r="T26073" s="41"/>
    </row>
    <row r="26074" spans="20:20" s="566" customFormat="1">
      <c r="T26074" s="41"/>
    </row>
    <row r="26075" spans="20:20" s="566" customFormat="1">
      <c r="T26075" s="41"/>
    </row>
    <row r="26076" spans="20:20" s="566" customFormat="1">
      <c r="T26076" s="41"/>
    </row>
    <row r="26077" spans="20:20" s="566" customFormat="1">
      <c r="T26077" s="41"/>
    </row>
    <row r="26078" spans="20:20" s="566" customFormat="1">
      <c r="T26078" s="41"/>
    </row>
    <row r="26079" spans="20:20" s="566" customFormat="1">
      <c r="T26079" s="41"/>
    </row>
    <row r="26080" spans="20:20" s="566" customFormat="1">
      <c r="T26080" s="41"/>
    </row>
    <row r="26081" spans="20:20" s="566" customFormat="1">
      <c r="T26081" s="41"/>
    </row>
    <row r="26082" spans="20:20" s="566" customFormat="1">
      <c r="T26082" s="41"/>
    </row>
    <row r="26083" spans="20:20" s="566" customFormat="1">
      <c r="T26083" s="41"/>
    </row>
    <row r="26084" spans="20:20" s="566" customFormat="1">
      <c r="T26084" s="41"/>
    </row>
    <row r="26085" spans="20:20" s="566" customFormat="1">
      <c r="T26085" s="41"/>
    </row>
    <row r="26086" spans="20:20" s="566" customFormat="1">
      <c r="T26086" s="41"/>
    </row>
    <row r="26087" spans="20:20" s="566" customFormat="1">
      <c r="T26087" s="41"/>
    </row>
    <row r="26088" spans="20:20" s="566" customFormat="1">
      <c r="T26088" s="41"/>
    </row>
    <row r="26089" spans="20:20" s="566" customFormat="1">
      <c r="T26089" s="41"/>
    </row>
    <row r="26090" spans="20:20" s="566" customFormat="1">
      <c r="T26090" s="41"/>
    </row>
    <row r="26091" spans="20:20" s="566" customFormat="1">
      <c r="T26091" s="41"/>
    </row>
    <row r="26092" spans="20:20" s="566" customFormat="1">
      <c r="T26092" s="41"/>
    </row>
    <row r="26093" spans="20:20" s="566" customFormat="1">
      <c r="T26093" s="41"/>
    </row>
    <row r="26094" spans="20:20" s="566" customFormat="1">
      <c r="T26094" s="41"/>
    </row>
    <row r="26095" spans="20:20" s="566" customFormat="1">
      <c r="T26095" s="41"/>
    </row>
    <row r="26096" spans="20:20" s="566" customFormat="1">
      <c r="T26096" s="41"/>
    </row>
    <row r="26097" spans="20:20" s="566" customFormat="1">
      <c r="T26097" s="41"/>
    </row>
    <row r="26098" spans="20:20" s="566" customFormat="1">
      <c r="T26098" s="41"/>
    </row>
    <row r="26099" spans="20:20" s="566" customFormat="1">
      <c r="T26099" s="41"/>
    </row>
    <row r="26100" spans="20:20" s="566" customFormat="1">
      <c r="T26100" s="41"/>
    </row>
    <row r="26101" spans="20:20" s="566" customFormat="1">
      <c r="T26101" s="41"/>
    </row>
    <row r="26102" spans="20:20" s="566" customFormat="1">
      <c r="T26102" s="41"/>
    </row>
    <row r="26103" spans="20:20" s="566" customFormat="1">
      <c r="T26103" s="41"/>
    </row>
    <row r="26104" spans="20:20" s="566" customFormat="1">
      <c r="T26104" s="41"/>
    </row>
    <row r="26105" spans="20:20" s="566" customFormat="1">
      <c r="T26105" s="41"/>
    </row>
    <row r="26106" spans="20:20" s="566" customFormat="1">
      <c r="T26106" s="41"/>
    </row>
    <row r="26107" spans="20:20" s="566" customFormat="1">
      <c r="T26107" s="41"/>
    </row>
    <row r="26108" spans="20:20" s="566" customFormat="1">
      <c r="T26108" s="41"/>
    </row>
    <row r="26109" spans="20:20" s="566" customFormat="1">
      <c r="T26109" s="41"/>
    </row>
    <row r="26110" spans="20:20" s="566" customFormat="1">
      <c r="T26110" s="41"/>
    </row>
    <row r="26111" spans="20:20" s="566" customFormat="1">
      <c r="T26111" s="41"/>
    </row>
    <row r="26112" spans="20:20" s="566" customFormat="1">
      <c r="T26112" s="41"/>
    </row>
    <row r="26113" spans="20:20" s="566" customFormat="1">
      <c r="T26113" s="41"/>
    </row>
    <row r="26114" spans="20:20" s="566" customFormat="1">
      <c r="T26114" s="41"/>
    </row>
    <row r="26115" spans="20:20" s="566" customFormat="1">
      <c r="T26115" s="41"/>
    </row>
    <row r="26116" spans="20:20" s="566" customFormat="1">
      <c r="T26116" s="41"/>
    </row>
    <row r="26117" spans="20:20" s="566" customFormat="1">
      <c r="T26117" s="41"/>
    </row>
    <row r="26118" spans="20:20" s="566" customFormat="1">
      <c r="T26118" s="41"/>
    </row>
    <row r="26119" spans="20:20" s="566" customFormat="1">
      <c r="T26119" s="41"/>
    </row>
    <row r="26120" spans="20:20" s="566" customFormat="1">
      <c r="T26120" s="41"/>
    </row>
    <row r="26121" spans="20:20" s="566" customFormat="1">
      <c r="T26121" s="41"/>
    </row>
    <row r="26122" spans="20:20" s="566" customFormat="1">
      <c r="T26122" s="41"/>
    </row>
    <row r="26123" spans="20:20" s="566" customFormat="1">
      <c r="T26123" s="41"/>
    </row>
    <row r="26124" spans="20:20" s="566" customFormat="1">
      <c r="T26124" s="41"/>
    </row>
    <row r="26125" spans="20:20" s="566" customFormat="1">
      <c r="T26125" s="41"/>
    </row>
    <row r="26126" spans="20:20" s="566" customFormat="1">
      <c r="T26126" s="41"/>
    </row>
    <row r="26127" spans="20:20" s="566" customFormat="1">
      <c r="T26127" s="41"/>
    </row>
    <row r="26128" spans="20:20" s="566" customFormat="1">
      <c r="T26128" s="41"/>
    </row>
    <row r="26129" spans="20:20" s="566" customFormat="1">
      <c r="T26129" s="41"/>
    </row>
    <row r="26130" spans="20:20" s="566" customFormat="1">
      <c r="T26130" s="41"/>
    </row>
    <row r="26131" spans="20:20" s="566" customFormat="1">
      <c r="T26131" s="41"/>
    </row>
    <row r="26132" spans="20:20" s="566" customFormat="1">
      <c r="T26132" s="41"/>
    </row>
    <row r="26133" spans="20:20" s="566" customFormat="1">
      <c r="T26133" s="41"/>
    </row>
    <row r="26134" spans="20:20" s="566" customFormat="1">
      <c r="T26134" s="41"/>
    </row>
    <row r="26135" spans="20:20" s="566" customFormat="1">
      <c r="T26135" s="41"/>
    </row>
    <row r="26136" spans="20:20" s="566" customFormat="1">
      <c r="T26136" s="41"/>
    </row>
    <row r="26137" spans="20:20" s="566" customFormat="1">
      <c r="T26137" s="41"/>
    </row>
    <row r="26138" spans="20:20" s="566" customFormat="1">
      <c r="T26138" s="41"/>
    </row>
    <row r="26139" spans="20:20" s="566" customFormat="1">
      <c r="T26139" s="41"/>
    </row>
    <row r="26140" spans="20:20" s="566" customFormat="1">
      <c r="T26140" s="41"/>
    </row>
    <row r="26141" spans="20:20" s="566" customFormat="1">
      <c r="T26141" s="41"/>
    </row>
    <row r="26142" spans="20:20" s="566" customFormat="1">
      <c r="T26142" s="41"/>
    </row>
    <row r="26143" spans="20:20" s="566" customFormat="1">
      <c r="T26143" s="41"/>
    </row>
    <row r="26144" spans="20:20" s="566" customFormat="1">
      <c r="T26144" s="41"/>
    </row>
    <row r="26145" spans="20:20" s="566" customFormat="1">
      <c r="T26145" s="41"/>
    </row>
    <row r="26146" spans="20:20" s="566" customFormat="1">
      <c r="T26146" s="41"/>
    </row>
    <row r="26147" spans="20:20" s="566" customFormat="1">
      <c r="T26147" s="41"/>
    </row>
    <row r="26148" spans="20:20" s="566" customFormat="1">
      <c r="T26148" s="41"/>
    </row>
    <row r="26149" spans="20:20" s="566" customFormat="1">
      <c r="T26149" s="41"/>
    </row>
    <row r="26150" spans="20:20" s="566" customFormat="1">
      <c r="T26150" s="41"/>
    </row>
    <row r="26151" spans="20:20" s="566" customFormat="1">
      <c r="T26151" s="41"/>
    </row>
    <row r="26152" spans="20:20" s="566" customFormat="1">
      <c r="T26152" s="41"/>
    </row>
    <row r="26153" spans="20:20" s="566" customFormat="1">
      <c r="T26153" s="41"/>
    </row>
    <row r="26154" spans="20:20" s="566" customFormat="1">
      <c r="T26154" s="41"/>
    </row>
    <row r="26155" spans="20:20" s="566" customFormat="1">
      <c r="T26155" s="41"/>
    </row>
    <row r="26156" spans="20:20" s="566" customFormat="1">
      <c r="T26156" s="41"/>
    </row>
    <row r="26157" spans="20:20" s="566" customFormat="1">
      <c r="T26157" s="41"/>
    </row>
    <row r="26158" spans="20:20" s="566" customFormat="1">
      <c r="T26158" s="41"/>
    </row>
    <row r="26159" spans="20:20" s="566" customFormat="1">
      <c r="T26159" s="41"/>
    </row>
    <row r="26160" spans="20:20" s="566" customFormat="1">
      <c r="T26160" s="41"/>
    </row>
    <row r="26161" spans="20:20" s="566" customFormat="1">
      <c r="T26161" s="41"/>
    </row>
    <row r="26162" spans="20:20" s="566" customFormat="1">
      <c r="T26162" s="41"/>
    </row>
    <row r="26163" spans="20:20" s="566" customFormat="1">
      <c r="T26163" s="41"/>
    </row>
    <row r="26164" spans="20:20" s="566" customFormat="1">
      <c r="T26164" s="41"/>
    </row>
    <row r="26165" spans="20:20" s="566" customFormat="1">
      <c r="T26165" s="41"/>
    </row>
    <row r="26166" spans="20:20" s="566" customFormat="1">
      <c r="T26166" s="41"/>
    </row>
    <row r="26167" spans="20:20" s="566" customFormat="1">
      <c r="T26167" s="41"/>
    </row>
    <row r="26168" spans="20:20" s="566" customFormat="1">
      <c r="T26168" s="41"/>
    </row>
    <row r="26169" spans="20:20" s="566" customFormat="1">
      <c r="T26169" s="41"/>
    </row>
    <row r="26170" spans="20:20" s="566" customFormat="1">
      <c r="T26170" s="41"/>
    </row>
    <row r="26171" spans="20:20" s="566" customFormat="1">
      <c r="T26171" s="41"/>
    </row>
    <row r="26172" spans="20:20" s="566" customFormat="1">
      <c r="T26172" s="41"/>
    </row>
    <row r="26173" spans="20:20" s="566" customFormat="1">
      <c r="T26173" s="41"/>
    </row>
    <row r="26174" spans="20:20" s="566" customFormat="1">
      <c r="T26174" s="41"/>
    </row>
    <row r="26175" spans="20:20" s="566" customFormat="1">
      <c r="T26175" s="41"/>
    </row>
    <row r="26176" spans="20:20" s="566" customFormat="1">
      <c r="T26176" s="41"/>
    </row>
    <row r="26177" spans="20:20" s="566" customFormat="1">
      <c r="T26177" s="41"/>
    </row>
    <row r="26178" spans="20:20" s="566" customFormat="1">
      <c r="T26178" s="41"/>
    </row>
    <row r="26179" spans="20:20" s="566" customFormat="1">
      <c r="T26179" s="41"/>
    </row>
    <row r="26180" spans="20:20" s="566" customFormat="1">
      <c r="T26180" s="41"/>
    </row>
    <row r="26181" spans="20:20" s="566" customFormat="1">
      <c r="T26181" s="41"/>
    </row>
    <row r="26182" spans="20:20" s="566" customFormat="1">
      <c r="T26182" s="41"/>
    </row>
    <row r="26183" spans="20:20" s="566" customFormat="1">
      <c r="T26183" s="41"/>
    </row>
    <row r="26184" spans="20:20" s="566" customFormat="1">
      <c r="T26184" s="41"/>
    </row>
    <row r="26185" spans="20:20" s="566" customFormat="1">
      <c r="T26185" s="41"/>
    </row>
    <row r="26186" spans="20:20" s="566" customFormat="1">
      <c r="T26186" s="41"/>
    </row>
    <row r="26187" spans="20:20" s="566" customFormat="1">
      <c r="T26187" s="41"/>
    </row>
    <row r="26188" spans="20:20" s="566" customFormat="1">
      <c r="T26188" s="41"/>
    </row>
    <row r="26189" spans="20:20" s="566" customFormat="1">
      <c r="T26189" s="41"/>
    </row>
    <row r="26190" spans="20:20" s="566" customFormat="1">
      <c r="T26190" s="41"/>
    </row>
    <row r="26191" spans="20:20" s="566" customFormat="1">
      <c r="T26191" s="41"/>
    </row>
    <row r="26192" spans="20:20" s="566" customFormat="1">
      <c r="T26192" s="41"/>
    </row>
    <row r="26193" spans="20:20" s="566" customFormat="1">
      <c r="T26193" s="41"/>
    </row>
    <row r="26194" spans="20:20" s="566" customFormat="1">
      <c r="T26194" s="41"/>
    </row>
    <row r="26195" spans="20:20" s="566" customFormat="1">
      <c r="T26195" s="41"/>
    </row>
    <row r="26196" spans="20:20" s="566" customFormat="1">
      <c r="T26196" s="41"/>
    </row>
    <row r="26197" spans="20:20" s="566" customFormat="1">
      <c r="T26197" s="41"/>
    </row>
    <row r="26198" spans="20:20" s="566" customFormat="1">
      <c r="T26198" s="41"/>
    </row>
    <row r="26199" spans="20:20" s="566" customFormat="1">
      <c r="T26199" s="41"/>
    </row>
    <row r="26200" spans="20:20" s="566" customFormat="1">
      <c r="T26200" s="41"/>
    </row>
    <row r="26201" spans="20:20" s="566" customFormat="1">
      <c r="T26201" s="41"/>
    </row>
    <row r="26202" spans="20:20" s="566" customFormat="1">
      <c r="T26202" s="41"/>
    </row>
    <row r="26203" spans="20:20" s="566" customFormat="1">
      <c r="T26203" s="41"/>
    </row>
    <row r="26204" spans="20:20" s="566" customFormat="1">
      <c r="T26204" s="41"/>
    </row>
    <row r="26205" spans="20:20" s="566" customFormat="1">
      <c r="T26205" s="41"/>
    </row>
    <row r="26206" spans="20:20" s="566" customFormat="1">
      <c r="T26206" s="41"/>
    </row>
    <row r="26207" spans="20:20" s="566" customFormat="1">
      <c r="T26207" s="41"/>
    </row>
    <row r="26208" spans="20:20" s="566" customFormat="1">
      <c r="T26208" s="41"/>
    </row>
    <row r="26209" spans="20:20" s="566" customFormat="1">
      <c r="T26209" s="41"/>
    </row>
    <row r="26210" spans="20:20" s="566" customFormat="1">
      <c r="T26210" s="41"/>
    </row>
    <row r="26211" spans="20:20" s="566" customFormat="1">
      <c r="T26211" s="41"/>
    </row>
    <row r="26212" spans="20:20" s="566" customFormat="1">
      <c r="T26212" s="41"/>
    </row>
    <row r="26213" spans="20:20" s="566" customFormat="1">
      <c r="T26213" s="41"/>
    </row>
    <row r="26214" spans="20:20" s="566" customFormat="1">
      <c r="T26214" s="41"/>
    </row>
    <row r="26215" spans="20:20" s="566" customFormat="1">
      <c r="T26215" s="41"/>
    </row>
    <row r="26216" spans="20:20" s="566" customFormat="1">
      <c r="T26216" s="41"/>
    </row>
    <row r="26217" spans="20:20" s="566" customFormat="1">
      <c r="T26217" s="41"/>
    </row>
    <row r="26218" spans="20:20" s="566" customFormat="1">
      <c r="T26218" s="41"/>
    </row>
    <row r="26219" spans="20:20" s="566" customFormat="1">
      <c r="T26219" s="41"/>
    </row>
    <row r="26220" spans="20:20" s="566" customFormat="1">
      <c r="T26220" s="41"/>
    </row>
    <row r="26221" spans="20:20" s="566" customFormat="1">
      <c r="T26221" s="41"/>
    </row>
    <row r="26222" spans="20:20" s="566" customFormat="1">
      <c r="T26222" s="41"/>
    </row>
    <row r="26223" spans="20:20" s="566" customFormat="1">
      <c r="T26223" s="41"/>
    </row>
    <row r="26224" spans="20:20" s="566" customFormat="1">
      <c r="T26224" s="41"/>
    </row>
    <row r="26225" spans="20:20" s="566" customFormat="1">
      <c r="T26225" s="41"/>
    </row>
    <row r="26226" spans="20:20" s="566" customFormat="1">
      <c r="T26226" s="41"/>
    </row>
    <row r="26227" spans="20:20" s="566" customFormat="1">
      <c r="T26227" s="41"/>
    </row>
    <row r="26228" spans="20:20" s="566" customFormat="1">
      <c r="T26228" s="41"/>
    </row>
    <row r="26229" spans="20:20" s="566" customFormat="1">
      <c r="T26229" s="41"/>
    </row>
    <row r="26230" spans="20:20" s="566" customFormat="1">
      <c r="T26230" s="41"/>
    </row>
    <row r="26231" spans="20:20" s="566" customFormat="1">
      <c r="T26231" s="41"/>
    </row>
    <row r="26232" spans="20:20" s="566" customFormat="1">
      <c r="T26232" s="41"/>
    </row>
    <row r="26233" spans="20:20" s="566" customFormat="1">
      <c r="T26233" s="41"/>
    </row>
    <row r="26234" spans="20:20" s="566" customFormat="1">
      <c r="T26234" s="41"/>
    </row>
    <row r="26235" spans="20:20" s="566" customFormat="1">
      <c r="T26235" s="41"/>
    </row>
    <row r="26236" spans="20:20" s="566" customFormat="1">
      <c r="T26236" s="41"/>
    </row>
    <row r="26237" spans="20:20" s="566" customFormat="1">
      <c r="T26237" s="41"/>
    </row>
    <row r="26238" spans="20:20" s="566" customFormat="1">
      <c r="T26238" s="41"/>
    </row>
    <row r="26239" spans="20:20" s="566" customFormat="1">
      <c r="T26239" s="41"/>
    </row>
    <row r="26240" spans="20:20" s="566" customFormat="1">
      <c r="T26240" s="41"/>
    </row>
    <row r="26241" spans="20:20" s="566" customFormat="1">
      <c r="T26241" s="41"/>
    </row>
    <row r="26242" spans="20:20" s="566" customFormat="1">
      <c r="T26242" s="41"/>
    </row>
    <row r="26243" spans="20:20" s="566" customFormat="1">
      <c r="T26243" s="41"/>
    </row>
    <row r="26244" spans="20:20" s="566" customFormat="1">
      <c r="T26244" s="41"/>
    </row>
    <row r="26245" spans="20:20" s="566" customFormat="1">
      <c r="T26245" s="41"/>
    </row>
    <row r="26246" spans="20:20" s="566" customFormat="1">
      <c r="T26246" s="41"/>
    </row>
    <row r="26247" spans="20:20" s="566" customFormat="1">
      <c r="T26247" s="41"/>
    </row>
    <row r="26248" spans="20:20" s="566" customFormat="1">
      <c r="T26248" s="41"/>
    </row>
    <row r="26249" spans="20:20" s="566" customFormat="1">
      <c r="T26249" s="41"/>
    </row>
    <row r="26250" spans="20:20" s="566" customFormat="1">
      <c r="T26250" s="41"/>
    </row>
    <row r="26251" spans="20:20" s="566" customFormat="1">
      <c r="T26251" s="41"/>
    </row>
    <row r="26252" spans="20:20" s="566" customFormat="1">
      <c r="T26252" s="41"/>
    </row>
    <row r="26253" spans="20:20" s="566" customFormat="1">
      <c r="T26253" s="41"/>
    </row>
    <row r="26254" spans="20:20" s="566" customFormat="1">
      <c r="T26254" s="41"/>
    </row>
    <row r="26255" spans="20:20" s="566" customFormat="1">
      <c r="T26255" s="41"/>
    </row>
    <row r="26256" spans="20:20" s="566" customFormat="1">
      <c r="T26256" s="41"/>
    </row>
    <row r="26257" spans="20:20" s="566" customFormat="1">
      <c r="T26257" s="41"/>
    </row>
    <row r="26258" spans="20:20" s="566" customFormat="1">
      <c r="T26258" s="41"/>
    </row>
    <row r="26259" spans="20:20" s="566" customFormat="1">
      <c r="T26259" s="41"/>
    </row>
    <row r="26260" spans="20:20" s="566" customFormat="1">
      <c r="T26260" s="41"/>
    </row>
    <row r="26261" spans="20:20" s="566" customFormat="1">
      <c r="T26261" s="41"/>
    </row>
    <row r="26262" spans="20:20" s="566" customFormat="1">
      <c r="T26262" s="41"/>
    </row>
    <row r="26263" spans="20:20" s="566" customFormat="1">
      <c r="T26263" s="41"/>
    </row>
    <row r="26264" spans="20:20" s="566" customFormat="1">
      <c r="T26264" s="41"/>
    </row>
    <row r="26265" spans="20:20" s="566" customFormat="1">
      <c r="T26265" s="41"/>
    </row>
    <row r="26266" spans="20:20" s="566" customFormat="1">
      <c r="T26266" s="41"/>
    </row>
    <row r="26267" spans="20:20" s="566" customFormat="1">
      <c r="T26267" s="41"/>
    </row>
    <row r="26268" spans="20:20" s="566" customFormat="1">
      <c r="T26268" s="41"/>
    </row>
    <row r="26269" spans="20:20" s="566" customFormat="1">
      <c r="T26269" s="41"/>
    </row>
    <row r="26270" spans="20:20" s="566" customFormat="1">
      <c r="T26270" s="41"/>
    </row>
    <row r="26271" spans="20:20" s="566" customFormat="1">
      <c r="T26271" s="41"/>
    </row>
    <row r="26272" spans="20:20" s="566" customFormat="1">
      <c r="T26272" s="41"/>
    </row>
    <row r="26273" spans="20:20" s="566" customFormat="1">
      <c r="T26273" s="41"/>
    </row>
    <row r="26274" spans="20:20" s="566" customFormat="1">
      <c r="T26274" s="41"/>
    </row>
    <row r="26275" spans="20:20" s="566" customFormat="1">
      <c r="T26275" s="41"/>
    </row>
    <row r="26276" spans="20:20" s="566" customFormat="1">
      <c r="T26276" s="41"/>
    </row>
    <row r="26277" spans="20:20" s="566" customFormat="1">
      <c r="T26277" s="41"/>
    </row>
    <row r="26278" spans="20:20" s="566" customFormat="1">
      <c r="T26278" s="41"/>
    </row>
    <row r="26279" spans="20:20" s="566" customFormat="1">
      <c r="T26279" s="41"/>
    </row>
    <row r="26280" spans="20:20" s="566" customFormat="1">
      <c r="T26280" s="41"/>
    </row>
    <row r="26281" spans="20:20" s="566" customFormat="1">
      <c r="T26281" s="41"/>
    </row>
    <row r="26282" spans="20:20" s="566" customFormat="1">
      <c r="T26282" s="41"/>
    </row>
    <row r="26283" spans="20:20" s="566" customFormat="1">
      <c r="T26283" s="41"/>
    </row>
    <row r="26284" spans="20:20" s="566" customFormat="1">
      <c r="T26284" s="41"/>
    </row>
    <row r="26285" spans="20:20" s="566" customFormat="1">
      <c r="T26285" s="41"/>
    </row>
    <row r="26286" spans="20:20" s="566" customFormat="1">
      <c r="T26286" s="41"/>
    </row>
    <row r="26287" spans="20:20" s="566" customFormat="1">
      <c r="T26287" s="41"/>
    </row>
    <row r="26288" spans="20:20" s="566" customFormat="1">
      <c r="T26288" s="41"/>
    </row>
    <row r="26289" spans="20:20" s="566" customFormat="1">
      <c r="T26289" s="41"/>
    </row>
    <row r="26290" spans="20:20" s="566" customFormat="1">
      <c r="T26290" s="41"/>
    </row>
    <row r="26291" spans="20:20" s="566" customFormat="1">
      <c r="T26291" s="41"/>
    </row>
    <row r="26292" spans="20:20" s="566" customFormat="1">
      <c r="T26292" s="41"/>
    </row>
    <row r="26293" spans="20:20" s="566" customFormat="1">
      <c r="T26293" s="41"/>
    </row>
    <row r="26294" spans="20:20" s="566" customFormat="1">
      <c r="T26294" s="41"/>
    </row>
    <row r="26295" spans="20:20" s="566" customFormat="1">
      <c r="T26295" s="41"/>
    </row>
    <row r="26296" spans="20:20" s="566" customFormat="1">
      <c r="T26296" s="41"/>
    </row>
    <row r="26297" spans="20:20" s="566" customFormat="1">
      <c r="T26297" s="41"/>
    </row>
    <row r="26298" spans="20:20" s="566" customFormat="1">
      <c r="T26298" s="41"/>
    </row>
    <row r="26299" spans="20:20" s="566" customFormat="1">
      <c r="T26299" s="41"/>
    </row>
    <row r="26300" spans="20:20" s="566" customFormat="1">
      <c r="T26300" s="41"/>
    </row>
    <row r="26301" spans="20:20" s="566" customFormat="1">
      <c r="T26301" s="41"/>
    </row>
    <row r="26302" spans="20:20" s="566" customFormat="1">
      <c r="T26302" s="41"/>
    </row>
    <row r="26303" spans="20:20" s="566" customFormat="1">
      <c r="T26303" s="41"/>
    </row>
    <row r="26304" spans="20:20" s="566" customFormat="1">
      <c r="T26304" s="41"/>
    </row>
    <row r="26305" spans="20:20" s="566" customFormat="1">
      <c r="T26305" s="41"/>
    </row>
    <row r="26306" spans="20:20" s="566" customFormat="1">
      <c r="T26306" s="41"/>
    </row>
    <row r="26307" spans="20:20" s="566" customFormat="1">
      <c r="T26307" s="41"/>
    </row>
    <row r="26308" spans="20:20" s="566" customFormat="1">
      <c r="T26308" s="41"/>
    </row>
    <row r="26309" spans="20:20" s="566" customFormat="1">
      <c r="T26309" s="41"/>
    </row>
    <row r="26310" spans="20:20" s="566" customFormat="1">
      <c r="T26310" s="41"/>
    </row>
    <row r="26311" spans="20:20" s="566" customFormat="1">
      <c r="T26311" s="41"/>
    </row>
    <row r="26312" spans="20:20" s="566" customFormat="1">
      <c r="T26312" s="41"/>
    </row>
    <row r="26313" spans="20:20" s="566" customFormat="1">
      <c r="T26313" s="41"/>
    </row>
    <row r="26314" spans="20:20" s="566" customFormat="1">
      <c r="T26314" s="41"/>
    </row>
    <row r="26315" spans="20:20" s="566" customFormat="1">
      <c r="T26315" s="41"/>
    </row>
    <row r="26316" spans="20:20" s="566" customFormat="1">
      <c r="T26316" s="41"/>
    </row>
    <row r="26317" spans="20:20" s="566" customFormat="1">
      <c r="T26317" s="41"/>
    </row>
    <row r="26318" spans="20:20" s="566" customFormat="1">
      <c r="T26318" s="41"/>
    </row>
    <row r="26319" spans="20:20" s="566" customFormat="1">
      <c r="T26319" s="41"/>
    </row>
    <row r="26320" spans="20:20" s="566" customFormat="1">
      <c r="T26320" s="41"/>
    </row>
    <row r="26321" spans="20:20" s="566" customFormat="1">
      <c r="T26321" s="41"/>
    </row>
    <row r="26322" spans="20:20" s="566" customFormat="1">
      <c r="T26322" s="41"/>
    </row>
    <row r="26323" spans="20:20" s="566" customFormat="1">
      <c r="T26323" s="41"/>
    </row>
    <row r="26324" spans="20:20" s="566" customFormat="1">
      <c r="T26324" s="41"/>
    </row>
    <row r="26325" spans="20:20" s="566" customFormat="1">
      <c r="T26325" s="41"/>
    </row>
    <row r="26326" spans="20:20" s="566" customFormat="1">
      <c r="T26326" s="41"/>
    </row>
    <row r="26327" spans="20:20" s="566" customFormat="1">
      <c r="T26327" s="41"/>
    </row>
    <row r="26328" spans="20:20" s="566" customFormat="1">
      <c r="T26328" s="41"/>
    </row>
    <row r="26329" spans="20:20" s="566" customFormat="1">
      <c r="T26329" s="41"/>
    </row>
    <row r="26330" spans="20:20" s="566" customFormat="1">
      <c r="T26330" s="41"/>
    </row>
    <row r="26331" spans="20:20" s="566" customFormat="1">
      <c r="T26331" s="41"/>
    </row>
    <row r="26332" spans="20:20" s="566" customFormat="1">
      <c r="T26332" s="41"/>
    </row>
    <row r="26333" spans="20:20" s="566" customFormat="1">
      <c r="T26333" s="41"/>
    </row>
    <row r="26334" spans="20:20" s="566" customFormat="1">
      <c r="T26334" s="41"/>
    </row>
    <row r="26335" spans="20:20" s="566" customFormat="1">
      <c r="T26335" s="41"/>
    </row>
    <row r="26336" spans="20:20" s="566" customFormat="1">
      <c r="T26336" s="41"/>
    </row>
    <row r="26337" spans="20:20" s="566" customFormat="1">
      <c r="T26337" s="41"/>
    </row>
    <row r="26338" spans="20:20" s="566" customFormat="1">
      <c r="T26338" s="41"/>
    </row>
    <row r="26339" spans="20:20" s="566" customFormat="1">
      <c r="T26339" s="41"/>
    </row>
    <row r="26340" spans="20:20" s="566" customFormat="1">
      <c r="T26340" s="41"/>
    </row>
    <row r="26341" spans="20:20" s="566" customFormat="1">
      <c r="T26341" s="41"/>
    </row>
    <row r="26342" spans="20:20" s="566" customFormat="1">
      <c r="T26342" s="41"/>
    </row>
    <row r="26343" spans="20:20" s="566" customFormat="1">
      <c r="T26343" s="41"/>
    </row>
    <row r="26344" spans="20:20" s="566" customFormat="1">
      <c r="T26344" s="41"/>
    </row>
    <row r="26345" spans="20:20" s="566" customFormat="1">
      <c r="T26345" s="41"/>
    </row>
    <row r="26346" spans="20:20" s="566" customFormat="1">
      <c r="T26346" s="41"/>
    </row>
    <row r="26347" spans="20:20" s="566" customFormat="1">
      <c r="T26347" s="41"/>
    </row>
    <row r="26348" spans="20:20" s="566" customFormat="1">
      <c r="T26348" s="41"/>
    </row>
    <row r="26349" spans="20:20" s="566" customFormat="1">
      <c r="T26349" s="41"/>
    </row>
    <row r="26350" spans="20:20" s="566" customFormat="1">
      <c r="T26350" s="41"/>
    </row>
    <row r="26351" spans="20:20" s="566" customFormat="1">
      <c r="T26351" s="41"/>
    </row>
    <row r="26352" spans="20:20" s="566" customFormat="1">
      <c r="T26352" s="41"/>
    </row>
    <row r="26353" spans="20:20" s="566" customFormat="1">
      <c r="T26353" s="41"/>
    </row>
    <row r="26354" spans="20:20" s="566" customFormat="1">
      <c r="T26354" s="41"/>
    </row>
    <row r="26355" spans="20:20" s="566" customFormat="1">
      <c r="T26355" s="41"/>
    </row>
    <row r="26356" spans="20:20" s="566" customFormat="1">
      <c r="T26356" s="41"/>
    </row>
    <row r="26357" spans="20:20" s="566" customFormat="1">
      <c r="T26357" s="41"/>
    </row>
    <row r="26358" spans="20:20" s="566" customFormat="1">
      <c r="T26358" s="41"/>
    </row>
    <row r="26359" spans="20:20" s="566" customFormat="1">
      <c r="T26359" s="41"/>
    </row>
    <row r="26360" spans="20:20" s="566" customFormat="1">
      <c r="T26360" s="41"/>
    </row>
    <row r="26361" spans="20:20" s="566" customFormat="1">
      <c r="T26361" s="41"/>
    </row>
    <row r="26362" spans="20:20" s="566" customFormat="1">
      <c r="T26362" s="41"/>
    </row>
    <row r="26363" spans="20:20" s="566" customFormat="1">
      <c r="T26363" s="41"/>
    </row>
    <row r="26364" spans="20:20" s="566" customFormat="1">
      <c r="T26364" s="41"/>
    </row>
    <row r="26365" spans="20:20" s="566" customFormat="1">
      <c r="T26365" s="41"/>
    </row>
    <row r="26366" spans="20:20" s="566" customFormat="1">
      <c r="T26366" s="41"/>
    </row>
    <row r="26367" spans="20:20" s="566" customFormat="1">
      <c r="T26367" s="41"/>
    </row>
    <row r="26368" spans="20:20" s="566" customFormat="1">
      <c r="T26368" s="41"/>
    </row>
    <row r="26369" spans="20:20" s="566" customFormat="1">
      <c r="T26369" s="41"/>
    </row>
    <row r="26370" spans="20:20" s="566" customFormat="1">
      <c r="T26370" s="41"/>
    </row>
    <row r="26371" spans="20:20" s="566" customFormat="1">
      <c r="T26371" s="41"/>
    </row>
    <row r="26372" spans="20:20" s="566" customFormat="1">
      <c r="T26372" s="41"/>
    </row>
    <row r="26373" spans="20:20" s="566" customFormat="1">
      <c r="T26373" s="41"/>
    </row>
    <row r="26374" spans="20:20" s="566" customFormat="1">
      <c r="T26374" s="41"/>
    </row>
    <row r="26375" spans="20:20" s="566" customFormat="1">
      <c r="T26375" s="41"/>
    </row>
    <row r="26376" spans="20:20" s="566" customFormat="1">
      <c r="T26376" s="41"/>
    </row>
    <row r="26377" spans="20:20" s="566" customFormat="1">
      <c r="T26377" s="41"/>
    </row>
    <row r="26378" spans="20:20" s="566" customFormat="1">
      <c r="T26378" s="41"/>
    </row>
    <row r="26379" spans="20:20" s="566" customFormat="1">
      <c r="T26379" s="41"/>
    </row>
    <row r="26380" spans="20:20" s="566" customFormat="1">
      <c r="T26380" s="41"/>
    </row>
    <row r="26381" spans="20:20" s="566" customFormat="1">
      <c r="T26381" s="41"/>
    </row>
    <row r="26382" spans="20:20" s="566" customFormat="1">
      <c r="T26382" s="41"/>
    </row>
    <row r="26383" spans="20:20" s="566" customFormat="1">
      <c r="T26383" s="41"/>
    </row>
    <row r="26384" spans="20:20" s="566" customFormat="1">
      <c r="T26384" s="41"/>
    </row>
    <row r="26385" spans="20:20" s="566" customFormat="1">
      <c r="T26385" s="41"/>
    </row>
    <row r="26386" spans="20:20" s="566" customFormat="1">
      <c r="T26386" s="41"/>
    </row>
    <row r="26387" spans="20:20" s="566" customFormat="1">
      <c r="T26387" s="41"/>
    </row>
    <row r="26388" spans="20:20" s="566" customFormat="1">
      <c r="T26388" s="41"/>
    </row>
    <row r="26389" spans="20:20" s="566" customFormat="1">
      <c r="T26389" s="41"/>
    </row>
    <row r="26390" spans="20:20" s="566" customFormat="1">
      <c r="T26390" s="41"/>
    </row>
    <row r="26391" spans="20:20" s="566" customFormat="1">
      <c r="T26391" s="41"/>
    </row>
    <row r="26392" spans="20:20" s="566" customFormat="1">
      <c r="T26392" s="41"/>
    </row>
    <row r="26393" spans="20:20" s="566" customFormat="1">
      <c r="T26393" s="41"/>
    </row>
    <row r="26394" spans="20:20" s="566" customFormat="1">
      <c r="T26394" s="41"/>
    </row>
    <row r="26395" spans="20:20" s="566" customFormat="1">
      <c r="T26395" s="41"/>
    </row>
    <row r="26396" spans="20:20" s="566" customFormat="1">
      <c r="T26396" s="41"/>
    </row>
    <row r="26397" spans="20:20" s="566" customFormat="1">
      <c r="T26397" s="41"/>
    </row>
    <row r="26398" spans="20:20" s="566" customFormat="1">
      <c r="T26398" s="41"/>
    </row>
    <row r="26399" spans="20:20" s="566" customFormat="1">
      <c r="T26399" s="41"/>
    </row>
    <row r="26400" spans="20:20" s="566" customFormat="1">
      <c r="T26400" s="41"/>
    </row>
    <row r="26401" spans="20:20" s="566" customFormat="1">
      <c r="T26401" s="41"/>
    </row>
    <row r="26402" spans="20:20" s="566" customFormat="1">
      <c r="T26402" s="41"/>
    </row>
    <row r="26403" spans="20:20" s="566" customFormat="1">
      <c r="T26403" s="41"/>
    </row>
    <row r="26404" spans="20:20" s="566" customFormat="1">
      <c r="T26404" s="41"/>
    </row>
    <row r="26405" spans="20:20" s="566" customFormat="1">
      <c r="T26405" s="41"/>
    </row>
    <row r="26406" spans="20:20" s="566" customFormat="1">
      <c r="T26406" s="41"/>
    </row>
    <row r="26407" spans="20:20" s="566" customFormat="1">
      <c r="T26407" s="41"/>
    </row>
    <row r="26408" spans="20:20" s="566" customFormat="1">
      <c r="T26408" s="41"/>
    </row>
    <row r="26409" spans="20:20" s="566" customFormat="1">
      <c r="T26409" s="41"/>
    </row>
    <row r="26410" spans="20:20" s="566" customFormat="1">
      <c r="T26410" s="41"/>
    </row>
    <row r="26411" spans="20:20" s="566" customFormat="1">
      <c r="T26411" s="41"/>
    </row>
    <row r="26412" spans="20:20" s="566" customFormat="1">
      <c r="T26412" s="41"/>
    </row>
    <row r="26413" spans="20:20" s="566" customFormat="1">
      <c r="T26413" s="41"/>
    </row>
    <row r="26414" spans="20:20" s="566" customFormat="1">
      <c r="T26414" s="41"/>
    </row>
    <row r="26415" spans="20:20" s="566" customFormat="1">
      <c r="T26415" s="41"/>
    </row>
    <row r="26416" spans="20:20" s="566" customFormat="1">
      <c r="T26416" s="41"/>
    </row>
    <row r="26417" spans="20:20" s="566" customFormat="1">
      <c r="T26417" s="41"/>
    </row>
    <row r="26418" spans="20:20" s="566" customFormat="1">
      <c r="T26418" s="41"/>
    </row>
    <row r="26419" spans="20:20" s="566" customFormat="1">
      <c r="T26419" s="41"/>
    </row>
    <row r="26420" spans="20:20" s="566" customFormat="1">
      <c r="T26420" s="41"/>
    </row>
    <row r="26421" spans="20:20" s="566" customFormat="1">
      <c r="T26421" s="41"/>
    </row>
    <row r="26422" spans="20:20" s="566" customFormat="1">
      <c r="T26422" s="41"/>
    </row>
    <row r="26423" spans="20:20" s="566" customFormat="1">
      <c r="T26423" s="41"/>
    </row>
    <row r="26424" spans="20:20" s="566" customFormat="1">
      <c r="T26424" s="41"/>
    </row>
    <row r="26425" spans="20:20" s="566" customFormat="1">
      <c r="T26425" s="41"/>
    </row>
    <row r="26426" spans="20:20" s="566" customFormat="1">
      <c r="T26426" s="41"/>
    </row>
    <row r="26427" spans="20:20" s="566" customFormat="1">
      <c r="T26427" s="41"/>
    </row>
    <row r="26428" spans="20:20" s="566" customFormat="1">
      <c r="T26428" s="41"/>
    </row>
    <row r="26429" spans="20:20" s="566" customFormat="1">
      <c r="T26429" s="41"/>
    </row>
    <row r="26430" spans="20:20" s="566" customFormat="1">
      <c r="T26430" s="41"/>
    </row>
    <row r="26431" spans="20:20" s="566" customFormat="1">
      <c r="T26431" s="41"/>
    </row>
    <row r="26432" spans="20:20" s="566" customFormat="1">
      <c r="T26432" s="41"/>
    </row>
    <row r="26433" spans="20:20" s="566" customFormat="1">
      <c r="T26433" s="41"/>
    </row>
    <row r="26434" spans="20:20" s="566" customFormat="1">
      <c r="T26434" s="41"/>
    </row>
    <row r="26435" spans="20:20" s="566" customFormat="1">
      <c r="T26435" s="41"/>
    </row>
    <row r="26436" spans="20:20" s="566" customFormat="1">
      <c r="T26436" s="41"/>
    </row>
    <row r="26437" spans="20:20" s="566" customFormat="1">
      <c r="T26437" s="41"/>
    </row>
    <row r="26438" spans="20:20" s="566" customFormat="1">
      <c r="T26438" s="41"/>
    </row>
    <row r="26439" spans="20:20" s="566" customFormat="1">
      <c r="T26439" s="41"/>
    </row>
    <row r="26440" spans="20:20" s="566" customFormat="1">
      <c r="T26440" s="41"/>
    </row>
    <row r="26441" spans="20:20" s="566" customFormat="1">
      <c r="T26441" s="41"/>
    </row>
    <row r="26442" spans="20:20" s="566" customFormat="1">
      <c r="T26442" s="41"/>
    </row>
    <row r="26443" spans="20:20" s="566" customFormat="1">
      <c r="T26443" s="41"/>
    </row>
    <row r="26444" spans="20:20" s="566" customFormat="1">
      <c r="T26444" s="41"/>
    </row>
    <row r="26445" spans="20:20" s="566" customFormat="1">
      <c r="T26445" s="41"/>
    </row>
    <row r="26446" spans="20:20" s="566" customFormat="1">
      <c r="T26446" s="41"/>
    </row>
    <row r="26447" spans="20:20" s="566" customFormat="1">
      <c r="T26447" s="41"/>
    </row>
    <row r="26448" spans="20:20" s="566" customFormat="1">
      <c r="T26448" s="41"/>
    </row>
    <row r="26449" spans="20:20" s="566" customFormat="1">
      <c r="T26449" s="41"/>
    </row>
    <row r="26450" spans="20:20" s="566" customFormat="1">
      <c r="T26450" s="41"/>
    </row>
    <row r="26451" spans="20:20" s="566" customFormat="1">
      <c r="T26451" s="41"/>
    </row>
    <row r="26452" spans="20:20" s="566" customFormat="1">
      <c r="T26452" s="41"/>
    </row>
    <row r="26453" spans="20:20" s="566" customFormat="1">
      <c r="T26453" s="41"/>
    </row>
    <row r="26454" spans="20:20" s="566" customFormat="1">
      <c r="T26454" s="41"/>
    </row>
    <row r="26455" spans="20:20" s="566" customFormat="1">
      <c r="T26455" s="41"/>
    </row>
    <row r="26456" spans="20:20" s="566" customFormat="1">
      <c r="T26456" s="41"/>
    </row>
    <row r="26457" spans="20:20" s="566" customFormat="1">
      <c r="T26457" s="41"/>
    </row>
    <row r="26458" spans="20:20" s="566" customFormat="1">
      <c r="T26458" s="41"/>
    </row>
    <row r="26459" spans="20:20" s="566" customFormat="1">
      <c r="T26459" s="41"/>
    </row>
    <row r="26460" spans="20:20" s="566" customFormat="1">
      <c r="T26460" s="41"/>
    </row>
    <row r="26461" spans="20:20" s="566" customFormat="1">
      <c r="T26461" s="41"/>
    </row>
    <row r="26462" spans="20:20" s="566" customFormat="1">
      <c r="T26462" s="41"/>
    </row>
    <row r="26463" spans="20:20" s="566" customFormat="1">
      <c r="T26463" s="41"/>
    </row>
    <row r="26464" spans="20:20" s="566" customFormat="1">
      <c r="T26464" s="41"/>
    </row>
    <row r="26465" spans="20:20" s="566" customFormat="1">
      <c r="T26465" s="41"/>
    </row>
    <row r="26466" spans="20:20" s="566" customFormat="1">
      <c r="T26466" s="41"/>
    </row>
    <row r="26467" spans="20:20" s="566" customFormat="1">
      <c r="T26467" s="41"/>
    </row>
    <row r="26468" spans="20:20" s="566" customFormat="1">
      <c r="T26468" s="41"/>
    </row>
    <row r="26469" spans="20:20" s="566" customFormat="1">
      <c r="T26469" s="41"/>
    </row>
    <row r="26470" spans="20:20" s="566" customFormat="1">
      <c r="T26470" s="41"/>
    </row>
    <row r="26471" spans="20:20" s="566" customFormat="1">
      <c r="T26471" s="41"/>
    </row>
    <row r="26472" spans="20:20" s="566" customFormat="1">
      <c r="T26472" s="41"/>
    </row>
    <row r="26473" spans="20:20" s="566" customFormat="1">
      <c r="T26473" s="41"/>
    </row>
    <row r="26474" spans="20:20" s="566" customFormat="1">
      <c r="T26474" s="41"/>
    </row>
    <row r="26475" spans="20:20" s="566" customFormat="1">
      <c r="T26475" s="41"/>
    </row>
    <row r="26476" spans="20:20" s="566" customFormat="1">
      <c r="T26476" s="41"/>
    </row>
    <row r="26477" spans="20:20" s="566" customFormat="1">
      <c r="T26477" s="41"/>
    </row>
    <row r="26478" spans="20:20" s="566" customFormat="1">
      <c r="T26478" s="41"/>
    </row>
    <row r="26479" spans="20:20" s="566" customFormat="1">
      <c r="T26479" s="41"/>
    </row>
    <row r="26480" spans="20:20" s="566" customFormat="1">
      <c r="T26480" s="41"/>
    </row>
    <row r="26481" spans="20:20" s="566" customFormat="1">
      <c r="T26481" s="41"/>
    </row>
    <row r="26482" spans="20:20" s="566" customFormat="1">
      <c r="T26482" s="41"/>
    </row>
    <row r="26483" spans="20:20" s="566" customFormat="1">
      <c r="T26483" s="41"/>
    </row>
    <row r="26484" spans="20:20" s="566" customFormat="1">
      <c r="T26484" s="41"/>
    </row>
    <row r="26485" spans="20:20" s="566" customFormat="1">
      <c r="T26485" s="41"/>
    </row>
    <row r="26486" spans="20:20" s="566" customFormat="1">
      <c r="T26486" s="41"/>
    </row>
    <row r="26487" spans="20:20" s="566" customFormat="1">
      <c r="T26487" s="41"/>
    </row>
    <row r="26488" spans="20:20" s="566" customFormat="1">
      <c r="T26488" s="41"/>
    </row>
    <row r="26489" spans="20:20" s="566" customFormat="1">
      <c r="T26489" s="41"/>
    </row>
    <row r="26490" spans="20:20" s="566" customFormat="1">
      <c r="T26490" s="41"/>
    </row>
    <row r="26491" spans="20:20" s="566" customFormat="1">
      <c r="T26491" s="41"/>
    </row>
    <row r="26492" spans="20:20" s="566" customFormat="1">
      <c r="T26492" s="41"/>
    </row>
    <row r="26493" spans="20:20" s="566" customFormat="1">
      <c r="T26493" s="41"/>
    </row>
    <row r="26494" spans="20:20" s="566" customFormat="1">
      <c r="T26494" s="41"/>
    </row>
    <row r="26495" spans="20:20" s="566" customFormat="1">
      <c r="T26495" s="41"/>
    </row>
    <row r="26496" spans="20:20" s="566" customFormat="1">
      <c r="T26496" s="41"/>
    </row>
    <row r="26497" spans="20:20" s="566" customFormat="1">
      <c r="T26497" s="41"/>
    </row>
    <row r="26498" spans="20:20" s="566" customFormat="1">
      <c r="T26498" s="41"/>
    </row>
    <row r="26499" spans="20:20" s="566" customFormat="1">
      <c r="T26499" s="41"/>
    </row>
    <row r="26500" spans="20:20" s="566" customFormat="1">
      <c r="T26500" s="41"/>
    </row>
    <row r="26501" spans="20:20" s="566" customFormat="1">
      <c r="T26501" s="41"/>
    </row>
    <row r="26502" spans="20:20" s="566" customFormat="1">
      <c r="T26502" s="41"/>
    </row>
    <row r="26503" spans="20:20" s="566" customFormat="1">
      <c r="T26503" s="41"/>
    </row>
    <row r="26504" spans="20:20" s="566" customFormat="1">
      <c r="T26504" s="41"/>
    </row>
    <row r="26505" spans="20:20" s="566" customFormat="1">
      <c r="T26505" s="41"/>
    </row>
    <row r="26506" spans="20:20" s="566" customFormat="1">
      <c r="T26506" s="41"/>
    </row>
    <row r="26507" spans="20:20" s="566" customFormat="1">
      <c r="T26507" s="41"/>
    </row>
    <row r="26508" spans="20:20" s="566" customFormat="1">
      <c r="T26508" s="41"/>
    </row>
    <row r="26509" spans="20:20" s="566" customFormat="1">
      <c r="T26509" s="41"/>
    </row>
    <row r="26510" spans="20:20" s="566" customFormat="1">
      <c r="T26510" s="41"/>
    </row>
    <row r="26511" spans="20:20" s="566" customFormat="1">
      <c r="T26511" s="41"/>
    </row>
    <row r="26512" spans="20:20" s="566" customFormat="1">
      <c r="T26512" s="41"/>
    </row>
    <row r="26513" spans="20:20" s="566" customFormat="1">
      <c r="T26513" s="41"/>
    </row>
    <row r="26514" spans="20:20" s="566" customFormat="1">
      <c r="T26514" s="41"/>
    </row>
    <row r="26515" spans="20:20" s="566" customFormat="1">
      <c r="T26515" s="41"/>
    </row>
    <row r="26516" spans="20:20" s="566" customFormat="1">
      <c r="T26516" s="41"/>
    </row>
    <row r="26517" spans="20:20" s="566" customFormat="1">
      <c r="T26517" s="41"/>
    </row>
    <row r="26518" spans="20:20" s="566" customFormat="1">
      <c r="T26518" s="41"/>
    </row>
    <row r="26519" spans="20:20" s="566" customFormat="1">
      <c r="T26519" s="41"/>
    </row>
    <row r="26520" spans="20:20" s="566" customFormat="1">
      <c r="T26520" s="41"/>
    </row>
    <row r="26521" spans="20:20" s="566" customFormat="1">
      <c r="T26521" s="41"/>
    </row>
    <row r="26522" spans="20:20" s="566" customFormat="1">
      <c r="T26522" s="41"/>
    </row>
    <row r="26523" spans="20:20" s="566" customFormat="1">
      <c r="T26523" s="41"/>
    </row>
    <row r="26524" spans="20:20" s="566" customFormat="1">
      <c r="T26524" s="41"/>
    </row>
    <row r="26525" spans="20:20" s="566" customFormat="1">
      <c r="T26525" s="41"/>
    </row>
    <row r="26526" spans="20:20" s="566" customFormat="1">
      <c r="T26526" s="41"/>
    </row>
    <row r="26527" spans="20:20" s="566" customFormat="1">
      <c r="T26527" s="41"/>
    </row>
    <row r="26528" spans="20:20" s="566" customFormat="1">
      <c r="T26528" s="41"/>
    </row>
    <row r="26529" spans="20:20" s="566" customFormat="1">
      <c r="T26529" s="41"/>
    </row>
    <row r="26530" spans="20:20" s="566" customFormat="1">
      <c r="T26530" s="41"/>
    </row>
    <row r="26531" spans="20:20" s="566" customFormat="1">
      <c r="T26531" s="41"/>
    </row>
    <row r="26532" spans="20:20" s="566" customFormat="1">
      <c r="T26532" s="41"/>
    </row>
    <row r="26533" spans="20:20" s="566" customFormat="1">
      <c r="T26533" s="41"/>
    </row>
    <row r="26534" spans="20:20" s="566" customFormat="1">
      <c r="T26534" s="41"/>
    </row>
    <row r="26535" spans="20:20" s="566" customFormat="1">
      <c r="T26535" s="41"/>
    </row>
    <row r="26536" spans="20:20" s="566" customFormat="1">
      <c r="T26536" s="41"/>
    </row>
    <row r="26537" spans="20:20" s="566" customFormat="1">
      <c r="T26537" s="41"/>
    </row>
    <row r="26538" spans="20:20" s="566" customFormat="1">
      <c r="T26538" s="41"/>
    </row>
    <row r="26539" spans="20:20" s="566" customFormat="1">
      <c r="T26539" s="41"/>
    </row>
    <row r="26540" spans="20:20" s="566" customFormat="1">
      <c r="T26540" s="41"/>
    </row>
    <row r="26541" spans="20:20" s="566" customFormat="1">
      <c r="T26541" s="41"/>
    </row>
    <row r="26542" spans="20:20" s="566" customFormat="1">
      <c r="T26542" s="41"/>
    </row>
    <row r="26543" spans="20:20" s="566" customFormat="1">
      <c r="T26543" s="41"/>
    </row>
    <row r="26544" spans="20:20" s="566" customFormat="1">
      <c r="T26544" s="41"/>
    </row>
    <row r="26545" spans="20:20" s="566" customFormat="1">
      <c r="T26545" s="41"/>
    </row>
    <row r="26546" spans="20:20" s="566" customFormat="1">
      <c r="T26546" s="41"/>
    </row>
    <row r="26547" spans="20:20" s="566" customFormat="1">
      <c r="T26547" s="41"/>
    </row>
    <row r="26548" spans="20:20" s="566" customFormat="1">
      <c r="T26548" s="41"/>
    </row>
    <row r="26549" spans="20:20" s="566" customFormat="1">
      <c r="T26549" s="41"/>
    </row>
    <row r="26550" spans="20:20" s="566" customFormat="1">
      <c r="T26550" s="41"/>
    </row>
    <row r="26551" spans="20:20" s="566" customFormat="1">
      <c r="T26551" s="41"/>
    </row>
    <row r="26552" spans="20:20" s="566" customFormat="1">
      <c r="T26552" s="41"/>
    </row>
    <row r="26553" spans="20:20" s="566" customFormat="1">
      <c r="T26553" s="41"/>
    </row>
    <row r="26554" spans="20:20" s="566" customFormat="1">
      <c r="T26554" s="41"/>
    </row>
    <row r="26555" spans="20:20" s="566" customFormat="1">
      <c r="T26555" s="41"/>
    </row>
    <row r="26556" spans="20:20" s="566" customFormat="1">
      <c r="T26556" s="41"/>
    </row>
    <row r="26557" spans="20:20" s="566" customFormat="1">
      <c r="T26557" s="41"/>
    </row>
    <row r="26558" spans="20:20" s="566" customFormat="1">
      <c r="T26558" s="41"/>
    </row>
    <row r="26559" spans="20:20" s="566" customFormat="1">
      <c r="T26559" s="41"/>
    </row>
    <row r="26560" spans="20:20" s="566" customFormat="1">
      <c r="T26560" s="41"/>
    </row>
    <row r="26561" spans="20:20" s="566" customFormat="1">
      <c r="T26561" s="41"/>
    </row>
    <row r="26562" spans="20:20" s="566" customFormat="1">
      <c r="T26562" s="41"/>
    </row>
    <row r="26563" spans="20:20" s="566" customFormat="1">
      <c r="T26563" s="41"/>
    </row>
    <row r="26564" spans="20:20" s="566" customFormat="1">
      <c r="T26564" s="41"/>
    </row>
    <row r="26565" spans="20:20" s="566" customFormat="1">
      <c r="T26565" s="41"/>
    </row>
    <row r="26566" spans="20:20" s="566" customFormat="1">
      <c r="T26566" s="41"/>
    </row>
    <row r="26567" spans="20:20" s="566" customFormat="1">
      <c r="T26567" s="41"/>
    </row>
    <row r="26568" spans="20:20" s="566" customFormat="1">
      <c r="T26568" s="41"/>
    </row>
    <row r="26569" spans="20:20" s="566" customFormat="1">
      <c r="T26569" s="41"/>
    </row>
    <row r="26570" spans="20:20" s="566" customFormat="1">
      <c r="T26570" s="41"/>
    </row>
    <row r="26571" spans="20:20" s="566" customFormat="1">
      <c r="T26571" s="41"/>
    </row>
    <row r="26572" spans="20:20" s="566" customFormat="1">
      <c r="T26572" s="41"/>
    </row>
    <row r="26573" spans="20:20" s="566" customFormat="1">
      <c r="T26573" s="41"/>
    </row>
    <row r="26574" spans="20:20" s="566" customFormat="1">
      <c r="T26574" s="41"/>
    </row>
    <row r="26575" spans="20:20" s="566" customFormat="1">
      <c r="T26575" s="41"/>
    </row>
    <row r="26576" spans="20:20" s="566" customFormat="1">
      <c r="T26576" s="41"/>
    </row>
    <row r="26577" spans="20:20" s="566" customFormat="1">
      <c r="T26577" s="41"/>
    </row>
    <row r="26578" spans="20:20" s="566" customFormat="1">
      <c r="T26578" s="41"/>
    </row>
    <row r="26579" spans="20:20" s="566" customFormat="1">
      <c r="T26579" s="41"/>
    </row>
    <row r="26580" spans="20:20" s="566" customFormat="1">
      <c r="T26580" s="41"/>
    </row>
    <row r="26581" spans="20:20" s="566" customFormat="1">
      <c r="T26581" s="41"/>
    </row>
    <row r="26582" spans="20:20" s="566" customFormat="1">
      <c r="T26582" s="41"/>
    </row>
    <row r="26583" spans="20:20" s="566" customFormat="1">
      <c r="T26583" s="41"/>
    </row>
    <row r="26584" spans="20:20" s="566" customFormat="1">
      <c r="T26584" s="41"/>
    </row>
    <row r="26585" spans="20:20" s="566" customFormat="1">
      <c r="T26585" s="41"/>
    </row>
    <row r="26586" spans="20:20" s="566" customFormat="1">
      <c r="T26586" s="41"/>
    </row>
    <row r="26587" spans="20:20" s="566" customFormat="1">
      <c r="T26587" s="41"/>
    </row>
    <row r="26588" spans="20:20" s="566" customFormat="1">
      <c r="T26588" s="41"/>
    </row>
    <row r="26589" spans="20:20" s="566" customFormat="1">
      <c r="T26589" s="41"/>
    </row>
    <row r="26590" spans="20:20" s="566" customFormat="1">
      <c r="T26590" s="41"/>
    </row>
    <row r="26591" spans="20:20" s="566" customFormat="1">
      <c r="T26591" s="41"/>
    </row>
    <row r="26592" spans="20:20" s="566" customFormat="1">
      <c r="T26592" s="41"/>
    </row>
    <row r="26593" spans="20:20" s="566" customFormat="1">
      <c r="T26593" s="41"/>
    </row>
    <row r="26594" spans="20:20" s="566" customFormat="1">
      <c r="T26594" s="41"/>
    </row>
    <row r="26595" spans="20:20" s="566" customFormat="1">
      <c r="T26595" s="41"/>
    </row>
    <row r="26596" spans="20:20" s="566" customFormat="1">
      <c r="T26596" s="41"/>
    </row>
    <row r="26597" spans="20:20" s="566" customFormat="1">
      <c r="T26597" s="41"/>
    </row>
    <row r="26598" spans="20:20" s="566" customFormat="1">
      <c r="T26598" s="41"/>
    </row>
    <row r="26599" spans="20:20" s="566" customFormat="1">
      <c r="T26599" s="41"/>
    </row>
    <row r="26600" spans="20:20" s="566" customFormat="1">
      <c r="T26600" s="41"/>
    </row>
    <row r="26601" spans="20:20" s="566" customFormat="1">
      <c r="T26601" s="41"/>
    </row>
    <row r="26602" spans="20:20" s="566" customFormat="1">
      <c r="T26602" s="41"/>
    </row>
    <row r="26603" spans="20:20" s="566" customFormat="1">
      <c r="T26603" s="41"/>
    </row>
    <row r="26604" spans="20:20" s="566" customFormat="1">
      <c r="T26604" s="41"/>
    </row>
    <row r="26605" spans="20:20" s="566" customFormat="1">
      <c r="T26605" s="41"/>
    </row>
    <row r="26606" spans="20:20" s="566" customFormat="1">
      <c r="T26606" s="41"/>
    </row>
    <row r="26607" spans="20:20" s="566" customFormat="1">
      <c r="T26607" s="41"/>
    </row>
    <row r="26608" spans="20:20" s="566" customFormat="1">
      <c r="T26608" s="41"/>
    </row>
    <row r="26609" spans="20:20" s="566" customFormat="1">
      <c r="T26609" s="41"/>
    </row>
    <row r="26610" spans="20:20" s="566" customFormat="1">
      <c r="T26610" s="41"/>
    </row>
    <row r="26611" spans="20:20" s="566" customFormat="1">
      <c r="T26611" s="41"/>
    </row>
    <row r="26612" spans="20:20" s="566" customFormat="1">
      <c r="T26612" s="41"/>
    </row>
    <row r="26613" spans="20:20" s="566" customFormat="1">
      <c r="T26613" s="41"/>
    </row>
    <row r="26614" spans="20:20" s="566" customFormat="1">
      <c r="T26614" s="41"/>
    </row>
    <row r="26615" spans="20:20" s="566" customFormat="1">
      <c r="T26615" s="41"/>
    </row>
    <row r="26616" spans="20:20" s="566" customFormat="1">
      <c r="T26616" s="41"/>
    </row>
    <row r="26617" spans="20:20" s="566" customFormat="1">
      <c r="T26617" s="41"/>
    </row>
    <row r="26618" spans="20:20" s="566" customFormat="1">
      <c r="T26618" s="41"/>
    </row>
    <row r="26619" spans="20:20" s="566" customFormat="1">
      <c r="T26619" s="41"/>
    </row>
    <row r="26620" spans="20:20" s="566" customFormat="1">
      <c r="T26620" s="41"/>
    </row>
    <row r="26621" spans="20:20" s="566" customFormat="1">
      <c r="T26621" s="41"/>
    </row>
    <row r="26622" spans="20:20" s="566" customFormat="1">
      <c r="T26622" s="41"/>
    </row>
    <row r="26623" spans="20:20" s="566" customFormat="1">
      <c r="T26623" s="41"/>
    </row>
    <row r="26624" spans="20:20" s="566" customFormat="1">
      <c r="T26624" s="41"/>
    </row>
    <row r="26625" spans="20:20" s="566" customFormat="1">
      <c r="T26625" s="41"/>
    </row>
    <row r="26626" spans="20:20" s="566" customFormat="1">
      <c r="T26626" s="41"/>
    </row>
    <row r="26627" spans="20:20" s="566" customFormat="1">
      <c r="T26627" s="41"/>
    </row>
    <row r="26628" spans="20:20" s="566" customFormat="1">
      <c r="T26628" s="41"/>
    </row>
    <row r="26629" spans="20:20" s="566" customFormat="1">
      <c r="T26629" s="41"/>
    </row>
    <row r="26630" spans="20:20" s="566" customFormat="1">
      <c r="T26630" s="41"/>
    </row>
    <row r="26631" spans="20:20" s="566" customFormat="1">
      <c r="T26631" s="41"/>
    </row>
    <row r="26632" spans="20:20" s="566" customFormat="1">
      <c r="T26632" s="41"/>
    </row>
    <row r="26633" spans="20:20" s="566" customFormat="1">
      <c r="T26633" s="41"/>
    </row>
    <row r="26634" spans="20:20" s="566" customFormat="1">
      <c r="T26634" s="41"/>
    </row>
    <row r="26635" spans="20:20" s="566" customFormat="1">
      <c r="T26635" s="41"/>
    </row>
    <row r="26636" spans="20:20" s="566" customFormat="1">
      <c r="T26636" s="41"/>
    </row>
    <row r="26637" spans="20:20" s="566" customFormat="1">
      <c r="T26637" s="41"/>
    </row>
    <row r="26638" spans="20:20" s="566" customFormat="1">
      <c r="T26638" s="41"/>
    </row>
    <row r="26639" spans="20:20" s="566" customFormat="1">
      <c r="T26639" s="41"/>
    </row>
    <row r="26640" spans="20:20" s="566" customFormat="1">
      <c r="T26640" s="41"/>
    </row>
    <row r="26641" spans="20:20" s="566" customFormat="1">
      <c r="T26641" s="41"/>
    </row>
    <row r="26642" spans="20:20" s="566" customFormat="1">
      <c r="T26642" s="41"/>
    </row>
    <row r="26643" spans="20:20" s="566" customFormat="1">
      <c r="T26643" s="41"/>
    </row>
    <row r="26644" spans="20:20" s="566" customFormat="1">
      <c r="T26644" s="41"/>
    </row>
    <row r="26645" spans="20:20" s="566" customFormat="1">
      <c r="T26645" s="41"/>
    </row>
    <row r="26646" spans="20:20" s="566" customFormat="1">
      <c r="T26646" s="41"/>
    </row>
    <row r="26647" spans="20:20" s="566" customFormat="1">
      <c r="T26647" s="41"/>
    </row>
    <row r="26648" spans="20:20" s="566" customFormat="1">
      <c r="T26648" s="41"/>
    </row>
    <row r="26649" spans="20:20" s="566" customFormat="1">
      <c r="T26649" s="41"/>
    </row>
    <row r="26650" spans="20:20" s="566" customFormat="1">
      <c r="T26650" s="41"/>
    </row>
    <row r="26651" spans="20:20" s="566" customFormat="1">
      <c r="T26651" s="41"/>
    </row>
    <row r="26652" spans="20:20" s="566" customFormat="1">
      <c r="T26652" s="41"/>
    </row>
    <row r="26653" spans="20:20" s="566" customFormat="1">
      <c r="T26653" s="41"/>
    </row>
    <row r="26654" spans="20:20" s="566" customFormat="1">
      <c r="T26654" s="41"/>
    </row>
    <row r="26655" spans="20:20" s="566" customFormat="1">
      <c r="T26655" s="41"/>
    </row>
    <row r="26656" spans="20:20" s="566" customFormat="1">
      <c r="T26656" s="41"/>
    </row>
    <row r="26657" spans="20:20" s="566" customFormat="1">
      <c r="T26657" s="41"/>
    </row>
    <row r="26658" spans="20:20" s="566" customFormat="1">
      <c r="T26658" s="41"/>
    </row>
    <row r="26659" spans="20:20" s="566" customFormat="1">
      <c r="T26659" s="41"/>
    </row>
    <row r="26660" spans="20:20" s="566" customFormat="1">
      <c r="T26660" s="41"/>
    </row>
    <row r="26661" spans="20:20" s="566" customFormat="1">
      <c r="T26661" s="41"/>
    </row>
    <row r="26662" spans="20:20" s="566" customFormat="1">
      <c r="T26662" s="41"/>
    </row>
    <row r="26663" spans="20:20" s="566" customFormat="1">
      <c r="T26663" s="41"/>
    </row>
    <row r="26664" spans="20:20" s="566" customFormat="1">
      <c r="T26664" s="41"/>
    </row>
    <row r="26665" spans="20:20" s="566" customFormat="1">
      <c r="T26665" s="41"/>
    </row>
    <row r="26666" spans="20:20" s="566" customFormat="1">
      <c r="T26666" s="41"/>
    </row>
    <row r="26667" spans="20:20" s="566" customFormat="1">
      <c r="T26667" s="41"/>
    </row>
    <row r="26668" spans="20:20" s="566" customFormat="1">
      <c r="T26668" s="41"/>
    </row>
    <row r="26669" spans="20:20" s="566" customFormat="1">
      <c r="T26669" s="41"/>
    </row>
    <row r="26670" spans="20:20" s="566" customFormat="1">
      <c r="T26670" s="41"/>
    </row>
    <row r="26671" spans="20:20" s="566" customFormat="1">
      <c r="T26671" s="41"/>
    </row>
    <row r="26672" spans="20:20" s="566" customFormat="1">
      <c r="T26672" s="41"/>
    </row>
    <row r="26673" spans="20:20" s="566" customFormat="1">
      <c r="T26673" s="41"/>
    </row>
    <row r="26674" spans="20:20" s="566" customFormat="1">
      <c r="T26674" s="41"/>
    </row>
    <row r="26675" spans="20:20" s="566" customFormat="1">
      <c r="T26675" s="41"/>
    </row>
    <row r="26676" spans="20:20" s="566" customFormat="1">
      <c r="T26676" s="41"/>
    </row>
    <row r="26677" spans="20:20" s="566" customFormat="1">
      <c r="T26677" s="41"/>
    </row>
    <row r="26678" spans="20:20" s="566" customFormat="1">
      <c r="T26678" s="41"/>
    </row>
    <row r="26679" spans="20:20" s="566" customFormat="1">
      <c r="T26679" s="41"/>
    </row>
    <row r="26680" spans="20:20" s="566" customFormat="1">
      <c r="T26680" s="41"/>
    </row>
    <row r="26681" spans="20:20" s="566" customFormat="1">
      <c r="T26681" s="41"/>
    </row>
    <row r="26682" spans="20:20" s="566" customFormat="1">
      <c r="T26682" s="41"/>
    </row>
    <row r="26683" spans="20:20" s="566" customFormat="1">
      <c r="T26683" s="41"/>
    </row>
    <row r="26684" spans="20:20" s="566" customFormat="1">
      <c r="T26684" s="41"/>
    </row>
    <row r="26685" spans="20:20" s="566" customFormat="1">
      <c r="T26685" s="41"/>
    </row>
    <row r="26686" spans="20:20" s="566" customFormat="1">
      <c r="T26686" s="41"/>
    </row>
    <row r="26687" spans="20:20" s="566" customFormat="1">
      <c r="T26687" s="41"/>
    </row>
    <row r="26688" spans="20:20" s="566" customFormat="1">
      <c r="T26688" s="41"/>
    </row>
    <row r="26689" spans="20:20" s="566" customFormat="1">
      <c r="T26689" s="41"/>
    </row>
    <row r="26690" spans="20:20" s="566" customFormat="1">
      <c r="T26690" s="41"/>
    </row>
    <row r="26691" spans="20:20" s="566" customFormat="1">
      <c r="T26691" s="41"/>
    </row>
    <row r="26692" spans="20:20" s="566" customFormat="1">
      <c r="T26692" s="41"/>
    </row>
    <row r="26693" spans="20:20" s="566" customFormat="1">
      <c r="T26693" s="41"/>
    </row>
    <row r="26694" spans="20:20" s="566" customFormat="1">
      <c r="T26694" s="41"/>
    </row>
    <row r="26695" spans="20:20" s="566" customFormat="1">
      <c r="T26695" s="41"/>
    </row>
    <row r="26696" spans="20:20" s="566" customFormat="1">
      <c r="T26696" s="41"/>
    </row>
    <row r="26697" spans="20:20" s="566" customFormat="1">
      <c r="T26697" s="41"/>
    </row>
    <row r="26698" spans="20:20" s="566" customFormat="1">
      <c r="T26698" s="41"/>
    </row>
    <row r="26699" spans="20:20" s="566" customFormat="1">
      <c r="T26699" s="41"/>
    </row>
    <row r="26700" spans="20:20" s="566" customFormat="1">
      <c r="T26700" s="41"/>
    </row>
    <row r="26701" spans="20:20" s="566" customFormat="1">
      <c r="T26701" s="41"/>
    </row>
    <row r="26702" spans="20:20" s="566" customFormat="1">
      <c r="T26702" s="41"/>
    </row>
    <row r="26703" spans="20:20" s="566" customFormat="1">
      <c r="T26703" s="41"/>
    </row>
    <row r="26704" spans="20:20" s="566" customFormat="1">
      <c r="T26704" s="41"/>
    </row>
    <row r="26705" spans="20:20" s="566" customFormat="1">
      <c r="T26705" s="41"/>
    </row>
    <row r="26706" spans="20:20" s="566" customFormat="1">
      <c r="T26706" s="41"/>
    </row>
    <row r="26707" spans="20:20" s="566" customFormat="1">
      <c r="T26707" s="41"/>
    </row>
    <row r="26708" spans="20:20" s="566" customFormat="1">
      <c r="T26708" s="41"/>
    </row>
    <row r="26709" spans="20:20" s="566" customFormat="1">
      <c r="T26709" s="41"/>
    </row>
    <row r="26710" spans="20:20" s="566" customFormat="1">
      <c r="T26710" s="41"/>
    </row>
    <row r="26711" spans="20:20" s="566" customFormat="1">
      <c r="T26711" s="41"/>
    </row>
    <row r="26712" spans="20:20" s="566" customFormat="1">
      <c r="T26712" s="41"/>
    </row>
    <row r="26713" spans="20:20" s="566" customFormat="1">
      <c r="T26713" s="41"/>
    </row>
    <row r="26714" spans="20:20" s="566" customFormat="1">
      <c r="T26714" s="41"/>
    </row>
    <row r="26715" spans="20:20" s="566" customFormat="1">
      <c r="T26715" s="41"/>
    </row>
    <row r="26716" spans="20:20" s="566" customFormat="1">
      <c r="T26716" s="41"/>
    </row>
    <row r="26717" spans="20:20" s="566" customFormat="1">
      <c r="T26717" s="41"/>
    </row>
    <row r="26718" spans="20:20" s="566" customFormat="1">
      <c r="T26718" s="41"/>
    </row>
    <row r="26719" spans="20:20" s="566" customFormat="1">
      <c r="T26719" s="41"/>
    </row>
    <row r="26720" spans="20:20" s="566" customFormat="1">
      <c r="T26720" s="41"/>
    </row>
    <row r="26721" spans="20:20" s="566" customFormat="1">
      <c r="T26721" s="41"/>
    </row>
    <row r="26722" spans="20:20" s="566" customFormat="1">
      <c r="T26722" s="41"/>
    </row>
    <row r="26723" spans="20:20" s="566" customFormat="1">
      <c r="T26723" s="41"/>
    </row>
    <row r="26724" spans="20:20" s="566" customFormat="1">
      <c r="T26724" s="41"/>
    </row>
    <row r="26725" spans="20:20" s="566" customFormat="1">
      <c r="T26725" s="41"/>
    </row>
    <row r="26726" spans="20:20" s="566" customFormat="1">
      <c r="T26726" s="41"/>
    </row>
    <row r="26727" spans="20:20" s="566" customFormat="1">
      <c r="T26727" s="41"/>
    </row>
    <row r="26728" spans="20:20" s="566" customFormat="1">
      <c r="T26728" s="41"/>
    </row>
    <row r="26729" spans="20:20" s="566" customFormat="1">
      <c r="T26729" s="41"/>
    </row>
    <row r="26730" spans="20:20" s="566" customFormat="1">
      <c r="T26730" s="41"/>
    </row>
    <row r="26731" spans="20:20" s="566" customFormat="1">
      <c r="T26731" s="41"/>
    </row>
    <row r="26732" spans="20:20" s="566" customFormat="1">
      <c r="T26732" s="41"/>
    </row>
    <row r="26733" spans="20:20" s="566" customFormat="1">
      <c r="T26733" s="41"/>
    </row>
    <row r="26734" spans="20:20" s="566" customFormat="1">
      <c r="T26734" s="41"/>
    </row>
    <row r="26735" spans="20:20" s="566" customFormat="1">
      <c r="T26735" s="41"/>
    </row>
    <row r="26736" spans="20:20" s="566" customFormat="1">
      <c r="T26736" s="41"/>
    </row>
    <row r="26737" spans="20:20" s="566" customFormat="1">
      <c r="T26737" s="41"/>
    </row>
    <row r="26738" spans="20:20" s="566" customFormat="1">
      <c r="T26738" s="41"/>
    </row>
    <row r="26739" spans="20:20" s="566" customFormat="1">
      <c r="T26739" s="41"/>
    </row>
    <row r="26740" spans="20:20" s="566" customFormat="1">
      <c r="T26740" s="41"/>
    </row>
    <row r="26741" spans="20:20" s="566" customFormat="1">
      <c r="T26741" s="41"/>
    </row>
    <row r="26742" spans="20:20" s="566" customFormat="1">
      <c r="T26742" s="41"/>
    </row>
    <row r="26743" spans="20:20" s="566" customFormat="1">
      <c r="T26743" s="41"/>
    </row>
    <row r="26744" spans="20:20" s="566" customFormat="1">
      <c r="T26744" s="41"/>
    </row>
    <row r="26745" spans="20:20" s="566" customFormat="1">
      <c r="T26745" s="41"/>
    </row>
    <row r="26746" spans="20:20" s="566" customFormat="1">
      <c r="T26746" s="41"/>
    </row>
    <row r="26747" spans="20:20" s="566" customFormat="1">
      <c r="T26747" s="41"/>
    </row>
    <row r="26748" spans="20:20" s="566" customFormat="1">
      <c r="T26748" s="41"/>
    </row>
    <row r="26749" spans="20:20" s="566" customFormat="1">
      <c r="T26749" s="41"/>
    </row>
    <row r="26750" spans="20:20" s="566" customFormat="1">
      <c r="T26750" s="41"/>
    </row>
    <row r="26751" spans="20:20" s="566" customFormat="1">
      <c r="T26751" s="41"/>
    </row>
    <row r="26752" spans="20:20" s="566" customFormat="1">
      <c r="T26752" s="41"/>
    </row>
    <row r="26753" spans="20:20" s="566" customFormat="1">
      <c r="T26753" s="41"/>
    </row>
    <row r="26754" spans="20:20" s="566" customFormat="1">
      <c r="T26754" s="41"/>
    </row>
    <row r="26755" spans="20:20" s="566" customFormat="1">
      <c r="T26755" s="41"/>
    </row>
    <row r="26756" spans="20:20" s="566" customFormat="1">
      <c r="T26756" s="41"/>
    </row>
    <row r="26757" spans="20:20" s="566" customFormat="1">
      <c r="T26757" s="41"/>
    </row>
    <row r="26758" spans="20:20" s="566" customFormat="1">
      <c r="T26758" s="41"/>
    </row>
    <row r="26759" spans="20:20" s="566" customFormat="1">
      <c r="T26759" s="41"/>
    </row>
    <row r="26760" spans="20:20" s="566" customFormat="1">
      <c r="T26760" s="41"/>
    </row>
    <row r="26761" spans="20:20" s="566" customFormat="1">
      <c r="T26761" s="41"/>
    </row>
    <row r="26762" spans="20:20" s="566" customFormat="1">
      <c r="T26762" s="41"/>
    </row>
    <row r="26763" spans="20:20" s="566" customFormat="1">
      <c r="T26763" s="41"/>
    </row>
    <row r="26764" spans="20:20" s="566" customFormat="1">
      <c r="T26764" s="41"/>
    </row>
    <row r="26765" spans="20:20" s="566" customFormat="1">
      <c r="T26765" s="41"/>
    </row>
    <row r="26766" spans="20:20" s="566" customFormat="1">
      <c r="T26766" s="41"/>
    </row>
    <row r="26767" spans="20:20" s="566" customFormat="1">
      <c r="T26767" s="41"/>
    </row>
    <row r="26768" spans="20:20" s="566" customFormat="1">
      <c r="T26768" s="41"/>
    </row>
    <row r="26769" spans="20:20" s="566" customFormat="1">
      <c r="T26769" s="41"/>
    </row>
    <row r="26770" spans="20:20" s="566" customFormat="1">
      <c r="T26770" s="41"/>
    </row>
    <row r="26771" spans="20:20" s="566" customFormat="1">
      <c r="T26771" s="41"/>
    </row>
    <row r="26772" spans="20:20" s="566" customFormat="1">
      <c r="T26772" s="41"/>
    </row>
    <row r="26773" spans="20:20" s="566" customFormat="1">
      <c r="T26773" s="41"/>
    </row>
    <row r="26774" spans="20:20" s="566" customFormat="1">
      <c r="T26774" s="41"/>
    </row>
    <row r="26775" spans="20:20" s="566" customFormat="1">
      <c r="T26775" s="41"/>
    </row>
    <row r="26776" spans="20:20" s="566" customFormat="1">
      <c r="T26776" s="41"/>
    </row>
    <row r="26777" spans="20:20" s="566" customFormat="1">
      <c r="T26777" s="41"/>
    </row>
    <row r="26778" spans="20:20" s="566" customFormat="1">
      <c r="T26778" s="41"/>
    </row>
    <row r="26779" spans="20:20" s="566" customFormat="1">
      <c r="T26779" s="41"/>
    </row>
    <row r="26780" spans="20:20" s="566" customFormat="1">
      <c r="T26780" s="41"/>
    </row>
    <row r="26781" spans="20:20" s="566" customFormat="1">
      <c r="T26781" s="41"/>
    </row>
    <row r="26782" spans="20:20" s="566" customFormat="1">
      <c r="T26782" s="41"/>
    </row>
    <row r="26783" spans="20:20" s="566" customFormat="1">
      <c r="T26783" s="41"/>
    </row>
    <row r="26784" spans="20:20" s="566" customFormat="1">
      <c r="T26784" s="41"/>
    </row>
    <row r="26785" spans="20:20" s="566" customFormat="1">
      <c r="T26785" s="41"/>
    </row>
    <row r="26786" spans="20:20" s="566" customFormat="1">
      <c r="T26786" s="41"/>
    </row>
    <row r="26787" spans="20:20" s="566" customFormat="1">
      <c r="T26787" s="41"/>
    </row>
    <row r="26788" spans="20:20" s="566" customFormat="1">
      <c r="T26788" s="41"/>
    </row>
    <row r="26789" spans="20:20" s="566" customFormat="1">
      <c r="T26789" s="41"/>
    </row>
    <row r="26790" spans="20:20" s="566" customFormat="1">
      <c r="T26790" s="41"/>
    </row>
    <row r="26791" spans="20:20" s="566" customFormat="1">
      <c r="T26791" s="41"/>
    </row>
    <row r="26792" spans="20:20" s="566" customFormat="1">
      <c r="T26792" s="41"/>
    </row>
    <row r="26793" spans="20:20" s="566" customFormat="1">
      <c r="T26793" s="41"/>
    </row>
    <row r="26794" spans="20:20" s="566" customFormat="1">
      <c r="T26794" s="41"/>
    </row>
    <row r="26795" spans="20:20" s="566" customFormat="1">
      <c r="T26795" s="41"/>
    </row>
    <row r="26796" spans="20:20" s="566" customFormat="1">
      <c r="T26796" s="41"/>
    </row>
    <row r="26797" spans="20:20" s="566" customFormat="1">
      <c r="T26797" s="41"/>
    </row>
    <row r="26798" spans="20:20" s="566" customFormat="1">
      <c r="T26798" s="41"/>
    </row>
    <row r="26799" spans="20:20" s="566" customFormat="1">
      <c r="T26799" s="41"/>
    </row>
    <row r="26800" spans="20:20" s="566" customFormat="1">
      <c r="T26800" s="41"/>
    </row>
    <row r="26801" spans="20:20" s="566" customFormat="1">
      <c r="T26801" s="41"/>
    </row>
    <row r="26802" spans="20:20" s="566" customFormat="1">
      <c r="T26802" s="41"/>
    </row>
    <row r="26803" spans="20:20" s="566" customFormat="1">
      <c r="T26803" s="41"/>
    </row>
    <row r="26804" spans="20:20" s="566" customFormat="1">
      <c r="T26804" s="41"/>
    </row>
    <row r="26805" spans="20:20" s="566" customFormat="1">
      <c r="T26805" s="41"/>
    </row>
    <row r="26806" spans="20:20" s="566" customFormat="1">
      <c r="T26806" s="41"/>
    </row>
    <row r="26807" spans="20:20" s="566" customFormat="1">
      <c r="T26807" s="41"/>
    </row>
    <row r="26808" spans="20:20" s="566" customFormat="1">
      <c r="T26808" s="41"/>
    </row>
    <row r="26809" spans="20:20" s="566" customFormat="1">
      <c r="T26809" s="41"/>
    </row>
    <row r="26810" spans="20:20" s="566" customFormat="1">
      <c r="T26810" s="41"/>
    </row>
    <row r="26811" spans="20:20" s="566" customFormat="1">
      <c r="T26811" s="41"/>
    </row>
    <row r="26812" spans="20:20" s="566" customFormat="1">
      <c r="T26812" s="41"/>
    </row>
    <row r="26813" spans="20:20" s="566" customFormat="1">
      <c r="T26813" s="41"/>
    </row>
    <row r="26814" spans="20:20" s="566" customFormat="1">
      <c r="T26814" s="41"/>
    </row>
    <row r="26815" spans="20:20" s="566" customFormat="1">
      <c r="T26815" s="41"/>
    </row>
    <row r="26816" spans="20:20" s="566" customFormat="1">
      <c r="T26816" s="41"/>
    </row>
    <row r="26817" spans="20:20" s="566" customFormat="1">
      <c r="T26817" s="41"/>
    </row>
    <row r="26818" spans="20:20" s="566" customFormat="1">
      <c r="T26818" s="41"/>
    </row>
    <row r="26819" spans="20:20" s="566" customFormat="1">
      <c r="T26819" s="41"/>
    </row>
    <row r="26820" spans="20:20" s="566" customFormat="1">
      <c r="T26820" s="41"/>
    </row>
    <row r="26821" spans="20:20" s="566" customFormat="1">
      <c r="T26821" s="41"/>
    </row>
    <row r="26822" spans="20:20" s="566" customFormat="1">
      <c r="T26822" s="41"/>
    </row>
    <row r="26823" spans="20:20" s="566" customFormat="1">
      <c r="T26823" s="41"/>
    </row>
    <row r="26824" spans="20:20" s="566" customFormat="1">
      <c r="T26824" s="41"/>
    </row>
    <row r="26825" spans="20:20" s="566" customFormat="1">
      <c r="T26825" s="41"/>
    </row>
    <row r="26826" spans="20:20" s="566" customFormat="1">
      <c r="T26826" s="41"/>
    </row>
    <row r="26827" spans="20:20" s="566" customFormat="1">
      <c r="T26827" s="41"/>
    </row>
    <row r="26828" spans="20:20" s="566" customFormat="1">
      <c r="T26828" s="41"/>
    </row>
    <row r="26829" spans="20:20" s="566" customFormat="1">
      <c r="T26829" s="41"/>
    </row>
    <row r="26830" spans="20:20" s="566" customFormat="1">
      <c r="T26830" s="41"/>
    </row>
    <row r="26831" spans="20:20" s="566" customFormat="1">
      <c r="T26831" s="41"/>
    </row>
    <row r="26832" spans="20:20" s="566" customFormat="1">
      <c r="T26832" s="41"/>
    </row>
    <row r="26833" spans="20:20" s="566" customFormat="1">
      <c r="T26833" s="41"/>
    </row>
    <row r="26834" spans="20:20" s="566" customFormat="1">
      <c r="T26834" s="41"/>
    </row>
    <row r="26835" spans="20:20" s="566" customFormat="1">
      <c r="T26835" s="41"/>
    </row>
    <row r="26836" spans="20:20" s="566" customFormat="1">
      <c r="T26836" s="41"/>
    </row>
    <row r="26837" spans="20:20" s="566" customFormat="1">
      <c r="T26837" s="41"/>
    </row>
    <row r="26838" spans="20:20" s="566" customFormat="1">
      <c r="T26838" s="41"/>
    </row>
    <row r="26839" spans="20:20" s="566" customFormat="1">
      <c r="T26839" s="41"/>
    </row>
    <row r="26840" spans="20:20" s="566" customFormat="1">
      <c r="T26840" s="41"/>
    </row>
    <row r="26841" spans="20:20" s="566" customFormat="1">
      <c r="T26841" s="41"/>
    </row>
    <row r="26842" spans="20:20" s="566" customFormat="1">
      <c r="T26842" s="41"/>
    </row>
    <row r="26843" spans="20:20" s="566" customFormat="1">
      <c r="T26843" s="41"/>
    </row>
    <row r="26844" spans="20:20" s="566" customFormat="1">
      <c r="T26844" s="41"/>
    </row>
    <row r="26845" spans="20:20" s="566" customFormat="1">
      <c r="T26845" s="41"/>
    </row>
    <row r="26846" spans="20:20" s="566" customFormat="1">
      <c r="T26846" s="41"/>
    </row>
    <row r="26847" spans="20:20" s="566" customFormat="1">
      <c r="T26847" s="41"/>
    </row>
    <row r="26848" spans="20:20" s="566" customFormat="1">
      <c r="T26848" s="41"/>
    </row>
    <row r="26849" spans="20:20" s="566" customFormat="1">
      <c r="T26849" s="41"/>
    </row>
    <row r="26850" spans="20:20" s="566" customFormat="1">
      <c r="T26850" s="41"/>
    </row>
    <row r="26851" spans="20:20" s="566" customFormat="1">
      <c r="T26851" s="41"/>
    </row>
    <row r="26852" spans="20:20" s="566" customFormat="1">
      <c r="T26852" s="41"/>
    </row>
    <row r="26853" spans="20:20" s="566" customFormat="1">
      <c r="T26853" s="41"/>
    </row>
    <row r="26854" spans="20:20" s="566" customFormat="1">
      <c r="T26854" s="41"/>
    </row>
    <row r="26855" spans="20:20" s="566" customFormat="1">
      <c r="T26855" s="41"/>
    </row>
    <row r="26856" spans="20:20" s="566" customFormat="1">
      <c r="T26856" s="41"/>
    </row>
    <row r="26857" spans="20:20" s="566" customFormat="1">
      <c r="T26857" s="41"/>
    </row>
    <row r="26858" spans="20:20" s="566" customFormat="1">
      <c r="T26858" s="41"/>
    </row>
    <row r="26859" spans="20:20" s="566" customFormat="1">
      <c r="T26859" s="41"/>
    </row>
    <row r="26860" spans="20:20" s="566" customFormat="1">
      <c r="T26860" s="41"/>
    </row>
    <row r="26861" spans="20:20" s="566" customFormat="1">
      <c r="T26861" s="41"/>
    </row>
    <row r="26862" spans="20:20" s="566" customFormat="1">
      <c r="T26862" s="41"/>
    </row>
    <row r="26863" spans="20:20" s="566" customFormat="1">
      <c r="T26863" s="41"/>
    </row>
    <row r="26864" spans="20:20" s="566" customFormat="1">
      <c r="T26864" s="41"/>
    </row>
    <row r="26865" spans="20:20" s="566" customFormat="1">
      <c r="T26865" s="41"/>
    </row>
    <row r="26866" spans="20:20" s="566" customFormat="1">
      <c r="T26866" s="41"/>
    </row>
    <row r="26867" spans="20:20" s="566" customFormat="1">
      <c r="T26867" s="41"/>
    </row>
    <row r="26868" spans="20:20" s="566" customFormat="1">
      <c r="T26868" s="41"/>
    </row>
    <row r="26869" spans="20:20" s="566" customFormat="1">
      <c r="T26869" s="41"/>
    </row>
    <row r="26870" spans="20:20" s="566" customFormat="1">
      <c r="T26870" s="41"/>
    </row>
    <row r="26871" spans="20:20" s="566" customFormat="1">
      <c r="T26871" s="41"/>
    </row>
    <row r="26872" spans="20:20" s="566" customFormat="1">
      <c r="T26872" s="41"/>
    </row>
    <row r="26873" spans="20:20" s="566" customFormat="1">
      <c r="T26873" s="41"/>
    </row>
    <row r="26874" spans="20:20" s="566" customFormat="1">
      <c r="T26874" s="41"/>
    </row>
    <row r="26875" spans="20:20" s="566" customFormat="1">
      <c r="T26875" s="41"/>
    </row>
    <row r="26876" spans="20:20" s="566" customFormat="1">
      <c r="T26876" s="41"/>
    </row>
    <row r="26877" spans="20:20" s="566" customFormat="1">
      <c r="T26877" s="41"/>
    </row>
    <row r="26878" spans="20:20" s="566" customFormat="1">
      <c r="T26878" s="41"/>
    </row>
    <row r="26879" spans="20:20" s="566" customFormat="1">
      <c r="T26879" s="41"/>
    </row>
    <row r="26880" spans="20:20" s="566" customFormat="1">
      <c r="T26880" s="41"/>
    </row>
    <row r="26881" spans="20:20" s="566" customFormat="1">
      <c r="T26881" s="41"/>
    </row>
    <row r="26882" spans="20:20" s="566" customFormat="1">
      <c r="T26882" s="41"/>
    </row>
    <row r="26883" spans="20:20" s="566" customFormat="1">
      <c r="T26883" s="41"/>
    </row>
    <row r="26884" spans="20:20" s="566" customFormat="1">
      <c r="T26884" s="41"/>
    </row>
    <row r="26885" spans="20:20" s="566" customFormat="1">
      <c r="T26885" s="41"/>
    </row>
    <row r="26886" spans="20:20" s="566" customFormat="1">
      <c r="T26886" s="41"/>
    </row>
    <row r="26887" spans="20:20" s="566" customFormat="1">
      <c r="T26887" s="41"/>
    </row>
    <row r="26888" spans="20:20" s="566" customFormat="1">
      <c r="T26888" s="41"/>
    </row>
    <row r="26889" spans="20:20" s="566" customFormat="1">
      <c r="T26889" s="41"/>
    </row>
    <row r="26890" spans="20:20" s="566" customFormat="1">
      <c r="T26890" s="41"/>
    </row>
    <row r="26891" spans="20:20" s="566" customFormat="1">
      <c r="T26891" s="41"/>
    </row>
    <row r="26892" spans="20:20" s="566" customFormat="1">
      <c r="T26892" s="41"/>
    </row>
    <row r="26893" spans="20:20" s="566" customFormat="1">
      <c r="T26893" s="41"/>
    </row>
    <row r="26894" spans="20:20" s="566" customFormat="1">
      <c r="T26894" s="41"/>
    </row>
    <row r="26895" spans="20:20" s="566" customFormat="1">
      <c r="T26895" s="41"/>
    </row>
    <row r="26896" spans="20:20" s="566" customFormat="1">
      <c r="T26896" s="41"/>
    </row>
    <row r="26897" spans="20:20" s="566" customFormat="1">
      <c r="T26897" s="41"/>
    </row>
    <row r="26898" spans="20:20" s="566" customFormat="1">
      <c r="T26898" s="41"/>
    </row>
    <row r="26899" spans="20:20" s="566" customFormat="1">
      <c r="T26899" s="41"/>
    </row>
    <row r="26900" spans="20:20" s="566" customFormat="1">
      <c r="T26900" s="41"/>
    </row>
    <row r="26901" spans="20:20" s="566" customFormat="1">
      <c r="T26901" s="41"/>
    </row>
    <row r="26902" spans="20:20" s="566" customFormat="1">
      <c r="T26902" s="41"/>
    </row>
    <row r="26903" spans="20:20" s="566" customFormat="1">
      <c r="T26903" s="41"/>
    </row>
    <row r="26904" spans="20:20" s="566" customFormat="1">
      <c r="T26904" s="41"/>
    </row>
    <row r="26905" spans="20:20" s="566" customFormat="1">
      <c r="T26905" s="41"/>
    </row>
    <row r="26906" spans="20:20" s="566" customFormat="1">
      <c r="T26906" s="41"/>
    </row>
    <row r="26907" spans="20:20" s="566" customFormat="1">
      <c r="T26907" s="41"/>
    </row>
    <row r="26908" spans="20:20" s="566" customFormat="1">
      <c r="T26908" s="41"/>
    </row>
    <row r="26909" spans="20:20" s="566" customFormat="1">
      <c r="T26909" s="41"/>
    </row>
    <row r="26910" spans="20:20" s="566" customFormat="1">
      <c r="T26910" s="41"/>
    </row>
    <row r="26911" spans="20:20" s="566" customFormat="1">
      <c r="T26911" s="41"/>
    </row>
    <row r="26912" spans="20:20" s="566" customFormat="1">
      <c r="T26912" s="41"/>
    </row>
    <row r="26913" spans="20:20" s="566" customFormat="1">
      <c r="T26913" s="41"/>
    </row>
    <row r="26914" spans="20:20" s="566" customFormat="1">
      <c r="T26914" s="41"/>
    </row>
    <row r="26915" spans="20:20" s="566" customFormat="1">
      <c r="T26915" s="41"/>
    </row>
    <row r="26916" spans="20:20" s="566" customFormat="1">
      <c r="T26916" s="41"/>
    </row>
    <row r="26917" spans="20:20" s="566" customFormat="1">
      <c r="T26917" s="41"/>
    </row>
    <row r="26918" spans="20:20" s="566" customFormat="1">
      <c r="T26918" s="41"/>
    </row>
    <row r="26919" spans="20:20" s="566" customFormat="1">
      <c r="T26919" s="41"/>
    </row>
    <row r="26920" spans="20:20" s="566" customFormat="1">
      <c r="T26920" s="41"/>
    </row>
    <row r="26921" spans="20:20" s="566" customFormat="1">
      <c r="T26921" s="41"/>
    </row>
    <row r="26922" spans="20:20" s="566" customFormat="1">
      <c r="T26922" s="41"/>
    </row>
    <row r="26923" spans="20:20" s="566" customFormat="1">
      <c r="T26923" s="41"/>
    </row>
    <row r="26924" spans="20:20" s="566" customFormat="1">
      <c r="T26924" s="41"/>
    </row>
    <row r="26925" spans="20:20" s="566" customFormat="1">
      <c r="T26925" s="41"/>
    </row>
    <row r="26926" spans="20:20" s="566" customFormat="1">
      <c r="T26926" s="41"/>
    </row>
    <row r="26927" spans="20:20" s="566" customFormat="1">
      <c r="T26927" s="41"/>
    </row>
    <row r="26928" spans="20:20" s="566" customFormat="1">
      <c r="T26928" s="41"/>
    </row>
    <row r="26929" spans="20:20" s="566" customFormat="1">
      <c r="T26929" s="41"/>
    </row>
    <row r="26930" spans="20:20" s="566" customFormat="1">
      <c r="T26930" s="41"/>
    </row>
    <row r="26931" spans="20:20" s="566" customFormat="1">
      <c r="T26931" s="41"/>
    </row>
    <row r="26932" spans="20:20" s="566" customFormat="1">
      <c r="T26932" s="41"/>
    </row>
    <row r="26933" spans="20:20" s="566" customFormat="1">
      <c r="T26933" s="41"/>
    </row>
    <row r="26934" spans="20:20" s="566" customFormat="1">
      <c r="T26934" s="41"/>
    </row>
    <row r="26935" spans="20:20" s="566" customFormat="1">
      <c r="T26935" s="41"/>
    </row>
    <row r="26936" spans="20:20" s="566" customFormat="1">
      <c r="T26936" s="41"/>
    </row>
    <row r="26937" spans="20:20" s="566" customFormat="1">
      <c r="T26937" s="41"/>
    </row>
    <row r="26938" spans="20:20" s="566" customFormat="1">
      <c r="T26938" s="41"/>
    </row>
    <row r="26939" spans="20:20" s="566" customFormat="1">
      <c r="T26939" s="41"/>
    </row>
    <row r="26940" spans="20:20" s="566" customFormat="1">
      <c r="T26940" s="41"/>
    </row>
    <row r="26941" spans="20:20" s="566" customFormat="1">
      <c r="T26941" s="41"/>
    </row>
    <row r="26942" spans="20:20" s="566" customFormat="1">
      <c r="T26942" s="41"/>
    </row>
    <row r="26943" spans="20:20" s="566" customFormat="1">
      <c r="T26943" s="41"/>
    </row>
    <row r="26944" spans="20:20" s="566" customFormat="1">
      <c r="T26944" s="41"/>
    </row>
    <row r="26945" spans="20:20" s="566" customFormat="1">
      <c r="T26945" s="41"/>
    </row>
    <row r="26946" spans="20:20" s="566" customFormat="1">
      <c r="T26946" s="41"/>
    </row>
    <row r="26947" spans="20:20" s="566" customFormat="1">
      <c r="T26947" s="41"/>
    </row>
    <row r="26948" spans="20:20" s="566" customFormat="1">
      <c r="T26948" s="41"/>
    </row>
    <row r="26949" spans="20:20" s="566" customFormat="1">
      <c r="T26949" s="41"/>
    </row>
    <row r="26950" spans="20:20" s="566" customFormat="1">
      <c r="T26950" s="41"/>
    </row>
    <row r="26951" spans="20:20" s="566" customFormat="1">
      <c r="T26951" s="41"/>
    </row>
    <row r="26952" spans="20:20" s="566" customFormat="1">
      <c r="T26952" s="41"/>
    </row>
    <row r="26953" spans="20:20" s="566" customFormat="1">
      <c r="T26953" s="41"/>
    </row>
    <row r="26954" spans="20:20" s="566" customFormat="1">
      <c r="T26954" s="41"/>
    </row>
    <row r="26955" spans="20:20" s="566" customFormat="1">
      <c r="T26955" s="41"/>
    </row>
    <row r="26956" spans="20:20" s="566" customFormat="1">
      <c r="T26956" s="41"/>
    </row>
    <row r="26957" spans="20:20" s="566" customFormat="1">
      <c r="T26957" s="41"/>
    </row>
    <row r="26958" spans="20:20" s="566" customFormat="1">
      <c r="T26958" s="41"/>
    </row>
    <row r="26959" spans="20:20" s="566" customFormat="1">
      <c r="T26959" s="41"/>
    </row>
    <row r="26960" spans="20:20" s="566" customFormat="1">
      <c r="T26960" s="41"/>
    </row>
    <row r="26961" spans="20:20" s="566" customFormat="1">
      <c r="T26961" s="41"/>
    </row>
    <row r="26962" spans="20:20" s="566" customFormat="1">
      <c r="T26962" s="41"/>
    </row>
    <row r="26963" spans="20:20" s="566" customFormat="1">
      <c r="T26963" s="41"/>
    </row>
    <row r="26964" spans="20:20" s="566" customFormat="1">
      <c r="T26964" s="41"/>
    </row>
    <row r="26965" spans="20:20" s="566" customFormat="1">
      <c r="T26965" s="41"/>
    </row>
    <row r="26966" spans="20:20" s="566" customFormat="1">
      <c r="T26966" s="41"/>
    </row>
    <row r="26967" spans="20:20" s="566" customFormat="1">
      <c r="T26967" s="41"/>
    </row>
    <row r="26968" spans="20:20" s="566" customFormat="1">
      <c r="T26968" s="41"/>
    </row>
    <row r="26969" spans="20:20" s="566" customFormat="1">
      <c r="T26969" s="41"/>
    </row>
    <row r="26970" spans="20:20" s="566" customFormat="1">
      <c r="T26970" s="41"/>
    </row>
    <row r="26971" spans="20:20" s="566" customFormat="1">
      <c r="T26971" s="41"/>
    </row>
    <row r="26972" spans="20:20" s="566" customFormat="1">
      <c r="T26972" s="41"/>
    </row>
    <row r="26973" spans="20:20" s="566" customFormat="1">
      <c r="T26973" s="41"/>
    </row>
    <row r="26974" spans="20:20" s="566" customFormat="1">
      <c r="T26974" s="41"/>
    </row>
    <row r="26975" spans="20:20" s="566" customFormat="1">
      <c r="T26975" s="41"/>
    </row>
    <row r="26976" spans="20:20" s="566" customFormat="1">
      <c r="T26976" s="41"/>
    </row>
    <row r="26977" spans="20:20" s="566" customFormat="1">
      <c r="T26977" s="41"/>
    </row>
    <row r="26978" spans="20:20" s="566" customFormat="1">
      <c r="T26978" s="41"/>
    </row>
    <row r="26979" spans="20:20" s="566" customFormat="1">
      <c r="T26979" s="41"/>
    </row>
    <row r="26980" spans="20:20" s="566" customFormat="1">
      <c r="T26980" s="41"/>
    </row>
    <row r="26981" spans="20:20" s="566" customFormat="1">
      <c r="T26981" s="41"/>
    </row>
    <row r="26982" spans="20:20" s="566" customFormat="1">
      <c r="T26982" s="41"/>
    </row>
    <row r="26983" spans="20:20" s="566" customFormat="1">
      <c r="T26983" s="41"/>
    </row>
    <row r="26984" spans="20:20" s="566" customFormat="1">
      <c r="T26984" s="41"/>
    </row>
    <row r="26985" spans="20:20" s="566" customFormat="1">
      <c r="T26985" s="41"/>
    </row>
    <row r="26986" spans="20:20" s="566" customFormat="1">
      <c r="T26986" s="41"/>
    </row>
    <row r="26987" spans="20:20" s="566" customFormat="1">
      <c r="T26987" s="41"/>
    </row>
    <row r="26988" spans="20:20" s="566" customFormat="1">
      <c r="T26988" s="41"/>
    </row>
    <row r="26989" spans="20:20" s="566" customFormat="1">
      <c r="T26989" s="41"/>
    </row>
    <row r="26990" spans="20:20" s="566" customFormat="1">
      <c r="T26990" s="41"/>
    </row>
    <row r="26991" spans="20:20" s="566" customFormat="1">
      <c r="T26991" s="41"/>
    </row>
    <row r="26992" spans="20:20" s="566" customFormat="1">
      <c r="T26992" s="41"/>
    </row>
    <row r="26993" spans="20:20" s="566" customFormat="1">
      <c r="T26993" s="41"/>
    </row>
    <row r="26994" spans="20:20" s="566" customFormat="1">
      <c r="T26994" s="41"/>
    </row>
    <row r="26995" spans="20:20" s="566" customFormat="1">
      <c r="T26995" s="41"/>
    </row>
    <row r="26996" spans="20:20" s="566" customFormat="1">
      <c r="T26996" s="41"/>
    </row>
    <row r="26997" spans="20:20" s="566" customFormat="1">
      <c r="T26997" s="41"/>
    </row>
    <row r="26998" spans="20:20" s="566" customFormat="1">
      <c r="T26998" s="41"/>
    </row>
    <row r="26999" spans="20:20" s="566" customFormat="1">
      <c r="T26999" s="41"/>
    </row>
    <row r="27000" spans="20:20" s="566" customFormat="1">
      <c r="T27000" s="41"/>
    </row>
    <row r="27001" spans="20:20" s="566" customFormat="1">
      <c r="T27001" s="41"/>
    </row>
    <row r="27002" spans="20:20" s="566" customFormat="1">
      <c r="T27002" s="41"/>
    </row>
    <row r="27003" spans="20:20" s="566" customFormat="1">
      <c r="T27003" s="41"/>
    </row>
    <row r="27004" spans="20:20" s="566" customFormat="1">
      <c r="T27004" s="41"/>
    </row>
    <row r="27005" spans="20:20" s="566" customFormat="1">
      <c r="T27005" s="41"/>
    </row>
    <row r="27006" spans="20:20" s="566" customFormat="1">
      <c r="T27006" s="41"/>
    </row>
    <row r="27007" spans="20:20" s="566" customFormat="1">
      <c r="T27007" s="41"/>
    </row>
    <row r="27008" spans="20:20" s="566" customFormat="1">
      <c r="T27008" s="41"/>
    </row>
    <row r="27009" spans="20:20" s="566" customFormat="1">
      <c r="T27009" s="41"/>
    </row>
    <row r="27010" spans="20:20" s="566" customFormat="1">
      <c r="T27010" s="41"/>
    </row>
    <row r="27011" spans="20:20" s="566" customFormat="1">
      <c r="T27011" s="41"/>
    </row>
    <row r="27012" spans="20:20" s="566" customFormat="1">
      <c r="T27012" s="41"/>
    </row>
    <row r="27013" spans="20:20" s="566" customFormat="1">
      <c r="T27013" s="41"/>
    </row>
    <row r="27014" spans="20:20" s="566" customFormat="1">
      <c r="T27014" s="41"/>
    </row>
    <row r="27015" spans="20:20" s="566" customFormat="1">
      <c r="T27015" s="41"/>
    </row>
    <row r="27016" spans="20:20" s="566" customFormat="1">
      <c r="T27016" s="41"/>
    </row>
    <row r="27017" spans="20:20" s="566" customFormat="1">
      <c r="T27017" s="41"/>
    </row>
    <row r="27018" spans="20:20" s="566" customFormat="1">
      <c r="T27018" s="41"/>
    </row>
    <row r="27019" spans="20:20" s="566" customFormat="1">
      <c r="T27019" s="41"/>
    </row>
    <row r="27020" spans="20:20" s="566" customFormat="1">
      <c r="T27020" s="41"/>
    </row>
    <row r="27021" spans="20:20" s="566" customFormat="1">
      <c r="T27021" s="41"/>
    </row>
    <row r="27022" spans="20:20" s="566" customFormat="1">
      <c r="T27022" s="41"/>
    </row>
    <row r="27023" spans="20:20" s="566" customFormat="1">
      <c r="T27023" s="41"/>
    </row>
    <row r="27024" spans="20:20" s="566" customFormat="1">
      <c r="T27024" s="41"/>
    </row>
    <row r="27025" spans="20:20" s="566" customFormat="1">
      <c r="T27025" s="41"/>
    </row>
    <row r="27026" spans="20:20" s="566" customFormat="1">
      <c r="T27026" s="41"/>
    </row>
    <row r="27027" spans="20:20" s="566" customFormat="1">
      <c r="T27027" s="41"/>
    </row>
    <row r="27028" spans="20:20" s="566" customFormat="1">
      <c r="T27028" s="41"/>
    </row>
    <row r="27029" spans="20:20" s="566" customFormat="1">
      <c r="T27029" s="41"/>
    </row>
    <row r="27030" spans="20:20" s="566" customFormat="1">
      <c r="T27030" s="41"/>
    </row>
    <row r="27031" spans="20:20" s="566" customFormat="1">
      <c r="T27031" s="41"/>
    </row>
    <row r="27032" spans="20:20" s="566" customFormat="1">
      <c r="T27032" s="41"/>
    </row>
    <row r="27033" spans="20:20" s="566" customFormat="1">
      <c r="T27033" s="41"/>
    </row>
    <row r="27034" spans="20:20" s="566" customFormat="1">
      <c r="T27034" s="41"/>
    </row>
    <row r="27035" spans="20:20" s="566" customFormat="1">
      <c r="T27035" s="41"/>
    </row>
    <row r="27036" spans="20:20" s="566" customFormat="1">
      <c r="T27036" s="41"/>
    </row>
    <row r="27037" spans="20:20" s="566" customFormat="1">
      <c r="T27037" s="41"/>
    </row>
    <row r="27038" spans="20:20" s="566" customFormat="1">
      <c r="T27038" s="41"/>
    </row>
    <row r="27039" spans="20:20" s="566" customFormat="1">
      <c r="T27039" s="41"/>
    </row>
    <row r="27040" spans="20:20" s="566" customFormat="1">
      <c r="T27040" s="41"/>
    </row>
    <row r="27041" spans="20:20" s="566" customFormat="1">
      <c r="T27041" s="41"/>
    </row>
    <row r="27042" spans="20:20" s="566" customFormat="1">
      <c r="T27042" s="41"/>
    </row>
    <row r="27043" spans="20:20" s="566" customFormat="1">
      <c r="T27043" s="41"/>
    </row>
    <row r="27044" spans="20:20" s="566" customFormat="1">
      <c r="T27044" s="41"/>
    </row>
    <row r="27045" spans="20:20" s="566" customFormat="1">
      <c r="T27045" s="41"/>
    </row>
    <row r="27046" spans="20:20" s="566" customFormat="1">
      <c r="T27046" s="41"/>
    </row>
    <row r="27047" spans="20:20" s="566" customFormat="1">
      <c r="T27047" s="41"/>
    </row>
    <row r="27048" spans="20:20" s="566" customFormat="1">
      <c r="T27048" s="41"/>
    </row>
    <row r="27049" spans="20:20" s="566" customFormat="1">
      <c r="T27049" s="41"/>
    </row>
    <row r="27050" spans="20:20" s="566" customFormat="1">
      <c r="T27050" s="41"/>
    </row>
    <row r="27051" spans="20:20" s="566" customFormat="1">
      <c r="T27051" s="41"/>
    </row>
    <row r="27052" spans="20:20" s="566" customFormat="1">
      <c r="T27052" s="41"/>
    </row>
    <row r="27053" spans="20:20" s="566" customFormat="1">
      <c r="T27053" s="41"/>
    </row>
    <row r="27054" spans="20:20" s="566" customFormat="1">
      <c r="T27054" s="41"/>
    </row>
    <row r="27055" spans="20:20" s="566" customFormat="1">
      <c r="T27055" s="41"/>
    </row>
    <row r="27056" spans="20:20" s="566" customFormat="1">
      <c r="T27056" s="41"/>
    </row>
    <row r="27057" spans="20:20" s="566" customFormat="1">
      <c r="T27057" s="41"/>
    </row>
    <row r="27058" spans="20:20" s="566" customFormat="1">
      <c r="T27058" s="41"/>
    </row>
    <row r="27059" spans="20:20" s="566" customFormat="1">
      <c r="T27059" s="41"/>
    </row>
    <row r="27060" spans="20:20" s="566" customFormat="1">
      <c r="T27060" s="41"/>
    </row>
    <row r="27061" spans="20:20" s="566" customFormat="1">
      <c r="T27061" s="41"/>
    </row>
    <row r="27062" spans="20:20" s="566" customFormat="1">
      <c r="T27062" s="41"/>
    </row>
    <row r="27063" spans="20:20" s="566" customFormat="1">
      <c r="T27063" s="41"/>
    </row>
    <row r="27064" spans="20:20" s="566" customFormat="1">
      <c r="T27064" s="41"/>
    </row>
    <row r="27065" spans="20:20" s="566" customFormat="1">
      <c r="T27065" s="41"/>
    </row>
    <row r="27066" spans="20:20" s="566" customFormat="1">
      <c r="T27066" s="41"/>
    </row>
    <row r="27067" spans="20:20" s="566" customFormat="1">
      <c r="T27067" s="41"/>
    </row>
    <row r="27068" spans="20:20" s="566" customFormat="1">
      <c r="T27068" s="41"/>
    </row>
    <row r="27069" spans="20:20" s="566" customFormat="1">
      <c r="T27069" s="41"/>
    </row>
    <row r="27070" spans="20:20" s="566" customFormat="1">
      <c r="T27070" s="41"/>
    </row>
    <row r="27071" spans="20:20" s="566" customFormat="1">
      <c r="T27071" s="41"/>
    </row>
    <row r="27072" spans="20:20" s="566" customFormat="1">
      <c r="T27072" s="41"/>
    </row>
    <row r="27073" spans="20:20" s="566" customFormat="1">
      <c r="T27073" s="41"/>
    </row>
    <row r="27074" spans="20:20" s="566" customFormat="1">
      <c r="T27074" s="41"/>
    </row>
    <row r="27075" spans="20:20" s="566" customFormat="1">
      <c r="T27075" s="41"/>
    </row>
    <row r="27076" spans="20:20" s="566" customFormat="1">
      <c r="T27076" s="41"/>
    </row>
    <row r="27077" spans="20:20" s="566" customFormat="1">
      <c r="T27077" s="41"/>
    </row>
    <row r="27078" spans="20:20" s="566" customFormat="1">
      <c r="T27078" s="41"/>
    </row>
    <row r="27079" spans="20:20" s="566" customFormat="1">
      <c r="T27079" s="41"/>
    </row>
    <row r="27080" spans="20:20" s="566" customFormat="1">
      <c r="T27080" s="41"/>
    </row>
    <row r="27081" spans="20:20" s="566" customFormat="1">
      <c r="T27081" s="41"/>
    </row>
    <row r="27082" spans="20:20" s="566" customFormat="1">
      <c r="T27082" s="41"/>
    </row>
    <row r="27083" spans="20:20" s="566" customFormat="1">
      <c r="T27083" s="41"/>
    </row>
    <row r="27084" spans="20:20" s="566" customFormat="1">
      <c r="T27084" s="41"/>
    </row>
    <row r="27085" spans="20:20" s="566" customFormat="1">
      <c r="T27085" s="41"/>
    </row>
    <row r="27086" spans="20:20" s="566" customFormat="1">
      <c r="T27086" s="41"/>
    </row>
    <row r="27087" spans="20:20" s="566" customFormat="1">
      <c r="T27087" s="41"/>
    </row>
    <row r="27088" spans="20:20" s="566" customFormat="1">
      <c r="T27088" s="41"/>
    </row>
    <row r="27089" spans="20:20" s="566" customFormat="1">
      <c r="T27089" s="41"/>
    </row>
    <row r="27090" spans="20:20" s="566" customFormat="1">
      <c r="T27090" s="41"/>
    </row>
    <row r="27091" spans="20:20" s="566" customFormat="1">
      <c r="T27091" s="41"/>
    </row>
    <row r="27092" spans="20:20" s="566" customFormat="1">
      <c r="T27092" s="41"/>
    </row>
    <row r="27093" spans="20:20" s="566" customFormat="1">
      <c r="T27093" s="41"/>
    </row>
    <row r="27094" spans="20:20" s="566" customFormat="1">
      <c r="T27094" s="41"/>
    </row>
    <row r="27095" spans="20:20" s="566" customFormat="1">
      <c r="T27095" s="41"/>
    </row>
    <row r="27096" spans="20:20" s="566" customFormat="1">
      <c r="T27096" s="41"/>
    </row>
    <row r="27097" spans="20:20" s="566" customFormat="1">
      <c r="T27097" s="41"/>
    </row>
    <row r="27098" spans="20:20" s="566" customFormat="1">
      <c r="T27098" s="41"/>
    </row>
    <row r="27099" spans="20:20" s="566" customFormat="1">
      <c r="T27099" s="41"/>
    </row>
    <row r="27100" spans="20:20" s="566" customFormat="1">
      <c r="T27100" s="41"/>
    </row>
    <row r="27101" spans="20:20" s="566" customFormat="1">
      <c r="T27101" s="41"/>
    </row>
    <row r="27102" spans="20:20" s="566" customFormat="1">
      <c r="T27102" s="41"/>
    </row>
    <row r="27103" spans="20:20" s="566" customFormat="1">
      <c r="T27103" s="41"/>
    </row>
    <row r="27104" spans="20:20" s="566" customFormat="1">
      <c r="T27104" s="41"/>
    </row>
    <row r="27105" spans="20:20" s="566" customFormat="1">
      <c r="T27105" s="41"/>
    </row>
    <row r="27106" spans="20:20" s="566" customFormat="1">
      <c r="T27106" s="41"/>
    </row>
    <row r="27107" spans="20:20" s="566" customFormat="1">
      <c r="T27107" s="41"/>
    </row>
    <row r="27108" spans="20:20" s="566" customFormat="1">
      <c r="T27108" s="41"/>
    </row>
    <row r="27109" spans="20:20" s="566" customFormat="1">
      <c r="T27109" s="41"/>
    </row>
    <row r="27110" spans="20:20" s="566" customFormat="1">
      <c r="T27110" s="41"/>
    </row>
    <row r="27111" spans="20:20" s="566" customFormat="1">
      <c r="T27111" s="41"/>
    </row>
    <row r="27112" spans="20:20" s="566" customFormat="1">
      <c r="T27112" s="41"/>
    </row>
    <row r="27113" spans="20:20" s="566" customFormat="1">
      <c r="T27113" s="41"/>
    </row>
    <row r="27114" spans="20:20" s="566" customFormat="1">
      <c r="T27114" s="41"/>
    </row>
    <row r="27115" spans="20:20" s="566" customFormat="1">
      <c r="T27115" s="41"/>
    </row>
    <row r="27116" spans="20:20" s="566" customFormat="1">
      <c r="T27116" s="41"/>
    </row>
    <row r="27117" spans="20:20" s="566" customFormat="1">
      <c r="T27117" s="41"/>
    </row>
    <row r="27118" spans="20:20" s="566" customFormat="1">
      <c r="T27118" s="41"/>
    </row>
    <row r="27119" spans="20:20" s="566" customFormat="1">
      <c r="T27119" s="41"/>
    </row>
    <row r="27120" spans="20:20" s="566" customFormat="1">
      <c r="T27120" s="41"/>
    </row>
    <row r="27121" spans="20:20" s="566" customFormat="1">
      <c r="T27121" s="41"/>
    </row>
    <row r="27122" spans="20:20" s="566" customFormat="1">
      <c r="T27122" s="41"/>
    </row>
    <row r="27123" spans="20:20" s="566" customFormat="1">
      <c r="T27123" s="41"/>
    </row>
    <row r="27124" spans="20:20" s="566" customFormat="1">
      <c r="T27124" s="41"/>
    </row>
    <row r="27125" spans="20:20" s="566" customFormat="1">
      <c r="T27125" s="41"/>
    </row>
    <row r="27126" spans="20:20" s="566" customFormat="1">
      <c r="T27126" s="41"/>
    </row>
    <row r="27127" spans="20:20" s="566" customFormat="1">
      <c r="T27127" s="41"/>
    </row>
    <row r="27128" spans="20:20" s="566" customFormat="1">
      <c r="T27128" s="41"/>
    </row>
    <row r="27129" spans="20:20" s="566" customFormat="1">
      <c r="T27129" s="41"/>
    </row>
    <row r="27130" spans="20:20" s="566" customFormat="1">
      <c r="T27130" s="41"/>
    </row>
    <row r="27131" spans="20:20" s="566" customFormat="1">
      <c r="T27131" s="41"/>
    </row>
    <row r="27132" spans="20:20" s="566" customFormat="1">
      <c r="T27132" s="41"/>
    </row>
    <row r="27133" spans="20:20" s="566" customFormat="1">
      <c r="T27133" s="41"/>
    </row>
    <row r="27134" spans="20:20" s="566" customFormat="1">
      <c r="T27134" s="41"/>
    </row>
    <row r="27135" spans="20:20" s="566" customFormat="1">
      <c r="T27135" s="41"/>
    </row>
    <row r="27136" spans="20:20" s="566" customFormat="1">
      <c r="T27136" s="41"/>
    </row>
    <row r="27137" spans="20:20" s="566" customFormat="1">
      <c r="T27137" s="41"/>
    </row>
    <row r="27138" spans="20:20" s="566" customFormat="1">
      <c r="T27138" s="41"/>
    </row>
    <row r="27139" spans="20:20" s="566" customFormat="1">
      <c r="T27139" s="41"/>
    </row>
    <row r="27140" spans="20:20" s="566" customFormat="1">
      <c r="T27140" s="41"/>
    </row>
    <row r="27141" spans="20:20" s="566" customFormat="1">
      <c r="T27141" s="41"/>
    </row>
    <row r="27142" spans="20:20" s="566" customFormat="1">
      <c r="T27142" s="41"/>
    </row>
    <row r="27143" spans="20:20" s="566" customFormat="1">
      <c r="T27143" s="41"/>
    </row>
    <row r="27144" spans="20:20" s="566" customFormat="1">
      <c r="T27144" s="41"/>
    </row>
    <row r="27145" spans="20:20" s="566" customFormat="1">
      <c r="T27145" s="41"/>
    </row>
    <row r="27146" spans="20:20" s="566" customFormat="1">
      <c r="T27146" s="41"/>
    </row>
    <row r="27147" spans="20:20" s="566" customFormat="1">
      <c r="T27147" s="41"/>
    </row>
    <row r="27148" spans="20:20" s="566" customFormat="1">
      <c r="T27148" s="41"/>
    </row>
    <row r="27149" spans="20:20" s="566" customFormat="1">
      <c r="T27149" s="41"/>
    </row>
    <row r="27150" spans="20:20" s="566" customFormat="1">
      <c r="T27150" s="41"/>
    </row>
    <row r="27151" spans="20:20" s="566" customFormat="1">
      <c r="T27151" s="41"/>
    </row>
    <row r="27152" spans="20:20" s="566" customFormat="1">
      <c r="T27152" s="41"/>
    </row>
    <row r="27153" spans="20:20" s="566" customFormat="1">
      <c r="T27153" s="41"/>
    </row>
    <row r="27154" spans="20:20" s="566" customFormat="1">
      <c r="T27154" s="41"/>
    </row>
    <row r="27155" spans="20:20" s="566" customFormat="1">
      <c r="T27155" s="41"/>
    </row>
    <row r="27156" spans="20:20" s="566" customFormat="1">
      <c r="T27156" s="41"/>
    </row>
    <row r="27157" spans="20:20" s="566" customFormat="1">
      <c r="T27157" s="41"/>
    </row>
    <row r="27158" spans="20:20" s="566" customFormat="1">
      <c r="T27158" s="41"/>
    </row>
    <row r="27159" spans="20:20" s="566" customFormat="1">
      <c r="T27159" s="41"/>
    </row>
    <row r="27160" spans="20:20" s="566" customFormat="1">
      <c r="T27160" s="41"/>
    </row>
    <row r="27161" spans="20:20" s="566" customFormat="1">
      <c r="T27161" s="41"/>
    </row>
    <row r="27162" spans="20:20" s="566" customFormat="1">
      <c r="T27162" s="41"/>
    </row>
    <row r="27163" spans="20:20" s="566" customFormat="1">
      <c r="T27163" s="41"/>
    </row>
    <row r="27164" spans="20:20" s="566" customFormat="1">
      <c r="T27164" s="41"/>
    </row>
    <row r="27165" spans="20:20" s="566" customFormat="1">
      <c r="T27165" s="41"/>
    </row>
    <row r="27166" spans="20:20" s="566" customFormat="1">
      <c r="T27166" s="41"/>
    </row>
    <row r="27167" spans="20:20" s="566" customFormat="1">
      <c r="T27167" s="41"/>
    </row>
    <row r="27168" spans="20:20" s="566" customFormat="1">
      <c r="T27168" s="41"/>
    </row>
    <row r="27169" spans="20:20" s="566" customFormat="1">
      <c r="T27169" s="41"/>
    </row>
    <row r="27170" spans="20:20" s="566" customFormat="1">
      <c r="T27170" s="41"/>
    </row>
    <row r="27171" spans="20:20" s="566" customFormat="1">
      <c r="T27171" s="41"/>
    </row>
    <row r="27172" spans="20:20" s="566" customFormat="1">
      <c r="T27172" s="41"/>
    </row>
    <row r="27173" spans="20:20" s="566" customFormat="1">
      <c r="T27173" s="41"/>
    </row>
    <row r="27174" spans="20:20" s="566" customFormat="1">
      <c r="T27174" s="41"/>
    </row>
    <row r="27175" spans="20:20" s="566" customFormat="1">
      <c r="T27175" s="41"/>
    </row>
    <row r="27176" spans="20:20" s="566" customFormat="1">
      <c r="T27176" s="41"/>
    </row>
    <row r="27177" spans="20:20" s="566" customFormat="1">
      <c r="T27177" s="41"/>
    </row>
    <row r="27178" spans="20:20" s="566" customFormat="1">
      <c r="T27178" s="41"/>
    </row>
    <row r="27179" spans="20:20" s="566" customFormat="1">
      <c r="T27179" s="41"/>
    </row>
    <row r="27180" spans="20:20" s="566" customFormat="1">
      <c r="T27180" s="41"/>
    </row>
    <row r="27181" spans="20:20" s="566" customFormat="1">
      <c r="T27181" s="41"/>
    </row>
    <row r="27182" spans="20:20" s="566" customFormat="1">
      <c r="T27182" s="41"/>
    </row>
    <row r="27183" spans="20:20" s="566" customFormat="1">
      <c r="T27183" s="41"/>
    </row>
    <row r="27184" spans="20:20" s="566" customFormat="1">
      <c r="T27184" s="41"/>
    </row>
    <row r="27185" spans="20:20" s="566" customFormat="1">
      <c r="T27185" s="41"/>
    </row>
    <row r="27186" spans="20:20" s="566" customFormat="1">
      <c r="T27186" s="41"/>
    </row>
    <row r="27187" spans="20:20" s="566" customFormat="1">
      <c r="T27187" s="41"/>
    </row>
    <row r="27188" spans="20:20" s="566" customFormat="1">
      <c r="T27188" s="41"/>
    </row>
    <row r="27189" spans="20:20" s="566" customFormat="1">
      <c r="T27189" s="41"/>
    </row>
    <row r="27190" spans="20:20" s="566" customFormat="1">
      <c r="T27190" s="41"/>
    </row>
    <row r="27191" spans="20:20" s="566" customFormat="1">
      <c r="T27191" s="41"/>
    </row>
    <row r="27192" spans="20:20" s="566" customFormat="1">
      <c r="T27192" s="41"/>
    </row>
    <row r="27193" spans="20:20" s="566" customFormat="1">
      <c r="T27193" s="41"/>
    </row>
    <row r="27194" spans="20:20" s="566" customFormat="1">
      <c r="T27194" s="41"/>
    </row>
    <row r="27195" spans="20:20" s="566" customFormat="1">
      <c r="T27195" s="41"/>
    </row>
    <row r="27196" spans="20:20" s="566" customFormat="1">
      <c r="T27196" s="41"/>
    </row>
    <row r="27197" spans="20:20" s="566" customFormat="1">
      <c r="T27197" s="41"/>
    </row>
    <row r="27198" spans="20:20" s="566" customFormat="1">
      <c r="T27198" s="41"/>
    </row>
    <row r="27199" spans="20:20" s="566" customFormat="1">
      <c r="T27199" s="41"/>
    </row>
    <row r="27200" spans="20:20" s="566" customFormat="1">
      <c r="T27200" s="41"/>
    </row>
    <row r="27201" spans="20:20" s="566" customFormat="1">
      <c r="T27201" s="41"/>
    </row>
    <row r="27202" spans="20:20" s="566" customFormat="1">
      <c r="T27202" s="41"/>
    </row>
    <row r="27203" spans="20:20" s="566" customFormat="1">
      <c r="T27203" s="41"/>
    </row>
    <row r="27204" spans="20:20" s="566" customFormat="1">
      <c r="T27204" s="41"/>
    </row>
    <row r="27205" spans="20:20" s="566" customFormat="1">
      <c r="T27205" s="41"/>
    </row>
    <row r="27206" spans="20:20" s="566" customFormat="1">
      <c r="T27206" s="41"/>
    </row>
    <row r="27207" spans="20:20" s="566" customFormat="1">
      <c r="T27207" s="41"/>
    </row>
    <row r="27208" spans="20:20" s="566" customFormat="1">
      <c r="T27208" s="41"/>
    </row>
    <row r="27209" spans="20:20" s="566" customFormat="1">
      <c r="T27209" s="41"/>
    </row>
    <row r="27210" spans="20:20" s="566" customFormat="1">
      <c r="T27210" s="41"/>
    </row>
    <row r="27211" spans="20:20" s="566" customFormat="1">
      <c r="T27211" s="41"/>
    </row>
    <row r="27212" spans="20:20" s="566" customFormat="1">
      <c r="T27212" s="41"/>
    </row>
    <row r="27213" spans="20:20" s="566" customFormat="1">
      <c r="T27213" s="41"/>
    </row>
    <row r="27214" spans="20:20" s="566" customFormat="1">
      <c r="T27214" s="41"/>
    </row>
    <row r="27215" spans="20:20" s="566" customFormat="1">
      <c r="T27215" s="41"/>
    </row>
    <row r="27216" spans="20:20" s="566" customFormat="1">
      <c r="T27216" s="41"/>
    </row>
    <row r="27217" spans="20:20" s="566" customFormat="1">
      <c r="T27217" s="41"/>
    </row>
    <row r="27218" spans="20:20" s="566" customFormat="1">
      <c r="T27218" s="41"/>
    </row>
    <row r="27219" spans="20:20" s="566" customFormat="1">
      <c r="T27219" s="41"/>
    </row>
    <row r="27220" spans="20:20" s="566" customFormat="1">
      <c r="T27220" s="41"/>
    </row>
    <row r="27221" spans="20:20" s="566" customFormat="1">
      <c r="T27221" s="41"/>
    </row>
    <row r="27222" spans="20:20" s="566" customFormat="1">
      <c r="T27222" s="41"/>
    </row>
    <row r="27223" spans="20:20" s="566" customFormat="1">
      <c r="T27223" s="41"/>
    </row>
    <row r="27224" spans="20:20" s="566" customFormat="1">
      <c r="T27224" s="41"/>
    </row>
    <row r="27225" spans="20:20" s="566" customFormat="1">
      <c r="T27225" s="41"/>
    </row>
    <row r="27226" spans="20:20" s="566" customFormat="1">
      <c r="T27226" s="41"/>
    </row>
    <row r="27227" spans="20:20" s="566" customFormat="1">
      <c r="T27227" s="41"/>
    </row>
    <row r="27228" spans="20:20" s="566" customFormat="1">
      <c r="T27228" s="41"/>
    </row>
    <row r="27229" spans="20:20" s="566" customFormat="1">
      <c r="T27229" s="41"/>
    </row>
    <row r="27230" spans="20:20" s="566" customFormat="1">
      <c r="T27230" s="41"/>
    </row>
    <row r="27231" spans="20:20" s="566" customFormat="1">
      <c r="T27231" s="41"/>
    </row>
    <row r="27232" spans="20:20" s="566" customFormat="1">
      <c r="T27232" s="41"/>
    </row>
    <row r="27233" spans="20:20" s="566" customFormat="1">
      <c r="T27233" s="41"/>
    </row>
    <row r="27234" spans="20:20" s="566" customFormat="1">
      <c r="T27234" s="41"/>
    </row>
    <row r="27235" spans="20:20" s="566" customFormat="1">
      <c r="T27235" s="41"/>
    </row>
    <row r="27236" spans="20:20" s="566" customFormat="1">
      <c r="T27236" s="41"/>
    </row>
    <row r="27237" spans="20:20" s="566" customFormat="1">
      <c r="T27237" s="41"/>
    </row>
    <row r="27238" spans="20:20" s="566" customFormat="1">
      <c r="T27238" s="41"/>
    </row>
    <row r="27239" spans="20:20" s="566" customFormat="1">
      <c r="T27239" s="41"/>
    </row>
    <row r="27240" spans="20:20" s="566" customFormat="1">
      <c r="T27240" s="41"/>
    </row>
    <row r="27241" spans="20:20" s="566" customFormat="1">
      <c r="T27241" s="41"/>
    </row>
    <row r="27242" spans="20:20" s="566" customFormat="1">
      <c r="T27242" s="41"/>
    </row>
    <row r="27243" spans="20:20" s="566" customFormat="1">
      <c r="T27243" s="41"/>
    </row>
    <row r="27244" spans="20:20" s="566" customFormat="1">
      <c r="T27244" s="41"/>
    </row>
    <row r="27245" spans="20:20" s="566" customFormat="1">
      <c r="T27245" s="41"/>
    </row>
    <row r="27246" spans="20:20" s="566" customFormat="1">
      <c r="T27246" s="41"/>
    </row>
    <row r="27247" spans="20:20" s="566" customFormat="1">
      <c r="T27247" s="41"/>
    </row>
    <row r="27248" spans="20:20" s="566" customFormat="1">
      <c r="T27248" s="41"/>
    </row>
    <row r="27249" spans="20:20" s="566" customFormat="1">
      <c r="T27249" s="41"/>
    </row>
    <row r="27250" spans="20:20" s="566" customFormat="1">
      <c r="T27250" s="41"/>
    </row>
    <row r="27251" spans="20:20" s="566" customFormat="1">
      <c r="T27251" s="41"/>
    </row>
    <row r="27252" spans="20:20" s="566" customFormat="1">
      <c r="T27252" s="41"/>
    </row>
    <row r="27253" spans="20:20" s="566" customFormat="1">
      <c r="T27253" s="41"/>
    </row>
    <row r="27254" spans="20:20" s="566" customFormat="1">
      <c r="T27254" s="41"/>
    </row>
    <row r="27255" spans="20:20" s="566" customFormat="1">
      <c r="T27255" s="41"/>
    </row>
    <row r="27256" spans="20:20" s="566" customFormat="1">
      <c r="T27256" s="41"/>
    </row>
    <row r="27257" spans="20:20" s="566" customFormat="1">
      <c r="T27257" s="41"/>
    </row>
    <row r="27258" spans="20:20" s="566" customFormat="1">
      <c r="T27258" s="41"/>
    </row>
    <row r="27259" spans="20:20" s="566" customFormat="1">
      <c r="T27259" s="41"/>
    </row>
    <row r="27260" spans="20:20" s="566" customFormat="1">
      <c r="T27260" s="41"/>
    </row>
    <row r="27261" spans="20:20" s="566" customFormat="1">
      <c r="T27261" s="41"/>
    </row>
    <row r="27262" spans="20:20" s="566" customFormat="1">
      <c r="T27262" s="41"/>
    </row>
    <row r="27263" spans="20:20" s="566" customFormat="1">
      <c r="T27263" s="41"/>
    </row>
    <row r="27264" spans="20:20" s="566" customFormat="1">
      <c r="T27264" s="41"/>
    </row>
    <row r="27265" spans="20:20" s="566" customFormat="1">
      <c r="T27265" s="41"/>
    </row>
    <row r="27266" spans="20:20" s="566" customFormat="1">
      <c r="T27266" s="41"/>
    </row>
    <row r="27267" spans="20:20" s="566" customFormat="1">
      <c r="T27267" s="41"/>
    </row>
    <row r="27268" spans="20:20" s="566" customFormat="1">
      <c r="T27268" s="41"/>
    </row>
    <row r="27269" spans="20:20" s="566" customFormat="1">
      <c r="T27269" s="41"/>
    </row>
    <row r="27270" spans="20:20" s="566" customFormat="1">
      <c r="T27270" s="41"/>
    </row>
    <row r="27271" spans="20:20" s="566" customFormat="1">
      <c r="T27271" s="41"/>
    </row>
    <row r="27272" spans="20:20" s="566" customFormat="1">
      <c r="T27272" s="41"/>
    </row>
    <row r="27273" spans="20:20" s="566" customFormat="1">
      <c r="T27273" s="41"/>
    </row>
    <row r="27274" spans="20:20" s="566" customFormat="1">
      <c r="T27274" s="41"/>
    </row>
    <row r="27275" spans="20:20" s="566" customFormat="1">
      <c r="T27275" s="41"/>
    </row>
    <row r="27276" spans="20:20" s="566" customFormat="1">
      <c r="T27276" s="41"/>
    </row>
    <row r="27277" spans="20:20" s="566" customFormat="1">
      <c r="T27277" s="41"/>
    </row>
    <row r="27278" spans="20:20" s="566" customFormat="1">
      <c r="T27278" s="41"/>
    </row>
    <row r="27279" spans="20:20" s="566" customFormat="1">
      <c r="T27279" s="41"/>
    </row>
    <row r="27280" spans="20:20" s="566" customFormat="1">
      <c r="T27280" s="41"/>
    </row>
    <row r="27281" spans="20:20" s="566" customFormat="1">
      <c r="T27281" s="41"/>
    </row>
    <row r="27282" spans="20:20" s="566" customFormat="1">
      <c r="T27282" s="41"/>
    </row>
    <row r="27283" spans="20:20" s="566" customFormat="1">
      <c r="T27283" s="41"/>
    </row>
    <row r="27284" spans="20:20" s="566" customFormat="1">
      <c r="T27284" s="41"/>
    </row>
    <row r="27285" spans="20:20" s="566" customFormat="1">
      <c r="T27285" s="41"/>
    </row>
    <row r="27286" spans="20:20" s="566" customFormat="1">
      <c r="T27286" s="41"/>
    </row>
    <row r="27287" spans="20:20" s="566" customFormat="1">
      <c r="T27287" s="41"/>
    </row>
    <row r="27288" spans="20:20" s="566" customFormat="1">
      <c r="T27288" s="41"/>
    </row>
    <row r="27289" spans="20:20" s="566" customFormat="1">
      <c r="T27289" s="41"/>
    </row>
    <row r="27290" spans="20:20" s="566" customFormat="1">
      <c r="T27290" s="41"/>
    </row>
    <row r="27291" spans="20:20" s="566" customFormat="1">
      <c r="T27291" s="41"/>
    </row>
    <row r="27292" spans="20:20" s="566" customFormat="1">
      <c r="T27292" s="41"/>
    </row>
    <row r="27293" spans="20:20" s="566" customFormat="1">
      <c r="T27293" s="41"/>
    </row>
    <row r="27294" spans="20:20" s="566" customFormat="1">
      <c r="T27294" s="41"/>
    </row>
    <row r="27295" spans="20:20" s="566" customFormat="1">
      <c r="T27295" s="41"/>
    </row>
    <row r="27296" spans="20:20" s="566" customFormat="1">
      <c r="T27296" s="41"/>
    </row>
    <row r="27297" spans="20:20" s="566" customFormat="1">
      <c r="T27297" s="41"/>
    </row>
    <row r="27298" spans="20:20" s="566" customFormat="1">
      <c r="T27298" s="41"/>
    </row>
    <row r="27299" spans="20:20" s="566" customFormat="1">
      <c r="T27299" s="41"/>
    </row>
    <row r="27300" spans="20:20" s="566" customFormat="1">
      <c r="T27300" s="41"/>
    </row>
    <row r="27301" spans="20:20" s="566" customFormat="1">
      <c r="T27301" s="41"/>
    </row>
    <row r="27302" spans="20:20" s="566" customFormat="1">
      <c r="T27302" s="41"/>
    </row>
    <row r="27303" spans="20:20" s="566" customFormat="1">
      <c r="T27303" s="41"/>
    </row>
    <row r="27304" spans="20:20" s="566" customFormat="1">
      <c r="T27304" s="41"/>
    </row>
    <row r="27305" spans="20:20" s="566" customFormat="1">
      <c r="T27305" s="41"/>
    </row>
    <row r="27306" spans="20:20" s="566" customFormat="1">
      <c r="T27306" s="41"/>
    </row>
    <row r="27307" spans="20:20" s="566" customFormat="1">
      <c r="T27307" s="41"/>
    </row>
    <row r="27308" spans="20:20" s="566" customFormat="1">
      <c r="T27308" s="41"/>
    </row>
    <row r="27309" spans="20:20" s="566" customFormat="1">
      <c r="T27309" s="41"/>
    </row>
    <row r="27310" spans="20:20" s="566" customFormat="1">
      <c r="T27310" s="41"/>
    </row>
    <row r="27311" spans="20:20" s="566" customFormat="1">
      <c r="T27311" s="41"/>
    </row>
    <row r="27312" spans="20:20" s="566" customFormat="1">
      <c r="T27312" s="41"/>
    </row>
    <row r="27313" spans="20:20" s="566" customFormat="1">
      <c r="T27313" s="41"/>
    </row>
    <row r="27314" spans="20:20" s="566" customFormat="1">
      <c r="T27314" s="41"/>
    </row>
    <row r="27315" spans="20:20" s="566" customFormat="1">
      <c r="T27315" s="41"/>
    </row>
    <row r="27316" spans="20:20" s="566" customFormat="1">
      <c r="T27316" s="41"/>
    </row>
    <row r="27317" spans="20:20" s="566" customFormat="1">
      <c r="T27317" s="41"/>
    </row>
    <row r="27318" spans="20:20" s="566" customFormat="1">
      <c r="T27318" s="41"/>
    </row>
    <row r="27319" spans="20:20" s="566" customFormat="1">
      <c r="T27319" s="41"/>
    </row>
    <row r="27320" spans="20:20" s="566" customFormat="1">
      <c r="T27320" s="41"/>
    </row>
    <row r="27321" spans="20:20" s="566" customFormat="1">
      <c r="T27321" s="41"/>
    </row>
    <row r="27322" spans="20:20" s="566" customFormat="1">
      <c r="T27322" s="41"/>
    </row>
    <row r="27323" spans="20:20" s="566" customFormat="1">
      <c r="T27323" s="41"/>
    </row>
    <row r="27324" spans="20:20" s="566" customFormat="1">
      <c r="T27324" s="41"/>
    </row>
    <row r="27325" spans="20:20" s="566" customFormat="1">
      <c r="T27325" s="41"/>
    </row>
    <row r="27326" spans="20:20" s="566" customFormat="1">
      <c r="T27326" s="41"/>
    </row>
    <row r="27327" spans="20:20" s="566" customFormat="1">
      <c r="T27327" s="41"/>
    </row>
    <row r="27328" spans="20:20" s="566" customFormat="1">
      <c r="T27328" s="41"/>
    </row>
    <row r="27329" spans="20:20" s="566" customFormat="1">
      <c r="T27329" s="41"/>
    </row>
    <row r="27330" spans="20:20" s="566" customFormat="1">
      <c r="T27330" s="41"/>
    </row>
    <row r="27331" spans="20:20" s="566" customFormat="1">
      <c r="T27331" s="41"/>
    </row>
    <row r="27332" spans="20:20" s="566" customFormat="1">
      <c r="T27332" s="41"/>
    </row>
    <row r="27333" spans="20:20" s="566" customFormat="1">
      <c r="T27333" s="41"/>
    </row>
    <row r="27334" spans="20:20" s="566" customFormat="1">
      <c r="T27334" s="41"/>
    </row>
    <row r="27335" spans="20:20" s="566" customFormat="1">
      <c r="T27335" s="41"/>
    </row>
    <row r="27336" spans="20:20" s="566" customFormat="1">
      <c r="T27336" s="41"/>
    </row>
    <row r="27337" spans="20:20" s="566" customFormat="1">
      <c r="T27337" s="41"/>
    </row>
    <row r="27338" spans="20:20" s="566" customFormat="1">
      <c r="T27338" s="41"/>
    </row>
    <row r="27339" spans="20:20" s="566" customFormat="1">
      <c r="T27339" s="41"/>
    </row>
    <row r="27340" spans="20:20" s="566" customFormat="1">
      <c r="T27340" s="41"/>
    </row>
    <row r="27341" spans="20:20" s="566" customFormat="1">
      <c r="T27341" s="41"/>
    </row>
    <row r="27342" spans="20:20" s="566" customFormat="1">
      <c r="T27342" s="41"/>
    </row>
    <row r="27343" spans="20:20" s="566" customFormat="1">
      <c r="T27343" s="41"/>
    </row>
    <row r="27344" spans="20:20" s="566" customFormat="1">
      <c r="T27344" s="41"/>
    </row>
    <row r="27345" spans="20:20" s="566" customFormat="1">
      <c r="T27345" s="41"/>
    </row>
    <row r="27346" spans="20:20" s="566" customFormat="1">
      <c r="T27346" s="41"/>
    </row>
    <row r="27347" spans="20:20" s="566" customFormat="1">
      <c r="T27347" s="41"/>
    </row>
    <row r="27348" spans="20:20" s="566" customFormat="1">
      <c r="T27348" s="41"/>
    </row>
    <row r="27349" spans="20:20" s="566" customFormat="1">
      <c r="T27349" s="41"/>
    </row>
    <row r="27350" spans="20:20" s="566" customFormat="1">
      <c r="T27350" s="41"/>
    </row>
    <row r="27351" spans="20:20" s="566" customFormat="1">
      <c r="T27351" s="41"/>
    </row>
    <row r="27352" spans="20:20" s="566" customFormat="1">
      <c r="T27352" s="41"/>
    </row>
    <row r="27353" spans="20:20" s="566" customFormat="1">
      <c r="T27353" s="41"/>
    </row>
    <row r="27354" spans="20:20" s="566" customFormat="1">
      <c r="T27354" s="41"/>
    </row>
    <row r="27355" spans="20:20" s="566" customFormat="1">
      <c r="T27355" s="41"/>
    </row>
    <row r="27356" spans="20:20" s="566" customFormat="1">
      <c r="T27356" s="41"/>
    </row>
    <row r="27357" spans="20:20" s="566" customFormat="1">
      <c r="T27357" s="41"/>
    </row>
    <row r="27358" spans="20:20" s="566" customFormat="1">
      <c r="T27358" s="41"/>
    </row>
    <row r="27359" spans="20:20" s="566" customFormat="1">
      <c r="T27359" s="41"/>
    </row>
    <row r="27360" spans="20:20" s="566" customFormat="1">
      <c r="T27360" s="41"/>
    </row>
    <row r="27361" spans="20:20" s="566" customFormat="1">
      <c r="T27361" s="41"/>
    </row>
    <row r="27362" spans="20:20" s="566" customFormat="1">
      <c r="T27362" s="41"/>
    </row>
    <row r="27363" spans="20:20" s="566" customFormat="1">
      <c r="T27363" s="41"/>
    </row>
    <row r="27364" spans="20:20" s="566" customFormat="1">
      <c r="T27364" s="41"/>
    </row>
    <row r="27365" spans="20:20" s="566" customFormat="1">
      <c r="T27365" s="41"/>
    </row>
    <row r="27366" spans="20:20" s="566" customFormat="1">
      <c r="T27366" s="41"/>
    </row>
    <row r="27367" spans="20:20" s="566" customFormat="1">
      <c r="T27367" s="41"/>
    </row>
    <row r="27368" spans="20:20" s="566" customFormat="1">
      <c r="T27368" s="41"/>
    </row>
    <row r="27369" spans="20:20" s="566" customFormat="1">
      <c r="T27369" s="41"/>
    </row>
    <row r="27370" spans="20:20" s="566" customFormat="1">
      <c r="T27370" s="41"/>
    </row>
    <row r="27371" spans="20:20" s="566" customFormat="1">
      <c r="T27371" s="41"/>
    </row>
    <row r="27372" spans="20:20" s="566" customFormat="1">
      <c r="T27372" s="41"/>
    </row>
    <row r="27373" spans="20:20" s="566" customFormat="1">
      <c r="T27373" s="41"/>
    </row>
    <row r="27374" spans="20:20" s="566" customFormat="1">
      <c r="T27374" s="41"/>
    </row>
    <row r="27375" spans="20:20" s="566" customFormat="1">
      <c r="T27375" s="41"/>
    </row>
    <row r="27376" spans="20:20" s="566" customFormat="1">
      <c r="T27376" s="41"/>
    </row>
    <row r="27377" spans="20:20" s="566" customFormat="1">
      <c r="T27377" s="41"/>
    </row>
    <row r="27378" spans="20:20" s="566" customFormat="1">
      <c r="T27378" s="41"/>
    </row>
    <row r="27379" spans="20:20" s="566" customFormat="1">
      <c r="T27379" s="41"/>
    </row>
    <row r="27380" spans="20:20" s="566" customFormat="1">
      <c r="T27380" s="41"/>
    </row>
    <row r="27381" spans="20:20" s="566" customFormat="1">
      <c r="T27381" s="41"/>
    </row>
    <row r="27382" spans="20:20" s="566" customFormat="1">
      <c r="T27382" s="41"/>
    </row>
    <row r="27383" spans="20:20" s="566" customFormat="1">
      <c r="T27383" s="41"/>
    </row>
    <row r="27384" spans="20:20" s="566" customFormat="1">
      <c r="T27384" s="41"/>
    </row>
    <row r="27385" spans="20:20" s="566" customFormat="1">
      <c r="T27385" s="41"/>
    </row>
    <row r="27386" spans="20:20" s="566" customFormat="1">
      <c r="T27386" s="41"/>
    </row>
    <row r="27387" spans="20:20" s="566" customFormat="1">
      <c r="T27387" s="41"/>
    </row>
    <row r="27388" spans="20:20" s="566" customFormat="1">
      <c r="T27388" s="41"/>
    </row>
    <row r="27389" spans="20:20" s="566" customFormat="1">
      <c r="T27389" s="41"/>
    </row>
    <row r="27390" spans="20:20" s="566" customFormat="1">
      <c r="T27390" s="41"/>
    </row>
    <row r="27391" spans="20:20" s="566" customFormat="1">
      <c r="T27391" s="41"/>
    </row>
    <row r="27392" spans="20:20" s="566" customFormat="1">
      <c r="T27392" s="41"/>
    </row>
    <row r="27393" spans="20:20" s="566" customFormat="1">
      <c r="T27393" s="41"/>
    </row>
    <row r="27394" spans="20:20" s="566" customFormat="1">
      <c r="T27394" s="41"/>
    </row>
    <row r="27395" spans="20:20" s="566" customFormat="1">
      <c r="T27395" s="41"/>
    </row>
    <row r="27396" spans="20:20" s="566" customFormat="1">
      <c r="T27396" s="41"/>
    </row>
    <row r="27397" spans="20:20" s="566" customFormat="1">
      <c r="T27397" s="41"/>
    </row>
    <row r="27398" spans="20:20" s="566" customFormat="1">
      <c r="T27398" s="41"/>
    </row>
    <row r="27399" spans="20:20" s="566" customFormat="1">
      <c r="T27399" s="41"/>
    </row>
    <row r="27400" spans="20:20" s="566" customFormat="1">
      <c r="T27400" s="41"/>
    </row>
    <row r="27401" spans="20:20" s="566" customFormat="1">
      <c r="T27401" s="41"/>
    </row>
    <row r="27402" spans="20:20" s="566" customFormat="1">
      <c r="T27402" s="41"/>
    </row>
    <row r="27403" spans="20:20" s="566" customFormat="1">
      <c r="T27403" s="41"/>
    </row>
    <row r="27404" spans="20:20" s="566" customFormat="1">
      <c r="T27404" s="41"/>
    </row>
    <row r="27405" spans="20:20" s="566" customFormat="1">
      <c r="T27405" s="41"/>
    </row>
    <row r="27406" spans="20:20" s="566" customFormat="1">
      <c r="T27406" s="41"/>
    </row>
    <row r="27407" spans="20:20" s="566" customFormat="1">
      <c r="T27407" s="41"/>
    </row>
    <row r="27408" spans="20:20" s="566" customFormat="1">
      <c r="T27408" s="41"/>
    </row>
    <row r="27409" spans="20:20" s="566" customFormat="1">
      <c r="T27409" s="41"/>
    </row>
    <row r="27410" spans="20:20" s="566" customFormat="1">
      <c r="T27410" s="41"/>
    </row>
    <row r="27411" spans="20:20" s="566" customFormat="1">
      <c r="T27411" s="41"/>
    </row>
    <row r="27412" spans="20:20" s="566" customFormat="1">
      <c r="T27412" s="41"/>
    </row>
    <row r="27413" spans="20:20" s="566" customFormat="1">
      <c r="T27413" s="41"/>
    </row>
    <row r="27414" spans="20:20" s="566" customFormat="1">
      <c r="T27414" s="41"/>
    </row>
    <row r="27415" spans="20:20" s="566" customFormat="1">
      <c r="T27415" s="41"/>
    </row>
    <row r="27416" spans="20:20" s="566" customFormat="1">
      <c r="T27416" s="41"/>
    </row>
    <row r="27417" spans="20:20" s="566" customFormat="1">
      <c r="T27417" s="41"/>
    </row>
    <row r="27418" spans="20:20" s="566" customFormat="1">
      <c r="T27418" s="41"/>
    </row>
    <row r="27419" spans="20:20" s="566" customFormat="1">
      <c r="T27419" s="41"/>
    </row>
    <row r="27420" spans="20:20" s="566" customFormat="1">
      <c r="T27420" s="41"/>
    </row>
    <row r="27421" spans="20:20" s="566" customFormat="1">
      <c r="T27421" s="41"/>
    </row>
    <row r="27422" spans="20:20" s="566" customFormat="1">
      <c r="T27422" s="41"/>
    </row>
    <row r="27423" spans="20:20" s="566" customFormat="1">
      <c r="T27423" s="41"/>
    </row>
    <row r="27424" spans="20:20" s="566" customFormat="1">
      <c r="T27424" s="41"/>
    </row>
    <row r="27425" spans="20:20" s="566" customFormat="1">
      <c r="T27425" s="41"/>
    </row>
    <row r="27426" spans="20:20" s="566" customFormat="1">
      <c r="T27426" s="41"/>
    </row>
    <row r="27427" spans="20:20" s="566" customFormat="1">
      <c r="T27427" s="41"/>
    </row>
    <row r="27428" spans="20:20" s="566" customFormat="1">
      <c r="T27428" s="41"/>
    </row>
    <row r="27429" spans="20:20" s="566" customFormat="1">
      <c r="T27429" s="41"/>
    </row>
    <row r="27430" spans="20:20" s="566" customFormat="1">
      <c r="T27430" s="41"/>
    </row>
    <row r="27431" spans="20:20" s="566" customFormat="1">
      <c r="T27431" s="41"/>
    </row>
    <row r="27432" spans="20:20" s="566" customFormat="1">
      <c r="T27432" s="41"/>
    </row>
    <row r="27433" spans="20:20" s="566" customFormat="1">
      <c r="T27433" s="41"/>
    </row>
    <row r="27434" spans="20:20" s="566" customFormat="1">
      <c r="T27434" s="41"/>
    </row>
    <row r="27435" spans="20:20" s="566" customFormat="1">
      <c r="T27435" s="41"/>
    </row>
    <row r="27436" spans="20:20" s="566" customFormat="1">
      <c r="T27436" s="41"/>
    </row>
    <row r="27437" spans="20:20" s="566" customFormat="1">
      <c r="T27437" s="41"/>
    </row>
    <row r="27438" spans="20:20" s="566" customFormat="1">
      <c r="T27438" s="41"/>
    </row>
    <row r="27439" spans="20:20" s="566" customFormat="1">
      <c r="T27439" s="41"/>
    </row>
    <row r="27440" spans="20:20" s="566" customFormat="1">
      <c r="T27440" s="41"/>
    </row>
    <row r="27441" spans="20:20" s="566" customFormat="1">
      <c r="T27441" s="41"/>
    </row>
    <row r="27442" spans="20:20" s="566" customFormat="1">
      <c r="T27442" s="41"/>
    </row>
    <row r="27443" spans="20:20" s="566" customFormat="1">
      <c r="T27443" s="41"/>
    </row>
    <row r="27444" spans="20:20" s="566" customFormat="1">
      <c r="T27444" s="41"/>
    </row>
    <row r="27445" spans="20:20" s="566" customFormat="1">
      <c r="T27445" s="41"/>
    </row>
    <row r="27446" spans="20:20" s="566" customFormat="1">
      <c r="T27446" s="41"/>
    </row>
    <row r="27447" spans="20:20" s="566" customFormat="1">
      <c r="T27447" s="41"/>
    </row>
    <row r="27448" spans="20:20" s="566" customFormat="1">
      <c r="T27448" s="41"/>
    </row>
    <row r="27449" spans="20:20" s="566" customFormat="1">
      <c r="T27449" s="41"/>
    </row>
    <row r="27450" spans="20:20" s="566" customFormat="1">
      <c r="T27450" s="41"/>
    </row>
    <row r="27451" spans="20:20" s="566" customFormat="1">
      <c r="T27451" s="41"/>
    </row>
    <row r="27452" spans="20:20" s="566" customFormat="1">
      <c r="T27452" s="41"/>
    </row>
    <row r="27453" spans="20:20" s="566" customFormat="1">
      <c r="T27453" s="41"/>
    </row>
    <row r="27454" spans="20:20" s="566" customFormat="1">
      <c r="T27454" s="41"/>
    </row>
    <row r="27455" spans="20:20" s="566" customFormat="1">
      <c r="T27455" s="41"/>
    </row>
    <row r="27456" spans="20:20" s="566" customFormat="1">
      <c r="T27456" s="41"/>
    </row>
    <row r="27457" spans="20:20" s="566" customFormat="1">
      <c r="T27457" s="41"/>
    </row>
    <row r="27458" spans="20:20" s="566" customFormat="1">
      <c r="T27458" s="41"/>
    </row>
    <row r="27459" spans="20:20" s="566" customFormat="1">
      <c r="T27459" s="41"/>
    </row>
    <row r="27460" spans="20:20" s="566" customFormat="1">
      <c r="T27460" s="41"/>
    </row>
    <row r="27461" spans="20:20" s="566" customFormat="1">
      <c r="T27461" s="41"/>
    </row>
    <row r="27462" spans="20:20" s="566" customFormat="1">
      <c r="T27462" s="41"/>
    </row>
    <row r="27463" spans="20:20" s="566" customFormat="1">
      <c r="T27463" s="41"/>
    </row>
    <row r="27464" spans="20:20" s="566" customFormat="1">
      <c r="T27464" s="41"/>
    </row>
    <row r="27465" spans="20:20" s="566" customFormat="1">
      <c r="T27465" s="41"/>
    </row>
    <row r="27466" spans="20:20" s="566" customFormat="1">
      <c r="T27466" s="41"/>
    </row>
    <row r="27467" spans="20:20" s="566" customFormat="1">
      <c r="T27467" s="41"/>
    </row>
    <row r="27468" spans="20:20" s="566" customFormat="1">
      <c r="T27468" s="41"/>
    </row>
    <row r="27469" spans="20:20" s="566" customFormat="1">
      <c r="T27469" s="41"/>
    </row>
    <row r="27470" spans="20:20" s="566" customFormat="1">
      <c r="T27470" s="41"/>
    </row>
    <row r="27471" spans="20:20" s="566" customFormat="1">
      <c r="T27471" s="41"/>
    </row>
    <row r="27472" spans="20:20" s="566" customFormat="1">
      <c r="T27472" s="41"/>
    </row>
    <row r="27473" spans="20:20" s="566" customFormat="1">
      <c r="T27473" s="41"/>
    </row>
    <row r="27474" spans="20:20" s="566" customFormat="1">
      <c r="T27474" s="41"/>
    </row>
    <row r="27475" spans="20:20" s="566" customFormat="1">
      <c r="T27475" s="41"/>
    </row>
    <row r="27476" spans="20:20" s="566" customFormat="1">
      <c r="T27476" s="41"/>
    </row>
    <row r="27477" spans="20:20" s="566" customFormat="1">
      <c r="T27477" s="41"/>
    </row>
    <row r="27478" spans="20:20" s="566" customFormat="1">
      <c r="T27478" s="41"/>
    </row>
    <row r="27479" spans="20:20" s="566" customFormat="1">
      <c r="T27479" s="41"/>
    </row>
    <row r="27480" spans="20:20" s="566" customFormat="1">
      <c r="T27480" s="41"/>
    </row>
    <row r="27481" spans="20:20" s="566" customFormat="1">
      <c r="T27481" s="41"/>
    </row>
    <row r="27482" spans="20:20" s="566" customFormat="1">
      <c r="T27482" s="41"/>
    </row>
    <row r="27483" spans="20:20" s="566" customFormat="1">
      <c r="T27483" s="41"/>
    </row>
    <row r="27484" spans="20:20" s="566" customFormat="1">
      <c r="T27484" s="41"/>
    </row>
    <row r="27485" spans="20:20" s="566" customFormat="1">
      <c r="T27485" s="41"/>
    </row>
    <row r="27486" spans="20:20" s="566" customFormat="1">
      <c r="T27486" s="41"/>
    </row>
    <row r="27487" spans="20:20" s="566" customFormat="1">
      <c r="T27487" s="41"/>
    </row>
    <row r="27488" spans="20:20" s="566" customFormat="1">
      <c r="T27488" s="41"/>
    </row>
    <row r="27489" spans="20:20" s="566" customFormat="1">
      <c r="T27489" s="41"/>
    </row>
    <row r="27490" spans="20:20" s="566" customFormat="1">
      <c r="T27490" s="41"/>
    </row>
    <row r="27491" spans="20:20" s="566" customFormat="1">
      <c r="T27491" s="41"/>
    </row>
    <row r="27492" spans="20:20" s="566" customFormat="1">
      <c r="T27492" s="41"/>
    </row>
    <row r="27493" spans="20:20" s="566" customFormat="1">
      <c r="T27493" s="41"/>
    </row>
    <row r="27494" spans="20:20" s="566" customFormat="1">
      <c r="T27494" s="41"/>
    </row>
    <row r="27495" spans="20:20" s="566" customFormat="1">
      <c r="T27495" s="41"/>
    </row>
    <row r="27496" spans="20:20" s="566" customFormat="1">
      <c r="T27496" s="41"/>
    </row>
    <row r="27497" spans="20:20" s="566" customFormat="1">
      <c r="T27497" s="41"/>
    </row>
    <row r="27498" spans="20:20" s="566" customFormat="1">
      <c r="T27498" s="41"/>
    </row>
    <row r="27499" spans="20:20" s="566" customFormat="1">
      <c r="T27499" s="41"/>
    </row>
    <row r="27500" spans="20:20" s="566" customFormat="1">
      <c r="T27500" s="41"/>
    </row>
    <row r="27501" spans="20:20" s="566" customFormat="1">
      <c r="T27501" s="41"/>
    </row>
    <row r="27502" spans="20:20" s="566" customFormat="1">
      <c r="T27502" s="41"/>
    </row>
    <row r="27503" spans="20:20" s="566" customFormat="1">
      <c r="T27503" s="41"/>
    </row>
    <row r="27504" spans="20:20" s="566" customFormat="1">
      <c r="T27504" s="41"/>
    </row>
    <row r="27505" spans="20:20" s="566" customFormat="1">
      <c r="T27505" s="41"/>
    </row>
    <row r="27506" spans="20:20" s="566" customFormat="1">
      <c r="T27506" s="41"/>
    </row>
    <row r="27507" spans="20:20" s="566" customFormat="1">
      <c r="T27507" s="41"/>
    </row>
    <row r="27508" spans="20:20" s="566" customFormat="1">
      <c r="T27508" s="41"/>
    </row>
    <row r="27509" spans="20:20" s="566" customFormat="1">
      <c r="T27509" s="41"/>
    </row>
    <row r="27510" spans="20:20" s="566" customFormat="1">
      <c r="T27510" s="41"/>
    </row>
    <row r="27511" spans="20:20" s="566" customFormat="1">
      <c r="T27511" s="41"/>
    </row>
    <row r="27512" spans="20:20" s="566" customFormat="1">
      <c r="T27512" s="41"/>
    </row>
    <row r="27513" spans="20:20" s="566" customFormat="1">
      <c r="T27513" s="41"/>
    </row>
    <row r="27514" spans="20:20" s="566" customFormat="1">
      <c r="T27514" s="41"/>
    </row>
    <row r="27515" spans="20:20" s="566" customFormat="1">
      <c r="T27515" s="41"/>
    </row>
    <row r="27516" spans="20:20" s="566" customFormat="1">
      <c r="T27516" s="41"/>
    </row>
    <row r="27517" spans="20:20" s="566" customFormat="1">
      <c r="T27517" s="41"/>
    </row>
    <row r="27518" spans="20:20" s="566" customFormat="1">
      <c r="T27518" s="41"/>
    </row>
    <row r="27519" spans="20:20" s="566" customFormat="1">
      <c r="T27519" s="41"/>
    </row>
    <row r="27520" spans="20:20" s="566" customFormat="1">
      <c r="T27520" s="41"/>
    </row>
    <row r="27521" spans="20:20" s="566" customFormat="1">
      <c r="T27521" s="41"/>
    </row>
    <row r="27522" spans="20:20" s="566" customFormat="1">
      <c r="T27522" s="41"/>
    </row>
    <row r="27523" spans="20:20" s="566" customFormat="1">
      <c r="T27523" s="41"/>
    </row>
    <row r="27524" spans="20:20" s="566" customFormat="1">
      <c r="T27524" s="41"/>
    </row>
    <row r="27525" spans="20:20" s="566" customFormat="1">
      <c r="T27525" s="41"/>
    </row>
    <row r="27526" spans="20:20" s="566" customFormat="1">
      <c r="T27526" s="41"/>
    </row>
    <row r="27527" spans="20:20" s="566" customFormat="1">
      <c r="T27527" s="41"/>
    </row>
    <row r="27528" spans="20:20" s="566" customFormat="1">
      <c r="T27528" s="41"/>
    </row>
    <row r="27529" spans="20:20" s="566" customFormat="1">
      <c r="T27529" s="41"/>
    </row>
    <row r="27530" spans="20:20" s="566" customFormat="1">
      <c r="T27530" s="41"/>
    </row>
    <row r="27531" spans="20:20" s="566" customFormat="1">
      <c r="T27531" s="41"/>
    </row>
    <row r="27532" spans="20:20" s="566" customFormat="1">
      <c r="T27532" s="41"/>
    </row>
    <row r="27533" spans="20:20" s="566" customFormat="1">
      <c r="T27533" s="41"/>
    </row>
    <row r="27534" spans="20:20" s="566" customFormat="1">
      <c r="T27534" s="41"/>
    </row>
    <row r="27535" spans="20:20" s="566" customFormat="1">
      <c r="T27535" s="41"/>
    </row>
    <row r="27536" spans="20:20" s="566" customFormat="1">
      <c r="T27536" s="41"/>
    </row>
    <row r="27537" spans="20:20" s="566" customFormat="1">
      <c r="T27537" s="41"/>
    </row>
    <row r="27538" spans="20:20" s="566" customFormat="1">
      <c r="T27538" s="41"/>
    </row>
    <row r="27539" spans="20:20" s="566" customFormat="1">
      <c r="T27539" s="41"/>
    </row>
    <row r="27540" spans="20:20" s="566" customFormat="1">
      <c r="T27540" s="41"/>
    </row>
    <row r="27541" spans="20:20" s="566" customFormat="1">
      <c r="T27541" s="41"/>
    </row>
    <row r="27542" spans="20:20" s="566" customFormat="1">
      <c r="T27542" s="41"/>
    </row>
    <row r="27543" spans="20:20" s="566" customFormat="1">
      <c r="T27543" s="41"/>
    </row>
    <row r="27544" spans="20:20" s="566" customFormat="1">
      <c r="T27544" s="41"/>
    </row>
    <row r="27545" spans="20:20" s="566" customFormat="1">
      <c r="T27545" s="41"/>
    </row>
    <row r="27546" spans="20:20" s="566" customFormat="1">
      <c r="T27546" s="41"/>
    </row>
    <row r="27547" spans="20:20" s="566" customFormat="1">
      <c r="T27547" s="41"/>
    </row>
    <row r="27548" spans="20:20" s="566" customFormat="1">
      <c r="T27548" s="41"/>
    </row>
    <row r="27549" spans="20:20" s="566" customFormat="1">
      <c r="T27549" s="41"/>
    </row>
    <row r="27550" spans="20:20" s="566" customFormat="1">
      <c r="T27550" s="41"/>
    </row>
    <row r="27551" spans="20:20" s="566" customFormat="1">
      <c r="T27551" s="41"/>
    </row>
    <row r="27552" spans="20:20" s="566" customFormat="1">
      <c r="T27552" s="41"/>
    </row>
    <row r="27553" spans="20:20" s="566" customFormat="1">
      <c r="T27553" s="41"/>
    </row>
    <row r="27554" spans="20:20" s="566" customFormat="1">
      <c r="T27554" s="41"/>
    </row>
    <row r="27555" spans="20:20" s="566" customFormat="1">
      <c r="T27555" s="41"/>
    </row>
    <row r="27556" spans="20:20" s="566" customFormat="1">
      <c r="T27556" s="41"/>
    </row>
    <row r="27557" spans="20:20" s="566" customFormat="1">
      <c r="T27557" s="41"/>
    </row>
    <row r="27558" spans="20:20" s="566" customFormat="1">
      <c r="T27558" s="41"/>
    </row>
    <row r="27559" spans="20:20" s="566" customFormat="1">
      <c r="T27559" s="41"/>
    </row>
    <row r="27560" spans="20:20" s="566" customFormat="1">
      <c r="T27560" s="41"/>
    </row>
    <row r="27561" spans="20:20" s="566" customFormat="1">
      <c r="T27561" s="41"/>
    </row>
    <row r="27562" spans="20:20" s="566" customFormat="1">
      <c r="T27562" s="41"/>
    </row>
    <row r="27563" spans="20:20" s="566" customFormat="1">
      <c r="T27563" s="41"/>
    </row>
    <row r="27564" spans="20:20" s="566" customFormat="1">
      <c r="T27564" s="41"/>
    </row>
    <row r="27565" spans="20:20" s="566" customFormat="1">
      <c r="T27565" s="41"/>
    </row>
    <row r="27566" spans="20:20" s="566" customFormat="1">
      <c r="T27566" s="41"/>
    </row>
    <row r="27567" spans="20:20" s="566" customFormat="1">
      <c r="T27567" s="41"/>
    </row>
    <row r="27568" spans="20:20" s="566" customFormat="1">
      <c r="T27568" s="41"/>
    </row>
    <row r="27569" spans="20:20" s="566" customFormat="1">
      <c r="T27569" s="41"/>
    </row>
    <row r="27570" spans="20:20" s="566" customFormat="1">
      <c r="T27570" s="41"/>
    </row>
    <row r="27571" spans="20:20" s="566" customFormat="1">
      <c r="T27571" s="41"/>
    </row>
    <row r="27572" spans="20:20" s="566" customFormat="1">
      <c r="T27572" s="41"/>
    </row>
    <row r="27573" spans="20:20" s="566" customFormat="1">
      <c r="T27573" s="41"/>
    </row>
    <row r="27574" spans="20:20" s="566" customFormat="1">
      <c r="T27574" s="41"/>
    </row>
    <row r="27575" spans="20:20" s="566" customFormat="1">
      <c r="T27575" s="41"/>
    </row>
    <row r="27576" spans="20:20" s="566" customFormat="1">
      <c r="T27576" s="41"/>
    </row>
    <row r="27577" spans="20:20" s="566" customFormat="1">
      <c r="T27577" s="41"/>
    </row>
    <row r="27578" spans="20:20" s="566" customFormat="1">
      <c r="T27578" s="41"/>
    </row>
    <row r="27579" spans="20:20" s="566" customFormat="1">
      <c r="T27579" s="41"/>
    </row>
    <row r="27580" spans="20:20" s="566" customFormat="1">
      <c r="T27580" s="41"/>
    </row>
    <row r="27581" spans="20:20" s="566" customFormat="1">
      <c r="T27581" s="41"/>
    </row>
    <row r="27582" spans="20:20" s="566" customFormat="1">
      <c r="T27582" s="41"/>
    </row>
    <row r="27583" spans="20:20" s="566" customFormat="1">
      <c r="T27583" s="41"/>
    </row>
    <row r="27584" spans="20:20" s="566" customFormat="1">
      <c r="T27584" s="41"/>
    </row>
    <row r="27585" spans="20:20" s="566" customFormat="1">
      <c r="T27585" s="41"/>
    </row>
    <row r="27586" spans="20:20" s="566" customFormat="1">
      <c r="T27586" s="41"/>
    </row>
    <row r="27587" spans="20:20" s="566" customFormat="1">
      <c r="T27587" s="41"/>
    </row>
    <row r="27588" spans="20:20" s="566" customFormat="1">
      <c r="T27588" s="41"/>
    </row>
    <row r="27589" spans="20:20" s="566" customFormat="1">
      <c r="T27589" s="41"/>
    </row>
    <row r="27590" spans="20:20" s="566" customFormat="1">
      <c r="T27590" s="41"/>
    </row>
    <row r="27591" spans="20:20" s="566" customFormat="1">
      <c r="T27591" s="41"/>
    </row>
    <row r="27592" spans="20:20" s="566" customFormat="1">
      <c r="T27592" s="41"/>
    </row>
    <row r="27593" spans="20:20" s="566" customFormat="1">
      <c r="T27593" s="41"/>
    </row>
    <row r="27594" spans="20:20" s="566" customFormat="1">
      <c r="T27594" s="41"/>
    </row>
    <row r="27595" spans="20:20" s="566" customFormat="1">
      <c r="T27595" s="41"/>
    </row>
    <row r="27596" spans="20:20" s="566" customFormat="1">
      <c r="T27596" s="41"/>
    </row>
    <row r="27597" spans="20:20" s="566" customFormat="1">
      <c r="T27597" s="41"/>
    </row>
    <row r="27598" spans="20:20" s="566" customFormat="1">
      <c r="T27598" s="41"/>
    </row>
    <row r="27599" spans="20:20" s="566" customFormat="1">
      <c r="T27599" s="41"/>
    </row>
    <row r="27600" spans="20:20" s="566" customFormat="1">
      <c r="T27600" s="41"/>
    </row>
    <row r="27601" spans="20:20" s="566" customFormat="1">
      <c r="T27601" s="41"/>
    </row>
    <row r="27602" spans="20:20" s="566" customFormat="1">
      <c r="T27602" s="41"/>
    </row>
    <row r="27603" spans="20:20" s="566" customFormat="1">
      <c r="T27603" s="41"/>
    </row>
    <row r="27604" spans="20:20" s="566" customFormat="1">
      <c r="T27604" s="41"/>
    </row>
    <row r="27605" spans="20:20" s="566" customFormat="1">
      <c r="T27605" s="41"/>
    </row>
    <row r="27606" spans="20:20" s="566" customFormat="1">
      <c r="T27606" s="41"/>
    </row>
    <row r="27607" spans="20:20" s="566" customFormat="1">
      <c r="T27607" s="41"/>
    </row>
    <row r="27608" spans="20:20" s="566" customFormat="1">
      <c r="T27608" s="41"/>
    </row>
    <row r="27609" spans="20:20" s="566" customFormat="1">
      <c r="T27609" s="41"/>
    </row>
    <row r="27610" spans="20:20" s="566" customFormat="1">
      <c r="T27610" s="41"/>
    </row>
    <row r="27611" spans="20:20" s="566" customFormat="1">
      <c r="T27611" s="41"/>
    </row>
    <row r="27612" spans="20:20" s="566" customFormat="1">
      <c r="T27612" s="41"/>
    </row>
    <row r="27613" spans="20:20" s="566" customFormat="1">
      <c r="T27613" s="41"/>
    </row>
    <row r="27614" spans="20:20" s="566" customFormat="1">
      <c r="T27614" s="41"/>
    </row>
    <row r="27615" spans="20:20" s="566" customFormat="1">
      <c r="T27615" s="41"/>
    </row>
    <row r="27616" spans="20:20" s="566" customFormat="1">
      <c r="T27616" s="41"/>
    </row>
    <row r="27617" spans="20:20" s="566" customFormat="1">
      <c r="T27617" s="41"/>
    </row>
    <row r="27618" spans="20:20" s="566" customFormat="1">
      <c r="T27618" s="41"/>
    </row>
    <row r="27619" spans="20:20" s="566" customFormat="1">
      <c r="T27619" s="41"/>
    </row>
    <row r="27620" spans="20:20" s="566" customFormat="1">
      <c r="T27620" s="41"/>
    </row>
    <row r="27621" spans="20:20" s="566" customFormat="1">
      <c r="T27621" s="41"/>
    </row>
    <row r="27622" spans="20:20" s="566" customFormat="1">
      <c r="T27622" s="41"/>
    </row>
    <row r="27623" spans="20:20" s="566" customFormat="1">
      <c r="T27623" s="41"/>
    </row>
    <row r="27624" spans="20:20" s="566" customFormat="1">
      <c r="T27624" s="41"/>
    </row>
    <row r="27625" spans="20:20" s="566" customFormat="1">
      <c r="T27625" s="41"/>
    </row>
    <row r="27626" spans="20:20" s="566" customFormat="1">
      <c r="T27626" s="41"/>
    </row>
    <row r="27627" spans="20:20" s="566" customFormat="1">
      <c r="T27627" s="41"/>
    </row>
    <row r="27628" spans="20:20" s="566" customFormat="1">
      <c r="T27628" s="41"/>
    </row>
    <row r="27629" spans="20:20" s="566" customFormat="1">
      <c r="T27629" s="41"/>
    </row>
    <row r="27630" spans="20:20" s="566" customFormat="1">
      <c r="T27630" s="41"/>
    </row>
    <row r="27631" spans="20:20" s="566" customFormat="1">
      <c r="T27631" s="41"/>
    </row>
    <row r="27632" spans="20:20" s="566" customFormat="1">
      <c r="T27632" s="41"/>
    </row>
    <row r="27633" spans="20:20" s="566" customFormat="1">
      <c r="T27633" s="41"/>
    </row>
    <row r="27634" spans="20:20" s="566" customFormat="1">
      <c r="T27634" s="41"/>
    </row>
    <row r="27635" spans="20:20" s="566" customFormat="1">
      <c r="T27635" s="41"/>
    </row>
    <row r="27636" spans="20:20" s="566" customFormat="1">
      <c r="T27636" s="41"/>
    </row>
    <row r="27637" spans="20:20" s="566" customFormat="1">
      <c r="T27637" s="41"/>
    </row>
    <row r="27638" spans="20:20" s="566" customFormat="1">
      <c r="T27638" s="41"/>
    </row>
    <row r="27639" spans="20:20" s="566" customFormat="1">
      <c r="T27639" s="41"/>
    </row>
    <row r="27640" spans="20:20" s="566" customFormat="1">
      <c r="T27640" s="41"/>
    </row>
    <row r="27641" spans="20:20" s="566" customFormat="1">
      <c r="T27641" s="41"/>
    </row>
    <row r="27642" spans="20:20" s="566" customFormat="1">
      <c r="T27642" s="41"/>
    </row>
    <row r="27643" spans="20:20" s="566" customFormat="1">
      <c r="T27643" s="41"/>
    </row>
    <row r="27644" spans="20:20" s="566" customFormat="1">
      <c r="T27644" s="41"/>
    </row>
    <row r="27645" spans="20:20" s="566" customFormat="1">
      <c r="T27645" s="41"/>
    </row>
    <row r="27646" spans="20:20" s="566" customFormat="1">
      <c r="T27646" s="41"/>
    </row>
    <row r="27647" spans="20:20" s="566" customFormat="1">
      <c r="T27647" s="41"/>
    </row>
    <row r="27648" spans="20:20" s="566" customFormat="1">
      <c r="T27648" s="41"/>
    </row>
    <row r="27649" spans="20:20" s="566" customFormat="1">
      <c r="T27649" s="41"/>
    </row>
    <row r="27650" spans="20:20" s="566" customFormat="1">
      <c r="T27650" s="41"/>
    </row>
    <row r="27651" spans="20:20" s="566" customFormat="1">
      <c r="T27651" s="41"/>
    </row>
    <row r="27652" spans="20:20" s="566" customFormat="1">
      <c r="T27652" s="41"/>
    </row>
    <row r="27653" spans="20:20" s="566" customFormat="1">
      <c r="T27653" s="41"/>
    </row>
    <row r="27654" spans="20:20" s="566" customFormat="1">
      <c r="T27654" s="41"/>
    </row>
    <row r="27655" spans="20:20" s="566" customFormat="1">
      <c r="T27655" s="41"/>
    </row>
    <row r="27656" spans="20:20" s="566" customFormat="1">
      <c r="T27656" s="41"/>
    </row>
    <row r="27657" spans="20:20" s="566" customFormat="1">
      <c r="T27657" s="41"/>
    </row>
    <row r="27658" spans="20:20" s="566" customFormat="1">
      <c r="T27658" s="41"/>
    </row>
    <row r="27659" spans="20:20" s="566" customFormat="1">
      <c r="T27659" s="41"/>
    </row>
    <row r="27660" spans="20:20" s="566" customFormat="1">
      <c r="T27660" s="41"/>
    </row>
    <row r="27661" spans="20:20" s="566" customFormat="1">
      <c r="T27661" s="41"/>
    </row>
    <row r="27662" spans="20:20" s="566" customFormat="1">
      <c r="T27662" s="41"/>
    </row>
    <row r="27663" spans="20:20" s="566" customFormat="1">
      <c r="T27663" s="41"/>
    </row>
    <row r="27664" spans="20:20" s="566" customFormat="1">
      <c r="T27664" s="41"/>
    </row>
    <row r="27665" spans="20:20" s="566" customFormat="1">
      <c r="T27665" s="41"/>
    </row>
    <row r="27666" spans="20:20" s="566" customFormat="1">
      <c r="T27666" s="41"/>
    </row>
    <row r="27667" spans="20:20" s="566" customFormat="1">
      <c r="T27667" s="41"/>
    </row>
    <row r="27668" spans="20:20" s="566" customFormat="1">
      <c r="T27668" s="41"/>
    </row>
    <row r="27669" spans="20:20" s="566" customFormat="1">
      <c r="T27669" s="41"/>
    </row>
    <row r="27670" spans="20:20" s="566" customFormat="1">
      <c r="T27670" s="41"/>
    </row>
    <row r="27671" spans="20:20" s="566" customFormat="1">
      <c r="T27671" s="41"/>
    </row>
    <row r="27672" spans="20:20" s="566" customFormat="1">
      <c r="T27672" s="41"/>
    </row>
    <row r="27673" spans="20:20" s="566" customFormat="1">
      <c r="T27673" s="41"/>
    </row>
    <row r="27674" spans="20:20" s="566" customFormat="1">
      <c r="T27674" s="41"/>
    </row>
    <row r="27675" spans="20:20" s="566" customFormat="1">
      <c r="T27675" s="41"/>
    </row>
    <row r="27676" spans="20:20" s="566" customFormat="1">
      <c r="T27676" s="41"/>
    </row>
    <row r="27677" spans="20:20" s="566" customFormat="1">
      <c r="T27677" s="41"/>
    </row>
    <row r="27678" spans="20:20" s="566" customFormat="1">
      <c r="T27678" s="41"/>
    </row>
    <row r="27679" spans="20:20" s="566" customFormat="1">
      <c r="T27679" s="41"/>
    </row>
    <row r="27680" spans="20:20" s="566" customFormat="1">
      <c r="T27680" s="41"/>
    </row>
    <row r="27681" spans="20:20" s="566" customFormat="1">
      <c r="T27681" s="41"/>
    </row>
    <row r="27682" spans="20:20" s="566" customFormat="1">
      <c r="T27682" s="41"/>
    </row>
    <row r="27683" spans="20:20" s="566" customFormat="1">
      <c r="T27683" s="41"/>
    </row>
    <row r="27684" spans="20:20" s="566" customFormat="1">
      <c r="T27684" s="41"/>
    </row>
    <row r="27685" spans="20:20" s="566" customFormat="1">
      <c r="T27685" s="41"/>
    </row>
    <row r="27686" spans="20:20" s="566" customFormat="1">
      <c r="T27686" s="41"/>
    </row>
    <row r="27687" spans="20:20" s="566" customFormat="1">
      <c r="T27687" s="41"/>
    </row>
    <row r="27688" spans="20:20" s="566" customFormat="1">
      <c r="T27688" s="41"/>
    </row>
    <row r="27689" spans="20:20" s="566" customFormat="1">
      <c r="T27689" s="41"/>
    </row>
    <row r="27690" spans="20:20" s="566" customFormat="1">
      <c r="T27690" s="41"/>
    </row>
    <row r="27691" spans="20:20" s="566" customFormat="1">
      <c r="T27691" s="41"/>
    </row>
    <row r="27692" spans="20:20" s="566" customFormat="1">
      <c r="T27692" s="41"/>
    </row>
    <row r="27693" spans="20:20" s="566" customFormat="1">
      <c r="T27693" s="41"/>
    </row>
    <row r="27694" spans="20:20" s="566" customFormat="1">
      <c r="T27694" s="41"/>
    </row>
    <row r="27695" spans="20:20" s="566" customFormat="1">
      <c r="T27695" s="41"/>
    </row>
    <row r="27696" spans="20:20" s="566" customFormat="1">
      <c r="T27696" s="41"/>
    </row>
    <row r="27697" spans="20:20" s="566" customFormat="1">
      <c r="T27697" s="41"/>
    </row>
    <row r="27698" spans="20:20" s="566" customFormat="1">
      <c r="T27698" s="41"/>
    </row>
    <row r="27699" spans="20:20" s="566" customFormat="1">
      <c r="T27699" s="41"/>
    </row>
    <row r="27700" spans="20:20" s="566" customFormat="1">
      <c r="T27700" s="41"/>
    </row>
    <row r="27701" spans="20:20" s="566" customFormat="1">
      <c r="T27701" s="41"/>
    </row>
    <row r="27702" spans="20:20" s="566" customFormat="1">
      <c r="T27702" s="41"/>
    </row>
    <row r="27703" spans="20:20" s="566" customFormat="1">
      <c r="T27703" s="41"/>
    </row>
    <row r="27704" spans="20:20" s="566" customFormat="1">
      <c r="T27704" s="41"/>
    </row>
    <row r="27705" spans="20:20" s="566" customFormat="1">
      <c r="T27705" s="41"/>
    </row>
    <row r="27706" spans="20:20" s="566" customFormat="1">
      <c r="T27706" s="41"/>
    </row>
    <row r="27707" spans="20:20" s="566" customFormat="1">
      <c r="T27707" s="41"/>
    </row>
    <row r="27708" spans="20:20" s="566" customFormat="1">
      <c r="T27708" s="41"/>
    </row>
    <row r="27709" spans="20:20" s="566" customFormat="1">
      <c r="T27709" s="41"/>
    </row>
    <row r="27710" spans="20:20" s="566" customFormat="1">
      <c r="T27710" s="41"/>
    </row>
    <row r="27711" spans="20:20" s="566" customFormat="1">
      <c r="T27711" s="41"/>
    </row>
    <row r="27712" spans="20:20" s="566" customFormat="1">
      <c r="T27712" s="41"/>
    </row>
    <row r="27713" spans="20:20" s="566" customFormat="1">
      <c r="T27713" s="41"/>
    </row>
    <row r="27714" spans="20:20" s="566" customFormat="1">
      <c r="T27714" s="41"/>
    </row>
    <row r="27715" spans="20:20" s="566" customFormat="1">
      <c r="T27715" s="41"/>
    </row>
    <row r="27716" spans="20:20" s="566" customFormat="1">
      <c r="T27716" s="41"/>
    </row>
    <row r="27717" spans="20:20" s="566" customFormat="1">
      <c r="T27717" s="41"/>
    </row>
    <row r="27718" spans="20:20" s="566" customFormat="1">
      <c r="T27718" s="41"/>
    </row>
    <row r="27719" spans="20:20" s="566" customFormat="1">
      <c r="T27719" s="41"/>
    </row>
    <row r="27720" spans="20:20" s="566" customFormat="1">
      <c r="T27720" s="41"/>
    </row>
    <row r="27721" spans="20:20" s="566" customFormat="1">
      <c r="T27721" s="41"/>
    </row>
    <row r="27722" spans="20:20" s="566" customFormat="1">
      <c r="T27722" s="41"/>
    </row>
    <row r="27723" spans="20:20" s="566" customFormat="1">
      <c r="T27723" s="41"/>
    </row>
    <row r="27724" spans="20:20" s="566" customFormat="1">
      <c r="T27724" s="41"/>
    </row>
    <row r="27725" spans="20:20" s="566" customFormat="1">
      <c r="T27725" s="41"/>
    </row>
    <row r="27726" spans="20:20" s="566" customFormat="1">
      <c r="T27726" s="41"/>
    </row>
    <row r="27727" spans="20:20" s="566" customFormat="1">
      <c r="T27727" s="41"/>
    </row>
    <row r="27728" spans="20:20" s="566" customFormat="1">
      <c r="T27728" s="41"/>
    </row>
    <row r="27729" spans="20:20" s="566" customFormat="1">
      <c r="T27729" s="41"/>
    </row>
    <row r="27730" spans="20:20" s="566" customFormat="1">
      <c r="T27730" s="41"/>
    </row>
    <row r="27731" spans="20:20" s="566" customFormat="1">
      <c r="T27731" s="41"/>
    </row>
    <row r="27732" spans="20:20" s="566" customFormat="1">
      <c r="T27732" s="41"/>
    </row>
    <row r="27733" spans="20:20" s="566" customFormat="1">
      <c r="T27733" s="41"/>
    </row>
    <row r="27734" spans="20:20" s="566" customFormat="1">
      <c r="T27734" s="41"/>
    </row>
    <row r="27735" spans="20:20" s="566" customFormat="1">
      <c r="T27735" s="41"/>
    </row>
    <row r="27736" spans="20:20" s="566" customFormat="1">
      <c r="T27736" s="41"/>
    </row>
    <row r="27737" spans="20:20" s="566" customFormat="1">
      <c r="T27737" s="41"/>
    </row>
    <row r="27738" spans="20:20" s="566" customFormat="1">
      <c r="T27738" s="41"/>
    </row>
    <row r="27739" spans="20:20" s="566" customFormat="1">
      <c r="T27739" s="41"/>
    </row>
    <row r="27740" spans="20:20" s="566" customFormat="1">
      <c r="T27740" s="41"/>
    </row>
    <row r="27741" spans="20:20" s="566" customFormat="1">
      <c r="T27741" s="41"/>
    </row>
    <row r="27742" spans="20:20" s="566" customFormat="1">
      <c r="T27742" s="41"/>
    </row>
    <row r="27743" spans="20:20" s="566" customFormat="1">
      <c r="T27743" s="41"/>
    </row>
    <row r="27744" spans="20:20" s="566" customFormat="1">
      <c r="T27744" s="41"/>
    </row>
    <row r="27745" spans="20:20" s="566" customFormat="1">
      <c r="T27745" s="41"/>
    </row>
    <row r="27746" spans="20:20" s="566" customFormat="1">
      <c r="T27746" s="41"/>
    </row>
    <row r="27747" spans="20:20" s="566" customFormat="1">
      <c r="T27747" s="41"/>
    </row>
    <row r="27748" spans="20:20" s="566" customFormat="1">
      <c r="T27748" s="41"/>
    </row>
    <row r="27749" spans="20:20" s="566" customFormat="1">
      <c r="T27749" s="41"/>
    </row>
    <row r="27750" spans="20:20" s="566" customFormat="1">
      <c r="T27750" s="41"/>
    </row>
    <row r="27751" spans="20:20" s="566" customFormat="1">
      <c r="T27751" s="41"/>
    </row>
    <row r="27752" spans="20:20" s="566" customFormat="1">
      <c r="T27752" s="41"/>
    </row>
    <row r="27753" spans="20:20" s="566" customFormat="1">
      <c r="T27753" s="41"/>
    </row>
    <row r="27754" spans="20:20" s="566" customFormat="1">
      <c r="T27754" s="41"/>
    </row>
    <row r="27755" spans="20:20" s="566" customFormat="1">
      <c r="T27755" s="41"/>
    </row>
    <row r="27756" spans="20:20" s="566" customFormat="1">
      <c r="T27756" s="41"/>
    </row>
    <row r="27757" spans="20:20" s="566" customFormat="1">
      <c r="T27757" s="41"/>
    </row>
    <row r="27758" spans="20:20" s="566" customFormat="1">
      <c r="T27758" s="41"/>
    </row>
    <row r="27759" spans="20:20" s="566" customFormat="1">
      <c r="T27759" s="41"/>
    </row>
    <row r="27760" spans="20:20" s="566" customFormat="1">
      <c r="T27760" s="41"/>
    </row>
    <row r="27761" spans="20:20" s="566" customFormat="1">
      <c r="T27761" s="41"/>
    </row>
    <row r="27762" spans="20:20" s="566" customFormat="1">
      <c r="T27762" s="41"/>
    </row>
    <row r="27763" spans="20:20" s="566" customFormat="1">
      <c r="T27763" s="41"/>
    </row>
    <row r="27764" spans="20:20" s="566" customFormat="1">
      <c r="T27764" s="41"/>
    </row>
    <row r="27765" spans="20:20" s="566" customFormat="1">
      <c r="T27765" s="41"/>
    </row>
    <row r="27766" spans="20:20" s="566" customFormat="1">
      <c r="T27766" s="41"/>
    </row>
    <row r="27767" spans="20:20" s="566" customFormat="1">
      <c r="T27767" s="41"/>
    </row>
    <row r="27768" spans="20:20" s="566" customFormat="1">
      <c r="T27768" s="41"/>
    </row>
    <row r="27769" spans="20:20" s="566" customFormat="1">
      <c r="T27769" s="41"/>
    </row>
    <row r="27770" spans="20:20" s="566" customFormat="1">
      <c r="T27770" s="41"/>
    </row>
    <row r="27771" spans="20:20" s="566" customFormat="1">
      <c r="T27771" s="41"/>
    </row>
    <row r="27772" spans="20:20" s="566" customFormat="1">
      <c r="T27772" s="41"/>
    </row>
    <row r="27773" spans="20:20" s="566" customFormat="1">
      <c r="T27773" s="41"/>
    </row>
    <row r="27774" spans="20:20" s="566" customFormat="1">
      <c r="T27774" s="41"/>
    </row>
    <row r="27775" spans="20:20" s="566" customFormat="1">
      <c r="T27775" s="41"/>
    </row>
    <row r="27776" spans="20:20" s="566" customFormat="1">
      <c r="T27776" s="41"/>
    </row>
    <row r="27777" spans="20:20" s="566" customFormat="1">
      <c r="T27777" s="41"/>
    </row>
    <row r="27778" spans="20:20" s="566" customFormat="1">
      <c r="T27778" s="41"/>
    </row>
    <row r="27779" spans="20:20" s="566" customFormat="1">
      <c r="T27779" s="41"/>
    </row>
    <row r="27780" spans="20:20" s="566" customFormat="1">
      <c r="T27780" s="41"/>
    </row>
    <row r="27781" spans="20:20" s="566" customFormat="1">
      <c r="T27781" s="41"/>
    </row>
    <row r="27782" spans="20:20" s="566" customFormat="1">
      <c r="T27782" s="41"/>
    </row>
    <row r="27783" spans="20:20" s="566" customFormat="1">
      <c r="T27783" s="41"/>
    </row>
    <row r="27784" spans="20:20" s="566" customFormat="1">
      <c r="T27784" s="41"/>
    </row>
    <row r="27785" spans="20:20" s="566" customFormat="1">
      <c r="T27785" s="41"/>
    </row>
    <row r="27786" spans="20:20" s="566" customFormat="1">
      <c r="T27786" s="41"/>
    </row>
    <row r="27787" spans="20:20" s="566" customFormat="1">
      <c r="T27787" s="41"/>
    </row>
    <row r="27788" spans="20:20" s="566" customFormat="1">
      <c r="T27788" s="41"/>
    </row>
    <row r="27789" spans="20:20" s="566" customFormat="1">
      <c r="T27789" s="41"/>
    </row>
    <row r="27790" spans="20:20" s="566" customFormat="1">
      <c r="T27790" s="41"/>
    </row>
    <row r="27791" spans="20:20" s="566" customFormat="1">
      <c r="T27791" s="41"/>
    </row>
    <row r="27792" spans="20:20" s="566" customFormat="1">
      <c r="T27792" s="41"/>
    </row>
    <row r="27793" spans="20:20" s="566" customFormat="1">
      <c r="T27793" s="41"/>
    </row>
    <row r="27794" spans="20:20" s="566" customFormat="1">
      <c r="T27794" s="41"/>
    </row>
    <row r="27795" spans="20:20" s="566" customFormat="1">
      <c r="T27795" s="41"/>
    </row>
    <row r="27796" spans="20:20" s="566" customFormat="1">
      <c r="T27796" s="41"/>
    </row>
    <row r="27797" spans="20:20" s="566" customFormat="1">
      <c r="T27797" s="41"/>
    </row>
    <row r="27798" spans="20:20" s="566" customFormat="1">
      <c r="T27798" s="41"/>
    </row>
    <row r="27799" spans="20:20" s="566" customFormat="1">
      <c r="T27799" s="41"/>
    </row>
    <row r="27800" spans="20:20" s="566" customFormat="1">
      <c r="T27800" s="41"/>
    </row>
    <row r="27801" spans="20:20" s="566" customFormat="1">
      <c r="T27801" s="41"/>
    </row>
    <row r="27802" spans="20:20" s="566" customFormat="1">
      <c r="T27802" s="41"/>
    </row>
    <row r="27803" spans="20:20" s="566" customFormat="1">
      <c r="T27803" s="41"/>
    </row>
    <row r="27804" spans="20:20" s="566" customFormat="1">
      <c r="T27804" s="41"/>
    </row>
    <row r="27805" spans="20:20" s="566" customFormat="1">
      <c r="T27805" s="41"/>
    </row>
    <row r="27806" spans="20:20" s="566" customFormat="1">
      <c r="T27806" s="41"/>
    </row>
    <row r="27807" spans="20:20" s="566" customFormat="1">
      <c r="T27807" s="41"/>
    </row>
    <row r="27808" spans="20:20" s="566" customFormat="1">
      <c r="T27808" s="41"/>
    </row>
    <row r="27809" spans="20:20" s="566" customFormat="1">
      <c r="T27809" s="41"/>
    </row>
    <row r="27810" spans="20:20" s="566" customFormat="1">
      <c r="T27810" s="41"/>
    </row>
    <row r="27811" spans="20:20" s="566" customFormat="1">
      <c r="T27811" s="41"/>
    </row>
    <row r="27812" spans="20:20" s="566" customFormat="1">
      <c r="T27812" s="41"/>
    </row>
    <row r="27813" spans="20:20" s="566" customFormat="1">
      <c r="T27813" s="41"/>
    </row>
    <row r="27814" spans="20:20" s="566" customFormat="1">
      <c r="T27814" s="41"/>
    </row>
    <row r="27815" spans="20:20" s="566" customFormat="1">
      <c r="T27815" s="41"/>
    </row>
    <row r="27816" spans="20:20" s="566" customFormat="1">
      <c r="T27816" s="41"/>
    </row>
    <row r="27817" spans="20:20" s="566" customFormat="1">
      <c r="T27817" s="41"/>
    </row>
    <row r="27818" spans="20:20" s="566" customFormat="1">
      <c r="T27818" s="41"/>
    </row>
    <row r="27819" spans="20:20" s="566" customFormat="1">
      <c r="T27819" s="41"/>
    </row>
    <row r="27820" spans="20:20" s="566" customFormat="1">
      <c r="T27820" s="41"/>
    </row>
    <row r="27821" spans="20:20" s="566" customFormat="1">
      <c r="T27821" s="41"/>
    </row>
    <row r="27822" spans="20:20" s="566" customFormat="1">
      <c r="T27822" s="41"/>
    </row>
    <row r="27823" spans="20:20" s="566" customFormat="1">
      <c r="T27823" s="41"/>
    </row>
    <row r="27824" spans="20:20" s="566" customFormat="1">
      <c r="T27824" s="41"/>
    </row>
    <row r="27825" spans="20:20" s="566" customFormat="1">
      <c r="T27825" s="41"/>
    </row>
    <row r="27826" spans="20:20" s="566" customFormat="1">
      <c r="T27826" s="41"/>
    </row>
    <row r="27827" spans="20:20" s="566" customFormat="1">
      <c r="T27827" s="41"/>
    </row>
    <row r="27828" spans="20:20" s="566" customFormat="1">
      <c r="T27828" s="41"/>
    </row>
    <row r="27829" spans="20:20" s="566" customFormat="1">
      <c r="T27829" s="41"/>
    </row>
    <row r="27830" spans="20:20" s="566" customFormat="1">
      <c r="T27830" s="41"/>
    </row>
    <row r="27831" spans="20:20" s="566" customFormat="1">
      <c r="T27831" s="41"/>
    </row>
    <row r="27832" spans="20:20" s="566" customFormat="1">
      <c r="T27832" s="41"/>
    </row>
    <row r="27833" spans="20:20" s="566" customFormat="1">
      <c r="T27833" s="41"/>
    </row>
    <row r="27834" spans="20:20" s="566" customFormat="1">
      <c r="T27834" s="41"/>
    </row>
    <row r="27835" spans="20:20" s="566" customFormat="1">
      <c r="T27835" s="41"/>
    </row>
    <row r="27836" spans="20:20" s="566" customFormat="1">
      <c r="T27836" s="41"/>
    </row>
    <row r="27837" spans="20:20" s="566" customFormat="1">
      <c r="T27837" s="41"/>
    </row>
    <row r="27838" spans="20:20" s="566" customFormat="1">
      <c r="T27838" s="41"/>
    </row>
    <row r="27839" spans="20:20" s="566" customFormat="1">
      <c r="T27839" s="41"/>
    </row>
    <row r="27840" spans="20:20" s="566" customFormat="1">
      <c r="T27840" s="41"/>
    </row>
    <row r="27841" spans="20:20" s="566" customFormat="1">
      <c r="T27841" s="41"/>
    </row>
    <row r="27842" spans="20:20" s="566" customFormat="1">
      <c r="T27842" s="41"/>
    </row>
    <row r="27843" spans="20:20" s="566" customFormat="1">
      <c r="T27843" s="41"/>
    </row>
    <row r="27844" spans="20:20" s="566" customFormat="1">
      <c r="T27844" s="41"/>
    </row>
    <row r="27845" spans="20:20" s="566" customFormat="1">
      <c r="T27845" s="41"/>
    </row>
    <row r="27846" spans="20:20" s="566" customFormat="1">
      <c r="T27846" s="41"/>
    </row>
    <row r="27847" spans="20:20" s="566" customFormat="1">
      <c r="T27847" s="41"/>
    </row>
    <row r="27848" spans="20:20" s="566" customFormat="1">
      <c r="T27848" s="41"/>
    </row>
    <row r="27849" spans="20:20" s="566" customFormat="1">
      <c r="T27849" s="41"/>
    </row>
    <row r="27850" spans="20:20" s="566" customFormat="1">
      <c r="T27850" s="41"/>
    </row>
    <row r="27851" spans="20:20" s="566" customFormat="1">
      <c r="T27851" s="41"/>
    </row>
    <row r="27852" spans="20:20" s="566" customFormat="1">
      <c r="T27852" s="41"/>
    </row>
    <row r="27853" spans="20:20" s="566" customFormat="1">
      <c r="T27853" s="41"/>
    </row>
    <row r="27854" spans="20:20" s="566" customFormat="1">
      <c r="T27854" s="41"/>
    </row>
    <row r="27855" spans="20:20" s="566" customFormat="1">
      <c r="T27855" s="41"/>
    </row>
    <row r="27856" spans="20:20" s="566" customFormat="1">
      <c r="T27856" s="41"/>
    </row>
    <row r="27857" spans="20:20" s="566" customFormat="1">
      <c r="T27857" s="41"/>
    </row>
    <row r="27858" spans="20:20" s="566" customFormat="1">
      <c r="T27858" s="41"/>
    </row>
    <row r="27859" spans="20:20" s="566" customFormat="1">
      <c r="T27859" s="41"/>
    </row>
    <row r="27860" spans="20:20" s="566" customFormat="1">
      <c r="T27860" s="41"/>
    </row>
    <row r="27861" spans="20:20" s="566" customFormat="1">
      <c r="T27861" s="41"/>
    </row>
    <row r="27862" spans="20:20" s="566" customFormat="1">
      <c r="T27862" s="41"/>
    </row>
    <row r="27863" spans="20:20" s="566" customFormat="1">
      <c r="T27863" s="41"/>
    </row>
    <row r="27864" spans="20:20" s="566" customFormat="1">
      <c r="T27864" s="41"/>
    </row>
    <row r="27865" spans="20:20" s="566" customFormat="1">
      <c r="T27865" s="41"/>
    </row>
    <row r="27866" spans="20:20" s="566" customFormat="1">
      <c r="T27866" s="41"/>
    </row>
    <row r="27867" spans="20:20" s="566" customFormat="1">
      <c r="T27867" s="41"/>
    </row>
    <row r="27868" spans="20:20" s="566" customFormat="1">
      <c r="T27868" s="41"/>
    </row>
    <row r="27869" spans="20:20" s="566" customFormat="1">
      <c r="T27869" s="41"/>
    </row>
    <row r="27870" spans="20:20" s="566" customFormat="1">
      <c r="T27870" s="41"/>
    </row>
    <row r="27871" spans="20:20" s="566" customFormat="1">
      <c r="T27871" s="41"/>
    </row>
    <row r="27872" spans="20:20" s="566" customFormat="1">
      <c r="T27872" s="41"/>
    </row>
    <row r="27873" spans="20:20" s="566" customFormat="1">
      <c r="T27873" s="41"/>
    </row>
    <row r="27874" spans="20:20" s="566" customFormat="1">
      <c r="T27874" s="41"/>
    </row>
    <row r="27875" spans="20:20" s="566" customFormat="1">
      <c r="T27875" s="41"/>
    </row>
    <row r="27876" spans="20:20" s="566" customFormat="1">
      <c r="T27876" s="41"/>
    </row>
    <row r="27877" spans="20:20" s="566" customFormat="1">
      <c r="T27877" s="41"/>
    </row>
    <row r="27878" spans="20:20" s="566" customFormat="1">
      <c r="T27878" s="41"/>
    </row>
    <row r="27879" spans="20:20" s="566" customFormat="1">
      <c r="T27879" s="41"/>
    </row>
    <row r="27880" spans="20:20" s="566" customFormat="1">
      <c r="T27880" s="41"/>
    </row>
    <row r="27881" spans="20:20" s="566" customFormat="1">
      <c r="T27881" s="41"/>
    </row>
    <row r="27882" spans="20:20" s="566" customFormat="1">
      <c r="T27882" s="41"/>
    </row>
    <row r="27883" spans="20:20" s="566" customFormat="1">
      <c r="T27883" s="41"/>
    </row>
    <row r="27884" spans="20:20" s="566" customFormat="1">
      <c r="T27884" s="41"/>
    </row>
    <row r="27885" spans="20:20" s="566" customFormat="1">
      <c r="T27885" s="41"/>
    </row>
    <row r="27886" spans="20:20" s="566" customFormat="1">
      <c r="T27886" s="41"/>
    </row>
    <row r="27887" spans="20:20" s="566" customFormat="1">
      <c r="T27887" s="41"/>
    </row>
    <row r="27888" spans="20:20" s="566" customFormat="1">
      <c r="T27888" s="41"/>
    </row>
    <row r="27889" spans="20:20" s="566" customFormat="1">
      <c r="T27889" s="41"/>
    </row>
    <row r="27890" spans="20:20" s="566" customFormat="1">
      <c r="T27890" s="41"/>
    </row>
    <row r="27891" spans="20:20" s="566" customFormat="1">
      <c r="T27891" s="41"/>
    </row>
    <row r="27892" spans="20:20" s="566" customFormat="1">
      <c r="T27892" s="41"/>
    </row>
    <row r="27893" spans="20:20" s="566" customFormat="1">
      <c r="T27893" s="41"/>
    </row>
    <row r="27894" spans="20:20" s="566" customFormat="1">
      <c r="T27894" s="41"/>
    </row>
    <row r="27895" spans="20:20" s="566" customFormat="1">
      <c r="T27895" s="41"/>
    </row>
    <row r="27896" spans="20:20" s="566" customFormat="1">
      <c r="T27896" s="41"/>
    </row>
    <row r="27897" spans="20:20" s="566" customFormat="1">
      <c r="T27897" s="41"/>
    </row>
    <row r="27898" spans="20:20" s="566" customFormat="1">
      <c r="T27898" s="41"/>
    </row>
    <row r="27899" spans="20:20" s="566" customFormat="1">
      <c r="T27899" s="41"/>
    </row>
    <row r="27900" spans="20:20" s="566" customFormat="1">
      <c r="T27900" s="41"/>
    </row>
    <row r="27901" spans="20:20" s="566" customFormat="1">
      <c r="T27901" s="41"/>
    </row>
    <row r="27902" spans="20:20" s="566" customFormat="1">
      <c r="T27902" s="41"/>
    </row>
    <row r="27903" spans="20:20" s="566" customFormat="1">
      <c r="T27903" s="41"/>
    </row>
    <row r="27904" spans="20:20" s="566" customFormat="1">
      <c r="T27904" s="41"/>
    </row>
    <row r="27905" spans="20:20" s="566" customFormat="1">
      <c r="T27905" s="41"/>
    </row>
    <row r="27906" spans="20:20" s="566" customFormat="1">
      <c r="T27906" s="41"/>
    </row>
    <row r="27907" spans="20:20" s="566" customFormat="1">
      <c r="T27907" s="41"/>
    </row>
    <row r="27908" spans="20:20" s="566" customFormat="1">
      <c r="T27908" s="41"/>
    </row>
    <row r="27909" spans="20:20" s="566" customFormat="1">
      <c r="T27909" s="41"/>
    </row>
    <row r="27910" spans="20:20" s="566" customFormat="1">
      <c r="T27910" s="41"/>
    </row>
    <row r="27911" spans="20:20" s="566" customFormat="1">
      <c r="T27911" s="41"/>
    </row>
    <row r="27912" spans="20:20" s="566" customFormat="1">
      <c r="T27912" s="41"/>
    </row>
    <row r="27913" spans="20:20" s="566" customFormat="1">
      <c r="T27913" s="41"/>
    </row>
    <row r="27914" spans="20:20" s="566" customFormat="1">
      <c r="T27914" s="41"/>
    </row>
    <row r="27915" spans="20:20" s="566" customFormat="1">
      <c r="T27915" s="41"/>
    </row>
    <row r="27916" spans="20:20" s="566" customFormat="1">
      <c r="T27916" s="41"/>
    </row>
    <row r="27917" spans="20:20" s="566" customFormat="1">
      <c r="T27917" s="41"/>
    </row>
    <row r="27918" spans="20:20" s="566" customFormat="1">
      <c r="T27918" s="41"/>
    </row>
    <row r="27919" spans="20:20" s="566" customFormat="1">
      <c r="T27919" s="41"/>
    </row>
    <row r="27920" spans="20:20" s="566" customFormat="1">
      <c r="T27920" s="41"/>
    </row>
    <row r="27921" spans="20:20" s="566" customFormat="1">
      <c r="T27921" s="41"/>
    </row>
    <row r="27922" spans="20:20" s="566" customFormat="1">
      <c r="T27922" s="41"/>
    </row>
    <row r="27923" spans="20:20" s="566" customFormat="1">
      <c r="T27923" s="41"/>
    </row>
    <row r="27924" spans="20:20" s="566" customFormat="1">
      <c r="T27924" s="41"/>
    </row>
    <row r="27925" spans="20:20" s="566" customFormat="1">
      <c r="T27925" s="41"/>
    </row>
    <row r="27926" spans="20:20" s="566" customFormat="1">
      <c r="T27926" s="41"/>
    </row>
    <row r="27927" spans="20:20" s="566" customFormat="1">
      <c r="T27927" s="41"/>
    </row>
    <row r="27928" spans="20:20" s="566" customFormat="1">
      <c r="T27928" s="41"/>
    </row>
    <row r="27929" spans="20:20" s="566" customFormat="1">
      <c r="T27929" s="41"/>
    </row>
    <row r="27930" spans="20:20" s="566" customFormat="1">
      <c r="T27930" s="41"/>
    </row>
    <row r="27931" spans="20:20" s="566" customFormat="1">
      <c r="T27931" s="41"/>
    </row>
    <row r="27932" spans="20:20" s="566" customFormat="1">
      <c r="T27932" s="41"/>
    </row>
    <row r="27933" spans="20:20" s="566" customFormat="1">
      <c r="T27933" s="41"/>
    </row>
    <row r="27934" spans="20:20" s="566" customFormat="1">
      <c r="T27934" s="41"/>
    </row>
    <row r="27935" spans="20:20" s="566" customFormat="1">
      <c r="T27935" s="41"/>
    </row>
    <row r="27936" spans="20:20" s="566" customFormat="1">
      <c r="T27936" s="41"/>
    </row>
    <row r="27937" spans="20:20" s="566" customFormat="1">
      <c r="T27937" s="41"/>
    </row>
    <row r="27938" spans="20:20" s="566" customFormat="1">
      <c r="T27938" s="41"/>
    </row>
    <row r="27939" spans="20:20" s="566" customFormat="1">
      <c r="T27939" s="41"/>
    </row>
    <row r="27940" spans="20:20" s="566" customFormat="1">
      <c r="T27940" s="41"/>
    </row>
    <row r="27941" spans="20:20" s="566" customFormat="1">
      <c r="T27941" s="41"/>
    </row>
    <row r="27942" spans="20:20" s="566" customFormat="1">
      <c r="T27942" s="41"/>
    </row>
    <row r="27943" spans="20:20" s="566" customFormat="1">
      <c r="T27943" s="41"/>
    </row>
    <row r="27944" spans="20:20" s="566" customFormat="1">
      <c r="T27944" s="41"/>
    </row>
    <row r="27945" spans="20:20" s="566" customFormat="1">
      <c r="T27945" s="41"/>
    </row>
    <row r="27946" spans="20:20" s="566" customFormat="1">
      <c r="T27946" s="41"/>
    </row>
    <row r="27947" spans="20:20" s="566" customFormat="1">
      <c r="T27947" s="41"/>
    </row>
    <row r="27948" spans="20:20" s="566" customFormat="1">
      <c r="T27948" s="41"/>
    </row>
    <row r="27949" spans="20:20" s="566" customFormat="1">
      <c r="T27949" s="41"/>
    </row>
    <row r="27950" spans="20:20" s="566" customFormat="1">
      <c r="T27950" s="41"/>
    </row>
    <row r="27951" spans="20:20" s="566" customFormat="1">
      <c r="T27951" s="41"/>
    </row>
    <row r="27952" spans="20:20" s="566" customFormat="1">
      <c r="T27952" s="41"/>
    </row>
    <row r="27953" spans="20:20" s="566" customFormat="1">
      <c r="T27953" s="41"/>
    </row>
    <row r="27954" spans="20:20" s="566" customFormat="1">
      <c r="T27954" s="41"/>
    </row>
    <row r="27955" spans="20:20" s="566" customFormat="1">
      <c r="T27955" s="41"/>
    </row>
    <row r="27956" spans="20:20" s="566" customFormat="1">
      <c r="T27956" s="41"/>
    </row>
    <row r="27957" spans="20:20" s="566" customFormat="1">
      <c r="T27957" s="41"/>
    </row>
    <row r="27958" spans="20:20" s="566" customFormat="1">
      <c r="T27958" s="41"/>
    </row>
    <row r="27959" spans="20:20" s="566" customFormat="1">
      <c r="T27959" s="41"/>
    </row>
    <row r="27960" spans="20:20" s="566" customFormat="1">
      <c r="T27960" s="41"/>
    </row>
    <row r="27961" spans="20:20" s="566" customFormat="1">
      <c r="T27961" s="41"/>
    </row>
    <row r="27962" spans="20:20" s="566" customFormat="1">
      <c r="T27962" s="41"/>
    </row>
    <row r="27963" spans="20:20" s="566" customFormat="1">
      <c r="T27963" s="41"/>
    </row>
    <row r="27964" spans="20:20" s="566" customFormat="1">
      <c r="T27964" s="41"/>
    </row>
    <row r="27965" spans="20:20" s="566" customFormat="1">
      <c r="T27965" s="41"/>
    </row>
    <row r="27966" spans="20:20" s="566" customFormat="1">
      <c r="T27966" s="41"/>
    </row>
    <row r="27967" spans="20:20" s="566" customFormat="1">
      <c r="T27967" s="41"/>
    </row>
    <row r="27968" spans="20:20" s="566" customFormat="1">
      <c r="T27968" s="41"/>
    </row>
    <row r="27969" spans="20:20" s="566" customFormat="1">
      <c r="T27969" s="41"/>
    </row>
    <row r="27970" spans="20:20" s="566" customFormat="1">
      <c r="T27970" s="41"/>
    </row>
    <row r="27971" spans="20:20" s="566" customFormat="1">
      <c r="T27971" s="41"/>
    </row>
    <row r="27972" spans="20:20" s="566" customFormat="1">
      <c r="T27972" s="41"/>
    </row>
    <row r="27973" spans="20:20" s="566" customFormat="1">
      <c r="T27973" s="41"/>
    </row>
    <row r="27974" spans="20:20" s="566" customFormat="1">
      <c r="T27974" s="41"/>
    </row>
    <row r="27975" spans="20:20" s="566" customFormat="1">
      <c r="T27975" s="41"/>
    </row>
    <row r="27976" spans="20:20" s="566" customFormat="1">
      <c r="T27976" s="41"/>
    </row>
    <row r="27977" spans="20:20" s="566" customFormat="1">
      <c r="T27977" s="41"/>
    </row>
    <row r="27978" spans="20:20" s="566" customFormat="1">
      <c r="T27978" s="41"/>
    </row>
    <row r="27979" spans="20:20" s="566" customFormat="1">
      <c r="T27979" s="41"/>
    </row>
    <row r="27980" spans="20:20" s="566" customFormat="1">
      <c r="T27980" s="41"/>
    </row>
    <row r="27981" spans="20:20" s="566" customFormat="1">
      <c r="T27981" s="41"/>
    </row>
    <row r="27982" spans="20:20" s="566" customFormat="1">
      <c r="T27982" s="41"/>
    </row>
    <row r="27983" spans="20:20" s="566" customFormat="1">
      <c r="T27983" s="41"/>
    </row>
    <row r="27984" spans="20:20" s="566" customFormat="1">
      <c r="T27984" s="41"/>
    </row>
    <row r="27985" spans="20:20" s="566" customFormat="1">
      <c r="T27985" s="41"/>
    </row>
    <row r="27986" spans="20:20" s="566" customFormat="1">
      <c r="T27986" s="41"/>
    </row>
    <row r="27987" spans="20:20" s="566" customFormat="1">
      <c r="T27987" s="41"/>
    </row>
    <row r="27988" spans="20:20" s="566" customFormat="1">
      <c r="T27988" s="41"/>
    </row>
    <row r="27989" spans="20:20" s="566" customFormat="1">
      <c r="T27989" s="41"/>
    </row>
    <row r="27990" spans="20:20" s="566" customFormat="1">
      <c r="T27990" s="41"/>
    </row>
    <row r="27991" spans="20:20" s="566" customFormat="1">
      <c r="T27991" s="41"/>
    </row>
    <row r="27992" spans="20:20" s="566" customFormat="1">
      <c r="T27992" s="41"/>
    </row>
    <row r="27993" spans="20:20" s="566" customFormat="1">
      <c r="T27993" s="41"/>
    </row>
    <row r="27994" spans="20:20" s="566" customFormat="1">
      <c r="T27994" s="41"/>
    </row>
    <row r="27995" spans="20:20" s="566" customFormat="1">
      <c r="T27995" s="41"/>
    </row>
    <row r="27996" spans="20:20" s="566" customFormat="1">
      <c r="T27996" s="41"/>
    </row>
    <row r="27997" spans="20:20" s="566" customFormat="1">
      <c r="T27997" s="41"/>
    </row>
    <row r="27998" spans="20:20" s="566" customFormat="1">
      <c r="T27998" s="41"/>
    </row>
    <row r="27999" spans="20:20" s="566" customFormat="1">
      <c r="T27999" s="41"/>
    </row>
    <row r="28000" spans="20:20" s="566" customFormat="1">
      <c r="T28000" s="41"/>
    </row>
    <row r="28001" spans="20:20" s="566" customFormat="1">
      <c r="T28001" s="41"/>
    </row>
    <row r="28002" spans="20:20" s="566" customFormat="1">
      <c r="T28002" s="41"/>
    </row>
    <row r="28003" spans="20:20" s="566" customFormat="1">
      <c r="T28003" s="41"/>
    </row>
    <row r="28004" spans="20:20" s="566" customFormat="1">
      <c r="T28004" s="41"/>
    </row>
    <row r="28005" spans="20:20" s="566" customFormat="1">
      <c r="T28005" s="41"/>
    </row>
    <row r="28006" spans="20:20" s="566" customFormat="1">
      <c r="T28006" s="41"/>
    </row>
    <row r="28007" spans="20:20" s="566" customFormat="1">
      <c r="T28007" s="41"/>
    </row>
    <row r="28008" spans="20:20" s="566" customFormat="1">
      <c r="T28008" s="41"/>
    </row>
    <row r="28009" spans="20:20" s="566" customFormat="1">
      <c r="T28009" s="41"/>
    </row>
    <row r="28010" spans="20:20" s="566" customFormat="1">
      <c r="T28010" s="41"/>
    </row>
    <row r="28011" spans="20:20" s="566" customFormat="1">
      <c r="T28011" s="41"/>
    </row>
    <row r="28012" spans="20:20" s="566" customFormat="1">
      <c r="T28012" s="41"/>
    </row>
    <row r="28013" spans="20:20" s="566" customFormat="1">
      <c r="T28013" s="41"/>
    </row>
    <row r="28014" spans="20:20" s="566" customFormat="1">
      <c r="T28014" s="41"/>
    </row>
    <row r="28015" spans="20:20" s="566" customFormat="1">
      <c r="T28015" s="41"/>
    </row>
    <row r="28016" spans="20:20" s="566" customFormat="1">
      <c r="T28016" s="41"/>
    </row>
    <row r="28017" spans="20:20" s="566" customFormat="1">
      <c r="T28017" s="41"/>
    </row>
    <row r="28018" spans="20:20" s="566" customFormat="1">
      <c r="T28018" s="41"/>
    </row>
    <row r="28019" spans="20:20" s="566" customFormat="1">
      <c r="T28019" s="41"/>
    </row>
    <row r="28020" spans="20:20" s="566" customFormat="1">
      <c r="T28020" s="41"/>
    </row>
    <row r="28021" spans="20:20" s="566" customFormat="1">
      <c r="T28021" s="41"/>
    </row>
    <row r="28022" spans="20:20" s="566" customFormat="1">
      <c r="T28022" s="41"/>
    </row>
    <row r="28023" spans="20:20" s="566" customFormat="1">
      <c r="T28023" s="41"/>
    </row>
    <row r="28024" spans="20:20" s="566" customFormat="1">
      <c r="T28024" s="41"/>
    </row>
    <row r="28025" spans="20:20" s="566" customFormat="1">
      <c r="T28025" s="41"/>
    </row>
    <row r="28026" spans="20:20" s="566" customFormat="1">
      <c r="T28026" s="41"/>
    </row>
    <row r="28027" spans="20:20" s="566" customFormat="1">
      <c r="T28027" s="41"/>
    </row>
    <row r="28028" spans="20:20" s="566" customFormat="1">
      <c r="T28028" s="41"/>
    </row>
    <row r="28029" spans="20:20" s="566" customFormat="1">
      <c r="T28029" s="41"/>
    </row>
    <row r="28030" spans="20:20" s="566" customFormat="1">
      <c r="T28030" s="41"/>
    </row>
    <row r="28031" spans="20:20" s="566" customFormat="1">
      <c r="T28031" s="41"/>
    </row>
    <row r="28032" spans="20:20" s="566" customFormat="1">
      <c r="T28032" s="41"/>
    </row>
    <row r="28033" spans="20:20" s="566" customFormat="1">
      <c r="T28033" s="41"/>
    </row>
    <row r="28034" spans="20:20" s="566" customFormat="1">
      <c r="T28034" s="41"/>
    </row>
    <row r="28035" spans="20:20" s="566" customFormat="1">
      <c r="T28035" s="41"/>
    </row>
    <row r="28036" spans="20:20" s="566" customFormat="1">
      <c r="T28036" s="41"/>
    </row>
    <row r="28037" spans="20:20" s="566" customFormat="1">
      <c r="T28037" s="41"/>
    </row>
    <row r="28038" spans="20:20" s="566" customFormat="1">
      <c r="T28038" s="41"/>
    </row>
    <row r="28039" spans="20:20" s="566" customFormat="1">
      <c r="T28039" s="41"/>
    </row>
    <row r="28040" spans="20:20" s="566" customFormat="1">
      <c r="T28040" s="41"/>
    </row>
    <row r="28041" spans="20:20" s="566" customFormat="1">
      <c r="T28041" s="41"/>
    </row>
    <row r="28042" spans="20:20" s="566" customFormat="1">
      <c r="T28042" s="41"/>
    </row>
    <row r="28043" spans="20:20" s="566" customFormat="1">
      <c r="T28043" s="41"/>
    </row>
    <row r="28044" spans="20:20" s="566" customFormat="1">
      <c r="T28044" s="41"/>
    </row>
    <row r="28045" spans="20:20" s="566" customFormat="1">
      <c r="T28045" s="41"/>
    </row>
    <row r="28046" spans="20:20" s="566" customFormat="1">
      <c r="T28046" s="41"/>
    </row>
    <row r="28047" spans="20:20" s="566" customFormat="1">
      <c r="T28047" s="41"/>
    </row>
    <row r="28048" spans="20:20" s="566" customFormat="1">
      <c r="T28048" s="41"/>
    </row>
    <row r="28049" spans="20:20" s="566" customFormat="1">
      <c r="T28049" s="41"/>
    </row>
    <row r="28050" spans="20:20" s="566" customFormat="1">
      <c r="T28050" s="41"/>
    </row>
    <row r="28051" spans="20:20" s="566" customFormat="1">
      <c r="T28051" s="41"/>
    </row>
    <row r="28052" spans="20:20" s="566" customFormat="1">
      <c r="T28052" s="41"/>
    </row>
    <row r="28053" spans="20:20" s="566" customFormat="1">
      <c r="T28053" s="41"/>
    </row>
    <row r="28054" spans="20:20" s="566" customFormat="1">
      <c r="T28054" s="41"/>
    </row>
    <row r="28055" spans="20:20" s="566" customFormat="1">
      <c r="T28055" s="41"/>
    </row>
    <row r="28056" spans="20:20" s="566" customFormat="1">
      <c r="T28056" s="41"/>
    </row>
    <row r="28057" spans="20:20" s="566" customFormat="1">
      <c r="T28057" s="41"/>
    </row>
    <row r="28058" spans="20:20" s="566" customFormat="1">
      <c r="T28058" s="41"/>
    </row>
    <row r="28059" spans="20:20" s="566" customFormat="1">
      <c r="T28059" s="41"/>
    </row>
    <row r="28060" spans="20:20" s="566" customFormat="1">
      <c r="T28060" s="41"/>
    </row>
    <row r="28061" spans="20:20" s="566" customFormat="1">
      <c r="T28061" s="41"/>
    </row>
    <row r="28062" spans="20:20" s="566" customFormat="1">
      <c r="T28062" s="41"/>
    </row>
    <row r="28063" spans="20:20" s="566" customFormat="1">
      <c r="T28063" s="41"/>
    </row>
    <row r="28064" spans="20:20" s="566" customFormat="1">
      <c r="T28064" s="41"/>
    </row>
    <row r="28065" spans="20:20" s="566" customFormat="1">
      <c r="T28065" s="41"/>
    </row>
    <row r="28066" spans="20:20" s="566" customFormat="1">
      <c r="T28066" s="41"/>
    </row>
    <row r="28067" spans="20:20" s="566" customFormat="1">
      <c r="T28067" s="41"/>
    </row>
    <row r="28068" spans="20:20" s="566" customFormat="1">
      <c r="T28068" s="41"/>
    </row>
    <row r="28069" spans="20:20" s="566" customFormat="1">
      <c r="T28069" s="41"/>
    </row>
    <row r="28070" spans="20:20" s="566" customFormat="1">
      <c r="T28070" s="41"/>
    </row>
    <row r="28071" spans="20:20" s="566" customFormat="1">
      <c r="T28071" s="41"/>
    </row>
    <row r="28072" spans="20:20" s="566" customFormat="1">
      <c r="T28072" s="41"/>
    </row>
    <row r="28073" spans="20:20" s="566" customFormat="1">
      <c r="T28073" s="41"/>
    </row>
    <row r="28074" spans="20:20" s="566" customFormat="1">
      <c r="T28074" s="41"/>
    </row>
    <row r="28075" spans="20:20" s="566" customFormat="1">
      <c r="T28075" s="41"/>
    </row>
    <row r="28076" spans="20:20" s="566" customFormat="1">
      <c r="T28076" s="41"/>
    </row>
    <row r="28077" spans="20:20" s="566" customFormat="1">
      <c r="T28077" s="41"/>
    </row>
    <row r="28078" spans="20:20" s="566" customFormat="1">
      <c r="T28078" s="41"/>
    </row>
    <row r="28079" spans="20:20" s="566" customFormat="1">
      <c r="T28079" s="41"/>
    </row>
    <row r="28080" spans="20:20" s="566" customFormat="1">
      <c r="T28080" s="41"/>
    </row>
    <row r="28081" spans="20:20" s="566" customFormat="1">
      <c r="T28081" s="41"/>
    </row>
    <row r="28082" spans="20:20" s="566" customFormat="1">
      <c r="T28082" s="41"/>
    </row>
    <row r="28083" spans="20:20" s="566" customFormat="1">
      <c r="T28083" s="41"/>
    </row>
    <row r="28084" spans="20:20" s="566" customFormat="1">
      <c r="T28084" s="41"/>
    </row>
    <row r="28085" spans="20:20" s="566" customFormat="1">
      <c r="T28085" s="41"/>
    </row>
    <row r="28086" spans="20:20" s="566" customFormat="1">
      <c r="T28086" s="41"/>
    </row>
    <row r="28087" spans="20:20" s="566" customFormat="1">
      <c r="T28087" s="41"/>
    </row>
    <row r="28088" spans="20:20" s="566" customFormat="1">
      <c r="T28088" s="41"/>
    </row>
    <row r="28089" spans="20:20" s="566" customFormat="1">
      <c r="T28089" s="41"/>
    </row>
    <row r="28090" spans="20:20" s="566" customFormat="1">
      <c r="T28090" s="41"/>
    </row>
    <row r="28091" spans="20:20" s="566" customFormat="1">
      <c r="T28091" s="41"/>
    </row>
    <row r="28092" spans="20:20" s="566" customFormat="1">
      <c r="T28092" s="41"/>
    </row>
    <row r="28093" spans="20:20" s="566" customFormat="1">
      <c r="T28093" s="41"/>
    </row>
    <row r="28094" spans="20:20" s="566" customFormat="1">
      <c r="T28094" s="41"/>
    </row>
    <row r="28095" spans="20:20" s="566" customFormat="1">
      <c r="T28095" s="41"/>
    </row>
    <row r="28096" spans="20:20" s="566" customFormat="1">
      <c r="T28096" s="41"/>
    </row>
    <row r="28097" spans="20:20" s="566" customFormat="1">
      <c r="T28097" s="41"/>
    </row>
    <row r="28098" spans="20:20" s="566" customFormat="1">
      <c r="T28098" s="41"/>
    </row>
    <row r="28099" spans="20:20" s="566" customFormat="1">
      <c r="T28099" s="41"/>
    </row>
    <row r="28100" spans="20:20" s="566" customFormat="1">
      <c r="T28100" s="41"/>
    </row>
    <row r="28101" spans="20:20" s="566" customFormat="1">
      <c r="T28101" s="41"/>
    </row>
    <row r="28102" spans="20:20" s="566" customFormat="1">
      <c r="T28102" s="41"/>
    </row>
    <row r="28103" spans="20:20" s="566" customFormat="1">
      <c r="T28103" s="41"/>
    </row>
    <row r="28104" spans="20:20" s="566" customFormat="1">
      <c r="T28104" s="41"/>
    </row>
    <row r="28105" spans="20:20" s="566" customFormat="1">
      <c r="T28105" s="41"/>
    </row>
    <row r="28106" spans="20:20" s="566" customFormat="1">
      <c r="T28106" s="41"/>
    </row>
    <row r="28107" spans="20:20" s="566" customFormat="1">
      <c r="T28107" s="41"/>
    </row>
    <row r="28108" spans="20:20" s="566" customFormat="1">
      <c r="T28108" s="41"/>
    </row>
    <row r="28109" spans="20:20" s="566" customFormat="1">
      <c r="T28109" s="41"/>
    </row>
    <row r="28110" spans="20:20" s="566" customFormat="1">
      <c r="T28110" s="41"/>
    </row>
    <row r="28111" spans="20:20" s="566" customFormat="1">
      <c r="T28111" s="41"/>
    </row>
    <row r="28112" spans="20:20" s="566" customFormat="1">
      <c r="T28112" s="41"/>
    </row>
    <row r="28113" spans="20:20" s="566" customFormat="1">
      <c r="T28113" s="41"/>
    </row>
    <row r="28114" spans="20:20" s="566" customFormat="1">
      <c r="T28114" s="41"/>
    </row>
    <row r="28115" spans="20:20" s="566" customFormat="1">
      <c r="T28115" s="41"/>
    </row>
    <row r="28116" spans="20:20" s="566" customFormat="1">
      <c r="T28116" s="41"/>
    </row>
    <row r="28117" spans="20:20" s="566" customFormat="1">
      <c r="T28117" s="41"/>
    </row>
    <row r="28118" spans="20:20" s="566" customFormat="1">
      <c r="T28118" s="41"/>
    </row>
    <row r="28119" spans="20:20" s="566" customFormat="1">
      <c r="T28119" s="41"/>
    </row>
    <row r="28120" spans="20:20" s="566" customFormat="1">
      <c r="T28120" s="41"/>
    </row>
    <row r="28121" spans="20:20" s="566" customFormat="1">
      <c r="T28121" s="41"/>
    </row>
    <row r="28122" spans="20:20" s="566" customFormat="1">
      <c r="T28122" s="41"/>
    </row>
    <row r="28123" spans="20:20" s="566" customFormat="1">
      <c r="T28123" s="41"/>
    </row>
    <row r="28124" spans="20:20" s="566" customFormat="1">
      <c r="T28124" s="41"/>
    </row>
    <row r="28125" spans="20:20" s="566" customFormat="1">
      <c r="T28125" s="41"/>
    </row>
    <row r="28126" spans="20:20" s="566" customFormat="1">
      <c r="T28126" s="41"/>
    </row>
    <row r="28127" spans="20:20" s="566" customFormat="1">
      <c r="T28127" s="41"/>
    </row>
    <row r="28128" spans="20:20" s="566" customFormat="1">
      <c r="T28128" s="41"/>
    </row>
    <row r="28129" spans="20:20" s="566" customFormat="1">
      <c r="T28129" s="41"/>
    </row>
    <row r="28130" spans="20:20" s="566" customFormat="1">
      <c r="T28130" s="41"/>
    </row>
    <row r="28131" spans="20:20" s="566" customFormat="1">
      <c r="T28131" s="41"/>
    </row>
    <row r="28132" spans="20:20" s="566" customFormat="1">
      <c r="T28132" s="41"/>
    </row>
    <row r="28133" spans="20:20" s="566" customFormat="1">
      <c r="T28133" s="41"/>
    </row>
    <row r="28134" spans="20:20" s="566" customFormat="1">
      <c r="T28134" s="41"/>
    </row>
    <row r="28135" spans="20:20" s="566" customFormat="1">
      <c r="T28135" s="41"/>
    </row>
    <row r="28136" spans="20:20" s="566" customFormat="1">
      <c r="T28136" s="41"/>
    </row>
    <row r="28137" spans="20:20" s="566" customFormat="1">
      <c r="T28137" s="41"/>
    </row>
    <row r="28138" spans="20:20" s="566" customFormat="1">
      <c r="T28138" s="41"/>
    </row>
    <row r="28139" spans="20:20" s="566" customFormat="1">
      <c r="T28139" s="41"/>
    </row>
    <row r="28140" spans="20:20" s="566" customFormat="1">
      <c r="T28140" s="41"/>
    </row>
    <row r="28141" spans="20:20" s="566" customFormat="1">
      <c r="T28141" s="41"/>
    </row>
    <row r="28142" spans="20:20" s="566" customFormat="1">
      <c r="T28142" s="41"/>
    </row>
    <row r="28143" spans="20:20" s="566" customFormat="1">
      <c r="T28143" s="41"/>
    </row>
    <row r="28144" spans="20:20" s="566" customFormat="1">
      <c r="T28144" s="41"/>
    </row>
    <row r="28145" spans="20:20" s="566" customFormat="1">
      <c r="T28145" s="41"/>
    </row>
    <row r="28146" spans="20:20" s="566" customFormat="1">
      <c r="T28146" s="41"/>
    </row>
    <row r="28147" spans="20:20" s="566" customFormat="1">
      <c r="T28147" s="41"/>
    </row>
    <row r="28148" spans="20:20" s="566" customFormat="1">
      <c r="T28148" s="41"/>
    </row>
    <row r="28149" spans="20:20" s="566" customFormat="1">
      <c r="T28149" s="41"/>
    </row>
    <row r="28150" spans="20:20" s="566" customFormat="1">
      <c r="T28150" s="41"/>
    </row>
    <row r="28151" spans="20:20" s="566" customFormat="1">
      <c r="T28151" s="41"/>
    </row>
    <row r="28152" spans="20:20" s="566" customFormat="1">
      <c r="T28152" s="41"/>
    </row>
    <row r="28153" spans="20:20" s="566" customFormat="1">
      <c r="T28153" s="41"/>
    </row>
    <row r="28154" spans="20:20" s="566" customFormat="1">
      <c r="T28154" s="41"/>
    </row>
    <row r="28155" spans="20:20" s="566" customFormat="1">
      <c r="T28155" s="41"/>
    </row>
    <row r="28156" spans="20:20" s="566" customFormat="1">
      <c r="T28156" s="41"/>
    </row>
    <row r="28157" spans="20:20" s="566" customFormat="1">
      <c r="T28157" s="41"/>
    </row>
    <row r="28158" spans="20:20" s="566" customFormat="1">
      <c r="T28158" s="41"/>
    </row>
    <row r="28159" spans="20:20" s="566" customFormat="1">
      <c r="T28159" s="41"/>
    </row>
    <row r="28160" spans="20:20" s="566" customFormat="1">
      <c r="T28160" s="41"/>
    </row>
    <row r="28161" spans="20:20" s="566" customFormat="1">
      <c r="T28161" s="41"/>
    </row>
    <row r="28162" spans="20:20" s="566" customFormat="1">
      <c r="T28162" s="41"/>
    </row>
    <row r="28163" spans="20:20" s="566" customFormat="1">
      <c r="T28163" s="41"/>
    </row>
    <row r="28164" spans="20:20" s="566" customFormat="1">
      <c r="T28164" s="41"/>
    </row>
    <row r="28165" spans="20:20" s="566" customFormat="1">
      <c r="T28165" s="41"/>
    </row>
    <row r="28166" spans="20:20" s="566" customFormat="1">
      <c r="T28166" s="41"/>
    </row>
    <row r="28167" spans="20:20" s="566" customFormat="1">
      <c r="T28167" s="41"/>
    </row>
    <row r="28168" spans="20:20" s="566" customFormat="1">
      <c r="T28168" s="41"/>
    </row>
    <row r="28169" spans="20:20" s="566" customFormat="1">
      <c r="T28169" s="41"/>
    </row>
    <row r="28170" spans="20:20" s="566" customFormat="1">
      <c r="T28170" s="41"/>
    </row>
    <row r="28171" spans="20:20" s="566" customFormat="1">
      <c r="T28171" s="41"/>
    </row>
    <row r="28172" spans="20:20" s="566" customFormat="1">
      <c r="T28172" s="41"/>
    </row>
    <row r="28173" spans="20:20" s="566" customFormat="1">
      <c r="T28173" s="41"/>
    </row>
    <row r="28174" spans="20:20" s="566" customFormat="1">
      <c r="T28174" s="41"/>
    </row>
    <row r="28175" spans="20:20" s="566" customFormat="1">
      <c r="T28175" s="41"/>
    </row>
    <row r="28176" spans="20:20" s="566" customFormat="1">
      <c r="T28176" s="41"/>
    </row>
    <row r="28177" spans="20:20" s="566" customFormat="1">
      <c r="T28177" s="41"/>
    </row>
    <row r="28178" spans="20:20" s="566" customFormat="1">
      <c r="T28178" s="41"/>
    </row>
    <row r="28179" spans="20:20" s="566" customFormat="1">
      <c r="T28179" s="41"/>
    </row>
    <row r="28180" spans="20:20" s="566" customFormat="1">
      <c r="T28180" s="41"/>
    </row>
    <row r="28181" spans="20:20" s="566" customFormat="1">
      <c r="T28181" s="41"/>
    </row>
    <row r="28182" spans="20:20" s="566" customFormat="1">
      <c r="T28182" s="41"/>
    </row>
    <row r="28183" spans="20:20" s="566" customFormat="1">
      <c r="T28183" s="41"/>
    </row>
    <row r="28184" spans="20:20" s="566" customFormat="1">
      <c r="T28184" s="41"/>
    </row>
    <row r="28185" spans="20:20" s="566" customFormat="1">
      <c r="T28185" s="41"/>
    </row>
    <row r="28186" spans="20:20" s="566" customFormat="1">
      <c r="T28186" s="41"/>
    </row>
    <row r="28187" spans="20:20" s="566" customFormat="1">
      <c r="T28187" s="41"/>
    </row>
    <row r="28188" spans="20:20" s="566" customFormat="1">
      <c r="T28188" s="41"/>
    </row>
    <row r="28189" spans="20:20" s="566" customFormat="1">
      <c r="T28189" s="41"/>
    </row>
    <row r="28190" spans="20:20" s="566" customFormat="1">
      <c r="T28190" s="41"/>
    </row>
    <row r="28191" spans="20:20" s="566" customFormat="1">
      <c r="T28191" s="41"/>
    </row>
    <row r="28192" spans="20:20" s="566" customFormat="1">
      <c r="T28192" s="41"/>
    </row>
    <row r="28193" spans="20:20" s="566" customFormat="1">
      <c r="T28193" s="41"/>
    </row>
    <row r="28194" spans="20:20" s="566" customFormat="1">
      <c r="T28194" s="41"/>
    </row>
    <row r="28195" spans="20:20" s="566" customFormat="1">
      <c r="T28195" s="41"/>
    </row>
    <row r="28196" spans="20:20" s="566" customFormat="1">
      <c r="T28196" s="41"/>
    </row>
    <row r="28197" spans="20:20" s="566" customFormat="1">
      <c r="T28197" s="41"/>
    </row>
    <row r="28198" spans="20:20" s="566" customFormat="1">
      <c r="T28198" s="41"/>
    </row>
    <row r="28199" spans="20:20" s="566" customFormat="1">
      <c r="T28199" s="41"/>
    </row>
    <row r="28200" spans="20:20" s="566" customFormat="1">
      <c r="T28200" s="41"/>
    </row>
    <row r="28201" spans="20:20" s="566" customFormat="1">
      <c r="T28201" s="41"/>
    </row>
    <row r="28202" spans="20:20" s="566" customFormat="1">
      <c r="T28202" s="41"/>
    </row>
    <row r="28203" spans="20:20" s="566" customFormat="1">
      <c r="T28203" s="41"/>
    </row>
    <row r="28204" spans="20:20" s="566" customFormat="1">
      <c r="T28204" s="41"/>
    </row>
    <row r="28205" spans="20:20" s="566" customFormat="1">
      <c r="T28205" s="41"/>
    </row>
    <row r="28206" spans="20:20" s="566" customFormat="1">
      <c r="T28206" s="41"/>
    </row>
    <row r="28207" spans="20:20" s="566" customFormat="1">
      <c r="T28207" s="41"/>
    </row>
    <row r="28208" spans="20:20" s="566" customFormat="1">
      <c r="T28208" s="41"/>
    </row>
    <row r="28209" spans="20:20" s="566" customFormat="1">
      <c r="T28209" s="41"/>
    </row>
    <row r="28210" spans="20:20" s="566" customFormat="1">
      <c r="T28210" s="41"/>
    </row>
    <row r="28211" spans="20:20" s="566" customFormat="1">
      <c r="T28211" s="41"/>
    </row>
    <row r="28212" spans="20:20" s="566" customFormat="1">
      <c r="T28212" s="41"/>
    </row>
    <row r="28213" spans="20:20" s="566" customFormat="1">
      <c r="T28213" s="41"/>
    </row>
    <row r="28214" spans="20:20" s="566" customFormat="1">
      <c r="T28214" s="41"/>
    </row>
    <row r="28215" spans="20:20" s="566" customFormat="1">
      <c r="T28215" s="41"/>
    </row>
    <row r="28216" spans="20:20" s="566" customFormat="1">
      <c r="T28216" s="41"/>
    </row>
    <row r="28217" spans="20:20" s="566" customFormat="1">
      <c r="T28217" s="41"/>
    </row>
    <row r="28218" spans="20:20" s="566" customFormat="1">
      <c r="T28218" s="41"/>
    </row>
    <row r="28219" spans="20:20" s="566" customFormat="1">
      <c r="T28219" s="41"/>
    </row>
    <row r="28220" spans="20:20" s="566" customFormat="1">
      <c r="T28220" s="41"/>
    </row>
    <row r="28221" spans="20:20" s="566" customFormat="1">
      <c r="T28221" s="41"/>
    </row>
    <row r="28222" spans="20:20" s="566" customFormat="1">
      <c r="T28222" s="41"/>
    </row>
    <row r="28223" spans="20:20" s="566" customFormat="1">
      <c r="T28223" s="41"/>
    </row>
    <row r="28224" spans="20:20" s="566" customFormat="1">
      <c r="T28224" s="41"/>
    </row>
    <row r="28225" spans="20:20" s="566" customFormat="1">
      <c r="T28225" s="41"/>
    </row>
    <row r="28226" spans="20:20" s="566" customFormat="1">
      <c r="T28226" s="41"/>
    </row>
    <row r="28227" spans="20:20" s="566" customFormat="1">
      <c r="T28227" s="41"/>
    </row>
    <row r="28228" spans="20:20" s="566" customFormat="1">
      <c r="T28228" s="41"/>
    </row>
    <row r="28229" spans="20:20" s="566" customFormat="1">
      <c r="T28229" s="41"/>
    </row>
    <row r="28230" spans="20:20" s="566" customFormat="1">
      <c r="T28230" s="41"/>
    </row>
    <row r="28231" spans="20:20" s="566" customFormat="1">
      <c r="T28231" s="41"/>
    </row>
    <row r="28232" spans="20:20" s="566" customFormat="1">
      <c r="T28232" s="41"/>
    </row>
    <row r="28233" spans="20:20" s="566" customFormat="1">
      <c r="T28233" s="41"/>
    </row>
    <row r="28234" spans="20:20" s="566" customFormat="1">
      <c r="T28234" s="41"/>
    </row>
    <row r="28235" spans="20:20" s="566" customFormat="1">
      <c r="T28235" s="41"/>
    </row>
    <row r="28236" spans="20:20" s="566" customFormat="1">
      <c r="T28236" s="41"/>
    </row>
    <row r="28237" spans="20:20" s="566" customFormat="1">
      <c r="T28237" s="41"/>
    </row>
    <row r="28238" spans="20:20" s="566" customFormat="1">
      <c r="T28238" s="41"/>
    </row>
    <row r="28239" spans="20:20" s="566" customFormat="1">
      <c r="T28239" s="41"/>
    </row>
    <row r="28240" spans="20:20" s="566" customFormat="1">
      <c r="T28240" s="41"/>
    </row>
    <row r="28241" spans="20:20" s="566" customFormat="1">
      <c r="T28241" s="41"/>
    </row>
    <row r="28242" spans="20:20" s="566" customFormat="1">
      <c r="T28242" s="41"/>
    </row>
    <row r="28243" spans="20:20" s="566" customFormat="1">
      <c r="T28243" s="41"/>
    </row>
    <row r="28244" spans="20:20" s="566" customFormat="1">
      <c r="T28244" s="41"/>
    </row>
    <row r="28245" spans="20:20" s="566" customFormat="1">
      <c r="T28245" s="41"/>
    </row>
    <row r="28246" spans="20:20" s="566" customFormat="1">
      <c r="T28246" s="41"/>
    </row>
    <row r="28247" spans="20:20" s="566" customFormat="1">
      <c r="T28247" s="41"/>
    </row>
    <row r="28248" spans="20:20" s="566" customFormat="1">
      <c r="T28248" s="41"/>
    </row>
    <row r="28249" spans="20:20" s="566" customFormat="1">
      <c r="T28249" s="41"/>
    </row>
    <row r="28250" spans="20:20" s="566" customFormat="1">
      <c r="T28250" s="41"/>
    </row>
    <row r="28251" spans="20:20" s="566" customFormat="1">
      <c r="T28251" s="41"/>
    </row>
    <row r="28252" spans="20:20" s="566" customFormat="1">
      <c r="T28252" s="41"/>
    </row>
    <row r="28253" spans="20:20" s="566" customFormat="1">
      <c r="T28253" s="41"/>
    </row>
    <row r="28254" spans="20:20" s="566" customFormat="1">
      <c r="T28254" s="41"/>
    </row>
    <row r="28255" spans="20:20" s="566" customFormat="1">
      <c r="T28255" s="41"/>
    </row>
    <row r="28256" spans="20:20" s="566" customFormat="1">
      <c r="T28256" s="41"/>
    </row>
    <row r="28257" spans="20:20" s="566" customFormat="1">
      <c r="T28257" s="41"/>
    </row>
    <row r="28258" spans="20:20" s="566" customFormat="1">
      <c r="T28258" s="41"/>
    </row>
    <row r="28259" spans="20:20" s="566" customFormat="1">
      <c r="T28259" s="41"/>
    </row>
    <row r="28260" spans="20:20" s="566" customFormat="1">
      <c r="T28260" s="41"/>
    </row>
    <row r="28261" spans="20:20" s="566" customFormat="1">
      <c r="T28261" s="41"/>
    </row>
    <row r="28262" spans="20:20" s="566" customFormat="1">
      <c r="T28262" s="41"/>
    </row>
    <row r="28263" spans="20:20" s="566" customFormat="1">
      <c r="T28263" s="41"/>
    </row>
    <row r="28264" spans="20:20" s="566" customFormat="1">
      <c r="T28264" s="41"/>
    </row>
    <row r="28265" spans="20:20" s="566" customFormat="1">
      <c r="T28265" s="41"/>
    </row>
    <row r="28266" spans="20:20" s="566" customFormat="1">
      <c r="T28266" s="41"/>
    </row>
    <row r="28267" spans="20:20" s="566" customFormat="1">
      <c r="T28267" s="41"/>
    </row>
    <row r="28268" spans="20:20" s="566" customFormat="1">
      <c r="T28268" s="41"/>
    </row>
    <row r="28269" spans="20:20" s="566" customFormat="1">
      <c r="T28269" s="41"/>
    </row>
    <row r="28270" spans="20:20" s="566" customFormat="1">
      <c r="T28270" s="41"/>
    </row>
    <row r="28271" spans="20:20" s="566" customFormat="1">
      <c r="T28271" s="41"/>
    </row>
    <row r="28272" spans="20:20" s="566" customFormat="1">
      <c r="T28272" s="41"/>
    </row>
    <row r="28273" spans="20:20" s="566" customFormat="1">
      <c r="T28273" s="41"/>
    </row>
    <row r="28274" spans="20:20" s="566" customFormat="1">
      <c r="T28274" s="41"/>
    </row>
    <row r="28275" spans="20:20" s="566" customFormat="1">
      <c r="T28275" s="41"/>
    </row>
    <row r="28276" spans="20:20" s="566" customFormat="1">
      <c r="T28276" s="41"/>
    </row>
    <row r="28277" spans="20:20" s="566" customFormat="1">
      <c r="T28277" s="41"/>
    </row>
    <row r="28278" spans="20:20" s="566" customFormat="1">
      <c r="T28278" s="41"/>
    </row>
    <row r="28279" spans="20:20" s="566" customFormat="1">
      <c r="T28279" s="41"/>
    </row>
    <row r="28280" spans="20:20" s="566" customFormat="1">
      <c r="T28280" s="41"/>
    </row>
    <row r="28281" spans="20:20" s="566" customFormat="1">
      <c r="T28281" s="41"/>
    </row>
    <row r="28282" spans="20:20" s="566" customFormat="1">
      <c r="T28282" s="41"/>
    </row>
    <row r="28283" spans="20:20" s="566" customFormat="1">
      <c r="T28283" s="41"/>
    </row>
    <row r="28284" spans="20:20" s="566" customFormat="1">
      <c r="T28284" s="41"/>
    </row>
    <row r="28285" spans="20:20" s="566" customFormat="1">
      <c r="T28285" s="41"/>
    </row>
    <row r="28286" spans="20:20" s="566" customFormat="1">
      <c r="T28286" s="41"/>
    </row>
    <row r="28287" spans="20:20" s="566" customFormat="1">
      <c r="T28287" s="41"/>
    </row>
    <row r="28288" spans="20:20" s="566" customFormat="1">
      <c r="T28288" s="41"/>
    </row>
    <row r="28289" spans="20:20" s="566" customFormat="1">
      <c r="T28289" s="41"/>
    </row>
    <row r="28290" spans="20:20" s="566" customFormat="1">
      <c r="T28290" s="41"/>
    </row>
    <row r="28291" spans="20:20" s="566" customFormat="1">
      <c r="T28291" s="41"/>
    </row>
    <row r="28292" spans="20:20" s="566" customFormat="1">
      <c r="T28292" s="41"/>
    </row>
    <row r="28293" spans="20:20" s="566" customFormat="1">
      <c r="T28293" s="41"/>
    </row>
    <row r="28294" spans="20:20" s="566" customFormat="1">
      <c r="T28294" s="41"/>
    </row>
    <row r="28295" spans="20:20" s="566" customFormat="1">
      <c r="T28295" s="41"/>
    </row>
    <row r="28296" spans="20:20" s="566" customFormat="1">
      <c r="T28296" s="41"/>
    </row>
    <row r="28297" spans="20:20" s="566" customFormat="1">
      <c r="T28297" s="41"/>
    </row>
    <row r="28298" spans="20:20" s="566" customFormat="1">
      <c r="T28298" s="41"/>
    </row>
    <row r="28299" spans="20:20" s="566" customFormat="1">
      <c r="T28299" s="41"/>
    </row>
    <row r="28300" spans="20:20" s="566" customFormat="1">
      <c r="T28300" s="41"/>
    </row>
    <row r="28301" spans="20:20" s="566" customFormat="1">
      <c r="T28301" s="41"/>
    </row>
    <row r="28302" spans="20:20" s="566" customFormat="1">
      <c r="T28302" s="41"/>
    </row>
    <row r="28303" spans="20:20" s="566" customFormat="1">
      <c r="T28303" s="41"/>
    </row>
    <row r="28304" spans="20:20" s="566" customFormat="1">
      <c r="T28304" s="41"/>
    </row>
    <row r="28305" spans="20:20" s="566" customFormat="1">
      <c r="T28305" s="41"/>
    </row>
    <row r="28306" spans="20:20" s="566" customFormat="1">
      <c r="T28306" s="41"/>
    </row>
    <row r="28307" spans="20:20" s="566" customFormat="1">
      <c r="T28307" s="41"/>
    </row>
    <row r="28308" spans="20:20" s="566" customFormat="1">
      <c r="T28308" s="41"/>
    </row>
    <row r="28309" spans="20:20" s="566" customFormat="1">
      <c r="T28309" s="41"/>
    </row>
    <row r="28310" spans="20:20" s="566" customFormat="1">
      <c r="T28310" s="41"/>
    </row>
    <row r="28311" spans="20:20" s="566" customFormat="1">
      <c r="T28311" s="41"/>
    </row>
    <row r="28312" spans="20:20" s="566" customFormat="1">
      <c r="T28312" s="41"/>
    </row>
    <row r="28313" spans="20:20" s="566" customFormat="1">
      <c r="T28313" s="41"/>
    </row>
    <row r="28314" spans="20:20" s="566" customFormat="1">
      <c r="T28314" s="41"/>
    </row>
    <row r="28315" spans="20:20" s="566" customFormat="1">
      <c r="T28315" s="41"/>
    </row>
    <row r="28316" spans="20:20" s="566" customFormat="1">
      <c r="T28316" s="41"/>
    </row>
    <row r="28317" spans="20:20" s="566" customFormat="1">
      <c r="T28317" s="41"/>
    </row>
    <row r="28318" spans="20:20" s="566" customFormat="1">
      <c r="T28318" s="41"/>
    </row>
    <row r="28319" spans="20:20" s="566" customFormat="1">
      <c r="T28319" s="41"/>
    </row>
    <row r="28320" spans="20:20" s="566" customFormat="1">
      <c r="T28320" s="41"/>
    </row>
    <row r="28321" spans="20:20" s="566" customFormat="1">
      <c r="T28321" s="41"/>
    </row>
    <row r="28322" spans="20:20" s="566" customFormat="1">
      <c r="T28322" s="41"/>
    </row>
    <row r="28323" spans="20:20" s="566" customFormat="1">
      <c r="T28323" s="41"/>
    </row>
    <row r="28324" spans="20:20" s="566" customFormat="1">
      <c r="T28324" s="41"/>
    </row>
    <row r="28325" spans="20:20" s="566" customFormat="1">
      <c r="T28325" s="41"/>
    </row>
    <row r="28326" spans="20:20" s="566" customFormat="1">
      <c r="T28326" s="41"/>
    </row>
    <row r="28327" spans="20:20" s="566" customFormat="1">
      <c r="T28327" s="41"/>
    </row>
    <row r="28328" spans="20:20" s="566" customFormat="1">
      <c r="T28328" s="41"/>
    </row>
    <row r="28329" spans="20:20" s="566" customFormat="1">
      <c r="T28329" s="41"/>
    </row>
    <row r="28330" spans="20:20" s="566" customFormat="1">
      <c r="T28330" s="41"/>
    </row>
    <row r="28331" spans="20:20" s="566" customFormat="1">
      <c r="T28331" s="41"/>
    </row>
    <row r="28332" spans="20:20" s="566" customFormat="1">
      <c r="T28332" s="41"/>
    </row>
    <row r="28333" spans="20:20" s="566" customFormat="1">
      <c r="T28333" s="41"/>
    </row>
    <row r="28334" spans="20:20" s="566" customFormat="1">
      <c r="T28334" s="41"/>
    </row>
    <row r="28335" spans="20:20" s="566" customFormat="1">
      <c r="T28335" s="41"/>
    </row>
    <row r="28336" spans="20:20" s="566" customFormat="1">
      <c r="T28336" s="41"/>
    </row>
    <row r="28337" spans="20:20" s="566" customFormat="1">
      <c r="T28337" s="41"/>
    </row>
    <row r="28338" spans="20:20" s="566" customFormat="1">
      <c r="T28338" s="41"/>
    </row>
    <row r="28339" spans="20:20" s="566" customFormat="1">
      <c r="T28339" s="41"/>
    </row>
    <row r="28340" spans="20:20" s="566" customFormat="1">
      <c r="T28340" s="41"/>
    </row>
    <row r="28341" spans="20:20" s="566" customFormat="1">
      <c r="T28341" s="41"/>
    </row>
    <row r="28342" spans="20:20" s="566" customFormat="1">
      <c r="T28342" s="41"/>
    </row>
    <row r="28343" spans="20:20" s="566" customFormat="1">
      <c r="T28343" s="41"/>
    </row>
    <row r="28344" spans="20:20" s="566" customFormat="1">
      <c r="T28344" s="41"/>
    </row>
    <row r="28345" spans="20:20" s="566" customFormat="1">
      <c r="T28345" s="41"/>
    </row>
    <row r="28346" spans="20:20" s="566" customFormat="1">
      <c r="T28346" s="41"/>
    </row>
    <row r="28347" spans="20:20" s="566" customFormat="1">
      <c r="T28347" s="41"/>
    </row>
    <row r="28348" spans="20:20" s="566" customFormat="1">
      <c r="T28348" s="41"/>
    </row>
    <row r="28349" spans="20:20" s="566" customFormat="1">
      <c r="T28349" s="41"/>
    </row>
    <row r="28350" spans="20:20" s="566" customFormat="1">
      <c r="T28350" s="41"/>
    </row>
    <row r="28351" spans="20:20" s="566" customFormat="1">
      <c r="T28351" s="41"/>
    </row>
    <row r="28352" spans="20:20" s="566" customFormat="1">
      <c r="T28352" s="41"/>
    </row>
    <row r="28353" spans="20:20" s="566" customFormat="1">
      <c r="T28353" s="41"/>
    </row>
    <row r="28354" spans="20:20" s="566" customFormat="1">
      <c r="T28354" s="41"/>
    </row>
    <row r="28355" spans="20:20" s="566" customFormat="1">
      <c r="T28355" s="41"/>
    </row>
    <row r="28356" spans="20:20" s="566" customFormat="1">
      <c r="T28356" s="41"/>
    </row>
    <row r="28357" spans="20:20" s="566" customFormat="1">
      <c r="T28357" s="41"/>
    </row>
    <row r="28358" spans="20:20" s="566" customFormat="1">
      <c r="T28358" s="41"/>
    </row>
    <row r="28359" spans="20:20" s="566" customFormat="1">
      <c r="T28359" s="41"/>
    </row>
    <row r="28360" spans="20:20" s="566" customFormat="1">
      <c r="T28360" s="41"/>
    </row>
    <row r="28361" spans="20:20" s="566" customFormat="1">
      <c r="T28361" s="41"/>
    </row>
    <row r="28362" spans="20:20" s="566" customFormat="1">
      <c r="T28362" s="41"/>
    </row>
    <row r="28363" spans="20:20" s="566" customFormat="1">
      <c r="T28363" s="41"/>
    </row>
    <row r="28364" spans="20:20" s="566" customFormat="1">
      <c r="T28364" s="41"/>
    </row>
    <row r="28365" spans="20:20" s="566" customFormat="1">
      <c r="T28365" s="41"/>
    </row>
    <row r="28366" spans="20:20" s="566" customFormat="1">
      <c r="T28366" s="41"/>
    </row>
    <row r="28367" spans="20:20" s="566" customFormat="1">
      <c r="T28367" s="41"/>
    </row>
    <row r="28368" spans="20:20" s="566" customFormat="1">
      <c r="T28368" s="41"/>
    </row>
    <row r="28369" spans="20:20" s="566" customFormat="1">
      <c r="T28369" s="41"/>
    </row>
    <row r="28370" spans="20:20" s="566" customFormat="1">
      <c r="T28370" s="41"/>
    </row>
    <row r="28371" spans="20:20" s="566" customFormat="1">
      <c r="T28371" s="41"/>
    </row>
    <row r="28372" spans="20:20" s="566" customFormat="1">
      <c r="T28372" s="41"/>
    </row>
    <row r="28373" spans="20:20" s="566" customFormat="1">
      <c r="T28373" s="41"/>
    </row>
    <row r="28374" spans="20:20" s="566" customFormat="1">
      <c r="T28374" s="41"/>
    </row>
    <row r="28375" spans="20:20" s="566" customFormat="1">
      <c r="T28375" s="41"/>
    </row>
    <row r="28376" spans="20:20" s="566" customFormat="1">
      <c r="T28376" s="41"/>
    </row>
    <row r="28377" spans="20:20" s="566" customFormat="1">
      <c r="T28377" s="41"/>
    </row>
    <row r="28378" spans="20:20" s="566" customFormat="1">
      <c r="T28378" s="41"/>
    </row>
    <row r="28379" spans="20:20" s="566" customFormat="1">
      <c r="T28379" s="41"/>
    </row>
    <row r="28380" spans="20:20" s="566" customFormat="1">
      <c r="T28380" s="41"/>
    </row>
    <row r="28381" spans="20:20" s="566" customFormat="1">
      <c r="T28381" s="41"/>
    </row>
    <row r="28382" spans="20:20" s="566" customFormat="1">
      <c r="T28382" s="41"/>
    </row>
    <row r="28383" spans="20:20" s="566" customFormat="1">
      <c r="T28383" s="41"/>
    </row>
    <row r="28384" spans="20:20" s="566" customFormat="1">
      <c r="T28384" s="41"/>
    </row>
    <row r="28385" spans="20:20" s="566" customFormat="1">
      <c r="T28385" s="41"/>
    </row>
    <row r="28386" spans="20:20" s="566" customFormat="1">
      <c r="T28386" s="41"/>
    </row>
    <row r="28387" spans="20:20" s="566" customFormat="1">
      <c r="T28387" s="41"/>
    </row>
    <row r="28388" spans="20:20" s="566" customFormat="1">
      <c r="T28388" s="41"/>
    </row>
    <row r="28389" spans="20:20" s="566" customFormat="1">
      <c r="T28389" s="41"/>
    </row>
    <row r="28390" spans="20:20" s="566" customFormat="1">
      <c r="T28390" s="41"/>
    </row>
    <row r="28391" spans="20:20" s="566" customFormat="1">
      <c r="T28391" s="41"/>
    </row>
    <row r="28392" spans="20:20" s="566" customFormat="1">
      <c r="T28392" s="41"/>
    </row>
    <row r="28393" spans="20:20" s="566" customFormat="1">
      <c r="T28393" s="41"/>
    </row>
    <row r="28394" spans="20:20" s="566" customFormat="1">
      <c r="T28394" s="41"/>
    </row>
    <row r="28395" spans="20:20" s="566" customFormat="1">
      <c r="T28395" s="41"/>
    </row>
    <row r="28396" spans="20:20" s="566" customFormat="1">
      <c r="T28396" s="41"/>
    </row>
    <row r="28397" spans="20:20" s="566" customFormat="1">
      <c r="T28397" s="41"/>
    </row>
    <row r="28398" spans="20:20" s="566" customFormat="1">
      <c r="T28398" s="41"/>
    </row>
    <row r="28399" spans="20:20" s="566" customFormat="1">
      <c r="T28399" s="41"/>
    </row>
    <row r="28400" spans="20:20" s="566" customFormat="1">
      <c r="T28400" s="41"/>
    </row>
    <row r="28401" spans="20:20" s="566" customFormat="1">
      <c r="T28401" s="41"/>
    </row>
    <row r="28402" spans="20:20" s="566" customFormat="1">
      <c r="T28402" s="41"/>
    </row>
    <row r="28403" spans="20:20" s="566" customFormat="1">
      <c r="T28403" s="41"/>
    </row>
    <row r="28404" spans="20:20" s="566" customFormat="1">
      <c r="T28404" s="41"/>
    </row>
    <row r="28405" spans="20:20" s="566" customFormat="1">
      <c r="T28405" s="41"/>
    </row>
    <row r="28406" spans="20:20" s="566" customFormat="1">
      <c r="T28406" s="41"/>
    </row>
    <row r="28407" spans="20:20" s="566" customFormat="1">
      <c r="T28407" s="41"/>
    </row>
    <row r="28408" spans="20:20" s="566" customFormat="1">
      <c r="T28408" s="41"/>
    </row>
    <row r="28409" spans="20:20" s="566" customFormat="1">
      <c r="T28409" s="41"/>
    </row>
    <row r="28410" spans="20:20" s="566" customFormat="1">
      <c r="T28410" s="41"/>
    </row>
    <row r="28411" spans="20:20" s="566" customFormat="1">
      <c r="T28411" s="41"/>
    </row>
    <row r="28412" spans="20:20" s="566" customFormat="1">
      <c r="T28412" s="41"/>
    </row>
    <row r="28413" spans="20:20" s="566" customFormat="1">
      <c r="T28413" s="41"/>
    </row>
    <row r="28414" spans="20:20" s="566" customFormat="1">
      <c r="T28414" s="41"/>
    </row>
    <row r="28415" spans="20:20" s="566" customFormat="1">
      <c r="T28415" s="41"/>
    </row>
    <row r="28416" spans="20:20" s="566" customFormat="1">
      <c r="T28416" s="41"/>
    </row>
    <row r="28417" spans="20:20" s="566" customFormat="1">
      <c r="T28417" s="41"/>
    </row>
    <row r="28418" spans="20:20" s="566" customFormat="1">
      <c r="T28418" s="41"/>
    </row>
    <row r="28419" spans="20:20" s="566" customFormat="1">
      <c r="T28419" s="41"/>
    </row>
    <row r="28420" spans="20:20" s="566" customFormat="1">
      <c r="T28420" s="41"/>
    </row>
    <row r="28421" spans="20:20" s="566" customFormat="1">
      <c r="T28421" s="41"/>
    </row>
    <row r="28422" spans="20:20" s="566" customFormat="1">
      <c r="T28422" s="41"/>
    </row>
    <row r="28423" spans="20:20" s="566" customFormat="1">
      <c r="T28423" s="41"/>
    </row>
    <row r="28424" spans="20:20" s="566" customFormat="1">
      <c r="T28424" s="41"/>
    </row>
    <row r="28425" spans="20:20" s="566" customFormat="1">
      <c r="T28425" s="41"/>
    </row>
    <row r="28426" spans="20:20" s="566" customFormat="1">
      <c r="T28426" s="41"/>
    </row>
    <row r="28427" spans="20:20" s="566" customFormat="1">
      <c r="T28427" s="41"/>
    </row>
    <row r="28428" spans="20:20" s="566" customFormat="1">
      <c r="T28428" s="41"/>
    </row>
    <row r="28429" spans="20:20" s="566" customFormat="1">
      <c r="T28429" s="41"/>
    </row>
    <row r="28430" spans="20:20" s="566" customFormat="1">
      <c r="T28430" s="41"/>
    </row>
    <row r="28431" spans="20:20" s="566" customFormat="1">
      <c r="T28431" s="41"/>
    </row>
    <row r="28432" spans="20:20" s="566" customFormat="1">
      <c r="T28432" s="41"/>
    </row>
    <row r="28433" spans="20:20" s="566" customFormat="1">
      <c r="T28433" s="41"/>
    </row>
    <row r="28434" spans="20:20" s="566" customFormat="1">
      <c r="T28434" s="41"/>
    </row>
    <row r="28435" spans="20:20" s="566" customFormat="1">
      <c r="T28435" s="41"/>
    </row>
    <row r="28436" spans="20:20" s="566" customFormat="1">
      <c r="T28436" s="41"/>
    </row>
    <row r="28437" spans="20:20" s="566" customFormat="1">
      <c r="T28437" s="41"/>
    </row>
    <row r="28438" spans="20:20" s="566" customFormat="1">
      <c r="T28438" s="41"/>
    </row>
    <row r="28439" spans="20:20" s="566" customFormat="1">
      <c r="T28439" s="41"/>
    </row>
    <row r="28440" spans="20:20" s="566" customFormat="1">
      <c r="T28440" s="41"/>
    </row>
    <row r="28441" spans="20:20" s="566" customFormat="1">
      <c r="T28441" s="41"/>
    </row>
    <row r="28442" spans="20:20" s="566" customFormat="1">
      <c r="T28442" s="41"/>
    </row>
    <row r="28443" spans="20:20" s="566" customFormat="1">
      <c r="T28443" s="41"/>
    </row>
    <row r="28444" spans="20:20" s="566" customFormat="1">
      <c r="T28444" s="41"/>
    </row>
    <row r="28445" spans="20:20" s="566" customFormat="1">
      <c r="T28445" s="41"/>
    </row>
    <row r="28446" spans="20:20" s="566" customFormat="1">
      <c r="T28446" s="41"/>
    </row>
    <row r="28447" spans="20:20" s="566" customFormat="1">
      <c r="T28447" s="41"/>
    </row>
    <row r="28448" spans="20:20" s="566" customFormat="1">
      <c r="T28448" s="41"/>
    </row>
    <row r="28449" spans="20:20" s="566" customFormat="1">
      <c r="T28449" s="41"/>
    </row>
    <row r="28450" spans="20:20" s="566" customFormat="1">
      <c r="T28450" s="41"/>
    </row>
    <row r="28451" spans="20:20" s="566" customFormat="1">
      <c r="T28451" s="41"/>
    </row>
    <row r="28452" spans="20:20" s="566" customFormat="1">
      <c r="T28452" s="41"/>
    </row>
    <row r="28453" spans="20:20" s="566" customFormat="1">
      <c r="T28453" s="41"/>
    </row>
    <row r="28454" spans="20:20" s="566" customFormat="1">
      <c r="T28454" s="41"/>
    </row>
    <row r="28455" spans="20:20" s="566" customFormat="1">
      <c r="T28455" s="41"/>
    </row>
    <row r="28456" spans="20:20" s="566" customFormat="1">
      <c r="T28456" s="41"/>
    </row>
    <row r="28457" spans="20:20" s="566" customFormat="1">
      <c r="T28457" s="41"/>
    </row>
    <row r="28458" spans="20:20" s="566" customFormat="1">
      <c r="T28458" s="41"/>
    </row>
    <row r="28459" spans="20:20" s="566" customFormat="1">
      <c r="T28459" s="41"/>
    </row>
    <row r="28460" spans="20:20" s="566" customFormat="1">
      <c r="T28460" s="41"/>
    </row>
    <row r="28461" spans="20:20" s="566" customFormat="1">
      <c r="T28461" s="41"/>
    </row>
    <row r="28462" spans="20:20" s="566" customFormat="1">
      <c r="T28462" s="41"/>
    </row>
    <row r="28463" spans="20:20" s="566" customFormat="1">
      <c r="T28463" s="41"/>
    </row>
    <row r="28464" spans="20:20" s="566" customFormat="1">
      <c r="T28464" s="41"/>
    </row>
    <row r="28465" spans="20:20" s="566" customFormat="1">
      <c r="T28465" s="41"/>
    </row>
    <row r="28466" spans="20:20" s="566" customFormat="1">
      <c r="T28466" s="41"/>
    </row>
    <row r="28467" spans="20:20" s="566" customFormat="1">
      <c r="T28467" s="41"/>
    </row>
    <row r="28468" spans="20:20" s="566" customFormat="1">
      <c r="T28468" s="41"/>
    </row>
    <row r="28469" spans="20:20" s="566" customFormat="1">
      <c r="T28469" s="41"/>
    </row>
    <row r="28470" spans="20:20" s="566" customFormat="1">
      <c r="T28470" s="41"/>
    </row>
    <row r="28471" spans="20:20" s="566" customFormat="1">
      <c r="T28471" s="41"/>
    </row>
    <row r="28472" spans="20:20" s="566" customFormat="1">
      <c r="T28472" s="41"/>
    </row>
    <row r="28473" spans="20:20" s="566" customFormat="1">
      <c r="T28473" s="41"/>
    </row>
    <row r="28474" spans="20:20" s="566" customFormat="1">
      <c r="T28474" s="41"/>
    </row>
    <row r="28475" spans="20:20" s="566" customFormat="1">
      <c r="T28475" s="41"/>
    </row>
    <row r="28476" spans="20:20" s="566" customFormat="1">
      <c r="T28476" s="41"/>
    </row>
    <row r="28477" spans="20:20" s="566" customFormat="1">
      <c r="T28477" s="41"/>
    </row>
    <row r="28478" spans="20:20" s="566" customFormat="1">
      <c r="T28478" s="41"/>
    </row>
    <row r="28479" spans="20:20" s="566" customFormat="1">
      <c r="T28479" s="41"/>
    </row>
    <row r="28480" spans="20:20" s="566" customFormat="1">
      <c r="T28480" s="41"/>
    </row>
    <row r="28481" spans="20:20" s="566" customFormat="1">
      <c r="T28481" s="41"/>
    </row>
    <row r="28482" spans="20:20" s="566" customFormat="1">
      <c r="T28482" s="41"/>
    </row>
    <row r="28483" spans="20:20" s="566" customFormat="1">
      <c r="T28483" s="41"/>
    </row>
    <row r="28484" spans="20:20" s="566" customFormat="1">
      <c r="T28484" s="41"/>
    </row>
    <row r="28485" spans="20:20" s="566" customFormat="1">
      <c r="T28485" s="41"/>
    </row>
    <row r="28486" spans="20:20" s="566" customFormat="1">
      <c r="T28486" s="41"/>
    </row>
    <row r="28487" spans="20:20" s="566" customFormat="1">
      <c r="T28487" s="41"/>
    </row>
    <row r="28488" spans="20:20" s="566" customFormat="1">
      <c r="T28488" s="41"/>
    </row>
    <row r="28489" spans="20:20" s="566" customFormat="1">
      <c r="T28489" s="41"/>
    </row>
    <row r="28490" spans="20:20" s="566" customFormat="1">
      <c r="T28490" s="41"/>
    </row>
    <row r="28491" spans="20:20" s="566" customFormat="1">
      <c r="T28491" s="41"/>
    </row>
    <row r="28492" spans="20:20" s="566" customFormat="1">
      <c r="T28492" s="41"/>
    </row>
    <row r="28493" spans="20:20" s="566" customFormat="1">
      <c r="T28493" s="41"/>
    </row>
    <row r="28494" spans="20:20" s="566" customFormat="1">
      <c r="T28494" s="41"/>
    </row>
    <row r="28495" spans="20:20" s="566" customFormat="1">
      <c r="T28495" s="41"/>
    </row>
    <row r="28496" spans="20:20" s="566" customFormat="1">
      <c r="T28496" s="41"/>
    </row>
    <row r="28497" spans="20:20" s="566" customFormat="1">
      <c r="T28497" s="41"/>
    </row>
    <row r="28498" spans="20:20" s="566" customFormat="1">
      <c r="T28498" s="41"/>
    </row>
    <row r="28499" spans="20:20" s="566" customFormat="1">
      <c r="T28499" s="41"/>
    </row>
    <row r="28500" spans="20:20" s="566" customFormat="1">
      <c r="T28500" s="41"/>
    </row>
    <row r="28501" spans="20:20" s="566" customFormat="1">
      <c r="T28501" s="41"/>
    </row>
    <row r="28502" spans="20:20" s="566" customFormat="1">
      <c r="T28502" s="41"/>
    </row>
    <row r="28503" spans="20:20" s="566" customFormat="1">
      <c r="T28503" s="41"/>
    </row>
    <row r="28504" spans="20:20" s="566" customFormat="1">
      <c r="T28504" s="41"/>
    </row>
    <row r="28505" spans="20:20" s="566" customFormat="1">
      <c r="T28505" s="41"/>
    </row>
    <row r="28506" spans="20:20" s="566" customFormat="1">
      <c r="T28506" s="41"/>
    </row>
    <row r="28507" spans="20:20" s="566" customFormat="1">
      <c r="T28507" s="41"/>
    </row>
    <row r="28508" spans="20:20" s="566" customFormat="1">
      <c r="T28508" s="41"/>
    </row>
    <row r="28509" spans="20:20" s="566" customFormat="1">
      <c r="T28509" s="41"/>
    </row>
    <row r="28510" spans="20:20" s="566" customFormat="1">
      <c r="T28510" s="41"/>
    </row>
    <row r="28511" spans="20:20" s="566" customFormat="1">
      <c r="T28511" s="41"/>
    </row>
    <row r="28512" spans="20:20" s="566" customFormat="1">
      <c r="T28512" s="41"/>
    </row>
    <row r="28513" spans="20:20" s="566" customFormat="1">
      <c r="T28513" s="41"/>
    </row>
    <row r="28514" spans="20:20" s="566" customFormat="1">
      <c r="T28514" s="41"/>
    </row>
    <row r="28515" spans="20:20" s="566" customFormat="1">
      <c r="T28515" s="41"/>
    </row>
    <row r="28516" spans="20:20" s="566" customFormat="1">
      <c r="T28516" s="41"/>
    </row>
    <row r="28517" spans="20:20" s="566" customFormat="1">
      <c r="T28517" s="41"/>
    </row>
    <row r="28518" spans="20:20" s="566" customFormat="1">
      <c r="T28518" s="41"/>
    </row>
    <row r="28519" spans="20:20" s="566" customFormat="1">
      <c r="T28519" s="41"/>
    </row>
    <row r="28520" spans="20:20" s="566" customFormat="1">
      <c r="T28520" s="41"/>
    </row>
    <row r="28521" spans="20:20" s="566" customFormat="1">
      <c r="T28521" s="41"/>
    </row>
    <row r="28522" spans="20:20" s="566" customFormat="1">
      <c r="T28522" s="41"/>
    </row>
    <row r="28523" spans="20:20" s="566" customFormat="1">
      <c r="T28523" s="41"/>
    </row>
    <row r="28524" spans="20:20" s="566" customFormat="1">
      <c r="T28524" s="41"/>
    </row>
    <row r="28525" spans="20:20" s="566" customFormat="1">
      <c r="T28525" s="41"/>
    </row>
    <row r="28526" spans="20:20" s="566" customFormat="1">
      <c r="T28526" s="41"/>
    </row>
    <row r="28527" spans="20:20" s="566" customFormat="1">
      <c r="T28527" s="41"/>
    </row>
    <row r="28528" spans="20:20" s="566" customFormat="1">
      <c r="T28528" s="41"/>
    </row>
    <row r="28529" spans="20:20" s="566" customFormat="1">
      <c r="T28529" s="41"/>
    </row>
    <row r="28530" spans="20:20" s="566" customFormat="1">
      <c r="T28530" s="41"/>
    </row>
    <row r="28531" spans="20:20" s="566" customFormat="1">
      <c r="T28531" s="41"/>
    </row>
    <row r="28532" spans="20:20" s="566" customFormat="1">
      <c r="T28532" s="41"/>
    </row>
    <row r="28533" spans="20:20" s="566" customFormat="1">
      <c r="T28533" s="41"/>
    </row>
    <row r="28534" spans="20:20" s="566" customFormat="1">
      <c r="T28534" s="41"/>
    </row>
    <row r="28535" spans="20:20" s="566" customFormat="1">
      <c r="T28535" s="41"/>
    </row>
    <row r="28536" spans="20:20" s="566" customFormat="1">
      <c r="T28536" s="41"/>
    </row>
    <row r="28537" spans="20:20" s="566" customFormat="1">
      <c r="T28537" s="41"/>
    </row>
    <row r="28538" spans="20:20" s="566" customFormat="1">
      <c r="T28538" s="41"/>
    </row>
    <row r="28539" spans="20:20" s="566" customFormat="1">
      <c r="T28539" s="41"/>
    </row>
    <row r="28540" spans="20:20" s="566" customFormat="1">
      <c r="T28540" s="41"/>
    </row>
    <row r="28541" spans="20:20" s="566" customFormat="1">
      <c r="T28541" s="41"/>
    </row>
    <row r="28542" spans="20:20" s="566" customFormat="1">
      <c r="T28542" s="41"/>
    </row>
    <row r="28543" spans="20:20" s="566" customFormat="1">
      <c r="T28543" s="41"/>
    </row>
    <row r="28544" spans="20:20" s="566" customFormat="1">
      <c r="T28544" s="41"/>
    </row>
    <row r="28545" spans="20:20" s="566" customFormat="1">
      <c r="T28545" s="41"/>
    </row>
    <row r="28546" spans="20:20" s="566" customFormat="1">
      <c r="T28546" s="41"/>
    </row>
    <row r="28547" spans="20:20" s="566" customFormat="1">
      <c r="T28547" s="41"/>
    </row>
    <row r="28548" spans="20:20" s="566" customFormat="1">
      <c r="T28548" s="41"/>
    </row>
    <row r="28549" spans="20:20" s="566" customFormat="1">
      <c r="T28549" s="41"/>
    </row>
    <row r="28550" spans="20:20" s="566" customFormat="1">
      <c r="T28550" s="41"/>
    </row>
    <row r="28551" spans="20:20" s="566" customFormat="1">
      <c r="T28551" s="41"/>
    </row>
    <row r="28552" spans="20:20" s="566" customFormat="1">
      <c r="T28552" s="41"/>
    </row>
    <row r="28553" spans="20:20" s="566" customFormat="1">
      <c r="T28553" s="41"/>
    </row>
    <row r="28554" spans="20:20" s="566" customFormat="1">
      <c r="T28554" s="41"/>
    </row>
    <row r="28555" spans="20:20" s="566" customFormat="1">
      <c r="T28555" s="41"/>
    </row>
    <row r="28556" spans="20:20" s="566" customFormat="1">
      <c r="T28556" s="41"/>
    </row>
    <row r="28557" spans="20:20" s="566" customFormat="1">
      <c r="T28557" s="41"/>
    </row>
    <row r="28558" spans="20:20" s="566" customFormat="1">
      <c r="T28558" s="41"/>
    </row>
    <row r="28559" spans="20:20" s="566" customFormat="1">
      <c r="T28559" s="41"/>
    </row>
    <row r="28560" spans="20:20" s="566" customFormat="1">
      <c r="T28560" s="41"/>
    </row>
    <row r="28561" spans="20:20" s="566" customFormat="1">
      <c r="T28561" s="41"/>
    </row>
    <row r="28562" spans="20:20" s="566" customFormat="1">
      <c r="T28562" s="41"/>
    </row>
    <row r="28563" spans="20:20" s="566" customFormat="1">
      <c r="T28563" s="41"/>
    </row>
    <row r="28564" spans="20:20" s="566" customFormat="1">
      <c r="T28564" s="41"/>
    </row>
    <row r="28565" spans="20:20" s="566" customFormat="1">
      <c r="T28565" s="41"/>
    </row>
    <row r="28566" spans="20:20" s="566" customFormat="1">
      <c r="T28566" s="41"/>
    </row>
    <row r="28567" spans="20:20" s="566" customFormat="1">
      <c r="T28567" s="41"/>
    </row>
    <row r="28568" spans="20:20" s="566" customFormat="1">
      <c r="T28568" s="41"/>
    </row>
    <row r="28569" spans="20:20" s="566" customFormat="1">
      <c r="T28569" s="41"/>
    </row>
    <row r="28570" spans="20:20" s="566" customFormat="1">
      <c r="T28570" s="41"/>
    </row>
    <row r="28571" spans="20:20" s="566" customFormat="1">
      <c r="T28571" s="41"/>
    </row>
    <row r="28572" spans="20:20" s="566" customFormat="1">
      <c r="T28572" s="41"/>
    </row>
    <row r="28573" spans="20:20" s="566" customFormat="1">
      <c r="T28573" s="41"/>
    </row>
    <row r="28574" spans="20:20" s="566" customFormat="1">
      <c r="T28574" s="41"/>
    </row>
    <row r="28575" spans="20:20" s="566" customFormat="1">
      <c r="T28575" s="41"/>
    </row>
    <row r="28576" spans="20:20" s="566" customFormat="1">
      <c r="T28576" s="41"/>
    </row>
    <row r="28577" spans="20:20" s="566" customFormat="1">
      <c r="T28577" s="41"/>
    </row>
    <row r="28578" spans="20:20" s="566" customFormat="1">
      <c r="T28578" s="41"/>
    </row>
    <row r="28579" spans="20:20" s="566" customFormat="1">
      <c r="T28579" s="41"/>
    </row>
    <row r="28580" spans="20:20" s="566" customFormat="1">
      <c r="T28580" s="41"/>
    </row>
    <row r="28581" spans="20:20" s="566" customFormat="1">
      <c r="T28581" s="41"/>
    </row>
    <row r="28582" spans="20:20" s="566" customFormat="1">
      <c r="T28582" s="41"/>
    </row>
    <row r="28583" spans="20:20" s="566" customFormat="1">
      <c r="T28583" s="41"/>
    </row>
    <row r="28584" spans="20:20" s="566" customFormat="1">
      <c r="T28584" s="41"/>
    </row>
    <row r="28585" spans="20:20" s="566" customFormat="1">
      <c r="T28585" s="41"/>
    </row>
    <row r="28586" spans="20:20" s="566" customFormat="1">
      <c r="T28586" s="41"/>
    </row>
    <row r="28587" spans="20:20" s="566" customFormat="1">
      <c r="T28587" s="41"/>
    </row>
    <row r="28588" spans="20:20" s="566" customFormat="1">
      <c r="T28588" s="41"/>
    </row>
    <row r="28589" spans="20:20" s="566" customFormat="1">
      <c r="T28589" s="41"/>
    </row>
    <row r="28590" spans="20:20" s="566" customFormat="1">
      <c r="T28590" s="41"/>
    </row>
    <row r="28591" spans="20:20" s="566" customFormat="1">
      <c r="T28591" s="41"/>
    </row>
    <row r="28592" spans="20:20" s="566" customFormat="1">
      <c r="T28592" s="41"/>
    </row>
    <row r="28593" spans="20:20" s="566" customFormat="1">
      <c r="T28593" s="41"/>
    </row>
    <row r="28594" spans="20:20" s="566" customFormat="1">
      <c r="T28594" s="41"/>
    </row>
    <row r="28595" spans="20:20" s="566" customFormat="1">
      <c r="T28595" s="41"/>
    </row>
    <row r="28596" spans="20:20" s="566" customFormat="1">
      <c r="T28596" s="41"/>
    </row>
    <row r="28597" spans="20:20" s="566" customFormat="1">
      <c r="T28597" s="41"/>
    </row>
    <row r="28598" spans="20:20" s="566" customFormat="1">
      <c r="T28598" s="41"/>
    </row>
    <row r="28599" spans="20:20" s="566" customFormat="1">
      <c r="T28599" s="41"/>
    </row>
    <row r="28600" spans="20:20" s="566" customFormat="1">
      <c r="T28600" s="41"/>
    </row>
    <row r="28601" spans="20:20" s="566" customFormat="1">
      <c r="T28601" s="41"/>
    </row>
    <row r="28602" spans="20:20" s="566" customFormat="1">
      <c r="T28602" s="41"/>
    </row>
    <row r="28603" spans="20:20" s="566" customFormat="1">
      <c r="T28603" s="41"/>
    </row>
    <row r="28604" spans="20:20" s="566" customFormat="1">
      <c r="T28604" s="41"/>
    </row>
    <row r="28605" spans="20:20" s="566" customFormat="1">
      <c r="T28605" s="41"/>
    </row>
    <row r="28606" spans="20:20" s="566" customFormat="1">
      <c r="T28606" s="41"/>
    </row>
    <row r="28607" spans="20:20" s="566" customFormat="1">
      <c r="T28607" s="41"/>
    </row>
    <row r="28608" spans="20:20" s="566" customFormat="1">
      <c r="T28608" s="41"/>
    </row>
    <row r="28609" spans="20:20" s="566" customFormat="1">
      <c r="T28609" s="41"/>
    </row>
    <row r="28610" spans="20:20" s="566" customFormat="1">
      <c r="T28610" s="41"/>
    </row>
    <row r="28611" spans="20:20" s="566" customFormat="1">
      <c r="T28611" s="41"/>
    </row>
    <row r="28612" spans="20:20" s="566" customFormat="1">
      <c r="T28612" s="41"/>
    </row>
    <row r="28613" spans="20:20" s="566" customFormat="1">
      <c r="T28613" s="41"/>
    </row>
    <row r="28614" spans="20:20" s="566" customFormat="1">
      <c r="T28614" s="41"/>
    </row>
    <row r="28615" spans="20:20" s="566" customFormat="1">
      <c r="T28615" s="41"/>
    </row>
    <row r="28616" spans="20:20" s="566" customFormat="1">
      <c r="T28616" s="41"/>
    </row>
    <row r="28617" spans="20:20" s="566" customFormat="1">
      <c r="T28617" s="41"/>
    </row>
    <row r="28618" spans="20:20" s="566" customFormat="1">
      <c r="T28618" s="41"/>
    </row>
    <row r="28619" spans="20:20" s="566" customFormat="1">
      <c r="T28619" s="41"/>
    </row>
    <row r="28620" spans="20:20" s="566" customFormat="1">
      <c r="T28620" s="41"/>
    </row>
    <row r="28621" spans="20:20" s="566" customFormat="1">
      <c r="T28621" s="41"/>
    </row>
    <row r="28622" spans="20:20" s="566" customFormat="1">
      <c r="T28622" s="41"/>
    </row>
    <row r="28623" spans="20:20" s="566" customFormat="1">
      <c r="T28623" s="41"/>
    </row>
    <row r="28624" spans="20:20" s="566" customFormat="1">
      <c r="T28624" s="41"/>
    </row>
    <row r="28625" spans="20:20" s="566" customFormat="1">
      <c r="T28625" s="41"/>
    </row>
    <row r="28626" spans="20:20" s="566" customFormat="1">
      <c r="T28626" s="41"/>
    </row>
    <row r="28627" spans="20:20" s="566" customFormat="1">
      <c r="T28627" s="41"/>
    </row>
    <row r="28628" spans="20:20" s="566" customFormat="1">
      <c r="T28628" s="41"/>
    </row>
    <row r="28629" spans="20:20" s="566" customFormat="1">
      <c r="T28629" s="41"/>
    </row>
    <row r="28630" spans="20:20" s="566" customFormat="1">
      <c r="T28630" s="41"/>
    </row>
    <row r="28631" spans="20:20" s="566" customFormat="1">
      <c r="T28631" s="41"/>
    </row>
    <row r="28632" spans="20:20" s="566" customFormat="1">
      <c r="T28632" s="41"/>
    </row>
    <row r="28633" spans="20:20" s="566" customFormat="1">
      <c r="T28633" s="41"/>
    </row>
    <row r="28634" spans="20:20" s="566" customFormat="1">
      <c r="T28634" s="41"/>
    </row>
    <row r="28635" spans="20:20" s="566" customFormat="1">
      <c r="T28635" s="41"/>
    </row>
    <row r="28636" spans="20:20" s="566" customFormat="1">
      <c r="T28636" s="41"/>
    </row>
    <row r="28637" spans="20:20" s="566" customFormat="1">
      <c r="T28637" s="41"/>
    </row>
    <row r="28638" spans="20:20" s="566" customFormat="1">
      <c r="T28638" s="41"/>
    </row>
    <row r="28639" spans="20:20" s="566" customFormat="1">
      <c r="T28639" s="41"/>
    </row>
    <row r="28640" spans="20:20" s="566" customFormat="1">
      <c r="T28640" s="41"/>
    </row>
    <row r="28641" spans="20:20" s="566" customFormat="1">
      <c r="T28641" s="41"/>
    </row>
    <row r="28642" spans="20:20" s="566" customFormat="1">
      <c r="T28642" s="41"/>
    </row>
    <row r="28643" spans="20:20" s="566" customFormat="1">
      <c r="T28643" s="41"/>
    </row>
    <row r="28644" spans="20:20" s="566" customFormat="1">
      <c r="T28644" s="41"/>
    </row>
    <row r="28645" spans="20:20" s="566" customFormat="1">
      <c r="T28645" s="41"/>
    </row>
    <row r="28646" spans="20:20" s="566" customFormat="1">
      <c r="T28646" s="41"/>
    </row>
    <row r="28647" spans="20:20" s="566" customFormat="1">
      <c r="T28647" s="41"/>
    </row>
    <row r="28648" spans="20:20" s="566" customFormat="1">
      <c r="T28648" s="41"/>
    </row>
    <row r="28649" spans="20:20" s="566" customFormat="1">
      <c r="T28649" s="41"/>
    </row>
    <row r="28650" spans="20:20" s="566" customFormat="1">
      <c r="T28650" s="41"/>
    </row>
    <row r="28651" spans="20:20" s="566" customFormat="1">
      <c r="T28651" s="41"/>
    </row>
    <row r="28652" spans="20:20" s="566" customFormat="1">
      <c r="T28652" s="41"/>
    </row>
    <row r="28653" spans="20:20" s="566" customFormat="1">
      <c r="T28653" s="41"/>
    </row>
    <row r="28654" spans="20:20" s="566" customFormat="1">
      <c r="T28654" s="41"/>
    </row>
    <row r="28655" spans="20:20" s="566" customFormat="1">
      <c r="T28655" s="41"/>
    </row>
    <row r="28656" spans="20:20" s="566" customFormat="1">
      <c r="T28656" s="41"/>
    </row>
    <row r="28657" spans="20:20" s="566" customFormat="1">
      <c r="T28657" s="41"/>
    </row>
    <row r="28658" spans="20:20" s="566" customFormat="1">
      <c r="T28658" s="41"/>
    </row>
    <row r="28659" spans="20:20" s="566" customFormat="1">
      <c r="T28659" s="41"/>
    </row>
    <row r="28660" spans="20:20" s="566" customFormat="1">
      <c r="T28660" s="41"/>
    </row>
    <row r="28661" spans="20:20" s="566" customFormat="1">
      <c r="T28661" s="41"/>
    </row>
    <row r="28662" spans="20:20" s="566" customFormat="1">
      <c r="T28662" s="41"/>
    </row>
    <row r="28663" spans="20:20" s="566" customFormat="1">
      <c r="T28663" s="41"/>
    </row>
    <row r="28664" spans="20:20" s="566" customFormat="1">
      <c r="T28664" s="41"/>
    </row>
    <row r="28665" spans="20:20" s="566" customFormat="1">
      <c r="T28665" s="41"/>
    </row>
    <row r="28666" spans="20:20" s="566" customFormat="1">
      <c r="T28666" s="41"/>
    </row>
    <row r="28667" spans="20:20" s="566" customFormat="1">
      <c r="T28667" s="41"/>
    </row>
    <row r="28668" spans="20:20" s="566" customFormat="1">
      <c r="T28668" s="41"/>
    </row>
    <row r="28669" spans="20:20" s="566" customFormat="1">
      <c r="T28669" s="41"/>
    </row>
    <row r="28670" spans="20:20" s="566" customFormat="1">
      <c r="T28670" s="41"/>
    </row>
    <row r="28671" spans="20:20" s="566" customFormat="1">
      <c r="T28671" s="41"/>
    </row>
    <row r="28672" spans="20:20" s="566" customFormat="1">
      <c r="T28672" s="41"/>
    </row>
    <row r="28673" spans="20:20" s="566" customFormat="1">
      <c r="T28673" s="41"/>
    </row>
    <row r="28674" spans="20:20" s="566" customFormat="1">
      <c r="T28674" s="41"/>
    </row>
    <row r="28675" spans="20:20" s="566" customFormat="1">
      <c r="T28675" s="41"/>
    </row>
    <row r="28676" spans="20:20" s="566" customFormat="1">
      <c r="T28676" s="41"/>
    </row>
    <row r="28677" spans="20:20" s="566" customFormat="1">
      <c r="T28677" s="41"/>
    </row>
    <row r="28678" spans="20:20" s="566" customFormat="1">
      <c r="T28678" s="41"/>
    </row>
    <row r="28679" spans="20:20" s="566" customFormat="1">
      <c r="T28679" s="41"/>
    </row>
    <row r="28680" spans="20:20" s="566" customFormat="1">
      <c r="T28680" s="41"/>
    </row>
    <row r="28681" spans="20:20" s="566" customFormat="1">
      <c r="T28681" s="41"/>
    </row>
    <row r="28682" spans="20:20" s="566" customFormat="1">
      <c r="T28682" s="41"/>
    </row>
    <row r="28683" spans="20:20" s="566" customFormat="1">
      <c r="T28683" s="41"/>
    </row>
    <row r="28684" spans="20:20" s="566" customFormat="1">
      <c r="T28684" s="41"/>
    </row>
    <row r="28685" spans="20:20" s="566" customFormat="1">
      <c r="T28685" s="41"/>
    </row>
    <row r="28686" spans="20:20" s="566" customFormat="1">
      <c r="T28686" s="41"/>
    </row>
    <row r="28687" spans="20:20" s="566" customFormat="1">
      <c r="T28687" s="41"/>
    </row>
    <row r="28688" spans="20:20" s="566" customFormat="1">
      <c r="T28688" s="41"/>
    </row>
    <row r="28689" spans="20:20" s="566" customFormat="1">
      <c r="T28689" s="41"/>
    </row>
    <row r="28690" spans="20:20" s="566" customFormat="1">
      <c r="T28690" s="41"/>
    </row>
    <row r="28691" spans="20:20" s="566" customFormat="1">
      <c r="T28691" s="41"/>
    </row>
    <row r="28692" spans="20:20" s="566" customFormat="1">
      <c r="T28692" s="41"/>
    </row>
    <row r="28693" spans="20:20" s="566" customFormat="1">
      <c r="T28693" s="41"/>
    </row>
    <row r="28694" spans="20:20" s="566" customFormat="1">
      <c r="T28694" s="41"/>
    </row>
    <row r="28695" spans="20:20" s="566" customFormat="1">
      <c r="T28695" s="41"/>
    </row>
    <row r="28696" spans="20:20" s="566" customFormat="1">
      <c r="T28696" s="41"/>
    </row>
    <row r="28697" spans="20:20" s="566" customFormat="1">
      <c r="T28697" s="41"/>
    </row>
    <row r="28698" spans="20:20" s="566" customFormat="1">
      <c r="T28698" s="41"/>
    </row>
    <row r="28699" spans="20:20" s="566" customFormat="1">
      <c r="T28699" s="41"/>
    </row>
    <row r="28700" spans="20:20" s="566" customFormat="1">
      <c r="T28700" s="41"/>
    </row>
    <row r="28701" spans="20:20" s="566" customFormat="1">
      <c r="T28701" s="41"/>
    </row>
    <row r="28702" spans="20:20" s="566" customFormat="1">
      <c r="T28702" s="41"/>
    </row>
    <row r="28703" spans="20:20" s="566" customFormat="1">
      <c r="T28703" s="41"/>
    </row>
    <row r="28704" spans="20:20" s="566" customFormat="1">
      <c r="T28704" s="41"/>
    </row>
    <row r="28705" spans="20:20" s="566" customFormat="1">
      <c r="T28705" s="41"/>
    </row>
    <row r="28706" spans="20:20" s="566" customFormat="1">
      <c r="T28706" s="41"/>
    </row>
    <row r="28707" spans="20:20" s="566" customFormat="1">
      <c r="T28707" s="41"/>
    </row>
    <row r="28708" spans="20:20" s="566" customFormat="1">
      <c r="T28708" s="41"/>
    </row>
    <row r="28709" spans="20:20" s="566" customFormat="1">
      <c r="T28709" s="41"/>
    </row>
    <row r="28710" spans="20:20" s="566" customFormat="1">
      <c r="T28710" s="41"/>
    </row>
    <row r="28711" spans="20:20" s="566" customFormat="1">
      <c r="T28711" s="41"/>
    </row>
    <row r="28712" spans="20:20" s="566" customFormat="1">
      <c r="T28712" s="41"/>
    </row>
    <row r="28713" spans="20:20" s="566" customFormat="1">
      <c r="T28713" s="41"/>
    </row>
    <row r="28714" spans="20:20" s="566" customFormat="1">
      <c r="T28714" s="41"/>
    </row>
    <row r="28715" spans="20:20" s="566" customFormat="1">
      <c r="T28715" s="41"/>
    </row>
    <row r="28716" spans="20:20" s="566" customFormat="1">
      <c r="T28716" s="41"/>
    </row>
    <row r="28717" spans="20:20" s="566" customFormat="1">
      <c r="T28717" s="41"/>
    </row>
    <row r="28718" spans="20:20" s="566" customFormat="1">
      <c r="T28718" s="41"/>
    </row>
    <row r="28719" spans="20:20" s="566" customFormat="1">
      <c r="T28719" s="41"/>
    </row>
    <row r="28720" spans="20:20" s="566" customFormat="1">
      <c r="T28720" s="41"/>
    </row>
    <row r="28721" spans="20:20" s="566" customFormat="1">
      <c r="T28721" s="41"/>
    </row>
    <row r="28722" spans="20:20" s="566" customFormat="1">
      <c r="T28722" s="41"/>
    </row>
    <row r="28723" spans="20:20" s="566" customFormat="1">
      <c r="T28723" s="41"/>
    </row>
    <row r="28724" spans="20:20" s="566" customFormat="1">
      <c r="T28724" s="41"/>
    </row>
    <row r="28725" spans="20:20" s="566" customFormat="1">
      <c r="T28725" s="41"/>
    </row>
    <row r="28726" spans="20:20" s="566" customFormat="1">
      <c r="T28726" s="41"/>
    </row>
    <row r="28727" spans="20:20" s="566" customFormat="1">
      <c r="T28727" s="41"/>
    </row>
    <row r="28728" spans="20:20" s="566" customFormat="1">
      <c r="T28728" s="41"/>
    </row>
    <row r="28729" spans="20:20" s="566" customFormat="1">
      <c r="T28729" s="41"/>
    </row>
    <row r="28730" spans="20:20" s="566" customFormat="1">
      <c r="T28730" s="41"/>
    </row>
    <row r="28731" spans="20:20" s="566" customFormat="1">
      <c r="T28731" s="41"/>
    </row>
    <row r="28732" spans="20:20" s="566" customFormat="1">
      <c r="T28732" s="41"/>
    </row>
    <row r="28733" spans="20:20" s="566" customFormat="1">
      <c r="T28733" s="41"/>
    </row>
    <row r="28734" spans="20:20" s="566" customFormat="1">
      <c r="T28734" s="41"/>
    </row>
    <row r="28735" spans="20:20" s="566" customFormat="1">
      <c r="T28735" s="41"/>
    </row>
    <row r="28736" spans="20:20" s="566" customFormat="1">
      <c r="T28736" s="41"/>
    </row>
    <row r="28737" spans="20:20" s="566" customFormat="1">
      <c r="T28737" s="41"/>
    </row>
    <row r="28738" spans="20:20" s="566" customFormat="1">
      <c r="T28738" s="41"/>
    </row>
    <row r="28739" spans="20:20" s="566" customFormat="1">
      <c r="T28739" s="41"/>
    </row>
    <row r="28740" spans="20:20" s="566" customFormat="1">
      <c r="T28740" s="41"/>
    </row>
    <row r="28741" spans="20:20" s="566" customFormat="1">
      <c r="T28741" s="41"/>
    </row>
    <row r="28742" spans="20:20" s="566" customFormat="1">
      <c r="T28742" s="41"/>
    </row>
    <row r="28743" spans="20:20" s="566" customFormat="1">
      <c r="T28743" s="41"/>
    </row>
    <row r="28744" spans="20:20" s="566" customFormat="1">
      <c r="T28744" s="41"/>
    </row>
    <row r="28745" spans="20:20" s="566" customFormat="1">
      <c r="T28745" s="41"/>
    </row>
    <row r="28746" spans="20:20" s="566" customFormat="1">
      <c r="T28746" s="41"/>
    </row>
    <row r="28747" spans="20:20" s="566" customFormat="1">
      <c r="T28747" s="41"/>
    </row>
    <row r="28748" spans="20:20" s="566" customFormat="1">
      <c r="T28748" s="41"/>
    </row>
    <row r="28749" spans="20:20" s="566" customFormat="1">
      <c r="T28749" s="41"/>
    </row>
    <row r="28750" spans="20:20" s="566" customFormat="1">
      <c r="T28750" s="41"/>
    </row>
    <row r="28751" spans="20:20" s="566" customFormat="1">
      <c r="T28751" s="41"/>
    </row>
    <row r="28752" spans="20:20" s="566" customFormat="1">
      <c r="T28752" s="41"/>
    </row>
    <row r="28753" spans="20:20" s="566" customFormat="1">
      <c r="T28753" s="41"/>
    </row>
    <row r="28754" spans="20:20" s="566" customFormat="1">
      <c r="T28754" s="41"/>
    </row>
    <row r="28755" spans="20:20" s="566" customFormat="1">
      <c r="T28755" s="41"/>
    </row>
    <row r="28756" spans="20:20" s="566" customFormat="1">
      <c r="T28756" s="41"/>
    </row>
    <row r="28757" spans="20:20" s="566" customFormat="1">
      <c r="T28757" s="41"/>
    </row>
    <row r="28758" spans="20:20" s="566" customFormat="1">
      <c r="T28758" s="41"/>
    </row>
    <row r="28759" spans="20:20" s="566" customFormat="1">
      <c r="T28759" s="41"/>
    </row>
    <row r="28760" spans="20:20" s="566" customFormat="1">
      <c r="T28760" s="41"/>
    </row>
    <row r="28761" spans="20:20" s="566" customFormat="1">
      <c r="T28761" s="41"/>
    </row>
    <row r="28762" spans="20:20" s="566" customFormat="1">
      <c r="T28762" s="41"/>
    </row>
    <row r="28763" spans="20:20" s="566" customFormat="1">
      <c r="T28763" s="41"/>
    </row>
    <row r="28764" spans="20:20" s="566" customFormat="1">
      <c r="T28764" s="41"/>
    </row>
    <row r="28765" spans="20:20" s="566" customFormat="1">
      <c r="T28765" s="41"/>
    </row>
    <row r="28766" spans="20:20" s="566" customFormat="1">
      <c r="T28766" s="41"/>
    </row>
    <row r="28767" spans="20:20" s="566" customFormat="1">
      <c r="T28767" s="41"/>
    </row>
    <row r="28768" spans="20:20" s="566" customFormat="1">
      <c r="T28768" s="41"/>
    </row>
    <row r="28769" spans="20:20" s="566" customFormat="1">
      <c r="T28769" s="41"/>
    </row>
    <row r="28770" spans="20:20" s="566" customFormat="1">
      <c r="T28770" s="41"/>
    </row>
    <row r="28771" spans="20:20" s="566" customFormat="1">
      <c r="T28771" s="41"/>
    </row>
    <row r="28772" spans="20:20" s="566" customFormat="1">
      <c r="T28772" s="41"/>
    </row>
    <row r="28773" spans="20:20" s="566" customFormat="1">
      <c r="T28773" s="41"/>
    </row>
    <row r="28774" spans="20:20" s="566" customFormat="1">
      <c r="T28774" s="41"/>
    </row>
    <row r="28775" spans="20:20" s="566" customFormat="1">
      <c r="T28775" s="41"/>
    </row>
    <row r="28776" spans="20:20" s="566" customFormat="1">
      <c r="T28776" s="41"/>
    </row>
    <row r="28777" spans="20:20" s="566" customFormat="1">
      <c r="T28777" s="41"/>
    </row>
    <row r="28778" spans="20:20" s="566" customFormat="1">
      <c r="T28778" s="41"/>
    </row>
    <row r="28779" spans="20:20" s="566" customFormat="1">
      <c r="T28779" s="41"/>
    </row>
    <row r="28780" spans="20:20" s="566" customFormat="1">
      <c r="T28780" s="41"/>
    </row>
    <row r="28781" spans="20:20" s="566" customFormat="1">
      <c r="T28781" s="41"/>
    </row>
    <row r="28782" spans="20:20" s="566" customFormat="1">
      <c r="T28782" s="41"/>
    </row>
    <row r="28783" spans="20:20" s="566" customFormat="1">
      <c r="T28783" s="41"/>
    </row>
    <row r="28784" spans="20:20" s="566" customFormat="1">
      <c r="T28784" s="41"/>
    </row>
    <row r="28785" spans="20:20" s="566" customFormat="1">
      <c r="T28785" s="41"/>
    </row>
    <row r="28786" spans="20:20" s="566" customFormat="1">
      <c r="T28786" s="41"/>
    </row>
    <row r="28787" spans="20:20" s="566" customFormat="1">
      <c r="T28787" s="41"/>
    </row>
    <row r="28788" spans="20:20" s="566" customFormat="1">
      <c r="T28788" s="41"/>
    </row>
    <row r="28789" spans="20:20" s="566" customFormat="1">
      <c r="T28789" s="41"/>
    </row>
    <row r="28790" spans="20:20" s="566" customFormat="1">
      <c r="T28790" s="41"/>
    </row>
    <row r="28791" spans="20:20" s="566" customFormat="1">
      <c r="T28791" s="41"/>
    </row>
    <row r="28792" spans="20:20" s="566" customFormat="1">
      <c r="T28792" s="41"/>
    </row>
    <row r="28793" spans="20:20" s="566" customFormat="1">
      <c r="T28793" s="41"/>
    </row>
    <row r="28794" spans="20:20" s="566" customFormat="1">
      <c r="T28794" s="41"/>
    </row>
    <row r="28795" spans="20:20" s="566" customFormat="1">
      <c r="T28795" s="41"/>
    </row>
    <row r="28796" spans="20:20" s="566" customFormat="1">
      <c r="T28796" s="41"/>
    </row>
    <row r="28797" spans="20:20" s="566" customFormat="1">
      <c r="T28797" s="41"/>
    </row>
    <row r="28798" spans="20:20" s="566" customFormat="1">
      <c r="T28798" s="41"/>
    </row>
    <row r="28799" spans="20:20" s="566" customFormat="1">
      <c r="T28799" s="41"/>
    </row>
    <row r="28800" spans="20:20" s="566" customFormat="1">
      <c r="T28800" s="41"/>
    </row>
    <row r="28801" spans="20:20" s="566" customFormat="1">
      <c r="T28801" s="41"/>
    </row>
    <row r="28802" spans="20:20" s="566" customFormat="1">
      <c r="T28802" s="41"/>
    </row>
    <row r="28803" spans="20:20" s="566" customFormat="1">
      <c r="T28803" s="41"/>
    </row>
    <row r="28804" spans="20:20" s="566" customFormat="1">
      <c r="T28804" s="41"/>
    </row>
    <row r="28805" spans="20:20" s="566" customFormat="1">
      <c r="T28805" s="41"/>
    </row>
    <row r="28806" spans="20:20" s="566" customFormat="1">
      <c r="T28806" s="41"/>
    </row>
    <row r="28807" spans="20:20" s="566" customFormat="1">
      <c r="T28807" s="41"/>
    </row>
    <row r="28808" spans="20:20" s="566" customFormat="1">
      <c r="T28808" s="41"/>
    </row>
    <row r="28809" spans="20:20" s="566" customFormat="1">
      <c r="T28809" s="41"/>
    </row>
    <row r="28810" spans="20:20" s="566" customFormat="1">
      <c r="T28810" s="41"/>
    </row>
    <row r="28811" spans="20:20" s="566" customFormat="1">
      <c r="T28811" s="41"/>
    </row>
    <row r="28812" spans="20:20" s="566" customFormat="1">
      <c r="T28812" s="41"/>
    </row>
    <row r="28813" spans="20:20" s="566" customFormat="1">
      <c r="T28813" s="41"/>
    </row>
    <row r="28814" spans="20:20" s="566" customFormat="1">
      <c r="T28814" s="41"/>
    </row>
    <row r="28815" spans="20:20" s="566" customFormat="1">
      <c r="T28815" s="41"/>
    </row>
    <row r="28816" spans="20:20" s="566" customFormat="1">
      <c r="T28816" s="41"/>
    </row>
    <row r="28817" spans="20:20" s="566" customFormat="1">
      <c r="T28817" s="41"/>
    </row>
    <row r="28818" spans="20:20" s="566" customFormat="1">
      <c r="T28818" s="41"/>
    </row>
    <row r="28819" spans="20:20" s="566" customFormat="1">
      <c r="T28819" s="41"/>
    </row>
    <row r="28820" spans="20:20" s="566" customFormat="1">
      <c r="T28820" s="41"/>
    </row>
    <row r="28821" spans="20:20" s="566" customFormat="1">
      <c r="T28821" s="41"/>
    </row>
    <row r="28822" spans="20:20" s="566" customFormat="1">
      <c r="T28822" s="41"/>
    </row>
    <row r="28823" spans="20:20" s="566" customFormat="1">
      <c r="T28823" s="41"/>
    </row>
    <row r="28824" spans="20:20" s="566" customFormat="1">
      <c r="T28824" s="41"/>
    </row>
    <row r="28825" spans="20:20" s="566" customFormat="1">
      <c r="T28825" s="41"/>
    </row>
    <row r="28826" spans="20:20" s="566" customFormat="1">
      <c r="T28826" s="41"/>
    </row>
    <row r="28827" spans="20:20" s="566" customFormat="1">
      <c r="T28827" s="41"/>
    </row>
    <row r="28828" spans="20:20" s="566" customFormat="1">
      <c r="T28828" s="41"/>
    </row>
    <row r="28829" spans="20:20" s="566" customFormat="1">
      <c r="T28829" s="41"/>
    </row>
    <row r="28830" spans="20:20" s="566" customFormat="1">
      <c r="T28830" s="41"/>
    </row>
    <row r="28831" spans="20:20" s="566" customFormat="1">
      <c r="T28831" s="41"/>
    </row>
    <row r="28832" spans="20:20" s="566" customFormat="1">
      <c r="T28832" s="41"/>
    </row>
    <row r="28833" spans="20:20" s="566" customFormat="1">
      <c r="T28833" s="41"/>
    </row>
    <row r="28834" spans="20:20" s="566" customFormat="1">
      <c r="T28834" s="41"/>
    </row>
    <row r="28835" spans="20:20" s="566" customFormat="1">
      <c r="T28835" s="41"/>
    </row>
    <row r="28836" spans="20:20" s="566" customFormat="1">
      <c r="T28836" s="41"/>
    </row>
    <row r="28837" spans="20:20" s="566" customFormat="1">
      <c r="T28837" s="41"/>
    </row>
    <row r="28838" spans="20:20" s="566" customFormat="1">
      <c r="T28838" s="41"/>
    </row>
    <row r="28839" spans="20:20" s="566" customFormat="1">
      <c r="T28839" s="41"/>
    </row>
    <row r="28840" spans="20:20" s="566" customFormat="1">
      <c r="T28840" s="41"/>
    </row>
    <row r="28841" spans="20:20" s="566" customFormat="1">
      <c r="T28841" s="41"/>
    </row>
    <row r="28842" spans="20:20" s="566" customFormat="1">
      <c r="T28842" s="41"/>
    </row>
    <row r="28843" spans="20:20" s="566" customFormat="1">
      <c r="T28843" s="41"/>
    </row>
    <row r="28844" spans="20:20" s="566" customFormat="1">
      <c r="T28844" s="41"/>
    </row>
    <row r="28845" spans="20:20" s="566" customFormat="1">
      <c r="T28845" s="41"/>
    </row>
    <row r="28846" spans="20:20" s="566" customFormat="1">
      <c r="T28846" s="41"/>
    </row>
    <row r="28847" spans="20:20" s="566" customFormat="1">
      <c r="T28847" s="41"/>
    </row>
    <row r="28848" spans="20:20" s="566" customFormat="1">
      <c r="T28848" s="41"/>
    </row>
    <row r="28849" spans="20:20" s="566" customFormat="1">
      <c r="T28849" s="41"/>
    </row>
    <row r="28850" spans="20:20" s="566" customFormat="1">
      <c r="T28850" s="41"/>
    </row>
    <row r="28851" spans="20:20" s="566" customFormat="1">
      <c r="T28851" s="41"/>
    </row>
    <row r="28852" spans="20:20" s="566" customFormat="1">
      <c r="T28852" s="41"/>
    </row>
    <row r="28853" spans="20:20" s="566" customFormat="1">
      <c r="T28853" s="41"/>
    </row>
    <row r="28854" spans="20:20" s="566" customFormat="1">
      <c r="T28854" s="41"/>
    </row>
    <row r="28855" spans="20:20" s="566" customFormat="1">
      <c r="T28855" s="41"/>
    </row>
    <row r="28856" spans="20:20" s="566" customFormat="1">
      <c r="T28856" s="41"/>
    </row>
    <row r="28857" spans="20:20" s="566" customFormat="1">
      <c r="T28857" s="41"/>
    </row>
    <row r="28858" spans="20:20" s="566" customFormat="1">
      <c r="T28858" s="41"/>
    </row>
    <row r="28859" spans="20:20" s="566" customFormat="1">
      <c r="T28859" s="41"/>
    </row>
    <row r="28860" spans="20:20" s="566" customFormat="1">
      <c r="T28860" s="41"/>
    </row>
    <row r="28861" spans="20:20" s="566" customFormat="1">
      <c r="T28861" s="41"/>
    </row>
    <row r="28862" spans="20:20" s="566" customFormat="1">
      <c r="T28862" s="41"/>
    </row>
    <row r="28863" spans="20:20" s="566" customFormat="1">
      <c r="T28863" s="41"/>
    </row>
    <row r="28864" spans="20:20" s="566" customFormat="1">
      <c r="T28864" s="41"/>
    </row>
    <row r="28865" spans="20:20" s="566" customFormat="1">
      <c r="T28865" s="41"/>
    </row>
    <row r="28866" spans="20:20" s="566" customFormat="1">
      <c r="T28866" s="41"/>
    </row>
    <row r="28867" spans="20:20" s="566" customFormat="1">
      <c r="T28867" s="41"/>
    </row>
    <row r="28868" spans="20:20" s="566" customFormat="1">
      <c r="T28868" s="41"/>
    </row>
    <row r="28869" spans="20:20" s="566" customFormat="1">
      <c r="T28869" s="41"/>
    </row>
    <row r="28870" spans="20:20" s="566" customFormat="1">
      <c r="T28870" s="41"/>
    </row>
    <row r="28871" spans="20:20" s="566" customFormat="1">
      <c r="T28871" s="41"/>
    </row>
    <row r="28872" spans="20:20" s="566" customFormat="1">
      <c r="T28872" s="41"/>
    </row>
    <row r="28873" spans="20:20" s="566" customFormat="1">
      <c r="T28873" s="41"/>
    </row>
    <row r="28874" spans="20:20" s="566" customFormat="1">
      <c r="T28874" s="41"/>
    </row>
    <row r="28875" spans="20:20" s="566" customFormat="1">
      <c r="T28875" s="41"/>
    </row>
    <row r="28876" spans="20:20" s="566" customFormat="1">
      <c r="T28876" s="41"/>
    </row>
    <row r="28877" spans="20:20" s="566" customFormat="1">
      <c r="T28877" s="41"/>
    </row>
    <row r="28878" spans="20:20" s="566" customFormat="1">
      <c r="T28878" s="41"/>
    </row>
    <row r="28879" spans="20:20" s="566" customFormat="1">
      <c r="T28879" s="41"/>
    </row>
    <row r="28880" spans="20:20" s="566" customFormat="1">
      <c r="T28880" s="41"/>
    </row>
    <row r="28881" spans="20:20" s="566" customFormat="1">
      <c r="T28881" s="41"/>
    </row>
    <row r="28882" spans="20:20" s="566" customFormat="1">
      <c r="T28882" s="41"/>
    </row>
    <row r="28883" spans="20:20" s="566" customFormat="1">
      <c r="T28883" s="41"/>
    </row>
    <row r="28884" spans="20:20" s="566" customFormat="1">
      <c r="T28884" s="41"/>
    </row>
    <row r="28885" spans="20:20" s="566" customFormat="1">
      <c r="T28885" s="41"/>
    </row>
    <row r="28886" spans="20:20" s="566" customFormat="1">
      <c r="T28886" s="41"/>
    </row>
    <row r="28887" spans="20:20" s="566" customFormat="1">
      <c r="T28887" s="41"/>
    </row>
    <row r="28888" spans="20:20" s="566" customFormat="1">
      <c r="T28888" s="41"/>
    </row>
    <row r="28889" spans="20:20" s="566" customFormat="1">
      <c r="T28889" s="41"/>
    </row>
    <row r="28890" spans="20:20" s="566" customFormat="1">
      <c r="T28890" s="41"/>
    </row>
    <row r="28891" spans="20:20" s="566" customFormat="1">
      <c r="T28891" s="41"/>
    </row>
    <row r="28892" spans="20:20" s="566" customFormat="1">
      <c r="T28892" s="41"/>
    </row>
    <row r="28893" spans="20:20" s="566" customFormat="1">
      <c r="T28893" s="41"/>
    </row>
    <row r="28894" spans="20:20" s="566" customFormat="1">
      <c r="T28894" s="41"/>
    </row>
    <row r="28895" spans="20:20" s="566" customFormat="1">
      <c r="T28895" s="41"/>
    </row>
    <row r="28896" spans="20:20" s="566" customFormat="1">
      <c r="T28896" s="41"/>
    </row>
    <row r="28897" spans="20:20" s="566" customFormat="1">
      <c r="T28897" s="41"/>
    </row>
    <row r="28898" spans="20:20" s="566" customFormat="1">
      <c r="T28898" s="41"/>
    </row>
    <row r="28899" spans="20:20" s="566" customFormat="1">
      <c r="T28899" s="41"/>
    </row>
    <row r="28900" spans="20:20" s="566" customFormat="1">
      <c r="T28900" s="41"/>
    </row>
    <row r="28901" spans="20:20" s="566" customFormat="1">
      <c r="T28901" s="41"/>
    </row>
    <row r="28902" spans="20:20" s="566" customFormat="1">
      <c r="T28902" s="41"/>
    </row>
    <row r="28903" spans="20:20" s="566" customFormat="1">
      <c r="T28903" s="41"/>
    </row>
    <row r="28904" spans="20:20" s="566" customFormat="1">
      <c r="T28904" s="41"/>
    </row>
    <row r="28905" spans="20:20" s="566" customFormat="1">
      <c r="T28905" s="41"/>
    </row>
    <row r="28906" spans="20:20" s="566" customFormat="1">
      <c r="T28906" s="41"/>
    </row>
    <row r="28907" spans="20:20" s="566" customFormat="1">
      <c r="T28907" s="41"/>
    </row>
    <row r="28908" spans="20:20" s="566" customFormat="1">
      <c r="T28908" s="41"/>
    </row>
    <row r="28909" spans="20:20" s="566" customFormat="1">
      <c r="T28909" s="41"/>
    </row>
    <row r="28910" spans="20:20" s="566" customFormat="1">
      <c r="T28910" s="41"/>
    </row>
    <row r="28911" spans="20:20" s="566" customFormat="1">
      <c r="T28911" s="41"/>
    </row>
    <row r="28912" spans="20:20" s="566" customFormat="1">
      <c r="T28912" s="41"/>
    </row>
    <row r="28913" spans="20:20" s="566" customFormat="1">
      <c r="T28913" s="41"/>
    </row>
    <row r="28914" spans="20:20" s="566" customFormat="1">
      <c r="T28914" s="41"/>
    </row>
    <row r="28915" spans="20:20" s="566" customFormat="1">
      <c r="T28915" s="41"/>
    </row>
    <row r="28916" spans="20:20" s="566" customFormat="1">
      <c r="T28916" s="41"/>
    </row>
    <row r="28917" spans="20:20" s="566" customFormat="1">
      <c r="T28917" s="41"/>
    </row>
    <row r="28918" spans="20:20" s="566" customFormat="1">
      <c r="T28918" s="41"/>
    </row>
    <row r="28919" spans="20:20" s="566" customFormat="1">
      <c r="T28919" s="41"/>
    </row>
    <row r="28920" spans="20:20" s="566" customFormat="1">
      <c r="T28920" s="41"/>
    </row>
    <row r="28921" spans="20:20" s="566" customFormat="1">
      <c r="T28921" s="41"/>
    </row>
    <row r="28922" spans="20:20" s="566" customFormat="1">
      <c r="T28922" s="41"/>
    </row>
    <row r="28923" spans="20:20" s="566" customFormat="1">
      <c r="T28923" s="41"/>
    </row>
    <row r="28924" spans="20:20" s="566" customFormat="1">
      <c r="T28924" s="41"/>
    </row>
    <row r="28925" spans="20:20" s="566" customFormat="1">
      <c r="T28925" s="41"/>
    </row>
    <row r="28926" spans="20:20" s="566" customFormat="1">
      <c r="T28926" s="41"/>
    </row>
    <row r="28927" spans="20:20" s="566" customFormat="1">
      <c r="T28927" s="41"/>
    </row>
    <row r="28928" spans="20:20" s="566" customFormat="1">
      <c r="T28928" s="41"/>
    </row>
    <row r="28929" spans="20:20" s="566" customFormat="1">
      <c r="T28929" s="41"/>
    </row>
    <row r="28930" spans="20:20" s="566" customFormat="1">
      <c r="T28930" s="41"/>
    </row>
    <row r="28931" spans="20:20" s="566" customFormat="1">
      <c r="T28931" s="41"/>
    </row>
    <row r="28932" spans="20:20" s="566" customFormat="1">
      <c r="T28932" s="41"/>
    </row>
    <row r="28933" spans="20:20" s="566" customFormat="1">
      <c r="T28933" s="41"/>
    </row>
    <row r="28934" spans="20:20" s="566" customFormat="1">
      <c r="T28934" s="41"/>
    </row>
    <row r="28935" spans="20:20" s="566" customFormat="1">
      <c r="T28935" s="41"/>
    </row>
    <row r="28936" spans="20:20" s="566" customFormat="1">
      <c r="T28936" s="41"/>
    </row>
    <row r="28937" spans="20:20" s="566" customFormat="1">
      <c r="T28937" s="41"/>
    </row>
    <row r="28938" spans="20:20" s="566" customFormat="1">
      <c r="T28938" s="41"/>
    </row>
    <row r="28939" spans="20:20" s="566" customFormat="1">
      <c r="T28939" s="41"/>
    </row>
    <row r="28940" spans="20:20" s="566" customFormat="1">
      <c r="T28940" s="41"/>
    </row>
    <row r="28941" spans="20:20" s="566" customFormat="1">
      <c r="T28941" s="41"/>
    </row>
    <row r="28942" spans="20:20" s="566" customFormat="1">
      <c r="T28942" s="41"/>
    </row>
    <row r="28943" spans="20:20" s="566" customFormat="1">
      <c r="T28943" s="41"/>
    </row>
    <row r="28944" spans="20:20" s="566" customFormat="1">
      <c r="T28944" s="41"/>
    </row>
    <row r="28945" spans="20:20" s="566" customFormat="1">
      <c r="T28945" s="41"/>
    </row>
    <row r="28946" spans="20:20" s="566" customFormat="1">
      <c r="T28946" s="41"/>
    </row>
    <row r="28947" spans="20:20" s="566" customFormat="1">
      <c r="T28947" s="41"/>
    </row>
    <row r="28948" spans="20:20" s="566" customFormat="1">
      <c r="T28948" s="41"/>
    </row>
    <row r="28949" spans="20:20" s="566" customFormat="1">
      <c r="T28949" s="41"/>
    </row>
    <row r="28950" spans="20:20" s="566" customFormat="1">
      <c r="T28950" s="41"/>
    </row>
    <row r="28951" spans="20:20" s="566" customFormat="1">
      <c r="T28951" s="41"/>
    </row>
    <row r="28952" spans="20:20" s="566" customFormat="1">
      <c r="T28952" s="41"/>
    </row>
    <row r="28953" spans="20:20" s="566" customFormat="1">
      <c r="T28953" s="41"/>
    </row>
    <row r="28954" spans="20:20" s="566" customFormat="1">
      <c r="T28954" s="41"/>
    </row>
    <row r="28955" spans="20:20" s="566" customFormat="1">
      <c r="T28955" s="41"/>
    </row>
    <row r="28956" spans="20:20" s="566" customFormat="1">
      <c r="T28956" s="41"/>
    </row>
    <row r="28957" spans="20:20" s="566" customFormat="1">
      <c r="T28957" s="41"/>
    </row>
    <row r="28958" spans="20:20" s="566" customFormat="1">
      <c r="T28958" s="41"/>
    </row>
    <row r="28959" spans="20:20" s="566" customFormat="1">
      <c r="T28959" s="41"/>
    </row>
    <row r="28960" spans="20:20" s="566" customFormat="1">
      <c r="T28960" s="41"/>
    </row>
    <row r="28961" spans="20:20" s="566" customFormat="1">
      <c r="T28961" s="41"/>
    </row>
    <row r="28962" spans="20:20" s="566" customFormat="1">
      <c r="T28962" s="41"/>
    </row>
    <row r="28963" spans="20:20" s="566" customFormat="1">
      <c r="T28963" s="41"/>
    </row>
    <row r="28964" spans="20:20" s="566" customFormat="1">
      <c r="T28964" s="41"/>
    </row>
    <row r="28965" spans="20:20" s="566" customFormat="1">
      <c r="T28965" s="41"/>
    </row>
    <row r="28966" spans="20:20" s="566" customFormat="1">
      <c r="T28966" s="41"/>
    </row>
    <row r="28967" spans="20:20" s="566" customFormat="1">
      <c r="T28967" s="41"/>
    </row>
    <row r="28968" spans="20:20" s="566" customFormat="1">
      <c r="T28968" s="41"/>
    </row>
    <row r="28969" spans="20:20" s="566" customFormat="1">
      <c r="T28969" s="41"/>
    </row>
    <row r="28970" spans="20:20" s="566" customFormat="1">
      <c r="T28970" s="41"/>
    </row>
    <row r="28971" spans="20:20" s="566" customFormat="1">
      <c r="T28971" s="41"/>
    </row>
    <row r="28972" spans="20:20" s="566" customFormat="1">
      <c r="T28972" s="41"/>
    </row>
    <row r="28973" spans="20:20" s="566" customFormat="1">
      <c r="T28973" s="41"/>
    </row>
    <row r="28974" spans="20:20" s="566" customFormat="1">
      <c r="T28974" s="41"/>
    </row>
    <row r="28975" spans="20:20" s="566" customFormat="1">
      <c r="T28975" s="41"/>
    </row>
    <row r="28976" spans="20:20" s="566" customFormat="1">
      <c r="T28976" s="41"/>
    </row>
    <row r="28977" spans="20:20" s="566" customFormat="1">
      <c r="T28977" s="41"/>
    </row>
    <row r="28978" spans="20:20" s="566" customFormat="1">
      <c r="T28978" s="41"/>
    </row>
    <row r="28979" spans="20:20" s="566" customFormat="1">
      <c r="T28979" s="41"/>
    </row>
    <row r="28980" spans="20:20" s="566" customFormat="1">
      <c r="T28980" s="41"/>
    </row>
    <row r="28981" spans="20:20" s="566" customFormat="1">
      <c r="T28981" s="41"/>
    </row>
    <row r="28982" spans="20:20" s="566" customFormat="1">
      <c r="T28982" s="41"/>
    </row>
    <row r="28983" spans="20:20" s="566" customFormat="1">
      <c r="T28983" s="41"/>
    </row>
    <row r="28984" spans="20:20" s="566" customFormat="1">
      <c r="T28984" s="41"/>
    </row>
    <row r="28985" spans="20:20" s="566" customFormat="1">
      <c r="T28985" s="41"/>
    </row>
    <row r="28986" spans="20:20" s="566" customFormat="1">
      <c r="T28986" s="41"/>
    </row>
    <row r="28987" spans="20:20" s="566" customFormat="1">
      <c r="T28987" s="41"/>
    </row>
    <row r="28988" spans="20:20" s="566" customFormat="1">
      <c r="T28988" s="41"/>
    </row>
    <row r="28989" spans="20:20" s="566" customFormat="1">
      <c r="T28989" s="41"/>
    </row>
    <row r="28990" spans="20:20" s="566" customFormat="1">
      <c r="T28990" s="41"/>
    </row>
    <row r="28991" spans="20:20" s="566" customFormat="1">
      <c r="T28991" s="41"/>
    </row>
    <row r="28992" spans="20:20" s="566" customFormat="1">
      <c r="T28992" s="41"/>
    </row>
    <row r="28993" spans="20:20" s="566" customFormat="1">
      <c r="T28993" s="41"/>
    </row>
    <row r="28994" spans="20:20" s="566" customFormat="1">
      <c r="T28994" s="41"/>
    </row>
    <row r="28995" spans="20:20" s="566" customFormat="1">
      <c r="T28995" s="41"/>
    </row>
    <row r="28996" spans="20:20" s="566" customFormat="1">
      <c r="T28996" s="41"/>
    </row>
    <row r="28997" spans="20:20" s="566" customFormat="1">
      <c r="T28997" s="41"/>
    </row>
    <row r="28998" spans="20:20" s="566" customFormat="1">
      <c r="T28998" s="41"/>
    </row>
    <row r="28999" spans="20:20" s="566" customFormat="1">
      <c r="T28999" s="41"/>
    </row>
    <row r="29000" spans="20:20" s="566" customFormat="1">
      <c r="T29000" s="41"/>
    </row>
    <row r="29001" spans="20:20" s="566" customFormat="1">
      <c r="T29001" s="41"/>
    </row>
    <row r="29002" spans="20:20" s="566" customFormat="1">
      <c r="T29002" s="41"/>
    </row>
    <row r="29003" spans="20:20" s="566" customFormat="1">
      <c r="T29003" s="41"/>
    </row>
    <row r="29004" spans="20:20" s="566" customFormat="1">
      <c r="T29004" s="41"/>
    </row>
    <row r="29005" spans="20:20" s="566" customFormat="1">
      <c r="T29005" s="41"/>
    </row>
    <row r="29006" spans="20:20" s="566" customFormat="1">
      <c r="T29006" s="41"/>
    </row>
    <row r="29007" spans="20:20" s="566" customFormat="1">
      <c r="T29007" s="41"/>
    </row>
    <row r="29008" spans="20:20" s="566" customFormat="1">
      <c r="T29008" s="41"/>
    </row>
    <row r="29009" spans="20:20" s="566" customFormat="1">
      <c r="T29009" s="41"/>
    </row>
    <row r="29010" spans="20:20" s="566" customFormat="1">
      <c r="T29010" s="41"/>
    </row>
    <row r="29011" spans="20:20" s="566" customFormat="1">
      <c r="T29011" s="41"/>
    </row>
    <row r="29012" spans="20:20" s="566" customFormat="1">
      <c r="T29012" s="41"/>
    </row>
    <row r="29013" spans="20:20" s="566" customFormat="1">
      <c r="T29013" s="41"/>
    </row>
    <row r="29014" spans="20:20" s="566" customFormat="1">
      <c r="T29014" s="41"/>
    </row>
    <row r="29015" spans="20:20" s="566" customFormat="1">
      <c r="T29015" s="41"/>
    </row>
    <row r="29016" spans="20:20" s="566" customFormat="1">
      <c r="T29016" s="41"/>
    </row>
    <row r="29017" spans="20:20" s="566" customFormat="1">
      <c r="T29017" s="41"/>
    </row>
    <row r="29018" spans="20:20" s="566" customFormat="1">
      <c r="T29018" s="41"/>
    </row>
    <row r="29019" spans="20:20" s="566" customFormat="1">
      <c r="T29019" s="41"/>
    </row>
    <row r="29020" spans="20:20" s="566" customFormat="1">
      <c r="T29020" s="41"/>
    </row>
    <row r="29021" spans="20:20" s="566" customFormat="1">
      <c r="T29021" s="41"/>
    </row>
    <row r="29022" spans="20:20" s="566" customFormat="1">
      <c r="T29022" s="41"/>
    </row>
    <row r="29023" spans="20:20" s="566" customFormat="1">
      <c r="T29023" s="41"/>
    </row>
    <row r="29024" spans="20:20" s="566" customFormat="1">
      <c r="T29024" s="41"/>
    </row>
    <row r="29025" spans="20:20" s="566" customFormat="1">
      <c r="T29025" s="41"/>
    </row>
    <row r="29026" spans="20:20" s="566" customFormat="1">
      <c r="T29026" s="41"/>
    </row>
    <row r="29027" spans="20:20" s="566" customFormat="1">
      <c r="T29027" s="41"/>
    </row>
    <row r="29028" spans="20:20" s="566" customFormat="1">
      <c r="T29028" s="41"/>
    </row>
    <row r="29029" spans="20:20" s="566" customFormat="1">
      <c r="T29029" s="41"/>
    </row>
    <row r="29030" spans="20:20" s="566" customFormat="1">
      <c r="T29030" s="41"/>
    </row>
    <row r="29031" spans="20:20" s="566" customFormat="1">
      <c r="T29031" s="41"/>
    </row>
    <row r="29032" spans="20:20" s="566" customFormat="1">
      <c r="T29032" s="41"/>
    </row>
    <row r="29033" spans="20:20" s="566" customFormat="1">
      <c r="T29033" s="41"/>
    </row>
    <row r="29034" spans="20:20" s="566" customFormat="1">
      <c r="T29034" s="41"/>
    </row>
    <row r="29035" spans="20:20" s="566" customFormat="1">
      <c r="T29035" s="41"/>
    </row>
    <row r="29036" spans="20:20" s="566" customFormat="1">
      <c r="T29036" s="41"/>
    </row>
    <row r="29037" spans="20:20" s="566" customFormat="1">
      <c r="T29037" s="41"/>
    </row>
    <row r="29038" spans="20:20" s="566" customFormat="1">
      <c r="T29038" s="41"/>
    </row>
    <row r="29039" spans="20:20" s="566" customFormat="1">
      <c r="T29039" s="41"/>
    </row>
    <row r="29040" spans="20:20" s="566" customFormat="1">
      <c r="T29040" s="41"/>
    </row>
    <row r="29041" spans="20:20" s="566" customFormat="1">
      <c r="T29041" s="41"/>
    </row>
    <row r="29042" spans="20:20" s="566" customFormat="1">
      <c r="T29042" s="41"/>
    </row>
    <row r="29043" spans="20:20" s="566" customFormat="1">
      <c r="T29043" s="41"/>
    </row>
    <row r="29044" spans="20:20" s="566" customFormat="1">
      <c r="T29044" s="41"/>
    </row>
    <row r="29045" spans="20:20" s="566" customFormat="1">
      <c r="T29045" s="41"/>
    </row>
    <row r="29046" spans="20:20" s="566" customFormat="1">
      <c r="T29046" s="41"/>
    </row>
    <row r="29047" spans="20:20" s="566" customFormat="1">
      <c r="T29047" s="41"/>
    </row>
    <row r="29048" spans="20:20" s="566" customFormat="1">
      <c r="T29048" s="41"/>
    </row>
    <row r="29049" spans="20:20" s="566" customFormat="1">
      <c r="T29049" s="41"/>
    </row>
    <row r="29050" spans="20:20" s="566" customFormat="1">
      <c r="T29050" s="41"/>
    </row>
    <row r="29051" spans="20:20" s="566" customFormat="1">
      <c r="T29051" s="41"/>
    </row>
    <row r="29052" spans="20:20" s="566" customFormat="1">
      <c r="T29052" s="41"/>
    </row>
    <row r="29053" spans="20:20" s="566" customFormat="1">
      <c r="T29053" s="41"/>
    </row>
    <row r="29054" spans="20:20" s="566" customFormat="1">
      <c r="T29054" s="41"/>
    </row>
    <row r="29055" spans="20:20" s="566" customFormat="1">
      <c r="T29055" s="41"/>
    </row>
    <row r="29056" spans="20:20" s="566" customFormat="1">
      <c r="T29056" s="41"/>
    </row>
    <row r="29057" spans="20:20" s="566" customFormat="1">
      <c r="T29057" s="41"/>
    </row>
    <row r="29058" spans="20:20" s="566" customFormat="1">
      <c r="T29058" s="41"/>
    </row>
    <row r="29059" spans="20:20" s="566" customFormat="1">
      <c r="T29059" s="41"/>
    </row>
    <row r="29060" spans="20:20" s="566" customFormat="1">
      <c r="T29060" s="41"/>
    </row>
    <row r="29061" spans="20:20" s="566" customFormat="1">
      <c r="T29061" s="41"/>
    </row>
    <row r="29062" spans="20:20" s="566" customFormat="1">
      <c r="T29062" s="41"/>
    </row>
    <row r="29063" spans="20:20" s="566" customFormat="1">
      <c r="T29063" s="41"/>
    </row>
    <row r="29064" spans="20:20" s="566" customFormat="1">
      <c r="T29064" s="41"/>
    </row>
    <row r="29065" spans="20:20" s="566" customFormat="1">
      <c r="T29065" s="41"/>
    </row>
    <row r="29066" spans="20:20" s="566" customFormat="1">
      <c r="T29066" s="41"/>
    </row>
    <row r="29067" spans="20:20" s="566" customFormat="1">
      <c r="T29067" s="41"/>
    </row>
    <row r="29068" spans="20:20" s="566" customFormat="1">
      <c r="T29068" s="41"/>
    </row>
    <row r="29069" spans="20:20" s="566" customFormat="1">
      <c r="T29069" s="41"/>
    </row>
    <row r="29070" spans="20:20" s="566" customFormat="1">
      <c r="T29070" s="41"/>
    </row>
    <row r="29071" spans="20:20" s="566" customFormat="1">
      <c r="T29071" s="41"/>
    </row>
    <row r="29072" spans="20:20" s="566" customFormat="1">
      <c r="T29072" s="41"/>
    </row>
    <row r="29073" spans="20:20" s="566" customFormat="1">
      <c r="T29073" s="41"/>
    </row>
    <row r="29074" spans="20:20" s="566" customFormat="1">
      <c r="T29074" s="41"/>
    </row>
    <row r="29075" spans="20:20" s="566" customFormat="1">
      <c r="T29075" s="41"/>
    </row>
    <row r="29076" spans="20:20" s="566" customFormat="1">
      <c r="T29076" s="41"/>
    </row>
    <row r="29077" spans="20:20" s="566" customFormat="1">
      <c r="T29077" s="41"/>
    </row>
    <row r="29078" spans="20:20" s="566" customFormat="1">
      <c r="T29078" s="41"/>
    </row>
    <row r="29079" spans="20:20" s="566" customFormat="1">
      <c r="T29079" s="41"/>
    </row>
    <row r="29080" spans="20:20" s="566" customFormat="1">
      <c r="T29080" s="41"/>
    </row>
    <row r="29081" spans="20:20" s="566" customFormat="1">
      <c r="T29081" s="41"/>
    </row>
    <row r="29082" spans="20:20" s="566" customFormat="1">
      <c r="T29082" s="41"/>
    </row>
    <row r="29083" spans="20:20" s="566" customFormat="1">
      <c r="T29083" s="41"/>
    </row>
    <row r="29084" spans="20:20" s="566" customFormat="1">
      <c r="T29084" s="41"/>
    </row>
    <row r="29085" spans="20:20" s="566" customFormat="1">
      <c r="T29085" s="41"/>
    </row>
    <row r="29086" spans="20:20" s="566" customFormat="1">
      <c r="T29086" s="41"/>
    </row>
    <row r="29087" spans="20:20" s="566" customFormat="1">
      <c r="T29087" s="41"/>
    </row>
    <row r="29088" spans="20:20" s="566" customFormat="1">
      <c r="T29088" s="41"/>
    </row>
    <row r="29089" spans="20:20" s="566" customFormat="1">
      <c r="T29089" s="41"/>
    </row>
    <row r="29090" spans="20:20" s="566" customFormat="1">
      <c r="T29090" s="41"/>
    </row>
    <row r="29091" spans="20:20" s="566" customFormat="1">
      <c r="T29091" s="41"/>
    </row>
    <row r="29092" spans="20:20" s="566" customFormat="1">
      <c r="T29092" s="41"/>
    </row>
    <row r="29093" spans="20:20" s="566" customFormat="1">
      <c r="T29093" s="41"/>
    </row>
    <row r="29094" spans="20:20" s="566" customFormat="1">
      <c r="T29094" s="41"/>
    </row>
    <row r="29095" spans="20:20" s="566" customFormat="1">
      <c r="T29095" s="41"/>
    </row>
    <row r="29096" spans="20:20" s="566" customFormat="1">
      <c r="T29096" s="41"/>
    </row>
    <row r="29097" spans="20:20" s="566" customFormat="1">
      <c r="T29097" s="41"/>
    </row>
    <row r="29098" spans="20:20" s="566" customFormat="1">
      <c r="T29098" s="41"/>
    </row>
    <row r="29099" spans="20:20" s="566" customFormat="1">
      <c r="T29099" s="41"/>
    </row>
    <row r="29100" spans="20:20" s="566" customFormat="1">
      <c r="T29100" s="41"/>
    </row>
    <row r="29101" spans="20:20" s="566" customFormat="1">
      <c r="T29101" s="41"/>
    </row>
    <row r="29102" spans="20:20" s="566" customFormat="1">
      <c r="T29102" s="41"/>
    </row>
    <row r="29103" spans="20:20" s="566" customFormat="1">
      <c r="T29103" s="41"/>
    </row>
    <row r="29104" spans="20:20" s="566" customFormat="1">
      <c r="T29104" s="41"/>
    </row>
    <row r="29105" spans="20:20" s="566" customFormat="1">
      <c r="T29105" s="41"/>
    </row>
    <row r="29106" spans="20:20" s="566" customFormat="1">
      <c r="T29106" s="41"/>
    </row>
    <row r="29107" spans="20:20" s="566" customFormat="1">
      <c r="T29107" s="41"/>
    </row>
    <row r="29108" spans="20:20" s="566" customFormat="1">
      <c r="T29108" s="41"/>
    </row>
    <row r="29109" spans="20:20" s="566" customFormat="1">
      <c r="T29109" s="41"/>
    </row>
    <row r="29110" spans="20:20" s="566" customFormat="1">
      <c r="T29110" s="41"/>
    </row>
    <row r="29111" spans="20:20" s="566" customFormat="1">
      <c r="T29111" s="41"/>
    </row>
    <row r="29112" spans="20:20" s="566" customFormat="1">
      <c r="T29112" s="41"/>
    </row>
    <row r="29113" spans="20:20" s="566" customFormat="1">
      <c r="T29113" s="41"/>
    </row>
    <row r="29114" spans="20:20" s="566" customFormat="1">
      <c r="T29114" s="41"/>
    </row>
    <row r="29115" spans="20:20" s="566" customFormat="1">
      <c r="T29115" s="41"/>
    </row>
    <row r="29116" spans="20:20" s="566" customFormat="1">
      <c r="T29116" s="41"/>
    </row>
    <row r="29117" spans="20:20" s="566" customFormat="1">
      <c r="T29117" s="41"/>
    </row>
    <row r="29118" spans="20:20" s="566" customFormat="1">
      <c r="T29118" s="41"/>
    </row>
    <row r="29119" spans="20:20" s="566" customFormat="1">
      <c r="T29119" s="41"/>
    </row>
    <row r="29120" spans="20:20" s="566" customFormat="1">
      <c r="T29120" s="41"/>
    </row>
    <row r="29121" spans="20:20" s="566" customFormat="1">
      <c r="T29121" s="41"/>
    </row>
    <row r="29122" spans="20:20" s="566" customFormat="1">
      <c r="T29122" s="41"/>
    </row>
    <row r="29123" spans="20:20" s="566" customFormat="1">
      <c r="T29123" s="41"/>
    </row>
    <row r="29124" spans="20:20" s="566" customFormat="1">
      <c r="T29124" s="41"/>
    </row>
    <row r="29125" spans="20:20" s="566" customFormat="1">
      <c r="T29125" s="41"/>
    </row>
    <row r="29126" spans="20:20" s="566" customFormat="1">
      <c r="T29126" s="41"/>
    </row>
    <row r="29127" spans="20:20" s="566" customFormat="1">
      <c r="T29127" s="41"/>
    </row>
    <row r="29128" spans="20:20" s="566" customFormat="1">
      <c r="T29128" s="41"/>
    </row>
    <row r="29129" spans="20:20" s="566" customFormat="1">
      <c r="T29129" s="41"/>
    </row>
    <row r="29130" spans="20:20" s="566" customFormat="1">
      <c r="T29130" s="41"/>
    </row>
    <row r="29131" spans="20:20" s="566" customFormat="1">
      <c r="T29131" s="41"/>
    </row>
    <row r="29132" spans="20:20" s="566" customFormat="1">
      <c r="T29132" s="41"/>
    </row>
    <row r="29133" spans="20:20" s="566" customFormat="1">
      <c r="T29133" s="41"/>
    </row>
    <row r="29134" spans="20:20" s="566" customFormat="1">
      <c r="T29134" s="41"/>
    </row>
    <row r="29135" spans="20:20" s="566" customFormat="1">
      <c r="T29135" s="41"/>
    </row>
    <row r="29136" spans="20:20" s="566" customFormat="1">
      <c r="T29136" s="41"/>
    </row>
    <row r="29137" spans="20:20" s="566" customFormat="1">
      <c r="T29137" s="41"/>
    </row>
    <row r="29138" spans="20:20" s="566" customFormat="1">
      <c r="T29138" s="41"/>
    </row>
    <row r="29139" spans="20:20" s="566" customFormat="1">
      <c r="T29139" s="41"/>
    </row>
    <row r="29140" spans="20:20" s="566" customFormat="1">
      <c r="T29140" s="41"/>
    </row>
    <row r="29141" spans="20:20" s="566" customFormat="1">
      <c r="T29141" s="41"/>
    </row>
    <row r="29142" spans="20:20" s="566" customFormat="1">
      <c r="T29142" s="41"/>
    </row>
    <row r="29143" spans="20:20" s="566" customFormat="1">
      <c r="T29143" s="41"/>
    </row>
    <row r="29144" spans="20:20" s="566" customFormat="1">
      <c r="T29144" s="41"/>
    </row>
    <row r="29145" spans="20:20" s="566" customFormat="1">
      <c r="T29145" s="41"/>
    </row>
    <row r="29146" spans="20:20" s="566" customFormat="1">
      <c r="T29146" s="41"/>
    </row>
    <row r="29147" spans="20:20" s="566" customFormat="1">
      <c r="T29147" s="41"/>
    </row>
    <row r="29148" spans="20:20" s="566" customFormat="1">
      <c r="T29148" s="41"/>
    </row>
    <row r="29149" spans="20:20" s="566" customFormat="1">
      <c r="T29149" s="41"/>
    </row>
    <row r="29150" spans="20:20" s="566" customFormat="1">
      <c r="T29150" s="41"/>
    </row>
    <row r="29151" spans="20:20" s="566" customFormat="1">
      <c r="T29151" s="41"/>
    </row>
    <row r="29152" spans="20:20" s="566" customFormat="1">
      <c r="T29152" s="41"/>
    </row>
    <row r="29153" spans="20:20" s="566" customFormat="1">
      <c r="T29153" s="41"/>
    </row>
    <row r="29154" spans="20:20" s="566" customFormat="1">
      <c r="T29154" s="41"/>
    </row>
    <row r="29155" spans="20:20" s="566" customFormat="1">
      <c r="T29155" s="41"/>
    </row>
    <row r="29156" spans="20:20" s="566" customFormat="1">
      <c r="T29156" s="41"/>
    </row>
    <row r="29157" spans="20:20" s="566" customFormat="1">
      <c r="T29157" s="41"/>
    </row>
    <row r="29158" spans="20:20" s="566" customFormat="1">
      <c r="T29158" s="41"/>
    </row>
    <row r="29159" spans="20:20" s="566" customFormat="1">
      <c r="T29159" s="41"/>
    </row>
    <row r="29160" spans="20:20" s="566" customFormat="1">
      <c r="T29160" s="41"/>
    </row>
    <row r="29161" spans="20:20" s="566" customFormat="1">
      <c r="T29161" s="41"/>
    </row>
    <row r="29162" spans="20:20" s="566" customFormat="1">
      <c r="T29162" s="41"/>
    </row>
    <row r="29163" spans="20:20" s="566" customFormat="1">
      <c r="T29163" s="41"/>
    </row>
    <row r="29164" spans="20:20" s="566" customFormat="1">
      <c r="T29164" s="41"/>
    </row>
    <row r="29165" spans="20:20" s="566" customFormat="1">
      <c r="T29165" s="41"/>
    </row>
    <row r="29166" spans="20:20" s="566" customFormat="1">
      <c r="T29166" s="41"/>
    </row>
    <row r="29167" spans="20:20" s="566" customFormat="1">
      <c r="T29167" s="41"/>
    </row>
    <row r="29168" spans="20:20" s="566" customFormat="1">
      <c r="T29168" s="41"/>
    </row>
    <row r="29169" spans="20:20" s="566" customFormat="1">
      <c r="T29169" s="41"/>
    </row>
    <row r="29170" spans="20:20" s="566" customFormat="1">
      <c r="T29170" s="41"/>
    </row>
    <row r="29171" spans="20:20" s="566" customFormat="1">
      <c r="T29171" s="41"/>
    </row>
    <row r="29172" spans="20:20" s="566" customFormat="1">
      <c r="T29172" s="41"/>
    </row>
    <row r="29173" spans="20:20" s="566" customFormat="1">
      <c r="T29173" s="41"/>
    </row>
    <row r="29174" spans="20:20" s="566" customFormat="1">
      <c r="T29174" s="41"/>
    </row>
    <row r="29175" spans="20:20" s="566" customFormat="1">
      <c r="T29175" s="41"/>
    </row>
    <row r="29176" spans="20:20" s="566" customFormat="1">
      <c r="T29176" s="41"/>
    </row>
    <row r="29177" spans="20:20" s="566" customFormat="1">
      <c r="T29177" s="41"/>
    </row>
    <row r="29178" spans="20:20" s="566" customFormat="1">
      <c r="T29178" s="41"/>
    </row>
    <row r="29179" spans="20:20" s="566" customFormat="1">
      <c r="T29179" s="41"/>
    </row>
    <row r="29180" spans="20:20" s="566" customFormat="1">
      <c r="T29180" s="41"/>
    </row>
    <row r="29181" spans="20:20" s="566" customFormat="1">
      <c r="T29181" s="41"/>
    </row>
    <row r="29182" spans="20:20" s="566" customFormat="1">
      <c r="T29182" s="41"/>
    </row>
    <row r="29183" spans="20:20" s="566" customFormat="1">
      <c r="T29183" s="41"/>
    </row>
    <row r="29184" spans="20:20" s="566" customFormat="1">
      <c r="T29184" s="41"/>
    </row>
    <row r="29185" spans="20:20" s="566" customFormat="1">
      <c r="T29185" s="41"/>
    </row>
    <row r="29186" spans="20:20" s="566" customFormat="1">
      <c r="T29186" s="41"/>
    </row>
    <row r="29187" spans="20:20" s="566" customFormat="1">
      <c r="T29187" s="41"/>
    </row>
    <row r="29188" spans="20:20" s="566" customFormat="1">
      <c r="T29188" s="41"/>
    </row>
    <row r="29189" spans="20:20" s="566" customFormat="1">
      <c r="T29189" s="41"/>
    </row>
    <row r="29190" spans="20:20" s="566" customFormat="1">
      <c r="T29190" s="41"/>
    </row>
    <row r="29191" spans="20:20" s="566" customFormat="1">
      <c r="T29191" s="41"/>
    </row>
    <row r="29192" spans="20:20" s="566" customFormat="1">
      <c r="T29192" s="41"/>
    </row>
    <row r="29193" spans="20:20" s="566" customFormat="1">
      <c r="T29193" s="41"/>
    </row>
    <row r="29194" spans="20:20" s="566" customFormat="1">
      <c r="T29194" s="41"/>
    </row>
    <row r="29195" spans="20:20" s="566" customFormat="1">
      <c r="T29195" s="41"/>
    </row>
    <row r="29196" spans="20:20" s="566" customFormat="1">
      <c r="T29196" s="41"/>
    </row>
    <row r="29197" spans="20:20" s="566" customFormat="1">
      <c r="T29197" s="41"/>
    </row>
    <row r="29198" spans="20:20" s="566" customFormat="1">
      <c r="T29198" s="41"/>
    </row>
    <row r="29199" spans="20:20" s="566" customFormat="1">
      <c r="T29199" s="41"/>
    </row>
    <row r="29200" spans="20:20" s="566" customFormat="1">
      <c r="T29200" s="41"/>
    </row>
    <row r="29201" spans="20:20" s="566" customFormat="1">
      <c r="T29201" s="41"/>
    </row>
    <row r="29202" spans="20:20" s="566" customFormat="1">
      <c r="T29202" s="41"/>
    </row>
    <row r="29203" spans="20:20" s="566" customFormat="1">
      <c r="T29203" s="41"/>
    </row>
    <row r="29204" spans="20:20" s="566" customFormat="1">
      <c r="T29204" s="41"/>
    </row>
    <row r="29205" spans="20:20" s="566" customFormat="1">
      <c r="T29205" s="41"/>
    </row>
    <row r="29206" spans="20:20" s="566" customFormat="1">
      <c r="T29206" s="41"/>
    </row>
    <row r="29207" spans="20:20" s="566" customFormat="1">
      <c r="T29207" s="41"/>
    </row>
    <row r="29208" spans="20:20" s="566" customFormat="1">
      <c r="T29208" s="41"/>
    </row>
    <row r="29209" spans="20:20" s="566" customFormat="1">
      <c r="T29209" s="41"/>
    </row>
    <row r="29210" spans="20:20" s="566" customFormat="1">
      <c r="T29210" s="41"/>
    </row>
    <row r="29211" spans="20:20" s="566" customFormat="1">
      <c r="T29211" s="41"/>
    </row>
    <row r="29212" spans="20:20" s="566" customFormat="1">
      <c r="T29212" s="41"/>
    </row>
    <row r="29213" spans="20:20" s="566" customFormat="1">
      <c r="T29213" s="41"/>
    </row>
    <row r="29214" spans="20:20" s="566" customFormat="1">
      <c r="T29214" s="41"/>
    </row>
    <row r="29215" spans="20:20" s="566" customFormat="1">
      <c r="T29215" s="41"/>
    </row>
    <row r="29216" spans="20:20" s="566" customFormat="1">
      <c r="T29216" s="41"/>
    </row>
    <row r="29217" spans="20:20" s="566" customFormat="1">
      <c r="T29217" s="41"/>
    </row>
    <row r="29218" spans="20:20" s="566" customFormat="1">
      <c r="T29218" s="41"/>
    </row>
    <row r="29219" spans="20:20" s="566" customFormat="1">
      <c r="T29219" s="41"/>
    </row>
    <row r="29220" spans="20:20" s="566" customFormat="1">
      <c r="T29220" s="41"/>
    </row>
    <row r="29221" spans="20:20" s="566" customFormat="1">
      <c r="T29221" s="41"/>
    </row>
    <row r="29222" spans="20:20" s="566" customFormat="1">
      <c r="T29222" s="41"/>
    </row>
    <row r="29223" spans="20:20" s="566" customFormat="1">
      <c r="T29223" s="41"/>
    </row>
    <row r="29224" spans="20:20" s="566" customFormat="1">
      <c r="T29224" s="41"/>
    </row>
    <row r="29225" spans="20:20" s="566" customFormat="1">
      <c r="T29225" s="41"/>
    </row>
    <row r="29226" spans="20:20" s="566" customFormat="1">
      <c r="T29226" s="41"/>
    </row>
    <row r="29227" spans="20:20" s="566" customFormat="1">
      <c r="T29227" s="41"/>
    </row>
    <row r="29228" spans="20:20" s="566" customFormat="1">
      <c r="T29228" s="41"/>
    </row>
    <row r="29229" spans="20:20" s="566" customFormat="1">
      <c r="T29229" s="41"/>
    </row>
    <row r="29230" spans="20:20" s="566" customFormat="1">
      <c r="T29230" s="41"/>
    </row>
    <row r="29231" spans="20:20" s="566" customFormat="1">
      <c r="T29231" s="41"/>
    </row>
    <row r="29232" spans="20:20" s="566" customFormat="1">
      <c r="T29232" s="41"/>
    </row>
    <row r="29233" spans="20:20" s="566" customFormat="1">
      <c r="T29233" s="41"/>
    </row>
    <row r="29234" spans="20:20" s="566" customFormat="1">
      <c r="T29234" s="41"/>
    </row>
    <row r="29235" spans="20:20" s="566" customFormat="1">
      <c r="T29235" s="41"/>
    </row>
    <row r="29236" spans="20:20" s="566" customFormat="1">
      <c r="T29236" s="41"/>
    </row>
    <row r="29237" spans="20:20" s="566" customFormat="1">
      <c r="T29237" s="41"/>
    </row>
    <row r="29238" spans="20:20" s="566" customFormat="1">
      <c r="T29238" s="41"/>
    </row>
    <row r="29239" spans="20:20" s="566" customFormat="1">
      <c r="T29239" s="41"/>
    </row>
    <row r="29240" spans="20:20" s="566" customFormat="1">
      <c r="T29240" s="41"/>
    </row>
    <row r="29241" spans="20:20" s="566" customFormat="1">
      <c r="T29241" s="41"/>
    </row>
    <row r="29242" spans="20:20" s="566" customFormat="1">
      <c r="T29242" s="41"/>
    </row>
    <row r="29243" spans="20:20" s="566" customFormat="1">
      <c r="T29243" s="41"/>
    </row>
    <row r="29244" spans="20:20" s="566" customFormat="1">
      <c r="T29244" s="41"/>
    </row>
    <row r="29245" spans="20:20" s="566" customFormat="1">
      <c r="T29245" s="41"/>
    </row>
    <row r="29246" spans="20:20" s="566" customFormat="1">
      <c r="T29246" s="41"/>
    </row>
    <row r="29247" spans="20:20" s="566" customFormat="1">
      <c r="T29247" s="41"/>
    </row>
    <row r="29248" spans="20:20" s="566" customFormat="1">
      <c r="T29248" s="41"/>
    </row>
    <row r="29249" spans="20:20" s="566" customFormat="1">
      <c r="T29249" s="41"/>
    </row>
    <row r="29250" spans="20:20" s="566" customFormat="1">
      <c r="T29250" s="41"/>
    </row>
    <row r="29251" spans="20:20" s="566" customFormat="1">
      <c r="T29251" s="41"/>
    </row>
    <row r="29252" spans="20:20" s="566" customFormat="1">
      <c r="T29252" s="41"/>
    </row>
    <row r="29253" spans="20:20" s="566" customFormat="1">
      <c r="T29253" s="41"/>
    </row>
    <row r="29254" spans="20:20" s="566" customFormat="1">
      <c r="T29254" s="41"/>
    </row>
    <row r="29255" spans="20:20" s="566" customFormat="1">
      <c r="T29255" s="41"/>
    </row>
    <row r="29256" spans="20:20" s="566" customFormat="1">
      <c r="T29256" s="41"/>
    </row>
    <row r="29257" spans="20:20" s="566" customFormat="1">
      <c r="T29257" s="41"/>
    </row>
    <row r="29258" spans="20:20" s="566" customFormat="1">
      <c r="T29258" s="41"/>
    </row>
    <row r="29259" spans="20:20" s="566" customFormat="1">
      <c r="T29259" s="41"/>
    </row>
    <row r="29260" spans="20:20" s="566" customFormat="1">
      <c r="T29260" s="41"/>
    </row>
    <row r="29261" spans="20:20" s="566" customFormat="1">
      <c r="T29261" s="41"/>
    </row>
    <row r="29262" spans="20:20" s="566" customFormat="1">
      <c r="T29262" s="41"/>
    </row>
    <row r="29263" spans="20:20" s="566" customFormat="1">
      <c r="T29263" s="41"/>
    </row>
    <row r="29264" spans="20:20" s="566" customFormat="1">
      <c r="T29264" s="41"/>
    </row>
    <row r="29265" spans="20:20" s="566" customFormat="1">
      <c r="T29265" s="41"/>
    </row>
    <row r="29266" spans="20:20" s="566" customFormat="1">
      <c r="T29266" s="41"/>
    </row>
    <row r="29267" spans="20:20" s="566" customFormat="1">
      <c r="T29267" s="41"/>
    </row>
    <row r="29268" spans="20:20" s="566" customFormat="1">
      <c r="T29268" s="41"/>
    </row>
    <row r="29269" spans="20:20" s="566" customFormat="1">
      <c r="T29269" s="41"/>
    </row>
    <row r="29270" spans="20:20" s="566" customFormat="1">
      <c r="T29270" s="41"/>
    </row>
    <row r="29271" spans="20:20" s="566" customFormat="1">
      <c r="T29271" s="41"/>
    </row>
    <row r="29272" spans="20:20" s="566" customFormat="1">
      <c r="T29272" s="41"/>
    </row>
    <row r="29273" spans="20:20" s="566" customFormat="1">
      <c r="T29273" s="41"/>
    </row>
    <row r="29274" spans="20:20" s="566" customFormat="1">
      <c r="T29274" s="41"/>
    </row>
    <row r="29275" spans="20:20" s="566" customFormat="1">
      <c r="T29275" s="41"/>
    </row>
    <row r="29276" spans="20:20" s="566" customFormat="1">
      <c r="T29276" s="41"/>
    </row>
    <row r="29277" spans="20:20" s="566" customFormat="1">
      <c r="T29277" s="41"/>
    </row>
    <row r="29278" spans="20:20" s="566" customFormat="1">
      <c r="T29278" s="41"/>
    </row>
    <row r="29279" spans="20:20" s="566" customFormat="1">
      <c r="T29279" s="41"/>
    </row>
    <row r="29280" spans="20:20" s="566" customFormat="1">
      <c r="T29280" s="41"/>
    </row>
    <row r="29281" spans="20:20" s="566" customFormat="1">
      <c r="T29281" s="41"/>
    </row>
    <row r="29282" spans="20:20" s="566" customFormat="1">
      <c r="T29282" s="41"/>
    </row>
    <row r="29283" spans="20:20" s="566" customFormat="1">
      <c r="T29283" s="41"/>
    </row>
    <row r="29284" spans="20:20" s="566" customFormat="1">
      <c r="T29284" s="41"/>
    </row>
    <row r="29285" spans="20:20" s="566" customFormat="1">
      <c r="T29285" s="41"/>
    </row>
    <row r="29286" spans="20:20" s="566" customFormat="1">
      <c r="T29286" s="41"/>
    </row>
    <row r="29287" spans="20:20" s="566" customFormat="1">
      <c r="T29287" s="41"/>
    </row>
    <row r="29288" spans="20:20" s="566" customFormat="1">
      <c r="T29288" s="41"/>
    </row>
    <row r="29289" spans="20:20" s="566" customFormat="1">
      <c r="T29289" s="41"/>
    </row>
    <row r="29290" spans="20:20" s="566" customFormat="1">
      <c r="T29290" s="41"/>
    </row>
    <row r="29291" spans="20:20" s="566" customFormat="1">
      <c r="T29291" s="41"/>
    </row>
    <row r="29292" spans="20:20" s="566" customFormat="1">
      <c r="T29292" s="41"/>
    </row>
    <row r="29293" spans="20:20" s="566" customFormat="1">
      <c r="T29293" s="41"/>
    </row>
    <row r="29294" spans="20:20" s="566" customFormat="1">
      <c r="T29294" s="41"/>
    </row>
    <row r="29295" spans="20:20" s="566" customFormat="1">
      <c r="T29295" s="41"/>
    </row>
    <row r="29296" spans="20:20" s="566" customFormat="1">
      <c r="T29296" s="41"/>
    </row>
    <row r="29297" spans="20:20" s="566" customFormat="1">
      <c r="T29297" s="41"/>
    </row>
    <row r="29298" spans="20:20" s="566" customFormat="1">
      <c r="T29298" s="41"/>
    </row>
    <row r="29299" spans="20:20" s="566" customFormat="1">
      <c r="T29299" s="41"/>
    </row>
    <row r="29300" spans="20:20" s="566" customFormat="1">
      <c r="T29300" s="41"/>
    </row>
    <row r="29301" spans="20:20" s="566" customFormat="1">
      <c r="T29301" s="41"/>
    </row>
    <row r="29302" spans="20:20" s="566" customFormat="1">
      <c r="T29302" s="41"/>
    </row>
    <row r="29303" spans="20:20" s="566" customFormat="1">
      <c r="T29303" s="41"/>
    </row>
    <row r="29304" spans="20:20" s="566" customFormat="1">
      <c r="T29304" s="41"/>
    </row>
    <row r="29305" spans="20:20" s="566" customFormat="1">
      <c r="T29305" s="41"/>
    </row>
    <row r="29306" spans="20:20" s="566" customFormat="1">
      <c r="T29306" s="41"/>
    </row>
    <row r="29307" spans="20:20" s="566" customFormat="1">
      <c r="T29307" s="41"/>
    </row>
    <row r="29308" spans="20:20" s="566" customFormat="1">
      <c r="T29308" s="41"/>
    </row>
    <row r="29309" spans="20:20" s="566" customFormat="1">
      <c r="T29309" s="41"/>
    </row>
    <row r="29310" spans="20:20" s="566" customFormat="1">
      <c r="T29310" s="41"/>
    </row>
    <row r="29311" spans="20:20" s="566" customFormat="1">
      <c r="T29311" s="41"/>
    </row>
    <row r="29312" spans="20:20" s="566" customFormat="1">
      <c r="T29312" s="41"/>
    </row>
    <row r="29313" spans="20:20" s="566" customFormat="1">
      <c r="T29313" s="41"/>
    </row>
    <row r="29314" spans="20:20" s="566" customFormat="1">
      <c r="T29314" s="41"/>
    </row>
    <row r="29315" spans="20:20" s="566" customFormat="1">
      <c r="T29315" s="41"/>
    </row>
    <row r="29316" spans="20:20" s="566" customFormat="1">
      <c r="T29316" s="41"/>
    </row>
    <row r="29317" spans="20:20" s="566" customFormat="1">
      <c r="T29317" s="41"/>
    </row>
    <row r="29318" spans="20:20" s="566" customFormat="1">
      <c r="T29318" s="41"/>
    </row>
    <row r="29319" spans="20:20" s="566" customFormat="1">
      <c r="T29319" s="41"/>
    </row>
    <row r="29320" spans="20:20" s="566" customFormat="1">
      <c r="T29320" s="41"/>
    </row>
    <row r="29321" spans="20:20" s="566" customFormat="1">
      <c r="T29321" s="41"/>
    </row>
    <row r="29322" spans="20:20" s="566" customFormat="1">
      <c r="T29322" s="41"/>
    </row>
    <row r="29323" spans="20:20" s="566" customFormat="1">
      <c r="T29323" s="41"/>
    </row>
    <row r="29324" spans="20:20" s="566" customFormat="1">
      <c r="T29324" s="41"/>
    </row>
    <row r="29325" spans="20:20" s="566" customFormat="1">
      <c r="T29325" s="41"/>
    </row>
    <row r="29326" spans="20:20" s="566" customFormat="1">
      <c r="T29326" s="41"/>
    </row>
    <row r="29327" spans="20:20" s="566" customFormat="1">
      <c r="T29327" s="41"/>
    </row>
    <row r="29328" spans="20:20" s="566" customFormat="1">
      <c r="T29328" s="41"/>
    </row>
    <row r="29329" spans="20:20" s="566" customFormat="1">
      <c r="T29329" s="41"/>
    </row>
    <row r="29330" spans="20:20" s="566" customFormat="1">
      <c r="T29330" s="41"/>
    </row>
    <row r="29331" spans="20:20" s="566" customFormat="1">
      <c r="T29331" s="41"/>
    </row>
    <row r="29332" spans="20:20" s="566" customFormat="1">
      <c r="T29332" s="41"/>
    </row>
    <row r="29333" spans="20:20" s="566" customFormat="1">
      <c r="T29333" s="41"/>
    </row>
    <row r="29334" spans="20:20" s="566" customFormat="1">
      <c r="T29334" s="41"/>
    </row>
    <row r="29335" spans="20:20" s="566" customFormat="1">
      <c r="T29335" s="41"/>
    </row>
    <row r="29336" spans="20:20" s="566" customFormat="1">
      <c r="T29336" s="41"/>
    </row>
    <row r="29337" spans="20:20" s="566" customFormat="1">
      <c r="T29337" s="41"/>
    </row>
    <row r="29338" spans="20:20" s="566" customFormat="1">
      <c r="T29338" s="41"/>
    </row>
    <row r="29339" spans="20:20" s="566" customFormat="1">
      <c r="T29339" s="41"/>
    </row>
    <row r="29340" spans="20:20" s="566" customFormat="1">
      <c r="T29340" s="41"/>
    </row>
    <row r="29341" spans="20:20" s="566" customFormat="1">
      <c r="T29341" s="41"/>
    </row>
    <row r="29342" spans="20:20" s="566" customFormat="1">
      <c r="T29342" s="41"/>
    </row>
    <row r="29343" spans="20:20" s="566" customFormat="1">
      <c r="T29343" s="41"/>
    </row>
    <row r="29344" spans="20:20" s="566" customFormat="1">
      <c r="T29344" s="41"/>
    </row>
    <row r="29345" spans="20:20" s="566" customFormat="1">
      <c r="T29345" s="41"/>
    </row>
    <row r="29346" spans="20:20" s="566" customFormat="1">
      <c r="T29346" s="41"/>
    </row>
    <row r="29347" spans="20:20" s="566" customFormat="1">
      <c r="T29347" s="41"/>
    </row>
    <row r="29348" spans="20:20" s="566" customFormat="1">
      <c r="T29348" s="41"/>
    </row>
    <row r="29349" spans="20:20" s="566" customFormat="1">
      <c r="T29349" s="41"/>
    </row>
    <row r="29350" spans="20:20" s="566" customFormat="1">
      <c r="T29350" s="41"/>
    </row>
    <row r="29351" spans="20:20" s="566" customFormat="1">
      <c r="T29351" s="41"/>
    </row>
    <row r="29352" spans="20:20" s="566" customFormat="1">
      <c r="T29352" s="41"/>
    </row>
    <row r="29353" spans="20:20" s="566" customFormat="1">
      <c r="T29353" s="41"/>
    </row>
    <row r="29354" spans="20:20" s="566" customFormat="1">
      <c r="T29354" s="41"/>
    </row>
    <row r="29355" spans="20:20" s="566" customFormat="1">
      <c r="T29355" s="41"/>
    </row>
    <row r="29356" spans="20:20" s="566" customFormat="1">
      <c r="T29356" s="41"/>
    </row>
    <row r="29357" spans="20:20" s="566" customFormat="1">
      <c r="T29357" s="41"/>
    </row>
    <row r="29358" spans="20:20" s="566" customFormat="1">
      <c r="T29358" s="41"/>
    </row>
    <row r="29359" spans="20:20" s="566" customFormat="1">
      <c r="T29359" s="41"/>
    </row>
    <row r="29360" spans="20:20" s="566" customFormat="1">
      <c r="T29360" s="41"/>
    </row>
    <row r="29361" spans="20:20" s="566" customFormat="1">
      <c r="T29361" s="41"/>
    </row>
    <row r="29362" spans="20:20" s="566" customFormat="1">
      <c r="T29362" s="41"/>
    </row>
    <row r="29363" spans="20:20" s="566" customFormat="1">
      <c r="T29363" s="41"/>
    </row>
    <row r="29364" spans="20:20" s="566" customFormat="1">
      <c r="T29364" s="41"/>
    </row>
    <row r="29365" spans="20:20" s="566" customFormat="1">
      <c r="T29365" s="41"/>
    </row>
    <row r="29366" spans="20:20" s="566" customFormat="1">
      <c r="T29366" s="41"/>
    </row>
    <row r="29367" spans="20:20" s="566" customFormat="1">
      <c r="T29367" s="41"/>
    </row>
    <row r="29368" spans="20:20" s="566" customFormat="1">
      <c r="T29368" s="41"/>
    </row>
    <row r="29369" spans="20:20" s="566" customFormat="1">
      <c r="T29369" s="41"/>
    </row>
    <row r="29370" spans="20:20" s="566" customFormat="1">
      <c r="T29370" s="41"/>
    </row>
    <row r="29371" spans="20:20" s="566" customFormat="1">
      <c r="T29371" s="41"/>
    </row>
    <row r="29372" spans="20:20" s="566" customFormat="1">
      <c r="T29372" s="41"/>
    </row>
    <row r="29373" spans="20:20" s="566" customFormat="1">
      <c r="T29373" s="41"/>
    </row>
    <row r="29374" spans="20:20" s="566" customFormat="1">
      <c r="T29374" s="41"/>
    </row>
    <row r="29375" spans="20:20" s="566" customFormat="1">
      <c r="T29375" s="41"/>
    </row>
    <row r="29376" spans="20:20" s="566" customFormat="1">
      <c r="T29376" s="41"/>
    </row>
    <row r="29377" spans="20:20" s="566" customFormat="1">
      <c r="T29377" s="41"/>
    </row>
    <row r="29378" spans="20:20" s="566" customFormat="1">
      <c r="T29378" s="41"/>
    </row>
    <row r="29379" spans="20:20" s="566" customFormat="1">
      <c r="T29379" s="41"/>
    </row>
    <row r="29380" spans="20:20" s="566" customFormat="1">
      <c r="T29380" s="41"/>
    </row>
    <row r="29381" spans="20:20" s="566" customFormat="1">
      <c r="T29381" s="41"/>
    </row>
    <row r="29382" spans="20:20" s="566" customFormat="1">
      <c r="T29382" s="41"/>
    </row>
    <row r="29383" spans="20:20" s="566" customFormat="1">
      <c r="T29383" s="41"/>
    </row>
    <row r="29384" spans="20:20" s="566" customFormat="1">
      <c r="T29384" s="41"/>
    </row>
    <row r="29385" spans="20:20" s="566" customFormat="1">
      <c r="T29385" s="41"/>
    </row>
    <row r="29386" spans="20:20" s="566" customFormat="1">
      <c r="T29386" s="41"/>
    </row>
    <row r="29387" spans="20:20" s="566" customFormat="1">
      <c r="T29387" s="41"/>
    </row>
    <row r="29388" spans="20:20" s="566" customFormat="1">
      <c r="T29388" s="41"/>
    </row>
    <row r="29389" spans="20:20" s="566" customFormat="1">
      <c r="T29389" s="41"/>
    </row>
    <row r="29390" spans="20:20" s="566" customFormat="1">
      <c r="T29390" s="41"/>
    </row>
    <row r="29391" spans="20:20" s="566" customFormat="1">
      <c r="T29391" s="41"/>
    </row>
    <row r="29392" spans="20:20" s="566" customFormat="1">
      <c r="T29392" s="41"/>
    </row>
    <row r="29393" spans="20:20" s="566" customFormat="1">
      <c r="T29393" s="41"/>
    </row>
    <row r="29394" spans="20:20" s="566" customFormat="1">
      <c r="T29394" s="41"/>
    </row>
    <row r="29395" spans="20:20" s="566" customFormat="1">
      <c r="T29395" s="41"/>
    </row>
    <row r="29396" spans="20:20" s="566" customFormat="1">
      <c r="T29396" s="41"/>
    </row>
    <row r="29397" spans="20:20" s="566" customFormat="1">
      <c r="T29397" s="41"/>
    </row>
    <row r="29398" spans="20:20" s="566" customFormat="1">
      <c r="T29398" s="41"/>
    </row>
    <row r="29399" spans="20:20" s="566" customFormat="1">
      <c r="T29399" s="41"/>
    </row>
    <row r="29400" spans="20:20" s="566" customFormat="1">
      <c r="T29400" s="41"/>
    </row>
    <row r="29401" spans="20:20" s="566" customFormat="1">
      <c r="T29401" s="41"/>
    </row>
    <row r="29402" spans="20:20" s="566" customFormat="1">
      <c r="T29402" s="41"/>
    </row>
    <row r="29403" spans="20:20" s="566" customFormat="1">
      <c r="T29403" s="41"/>
    </row>
    <row r="29404" spans="20:20" s="566" customFormat="1">
      <c r="T29404" s="41"/>
    </row>
    <row r="29405" spans="20:20" s="566" customFormat="1">
      <c r="T29405" s="41"/>
    </row>
    <row r="29406" spans="20:20" s="566" customFormat="1">
      <c r="T29406" s="41"/>
    </row>
    <row r="29407" spans="20:20" s="566" customFormat="1">
      <c r="T29407" s="41"/>
    </row>
    <row r="29408" spans="20:20" s="566" customFormat="1">
      <c r="T29408" s="41"/>
    </row>
    <row r="29409" spans="20:20" s="566" customFormat="1">
      <c r="T29409" s="41"/>
    </row>
    <row r="29410" spans="20:20" s="566" customFormat="1">
      <c r="T29410" s="41"/>
    </row>
    <row r="29411" spans="20:20" s="566" customFormat="1">
      <c r="T29411" s="41"/>
    </row>
    <row r="29412" spans="20:20" s="566" customFormat="1">
      <c r="T29412" s="41"/>
    </row>
    <row r="29413" spans="20:20" s="566" customFormat="1">
      <c r="T29413" s="41"/>
    </row>
    <row r="29414" spans="20:20" s="566" customFormat="1">
      <c r="T29414" s="41"/>
    </row>
    <row r="29415" spans="20:20" s="566" customFormat="1">
      <c r="T29415" s="41"/>
    </row>
    <row r="29416" spans="20:20" s="566" customFormat="1">
      <c r="T29416" s="41"/>
    </row>
    <row r="29417" spans="20:20" s="566" customFormat="1">
      <c r="T29417" s="41"/>
    </row>
    <row r="29418" spans="20:20" s="566" customFormat="1">
      <c r="T29418" s="41"/>
    </row>
    <row r="29419" spans="20:20" s="566" customFormat="1">
      <c r="T29419" s="41"/>
    </row>
    <row r="29420" spans="20:20" s="566" customFormat="1">
      <c r="T29420" s="41"/>
    </row>
    <row r="29421" spans="20:20" s="566" customFormat="1">
      <c r="T29421" s="41"/>
    </row>
    <row r="29422" spans="20:20" s="566" customFormat="1">
      <c r="T29422" s="41"/>
    </row>
    <row r="29423" spans="20:20" s="566" customFormat="1">
      <c r="T29423" s="41"/>
    </row>
    <row r="29424" spans="20:20" s="566" customFormat="1">
      <c r="T29424" s="41"/>
    </row>
    <row r="29425" spans="20:20" s="566" customFormat="1">
      <c r="T29425" s="41"/>
    </row>
    <row r="29426" spans="20:20" s="566" customFormat="1">
      <c r="T29426" s="41"/>
    </row>
    <row r="29427" spans="20:20" s="566" customFormat="1">
      <c r="T29427" s="41"/>
    </row>
    <row r="29428" spans="20:20" s="566" customFormat="1">
      <c r="T29428" s="41"/>
    </row>
    <row r="29429" spans="20:20" s="566" customFormat="1">
      <c r="T29429" s="41"/>
    </row>
    <row r="29430" spans="20:20" s="566" customFormat="1">
      <c r="T29430" s="41"/>
    </row>
    <row r="29431" spans="20:20" s="566" customFormat="1">
      <c r="T29431" s="41"/>
    </row>
    <row r="29432" spans="20:20" s="566" customFormat="1">
      <c r="T29432" s="41"/>
    </row>
    <row r="29433" spans="20:20" s="566" customFormat="1">
      <c r="T29433" s="41"/>
    </row>
    <row r="29434" spans="20:20" s="566" customFormat="1">
      <c r="T29434" s="41"/>
    </row>
    <row r="29435" spans="20:20" s="566" customFormat="1">
      <c r="T29435" s="41"/>
    </row>
    <row r="29436" spans="20:20" s="566" customFormat="1">
      <c r="T29436" s="41"/>
    </row>
    <row r="29437" spans="20:20" s="566" customFormat="1">
      <c r="T29437" s="41"/>
    </row>
    <row r="29438" spans="20:20" s="566" customFormat="1">
      <c r="T29438" s="41"/>
    </row>
    <row r="29439" spans="20:20" s="566" customFormat="1">
      <c r="T29439" s="41"/>
    </row>
    <row r="29440" spans="20:20" s="566" customFormat="1">
      <c r="T29440" s="41"/>
    </row>
    <row r="29441" spans="20:20" s="566" customFormat="1">
      <c r="T29441" s="41"/>
    </row>
    <row r="29442" spans="20:20" s="566" customFormat="1">
      <c r="T29442" s="41"/>
    </row>
    <row r="29443" spans="20:20" s="566" customFormat="1">
      <c r="T29443" s="41"/>
    </row>
    <row r="29444" spans="20:20" s="566" customFormat="1">
      <c r="T29444" s="41"/>
    </row>
    <row r="29445" spans="20:20" s="566" customFormat="1">
      <c r="T29445" s="41"/>
    </row>
    <row r="29446" spans="20:20" s="566" customFormat="1">
      <c r="T29446" s="41"/>
    </row>
    <row r="29447" spans="20:20" s="566" customFormat="1">
      <c r="T29447" s="41"/>
    </row>
    <row r="29448" spans="20:20" s="566" customFormat="1">
      <c r="T29448" s="41"/>
    </row>
    <row r="29449" spans="20:20" s="566" customFormat="1">
      <c r="T29449" s="41"/>
    </row>
    <row r="29450" spans="20:20" s="566" customFormat="1">
      <c r="T29450" s="41"/>
    </row>
    <row r="29451" spans="20:20" s="566" customFormat="1">
      <c r="T29451" s="41"/>
    </row>
    <row r="29452" spans="20:20" s="566" customFormat="1">
      <c r="T29452" s="41"/>
    </row>
    <row r="29453" spans="20:20" s="566" customFormat="1">
      <c r="T29453" s="41"/>
    </row>
    <row r="29454" spans="20:20" s="566" customFormat="1">
      <c r="T29454" s="41"/>
    </row>
    <row r="29455" spans="20:20" s="566" customFormat="1">
      <c r="T29455" s="41"/>
    </row>
    <row r="29456" spans="20:20" s="566" customFormat="1">
      <c r="T29456" s="41"/>
    </row>
    <row r="29457" spans="20:20" s="566" customFormat="1">
      <c r="T29457" s="41"/>
    </row>
    <row r="29458" spans="20:20" s="566" customFormat="1">
      <c r="T29458" s="41"/>
    </row>
    <row r="29459" spans="20:20" s="566" customFormat="1">
      <c r="T29459" s="41"/>
    </row>
    <row r="29460" spans="20:20" s="566" customFormat="1">
      <c r="T29460" s="41"/>
    </row>
    <row r="29461" spans="20:20" s="566" customFormat="1">
      <c r="T29461" s="41"/>
    </row>
    <row r="29462" spans="20:20" s="566" customFormat="1">
      <c r="T29462" s="41"/>
    </row>
    <row r="29463" spans="20:20" s="566" customFormat="1">
      <c r="T29463" s="41"/>
    </row>
    <row r="29464" spans="20:20" s="566" customFormat="1">
      <c r="T29464" s="41"/>
    </row>
    <row r="29465" spans="20:20" s="566" customFormat="1">
      <c r="T29465" s="41"/>
    </row>
    <row r="29466" spans="20:20" s="566" customFormat="1">
      <c r="T29466" s="41"/>
    </row>
    <row r="29467" spans="20:20" s="566" customFormat="1">
      <c r="T29467" s="41"/>
    </row>
    <row r="29468" spans="20:20" s="566" customFormat="1">
      <c r="T29468" s="41"/>
    </row>
    <row r="29469" spans="20:20" s="566" customFormat="1">
      <c r="T29469" s="41"/>
    </row>
    <row r="29470" spans="20:20" s="566" customFormat="1">
      <c r="T29470" s="41"/>
    </row>
    <row r="29471" spans="20:20" s="566" customFormat="1">
      <c r="T29471" s="41"/>
    </row>
    <row r="29472" spans="20:20" s="566" customFormat="1">
      <c r="T29472" s="41"/>
    </row>
    <row r="29473" spans="20:20" s="566" customFormat="1">
      <c r="T29473" s="41"/>
    </row>
    <row r="29474" spans="20:20" s="566" customFormat="1">
      <c r="T29474" s="41"/>
    </row>
    <row r="29475" spans="20:20" s="566" customFormat="1">
      <c r="T29475" s="41"/>
    </row>
    <row r="29476" spans="20:20" s="566" customFormat="1">
      <c r="T29476" s="41"/>
    </row>
    <row r="29477" spans="20:20" s="566" customFormat="1">
      <c r="T29477" s="41"/>
    </row>
    <row r="29478" spans="20:20" s="566" customFormat="1">
      <c r="T29478" s="41"/>
    </row>
    <row r="29479" spans="20:20" s="566" customFormat="1">
      <c r="T29479" s="41"/>
    </row>
    <row r="29480" spans="20:20" s="566" customFormat="1">
      <c r="T29480" s="41"/>
    </row>
    <row r="29481" spans="20:20" s="566" customFormat="1">
      <c r="T29481" s="41"/>
    </row>
    <row r="29482" spans="20:20" s="566" customFormat="1">
      <c r="T29482" s="41"/>
    </row>
    <row r="29483" spans="20:20" s="566" customFormat="1">
      <c r="T29483" s="41"/>
    </row>
    <row r="29484" spans="20:20" s="566" customFormat="1">
      <c r="T29484" s="41"/>
    </row>
    <row r="29485" spans="20:20" s="566" customFormat="1">
      <c r="T29485" s="41"/>
    </row>
    <row r="29486" spans="20:20" s="566" customFormat="1">
      <c r="T29486" s="41"/>
    </row>
    <row r="29487" spans="20:20" s="566" customFormat="1">
      <c r="T29487" s="41"/>
    </row>
    <row r="29488" spans="20:20" s="566" customFormat="1">
      <c r="T29488" s="41"/>
    </row>
    <row r="29489" spans="20:20" s="566" customFormat="1">
      <c r="T29489" s="41"/>
    </row>
    <row r="29490" spans="20:20" s="566" customFormat="1">
      <c r="T29490" s="41"/>
    </row>
    <row r="29491" spans="20:20" s="566" customFormat="1">
      <c r="T29491" s="41"/>
    </row>
    <row r="29492" spans="20:20" s="566" customFormat="1">
      <c r="T29492" s="41"/>
    </row>
    <row r="29493" spans="20:20" s="566" customFormat="1">
      <c r="T29493" s="41"/>
    </row>
    <row r="29494" spans="20:20" s="566" customFormat="1">
      <c r="T29494" s="41"/>
    </row>
    <row r="29495" spans="20:20" s="566" customFormat="1">
      <c r="T29495" s="41"/>
    </row>
    <row r="29496" spans="20:20" s="566" customFormat="1">
      <c r="T29496" s="41"/>
    </row>
    <row r="29497" spans="20:20" s="566" customFormat="1">
      <c r="T29497" s="41"/>
    </row>
    <row r="29498" spans="20:20" s="566" customFormat="1">
      <c r="T29498" s="41"/>
    </row>
    <row r="29499" spans="20:20" s="566" customFormat="1">
      <c r="T29499" s="41"/>
    </row>
    <row r="29500" spans="20:20" s="566" customFormat="1">
      <c r="T29500" s="41"/>
    </row>
    <row r="29501" spans="20:20" s="566" customFormat="1">
      <c r="T29501" s="41"/>
    </row>
    <row r="29502" spans="20:20" s="566" customFormat="1">
      <c r="T29502" s="41"/>
    </row>
    <row r="29503" spans="20:20" s="566" customFormat="1">
      <c r="T29503" s="41"/>
    </row>
    <row r="29504" spans="20:20" s="566" customFormat="1">
      <c r="T29504" s="41"/>
    </row>
    <row r="29505" spans="20:20" s="566" customFormat="1">
      <c r="T29505" s="41"/>
    </row>
    <row r="29506" spans="20:20" s="566" customFormat="1">
      <c r="T29506" s="41"/>
    </row>
    <row r="29507" spans="20:20" s="566" customFormat="1">
      <c r="T29507" s="41"/>
    </row>
    <row r="29508" spans="20:20" s="566" customFormat="1">
      <c r="T29508" s="41"/>
    </row>
    <row r="29509" spans="20:20" s="566" customFormat="1">
      <c r="T29509" s="41"/>
    </row>
    <row r="29510" spans="20:20" s="566" customFormat="1">
      <c r="T29510" s="41"/>
    </row>
    <row r="29511" spans="20:20" s="566" customFormat="1">
      <c r="T29511" s="41"/>
    </row>
    <row r="29512" spans="20:20" s="566" customFormat="1">
      <c r="T29512" s="41"/>
    </row>
    <row r="29513" spans="20:20" s="566" customFormat="1">
      <c r="T29513" s="41"/>
    </row>
    <row r="29514" spans="20:20" s="566" customFormat="1">
      <c r="T29514" s="41"/>
    </row>
    <row r="29515" spans="20:20" s="566" customFormat="1">
      <c r="T29515" s="41"/>
    </row>
    <row r="29516" spans="20:20" s="566" customFormat="1">
      <c r="T29516" s="41"/>
    </row>
    <row r="29517" spans="20:20" s="566" customFormat="1">
      <c r="T29517" s="41"/>
    </row>
    <row r="29518" spans="20:20" s="566" customFormat="1">
      <c r="T29518" s="41"/>
    </row>
    <row r="29519" spans="20:20" s="566" customFormat="1">
      <c r="T29519" s="41"/>
    </row>
    <row r="29520" spans="20:20" s="566" customFormat="1">
      <c r="T29520" s="41"/>
    </row>
    <row r="29521" spans="20:20" s="566" customFormat="1">
      <c r="T29521" s="41"/>
    </row>
    <row r="29522" spans="20:20" s="566" customFormat="1">
      <c r="T29522" s="41"/>
    </row>
    <row r="29523" spans="20:20" s="566" customFormat="1">
      <c r="T29523" s="41"/>
    </row>
    <row r="29524" spans="20:20" s="566" customFormat="1">
      <c r="T29524" s="41"/>
    </row>
    <row r="29525" spans="20:20" s="566" customFormat="1">
      <c r="T29525" s="41"/>
    </row>
    <row r="29526" spans="20:20" s="566" customFormat="1">
      <c r="T29526" s="41"/>
    </row>
    <row r="29527" spans="20:20" s="566" customFormat="1">
      <c r="T29527" s="41"/>
    </row>
    <row r="29528" spans="20:20" s="566" customFormat="1">
      <c r="T29528" s="41"/>
    </row>
    <row r="29529" spans="20:20" s="566" customFormat="1">
      <c r="T29529" s="41"/>
    </row>
    <row r="29530" spans="20:20" s="566" customFormat="1">
      <c r="T29530" s="41"/>
    </row>
    <row r="29531" spans="20:20" s="566" customFormat="1">
      <c r="T29531" s="41"/>
    </row>
    <row r="29532" spans="20:20" s="566" customFormat="1">
      <c r="T29532" s="41"/>
    </row>
    <row r="29533" spans="20:20" s="566" customFormat="1">
      <c r="T29533" s="41"/>
    </row>
    <row r="29534" spans="20:20" s="566" customFormat="1">
      <c r="T29534" s="41"/>
    </row>
    <row r="29535" spans="20:20" s="566" customFormat="1">
      <c r="T29535" s="41"/>
    </row>
    <row r="29536" spans="20:20" s="566" customFormat="1">
      <c r="T29536" s="41"/>
    </row>
    <row r="29537" spans="20:20" s="566" customFormat="1">
      <c r="T29537" s="41"/>
    </row>
    <row r="29538" spans="20:20" s="566" customFormat="1">
      <c r="T29538" s="41"/>
    </row>
    <row r="29539" spans="20:20" s="566" customFormat="1">
      <c r="T29539" s="41"/>
    </row>
    <row r="29540" spans="20:20" s="566" customFormat="1">
      <c r="T29540" s="41"/>
    </row>
    <row r="29541" spans="20:20" s="566" customFormat="1">
      <c r="T29541" s="41"/>
    </row>
    <row r="29542" spans="20:20" s="566" customFormat="1">
      <c r="T29542" s="41"/>
    </row>
    <row r="29543" spans="20:20" s="566" customFormat="1">
      <c r="T29543" s="41"/>
    </row>
    <row r="29544" spans="20:20" s="566" customFormat="1">
      <c r="T29544" s="41"/>
    </row>
    <row r="29545" spans="20:20" s="566" customFormat="1">
      <c r="T29545" s="41"/>
    </row>
    <row r="29546" spans="20:20" s="566" customFormat="1">
      <c r="T29546" s="41"/>
    </row>
    <row r="29547" spans="20:20" s="566" customFormat="1">
      <c r="T29547" s="41"/>
    </row>
    <row r="29548" spans="20:20" s="566" customFormat="1">
      <c r="T29548" s="41"/>
    </row>
    <row r="29549" spans="20:20" s="566" customFormat="1">
      <c r="T29549" s="41"/>
    </row>
    <row r="29550" spans="20:20" s="566" customFormat="1">
      <c r="T29550" s="41"/>
    </row>
    <row r="29551" spans="20:20" s="566" customFormat="1">
      <c r="T29551" s="41"/>
    </row>
    <row r="29552" spans="20:20" s="566" customFormat="1">
      <c r="T29552" s="41"/>
    </row>
    <row r="29553" spans="20:20" s="566" customFormat="1">
      <c r="T29553" s="41"/>
    </row>
    <row r="29554" spans="20:20" s="566" customFormat="1">
      <c r="T29554" s="41"/>
    </row>
    <row r="29555" spans="20:20" s="566" customFormat="1">
      <c r="T29555" s="41"/>
    </row>
    <row r="29556" spans="20:20" s="566" customFormat="1">
      <c r="T29556" s="41"/>
    </row>
    <row r="29557" spans="20:20" s="566" customFormat="1">
      <c r="T29557" s="41"/>
    </row>
    <row r="29558" spans="20:20" s="566" customFormat="1">
      <c r="T29558" s="41"/>
    </row>
    <row r="29559" spans="20:20" s="566" customFormat="1">
      <c r="T29559" s="41"/>
    </row>
    <row r="29560" spans="20:20" s="566" customFormat="1">
      <c r="T29560" s="41"/>
    </row>
    <row r="29561" spans="20:20" s="566" customFormat="1">
      <c r="T29561" s="41"/>
    </row>
    <row r="29562" spans="20:20" s="566" customFormat="1">
      <c r="T29562" s="41"/>
    </row>
    <row r="29563" spans="20:20" s="566" customFormat="1">
      <c r="T29563" s="41"/>
    </row>
    <row r="29564" spans="20:20" s="566" customFormat="1">
      <c r="T29564" s="41"/>
    </row>
    <row r="29565" spans="20:20" s="566" customFormat="1">
      <c r="T29565" s="41"/>
    </row>
    <row r="29566" spans="20:20" s="566" customFormat="1">
      <c r="T29566" s="41"/>
    </row>
    <row r="29567" spans="20:20" s="566" customFormat="1">
      <c r="T29567" s="41"/>
    </row>
    <row r="29568" spans="20:20" s="566" customFormat="1">
      <c r="T29568" s="41"/>
    </row>
    <row r="29569" spans="20:20" s="566" customFormat="1">
      <c r="T29569" s="41"/>
    </row>
    <row r="29570" spans="20:20" s="566" customFormat="1">
      <c r="T29570" s="41"/>
    </row>
    <row r="29571" spans="20:20" s="566" customFormat="1">
      <c r="T29571" s="41"/>
    </row>
    <row r="29572" spans="20:20" s="566" customFormat="1">
      <c r="T29572" s="41"/>
    </row>
    <row r="29573" spans="20:20" s="566" customFormat="1">
      <c r="T29573" s="41"/>
    </row>
    <row r="29574" spans="20:20" s="566" customFormat="1">
      <c r="T29574" s="41"/>
    </row>
    <row r="29575" spans="20:20" s="566" customFormat="1">
      <c r="T29575" s="41"/>
    </row>
    <row r="29576" spans="20:20" s="566" customFormat="1">
      <c r="T29576" s="41"/>
    </row>
    <row r="29577" spans="20:20" s="566" customFormat="1">
      <c r="T29577" s="41"/>
    </row>
    <row r="29578" spans="20:20" s="566" customFormat="1">
      <c r="T29578" s="41"/>
    </row>
    <row r="29579" spans="20:20" s="566" customFormat="1">
      <c r="T29579" s="41"/>
    </row>
    <row r="29580" spans="20:20" s="566" customFormat="1">
      <c r="T29580" s="41"/>
    </row>
    <row r="29581" spans="20:20" s="566" customFormat="1">
      <c r="T29581" s="41"/>
    </row>
    <row r="29582" spans="20:20" s="566" customFormat="1">
      <c r="T29582" s="41"/>
    </row>
    <row r="29583" spans="20:20" s="566" customFormat="1">
      <c r="T29583" s="41"/>
    </row>
    <row r="29584" spans="20:20" s="566" customFormat="1">
      <c r="T29584" s="41"/>
    </row>
    <row r="29585" spans="20:20" s="566" customFormat="1">
      <c r="T29585" s="41"/>
    </row>
    <row r="29586" spans="20:20" s="566" customFormat="1">
      <c r="T29586" s="41"/>
    </row>
    <row r="29587" spans="20:20" s="566" customFormat="1">
      <c r="T29587" s="41"/>
    </row>
    <row r="29588" spans="20:20" s="566" customFormat="1">
      <c r="T29588" s="41"/>
    </row>
    <row r="29589" spans="20:20" s="566" customFormat="1">
      <c r="T29589" s="41"/>
    </row>
    <row r="29590" spans="20:20" s="566" customFormat="1">
      <c r="T29590" s="41"/>
    </row>
    <row r="29591" spans="20:20" s="566" customFormat="1">
      <c r="T29591" s="41"/>
    </row>
    <row r="29592" spans="20:20" s="566" customFormat="1">
      <c r="T29592" s="41"/>
    </row>
    <row r="29593" spans="20:20" s="566" customFormat="1">
      <c r="T29593" s="41"/>
    </row>
    <row r="29594" spans="20:20" s="566" customFormat="1">
      <c r="T29594" s="41"/>
    </row>
    <row r="29595" spans="20:20" s="566" customFormat="1">
      <c r="T29595" s="41"/>
    </row>
    <row r="29596" spans="20:20" s="566" customFormat="1">
      <c r="T29596" s="41"/>
    </row>
    <row r="29597" spans="20:20" s="566" customFormat="1">
      <c r="T29597" s="41"/>
    </row>
    <row r="29598" spans="20:20" s="566" customFormat="1">
      <c r="T29598" s="41"/>
    </row>
    <row r="29599" spans="20:20" s="566" customFormat="1">
      <c r="T29599" s="41"/>
    </row>
    <row r="29600" spans="20:20" s="566" customFormat="1">
      <c r="T29600" s="41"/>
    </row>
    <row r="29601" spans="20:20" s="566" customFormat="1">
      <c r="T29601" s="41"/>
    </row>
    <row r="29602" spans="20:20" s="566" customFormat="1">
      <c r="T29602" s="41"/>
    </row>
    <row r="29603" spans="20:20" s="566" customFormat="1">
      <c r="T29603" s="41"/>
    </row>
    <row r="29604" spans="20:20" s="566" customFormat="1">
      <c r="T29604" s="41"/>
    </row>
    <row r="29605" spans="20:20" s="566" customFormat="1">
      <c r="T29605" s="41"/>
    </row>
    <row r="29606" spans="20:20" s="566" customFormat="1">
      <c r="T29606" s="41"/>
    </row>
    <row r="29607" spans="20:20" s="566" customFormat="1">
      <c r="T29607" s="41"/>
    </row>
    <row r="29608" spans="20:20" s="566" customFormat="1">
      <c r="T29608" s="41"/>
    </row>
    <row r="29609" spans="20:20" s="566" customFormat="1">
      <c r="T29609" s="41"/>
    </row>
    <row r="29610" spans="20:20" s="566" customFormat="1">
      <c r="T29610" s="41"/>
    </row>
    <row r="29611" spans="20:20" s="566" customFormat="1">
      <c r="T29611" s="41"/>
    </row>
    <row r="29612" spans="20:20" s="566" customFormat="1">
      <c r="T29612" s="41"/>
    </row>
    <row r="29613" spans="20:20" s="566" customFormat="1">
      <c r="T29613" s="41"/>
    </row>
    <row r="29614" spans="20:20" s="566" customFormat="1">
      <c r="T29614" s="41"/>
    </row>
    <row r="29615" spans="20:20" s="566" customFormat="1">
      <c r="T29615" s="41"/>
    </row>
    <row r="29616" spans="20:20" s="566" customFormat="1">
      <c r="T29616" s="41"/>
    </row>
    <row r="29617" spans="20:20" s="566" customFormat="1">
      <c r="T29617" s="41"/>
    </row>
    <row r="29618" spans="20:20" s="566" customFormat="1">
      <c r="T29618" s="41"/>
    </row>
    <row r="29619" spans="20:20" s="566" customFormat="1">
      <c r="T29619" s="41"/>
    </row>
    <row r="29620" spans="20:20" s="566" customFormat="1">
      <c r="T29620" s="41"/>
    </row>
    <row r="29621" spans="20:20" s="566" customFormat="1">
      <c r="T29621" s="41"/>
    </row>
    <row r="29622" spans="20:20" s="566" customFormat="1">
      <c r="T29622" s="41"/>
    </row>
    <row r="29623" spans="20:20" s="566" customFormat="1">
      <c r="T29623" s="41"/>
    </row>
    <row r="29624" spans="20:20" s="566" customFormat="1">
      <c r="T29624" s="41"/>
    </row>
    <row r="29625" spans="20:20" s="566" customFormat="1">
      <c r="T29625" s="41"/>
    </row>
    <row r="29626" spans="20:20" s="566" customFormat="1">
      <c r="T29626" s="41"/>
    </row>
    <row r="29627" spans="20:20" s="566" customFormat="1">
      <c r="T29627" s="41"/>
    </row>
    <row r="29628" spans="20:20" s="566" customFormat="1">
      <c r="T29628" s="41"/>
    </row>
    <row r="29629" spans="20:20" s="566" customFormat="1">
      <c r="T29629" s="41"/>
    </row>
    <row r="29630" spans="20:20" s="566" customFormat="1">
      <c r="T29630" s="41"/>
    </row>
    <row r="29631" spans="20:20" s="566" customFormat="1">
      <c r="T29631" s="41"/>
    </row>
    <row r="29632" spans="20:20" s="566" customFormat="1">
      <c r="T29632" s="41"/>
    </row>
    <row r="29633" spans="20:20" s="566" customFormat="1">
      <c r="T29633" s="41"/>
    </row>
    <row r="29634" spans="20:20" s="566" customFormat="1">
      <c r="T29634" s="41"/>
    </row>
    <row r="29635" spans="20:20" s="566" customFormat="1">
      <c r="T29635" s="41"/>
    </row>
    <row r="29636" spans="20:20" s="566" customFormat="1">
      <c r="T29636" s="41"/>
    </row>
    <row r="29637" spans="20:20" s="566" customFormat="1">
      <c r="T29637" s="41"/>
    </row>
    <row r="29638" spans="20:20" s="566" customFormat="1">
      <c r="T29638" s="41"/>
    </row>
    <row r="29639" spans="20:20" s="566" customFormat="1">
      <c r="T29639" s="41"/>
    </row>
    <row r="29640" spans="20:20" s="566" customFormat="1">
      <c r="T29640" s="41"/>
    </row>
    <row r="29641" spans="20:20" s="566" customFormat="1">
      <c r="T29641" s="41"/>
    </row>
    <row r="29642" spans="20:20" s="566" customFormat="1">
      <c r="T29642" s="41"/>
    </row>
    <row r="29643" spans="20:20" s="566" customFormat="1">
      <c r="T29643" s="41"/>
    </row>
    <row r="29644" spans="20:20" s="566" customFormat="1">
      <c r="T29644" s="41"/>
    </row>
    <row r="29645" spans="20:20" s="566" customFormat="1">
      <c r="T29645" s="41"/>
    </row>
    <row r="29646" spans="20:20" s="566" customFormat="1">
      <c r="T29646" s="41"/>
    </row>
    <row r="29647" spans="20:20" s="566" customFormat="1">
      <c r="T29647" s="41"/>
    </row>
    <row r="29648" spans="20:20" s="566" customFormat="1">
      <c r="T29648" s="41"/>
    </row>
    <row r="29649" spans="20:20" s="566" customFormat="1">
      <c r="T29649" s="41"/>
    </row>
    <row r="29650" spans="20:20" s="566" customFormat="1">
      <c r="T29650" s="41"/>
    </row>
    <row r="29651" spans="20:20" s="566" customFormat="1">
      <c r="T29651" s="41"/>
    </row>
    <row r="29652" spans="20:20" s="566" customFormat="1">
      <c r="T29652" s="41"/>
    </row>
    <row r="29653" spans="20:20" s="566" customFormat="1">
      <c r="T29653" s="41"/>
    </row>
    <row r="29654" spans="20:20" s="566" customFormat="1">
      <c r="T29654" s="41"/>
    </row>
    <row r="29655" spans="20:20" s="566" customFormat="1">
      <c r="T29655" s="41"/>
    </row>
    <row r="29656" spans="20:20" s="566" customFormat="1">
      <c r="T29656" s="41"/>
    </row>
    <row r="29657" spans="20:20" s="566" customFormat="1">
      <c r="T29657" s="41"/>
    </row>
    <row r="29658" spans="20:20" s="566" customFormat="1">
      <c r="T29658" s="41"/>
    </row>
    <row r="29659" spans="20:20" s="566" customFormat="1">
      <c r="T29659" s="41"/>
    </row>
    <row r="29660" spans="20:20" s="566" customFormat="1">
      <c r="T29660" s="41"/>
    </row>
    <row r="29661" spans="20:20" s="566" customFormat="1">
      <c r="T29661" s="41"/>
    </row>
    <row r="29662" spans="20:20" s="566" customFormat="1">
      <c r="T29662" s="41"/>
    </row>
    <row r="29663" spans="20:20" s="566" customFormat="1">
      <c r="T29663" s="41"/>
    </row>
    <row r="29664" spans="20:20" s="566" customFormat="1">
      <c r="T29664" s="41"/>
    </row>
    <row r="29665" spans="20:20" s="566" customFormat="1">
      <c r="T29665" s="41"/>
    </row>
    <row r="29666" spans="20:20" s="566" customFormat="1">
      <c r="T29666" s="41"/>
    </row>
    <row r="29667" spans="20:20" s="566" customFormat="1">
      <c r="T29667" s="41"/>
    </row>
    <row r="29668" spans="20:20" s="566" customFormat="1">
      <c r="T29668" s="41"/>
    </row>
    <row r="29669" spans="20:20" s="566" customFormat="1">
      <c r="T29669" s="41"/>
    </row>
    <row r="29670" spans="20:20" s="566" customFormat="1">
      <c r="T29670" s="41"/>
    </row>
    <row r="29671" spans="20:20" s="566" customFormat="1">
      <c r="T29671" s="41"/>
    </row>
    <row r="29672" spans="20:20" s="566" customFormat="1">
      <c r="T29672" s="41"/>
    </row>
    <row r="29673" spans="20:20" s="566" customFormat="1">
      <c r="T29673" s="41"/>
    </row>
    <row r="29674" spans="20:20" s="566" customFormat="1">
      <c r="T29674" s="41"/>
    </row>
    <row r="29675" spans="20:20" s="566" customFormat="1">
      <c r="T29675" s="41"/>
    </row>
    <row r="29676" spans="20:20" s="566" customFormat="1">
      <c r="T29676" s="41"/>
    </row>
    <row r="29677" spans="20:20" s="566" customFormat="1">
      <c r="T29677" s="41"/>
    </row>
    <row r="29678" spans="20:20" s="566" customFormat="1">
      <c r="T29678" s="41"/>
    </row>
    <row r="29679" spans="20:20" s="566" customFormat="1">
      <c r="T29679" s="41"/>
    </row>
    <row r="29680" spans="20:20" s="566" customFormat="1">
      <c r="T29680" s="41"/>
    </row>
    <row r="29681" spans="20:20" s="566" customFormat="1">
      <c r="T29681" s="41"/>
    </row>
    <row r="29682" spans="20:20" s="566" customFormat="1">
      <c r="T29682" s="41"/>
    </row>
    <row r="29683" spans="20:20" s="566" customFormat="1">
      <c r="T29683" s="41"/>
    </row>
    <row r="29684" spans="20:20" s="566" customFormat="1">
      <c r="T29684" s="41"/>
    </row>
    <row r="29685" spans="20:20" s="566" customFormat="1">
      <c r="T29685" s="41"/>
    </row>
    <row r="29686" spans="20:20" s="566" customFormat="1">
      <c r="T29686" s="41"/>
    </row>
    <row r="29687" spans="20:20" s="566" customFormat="1">
      <c r="T29687" s="41"/>
    </row>
    <row r="29688" spans="20:20" s="566" customFormat="1">
      <c r="T29688" s="41"/>
    </row>
    <row r="29689" spans="20:20" s="566" customFormat="1">
      <c r="T29689" s="41"/>
    </row>
    <row r="29690" spans="20:20" s="566" customFormat="1">
      <c r="T29690" s="41"/>
    </row>
    <row r="29691" spans="20:20" s="566" customFormat="1">
      <c r="T29691" s="41"/>
    </row>
    <row r="29692" spans="20:20" s="566" customFormat="1">
      <c r="T29692" s="41"/>
    </row>
    <row r="29693" spans="20:20" s="566" customFormat="1">
      <c r="T29693" s="41"/>
    </row>
    <row r="29694" spans="20:20" s="566" customFormat="1">
      <c r="T29694" s="41"/>
    </row>
    <row r="29695" spans="20:20" s="566" customFormat="1">
      <c r="T29695" s="41"/>
    </row>
    <row r="29696" spans="20:20" s="566" customFormat="1">
      <c r="T29696" s="41"/>
    </row>
    <row r="29697" spans="20:20" s="566" customFormat="1">
      <c r="T29697" s="41"/>
    </row>
    <row r="29698" spans="20:20" s="566" customFormat="1">
      <c r="T29698" s="41"/>
    </row>
    <row r="29699" spans="20:20" s="566" customFormat="1">
      <c r="T29699" s="41"/>
    </row>
    <row r="29700" spans="20:20" s="566" customFormat="1">
      <c r="T29700" s="41"/>
    </row>
    <row r="29701" spans="20:20" s="566" customFormat="1">
      <c r="T29701" s="41"/>
    </row>
    <row r="29702" spans="20:20" s="566" customFormat="1">
      <c r="T29702" s="41"/>
    </row>
    <row r="29703" spans="20:20" s="566" customFormat="1">
      <c r="T29703" s="41"/>
    </row>
    <row r="29704" spans="20:20" s="566" customFormat="1">
      <c r="T29704" s="41"/>
    </row>
    <row r="29705" spans="20:20" s="566" customFormat="1">
      <c r="T29705" s="41"/>
    </row>
    <row r="29706" spans="20:20" s="566" customFormat="1">
      <c r="T29706" s="41"/>
    </row>
    <row r="29707" spans="20:20" s="566" customFormat="1">
      <c r="T29707" s="41"/>
    </row>
    <row r="29708" spans="20:20" s="566" customFormat="1">
      <c r="T29708" s="41"/>
    </row>
    <row r="29709" spans="20:20" s="566" customFormat="1">
      <c r="T29709" s="41"/>
    </row>
    <row r="29710" spans="20:20" s="566" customFormat="1">
      <c r="T29710" s="41"/>
    </row>
    <row r="29711" spans="20:20" s="566" customFormat="1">
      <c r="T29711" s="41"/>
    </row>
    <row r="29712" spans="20:20" s="566" customFormat="1">
      <c r="T29712" s="41"/>
    </row>
    <row r="29713" spans="20:20" s="566" customFormat="1">
      <c r="T29713" s="41"/>
    </row>
    <row r="29714" spans="20:20" s="566" customFormat="1">
      <c r="T29714" s="41"/>
    </row>
    <row r="29715" spans="20:20" s="566" customFormat="1">
      <c r="T29715" s="41"/>
    </row>
    <row r="29716" spans="20:20" s="566" customFormat="1">
      <c r="T29716" s="41"/>
    </row>
    <row r="29717" spans="20:20" s="566" customFormat="1">
      <c r="T29717" s="41"/>
    </row>
    <row r="29718" spans="20:20" s="566" customFormat="1">
      <c r="T29718" s="41"/>
    </row>
    <row r="29719" spans="20:20" s="566" customFormat="1">
      <c r="T29719" s="41"/>
    </row>
    <row r="29720" spans="20:20" s="566" customFormat="1">
      <c r="T29720" s="41"/>
    </row>
    <row r="29721" spans="20:20" s="566" customFormat="1">
      <c r="T29721" s="41"/>
    </row>
    <row r="29722" spans="20:20" s="566" customFormat="1">
      <c r="T29722" s="41"/>
    </row>
    <row r="29723" spans="20:20" s="566" customFormat="1">
      <c r="T29723" s="41"/>
    </row>
    <row r="29724" spans="20:20" s="566" customFormat="1">
      <c r="T29724" s="41"/>
    </row>
    <row r="29725" spans="20:20" s="566" customFormat="1">
      <c r="T29725" s="41"/>
    </row>
    <row r="29726" spans="20:20" s="566" customFormat="1">
      <c r="T29726" s="41"/>
    </row>
    <row r="29727" spans="20:20" s="566" customFormat="1">
      <c r="T29727" s="41"/>
    </row>
    <row r="29728" spans="20:20" s="566" customFormat="1">
      <c r="T29728" s="41"/>
    </row>
    <row r="29729" spans="20:20" s="566" customFormat="1">
      <c r="T29729" s="41"/>
    </row>
    <row r="29730" spans="20:20" s="566" customFormat="1">
      <c r="T29730" s="41"/>
    </row>
    <row r="29731" spans="20:20" s="566" customFormat="1">
      <c r="T29731" s="41"/>
    </row>
    <row r="29732" spans="20:20" s="566" customFormat="1">
      <c r="T29732" s="41"/>
    </row>
    <row r="29733" spans="20:20" s="566" customFormat="1">
      <c r="T29733" s="41"/>
    </row>
    <row r="29734" spans="20:20" s="566" customFormat="1">
      <c r="T29734" s="41"/>
    </row>
    <row r="29735" spans="20:20" s="566" customFormat="1">
      <c r="T29735" s="41"/>
    </row>
    <row r="29736" spans="20:20" s="566" customFormat="1">
      <c r="T29736" s="41"/>
    </row>
    <row r="29737" spans="20:20" s="566" customFormat="1">
      <c r="T29737" s="41"/>
    </row>
    <row r="29738" spans="20:20" s="566" customFormat="1">
      <c r="T29738" s="41"/>
    </row>
    <row r="29739" spans="20:20" s="566" customFormat="1">
      <c r="T29739" s="41"/>
    </row>
    <row r="29740" spans="20:20" s="566" customFormat="1">
      <c r="T29740" s="41"/>
    </row>
    <row r="29741" spans="20:20" s="566" customFormat="1">
      <c r="T29741" s="41"/>
    </row>
    <row r="29742" spans="20:20" s="566" customFormat="1">
      <c r="T29742" s="41"/>
    </row>
    <row r="29743" spans="20:20" s="566" customFormat="1">
      <c r="T29743" s="41"/>
    </row>
    <row r="29744" spans="20:20" s="566" customFormat="1">
      <c r="T29744" s="41"/>
    </row>
    <row r="29745" spans="20:20" s="566" customFormat="1">
      <c r="T29745" s="41"/>
    </row>
    <row r="29746" spans="20:20" s="566" customFormat="1">
      <c r="T29746" s="41"/>
    </row>
    <row r="29747" spans="20:20" s="566" customFormat="1">
      <c r="T29747" s="41"/>
    </row>
    <row r="29748" spans="20:20" s="566" customFormat="1">
      <c r="T29748" s="41"/>
    </row>
    <row r="29749" spans="20:20" s="566" customFormat="1">
      <c r="T29749" s="41"/>
    </row>
    <row r="29750" spans="20:20" s="566" customFormat="1">
      <c r="T29750" s="41"/>
    </row>
    <row r="29751" spans="20:20" s="566" customFormat="1">
      <c r="T29751" s="41"/>
    </row>
    <row r="29752" spans="20:20" s="566" customFormat="1">
      <c r="T29752" s="41"/>
    </row>
    <row r="29753" spans="20:20" s="566" customFormat="1">
      <c r="T29753" s="41"/>
    </row>
    <row r="29754" spans="20:20" s="566" customFormat="1">
      <c r="T29754" s="41"/>
    </row>
    <row r="29755" spans="20:20" s="566" customFormat="1">
      <c r="T29755" s="41"/>
    </row>
    <row r="29756" spans="20:20" s="566" customFormat="1">
      <c r="T29756" s="41"/>
    </row>
    <row r="29757" spans="20:20" s="566" customFormat="1">
      <c r="T29757" s="41"/>
    </row>
    <row r="29758" spans="20:20" s="566" customFormat="1">
      <c r="T29758" s="41"/>
    </row>
    <row r="29759" spans="20:20" s="566" customFormat="1">
      <c r="T29759" s="41"/>
    </row>
    <row r="29760" spans="20:20" s="566" customFormat="1">
      <c r="T29760" s="41"/>
    </row>
    <row r="29761" spans="20:20" s="566" customFormat="1">
      <c r="T29761" s="41"/>
    </row>
    <row r="29762" spans="20:20" s="566" customFormat="1">
      <c r="T29762" s="41"/>
    </row>
    <row r="29763" spans="20:20" s="566" customFormat="1">
      <c r="T29763" s="41"/>
    </row>
    <row r="29764" spans="20:20" s="566" customFormat="1">
      <c r="T29764" s="41"/>
    </row>
    <row r="29765" spans="20:20" s="566" customFormat="1">
      <c r="T29765" s="41"/>
    </row>
    <row r="29766" spans="20:20" s="566" customFormat="1">
      <c r="T29766" s="41"/>
    </row>
    <row r="29767" spans="20:20" s="566" customFormat="1">
      <c r="T29767" s="41"/>
    </row>
    <row r="29768" spans="20:20" s="566" customFormat="1">
      <c r="T29768" s="41"/>
    </row>
    <row r="29769" spans="20:20" s="566" customFormat="1">
      <c r="T29769" s="41"/>
    </row>
    <row r="29770" spans="20:20" s="566" customFormat="1">
      <c r="T29770" s="41"/>
    </row>
    <row r="29771" spans="20:20" s="566" customFormat="1">
      <c r="T29771" s="41"/>
    </row>
    <row r="29772" spans="20:20" s="566" customFormat="1">
      <c r="T29772" s="41"/>
    </row>
    <row r="29773" spans="20:20" s="566" customFormat="1">
      <c r="T29773" s="41"/>
    </row>
    <row r="29774" spans="20:20" s="566" customFormat="1">
      <c r="T29774" s="41"/>
    </row>
    <row r="29775" spans="20:20" s="566" customFormat="1">
      <c r="T29775" s="41"/>
    </row>
    <row r="29776" spans="20:20" s="566" customFormat="1">
      <c r="T29776" s="41"/>
    </row>
    <row r="29777" spans="20:20" s="566" customFormat="1">
      <c r="T29777" s="41"/>
    </row>
    <row r="29778" spans="20:20" s="566" customFormat="1">
      <c r="T29778" s="41"/>
    </row>
    <row r="29779" spans="20:20" s="566" customFormat="1">
      <c r="T29779" s="41"/>
    </row>
    <row r="29780" spans="20:20" s="566" customFormat="1">
      <c r="T29780" s="41"/>
    </row>
    <row r="29781" spans="20:20" s="566" customFormat="1">
      <c r="T29781" s="41"/>
    </row>
    <row r="29782" spans="20:20" s="566" customFormat="1">
      <c r="T29782" s="41"/>
    </row>
    <row r="29783" spans="20:20" s="566" customFormat="1">
      <c r="T29783" s="41"/>
    </row>
    <row r="29784" spans="20:20" s="566" customFormat="1">
      <c r="T29784" s="41"/>
    </row>
    <row r="29785" spans="20:20" s="566" customFormat="1">
      <c r="T29785" s="41"/>
    </row>
    <row r="29786" spans="20:20" s="566" customFormat="1">
      <c r="T29786" s="41"/>
    </row>
    <row r="29787" spans="20:20" s="566" customFormat="1">
      <c r="T29787" s="41"/>
    </row>
    <row r="29788" spans="20:20" s="566" customFormat="1">
      <c r="T29788" s="41"/>
    </row>
    <row r="29789" spans="20:20" s="566" customFormat="1">
      <c r="T29789" s="41"/>
    </row>
    <row r="29790" spans="20:20" s="566" customFormat="1">
      <c r="T29790" s="41"/>
    </row>
    <row r="29791" spans="20:20" s="566" customFormat="1">
      <c r="T29791" s="41"/>
    </row>
    <row r="29792" spans="20:20" s="566" customFormat="1">
      <c r="T29792" s="41"/>
    </row>
    <row r="29793" spans="20:20" s="566" customFormat="1">
      <c r="T29793" s="41"/>
    </row>
    <row r="29794" spans="20:20" s="566" customFormat="1">
      <c r="T29794" s="41"/>
    </row>
    <row r="29795" spans="20:20" s="566" customFormat="1">
      <c r="T29795" s="41"/>
    </row>
    <row r="29796" spans="20:20" s="566" customFormat="1">
      <c r="T29796" s="41"/>
    </row>
    <row r="29797" spans="20:20" s="566" customFormat="1">
      <c r="T29797" s="41"/>
    </row>
    <row r="29798" spans="20:20" s="566" customFormat="1">
      <c r="T29798" s="41"/>
    </row>
    <row r="29799" spans="20:20" s="566" customFormat="1">
      <c r="T29799" s="41"/>
    </row>
    <row r="29800" spans="20:20" s="566" customFormat="1">
      <c r="T29800" s="41"/>
    </row>
    <row r="29801" spans="20:20" s="566" customFormat="1">
      <c r="T29801" s="41"/>
    </row>
    <row r="29802" spans="20:20" s="566" customFormat="1">
      <c r="T29802" s="41"/>
    </row>
    <row r="29803" spans="20:20" s="566" customFormat="1">
      <c r="T29803" s="41"/>
    </row>
    <row r="29804" spans="20:20" s="566" customFormat="1">
      <c r="T29804" s="41"/>
    </row>
    <row r="29805" spans="20:20" s="566" customFormat="1">
      <c r="T29805" s="41"/>
    </row>
    <row r="29806" spans="20:20" s="566" customFormat="1">
      <c r="T29806" s="41"/>
    </row>
    <row r="29807" spans="20:20" s="566" customFormat="1">
      <c r="T29807" s="41"/>
    </row>
    <row r="29808" spans="20:20" s="566" customFormat="1">
      <c r="T29808" s="41"/>
    </row>
    <row r="29809" spans="20:20" s="566" customFormat="1">
      <c r="T29809" s="41"/>
    </row>
    <row r="29810" spans="20:20" s="566" customFormat="1">
      <c r="T29810" s="41"/>
    </row>
    <row r="29811" spans="20:20" s="566" customFormat="1">
      <c r="T29811" s="41"/>
    </row>
    <row r="29812" spans="20:20" s="566" customFormat="1">
      <c r="T29812" s="41"/>
    </row>
    <row r="29813" spans="20:20" s="566" customFormat="1">
      <c r="T29813" s="41"/>
    </row>
    <row r="29814" spans="20:20" s="566" customFormat="1">
      <c r="T29814" s="41"/>
    </row>
    <row r="29815" spans="20:20" s="566" customFormat="1">
      <c r="T29815" s="41"/>
    </row>
    <row r="29816" spans="20:20" s="566" customFormat="1">
      <c r="T29816" s="41"/>
    </row>
    <row r="29817" spans="20:20" s="566" customFormat="1">
      <c r="T29817" s="41"/>
    </row>
    <row r="29818" spans="20:20" s="566" customFormat="1">
      <c r="T29818" s="41"/>
    </row>
    <row r="29819" spans="20:20" s="566" customFormat="1">
      <c r="T29819" s="41"/>
    </row>
    <row r="29820" spans="20:20" s="566" customFormat="1">
      <c r="T29820" s="41"/>
    </row>
    <row r="29821" spans="20:20" s="566" customFormat="1">
      <c r="T29821" s="41"/>
    </row>
    <row r="29822" spans="20:20" s="566" customFormat="1">
      <c r="T29822" s="41"/>
    </row>
    <row r="29823" spans="20:20" s="566" customFormat="1">
      <c r="T29823" s="41"/>
    </row>
    <row r="29824" spans="20:20" s="566" customFormat="1">
      <c r="T29824" s="41"/>
    </row>
    <row r="29825" spans="20:20" s="566" customFormat="1">
      <c r="T29825" s="41"/>
    </row>
    <row r="29826" spans="20:20" s="566" customFormat="1">
      <c r="T29826" s="41"/>
    </row>
    <row r="29827" spans="20:20" s="566" customFormat="1">
      <c r="T29827" s="41"/>
    </row>
    <row r="29828" spans="20:20" s="566" customFormat="1">
      <c r="T29828" s="41"/>
    </row>
    <row r="29829" spans="20:20" s="566" customFormat="1">
      <c r="T29829" s="41"/>
    </row>
    <row r="29830" spans="20:20" s="566" customFormat="1">
      <c r="T29830" s="41"/>
    </row>
    <row r="29831" spans="20:20" s="566" customFormat="1">
      <c r="T29831" s="41"/>
    </row>
    <row r="29832" spans="20:20" s="566" customFormat="1">
      <c r="T29832" s="41"/>
    </row>
    <row r="29833" spans="20:20" s="566" customFormat="1">
      <c r="T29833" s="41"/>
    </row>
    <row r="29834" spans="20:20" s="566" customFormat="1">
      <c r="T29834" s="41"/>
    </row>
    <row r="29835" spans="20:20" s="566" customFormat="1">
      <c r="T29835" s="41"/>
    </row>
    <row r="29836" spans="20:20" s="566" customFormat="1">
      <c r="T29836" s="41"/>
    </row>
    <row r="29837" spans="20:20" s="566" customFormat="1">
      <c r="T29837" s="41"/>
    </row>
    <row r="29838" spans="20:20" s="566" customFormat="1">
      <c r="T29838" s="41"/>
    </row>
    <row r="29839" spans="20:20" s="566" customFormat="1">
      <c r="T29839" s="41"/>
    </row>
    <row r="29840" spans="20:20" s="566" customFormat="1">
      <c r="T29840" s="41"/>
    </row>
    <row r="29841" spans="20:20" s="566" customFormat="1">
      <c r="T29841" s="41"/>
    </row>
    <row r="29842" spans="20:20" s="566" customFormat="1">
      <c r="T29842" s="41"/>
    </row>
    <row r="29843" spans="20:20" s="566" customFormat="1">
      <c r="T29843" s="41"/>
    </row>
    <row r="29844" spans="20:20" s="566" customFormat="1">
      <c r="T29844" s="41"/>
    </row>
    <row r="29845" spans="20:20" s="566" customFormat="1">
      <c r="T29845" s="41"/>
    </row>
    <row r="29846" spans="20:20" s="566" customFormat="1">
      <c r="T29846" s="41"/>
    </row>
    <row r="29847" spans="20:20" s="566" customFormat="1">
      <c r="T29847" s="41"/>
    </row>
    <row r="29848" spans="20:20" s="566" customFormat="1">
      <c r="T29848" s="41"/>
    </row>
    <row r="29849" spans="20:20" s="566" customFormat="1">
      <c r="T29849" s="41"/>
    </row>
    <row r="29850" spans="20:20" s="566" customFormat="1">
      <c r="T29850" s="41"/>
    </row>
    <row r="29851" spans="20:20" s="566" customFormat="1">
      <c r="T29851" s="41"/>
    </row>
    <row r="29852" spans="20:20" s="566" customFormat="1">
      <c r="T29852" s="41"/>
    </row>
    <row r="29853" spans="20:20" s="566" customFormat="1">
      <c r="T29853" s="41"/>
    </row>
    <row r="29854" spans="20:20" s="566" customFormat="1">
      <c r="T29854" s="41"/>
    </row>
    <row r="29855" spans="20:20" s="566" customFormat="1">
      <c r="T29855" s="41"/>
    </row>
    <row r="29856" spans="20:20" s="566" customFormat="1">
      <c r="T29856" s="41"/>
    </row>
    <row r="29857" spans="20:20" s="566" customFormat="1">
      <c r="T29857" s="41"/>
    </row>
    <row r="29858" spans="20:20" s="566" customFormat="1">
      <c r="T29858" s="41"/>
    </row>
    <row r="29859" spans="20:20" s="566" customFormat="1">
      <c r="T29859" s="41"/>
    </row>
    <row r="29860" spans="20:20" s="566" customFormat="1">
      <c r="T29860" s="41"/>
    </row>
    <row r="29861" spans="20:20" s="566" customFormat="1">
      <c r="T29861" s="41"/>
    </row>
    <row r="29862" spans="20:20" s="566" customFormat="1">
      <c r="T29862" s="41"/>
    </row>
    <row r="29863" spans="20:20" s="566" customFormat="1">
      <c r="T29863" s="41"/>
    </row>
    <row r="29864" spans="20:20" s="566" customFormat="1">
      <c r="T29864" s="41"/>
    </row>
    <row r="29865" spans="20:20" s="566" customFormat="1">
      <c r="T29865" s="41"/>
    </row>
    <row r="29866" spans="20:20" s="566" customFormat="1">
      <c r="T29866" s="41"/>
    </row>
    <row r="29867" spans="20:20" s="566" customFormat="1">
      <c r="T29867" s="41"/>
    </row>
    <row r="29868" spans="20:20" s="566" customFormat="1">
      <c r="T29868" s="41"/>
    </row>
    <row r="29869" spans="20:20" s="566" customFormat="1">
      <c r="T29869" s="41"/>
    </row>
    <row r="29870" spans="20:20" s="566" customFormat="1">
      <c r="T29870" s="41"/>
    </row>
    <row r="29871" spans="20:20" s="566" customFormat="1">
      <c r="T29871" s="41"/>
    </row>
    <row r="29872" spans="20:20" s="566" customFormat="1">
      <c r="T29872" s="41"/>
    </row>
    <row r="29873" spans="20:20" s="566" customFormat="1">
      <c r="T29873" s="41"/>
    </row>
    <row r="29874" spans="20:20" s="566" customFormat="1">
      <c r="T29874" s="41"/>
    </row>
    <row r="29875" spans="20:20" s="566" customFormat="1">
      <c r="T29875" s="41"/>
    </row>
    <row r="29876" spans="20:20" s="566" customFormat="1">
      <c r="T29876" s="41"/>
    </row>
    <row r="29877" spans="20:20" s="566" customFormat="1">
      <c r="T29877" s="41"/>
    </row>
    <row r="29878" spans="20:20" s="566" customFormat="1">
      <c r="T29878" s="41"/>
    </row>
    <row r="29879" spans="20:20" s="566" customFormat="1">
      <c r="T29879" s="41"/>
    </row>
    <row r="29880" spans="20:20" s="566" customFormat="1">
      <c r="T29880" s="41"/>
    </row>
    <row r="29881" spans="20:20" s="566" customFormat="1">
      <c r="T29881" s="41"/>
    </row>
    <row r="29882" spans="20:20" s="566" customFormat="1">
      <c r="T29882" s="41"/>
    </row>
    <row r="29883" spans="20:20" s="566" customFormat="1">
      <c r="T29883" s="41"/>
    </row>
    <row r="29884" spans="20:20" s="566" customFormat="1">
      <c r="T29884" s="41"/>
    </row>
    <row r="29885" spans="20:20" s="566" customFormat="1">
      <c r="T29885" s="41"/>
    </row>
    <row r="29886" spans="20:20" s="566" customFormat="1">
      <c r="T29886" s="41"/>
    </row>
    <row r="29887" spans="20:20" s="566" customFormat="1">
      <c r="T29887" s="41"/>
    </row>
    <row r="29888" spans="20:20" s="566" customFormat="1">
      <c r="T29888" s="41"/>
    </row>
    <row r="29889" spans="20:20" s="566" customFormat="1">
      <c r="T29889" s="41"/>
    </row>
    <row r="29890" spans="20:20" s="566" customFormat="1">
      <c r="T29890" s="41"/>
    </row>
    <row r="29891" spans="20:20" s="566" customFormat="1">
      <c r="T29891" s="41"/>
    </row>
    <row r="29892" spans="20:20" s="566" customFormat="1">
      <c r="T29892" s="41"/>
    </row>
    <row r="29893" spans="20:20" s="566" customFormat="1">
      <c r="T29893" s="41"/>
    </row>
    <row r="29894" spans="20:20" s="566" customFormat="1">
      <c r="T29894" s="41"/>
    </row>
    <row r="29895" spans="20:20" s="566" customFormat="1">
      <c r="T29895" s="41"/>
    </row>
    <row r="29896" spans="20:20" s="566" customFormat="1">
      <c r="T29896" s="41"/>
    </row>
    <row r="29897" spans="20:20" s="566" customFormat="1">
      <c r="T29897" s="41"/>
    </row>
    <row r="29898" spans="20:20" s="566" customFormat="1">
      <c r="T29898" s="41"/>
    </row>
    <row r="29899" spans="20:20" s="566" customFormat="1">
      <c r="T29899" s="41"/>
    </row>
    <row r="29900" spans="20:20" s="566" customFormat="1">
      <c r="T29900" s="41"/>
    </row>
    <row r="29901" spans="20:20" s="566" customFormat="1">
      <c r="T29901" s="41"/>
    </row>
    <row r="29902" spans="20:20" s="566" customFormat="1">
      <c r="T29902" s="41"/>
    </row>
    <row r="29903" spans="20:20" s="566" customFormat="1">
      <c r="T29903" s="41"/>
    </row>
    <row r="29904" spans="20:20" s="566" customFormat="1">
      <c r="T29904" s="41"/>
    </row>
    <row r="29905" spans="20:20" s="566" customFormat="1">
      <c r="T29905" s="41"/>
    </row>
    <row r="29906" spans="20:20" s="566" customFormat="1">
      <c r="T29906" s="41"/>
    </row>
    <row r="29907" spans="20:20" s="566" customFormat="1">
      <c r="T29907" s="41"/>
    </row>
    <row r="29908" spans="20:20" s="566" customFormat="1">
      <c r="T29908" s="41"/>
    </row>
    <row r="29909" spans="20:20" s="566" customFormat="1">
      <c r="T29909" s="41"/>
    </row>
    <row r="29910" spans="20:20" s="566" customFormat="1">
      <c r="T29910" s="41"/>
    </row>
    <row r="29911" spans="20:20" s="566" customFormat="1">
      <c r="T29911" s="41"/>
    </row>
    <row r="29912" spans="20:20" s="566" customFormat="1">
      <c r="T29912" s="41"/>
    </row>
    <row r="29913" spans="20:20" s="566" customFormat="1">
      <c r="T29913" s="41"/>
    </row>
    <row r="29914" spans="20:20" s="566" customFormat="1">
      <c r="T29914" s="41"/>
    </row>
    <row r="29915" spans="20:20" s="566" customFormat="1">
      <c r="T29915" s="41"/>
    </row>
    <row r="29916" spans="20:20" s="566" customFormat="1">
      <c r="T29916" s="41"/>
    </row>
    <row r="29917" spans="20:20" s="566" customFormat="1">
      <c r="T29917" s="41"/>
    </row>
    <row r="29918" spans="20:20" s="566" customFormat="1">
      <c r="T29918" s="41"/>
    </row>
    <row r="29919" spans="20:20" s="566" customFormat="1">
      <c r="T29919" s="41"/>
    </row>
    <row r="29920" spans="20:20" s="566" customFormat="1">
      <c r="T29920" s="41"/>
    </row>
    <row r="29921" spans="20:20" s="566" customFormat="1">
      <c r="T29921" s="41"/>
    </row>
    <row r="29922" spans="20:20" s="566" customFormat="1">
      <c r="T29922" s="41"/>
    </row>
    <row r="29923" spans="20:20" s="566" customFormat="1">
      <c r="T29923" s="41"/>
    </row>
    <row r="29924" spans="20:20" s="566" customFormat="1">
      <c r="T29924" s="41"/>
    </row>
    <row r="29925" spans="20:20" s="566" customFormat="1">
      <c r="T29925" s="41"/>
    </row>
    <row r="29926" spans="20:20" s="566" customFormat="1">
      <c r="T29926" s="41"/>
    </row>
    <row r="29927" spans="20:20" s="566" customFormat="1">
      <c r="T29927" s="41"/>
    </row>
    <row r="29928" spans="20:20" s="566" customFormat="1">
      <c r="T29928" s="41"/>
    </row>
    <row r="29929" spans="20:20" s="566" customFormat="1">
      <c r="T29929" s="41"/>
    </row>
    <row r="29930" spans="20:20" s="566" customFormat="1">
      <c r="T29930" s="41"/>
    </row>
    <row r="29931" spans="20:20" s="566" customFormat="1">
      <c r="T29931" s="41"/>
    </row>
    <row r="29932" spans="20:20" s="566" customFormat="1">
      <c r="T29932" s="41"/>
    </row>
    <row r="29933" spans="20:20" s="566" customFormat="1">
      <c r="T29933" s="41"/>
    </row>
    <row r="29934" spans="20:20" s="566" customFormat="1">
      <c r="T29934" s="41"/>
    </row>
    <row r="29935" spans="20:20" s="566" customFormat="1">
      <c r="T29935" s="41"/>
    </row>
    <row r="29936" spans="20:20" s="566" customFormat="1">
      <c r="T29936" s="41"/>
    </row>
    <row r="29937" spans="20:20" s="566" customFormat="1">
      <c r="T29937" s="41"/>
    </row>
    <row r="29938" spans="20:20" s="566" customFormat="1">
      <c r="T29938" s="41"/>
    </row>
    <row r="29939" spans="20:20" s="566" customFormat="1">
      <c r="T29939" s="41"/>
    </row>
    <row r="29940" spans="20:20" s="566" customFormat="1">
      <c r="T29940" s="41"/>
    </row>
    <row r="29941" spans="20:20" s="566" customFormat="1">
      <c r="T29941" s="41"/>
    </row>
    <row r="29942" spans="20:20" s="566" customFormat="1">
      <c r="T29942" s="41"/>
    </row>
    <row r="29943" spans="20:20" s="566" customFormat="1">
      <c r="T29943" s="41"/>
    </row>
    <row r="29944" spans="20:20" s="566" customFormat="1">
      <c r="T29944" s="41"/>
    </row>
    <row r="29945" spans="20:20" s="566" customFormat="1">
      <c r="T29945" s="41"/>
    </row>
    <row r="29946" spans="20:20" s="566" customFormat="1">
      <c r="T29946" s="41"/>
    </row>
    <row r="29947" spans="20:20" s="566" customFormat="1">
      <c r="T29947" s="41"/>
    </row>
    <row r="29948" spans="20:20" s="566" customFormat="1">
      <c r="T29948" s="41"/>
    </row>
    <row r="29949" spans="20:20" s="566" customFormat="1">
      <c r="T29949" s="41"/>
    </row>
    <row r="29950" spans="20:20" s="566" customFormat="1">
      <c r="T29950" s="41"/>
    </row>
    <row r="29951" spans="20:20" s="566" customFormat="1">
      <c r="T29951" s="41"/>
    </row>
    <row r="29952" spans="20:20" s="566" customFormat="1">
      <c r="T29952" s="41"/>
    </row>
    <row r="29953" spans="20:20" s="566" customFormat="1">
      <c r="T29953" s="41"/>
    </row>
    <row r="29954" spans="20:20" s="566" customFormat="1">
      <c r="T29954" s="41"/>
    </row>
    <row r="29955" spans="20:20" s="566" customFormat="1">
      <c r="T29955" s="41"/>
    </row>
    <row r="29956" spans="20:20" s="566" customFormat="1">
      <c r="T29956" s="41"/>
    </row>
    <row r="29957" spans="20:20" s="566" customFormat="1">
      <c r="T29957" s="41"/>
    </row>
    <row r="29958" spans="20:20" s="566" customFormat="1">
      <c r="T29958" s="41"/>
    </row>
    <row r="29959" spans="20:20" s="566" customFormat="1">
      <c r="T29959" s="41"/>
    </row>
    <row r="29960" spans="20:20" s="566" customFormat="1">
      <c r="T29960" s="41"/>
    </row>
    <row r="29961" spans="20:20" s="566" customFormat="1">
      <c r="T29961" s="41"/>
    </row>
    <row r="29962" spans="20:20" s="566" customFormat="1">
      <c r="T29962" s="41"/>
    </row>
    <row r="29963" spans="20:20" s="566" customFormat="1">
      <c r="T29963" s="41"/>
    </row>
    <row r="29964" spans="20:20" s="566" customFormat="1">
      <c r="T29964" s="41"/>
    </row>
    <row r="29965" spans="20:20" s="566" customFormat="1">
      <c r="T29965" s="41"/>
    </row>
    <row r="29966" spans="20:20" s="566" customFormat="1">
      <c r="T29966" s="41"/>
    </row>
    <row r="29967" spans="20:20" s="566" customFormat="1">
      <c r="T29967" s="41"/>
    </row>
    <row r="29968" spans="20:20" s="566" customFormat="1">
      <c r="T29968" s="41"/>
    </row>
    <row r="29969" spans="20:20" s="566" customFormat="1">
      <c r="T29969" s="41"/>
    </row>
    <row r="29970" spans="20:20" s="566" customFormat="1">
      <c r="T29970" s="41"/>
    </row>
    <row r="29971" spans="20:20" s="566" customFormat="1">
      <c r="T29971" s="41"/>
    </row>
    <row r="29972" spans="20:20" s="566" customFormat="1">
      <c r="T29972" s="41"/>
    </row>
    <row r="29973" spans="20:20" s="566" customFormat="1">
      <c r="T29973" s="41"/>
    </row>
    <row r="29974" spans="20:20" s="566" customFormat="1">
      <c r="T29974" s="41"/>
    </row>
    <row r="29975" spans="20:20" s="566" customFormat="1">
      <c r="T29975" s="41"/>
    </row>
    <row r="29976" spans="20:20" s="566" customFormat="1">
      <c r="T29976" s="41"/>
    </row>
    <row r="29977" spans="20:20" s="566" customFormat="1">
      <c r="T29977" s="41"/>
    </row>
    <row r="29978" spans="20:20" s="566" customFormat="1">
      <c r="T29978" s="41"/>
    </row>
    <row r="29979" spans="20:20" s="566" customFormat="1">
      <c r="T29979" s="41"/>
    </row>
    <row r="29980" spans="20:20" s="566" customFormat="1">
      <c r="T29980" s="41"/>
    </row>
    <row r="29981" spans="20:20" s="566" customFormat="1">
      <c r="T29981" s="41"/>
    </row>
    <row r="29982" spans="20:20" s="566" customFormat="1">
      <c r="T29982" s="41"/>
    </row>
    <row r="29983" spans="20:20" s="566" customFormat="1">
      <c r="T29983" s="41"/>
    </row>
    <row r="29984" spans="20:20" s="566" customFormat="1">
      <c r="T29984" s="41"/>
    </row>
    <row r="29985" spans="20:20" s="566" customFormat="1">
      <c r="T29985" s="41"/>
    </row>
    <row r="29986" spans="20:20" s="566" customFormat="1">
      <c r="T29986" s="41"/>
    </row>
    <row r="29987" spans="20:20" s="566" customFormat="1">
      <c r="T29987" s="41"/>
    </row>
    <row r="29988" spans="20:20" s="566" customFormat="1">
      <c r="T29988" s="41"/>
    </row>
    <row r="29989" spans="20:20" s="566" customFormat="1">
      <c r="T29989" s="41"/>
    </row>
    <row r="29990" spans="20:20" s="566" customFormat="1">
      <c r="T29990" s="41"/>
    </row>
    <row r="29991" spans="20:20" s="566" customFormat="1">
      <c r="T29991" s="41"/>
    </row>
    <row r="29992" spans="20:20" s="566" customFormat="1">
      <c r="T29992" s="41"/>
    </row>
    <row r="29993" spans="20:20" s="566" customFormat="1">
      <c r="T29993" s="41"/>
    </row>
    <row r="29994" spans="20:20" s="566" customFormat="1">
      <c r="T29994" s="41"/>
    </row>
    <row r="29995" spans="20:20" s="566" customFormat="1">
      <c r="T29995" s="41"/>
    </row>
    <row r="29996" spans="20:20" s="566" customFormat="1">
      <c r="T29996" s="41"/>
    </row>
    <row r="29997" spans="20:20" s="566" customFormat="1">
      <c r="T29997" s="41"/>
    </row>
    <row r="29998" spans="20:20" s="566" customFormat="1">
      <c r="T29998" s="41"/>
    </row>
    <row r="29999" spans="20:20" s="566" customFormat="1">
      <c r="T29999" s="41"/>
    </row>
    <row r="30000" spans="20:20" s="566" customFormat="1">
      <c r="T30000" s="41"/>
    </row>
    <row r="30001" spans="20:20" s="566" customFormat="1">
      <c r="T30001" s="41"/>
    </row>
    <row r="30002" spans="20:20" s="566" customFormat="1">
      <c r="T30002" s="41"/>
    </row>
    <row r="30003" spans="20:20" s="566" customFormat="1">
      <c r="T30003" s="41"/>
    </row>
    <row r="30004" spans="20:20" s="566" customFormat="1">
      <c r="T30004" s="41"/>
    </row>
    <row r="30005" spans="20:20" s="566" customFormat="1">
      <c r="T30005" s="41"/>
    </row>
    <row r="30006" spans="20:20" s="566" customFormat="1">
      <c r="T30006" s="41"/>
    </row>
    <row r="30007" spans="20:20" s="566" customFormat="1">
      <c r="T30007" s="41"/>
    </row>
    <row r="30008" spans="20:20" s="566" customFormat="1">
      <c r="T30008" s="41"/>
    </row>
    <row r="30009" spans="20:20" s="566" customFormat="1">
      <c r="T30009" s="41"/>
    </row>
    <row r="30010" spans="20:20" s="566" customFormat="1">
      <c r="T30010" s="41"/>
    </row>
    <row r="30011" spans="20:20" s="566" customFormat="1">
      <c r="T30011" s="41"/>
    </row>
    <row r="30012" spans="20:20" s="566" customFormat="1">
      <c r="T30012" s="41"/>
    </row>
    <row r="30013" spans="20:20" s="566" customFormat="1">
      <c r="T30013" s="41"/>
    </row>
    <row r="30014" spans="20:20" s="566" customFormat="1">
      <c r="T30014" s="41"/>
    </row>
    <row r="30015" spans="20:20" s="566" customFormat="1">
      <c r="T30015" s="41"/>
    </row>
    <row r="30016" spans="20:20" s="566" customFormat="1">
      <c r="T30016" s="41"/>
    </row>
    <row r="30017" spans="20:20" s="566" customFormat="1">
      <c r="T30017" s="41"/>
    </row>
    <row r="30018" spans="20:20" s="566" customFormat="1">
      <c r="T30018" s="41"/>
    </row>
    <row r="30019" spans="20:20" s="566" customFormat="1">
      <c r="T30019" s="41"/>
    </row>
    <row r="30020" spans="20:20" s="566" customFormat="1">
      <c r="T30020" s="41"/>
    </row>
    <row r="30021" spans="20:20" s="566" customFormat="1">
      <c r="T30021" s="41"/>
    </row>
    <row r="30022" spans="20:20" s="566" customFormat="1">
      <c r="T30022" s="41"/>
    </row>
    <row r="30023" spans="20:20" s="566" customFormat="1">
      <c r="T30023" s="41"/>
    </row>
    <row r="30024" spans="20:20" s="566" customFormat="1">
      <c r="T30024" s="41"/>
    </row>
    <row r="30025" spans="20:20" s="566" customFormat="1">
      <c r="T30025" s="41"/>
    </row>
    <row r="30026" spans="20:20" s="566" customFormat="1">
      <c r="T30026" s="41"/>
    </row>
    <row r="30027" spans="20:20" s="566" customFormat="1">
      <c r="T30027" s="41"/>
    </row>
    <row r="30028" spans="20:20" s="566" customFormat="1">
      <c r="T30028" s="41"/>
    </row>
    <row r="30029" spans="20:20" s="566" customFormat="1">
      <c r="T30029" s="41"/>
    </row>
    <row r="30030" spans="20:20" s="566" customFormat="1">
      <c r="T30030" s="41"/>
    </row>
    <row r="30031" spans="20:20" s="566" customFormat="1">
      <c r="T30031" s="41"/>
    </row>
    <row r="30032" spans="20:20" s="566" customFormat="1">
      <c r="T30032" s="41"/>
    </row>
    <row r="30033" spans="20:20" s="566" customFormat="1">
      <c r="T30033" s="41"/>
    </row>
    <row r="30034" spans="20:20" s="566" customFormat="1">
      <c r="T30034" s="41"/>
    </row>
    <row r="30035" spans="20:20" s="566" customFormat="1">
      <c r="T30035" s="41"/>
    </row>
    <row r="30036" spans="20:20" s="566" customFormat="1">
      <c r="T30036" s="41"/>
    </row>
    <row r="30037" spans="20:20" s="566" customFormat="1">
      <c r="T30037" s="41"/>
    </row>
    <row r="30038" spans="20:20" s="566" customFormat="1">
      <c r="T30038" s="41"/>
    </row>
    <row r="30039" spans="20:20" s="566" customFormat="1">
      <c r="T30039" s="41"/>
    </row>
    <row r="30040" spans="20:20" s="566" customFormat="1">
      <c r="T30040" s="41"/>
    </row>
    <row r="30041" spans="20:20" s="566" customFormat="1">
      <c r="T30041" s="41"/>
    </row>
    <row r="30042" spans="20:20" s="566" customFormat="1">
      <c r="T30042" s="41"/>
    </row>
    <row r="30043" spans="20:20" s="566" customFormat="1">
      <c r="T30043" s="41"/>
    </row>
    <row r="30044" spans="20:20" s="566" customFormat="1">
      <c r="T30044" s="41"/>
    </row>
    <row r="30045" spans="20:20" s="566" customFormat="1">
      <c r="T30045" s="41"/>
    </row>
    <row r="30046" spans="20:20" s="566" customFormat="1">
      <c r="T30046" s="41"/>
    </row>
    <row r="30047" spans="20:20" s="566" customFormat="1">
      <c r="T30047" s="41"/>
    </row>
    <row r="30048" spans="20:20" s="566" customFormat="1">
      <c r="T30048" s="41"/>
    </row>
    <row r="30049" spans="20:20" s="566" customFormat="1">
      <c r="T30049" s="41"/>
    </row>
    <row r="30050" spans="20:20" s="566" customFormat="1">
      <c r="T30050" s="41"/>
    </row>
    <row r="30051" spans="20:20" s="566" customFormat="1">
      <c r="T30051" s="41"/>
    </row>
    <row r="30052" spans="20:20" s="566" customFormat="1">
      <c r="T30052" s="41"/>
    </row>
    <row r="30053" spans="20:20" s="566" customFormat="1">
      <c r="T30053" s="41"/>
    </row>
    <row r="30054" spans="20:20" s="566" customFormat="1">
      <c r="T30054" s="41"/>
    </row>
    <row r="30055" spans="20:20" s="566" customFormat="1">
      <c r="T30055" s="41"/>
    </row>
    <row r="30056" spans="20:20" s="566" customFormat="1">
      <c r="T30056" s="41"/>
    </row>
    <row r="30057" spans="20:20" s="566" customFormat="1">
      <c r="T30057" s="41"/>
    </row>
    <row r="30058" spans="20:20" s="566" customFormat="1">
      <c r="T30058" s="41"/>
    </row>
    <row r="30059" spans="20:20" s="566" customFormat="1">
      <c r="T30059" s="41"/>
    </row>
    <row r="30060" spans="20:20" s="566" customFormat="1">
      <c r="T30060" s="41"/>
    </row>
    <row r="30061" spans="20:20" s="566" customFormat="1">
      <c r="T30061" s="41"/>
    </row>
    <row r="30062" spans="20:20" s="566" customFormat="1">
      <c r="T30062" s="41"/>
    </row>
    <row r="30063" spans="20:20" s="566" customFormat="1">
      <c r="T30063" s="41"/>
    </row>
    <row r="30064" spans="20:20" s="566" customFormat="1">
      <c r="T30064" s="41"/>
    </row>
    <row r="30065" spans="20:20" s="566" customFormat="1">
      <c r="T30065" s="41"/>
    </row>
    <row r="30066" spans="20:20" s="566" customFormat="1">
      <c r="T30066" s="41"/>
    </row>
    <row r="30067" spans="20:20" s="566" customFormat="1">
      <c r="T30067" s="41"/>
    </row>
    <row r="30068" spans="20:20" s="566" customFormat="1">
      <c r="T30068" s="41"/>
    </row>
    <row r="30069" spans="20:20" s="566" customFormat="1">
      <c r="T30069" s="41"/>
    </row>
    <row r="30070" spans="20:20" s="566" customFormat="1">
      <c r="T30070" s="41"/>
    </row>
    <row r="30071" spans="20:20" s="566" customFormat="1">
      <c r="T30071" s="41"/>
    </row>
    <row r="30072" spans="20:20" s="566" customFormat="1">
      <c r="T30072" s="41"/>
    </row>
    <row r="30073" spans="20:20" s="566" customFormat="1">
      <c r="T30073" s="41"/>
    </row>
    <row r="30074" spans="20:20" s="566" customFormat="1">
      <c r="T30074" s="41"/>
    </row>
    <row r="30075" spans="20:20" s="566" customFormat="1">
      <c r="T30075" s="41"/>
    </row>
    <row r="30076" spans="20:20" s="566" customFormat="1">
      <c r="T30076" s="41"/>
    </row>
    <row r="30077" spans="20:20" s="566" customFormat="1">
      <c r="T30077" s="41"/>
    </row>
    <row r="30078" spans="20:20" s="566" customFormat="1">
      <c r="T30078" s="41"/>
    </row>
    <row r="30079" spans="20:20" s="566" customFormat="1">
      <c r="T30079" s="41"/>
    </row>
    <row r="30080" spans="20:20" s="566" customFormat="1">
      <c r="T30080" s="41"/>
    </row>
    <row r="30081" spans="20:20" s="566" customFormat="1">
      <c r="T30081" s="41"/>
    </row>
    <row r="30082" spans="20:20" s="566" customFormat="1">
      <c r="T30082" s="41"/>
    </row>
    <row r="30083" spans="20:20" s="566" customFormat="1">
      <c r="T30083" s="41"/>
    </row>
    <row r="30084" spans="20:20" s="566" customFormat="1">
      <c r="T30084" s="41"/>
    </row>
    <row r="30085" spans="20:20" s="566" customFormat="1">
      <c r="T30085" s="41"/>
    </row>
    <row r="30086" spans="20:20" s="566" customFormat="1">
      <c r="T30086" s="41"/>
    </row>
    <row r="30087" spans="20:20" s="566" customFormat="1">
      <c r="T30087" s="41"/>
    </row>
    <row r="30088" spans="20:20" s="566" customFormat="1">
      <c r="T30088" s="41"/>
    </row>
    <row r="30089" spans="20:20" s="566" customFormat="1">
      <c r="T30089" s="41"/>
    </row>
    <row r="30090" spans="20:20" s="566" customFormat="1">
      <c r="T30090" s="41"/>
    </row>
    <row r="30091" spans="20:20" s="566" customFormat="1">
      <c r="T30091" s="41"/>
    </row>
    <row r="30092" spans="20:20" s="566" customFormat="1">
      <c r="T30092" s="41"/>
    </row>
    <row r="30093" spans="20:20" s="566" customFormat="1">
      <c r="T30093" s="41"/>
    </row>
    <row r="30094" spans="20:20" s="566" customFormat="1">
      <c r="T30094" s="41"/>
    </row>
    <row r="30095" spans="20:20" s="566" customFormat="1">
      <c r="T30095" s="41"/>
    </row>
    <row r="30096" spans="20:20" s="566" customFormat="1">
      <c r="T30096" s="41"/>
    </row>
    <row r="30097" spans="20:20" s="566" customFormat="1">
      <c r="T30097" s="41"/>
    </row>
    <row r="30098" spans="20:20" s="566" customFormat="1">
      <c r="T30098" s="41"/>
    </row>
    <row r="30099" spans="20:20" s="566" customFormat="1">
      <c r="T30099" s="41"/>
    </row>
    <row r="30100" spans="20:20" s="566" customFormat="1">
      <c r="T30100" s="41"/>
    </row>
    <row r="30101" spans="20:20" s="566" customFormat="1">
      <c r="T30101" s="41"/>
    </row>
    <row r="30102" spans="20:20" s="566" customFormat="1">
      <c r="T30102" s="41"/>
    </row>
    <row r="30103" spans="20:20" s="566" customFormat="1">
      <c r="T30103" s="41"/>
    </row>
    <row r="30104" spans="20:20" s="566" customFormat="1">
      <c r="T30104" s="41"/>
    </row>
    <row r="30105" spans="20:20" s="566" customFormat="1">
      <c r="T30105" s="41"/>
    </row>
    <row r="30106" spans="20:20" s="566" customFormat="1">
      <c r="T30106" s="41"/>
    </row>
    <row r="30107" spans="20:20" s="566" customFormat="1">
      <c r="T30107" s="41"/>
    </row>
    <row r="30108" spans="20:20" s="566" customFormat="1">
      <c r="T30108" s="41"/>
    </row>
    <row r="30109" spans="20:20" s="566" customFormat="1">
      <c r="T30109" s="41"/>
    </row>
    <row r="30110" spans="20:20" s="566" customFormat="1">
      <c r="T30110" s="41"/>
    </row>
    <row r="30111" spans="20:20" s="566" customFormat="1">
      <c r="T30111" s="41"/>
    </row>
    <row r="30112" spans="20:20" s="566" customFormat="1">
      <c r="T30112" s="41"/>
    </row>
    <row r="30113" spans="20:20" s="566" customFormat="1">
      <c r="T30113" s="41"/>
    </row>
    <row r="30114" spans="20:20" s="566" customFormat="1">
      <c r="T30114" s="41"/>
    </row>
    <row r="30115" spans="20:20" s="566" customFormat="1">
      <c r="T30115" s="41"/>
    </row>
    <row r="30116" spans="20:20" s="566" customFormat="1">
      <c r="T30116" s="41"/>
    </row>
    <row r="30117" spans="20:20" s="566" customFormat="1">
      <c r="T30117" s="41"/>
    </row>
    <row r="30118" spans="20:20" s="566" customFormat="1">
      <c r="T30118" s="41"/>
    </row>
    <row r="30119" spans="20:20" s="566" customFormat="1">
      <c r="T30119" s="41"/>
    </row>
    <row r="30120" spans="20:20" s="566" customFormat="1">
      <c r="T30120" s="41"/>
    </row>
    <row r="30121" spans="20:20" s="566" customFormat="1">
      <c r="T30121" s="41"/>
    </row>
    <row r="30122" spans="20:20" s="566" customFormat="1">
      <c r="T30122" s="41"/>
    </row>
    <row r="30123" spans="20:20" s="566" customFormat="1">
      <c r="T30123" s="41"/>
    </row>
    <row r="30124" spans="20:20" s="566" customFormat="1">
      <c r="T30124" s="41"/>
    </row>
    <row r="30125" spans="20:20" s="566" customFormat="1">
      <c r="T30125" s="41"/>
    </row>
    <row r="30126" spans="20:20" s="566" customFormat="1">
      <c r="T30126" s="41"/>
    </row>
    <row r="30127" spans="20:20" s="566" customFormat="1">
      <c r="T30127" s="41"/>
    </row>
    <row r="30128" spans="20:20" s="566" customFormat="1">
      <c r="T30128" s="41"/>
    </row>
    <row r="30129" spans="20:20" s="566" customFormat="1">
      <c r="T30129" s="41"/>
    </row>
    <row r="30130" spans="20:20" s="566" customFormat="1">
      <c r="T30130" s="41"/>
    </row>
    <row r="30131" spans="20:20" s="566" customFormat="1">
      <c r="T30131" s="41"/>
    </row>
    <row r="30132" spans="20:20" s="566" customFormat="1">
      <c r="T30132" s="41"/>
    </row>
    <row r="30133" spans="20:20" s="566" customFormat="1">
      <c r="T30133" s="41"/>
    </row>
    <row r="30134" spans="20:20" s="566" customFormat="1">
      <c r="T30134" s="41"/>
    </row>
    <row r="30135" spans="20:20" s="566" customFormat="1">
      <c r="T30135" s="41"/>
    </row>
    <row r="30136" spans="20:20" s="566" customFormat="1">
      <c r="T30136" s="41"/>
    </row>
    <row r="30137" spans="20:20" s="566" customFormat="1">
      <c r="T30137" s="41"/>
    </row>
    <row r="30138" spans="20:20" s="566" customFormat="1">
      <c r="T30138" s="41"/>
    </row>
    <row r="30139" spans="20:20" s="566" customFormat="1">
      <c r="T30139" s="41"/>
    </row>
    <row r="30140" spans="20:20" s="566" customFormat="1">
      <c r="T30140" s="41"/>
    </row>
    <row r="30141" spans="20:20" s="566" customFormat="1">
      <c r="T30141" s="41"/>
    </row>
    <row r="30142" spans="20:20" s="566" customFormat="1">
      <c r="T30142" s="41"/>
    </row>
    <row r="30143" spans="20:20" s="566" customFormat="1">
      <c r="T30143" s="41"/>
    </row>
    <row r="30144" spans="20:20" s="566" customFormat="1">
      <c r="T30144" s="41"/>
    </row>
    <row r="30145" spans="20:20" s="566" customFormat="1">
      <c r="T30145" s="41"/>
    </row>
    <row r="30146" spans="20:20" s="566" customFormat="1">
      <c r="T30146" s="41"/>
    </row>
    <row r="30147" spans="20:20" s="566" customFormat="1">
      <c r="T30147" s="41"/>
    </row>
    <row r="30148" spans="20:20" s="566" customFormat="1">
      <c r="T30148" s="41"/>
    </row>
    <row r="30149" spans="20:20" s="566" customFormat="1">
      <c r="T30149" s="41"/>
    </row>
    <row r="30150" spans="20:20" s="566" customFormat="1">
      <c r="T30150" s="41"/>
    </row>
    <row r="30151" spans="20:20" s="566" customFormat="1">
      <c r="T30151" s="41"/>
    </row>
    <row r="30152" spans="20:20" s="566" customFormat="1">
      <c r="T30152" s="41"/>
    </row>
    <row r="30153" spans="20:20" s="566" customFormat="1">
      <c r="T30153" s="41"/>
    </row>
    <row r="30154" spans="20:20" s="566" customFormat="1">
      <c r="T30154" s="41"/>
    </row>
    <row r="30155" spans="20:20" s="566" customFormat="1">
      <c r="T30155" s="41"/>
    </row>
    <row r="30156" spans="20:20" s="566" customFormat="1">
      <c r="T30156" s="41"/>
    </row>
    <row r="30157" spans="20:20" s="566" customFormat="1">
      <c r="T30157" s="41"/>
    </row>
    <row r="30158" spans="20:20" s="566" customFormat="1">
      <c r="T30158" s="41"/>
    </row>
    <row r="30159" spans="20:20" s="566" customFormat="1">
      <c r="T30159" s="41"/>
    </row>
    <row r="30160" spans="20:20" s="566" customFormat="1">
      <c r="T30160" s="41"/>
    </row>
    <row r="30161" spans="20:20" s="566" customFormat="1">
      <c r="T30161" s="41"/>
    </row>
    <row r="30162" spans="20:20" s="566" customFormat="1">
      <c r="T30162" s="41"/>
    </row>
    <row r="30163" spans="20:20" s="566" customFormat="1">
      <c r="T30163" s="41"/>
    </row>
    <row r="30164" spans="20:20" s="566" customFormat="1">
      <c r="T30164" s="41"/>
    </row>
    <row r="30165" spans="20:20" s="566" customFormat="1">
      <c r="T30165" s="41"/>
    </row>
    <row r="30166" spans="20:20" s="566" customFormat="1">
      <c r="T30166" s="41"/>
    </row>
    <row r="30167" spans="20:20" s="566" customFormat="1">
      <c r="T30167" s="41"/>
    </row>
    <row r="30168" spans="20:20" s="566" customFormat="1">
      <c r="T30168" s="41"/>
    </row>
    <row r="30169" spans="20:20" s="566" customFormat="1">
      <c r="T30169" s="41"/>
    </row>
    <row r="30170" spans="20:20" s="566" customFormat="1">
      <c r="T30170" s="41"/>
    </row>
    <row r="30171" spans="20:20" s="566" customFormat="1">
      <c r="T30171" s="41"/>
    </row>
    <row r="30172" spans="20:20" s="566" customFormat="1">
      <c r="T30172" s="41"/>
    </row>
    <row r="30173" spans="20:20" s="566" customFormat="1">
      <c r="T30173" s="41"/>
    </row>
    <row r="30174" spans="20:20" s="566" customFormat="1">
      <c r="T30174" s="41"/>
    </row>
    <row r="30175" spans="20:20" s="566" customFormat="1">
      <c r="T30175" s="41"/>
    </row>
    <row r="30176" spans="20:20" s="566" customFormat="1">
      <c r="T30176" s="41"/>
    </row>
    <row r="30177" spans="20:20" s="566" customFormat="1">
      <c r="T30177" s="41"/>
    </row>
    <row r="30178" spans="20:20" s="566" customFormat="1">
      <c r="T30178" s="41"/>
    </row>
    <row r="30179" spans="20:20" s="566" customFormat="1">
      <c r="T30179" s="41"/>
    </row>
    <row r="30180" spans="20:20" s="566" customFormat="1">
      <c r="T30180" s="41"/>
    </row>
    <row r="30181" spans="20:20" s="566" customFormat="1">
      <c r="T30181" s="41"/>
    </row>
    <row r="30182" spans="20:20" s="566" customFormat="1">
      <c r="T30182" s="41"/>
    </row>
    <row r="30183" spans="20:20" s="566" customFormat="1">
      <c r="T30183" s="41"/>
    </row>
    <row r="30184" spans="20:20" s="566" customFormat="1">
      <c r="T30184" s="41"/>
    </row>
    <row r="30185" spans="20:20" s="566" customFormat="1">
      <c r="T30185" s="41"/>
    </row>
    <row r="30186" spans="20:20" s="566" customFormat="1">
      <c r="T30186" s="41"/>
    </row>
    <row r="30187" spans="20:20" s="566" customFormat="1">
      <c r="T30187" s="41"/>
    </row>
    <row r="30188" spans="20:20" s="566" customFormat="1">
      <c r="T30188" s="41"/>
    </row>
    <row r="30189" spans="20:20" s="566" customFormat="1">
      <c r="T30189" s="41"/>
    </row>
    <row r="30190" spans="20:20" s="566" customFormat="1">
      <c r="T30190" s="41"/>
    </row>
    <row r="30191" spans="20:20" s="566" customFormat="1">
      <c r="T30191" s="41"/>
    </row>
    <row r="30192" spans="20:20" s="566" customFormat="1">
      <c r="T30192" s="41"/>
    </row>
    <row r="30193" spans="20:20" s="566" customFormat="1">
      <c r="T30193" s="41"/>
    </row>
    <row r="30194" spans="20:20" s="566" customFormat="1">
      <c r="T30194" s="41"/>
    </row>
    <row r="30195" spans="20:20" s="566" customFormat="1">
      <c r="T30195" s="41"/>
    </row>
    <row r="30196" spans="20:20" s="566" customFormat="1">
      <c r="T30196" s="41"/>
    </row>
    <row r="30197" spans="20:20" s="566" customFormat="1">
      <c r="T30197" s="41"/>
    </row>
    <row r="30198" spans="20:20" s="566" customFormat="1">
      <c r="T30198" s="41"/>
    </row>
    <row r="30199" spans="20:20" s="566" customFormat="1">
      <c r="T30199" s="41"/>
    </row>
    <row r="30200" spans="20:20" s="566" customFormat="1">
      <c r="T30200" s="41"/>
    </row>
    <row r="30201" spans="20:20" s="566" customFormat="1">
      <c r="T30201" s="41"/>
    </row>
    <row r="30202" spans="20:20" s="566" customFormat="1">
      <c r="T30202" s="41"/>
    </row>
    <row r="30203" spans="20:20" s="566" customFormat="1">
      <c r="T30203" s="41"/>
    </row>
    <row r="30204" spans="20:20" s="566" customFormat="1">
      <c r="T30204" s="41"/>
    </row>
    <row r="30205" spans="20:20" s="566" customFormat="1">
      <c r="T30205" s="41"/>
    </row>
    <row r="30206" spans="20:20" s="566" customFormat="1">
      <c r="T30206" s="41"/>
    </row>
    <row r="30207" spans="20:20" s="566" customFormat="1">
      <c r="T30207" s="41"/>
    </row>
    <row r="30208" spans="20:20" s="566" customFormat="1">
      <c r="T30208" s="41"/>
    </row>
    <row r="30209" spans="20:20" s="566" customFormat="1">
      <c r="T30209" s="41"/>
    </row>
    <row r="30210" spans="20:20" s="566" customFormat="1">
      <c r="T30210" s="41"/>
    </row>
    <row r="30211" spans="20:20" s="566" customFormat="1">
      <c r="T30211" s="41"/>
    </row>
    <row r="30212" spans="20:20" s="566" customFormat="1">
      <c r="T30212" s="41"/>
    </row>
    <row r="30213" spans="20:20" s="566" customFormat="1">
      <c r="T30213" s="41"/>
    </row>
    <row r="30214" spans="20:20" s="566" customFormat="1">
      <c r="T30214" s="41"/>
    </row>
    <row r="30215" spans="20:20" s="566" customFormat="1">
      <c r="T30215" s="41"/>
    </row>
    <row r="30216" spans="20:20" s="566" customFormat="1">
      <c r="T30216" s="41"/>
    </row>
    <row r="30217" spans="20:20" s="566" customFormat="1">
      <c r="T30217" s="41"/>
    </row>
    <row r="30218" spans="20:20" s="566" customFormat="1">
      <c r="T30218" s="41"/>
    </row>
    <row r="30219" spans="20:20" s="566" customFormat="1">
      <c r="T30219" s="41"/>
    </row>
    <row r="30220" spans="20:20" s="566" customFormat="1">
      <c r="T30220" s="41"/>
    </row>
    <row r="30221" spans="20:20" s="566" customFormat="1">
      <c r="T30221" s="41"/>
    </row>
    <row r="30222" spans="20:20" s="566" customFormat="1">
      <c r="T30222" s="41"/>
    </row>
    <row r="30223" spans="20:20" s="566" customFormat="1">
      <c r="T30223" s="41"/>
    </row>
    <row r="30224" spans="20:20" s="566" customFormat="1">
      <c r="T30224" s="41"/>
    </row>
    <row r="30225" spans="20:20" s="566" customFormat="1">
      <c r="T30225" s="41"/>
    </row>
    <row r="30226" spans="20:20" s="566" customFormat="1">
      <c r="T30226" s="41"/>
    </row>
    <row r="30227" spans="20:20" s="566" customFormat="1">
      <c r="T30227" s="41"/>
    </row>
    <row r="30228" spans="20:20" s="566" customFormat="1">
      <c r="T30228" s="41"/>
    </row>
    <row r="30229" spans="20:20" s="566" customFormat="1">
      <c r="T30229" s="41"/>
    </row>
    <row r="30230" spans="20:20" s="566" customFormat="1">
      <c r="T30230" s="41"/>
    </row>
    <row r="30231" spans="20:20" s="566" customFormat="1">
      <c r="T30231" s="41"/>
    </row>
    <row r="30232" spans="20:20" s="566" customFormat="1">
      <c r="T30232" s="41"/>
    </row>
    <row r="30233" spans="20:20" s="566" customFormat="1">
      <c r="T30233" s="41"/>
    </row>
    <row r="30234" spans="20:20" s="566" customFormat="1">
      <c r="T30234" s="41"/>
    </row>
    <row r="30235" spans="20:20" s="566" customFormat="1">
      <c r="T30235" s="41"/>
    </row>
    <row r="30236" spans="20:20" s="566" customFormat="1">
      <c r="T30236" s="41"/>
    </row>
    <row r="30237" spans="20:20" s="566" customFormat="1">
      <c r="T30237" s="41"/>
    </row>
    <row r="30238" spans="20:20" s="566" customFormat="1">
      <c r="T30238" s="41"/>
    </row>
    <row r="30239" spans="20:20" s="566" customFormat="1">
      <c r="T30239" s="41"/>
    </row>
    <row r="30240" spans="20:20" s="566" customFormat="1">
      <c r="T30240" s="41"/>
    </row>
    <row r="30241" spans="20:20" s="566" customFormat="1">
      <c r="T30241" s="41"/>
    </row>
    <row r="30242" spans="20:20" s="566" customFormat="1">
      <c r="T30242" s="41"/>
    </row>
    <row r="30243" spans="20:20" s="566" customFormat="1">
      <c r="T30243" s="41"/>
    </row>
    <row r="30244" spans="20:20" s="566" customFormat="1">
      <c r="T30244" s="41"/>
    </row>
    <row r="30245" spans="20:20" s="566" customFormat="1">
      <c r="T30245" s="41"/>
    </row>
    <row r="30246" spans="20:20" s="566" customFormat="1">
      <c r="T30246" s="41"/>
    </row>
    <row r="30247" spans="20:20" s="566" customFormat="1">
      <c r="T30247" s="41"/>
    </row>
    <row r="30248" spans="20:20" s="566" customFormat="1">
      <c r="T30248" s="41"/>
    </row>
    <row r="30249" spans="20:20" s="566" customFormat="1">
      <c r="T30249" s="41"/>
    </row>
    <row r="30250" spans="20:20" s="566" customFormat="1">
      <c r="T30250" s="41"/>
    </row>
    <row r="30251" spans="20:20" s="566" customFormat="1">
      <c r="T30251" s="41"/>
    </row>
    <row r="30252" spans="20:20" s="566" customFormat="1">
      <c r="T30252" s="41"/>
    </row>
    <row r="30253" spans="20:20" s="566" customFormat="1">
      <c r="T30253" s="41"/>
    </row>
    <row r="30254" spans="20:20" s="566" customFormat="1">
      <c r="T30254" s="41"/>
    </row>
    <row r="30255" spans="20:20" s="566" customFormat="1">
      <c r="T30255" s="41"/>
    </row>
    <row r="30256" spans="20:20" s="566" customFormat="1">
      <c r="T30256" s="41"/>
    </row>
    <row r="30257" spans="20:20" s="566" customFormat="1">
      <c r="T30257" s="41"/>
    </row>
    <row r="30258" spans="20:20" s="566" customFormat="1">
      <c r="T30258" s="41"/>
    </row>
    <row r="30259" spans="20:20" s="566" customFormat="1">
      <c r="T30259" s="41"/>
    </row>
    <row r="30260" spans="20:20" s="566" customFormat="1">
      <c r="T30260" s="41"/>
    </row>
    <row r="30261" spans="20:20" s="566" customFormat="1">
      <c r="T30261" s="41"/>
    </row>
    <row r="30262" spans="20:20" s="566" customFormat="1">
      <c r="T30262" s="41"/>
    </row>
    <row r="30263" spans="20:20" s="566" customFormat="1">
      <c r="T30263" s="41"/>
    </row>
    <row r="30264" spans="20:20" s="566" customFormat="1">
      <c r="T30264" s="41"/>
    </row>
    <row r="30265" spans="20:20" s="566" customFormat="1">
      <c r="T30265" s="41"/>
    </row>
    <row r="30266" spans="20:20" s="566" customFormat="1">
      <c r="T30266" s="41"/>
    </row>
    <row r="30267" spans="20:20" s="566" customFormat="1">
      <c r="T30267" s="41"/>
    </row>
    <row r="30268" spans="20:20" s="566" customFormat="1">
      <c r="T30268" s="41"/>
    </row>
    <row r="30269" spans="20:20" s="566" customFormat="1">
      <c r="T30269" s="41"/>
    </row>
    <row r="30270" spans="20:20" s="566" customFormat="1">
      <c r="T30270" s="41"/>
    </row>
    <row r="30271" spans="20:20" s="566" customFormat="1">
      <c r="T30271" s="41"/>
    </row>
    <row r="30272" spans="20:20" s="566" customFormat="1">
      <c r="T30272" s="41"/>
    </row>
    <row r="30273" spans="20:20" s="566" customFormat="1">
      <c r="T30273" s="41"/>
    </row>
    <row r="30274" spans="20:20" s="566" customFormat="1">
      <c r="T30274" s="41"/>
    </row>
    <row r="30275" spans="20:20" s="566" customFormat="1">
      <c r="T30275" s="41"/>
    </row>
    <row r="30276" spans="20:20" s="566" customFormat="1">
      <c r="T30276" s="41"/>
    </row>
    <row r="30277" spans="20:20" s="566" customFormat="1">
      <c r="T30277" s="41"/>
    </row>
    <row r="30278" spans="20:20" s="566" customFormat="1">
      <c r="T30278" s="41"/>
    </row>
    <row r="30279" spans="20:20" s="566" customFormat="1">
      <c r="T30279" s="41"/>
    </row>
    <row r="30280" spans="20:20" s="566" customFormat="1">
      <c r="T30280" s="41"/>
    </row>
    <row r="30281" spans="20:20" s="566" customFormat="1">
      <c r="T30281" s="41"/>
    </row>
    <row r="30282" spans="20:20" s="566" customFormat="1">
      <c r="T30282" s="41"/>
    </row>
    <row r="30283" spans="20:20" s="566" customFormat="1">
      <c r="T30283" s="41"/>
    </row>
    <row r="30284" spans="20:20" s="566" customFormat="1">
      <c r="T30284" s="41"/>
    </row>
    <row r="30285" spans="20:20" s="566" customFormat="1">
      <c r="T30285" s="41"/>
    </row>
    <row r="30286" spans="20:20" s="566" customFormat="1">
      <c r="T30286" s="41"/>
    </row>
    <row r="30287" spans="20:20" s="566" customFormat="1">
      <c r="T30287" s="41"/>
    </row>
    <row r="30288" spans="20:20" s="566" customFormat="1">
      <c r="T30288" s="41"/>
    </row>
    <row r="30289" spans="20:20" s="566" customFormat="1">
      <c r="T30289" s="41"/>
    </row>
    <row r="30290" spans="20:20" s="566" customFormat="1">
      <c r="T30290" s="41"/>
    </row>
    <row r="30291" spans="20:20" s="566" customFormat="1">
      <c r="T30291" s="41"/>
    </row>
    <row r="30292" spans="20:20" s="566" customFormat="1">
      <c r="T30292" s="41"/>
    </row>
    <row r="30293" spans="20:20" s="566" customFormat="1">
      <c r="T30293" s="41"/>
    </row>
    <row r="30294" spans="20:20" s="566" customFormat="1">
      <c r="T30294" s="41"/>
    </row>
    <row r="30295" spans="20:20" s="566" customFormat="1">
      <c r="T30295" s="41"/>
    </row>
    <row r="30296" spans="20:20" s="566" customFormat="1">
      <c r="T30296" s="41"/>
    </row>
    <row r="30297" spans="20:20" s="566" customFormat="1">
      <c r="T30297" s="41"/>
    </row>
    <row r="30298" spans="20:20" s="566" customFormat="1">
      <c r="T30298" s="41"/>
    </row>
    <row r="30299" spans="20:20" s="566" customFormat="1">
      <c r="T30299" s="41"/>
    </row>
    <row r="30300" spans="20:20" s="566" customFormat="1">
      <c r="T30300" s="41"/>
    </row>
    <row r="30301" spans="20:20" s="566" customFormat="1">
      <c r="T30301" s="41"/>
    </row>
    <row r="30302" spans="20:20" s="566" customFormat="1">
      <c r="T30302" s="41"/>
    </row>
    <row r="30303" spans="20:20" s="566" customFormat="1">
      <c r="T30303" s="41"/>
    </row>
    <row r="30304" spans="20:20" s="566" customFormat="1">
      <c r="T30304" s="41"/>
    </row>
    <row r="30305" spans="20:20" s="566" customFormat="1">
      <c r="T30305" s="41"/>
    </row>
    <row r="30306" spans="20:20" s="566" customFormat="1">
      <c r="T30306" s="41"/>
    </row>
    <row r="30307" spans="20:20" s="566" customFormat="1">
      <c r="T30307" s="41"/>
    </row>
    <row r="30308" spans="20:20" s="566" customFormat="1">
      <c r="T30308" s="41"/>
    </row>
    <row r="30309" spans="20:20" s="566" customFormat="1">
      <c r="T30309" s="41"/>
    </row>
    <row r="30310" spans="20:20" s="566" customFormat="1">
      <c r="T30310" s="41"/>
    </row>
    <row r="30311" spans="20:20" s="566" customFormat="1">
      <c r="T30311" s="41"/>
    </row>
    <row r="30312" spans="20:20" s="566" customFormat="1">
      <c r="T30312" s="41"/>
    </row>
    <row r="30313" spans="20:20" s="566" customFormat="1">
      <c r="T30313" s="41"/>
    </row>
    <row r="30314" spans="20:20" s="566" customFormat="1">
      <c r="T30314" s="41"/>
    </row>
    <row r="30315" spans="20:20" s="566" customFormat="1">
      <c r="T30315" s="41"/>
    </row>
    <row r="30316" spans="20:20" s="566" customFormat="1">
      <c r="T30316" s="41"/>
    </row>
    <row r="30317" spans="20:20" s="566" customFormat="1">
      <c r="T30317" s="41"/>
    </row>
    <row r="30318" spans="20:20" s="566" customFormat="1">
      <c r="T30318" s="41"/>
    </row>
    <row r="30319" spans="20:20" s="566" customFormat="1">
      <c r="T30319" s="41"/>
    </row>
    <row r="30320" spans="20:20" s="566" customFormat="1">
      <c r="T30320" s="41"/>
    </row>
    <row r="30321" spans="20:20" s="566" customFormat="1">
      <c r="T30321" s="41"/>
    </row>
    <row r="30322" spans="20:20" s="566" customFormat="1">
      <c r="T30322" s="41"/>
    </row>
    <row r="30323" spans="20:20" s="566" customFormat="1">
      <c r="T30323" s="41"/>
    </row>
    <row r="30324" spans="20:20" s="566" customFormat="1">
      <c r="T30324" s="41"/>
    </row>
    <row r="30325" spans="20:20" s="566" customFormat="1">
      <c r="T30325" s="41"/>
    </row>
    <row r="30326" spans="20:20" s="566" customFormat="1">
      <c r="T30326" s="41"/>
    </row>
    <row r="30327" spans="20:20" s="566" customFormat="1">
      <c r="T30327" s="41"/>
    </row>
    <row r="30328" spans="20:20" s="566" customFormat="1">
      <c r="T30328" s="41"/>
    </row>
    <row r="30329" spans="20:20" s="566" customFormat="1">
      <c r="T30329" s="41"/>
    </row>
    <row r="30330" spans="20:20" s="566" customFormat="1">
      <c r="T30330" s="41"/>
    </row>
    <row r="30331" spans="20:20" s="566" customFormat="1">
      <c r="T30331" s="41"/>
    </row>
    <row r="30332" spans="20:20" s="566" customFormat="1">
      <c r="T30332" s="41"/>
    </row>
    <row r="30333" spans="20:20" s="566" customFormat="1">
      <c r="T30333" s="41"/>
    </row>
    <row r="30334" spans="20:20" s="566" customFormat="1">
      <c r="T30334" s="41"/>
    </row>
    <row r="30335" spans="20:20" s="566" customFormat="1">
      <c r="T30335" s="41"/>
    </row>
    <row r="30336" spans="20:20" s="566" customFormat="1">
      <c r="T30336" s="41"/>
    </row>
    <row r="30337" spans="20:20" s="566" customFormat="1">
      <c r="T30337" s="41"/>
    </row>
    <row r="30338" spans="20:20" s="566" customFormat="1">
      <c r="T30338" s="41"/>
    </row>
    <row r="30339" spans="20:20" s="566" customFormat="1">
      <c r="T30339" s="41"/>
    </row>
    <row r="30340" spans="20:20" s="566" customFormat="1">
      <c r="T30340" s="41"/>
    </row>
    <row r="30341" spans="20:20" s="566" customFormat="1">
      <c r="T30341" s="41"/>
    </row>
    <row r="30342" spans="20:20" s="566" customFormat="1">
      <c r="T30342" s="41"/>
    </row>
    <row r="30343" spans="20:20" s="566" customFormat="1">
      <c r="T30343" s="41"/>
    </row>
    <row r="30344" spans="20:20" s="566" customFormat="1">
      <c r="T30344" s="41"/>
    </row>
    <row r="30345" spans="20:20" s="566" customFormat="1">
      <c r="T30345" s="41"/>
    </row>
    <row r="30346" spans="20:20" s="566" customFormat="1">
      <c r="T30346" s="41"/>
    </row>
    <row r="30347" spans="20:20" s="566" customFormat="1">
      <c r="T30347" s="41"/>
    </row>
    <row r="30348" spans="20:20" s="566" customFormat="1">
      <c r="T30348" s="41"/>
    </row>
    <row r="30349" spans="20:20" s="566" customFormat="1">
      <c r="T30349" s="41"/>
    </row>
    <row r="30350" spans="20:20" s="566" customFormat="1">
      <c r="T30350" s="41"/>
    </row>
    <row r="30351" spans="20:20" s="566" customFormat="1">
      <c r="T30351" s="41"/>
    </row>
    <row r="30352" spans="20:20" s="566" customFormat="1">
      <c r="T30352" s="41"/>
    </row>
    <row r="30353" spans="20:20" s="566" customFormat="1">
      <c r="T30353" s="41"/>
    </row>
    <row r="30354" spans="20:20" s="566" customFormat="1">
      <c r="T30354" s="41"/>
    </row>
    <row r="30355" spans="20:20" s="566" customFormat="1">
      <c r="T30355" s="41"/>
    </row>
    <row r="30356" spans="20:20" s="566" customFormat="1">
      <c r="T30356" s="41"/>
    </row>
    <row r="30357" spans="20:20" s="566" customFormat="1">
      <c r="T30357" s="41"/>
    </row>
    <row r="30358" spans="20:20" s="566" customFormat="1">
      <c r="T30358" s="41"/>
    </row>
    <row r="30359" spans="20:20" s="566" customFormat="1">
      <c r="T30359" s="41"/>
    </row>
    <row r="30360" spans="20:20" s="566" customFormat="1">
      <c r="T30360" s="41"/>
    </row>
    <row r="30361" spans="20:20" s="566" customFormat="1">
      <c r="T30361" s="41"/>
    </row>
    <row r="30362" spans="20:20" s="566" customFormat="1">
      <c r="T30362" s="41"/>
    </row>
    <row r="30363" spans="20:20" s="566" customFormat="1">
      <c r="T30363" s="41"/>
    </row>
    <row r="30364" spans="20:20" s="566" customFormat="1">
      <c r="T30364" s="41"/>
    </row>
    <row r="30365" spans="20:20" s="566" customFormat="1">
      <c r="T30365" s="41"/>
    </row>
    <row r="30366" spans="20:20" s="566" customFormat="1">
      <c r="T30366" s="41"/>
    </row>
    <row r="30367" spans="20:20" s="566" customFormat="1">
      <c r="T30367" s="41"/>
    </row>
    <row r="30368" spans="20:20" s="566" customFormat="1">
      <c r="T30368" s="41"/>
    </row>
    <row r="30369" spans="20:20" s="566" customFormat="1">
      <c r="T30369" s="41"/>
    </row>
    <row r="30370" spans="20:20" s="566" customFormat="1">
      <c r="T30370" s="41"/>
    </row>
    <row r="30371" spans="20:20" s="566" customFormat="1">
      <c r="T30371" s="41"/>
    </row>
    <row r="30372" spans="20:20" s="566" customFormat="1">
      <c r="T30372" s="41"/>
    </row>
    <row r="30373" spans="20:20" s="566" customFormat="1">
      <c r="T30373" s="41"/>
    </row>
    <row r="30374" spans="20:20" s="566" customFormat="1">
      <c r="T30374" s="41"/>
    </row>
    <row r="30375" spans="20:20" s="566" customFormat="1">
      <c r="T30375" s="41"/>
    </row>
    <row r="30376" spans="20:20" s="566" customFormat="1">
      <c r="T30376" s="41"/>
    </row>
    <row r="30377" spans="20:20" s="566" customFormat="1">
      <c r="T30377" s="41"/>
    </row>
    <row r="30378" spans="20:20" s="566" customFormat="1">
      <c r="T30378" s="41"/>
    </row>
    <row r="30379" spans="20:20" s="566" customFormat="1">
      <c r="T30379" s="41"/>
    </row>
    <row r="30380" spans="20:20" s="566" customFormat="1">
      <c r="T30380" s="41"/>
    </row>
    <row r="30381" spans="20:20" s="566" customFormat="1">
      <c r="T30381" s="41"/>
    </row>
    <row r="30382" spans="20:20" s="566" customFormat="1">
      <c r="T30382" s="41"/>
    </row>
    <row r="30383" spans="20:20" s="566" customFormat="1">
      <c r="T30383" s="41"/>
    </row>
    <row r="30384" spans="20:20" s="566" customFormat="1">
      <c r="T30384" s="41"/>
    </row>
    <row r="30385" spans="20:20" s="566" customFormat="1">
      <c r="T30385" s="41"/>
    </row>
    <row r="30386" spans="20:20" s="566" customFormat="1">
      <c r="T30386" s="41"/>
    </row>
    <row r="30387" spans="20:20" s="566" customFormat="1">
      <c r="T30387" s="41"/>
    </row>
    <row r="30388" spans="20:20" s="566" customFormat="1">
      <c r="T30388" s="41"/>
    </row>
    <row r="30389" spans="20:20" s="566" customFormat="1">
      <c r="T30389" s="41"/>
    </row>
    <row r="30390" spans="20:20" s="566" customFormat="1">
      <c r="T30390" s="41"/>
    </row>
    <row r="30391" spans="20:20" s="566" customFormat="1">
      <c r="T30391" s="41"/>
    </row>
    <row r="30392" spans="20:20" s="566" customFormat="1">
      <c r="T30392" s="41"/>
    </row>
    <row r="30393" spans="20:20" s="566" customFormat="1">
      <c r="T30393" s="41"/>
    </row>
    <row r="30394" spans="20:20" s="566" customFormat="1">
      <c r="T30394" s="41"/>
    </row>
    <row r="30395" spans="20:20" s="566" customFormat="1">
      <c r="T30395" s="41"/>
    </row>
    <row r="30396" spans="20:20" s="566" customFormat="1">
      <c r="T30396" s="41"/>
    </row>
    <row r="30397" spans="20:20" s="566" customFormat="1">
      <c r="T30397" s="41"/>
    </row>
    <row r="30398" spans="20:20" s="566" customFormat="1">
      <c r="T30398" s="41"/>
    </row>
    <row r="30399" spans="20:20" s="566" customFormat="1">
      <c r="T30399" s="41"/>
    </row>
    <row r="30400" spans="20:20" s="566" customFormat="1">
      <c r="T30400" s="41"/>
    </row>
    <row r="30401" spans="20:20" s="566" customFormat="1">
      <c r="T30401" s="41"/>
    </row>
    <row r="30402" spans="20:20" s="566" customFormat="1">
      <c r="T30402" s="41"/>
    </row>
    <row r="30403" spans="20:20" s="566" customFormat="1">
      <c r="T30403" s="41"/>
    </row>
    <row r="30404" spans="20:20" s="566" customFormat="1">
      <c r="T30404" s="41"/>
    </row>
    <row r="30405" spans="20:20" s="566" customFormat="1">
      <c r="T30405" s="41"/>
    </row>
    <row r="30406" spans="20:20" s="566" customFormat="1">
      <c r="T30406" s="41"/>
    </row>
    <row r="30407" spans="20:20" s="566" customFormat="1">
      <c r="T30407" s="41"/>
    </row>
    <row r="30408" spans="20:20" s="566" customFormat="1">
      <c r="T30408" s="41"/>
    </row>
    <row r="30409" spans="20:20" s="566" customFormat="1">
      <c r="T30409" s="41"/>
    </row>
    <row r="30410" spans="20:20" s="566" customFormat="1">
      <c r="T30410" s="41"/>
    </row>
    <row r="30411" spans="20:20" s="566" customFormat="1">
      <c r="T30411" s="41"/>
    </row>
    <row r="30412" spans="20:20" s="566" customFormat="1">
      <c r="T30412" s="41"/>
    </row>
    <row r="30413" spans="20:20" s="566" customFormat="1">
      <c r="T30413" s="41"/>
    </row>
    <row r="30414" spans="20:20" s="566" customFormat="1">
      <c r="T30414" s="41"/>
    </row>
    <row r="30415" spans="20:20" s="566" customFormat="1">
      <c r="T30415" s="41"/>
    </row>
    <row r="30416" spans="20:20" s="566" customFormat="1">
      <c r="T30416" s="41"/>
    </row>
    <row r="30417" spans="20:20" s="566" customFormat="1">
      <c r="T30417" s="41"/>
    </row>
    <row r="30418" spans="20:20" s="566" customFormat="1">
      <c r="T30418" s="41"/>
    </row>
    <row r="30419" spans="20:20" s="566" customFormat="1">
      <c r="T30419" s="41"/>
    </row>
    <row r="30420" spans="20:20" s="566" customFormat="1">
      <c r="T30420" s="41"/>
    </row>
    <row r="30421" spans="20:20" s="566" customFormat="1">
      <c r="T30421" s="41"/>
    </row>
    <row r="30422" spans="20:20" s="566" customFormat="1">
      <c r="T30422" s="41"/>
    </row>
    <row r="30423" spans="20:20" s="566" customFormat="1">
      <c r="T30423" s="41"/>
    </row>
    <row r="30424" spans="20:20" s="566" customFormat="1">
      <c r="T30424" s="41"/>
    </row>
    <row r="30425" spans="20:20" s="566" customFormat="1">
      <c r="T30425" s="41"/>
    </row>
    <row r="30426" spans="20:20" s="566" customFormat="1">
      <c r="T30426" s="41"/>
    </row>
    <row r="30427" spans="20:20" s="566" customFormat="1">
      <c r="T30427" s="41"/>
    </row>
    <row r="30428" spans="20:20" s="566" customFormat="1">
      <c r="T30428" s="41"/>
    </row>
    <row r="30429" spans="20:20" s="566" customFormat="1">
      <c r="T30429" s="41"/>
    </row>
    <row r="30430" spans="20:20" s="566" customFormat="1">
      <c r="T30430" s="41"/>
    </row>
    <row r="30431" spans="20:20" s="566" customFormat="1">
      <c r="T30431" s="41"/>
    </row>
    <row r="30432" spans="20:20" s="566" customFormat="1">
      <c r="T30432" s="41"/>
    </row>
    <row r="30433" spans="20:20" s="566" customFormat="1">
      <c r="T30433" s="41"/>
    </row>
    <row r="30434" spans="20:20" s="566" customFormat="1">
      <c r="T30434" s="41"/>
    </row>
    <row r="30435" spans="20:20" s="566" customFormat="1">
      <c r="T30435" s="41"/>
    </row>
    <row r="30436" spans="20:20" s="566" customFormat="1">
      <c r="T30436" s="41"/>
    </row>
    <row r="30437" spans="20:20" s="566" customFormat="1">
      <c r="T30437" s="41"/>
    </row>
    <row r="30438" spans="20:20" s="566" customFormat="1">
      <c r="T30438" s="41"/>
    </row>
    <row r="30439" spans="20:20" s="566" customFormat="1">
      <c r="T30439" s="41"/>
    </row>
    <row r="30440" spans="20:20" s="566" customFormat="1">
      <c r="T30440" s="41"/>
    </row>
    <row r="30441" spans="20:20" s="566" customFormat="1">
      <c r="T30441" s="41"/>
    </row>
    <row r="30442" spans="20:20" s="566" customFormat="1">
      <c r="T30442" s="41"/>
    </row>
    <row r="30443" spans="20:20" s="566" customFormat="1">
      <c r="T30443" s="41"/>
    </row>
    <row r="30444" spans="20:20" s="566" customFormat="1">
      <c r="T30444" s="41"/>
    </row>
    <row r="30445" spans="20:20" s="566" customFormat="1">
      <c r="T30445" s="41"/>
    </row>
    <row r="30446" spans="20:20" s="566" customFormat="1">
      <c r="T30446" s="41"/>
    </row>
    <row r="30447" spans="20:20" s="566" customFormat="1">
      <c r="T30447" s="41"/>
    </row>
    <row r="30448" spans="20:20" s="566" customFormat="1">
      <c r="T30448" s="41"/>
    </row>
    <row r="30449" spans="20:20" s="566" customFormat="1">
      <c r="T30449" s="41"/>
    </row>
    <row r="30450" spans="20:20" s="566" customFormat="1">
      <c r="T30450" s="41"/>
    </row>
    <row r="30451" spans="20:20" s="566" customFormat="1">
      <c r="T30451" s="41"/>
    </row>
    <row r="30452" spans="20:20" s="566" customFormat="1">
      <c r="T30452" s="41"/>
    </row>
    <row r="30453" spans="20:20" s="566" customFormat="1">
      <c r="T30453" s="41"/>
    </row>
    <row r="30454" spans="20:20" s="566" customFormat="1">
      <c r="T30454" s="41"/>
    </row>
    <row r="30455" spans="20:20" s="566" customFormat="1">
      <c r="T30455" s="41"/>
    </row>
    <row r="30456" spans="20:20" s="566" customFormat="1">
      <c r="T30456" s="41"/>
    </row>
    <row r="30457" spans="20:20" s="566" customFormat="1">
      <c r="T30457" s="41"/>
    </row>
    <row r="30458" spans="20:20" s="566" customFormat="1">
      <c r="T30458" s="41"/>
    </row>
    <row r="30459" spans="20:20" s="566" customFormat="1">
      <c r="T30459" s="41"/>
    </row>
    <row r="30460" spans="20:20" s="566" customFormat="1">
      <c r="T30460" s="41"/>
    </row>
    <row r="30461" spans="20:20" s="566" customFormat="1">
      <c r="T30461" s="41"/>
    </row>
    <row r="30462" spans="20:20" s="566" customFormat="1">
      <c r="T30462" s="41"/>
    </row>
    <row r="30463" spans="20:20" s="566" customFormat="1">
      <c r="T30463" s="41"/>
    </row>
    <row r="30464" spans="20:20" s="566" customFormat="1">
      <c r="T30464" s="41"/>
    </row>
    <row r="30465" spans="20:20" s="566" customFormat="1">
      <c r="T30465" s="41"/>
    </row>
    <row r="30466" spans="20:20" s="566" customFormat="1">
      <c r="T30466" s="41"/>
    </row>
    <row r="30467" spans="20:20" s="566" customFormat="1">
      <c r="T30467" s="41"/>
    </row>
    <row r="30468" spans="20:20" s="566" customFormat="1">
      <c r="T30468" s="41"/>
    </row>
    <row r="30469" spans="20:20" s="566" customFormat="1">
      <c r="T30469" s="41"/>
    </row>
    <row r="30470" spans="20:20" s="566" customFormat="1">
      <c r="T30470" s="41"/>
    </row>
    <row r="30471" spans="20:20" s="566" customFormat="1">
      <c r="T30471" s="41"/>
    </row>
    <row r="30472" spans="20:20" s="566" customFormat="1">
      <c r="T30472" s="41"/>
    </row>
    <row r="30473" spans="20:20" s="566" customFormat="1">
      <c r="T30473" s="41"/>
    </row>
    <row r="30474" spans="20:20" s="566" customFormat="1">
      <c r="T30474" s="41"/>
    </row>
    <row r="30475" spans="20:20" s="566" customFormat="1">
      <c r="T30475" s="41"/>
    </row>
    <row r="30476" spans="20:20" s="566" customFormat="1">
      <c r="T30476" s="41"/>
    </row>
    <row r="30477" spans="20:20" s="566" customFormat="1">
      <c r="T30477" s="41"/>
    </row>
    <row r="30478" spans="20:20" s="566" customFormat="1">
      <c r="T30478" s="41"/>
    </row>
    <row r="30479" spans="20:20" s="566" customFormat="1">
      <c r="T30479" s="41"/>
    </row>
    <row r="30480" spans="20:20" s="566" customFormat="1">
      <c r="T30480" s="41"/>
    </row>
    <row r="30481" spans="20:20" s="566" customFormat="1">
      <c r="T30481" s="41"/>
    </row>
    <row r="30482" spans="20:20" s="566" customFormat="1">
      <c r="T30482" s="41"/>
    </row>
    <row r="30483" spans="20:20" s="566" customFormat="1">
      <c r="T30483" s="41"/>
    </row>
    <row r="30484" spans="20:20" s="566" customFormat="1">
      <c r="T30484" s="41"/>
    </row>
    <row r="30485" spans="20:20" s="566" customFormat="1">
      <c r="T30485" s="41"/>
    </row>
    <row r="30486" spans="20:20" s="566" customFormat="1">
      <c r="T30486" s="41"/>
    </row>
    <row r="30487" spans="20:20" s="566" customFormat="1">
      <c r="T30487" s="41"/>
    </row>
    <row r="30488" spans="20:20" s="566" customFormat="1">
      <c r="T30488" s="41"/>
    </row>
    <row r="30489" spans="20:20" s="566" customFormat="1">
      <c r="T30489" s="41"/>
    </row>
    <row r="30490" spans="20:20" s="566" customFormat="1">
      <c r="T30490" s="41"/>
    </row>
    <row r="30491" spans="20:20" s="566" customFormat="1">
      <c r="T30491" s="41"/>
    </row>
    <row r="30492" spans="20:20" s="566" customFormat="1">
      <c r="T30492" s="41"/>
    </row>
    <row r="30493" spans="20:20" s="566" customFormat="1">
      <c r="T30493" s="41"/>
    </row>
    <row r="30494" spans="20:20" s="566" customFormat="1">
      <c r="T30494" s="41"/>
    </row>
    <row r="30495" spans="20:20" s="566" customFormat="1">
      <c r="T30495" s="41"/>
    </row>
    <row r="30496" spans="20:20" s="566" customFormat="1">
      <c r="T30496" s="41"/>
    </row>
    <row r="30497" spans="20:20" s="566" customFormat="1">
      <c r="T30497" s="41"/>
    </row>
    <row r="30498" spans="20:20" s="566" customFormat="1">
      <c r="T30498" s="41"/>
    </row>
    <row r="30499" spans="20:20" s="566" customFormat="1">
      <c r="T30499" s="41"/>
    </row>
    <row r="30500" spans="20:20" s="566" customFormat="1">
      <c r="T30500" s="41"/>
    </row>
    <row r="30501" spans="20:20" s="566" customFormat="1">
      <c r="T30501" s="41"/>
    </row>
    <row r="30502" spans="20:20" s="566" customFormat="1">
      <c r="T30502" s="41"/>
    </row>
    <row r="30503" spans="20:20" s="566" customFormat="1">
      <c r="T30503" s="41"/>
    </row>
    <row r="30504" spans="20:20" s="566" customFormat="1">
      <c r="T30504" s="41"/>
    </row>
    <row r="30505" spans="20:20" s="566" customFormat="1">
      <c r="T30505" s="41"/>
    </row>
    <row r="30506" spans="20:20" s="566" customFormat="1">
      <c r="T30506" s="41"/>
    </row>
    <row r="30507" spans="20:20" s="566" customFormat="1">
      <c r="T30507" s="41"/>
    </row>
    <row r="30508" spans="20:20" s="566" customFormat="1">
      <c r="T30508" s="41"/>
    </row>
    <row r="30509" spans="20:20" s="566" customFormat="1">
      <c r="T30509" s="41"/>
    </row>
    <row r="30510" spans="20:20" s="566" customFormat="1">
      <c r="T30510" s="41"/>
    </row>
    <row r="30511" spans="20:20" s="566" customFormat="1">
      <c r="T30511" s="41"/>
    </row>
    <row r="30512" spans="20:20" s="566" customFormat="1">
      <c r="T30512" s="41"/>
    </row>
    <row r="30513" spans="20:20" s="566" customFormat="1">
      <c r="T30513" s="41"/>
    </row>
    <row r="30514" spans="20:20" s="566" customFormat="1">
      <c r="T30514" s="41"/>
    </row>
    <row r="30515" spans="20:20" s="566" customFormat="1">
      <c r="T30515" s="41"/>
    </row>
    <row r="30516" spans="20:20" s="566" customFormat="1">
      <c r="T30516" s="41"/>
    </row>
    <row r="30517" spans="20:20" s="566" customFormat="1">
      <c r="T30517" s="41"/>
    </row>
    <row r="30518" spans="20:20" s="566" customFormat="1">
      <c r="T30518" s="41"/>
    </row>
    <row r="30519" spans="20:20" s="566" customFormat="1">
      <c r="T30519" s="41"/>
    </row>
    <row r="30520" spans="20:20" s="566" customFormat="1">
      <c r="T30520" s="41"/>
    </row>
    <row r="30521" spans="20:20" s="566" customFormat="1">
      <c r="T30521" s="41"/>
    </row>
    <row r="30522" spans="20:20" s="566" customFormat="1">
      <c r="T30522" s="41"/>
    </row>
    <row r="30523" spans="20:20" s="566" customFormat="1">
      <c r="T30523" s="41"/>
    </row>
    <row r="30524" spans="20:20" s="566" customFormat="1">
      <c r="T30524" s="41"/>
    </row>
    <row r="30525" spans="20:20" s="566" customFormat="1">
      <c r="T30525" s="41"/>
    </row>
    <row r="30526" spans="20:20" s="566" customFormat="1">
      <c r="T30526" s="41"/>
    </row>
    <row r="30527" spans="20:20" s="566" customFormat="1">
      <c r="T30527" s="41"/>
    </row>
    <row r="30528" spans="20:20" s="566" customFormat="1">
      <c r="T30528" s="41"/>
    </row>
    <row r="30529" spans="20:20" s="566" customFormat="1">
      <c r="T30529" s="41"/>
    </row>
    <row r="30530" spans="20:20" s="566" customFormat="1">
      <c r="T30530" s="41"/>
    </row>
    <row r="30531" spans="20:20" s="566" customFormat="1">
      <c r="T30531" s="41"/>
    </row>
    <row r="30532" spans="20:20" s="566" customFormat="1">
      <c r="T30532" s="41"/>
    </row>
    <row r="30533" spans="20:20" s="566" customFormat="1">
      <c r="T30533" s="41"/>
    </row>
    <row r="30534" spans="20:20" s="566" customFormat="1">
      <c r="T30534" s="41"/>
    </row>
    <row r="30535" spans="20:20" s="566" customFormat="1">
      <c r="T30535" s="41"/>
    </row>
    <row r="30536" spans="20:20" s="566" customFormat="1">
      <c r="T30536" s="41"/>
    </row>
    <row r="30537" spans="20:20" s="566" customFormat="1">
      <c r="T30537" s="41"/>
    </row>
    <row r="30538" spans="20:20" s="566" customFormat="1">
      <c r="T30538" s="41"/>
    </row>
    <row r="30539" spans="20:20" s="566" customFormat="1">
      <c r="T30539" s="41"/>
    </row>
    <row r="30540" spans="20:20" s="566" customFormat="1">
      <c r="T30540" s="41"/>
    </row>
    <row r="30541" spans="20:20" s="566" customFormat="1">
      <c r="T30541" s="41"/>
    </row>
    <row r="30542" spans="20:20" s="566" customFormat="1">
      <c r="T30542" s="41"/>
    </row>
    <row r="30543" spans="20:20" s="566" customFormat="1">
      <c r="T30543" s="41"/>
    </row>
    <row r="30544" spans="20:20" s="566" customFormat="1">
      <c r="T30544" s="41"/>
    </row>
    <row r="30545" spans="20:20" s="566" customFormat="1">
      <c r="T30545" s="41"/>
    </row>
    <row r="30546" spans="20:20" s="566" customFormat="1">
      <c r="T30546" s="41"/>
    </row>
    <row r="30547" spans="20:20" s="566" customFormat="1">
      <c r="T30547" s="41"/>
    </row>
    <row r="30548" spans="20:20" s="566" customFormat="1">
      <c r="T30548" s="41"/>
    </row>
    <row r="30549" spans="20:20" s="566" customFormat="1">
      <c r="T30549" s="41"/>
    </row>
    <row r="30550" spans="20:20" s="566" customFormat="1">
      <c r="T30550" s="41"/>
    </row>
    <row r="30551" spans="20:20" s="566" customFormat="1">
      <c r="T30551" s="41"/>
    </row>
    <row r="30552" spans="20:20" s="566" customFormat="1">
      <c r="T30552" s="41"/>
    </row>
    <row r="30553" spans="20:20" s="566" customFormat="1">
      <c r="T30553" s="41"/>
    </row>
    <row r="30554" spans="20:20" s="566" customFormat="1">
      <c r="T30554" s="41"/>
    </row>
    <row r="30555" spans="20:20" s="566" customFormat="1">
      <c r="T30555" s="41"/>
    </row>
    <row r="30556" spans="20:20" s="566" customFormat="1">
      <c r="T30556" s="41"/>
    </row>
    <row r="30557" spans="20:20" s="566" customFormat="1">
      <c r="T30557" s="41"/>
    </row>
    <row r="30558" spans="20:20" s="566" customFormat="1">
      <c r="T30558" s="41"/>
    </row>
    <row r="30559" spans="20:20" s="566" customFormat="1">
      <c r="T30559" s="41"/>
    </row>
    <row r="30560" spans="20:20" s="566" customFormat="1">
      <c r="T30560" s="41"/>
    </row>
    <row r="30561" spans="20:20" s="566" customFormat="1">
      <c r="T30561" s="41"/>
    </row>
    <row r="30562" spans="20:20" s="566" customFormat="1">
      <c r="T30562" s="41"/>
    </row>
    <row r="30563" spans="20:20" s="566" customFormat="1">
      <c r="T30563" s="41"/>
    </row>
    <row r="30564" spans="20:20" s="566" customFormat="1">
      <c r="T30564" s="41"/>
    </row>
    <row r="30565" spans="20:20" s="566" customFormat="1">
      <c r="T30565" s="41"/>
    </row>
    <row r="30566" spans="20:20" s="566" customFormat="1">
      <c r="T30566" s="41"/>
    </row>
    <row r="30567" spans="20:20" s="566" customFormat="1">
      <c r="T30567" s="41"/>
    </row>
    <row r="30568" spans="20:20" s="566" customFormat="1">
      <c r="T30568" s="41"/>
    </row>
    <row r="30569" spans="20:20" s="566" customFormat="1">
      <c r="T30569" s="41"/>
    </row>
    <row r="30570" spans="20:20" s="566" customFormat="1">
      <c r="T30570" s="41"/>
    </row>
    <row r="30571" spans="20:20" s="566" customFormat="1">
      <c r="T30571" s="41"/>
    </row>
    <row r="30572" spans="20:20" s="566" customFormat="1">
      <c r="T30572" s="41"/>
    </row>
    <row r="30573" spans="20:20" s="566" customFormat="1">
      <c r="T30573" s="41"/>
    </row>
    <row r="30574" spans="20:20" s="566" customFormat="1">
      <c r="T30574" s="41"/>
    </row>
    <row r="30575" spans="20:20" s="566" customFormat="1">
      <c r="T30575" s="41"/>
    </row>
    <row r="30576" spans="20:20" s="566" customFormat="1">
      <c r="T30576" s="41"/>
    </row>
    <row r="30577" spans="20:20" s="566" customFormat="1">
      <c r="T30577" s="41"/>
    </row>
    <row r="30578" spans="20:20" s="566" customFormat="1">
      <c r="T30578" s="41"/>
    </row>
    <row r="30579" spans="20:20" s="566" customFormat="1">
      <c r="T30579" s="41"/>
    </row>
    <row r="30580" spans="20:20" s="566" customFormat="1">
      <c r="T30580" s="41"/>
    </row>
    <row r="30581" spans="20:20" s="566" customFormat="1">
      <c r="T30581" s="41"/>
    </row>
    <row r="30582" spans="20:20" s="566" customFormat="1">
      <c r="T30582" s="41"/>
    </row>
    <row r="30583" spans="20:20" s="566" customFormat="1">
      <c r="T30583" s="41"/>
    </row>
    <row r="30584" spans="20:20" s="566" customFormat="1">
      <c r="T30584" s="41"/>
    </row>
    <row r="30585" spans="20:20" s="566" customFormat="1">
      <c r="T30585" s="41"/>
    </row>
    <row r="30586" spans="20:20" s="566" customFormat="1">
      <c r="T30586" s="41"/>
    </row>
    <row r="30587" spans="20:20" s="566" customFormat="1">
      <c r="T30587" s="41"/>
    </row>
    <row r="30588" spans="20:20" s="566" customFormat="1">
      <c r="T30588" s="41"/>
    </row>
    <row r="30589" spans="20:20" s="566" customFormat="1">
      <c r="T30589" s="41"/>
    </row>
    <row r="30590" spans="20:20" s="566" customFormat="1">
      <c r="T30590" s="41"/>
    </row>
    <row r="30591" spans="20:20" s="566" customFormat="1">
      <c r="T30591" s="41"/>
    </row>
    <row r="30592" spans="20:20" s="566" customFormat="1">
      <c r="T30592" s="41"/>
    </row>
    <row r="30593" spans="20:20" s="566" customFormat="1">
      <c r="T30593" s="41"/>
    </row>
    <row r="30594" spans="20:20" s="566" customFormat="1">
      <c r="T30594" s="41"/>
    </row>
    <row r="30595" spans="20:20" s="566" customFormat="1">
      <c r="T30595" s="41"/>
    </row>
    <row r="30596" spans="20:20" s="566" customFormat="1">
      <c r="T30596" s="41"/>
    </row>
    <row r="30597" spans="20:20" s="566" customFormat="1">
      <c r="T30597" s="41"/>
    </row>
    <row r="30598" spans="20:20" s="566" customFormat="1">
      <c r="T30598" s="41"/>
    </row>
    <row r="30599" spans="20:20" s="566" customFormat="1">
      <c r="T30599" s="41"/>
    </row>
    <row r="30600" spans="20:20" s="566" customFormat="1">
      <c r="T30600" s="41"/>
    </row>
    <row r="30601" spans="20:20" s="566" customFormat="1">
      <c r="T30601" s="41"/>
    </row>
    <row r="30602" spans="20:20" s="566" customFormat="1">
      <c r="T30602" s="41"/>
    </row>
    <row r="30603" spans="20:20" s="566" customFormat="1">
      <c r="T30603" s="41"/>
    </row>
    <row r="30604" spans="20:20" s="566" customFormat="1">
      <c r="T30604" s="41"/>
    </row>
    <row r="30605" spans="20:20" s="566" customFormat="1">
      <c r="T30605" s="41"/>
    </row>
    <row r="30606" spans="20:20" s="566" customFormat="1">
      <c r="T30606" s="41"/>
    </row>
    <row r="30607" spans="20:20" s="566" customFormat="1">
      <c r="T30607" s="41"/>
    </row>
    <row r="30608" spans="20:20" s="566" customFormat="1">
      <c r="T30608" s="41"/>
    </row>
    <row r="30609" spans="20:20" s="566" customFormat="1">
      <c r="T30609" s="41"/>
    </row>
    <row r="30610" spans="20:20" s="566" customFormat="1">
      <c r="T30610" s="41"/>
    </row>
    <row r="30611" spans="20:20" s="566" customFormat="1">
      <c r="T30611" s="41"/>
    </row>
    <row r="30612" spans="20:20" s="566" customFormat="1">
      <c r="T30612" s="41"/>
    </row>
    <row r="30613" spans="20:20" s="566" customFormat="1">
      <c r="T30613" s="41"/>
    </row>
    <row r="30614" spans="20:20" s="566" customFormat="1">
      <c r="T30614" s="41"/>
    </row>
    <row r="30615" spans="20:20" s="566" customFormat="1">
      <c r="T30615" s="41"/>
    </row>
    <row r="30616" spans="20:20" s="566" customFormat="1">
      <c r="T30616" s="41"/>
    </row>
    <row r="30617" spans="20:20" s="566" customFormat="1">
      <c r="T30617" s="41"/>
    </row>
    <row r="30618" spans="20:20" s="566" customFormat="1">
      <c r="T30618" s="41"/>
    </row>
    <row r="30619" spans="20:20" s="566" customFormat="1">
      <c r="T30619" s="41"/>
    </row>
    <row r="30620" spans="20:20" s="566" customFormat="1">
      <c r="T30620" s="41"/>
    </row>
    <row r="30621" spans="20:20" s="566" customFormat="1">
      <c r="T30621" s="41"/>
    </row>
    <row r="30622" spans="20:20" s="566" customFormat="1">
      <c r="T30622" s="41"/>
    </row>
    <row r="30623" spans="20:20" s="566" customFormat="1">
      <c r="T30623" s="41"/>
    </row>
    <row r="30624" spans="20:20" s="566" customFormat="1">
      <c r="T30624" s="41"/>
    </row>
    <row r="30625" spans="20:20" s="566" customFormat="1">
      <c r="T30625" s="41"/>
    </row>
    <row r="30626" spans="20:20" s="566" customFormat="1">
      <c r="T30626" s="41"/>
    </row>
    <row r="30627" spans="20:20" s="566" customFormat="1">
      <c r="T30627" s="41"/>
    </row>
    <row r="30628" spans="20:20" s="566" customFormat="1">
      <c r="T30628" s="41"/>
    </row>
    <row r="30629" spans="20:20" s="566" customFormat="1">
      <c r="T30629" s="41"/>
    </row>
    <row r="30630" spans="20:20" s="566" customFormat="1">
      <c r="T30630" s="41"/>
    </row>
    <row r="30631" spans="20:20" s="566" customFormat="1">
      <c r="T30631" s="41"/>
    </row>
    <row r="30632" spans="20:20" s="566" customFormat="1">
      <c r="T30632" s="41"/>
    </row>
    <row r="30633" spans="20:20" s="566" customFormat="1">
      <c r="T30633" s="41"/>
    </row>
    <row r="30634" spans="20:20" s="566" customFormat="1">
      <c r="T30634" s="41"/>
    </row>
    <row r="30635" spans="20:20" s="566" customFormat="1">
      <c r="T30635" s="41"/>
    </row>
    <row r="30636" spans="20:20" s="566" customFormat="1">
      <c r="T30636" s="41"/>
    </row>
    <row r="30637" spans="20:20" s="566" customFormat="1">
      <c r="T30637" s="41"/>
    </row>
    <row r="30638" spans="20:20" s="566" customFormat="1">
      <c r="T30638" s="41"/>
    </row>
    <row r="30639" spans="20:20" s="566" customFormat="1">
      <c r="T30639" s="41"/>
    </row>
    <row r="30640" spans="20:20" s="566" customFormat="1">
      <c r="T30640" s="41"/>
    </row>
    <row r="30641" spans="20:20" s="566" customFormat="1">
      <c r="T30641" s="41"/>
    </row>
    <row r="30642" spans="20:20" s="566" customFormat="1">
      <c r="T30642" s="41"/>
    </row>
    <row r="30643" spans="20:20" s="566" customFormat="1">
      <c r="T30643" s="41"/>
    </row>
    <row r="30644" spans="20:20" s="566" customFormat="1">
      <c r="T30644" s="41"/>
    </row>
    <row r="30645" spans="20:20" s="566" customFormat="1">
      <c r="T30645" s="41"/>
    </row>
    <row r="30646" spans="20:20" s="566" customFormat="1">
      <c r="T30646" s="41"/>
    </row>
    <row r="30647" spans="20:20" s="566" customFormat="1">
      <c r="T30647" s="41"/>
    </row>
    <row r="30648" spans="20:20" s="566" customFormat="1">
      <c r="T30648" s="41"/>
    </row>
    <row r="30649" spans="20:20" s="566" customFormat="1">
      <c r="T30649" s="41"/>
    </row>
    <row r="30650" spans="20:20" s="566" customFormat="1">
      <c r="T30650" s="41"/>
    </row>
    <row r="30651" spans="20:20" s="566" customFormat="1">
      <c r="T30651" s="41"/>
    </row>
    <row r="30652" spans="20:20" s="566" customFormat="1">
      <c r="T30652" s="41"/>
    </row>
    <row r="30653" spans="20:20" s="566" customFormat="1">
      <c r="T30653" s="41"/>
    </row>
    <row r="30654" spans="20:20" s="566" customFormat="1">
      <c r="T30654" s="41"/>
    </row>
    <row r="30655" spans="20:20" s="566" customFormat="1">
      <c r="T30655" s="41"/>
    </row>
    <row r="30656" spans="20:20" s="566" customFormat="1">
      <c r="T30656" s="41"/>
    </row>
    <row r="30657" spans="20:20" s="566" customFormat="1">
      <c r="T30657" s="41"/>
    </row>
    <row r="30658" spans="20:20" s="566" customFormat="1">
      <c r="T30658" s="41"/>
    </row>
    <row r="30659" spans="20:20" s="566" customFormat="1">
      <c r="T30659" s="41"/>
    </row>
    <row r="30660" spans="20:20" s="566" customFormat="1">
      <c r="T30660" s="41"/>
    </row>
    <row r="30661" spans="20:20" s="566" customFormat="1">
      <c r="T30661" s="41"/>
    </row>
    <row r="30662" spans="20:20" s="566" customFormat="1">
      <c r="T30662" s="41"/>
    </row>
    <row r="30663" spans="20:20" s="566" customFormat="1">
      <c r="T30663" s="41"/>
    </row>
    <row r="30664" spans="20:20" s="566" customFormat="1">
      <c r="T30664" s="41"/>
    </row>
    <row r="30665" spans="20:20" s="566" customFormat="1">
      <c r="T30665" s="41"/>
    </row>
    <row r="30666" spans="20:20" s="566" customFormat="1">
      <c r="T30666" s="41"/>
    </row>
    <row r="30667" spans="20:20" s="566" customFormat="1">
      <c r="T30667" s="41"/>
    </row>
    <row r="30668" spans="20:20" s="566" customFormat="1">
      <c r="T30668" s="41"/>
    </row>
    <row r="30669" spans="20:20" s="566" customFormat="1">
      <c r="T30669" s="41"/>
    </row>
    <row r="30670" spans="20:20" s="566" customFormat="1">
      <c r="T30670" s="41"/>
    </row>
    <row r="30671" spans="20:20" s="566" customFormat="1">
      <c r="T30671" s="41"/>
    </row>
    <row r="30672" spans="20:20" s="566" customFormat="1">
      <c r="T30672" s="41"/>
    </row>
    <row r="30673" spans="20:20" s="566" customFormat="1">
      <c r="T30673" s="41"/>
    </row>
    <row r="30674" spans="20:20" s="566" customFormat="1">
      <c r="T30674" s="41"/>
    </row>
    <row r="30675" spans="20:20" s="566" customFormat="1">
      <c r="T30675" s="41"/>
    </row>
    <row r="30676" spans="20:20" s="566" customFormat="1">
      <c r="T30676" s="41"/>
    </row>
    <row r="30677" spans="20:20" s="566" customFormat="1">
      <c r="T30677" s="41"/>
    </row>
    <row r="30678" spans="20:20" s="566" customFormat="1">
      <c r="T30678" s="41"/>
    </row>
    <row r="30679" spans="20:20" s="566" customFormat="1">
      <c r="T30679" s="41"/>
    </row>
    <row r="30680" spans="20:20" s="566" customFormat="1">
      <c r="T30680" s="41"/>
    </row>
    <row r="30681" spans="20:20" s="566" customFormat="1">
      <c r="T30681" s="41"/>
    </row>
    <row r="30682" spans="20:20" s="566" customFormat="1">
      <c r="T30682" s="41"/>
    </row>
    <row r="30683" spans="20:20" s="566" customFormat="1">
      <c r="T30683" s="41"/>
    </row>
    <row r="30684" spans="20:20" s="566" customFormat="1">
      <c r="T30684" s="41"/>
    </row>
    <row r="30685" spans="20:20" s="566" customFormat="1">
      <c r="T30685" s="41"/>
    </row>
    <row r="30686" spans="20:20" s="566" customFormat="1">
      <c r="T30686" s="41"/>
    </row>
    <row r="30687" spans="20:20" s="566" customFormat="1">
      <c r="T30687" s="41"/>
    </row>
    <row r="30688" spans="20:20" s="566" customFormat="1">
      <c r="T30688" s="41"/>
    </row>
    <row r="30689" spans="20:20" s="566" customFormat="1">
      <c r="T30689" s="41"/>
    </row>
    <row r="30690" spans="20:20" s="566" customFormat="1">
      <c r="T30690" s="41"/>
    </row>
    <row r="30691" spans="20:20" s="566" customFormat="1">
      <c r="T30691" s="41"/>
    </row>
    <row r="30692" spans="20:20" s="566" customFormat="1">
      <c r="T30692" s="41"/>
    </row>
    <row r="30693" spans="20:20" s="566" customFormat="1">
      <c r="T30693" s="41"/>
    </row>
    <row r="30694" spans="20:20" s="566" customFormat="1">
      <c r="T30694" s="41"/>
    </row>
    <row r="30695" spans="20:20" s="566" customFormat="1">
      <c r="T30695" s="41"/>
    </row>
    <row r="30696" spans="20:20" s="566" customFormat="1">
      <c r="T30696" s="41"/>
    </row>
    <row r="30697" spans="20:20" s="566" customFormat="1">
      <c r="T30697" s="41"/>
    </row>
    <row r="30698" spans="20:20" s="566" customFormat="1">
      <c r="T30698" s="41"/>
    </row>
    <row r="30699" spans="20:20" s="566" customFormat="1">
      <c r="T30699" s="41"/>
    </row>
    <row r="30700" spans="20:20" s="566" customFormat="1">
      <c r="T30700" s="41"/>
    </row>
    <row r="30701" spans="20:20" s="566" customFormat="1">
      <c r="T30701" s="41"/>
    </row>
    <row r="30702" spans="20:20" s="566" customFormat="1">
      <c r="T30702" s="41"/>
    </row>
    <row r="30703" spans="20:20" s="566" customFormat="1">
      <c r="T30703" s="41"/>
    </row>
    <row r="30704" spans="20:20" s="566" customFormat="1">
      <c r="T30704" s="41"/>
    </row>
    <row r="30705" spans="20:20" s="566" customFormat="1">
      <c r="T30705" s="41"/>
    </row>
    <row r="30706" spans="20:20" s="566" customFormat="1">
      <c r="T30706" s="41"/>
    </row>
    <row r="30707" spans="20:20" s="566" customFormat="1">
      <c r="T30707" s="41"/>
    </row>
    <row r="30708" spans="20:20" s="566" customFormat="1">
      <c r="T30708" s="41"/>
    </row>
    <row r="30709" spans="20:20" s="566" customFormat="1">
      <c r="T30709" s="41"/>
    </row>
    <row r="30710" spans="20:20" s="566" customFormat="1">
      <c r="T30710" s="41"/>
    </row>
    <row r="30711" spans="20:20" s="566" customFormat="1">
      <c r="T30711" s="41"/>
    </row>
    <row r="30712" spans="20:20" s="566" customFormat="1">
      <c r="T30712" s="41"/>
    </row>
    <row r="30713" spans="20:20" s="566" customFormat="1">
      <c r="T30713" s="41"/>
    </row>
    <row r="30714" spans="20:20" s="566" customFormat="1">
      <c r="T30714" s="41"/>
    </row>
    <row r="30715" spans="20:20" s="566" customFormat="1">
      <c r="T30715" s="41"/>
    </row>
    <row r="30716" spans="20:20" s="566" customFormat="1">
      <c r="T30716" s="41"/>
    </row>
    <row r="30717" spans="20:20" s="566" customFormat="1">
      <c r="T30717" s="41"/>
    </row>
    <row r="30718" spans="20:20" s="566" customFormat="1">
      <c r="T30718" s="41"/>
    </row>
    <row r="30719" spans="20:20" s="566" customFormat="1">
      <c r="T30719" s="41"/>
    </row>
    <row r="30720" spans="20:20" s="566" customFormat="1">
      <c r="T30720" s="41"/>
    </row>
    <row r="30721" spans="20:20" s="566" customFormat="1">
      <c r="T30721" s="41"/>
    </row>
    <row r="30722" spans="20:20" s="566" customFormat="1">
      <c r="T30722" s="41"/>
    </row>
    <row r="30723" spans="20:20" s="566" customFormat="1">
      <c r="T30723" s="41"/>
    </row>
    <row r="30724" spans="20:20" s="566" customFormat="1">
      <c r="T30724" s="41"/>
    </row>
    <row r="30725" spans="20:20" s="566" customFormat="1">
      <c r="T30725" s="41"/>
    </row>
    <row r="30726" spans="20:20" s="566" customFormat="1">
      <c r="T30726" s="41"/>
    </row>
    <row r="30727" spans="20:20" s="566" customFormat="1">
      <c r="T30727" s="41"/>
    </row>
    <row r="30728" spans="20:20" s="566" customFormat="1">
      <c r="T30728" s="41"/>
    </row>
    <row r="30729" spans="20:20" s="566" customFormat="1">
      <c r="T30729" s="41"/>
    </row>
    <row r="30730" spans="20:20" s="566" customFormat="1">
      <c r="T30730" s="41"/>
    </row>
    <row r="30731" spans="20:20" s="566" customFormat="1">
      <c r="T30731" s="41"/>
    </row>
    <row r="30732" spans="20:20" s="566" customFormat="1">
      <c r="T30732" s="41"/>
    </row>
    <row r="30733" spans="20:20" s="566" customFormat="1">
      <c r="T30733" s="41"/>
    </row>
    <row r="30734" spans="20:20" s="566" customFormat="1">
      <c r="T30734" s="41"/>
    </row>
    <row r="30735" spans="20:20" s="566" customFormat="1">
      <c r="T30735" s="41"/>
    </row>
    <row r="30736" spans="20:20" s="566" customFormat="1">
      <c r="T30736" s="41"/>
    </row>
    <row r="30737" spans="20:20" s="566" customFormat="1">
      <c r="T30737" s="41"/>
    </row>
    <row r="30738" spans="20:20" s="566" customFormat="1">
      <c r="T30738" s="41"/>
    </row>
    <row r="30739" spans="20:20" s="566" customFormat="1">
      <c r="T30739" s="41"/>
    </row>
    <row r="30740" spans="20:20" s="566" customFormat="1">
      <c r="T30740" s="41"/>
    </row>
    <row r="30741" spans="20:20" s="566" customFormat="1">
      <c r="T30741" s="41"/>
    </row>
    <row r="30742" spans="20:20" s="566" customFormat="1">
      <c r="T30742" s="41"/>
    </row>
    <row r="30743" spans="20:20" s="566" customFormat="1">
      <c r="T30743" s="41"/>
    </row>
    <row r="30744" spans="20:20" s="566" customFormat="1">
      <c r="T30744" s="41"/>
    </row>
    <row r="30745" spans="20:20" s="566" customFormat="1">
      <c r="T30745" s="41"/>
    </row>
    <row r="30746" spans="20:20" s="566" customFormat="1">
      <c r="T30746" s="41"/>
    </row>
    <row r="30747" spans="20:20" s="566" customFormat="1">
      <c r="T30747" s="41"/>
    </row>
    <row r="30748" spans="20:20" s="566" customFormat="1">
      <c r="T30748" s="41"/>
    </row>
    <row r="30749" spans="20:20" s="566" customFormat="1">
      <c r="T30749" s="41"/>
    </row>
    <row r="30750" spans="20:20" s="566" customFormat="1">
      <c r="T30750" s="41"/>
    </row>
    <row r="30751" spans="20:20" s="566" customFormat="1">
      <c r="T30751" s="41"/>
    </row>
    <row r="30752" spans="20:20" s="566" customFormat="1">
      <c r="T30752" s="41"/>
    </row>
    <row r="30753" spans="20:20" s="566" customFormat="1">
      <c r="T30753" s="41"/>
    </row>
    <row r="30754" spans="20:20" s="566" customFormat="1">
      <c r="T30754" s="41"/>
    </row>
    <row r="30755" spans="20:20" s="566" customFormat="1">
      <c r="T30755" s="41"/>
    </row>
    <row r="30756" spans="20:20" s="566" customFormat="1">
      <c r="T30756" s="41"/>
    </row>
    <row r="30757" spans="20:20" s="566" customFormat="1">
      <c r="T30757" s="41"/>
    </row>
    <row r="30758" spans="20:20" s="566" customFormat="1">
      <c r="T30758" s="41"/>
    </row>
    <row r="30759" spans="20:20" s="566" customFormat="1">
      <c r="T30759" s="41"/>
    </row>
    <row r="30760" spans="20:20" s="566" customFormat="1">
      <c r="T30760" s="41"/>
    </row>
    <row r="30761" spans="20:20" s="566" customFormat="1">
      <c r="T30761" s="41"/>
    </row>
    <row r="30762" spans="20:20" s="566" customFormat="1">
      <c r="T30762" s="41"/>
    </row>
    <row r="30763" spans="20:20" s="566" customFormat="1">
      <c r="T30763" s="41"/>
    </row>
    <row r="30764" spans="20:20" s="566" customFormat="1">
      <c r="T30764" s="41"/>
    </row>
    <row r="30765" spans="20:20" s="566" customFormat="1">
      <c r="T30765" s="41"/>
    </row>
    <row r="30766" spans="20:20" s="566" customFormat="1">
      <c r="T30766" s="41"/>
    </row>
    <row r="30767" spans="20:20" s="566" customFormat="1">
      <c r="T30767" s="41"/>
    </row>
    <row r="30768" spans="20:20" s="566" customFormat="1">
      <c r="T30768" s="41"/>
    </row>
    <row r="30769" spans="20:20" s="566" customFormat="1">
      <c r="T30769" s="41"/>
    </row>
    <row r="30770" spans="20:20" s="566" customFormat="1">
      <c r="T30770" s="41"/>
    </row>
    <row r="30771" spans="20:20" s="566" customFormat="1">
      <c r="T30771" s="41"/>
    </row>
    <row r="30772" spans="20:20" s="566" customFormat="1">
      <c r="T30772" s="41"/>
    </row>
    <row r="30773" spans="20:20" s="566" customFormat="1">
      <c r="T30773" s="41"/>
    </row>
    <row r="30774" spans="20:20" s="566" customFormat="1">
      <c r="T30774" s="41"/>
    </row>
    <row r="30775" spans="20:20" s="566" customFormat="1">
      <c r="T30775" s="41"/>
    </row>
    <row r="30776" spans="20:20" s="566" customFormat="1">
      <c r="T30776" s="41"/>
    </row>
    <row r="30777" spans="20:20" s="566" customFormat="1">
      <c r="T30777" s="41"/>
    </row>
    <row r="30778" spans="20:20" s="566" customFormat="1">
      <c r="T30778" s="41"/>
    </row>
    <row r="30779" spans="20:20" s="566" customFormat="1">
      <c r="T30779" s="41"/>
    </row>
    <row r="30780" spans="20:20" s="566" customFormat="1">
      <c r="T30780" s="41"/>
    </row>
    <row r="30781" spans="20:20" s="566" customFormat="1">
      <c r="T30781" s="41"/>
    </row>
    <row r="30782" spans="20:20" s="566" customFormat="1">
      <c r="T30782" s="41"/>
    </row>
    <row r="30783" spans="20:20" s="566" customFormat="1">
      <c r="T30783" s="41"/>
    </row>
    <row r="30784" spans="20:20" s="566" customFormat="1">
      <c r="T30784" s="41"/>
    </row>
    <row r="30785" spans="20:20" s="566" customFormat="1">
      <c r="T30785" s="41"/>
    </row>
    <row r="30786" spans="20:20" s="566" customFormat="1">
      <c r="T30786" s="41"/>
    </row>
    <row r="30787" spans="20:20" s="566" customFormat="1">
      <c r="T30787" s="41"/>
    </row>
    <row r="30788" spans="20:20" s="566" customFormat="1">
      <c r="T30788" s="41"/>
    </row>
    <row r="30789" spans="20:20" s="566" customFormat="1">
      <c r="T30789" s="41"/>
    </row>
    <row r="30790" spans="20:20" s="566" customFormat="1">
      <c r="T30790" s="41"/>
    </row>
    <row r="30791" spans="20:20" s="566" customFormat="1">
      <c r="T30791" s="41"/>
    </row>
    <row r="30792" spans="20:20" s="566" customFormat="1">
      <c r="T30792" s="41"/>
    </row>
    <row r="30793" spans="20:20" s="566" customFormat="1">
      <c r="T30793" s="41"/>
    </row>
    <row r="30794" spans="20:20" s="566" customFormat="1">
      <c r="T30794" s="41"/>
    </row>
    <row r="30795" spans="20:20" s="566" customFormat="1">
      <c r="T30795" s="41"/>
    </row>
    <row r="30796" spans="20:20" s="566" customFormat="1">
      <c r="T30796" s="41"/>
    </row>
    <row r="30797" spans="20:20" s="566" customFormat="1">
      <c r="T30797" s="41"/>
    </row>
    <row r="30798" spans="20:20" s="566" customFormat="1">
      <c r="T30798" s="41"/>
    </row>
    <row r="30799" spans="20:20" s="566" customFormat="1">
      <c r="T30799" s="41"/>
    </row>
    <row r="30800" spans="20:20" s="566" customFormat="1">
      <c r="T30800" s="41"/>
    </row>
    <row r="30801" spans="20:20" s="566" customFormat="1">
      <c r="T30801" s="41"/>
    </row>
    <row r="30802" spans="20:20" s="566" customFormat="1">
      <c r="T30802" s="41"/>
    </row>
    <row r="30803" spans="20:20" s="566" customFormat="1">
      <c r="T30803" s="41"/>
    </row>
    <row r="30804" spans="20:20" s="566" customFormat="1">
      <c r="T30804" s="41"/>
    </row>
    <row r="30805" spans="20:20" s="566" customFormat="1">
      <c r="T30805" s="41"/>
    </row>
    <row r="30806" spans="20:20" s="566" customFormat="1">
      <c r="T30806" s="41"/>
    </row>
    <row r="30807" spans="20:20" s="566" customFormat="1">
      <c r="T30807" s="41"/>
    </row>
    <row r="30808" spans="20:20" s="566" customFormat="1">
      <c r="T30808" s="41"/>
    </row>
    <row r="30809" spans="20:20" s="566" customFormat="1">
      <c r="T30809" s="41"/>
    </row>
    <row r="30810" spans="20:20" s="566" customFormat="1">
      <c r="T30810" s="41"/>
    </row>
    <row r="30811" spans="20:20" s="566" customFormat="1">
      <c r="T30811" s="41"/>
    </row>
    <row r="30812" spans="20:20" s="566" customFormat="1">
      <c r="T30812" s="41"/>
    </row>
    <row r="30813" spans="20:20" s="566" customFormat="1">
      <c r="T30813" s="41"/>
    </row>
    <row r="30814" spans="20:20" s="566" customFormat="1">
      <c r="T30814" s="41"/>
    </row>
    <row r="30815" spans="20:20" s="566" customFormat="1">
      <c r="T30815" s="41"/>
    </row>
    <row r="30816" spans="20:20" s="566" customFormat="1">
      <c r="T30816" s="41"/>
    </row>
    <row r="30817" spans="20:20" s="566" customFormat="1">
      <c r="T30817" s="41"/>
    </row>
    <row r="30818" spans="20:20" s="566" customFormat="1">
      <c r="T30818" s="41"/>
    </row>
    <row r="30819" spans="20:20" s="566" customFormat="1">
      <c r="T30819" s="41"/>
    </row>
    <row r="30820" spans="20:20" s="566" customFormat="1">
      <c r="T30820" s="41"/>
    </row>
    <row r="30821" spans="20:20" s="566" customFormat="1">
      <c r="T30821" s="41"/>
    </row>
    <row r="30822" spans="20:20" s="566" customFormat="1">
      <c r="T30822" s="41"/>
    </row>
    <row r="30823" spans="20:20" s="566" customFormat="1">
      <c r="T30823" s="41"/>
    </row>
    <row r="30824" spans="20:20" s="566" customFormat="1">
      <c r="T30824" s="41"/>
    </row>
    <row r="30825" spans="20:20" s="566" customFormat="1">
      <c r="T30825" s="41"/>
    </row>
    <row r="30826" spans="20:20" s="566" customFormat="1">
      <c r="T30826" s="41"/>
    </row>
    <row r="30827" spans="20:20" s="566" customFormat="1">
      <c r="T30827" s="41"/>
    </row>
    <row r="30828" spans="20:20" s="566" customFormat="1">
      <c r="T30828" s="41"/>
    </row>
    <row r="30829" spans="20:20" s="566" customFormat="1">
      <c r="T30829" s="41"/>
    </row>
    <row r="30830" spans="20:20" s="566" customFormat="1">
      <c r="T30830" s="41"/>
    </row>
    <row r="30831" spans="20:20" s="566" customFormat="1">
      <c r="T30831" s="41"/>
    </row>
    <row r="30832" spans="20:20" s="566" customFormat="1">
      <c r="T30832" s="41"/>
    </row>
    <row r="30833" spans="20:20" s="566" customFormat="1">
      <c r="T30833" s="41"/>
    </row>
    <row r="30834" spans="20:20" s="566" customFormat="1">
      <c r="T30834" s="41"/>
    </row>
    <row r="30835" spans="20:20" s="566" customFormat="1">
      <c r="T30835" s="41"/>
    </row>
    <row r="30836" spans="20:20" s="566" customFormat="1">
      <c r="T30836" s="41"/>
    </row>
    <row r="30837" spans="20:20" s="566" customFormat="1">
      <c r="T30837" s="41"/>
    </row>
    <row r="30838" spans="20:20" s="566" customFormat="1">
      <c r="T30838" s="41"/>
    </row>
    <row r="30839" spans="20:20" s="566" customFormat="1">
      <c r="T30839" s="41"/>
    </row>
    <row r="30840" spans="20:20" s="566" customFormat="1">
      <c r="T30840" s="41"/>
    </row>
    <row r="30841" spans="20:20" s="566" customFormat="1">
      <c r="T30841" s="41"/>
    </row>
    <row r="30842" spans="20:20" s="566" customFormat="1">
      <c r="T30842" s="41"/>
    </row>
    <row r="30843" spans="20:20" s="566" customFormat="1">
      <c r="T30843" s="41"/>
    </row>
    <row r="30844" spans="20:20" s="566" customFormat="1">
      <c r="T30844" s="41"/>
    </row>
    <row r="30845" spans="20:20" s="566" customFormat="1">
      <c r="T30845" s="41"/>
    </row>
    <row r="30846" spans="20:20" s="566" customFormat="1">
      <c r="T30846" s="41"/>
    </row>
    <row r="30847" spans="20:20" s="566" customFormat="1">
      <c r="T30847" s="41"/>
    </row>
    <row r="30848" spans="20:20" s="566" customFormat="1">
      <c r="T30848" s="41"/>
    </row>
    <row r="30849" spans="20:20" s="566" customFormat="1">
      <c r="T30849" s="41"/>
    </row>
    <row r="30850" spans="20:20" s="566" customFormat="1">
      <c r="T30850" s="41"/>
    </row>
    <row r="30851" spans="20:20" s="566" customFormat="1">
      <c r="T30851" s="41"/>
    </row>
    <row r="30852" spans="20:20" s="566" customFormat="1">
      <c r="T30852" s="41"/>
    </row>
    <row r="30853" spans="20:20" s="566" customFormat="1">
      <c r="T30853" s="41"/>
    </row>
    <row r="30854" spans="20:20" s="566" customFormat="1">
      <c r="T30854" s="41"/>
    </row>
    <row r="30855" spans="20:20" s="566" customFormat="1">
      <c r="T30855" s="41"/>
    </row>
    <row r="30856" spans="20:20" s="566" customFormat="1">
      <c r="T30856" s="41"/>
    </row>
    <row r="30857" spans="20:20" s="566" customFormat="1">
      <c r="T30857" s="41"/>
    </row>
    <row r="30858" spans="20:20" s="566" customFormat="1">
      <c r="T30858" s="41"/>
    </row>
    <row r="30859" spans="20:20" s="566" customFormat="1">
      <c r="T30859" s="41"/>
    </row>
    <row r="30860" spans="20:20" s="566" customFormat="1">
      <c r="T30860" s="41"/>
    </row>
    <row r="30861" spans="20:20" s="566" customFormat="1">
      <c r="T30861" s="41"/>
    </row>
    <row r="30862" spans="20:20" s="566" customFormat="1">
      <c r="T30862" s="41"/>
    </row>
    <row r="30863" spans="20:20" s="566" customFormat="1">
      <c r="T30863" s="41"/>
    </row>
    <row r="30864" spans="20:20" s="566" customFormat="1">
      <c r="T30864" s="41"/>
    </row>
    <row r="30865" spans="20:20" s="566" customFormat="1">
      <c r="T30865" s="41"/>
    </row>
    <row r="30866" spans="20:20" s="566" customFormat="1">
      <c r="T30866" s="41"/>
    </row>
    <row r="30867" spans="20:20" s="566" customFormat="1">
      <c r="T30867" s="41"/>
    </row>
    <row r="30868" spans="20:20" s="566" customFormat="1">
      <c r="T30868" s="41"/>
    </row>
    <row r="30869" spans="20:20" s="566" customFormat="1">
      <c r="T30869" s="41"/>
    </row>
    <row r="30870" spans="20:20" s="566" customFormat="1">
      <c r="T30870" s="41"/>
    </row>
    <row r="30871" spans="20:20" s="566" customFormat="1">
      <c r="T30871" s="41"/>
    </row>
    <row r="30872" spans="20:20" s="566" customFormat="1">
      <c r="T30872" s="41"/>
    </row>
    <row r="30873" spans="20:20" s="566" customFormat="1">
      <c r="T30873" s="41"/>
    </row>
    <row r="30874" spans="20:20" s="566" customFormat="1">
      <c r="T30874" s="41"/>
    </row>
    <row r="30875" spans="20:20" s="566" customFormat="1">
      <c r="T30875" s="41"/>
    </row>
    <row r="30876" spans="20:20" s="566" customFormat="1">
      <c r="T30876" s="41"/>
    </row>
    <row r="30877" spans="20:20" s="566" customFormat="1">
      <c r="T30877" s="41"/>
    </row>
    <row r="30878" spans="20:20" s="566" customFormat="1">
      <c r="T30878" s="41"/>
    </row>
    <row r="30879" spans="20:20" s="566" customFormat="1">
      <c r="T30879" s="41"/>
    </row>
    <row r="30880" spans="20:20" s="566" customFormat="1">
      <c r="T30880" s="41"/>
    </row>
    <row r="30881" spans="20:20" s="566" customFormat="1">
      <c r="T30881" s="41"/>
    </row>
    <row r="30882" spans="20:20" s="566" customFormat="1">
      <c r="T30882" s="41"/>
    </row>
    <row r="30883" spans="20:20" s="566" customFormat="1">
      <c r="T30883" s="41"/>
    </row>
    <row r="30884" spans="20:20" s="566" customFormat="1">
      <c r="T30884" s="41"/>
    </row>
    <row r="30885" spans="20:20" s="566" customFormat="1">
      <c r="T30885" s="41"/>
    </row>
    <row r="30886" spans="20:20" s="566" customFormat="1">
      <c r="T30886" s="41"/>
    </row>
    <row r="30887" spans="20:20" s="566" customFormat="1">
      <c r="T30887" s="41"/>
    </row>
    <row r="30888" spans="20:20" s="566" customFormat="1">
      <c r="T30888" s="41"/>
    </row>
    <row r="30889" spans="20:20" s="566" customFormat="1">
      <c r="T30889" s="41"/>
    </row>
    <row r="30890" spans="20:20" s="566" customFormat="1">
      <c r="T30890" s="41"/>
    </row>
    <row r="30891" spans="20:20" s="566" customFormat="1">
      <c r="T30891" s="41"/>
    </row>
    <row r="30892" spans="20:20" s="566" customFormat="1">
      <c r="T30892" s="41"/>
    </row>
    <row r="30893" spans="20:20" s="566" customFormat="1">
      <c r="T30893" s="41"/>
    </row>
    <row r="30894" spans="20:20" s="566" customFormat="1">
      <c r="T30894" s="41"/>
    </row>
    <row r="30895" spans="20:20" s="566" customFormat="1">
      <c r="T30895" s="41"/>
    </row>
    <row r="30896" spans="20:20" s="566" customFormat="1">
      <c r="T30896" s="41"/>
    </row>
    <row r="30897" spans="20:20" s="566" customFormat="1">
      <c r="T30897" s="41"/>
    </row>
    <row r="30898" spans="20:20" s="566" customFormat="1">
      <c r="T30898" s="41"/>
    </row>
    <row r="30899" spans="20:20" s="566" customFormat="1">
      <c r="T30899" s="41"/>
    </row>
    <row r="30900" spans="20:20" s="566" customFormat="1">
      <c r="T30900" s="41"/>
    </row>
    <row r="30901" spans="20:20" s="566" customFormat="1">
      <c r="T30901" s="41"/>
    </row>
    <row r="30902" spans="20:20" s="566" customFormat="1">
      <c r="T30902" s="41"/>
    </row>
    <row r="30903" spans="20:20" s="566" customFormat="1">
      <c r="T30903" s="41"/>
    </row>
    <row r="30904" spans="20:20" s="566" customFormat="1">
      <c r="T30904" s="41"/>
    </row>
    <row r="30905" spans="20:20" s="566" customFormat="1">
      <c r="T30905" s="41"/>
    </row>
    <row r="30906" spans="20:20" s="566" customFormat="1">
      <c r="T30906" s="41"/>
    </row>
    <row r="30907" spans="20:20" s="566" customFormat="1">
      <c r="T30907" s="41"/>
    </row>
    <row r="30908" spans="20:20" s="566" customFormat="1">
      <c r="T30908" s="41"/>
    </row>
    <row r="30909" spans="20:20" s="566" customFormat="1">
      <c r="T30909" s="41"/>
    </row>
    <row r="30910" spans="20:20" s="566" customFormat="1">
      <c r="T30910" s="41"/>
    </row>
    <row r="30911" spans="20:20" s="566" customFormat="1">
      <c r="T30911" s="41"/>
    </row>
    <row r="30912" spans="20:20" s="566" customFormat="1">
      <c r="T30912" s="41"/>
    </row>
    <row r="30913" spans="20:20" s="566" customFormat="1">
      <c r="T30913" s="41"/>
    </row>
    <row r="30914" spans="20:20" s="566" customFormat="1">
      <c r="T30914" s="41"/>
    </row>
    <row r="30915" spans="20:20" s="566" customFormat="1">
      <c r="T30915" s="41"/>
    </row>
    <row r="30916" spans="20:20" s="566" customFormat="1">
      <c r="T30916" s="41"/>
    </row>
    <row r="30917" spans="20:20" s="566" customFormat="1">
      <c r="T30917" s="41"/>
    </row>
    <row r="30918" spans="20:20" s="566" customFormat="1">
      <c r="T30918" s="41"/>
    </row>
    <row r="30919" spans="20:20" s="566" customFormat="1">
      <c r="T30919" s="41"/>
    </row>
    <row r="30920" spans="20:20" s="566" customFormat="1">
      <c r="T30920" s="41"/>
    </row>
    <row r="30921" spans="20:20" s="566" customFormat="1">
      <c r="T30921" s="41"/>
    </row>
    <row r="30922" spans="20:20" s="566" customFormat="1">
      <c r="T30922" s="41"/>
    </row>
    <row r="30923" spans="20:20" s="566" customFormat="1">
      <c r="T30923" s="41"/>
    </row>
    <row r="30924" spans="20:20" s="566" customFormat="1">
      <c r="T30924" s="41"/>
    </row>
    <row r="30925" spans="20:20" s="566" customFormat="1">
      <c r="T30925" s="41"/>
    </row>
    <row r="30926" spans="20:20" s="566" customFormat="1">
      <c r="T30926" s="41"/>
    </row>
    <row r="30927" spans="20:20" s="566" customFormat="1">
      <c r="T30927" s="41"/>
    </row>
    <row r="30928" spans="20:20" s="566" customFormat="1">
      <c r="T30928" s="41"/>
    </row>
    <row r="30929" spans="20:20" s="566" customFormat="1">
      <c r="T30929" s="41"/>
    </row>
    <row r="30930" spans="20:20" s="566" customFormat="1">
      <c r="T30930" s="41"/>
    </row>
    <row r="30931" spans="20:20" s="566" customFormat="1">
      <c r="T30931" s="41"/>
    </row>
    <row r="30932" spans="20:20" s="566" customFormat="1">
      <c r="T30932" s="41"/>
    </row>
    <row r="30933" spans="20:20" s="566" customFormat="1">
      <c r="T30933" s="41"/>
    </row>
    <row r="30934" spans="20:20" s="566" customFormat="1">
      <c r="T30934" s="41"/>
    </row>
    <row r="30935" spans="20:20" s="566" customFormat="1">
      <c r="T30935" s="41"/>
    </row>
    <row r="30936" spans="20:20" s="566" customFormat="1">
      <c r="T30936" s="41"/>
    </row>
    <row r="30937" spans="20:20" s="566" customFormat="1">
      <c r="T30937" s="41"/>
    </row>
    <row r="30938" spans="20:20" s="566" customFormat="1">
      <c r="T30938" s="41"/>
    </row>
    <row r="30939" spans="20:20" s="566" customFormat="1">
      <c r="T30939" s="41"/>
    </row>
    <row r="30940" spans="20:20" s="566" customFormat="1">
      <c r="T30940" s="41"/>
    </row>
    <row r="30941" spans="20:20" s="566" customFormat="1">
      <c r="T30941" s="41"/>
    </row>
    <row r="30942" spans="20:20" s="566" customFormat="1">
      <c r="T30942" s="41"/>
    </row>
    <row r="30943" spans="20:20" s="566" customFormat="1">
      <c r="T30943" s="41"/>
    </row>
    <row r="30944" spans="20:20" s="566" customFormat="1">
      <c r="T30944" s="41"/>
    </row>
    <row r="30945" spans="20:20" s="566" customFormat="1">
      <c r="T30945" s="41"/>
    </row>
    <row r="30946" spans="20:20" s="566" customFormat="1">
      <c r="T30946" s="41"/>
    </row>
    <row r="30947" spans="20:20" s="566" customFormat="1">
      <c r="T30947" s="41"/>
    </row>
    <row r="30948" spans="20:20" s="566" customFormat="1">
      <c r="T30948" s="41"/>
    </row>
    <row r="30949" spans="20:20" s="566" customFormat="1">
      <c r="T30949" s="41"/>
    </row>
    <row r="30950" spans="20:20" s="566" customFormat="1">
      <c r="T30950" s="41"/>
    </row>
    <row r="30951" spans="20:20" s="566" customFormat="1">
      <c r="T30951" s="41"/>
    </row>
    <row r="30952" spans="20:20" s="566" customFormat="1">
      <c r="T30952" s="41"/>
    </row>
    <row r="30953" spans="20:20" s="566" customFormat="1">
      <c r="T30953" s="41"/>
    </row>
    <row r="30954" spans="20:20" s="566" customFormat="1">
      <c r="T30954" s="41"/>
    </row>
    <row r="30955" spans="20:20" s="566" customFormat="1">
      <c r="T30955" s="41"/>
    </row>
    <row r="30956" spans="20:20" s="566" customFormat="1">
      <c r="T30956" s="41"/>
    </row>
    <row r="30957" spans="20:20" s="566" customFormat="1">
      <c r="T30957" s="41"/>
    </row>
    <row r="30958" spans="20:20" s="566" customFormat="1">
      <c r="T30958" s="41"/>
    </row>
    <row r="30959" spans="20:20" s="566" customFormat="1">
      <c r="T30959" s="41"/>
    </row>
    <row r="30960" spans="20:20" s="566" customFormat="1">
      <c r="T30960" s="41"/>
    </row>
    <row r="30961" spans="20:20" s="566" customFormat="1">
      <c r="T30961" s="41"/>
    </row>
    <row r="30962" spans="20:20" s="566" customFormat="1">
      <c r="T30962" s="41"/>
    </row>
    <row r="30963" spans="20:20" s="566" customFormat="1">
      <c r="T30963" s="41"/>
    </row>
    <row r="30964" spans="20:20" s="566" customFormat="1">
      <c r="T30964" s="41"/>
    </row>
    <row r="30965" spans="20:20" s="566" customFormat="1">
      <c r="T30965" s="41"/>
    </row>
    <row r="30966" spans="20:20" s="566" customFormat="1">
      <c r="T30966" s="41"/>
    </row>
    <row r="30967" spans="20:20" s="566" customFormat="1">
      <c r="T30967" s="41"/>
    </row>
    <row r="30968" spans="20:20" s="566" customFormat="1">
      <c r="T30968" s="41"/>
    </row>
    <row r="30969" spans="20:20" s="566" customFormat="1">
      <c r="T30969" s="41"/>
    </row>
    <row r="30970" spans="20:20" s="566" customFormat="1">
      <c r="T30970" s="41"/>
    </row>
    <row r="30971" spans="20:20" s="566" customFormat="1">
      <c r="T30971" s="41"/>
    </row>
    <row r="30972" spans="20:20" s="566" customFormat="1">
      <c r="T30972" s="41"/>
    </row>
    <row r="30973" spans="20:20" s="566" customFormat="1">
      <c r="T30973" s="41"/>
    </row>
    <row r="30974" spans="20:20" s="566" customFormat="1">
      <c r="T30974" s="41"/>
    </row>
    <row r="30975" spans="20:20" s="566" customFormat="1">
      <c r="T30975" s="41"/>
    </row>
    <row r="30976" spans="20:20" s="566" customFormat="1">
      <c r="T30976" s="41"/>
    </row>
    <row r="30977" spans="20:20" s="566" customFormat="1">
      <c r="T30977" s="41"/>
    </row>
    <row r="30978" spans="20:20" s="566" customFormat="1">
      <c r="T30978" s="41"/>
    </row>
    <row r="30979" spans="20:20" s="566" customFormat="1">
      <c r="T30979" s="41"/>
    </row>
    <row r="30980" spans="20:20" s="566" customFormat="1">
      <c r="T30980" s="41"/>
    </row>
    <row r="30981" spans="20:20" s="566" customFormat="1">
      <c r="T30981" s="41"/>
    </row>
    <row r="30982" spans="20:20" s="566" customFormat="1">
      <c r="T30982" s="41"/>
    </row>
    <row r="30983" spans="20:20" s="566" customFormat="1">
      <c r="T30983" s="41"/>
    </row>
    <row r="30984" spans="20:20" s="566" customFormat="1">
      <c r="T30984" s="41"/>
    </row>
    <row r="30985" spans="20:20" s="566" customFormat="1">
      <c r="T30985" s="41"/>
    </row>
    <row r="30986" spans="20:20" s="566" customFormat="1">
      <c r="T30986" s="41"/>
    </row>
    <row r="30987" spans="20:20" s="566" customFormat="1">
      <c r="T30987" s="41"/>
    </row>
    <row r="30988" spans="20:20" s="566" customFormat="1">
      <c r="T30988" s="41"/>
    </row>
    <row r="30989" spans="20:20" s="566" customFormat="1">
      <c r="T30989" s="41"/>
    </row>
    <row r="30990" spans="20:20" s="566" customFormat="1">
      <c r="T30990" s="41"/>
    </row>
    <row r="30991" spans="20:20" s="566" customFormat="1">
      <c r="T30991" s="41"/>
    </row>
    <row r="30992" spans="20:20" s="566" customFormat="1">
      <c r="T30992" s="41"/>
    </row>
    <row r="30993" spans="20:20" s="566" customFormat="1">
      <c r="T30993" s="41"/>
    </row>
    <row r="30994" spans="20:20" s="566" customFormat="1">
      <c r="T30994" s="41"/>
    </row>
    <row r="30995" spans="20:20" s="566" customFormat="1">
      <c r="T30995" s="41"/>
    </row>
    <row r="30996" spans="20:20" s="566" customFormat="1">
      <c r="T30996" s="41"/>
    </row>
    <row r="30997" spans="20:20" s="566" customFormat="1">
      <c r="T30997" s="41"/>
    </row>
    <row r="30998" spans="20:20" s="566" customFormat="1">
      <c r="T30998" s="41"/>
    </row>
    <row r="30999" spans="20:20" s="566" customFormat="1">
      <c r="T30999" s="41"/>
    </row>
    <row r="31000" spans="20:20" s="566" customFormat="1">
      <c r="T31000" s="41"/>
    </row>
    <row r="31001" spans="20:20" s="566" customFormat="1">
      <c r="T31001" s="41"/>
    </row>
    <row r="31002" spans="20:20" s="566" customFormat="1">
      <c r="T31002" s="41"/>
    </row>
    <row r="31003" spans="20:20" s="566" customFormat="1">
      <c r="T31003" s="41"/>
    </row>
    <row r="31004" spans="20:20" s="566" customFormat="1">
      <c r="T31004" s="41"/>
    </row>
    <row r="31005" spans="20:20" s="566" customFormat="1">
      <c r="T31005" s="41"/>
    </row>
    <row r="31006" spans="20:20" s="566" customFormat="1">
      <c r="T31006" s="41"/>
    </row>
    <row r="31007" spans="20:20" s="566" customFormat="1">
      <c r="T31007" s="41"/>
    </row>
    <row r="31008" spans="20:20" s="566" customFormat="1">
      <c r="T31008" s="41"/>
    </row>
    <row r="31009" spans="20:20" s="566" customFormat="1">
      <c r="T31009" s="41"/>
    </row>
    <row r="31010" spans="20:20" s="566" customFormat="1">
      <c r="T31010" s="41"/>
    </row>
    <row r="31011" spans="20:20" s="566" customFormat="1">
      <c r="T31011" s="41"/>
    </row>
    <row r="31012" spans="20:20" s="566" customFormat="1">
      <c r="T31012" s="41"/>
    </row>
    <row r="31013" spans="20:20" s="566" customFormat="1">
      <c r="T31013" s="41"/>
    </row>
    <row r="31014" spans="20:20" s="566" customFormat="1">
      <c r="T31014" s="41"/>
    </row>
    <row r="31015" spans="20:20" s="566" customFormat="1">
      <c r="T31015" s="41"/>
    </row>
    <row r="31016" spans="20:20" s="566" customFormat="1">
      <c r="T31016" s="41"/>
    </row>
    <row r="31017" spans="20:20" s="566" customFormat="1">
      <c r="T31017" s="41"/>
    </row>
    <row r="31018" spans="20:20" s="566" customFormat="1">
      <c r="T31018" s="41"/>
    </row>
    <row r="31019" spans="20:20" s="566" customFormat="1">
      <c r="T31019" s="41"/>
    </row>
    <row r="31020" spans="20:20" s="566" customFormat="1">
      <c r="T31020" s="41"/>
    </row>
    <row r="31021" spans="20:20" s="566" customFormat="1">
      <c r="T31021" s="41"/>
    </row>
    <row r="31022" spans="20:20" s="566" customFormat="1">
      <c r="T31022" s="41"/>
    </row>
    <row r="31023" spans="20:20" s="566" customFormat="1">
      <c r="T31023" s="41"/>
    </row>
    <row r="31024" spans="20:20" s="566" customFormat="1">
      <c r="T31024" s="41"/>
    </row>
    <row r="31025" spans="20:20" s="566" customFormat="1">
      <c r="T31025" s="41"/>
    </row>
    <row r="31026" spans="20:20" s="566" customFormat="1">
      <c r="T31026" s="41"/>
    </row>
    <row r="31027" spans="20:20" s="566" customFormat="1">
      <c r="T31027" s="41"/>
    </row>
    <row r="31028" spans="20:20" s="566" customFormat="1">
      <c r="T31028" s="41"/>
    </row>
    <row r="31029" spans="20:20" s="566" customFormat="1">
      <c r="T31029" s="41"/>
    </row>
    <row r="31030" spans="20:20" s="566" customFormat="1">
      <c r="T31030" s="41"/>
    </row>
    <row r="31031" spans="20:20" s="566" customFormat="1">
      <c r="T31031" s="41"/>
    </row>
    <row r="31032" spans="20:20" s="566" customFormat="1">
      <c r="T31032" s="41"/>
    </row>
    <row r="31033" spans="20:20" s="566" customFormat="1">
      <c r="T31033" s="41"/>
    </row>
    <row r="31034" spans="20:20" s="566" customFormat="1">
      <c r="T31034" s="41"/>
    </row>
    <row r="31035" spans="20:20" s="566" customFormat="1">
      <c r="T31035" s="41"/>
    </row>
    <row r="31036" spans="20:20" s="566" customFormat="1">
      <c r="T31036" s="41"/>
    </row>
    <row r="31037" spans="20:20" s="566" customFormat="1">
      <c r="T31037" s="41"/>
    </row>
    <row r="31038" spans="20:20" s="566" customFormat="1">
      <c r="T31038" s="41"/>
    </row>
    <row r="31039" spans="20:20" s="566" customFormat="1">
      <c r="T31039" s="41"/>
    </row>
    <row r="31040" spans="20:20" s="566" customFormat="1">
      <c r="T31040" s="41"/>
    </row>
    <row r="31041" spans="20:20" s="566" customFormat="1">
      <c r="T31041" s="41"/>
    </row>
    <row r="31042" spans="20:20" s="566" customFormat="1">
      <c r="T31042" s="41"/>
    </row>
    <row r="31043" spans="20:20" s="566" customFormat="1">
      <c r="T31043" s="41"/>
    </row>
    <row r="31044" spans="20:20" s="566" customFormat="1">
      <c r="T31044" s="41"/>
    </row>
    <row r="31045" spans="20:20" s="566" customFormat="1">
      <c r="T31045" s="41"/>
    </row>
    <row r="31046" spans="20:20" s="566" customFormat="1">
      <c r="T31046" s="41"/>
    </row>
    <row r="31047" spans="20:20" s="566" customFormat="1">
      <c r="T31047" s="41"/>
    </row>
    <row r="31048" spans="20:20" s="566" customFormat="1">
      <c r="T31048" s="41"/>
    </row>
    <row r="31049" spans="20:20" s="566" customFormat="1">
      <c r="T31049" s="41"/>
    </row>
    <row r="31050" spans="20:20" s="566" customFormat="1">
      <c r="T31050" s="41"/>
    </row>
    <row r="31051" spans="20:20" s="566" customFormat="1">
      <c r="T31051" s="41"/>
    </row>
    <row r="31052" spans="20:20" s="566" customFormat="1">
      <c r="T31052" s="41"/>
    </row>
    <row r="31053" spans="20:20" s="566" customFormat="1">
      <c r="T31053" s="41"/>
    </row>
    <row r="31054" spans="20:20" s="566" customFormat="1">
      <c r="T31054" s="41"/>
    </row>
    <row r="31055" spans="20:20" s="566" customFormat="1">
      <c r="T31055" s="41"/>
    </row>
    <row r="31056" spans="20:20" s="566" customFormat="1">
      <c r="T31056" s="41"/>
    </row>
    <row r="31057" spans="20:20" s="566" customFormat="1">
      <c r="T31057" s="41"/>
    </row>
    <row r="31058" spans="20:20" s="566" customFormat="1">
      <c r="T31058" s="41"/>
    </row>
    <row r="31059" spans="20:20" s="566" customFormat="1">
      <c r="T31059" s="41"/>
    </row>
    <row r="31060" spans="20:20" s="566" customFormat="1">
      <c r="T31060" s="41"/>
    </row>
    <row r="31061" spans="20:20" s="566" customFormat="1">
      <c r="T31061" s="41"/>
    </row>
    <row r="31062" spans="20:20" s="566" customFormat="1">
      <c r="T31062" s="41"/>
    </row>
    <row r="31063" spans="20:20" s="566" customFormat="1">
      <c r="T31063" s="41"/>
    </row>
    <row r="31064" spans="20:20" s="566" customFormat="1">
      <c r="T31064" s="41"/>
    </row>
    <row r="31065" spans="20:20" s="566" customFormat="1">
      <c r="T31065" s="41"/>
    </row>
    <row r="31066" spans="20:20" s="566" customFormat="1">
      <c r="T31066" s="41"/>
    </row>
    <row r="31067" spans="20:20" s="566" customFormat="1">
      <c r="T31067" s="41"/>
    </row>
    <row r="31068" spans="20:20" s="566" customFormat="1">
      <c r="T31068" s="41"/>
    </row>
    <row r="31069" spans="20:20" s="566" customFormat="1">
      <c r="T31069" s="41"/>
    </row>
    <row r="31070" spans="20:20" s="566" customFormat="1">
      <c r="T31070" s="41"/>
    </row>
    <row r="31071" spans="20:20" s="566" customFormat="1">
      <c r="T31071" s="41"/>
    </row>
    <row r="31072" spans="20:20" s="566" customFormat="1">
      <c r="T31072" s="41"/>
    </row>
    <row r="31073" spans="20:20" s="566" customFormat="1">
      <c r="T31073" s="41"/>
    </row>
    <row r="31074" spans="20:20" s="566" customFormat="1">
      <c r="T31074" s="41"/>
    </row>
    <row r="31075" spans="20:20" s="566" customFormat="1">
      <c r="T31075" s="41"/>
    </row>
    <row r="31076" spans="20:20" s="566" customFormat="1">
      <c r="T31076" s="41"/>
    </row>
    <row r="31077" spans="20:20" s="566" customFormat="1">
      <c r="T31077" s="41"/>
    </row>
    <row r="31078" spans="20:20" s="566" customFormat="1">
      <c r="T31078" s="41"/>
    </row>
    <row r="31079" spans="20:20" s="566" customFormat="1">
      <c r="T31079" s="41"/>
    </row>
    <row r="31080" spans="20:20" s="566" customFormat="1">
      <c r="T31080" s="41"/>
    </row>
    <row r="31081" spans="20:20" s="566" customFormat="1">
      <c r="T31081" s="41"/>
    </row>
    <row r="31082" spans="20:20" s="566" customFormat="1">
      <c r="T31082" s="41"/>
    </row>
    <row r="31083" spans="20:20" s="566" customFormat="1">
      <c r="T31083" s="41"/>
    </row>
    <row r="31084" spans="20:20" s="566" customFormat="1">
      <c r="T31084" s="41"/>
    </row>
    <row r="31085" spans="20:20" s="566" customFormat="1">
      <c r="T31085" s="41"/>
    </row>
    <row r="31086" spans="20:20" s="566" customFormat="1">
      <c r="T31086" s="41"/>
    </row>
    <row r="31087" spans="20:20" s="566" customFormat="1">
      <c r="T31087" s="41"/>
    </row>
    <row r="31088" spans="20:20" s="566" customFormat="1">
      <c r="T31088" s="41"/>
    </row>
    <row r="31089" spans="20:20" s="566" customFormat="1">
      <c r="T31089" s="41"/>
    </row>
    <row r="31090" spans="20:20" s="566" customFormat="1">
      <c r="T31090" s="41"/>
    </row>
    <row r="31091" spans="20:20" s="566" customFormat="1">
      <c r="T31091" s="41"/>
    </row>
    <row r="31092" spans="20:20" s="566" customFormat="1">
      <c r="T31092" s="41"/>
    </row>
    <row r="31093" spans="20:20" s="566" customFormat="1">
      <c r="T31093" s="41"/>
    </row>
    <row r="31094" spans="20:20" s="566" customFormat="1">
      <c r="T31094" s="41"/>
    </row>
    <row r="31095" spans="20:20" s="566" customFormat="1">
      <c r="T31095" s="41"/>
    </row>
    <row r="31096" spans="20:20" s="566" customFormat="1">
      <c r="T31096" s="41"/>
    </row>
    <row r="31097" spans="20:20" s="566" customFormat="1">
      <c r="T31097" s="41"/>
    </row>
    <row r="31098" spans="20:20" s="566" customFormat="1">
      <c r="T31098" s="41"/>
    </row>
    <row r="31099" spans="20:20" s="566" customFormat="1">
      <c r="T31099" s="41"/>
    </row>
    <row r="31100" spans="20:20" s="566" customFormat="1">
      <c r="T31100" s="41"/>
    </row>
    <row r="31101" spans="20:20" s="566" customFormat="1">
      <c r="T31101" s="41"/>
    </row>
    <row r="31102" spans="20:20" s="566" customFormat="1">
      <c r="T31102" s="41"/>
    </row>
    <row r="31103" spans="20:20" s="566" customFormat="1">
      <c r="T31103" s="41"/>
    </row>
    <row r="31104" spans="20:20" s="566" customFormat="1">
      <c r="T31104" s="41"/>
    </row>
    <row r="31105" spans="20:20" s="566" customFormat="1">
      <c r="T31105" s="41"/>
    </row>
    <row r="31106" spans="20:20" s="566" customFormat="1">
      <c r="T31106" s="41"/>
    </row>
    <row r="31107" spans="20:20" s="566" customFormat="1">
      <c r="T31107" s="41"/>
    </row>
    <row r="31108" spans="20:20" s="566" customFormat="1">
      <c r="T31108" s="41"/>
    </row>
    <row r="31109" spans="20:20" s="566" customFormat="1">
      <c r="T31109" s="41"/>
    </row>
    <row r="31110" spans="20:20" s="566" customFormat="1">
      <c r="T31110" s="41"/>
    </row>
    <row r="31111" spans="20:20" s="566" customFormat="1">
      <c r="T31111" s="41"/>
    </row>
    <row r="31112" spans="20:20" s="566" customFormat="1">
      <c r="T31112" s="41"/>
    </row>
    <row r="31113" spans="20:20" s="566" customFormat="1">
      <c r="T31113" s="41"/>
    </row>
    <row r="31114" spans="20:20" s="566" customFormat="1">
      <c r="T31114" s="41"/>
    </row>
    <row r="31115" spans="20:20" s="566" customFormat="1">
      <c r="T31115" s="41"/>
    </row>
    <row r="31116" spans="20:20" s="566" customFormat="1">
      <c r="T31116" s="41"/>
    </row>
    <row r="31117" spans="20:20" s="566" customFormat="1">
      <c r="T31117" s="41"/>
    </row>
    <row r="31118" spans="20:20" s="566" customFormat="1">
      <c r="T31118" s="41"/>
    </row>
    <row r="31119" spans="20:20" s="566" customFormat="1">
      <c r="T31119" s="41"/>
    </row>
    <row r="31120" spans="20:20" s="566" customFormat="1">
      <c r="T31120" s="41"/>
    </row>
    <row r="31121" spans="20:20" s="566" customFormat="1">
      <c r="T31121" s="41"/>
    </row>
    <row r="31122" spans="20:20" s="566" customFormat="1">
      <c r="T31122" s="41"/>
    </row>
    <row r="31123" spans="20:20" s="566" customFormat="1">
      <c r="T31123" s="41"/>
    </row>
    <row r="31124" spans="20:20" s="566" customFormat="1">
      <c r="T31124" s="41"/>
    </row>
    <row r="31125" spans="20:20" s="566" customFormat="1">
      <c r="T31125" s="41"/>
    </row>
    <row r="31126" spans="20:20" s="566" customFormat="1">
      <c r="T31126" s="41"/>
    </row>
    <row r="31127" spans="20:20" s="566" customFormat="1">
      <c r="T31127" s="41"/>
    </row>
    <row r="31128" spans="20:20" s="566" customFormat="1">
      <c r="T31128" s="41"/>
    </row>
    <row r="31129" spans="20:20" s="566" customFormat="1">
      <c r="T31129" s="41"/>
    </row>
    <row r="31130" spans="20:20" s="566" customFormat="1">
      <c r="T31130" s="41"/>
    </row>
    <row r="31131" spans="20:20" s="566" customFormat="1">
      <c r="T31131" s="41"/>
    </row>
    <row r="31132" spans="20:20" s="566" customFormat="1">
      <c r="T31132" s="41"/>
    </row>
    <row r="31133" spans="20:20" s="566" customFormat="1">
      <c r="T31133" s="41"/>
    </row>
    <row r="31134" spans="20:20" s="566" customFormat="1">
      <c r="T31134" s="41"/>
    </row>
    <row r="31135" spans="20:20" s="566" customFormat="1">
      <c r="T31135" s="41"/>
    </row>
    <row r="31136" spans="20:20" s="566" customFormat="1">
      <c r="T31136" s="41"/>
    </row>
    <row r="31137" spans="20:20" s="566" customFormat="1">
      <c r="T31137" s="41"/>
    </row>
    <row r="31138" spans="20:20" s="566" customFormat="1">
      <c r="T31138" s="41"/>
    </row>
    <row r="31139" spans="20:20" s="566" customFormat="1">
      <c r="T31139" s="41"/>
    </row>
    <row r="31140" spans="20:20" s="566" customFormat="1">
      <c r="T31140" s="41"/>
    </row>
    <row r="31141" spans="20:20" s="566" customFormat="1">
      <c r="T31141" s="41"/>
    </row>
    <row r="31142" spans="20:20" s="566" customFormat="1">
      <c r="T31142" s="41"/>
    </row>
    <row r="31143" spans="20:20" s="566" customFormat="1">
      <c r="T31143" s="41"/>
    </row>
    <row r="31144" spans="20:20" s="566" customFormat="1">
      <c r="T31144" s="41"/>
    </row>
    <row r="31145" spans="20:20" s="566" customFormat="1">
      <c r="T31145" s="41"/>
    </row>
    <row r="31146" spans="20:20" s="566" customFormat="1">
      <c r="T31146" s="41"/>
    </row>
    <row r="31147" spans="20:20" s="566" customFormat="1">
      <c r="T31147" s="41"/>
    </row>
    <row r="31148" spans="20:20" s="566" customFormat="1">
      <c r="T31148" s="41"/>
    </row>
    <row r="31149" spans="20:20" s="566" customFormat="1">
      <c r="T31149" s="41"/>
    </row>
    <row r="31150" spans="20:20" s="566" customFormat="1">
      <c r="T31150" s="41"/>
    </row>
    <row r="31151" spans="20:20" s="566" customFormat="1">
      <c r="T31151" s="41"/>
    </row>
    <row r="31152" spans="20:20" s="566" customFormat="1">
      <c r="T31152" s="41"/>
    </row>
    <row r="31153" spans="20:20" s="566" customFormat="1">
      <c r="T31153" s="41"/>
    </row>
    <row r="31154" spans="20:20" s="566" customFormat="1">
      <c r="T31154" s="41"/>
    </row>
    <row r="31155" spans="20:20" s="566" customFormat="1">
      <c r="T31155" s="41"/>
    </row>
    <row r="31156" spans="20:20" s="566" customFormat="1">
      <c r="T31156" s="41"/>
    </row>
    <row r="31157" spans="20:20" s="566" customFormat="1">
      <c r="T31157" s="41"/>
    </row>
    <row r="31158" spans="20:20" s="566" customFormat="1">
      <c r="T31158" s="41"/>
    </row>
    <row r="31159" spans="20:20" s="566" customFormat="1">
      <c r="T31159" s="41"/>
    </row>
    <row r="31160" spans="20:20" s="566" customFormat="1">
      <c r="T31160" s="41"/>
    </row>
    <row r="31161" spans="20:20" s="566" customFormat="1">
      <c r="T31161" s="41"/>
    </row>
    <row r="31162" spans="20:20" s="566" customFormat="1">
      <c r="T31162" s="41"/>
    </row>
    <row r="31163" spans="20:20" s="566" customFormat="1">
      <c r="T31163" s="41"/>
    </row>
    <row r="31164" spans="20:20" s="566" customFormat="1">
      <c r="T31164" s="41"/>
    </row>
    <row r="31165" spans="20:20" s="566" customFormat="1">
      <c r="T31165" s="41"/>
    </row>
    <row r="31166" spans="20:20" s="566" customFormat="1">
      <c r="T31166" s="41"/>
    </row>
    <row r="31167" spans="20:20" s="566" customFormat="1">
      <c r="T31167" s="41"/>
    </row>
    <row r="31168" spans="20:20" s="566" customFormat="1">
      <c r="T31168" s="41"/>
    </row>
    <row r="31169" spans="20:20" s="566" customFormat="1">
      <c r="T31169" s="41"/>
    </row>
    <row r="31170" spans="20:20" s="566" customFormat="1">
      <c r="T31170" s="41"/>
    </row>
    <row r="31171" spans="20:20" s="566" customFormat="1">
      <c r="T31171" s="41"/>
    </row>
    <row r="31172" spans="20:20" s="566" customFormat="1">
      <c r="T31172" s="41"/>
    </row>
    <row r="31173" spans="20:20" s="566" customFormat="1">
      <c r="T31173" s="41"/>
    </row>
    <row r="31174" spans="20:20" s="566" customFormat="1">
      <c r="T31174" s="41"/>
    </row>
    <row r="31175" spans="20:20" s="566" customFormat="1">
      <c r="T31175" s="41"/>
    </row>
    <row r="31176" spans="20:20" s="566" customFormat="1">
      <c r="T31176" s="41"/>
    </row>
    <row r="31177" spans="20:20" s="566" customFormat="1">
      <c r="T31177" s="41"/>
    </row>
    <row r="31178" spans="20:20" s="566" customFormat="1">
      <c r="T31178" s="41"/>
    </row>
    <row r="31179" spans="20:20" s="566" customFormat="1">
      <c r="T31179" s="41"/>
    </row>
    <row r="31180" spans="20:20" s="566" customFormat="1">
      <c r="T31180" s="41"/>
    </row>
    <row r="31181" spans="20:20" s="566" customFormat="1">
      <c r="T31181" s="41"/>
    </row>
    <row r="31182" spans="20:20" s="566" customFormat="1">
      <c r="T31182" s="41"/>
    </row>
    <row r="31183" spans="20:20" s="566" customFormat="1">
      <c r="T31183" s="41"/>
    </row>
    <row r="31184" spans="20:20" s="566" customFormat="1">
      <c r="T31184" s="41"/>
    </row>
    <row r="31185" spans="20:20" s="566" customFormat="1">
      <c r="T31185" s="41"/>
    </row>
    <row r="31186" spans="20:20" s="566" customFormat="1">
      <c r="T31186" s="41"/>
    </row>
    <row r="31187" spans="20:20" s="566" customFormat="1">
      <c r="T31187" s="41"/>
    </row>
    <row r="31188" spans="20:20" s="566" customFormat="1">
      <c r="T31188" s="41"/>
    </row>
    <row r="31189" spans="20:20" s="566" customFormat="1">
      <c r="T31189" s="41"/>
    </row>
    <row r="31190" spans="20:20" s="566" customFormat="1">
      <c r="T31190" s="41"/>
    </row>
    <row r="31191" spans="20:20" s="566" customFormat="1">
      <c r="T31191" s="41"/>
    </row>
    <row r="31192" spans="20:20" s="566" customFormat="1">
      <c r="T31192" s="41"/>
    </row>
    <row r="31193" spans="20:20" s="566" customFormat="1">
      <c r="T31193" s="41"/>
    </row>
    <row r="31194" spans="20:20" s="566" customFormat="1">
      <c r="T31194" s="41"/>
    </row>
    <row r="31195" spans="20:20" s="566" customFormat="1">
      <c r="T31195" s="41"/>
    </row>
    <row r="31196" spans="20:20" s="566" customFormat="1">
      <c r="T31196" s="41"/>
    </row>
    <row r="31197" spans="20:20" s="566" customFormat="1">
      <c r="T31197" s="41"/>
    </row>
    <row r="31198" spans="20:20" s="566" customFormat="1">
      <c r="T31198" s="41"/>
    </row>
    <row r="31199" spans="20:20" s="566" customFormat="1">
      <c r="T31199" s="41"/>
    </row>
    <row r="31200" spans="20:20" s="566" customFormat="1">
      <c r="T31200" s="41"/>
    </row>
    <row r="31201" spans="20:20" s="566" customFormat="1">
      <c r="T31201" s="41"/>
    </row>
    <row r="31202" spans="20:20" s="566" customFormat="1">
      <c r="T31202" s="41"/>
    </row>
    <row r="31203" spans="20:20" s="566" customFormat="1">
      <c r="T31203" s="41"/>
    </row>
    <row r="31204" spans="20:20" s="566" customFormat="1">
      <c r="T31204" s="41"/>
    </row>
    <row r="31205" spans="20:20" s="566" customFormat="1">
      <c r="T31205" s="41"/>
    </row>
    <row r="31206" spans="20:20" s="566" customFormat="1">
      <c r="T31206" s="41"/>
    </row>
    <row r="31207" spans="20:20" s="566" customFormat="1">
      <c r="T31207" s="41"/>
    </row>
    <row r="31208" spans="20:20" s="566" customFormat="1">
      <c r="T31208" s="41"/>
    </row>
    <row r="31209" spans="20:20" s="566" customFormat="1">
      <c r="T31209" s="41"/>
    </row>
    <row r="31210" spans="20:20" s="566" customFormat="1">
      <c r="T31210" s="41"/>
    </row>
    <row r="31211" spans="20:20" s="566" customFormat="1">
      <c r="T31211" s="41"/>
    </row>
    <row r="31212" spans="20:20" s="566" customFormat="1">
      <c r="T31212" s="41"/>
    </row>
    <row r="31213" spans="20:20" s="566" customFormat="1">
      <c r="T31213" s="41"/>
    </row>
    <row r="31214" spans="20:20" s="566" customFormat="1">
      <c r="T31214" s="41"/>
    </row>
    <row r="31215" spans="20:20" s="566" customFormat="1">
      <c r="T31215" s="41"/>
    </row>
    <row r="31216" spans="20:20" s="566" customFormat="1">
      <c r="T31216" s="41"/>
    </row>
    <row r="31217" spans="20:20" s="566" customFormat="1">
      <c r="T31217" s="41"/>
    </row>
    <row r="31218" spans="20:20" s="566" customFormat="1">
      <c r="T31218" s="41"/>
    </row>
    <row r="31219" spans="20:20" s="566" customFormat="1">
      <c r="T31219" s="41"/>
    </row>
    <row r="31220" spans="20:20" s="566" customFormat="1">
      <c r="T31220" s="41"/>
    </row>
    <row r="31221" spans="20:20" s="566" customFormat="1">
      <c r="T31221" s="41"/>
    </row>
    <row r="31222" spans="20:20" s="566" customFormat="1">
      <c r="T31222" s="41"/>
    </row>
    <row r="31223" spans="20:20" s="566" customFormat="1">
      <c r="T31223" s="41"/>
    </row>
    <row r="31224" spans="20:20" s="566" customFormat="1">
      <c r="T31224" s="41"/>
    </row>
    <row r="31225" spans="20:20" s="566" customFormat="1">
      <c r="T31225" s="41"/>
    </row>
    <row r="31226" spans="20:20" s="566" customFormat="1">
      <c r="T31226" s="41"/>
    </row>
    <row r="31227" spans="20:20" s="566" customFormat="1">
      <c r="T31227" s="41"/>
    </row>
    <row r="31228" spans="20:20" s="566" customFormat="1">
      <c r="T31228" s="41"/>
    </row>
    <row r="31229" spans="20:20" s="566" customFormat="1">
      <c r="T31229" s="41"/>
    </row>
    <row r="31230" spans="20:20" s="566" customFormat="1">
      <c r="T31230" s="41"/>
    </row>
    <row r="31231" spans="20:20" s="566" customFormat="1">
      <c r="T31231" s="41"/>
    </row>
    <row r="31232" spans="20:20" s="566" customFormat="1">
      <c r="T31232" s="41"/>
    </row>
    <row r="31233" spans="20:20" s="566" customFormat="1">
      <c r="T31233" s="41"/>
    </row>
    <row r="31234" spans="20:20" s="566" customFormat="1">
      <c r="T31234" s="41"/>
    </row>
    <row r="31235" spans="20:20" s="566" customFormat="1">
      <c r="T31235" s="41"/>
    </row>
    <row r="31236" spans="20:20" s="566" customFormat="1">
      <c r="T31236" s="41"/>
    </row>
    <row r="31237" spans="20:20" s="566" customFormat="1">
      <c r="T31237" s="41"/>
    </row>
    <row r="31238" spans="20:20" s="566" customFormat="1">
      <c r="T31238" s="41"/>
    </row>
    <row r="31239" spans="20:20" s="566" customFormat="1">
      <c r="T31239" s="41"/>
    </row>
    <row r="31240" spans="20:20" s="566" customFormat="1">
      <c r="T31240" s="41"/>
    </row>
    <row r="31241" spans="20:20" s="566" customFormat="1">
      <c r="T31241" s="41"/>
    </row>
    <row r="31242" spans="20:20" s="566" customFormat="1">
      <c r="T31242" s="41"/>
    </row>
    <row r="31243" spans="20:20" s="566" customFormat="1">
      <c r="T31243" s="41"/>
    </row>
    <row r="31244" spans="20:20" s="566" customFormat="1">
      <c r="T31244" s="41"/>
    </row>
    <row r="31245" spans="20:20" s="566" customFormat="1">
      <c r="T31245" s="41"/>
    </row>
    <row r="31246" spans="20:20" s="566" customFormat="1">
      <c r="T31246" s="41"/>
    </row>
    <row r="31247" spans="20:20" s="566" customFormat="1">
      <c r="T31247" s="41"/>
    </row>
    <row r="31248" spans="20:20" s="566" customFormat="1">
      <c r="T31248" s="41"/>
    </row>
    <row r="31249" spans="20:20" s="566" customFormat="1">
      <c r="T31249" s="41"/>
    </row>
    <row r="31250" spans="20:20" s="566" customFormat="1">
      <c r="T31250" s="41"/>
    </row>
    <row r="31251" spans="20:20" s="566" customFormat="1">
      <c r="T31251" s="41"/>
    </row>
    <row r="31252" spans="20:20" s="566" customFormat="1">
      <c r="T31252" s="41"/>
    </row>
    <row r="31253" spans="20:20" s="566" customFormat="1">
      <c r="T31253" s="41"/>
    </row>
    <row r="31254" spans="20:20" s="566" customFormat="1">
      <c r="T31254" s="41"/>
    </row>
    <row r="31255" spans="20:20" s="566" customFormat="1">
      <c r="T31255" s="41"/>
    </row>
    <row r="31256" spans="20:20" s="566" customFormat="1">
      <c r="T31256" s="41"/>
    </row>
    <row r="31257" spans="20:20" s="566" customFormat="1">
      <c r="T31257" s="41"/>
    </row>
    <row r="31258" spans="20:20" s="566" customFormat="1">
      <c r="T31258" s="41"/>
    </row>
    <row r="31259" spans="20:20" s="566" customFormat="1">
      <c r="T31259" s="41"/>
    </row>
    <row r="31260" spans="20:20" s="566" customFormat="1">
      <c r="T31260" s="41"/>
    </row>
    <row r="31261" spans="20:20" s="566" customFormat="1">
      <c r="T31261" s="41"/>
    </row>
    <row r="31262" spans="20:20" s="566" customFormat="1">
      <c r="T31262" s="41"/>
    </row>
    <row r="31263" spans="20:20" s="566" customFormat="1">
      <c r="T31263" s="41"/>
    </row>
    <row r="31264" spans="20:20" s="566" customFormat="1">
      <c r="T31264" s="41"/>
    </row>
    <row r="31265" spans="20:20" s="566" customFormat="1">
      <c r="T31265" s="41"/>
    </row>
    <row r="31266" spans="20:20" s="566" customFormat="1">
      <c r="T31266" s="41"/>
    </row>
    <row r="31267" spans="20:20" s="566" customFormat="1">
      <c r="T31267" s="41"/>
    </row>
    <row r="31268" spans="20:20" s="566" customFormat="1">
      <c r="T31268" s="41"/>
    </row>
    <row r="31269" spans="20:20" s="566" customFormat="1">
      <c r="T31269" s="41"/>
    </row>
    <row r="31270" spans="20:20" s="566" customFormat="1">
      <c r="T31270" s="41"/>
    </row>
    <row r="31271" spans="20:20" s="566" customFormat="1">
      <c r="T31271" s="41"/>
    </row>
    <row r="31272" spans="20:20" s="566" customFormat="1">
      <c r="T31272" s="41"/>
    </row>
    <row r="31273" spans="20:20" s="566" customFormat="1">
      <c r="T31273" s="41"/>
    </row>
    <row r="31274" spans="20:20" s="566" customFormat="1">
      <c r="T31274" s="41"/>
    </row>
    <row r="31275" spans="20:20" s="566" customFormat="1">
      <c r="T31275" s="41"/>
    </row>
    <row r="31276" spans="20:20" s="566" customFormat="1">
      <c r="T31276" s="41"/>
    </row>
    <row r="31277" spans="20:20" s="566" customFormat="1">
      <c r="T31277" s="41"/>
    </row>
    <row r="31278" spans="20:20" s="566" customFormat="1">
      <c r="T31278" s="41"/>
    </row>
    <row r="31279" spans="20:20" s="566" customFormat="1">
      <c r="T31279" s="41"/>
    </row>
    <row r="31280" spans="20:20" s="566" customFormat="1">
      <c r="T31280" s="41"/>
    </row>
    <row r="31281" spans="20:20" s="566" customFormat="1">
      <c r="T31281" s="41"/>
    </row>
    <row r="31282" spans="20:20" s="566" customFormat="1">
      <c r="T31282" s="41"/>
    </row>
    <row r="31283" spans="20:20" s="566" customFormat="1">
      <c r="T31283" s="41"/>
    </row>
    <row r="31284" spans="20:20" s="566" customFormat="1">
      <c r="T31284" s="41"/>
    </row>
    <row r="31285" spans="20:20" s="566" customFormat="1">
      <c r="T31285" s="41"/>
    </row>
    <row r="31286" spans="20:20" s="566" customFormat="1">
      <c r="T31286" s="41"/>
    </row>
    <row r="31287" spans="20:20" s="566" customFormat="1">
      <c r="T31287" s="41"/>
    </row>
    <row r="31288" spans="20:20" s="566" customFormat="1">
      <c r="T31288" s="41"/>
    </row>
    <row r="31289" spans="20:20" s="566" customFormat="1">
      <c r="T31289" s="41"/>
    </row>
    <row r="31290" spans="20:20" s="566" customFormat="1">
      <c r="T31290" s="41"/>
    </row>
    <row r="31291" spans="20:20" s="566" customFormat="1">
      <c r="T31291" s="41"/>
    </row>
    <row r="31292" spans="20:20" s="566" customFormat="1">
      <c r="T31292" s="41"/>
    </row>
    <row r="31293" spans="20:20" s="566" customFormat="1">
      <c r="T31293" s="41"/>
    </row>
    <row r="31294" spans="20:20" s="566" customFormat="1">
      <c r="T31294" s="41"/>
    </row>
    <row r="31295" spans="20:20" s="566" customFormat="1">
      <c r="T31295" s="41"/>
    </row>
    <row r="31296" spans="20:20" s="566" customFormat="1">
      <c r="T31296" s="41"/>
    </row>
    <row r="31297" spans="20:20" s="566" customFormat="1">
      <c r="T31297" s="41"/>
    </row>
    <row r="31298" spans="20:20" s="566" customFormat="1">
      <c r="T31298" s="41"/>
    </row>
    <row r="31299" spans="20:20" s="566" customFormat="1">
      <c r="T31299" s="41"/>
    </row>
    <row r="31300" spans="20:20" s="566" customFormat="1">
      <c r="T31300" s="41"/>
    </row>
    <row r="31301" spans="20:20" s="566" customFormat="1">
      <c r="T31301" s="41"/>
    </row>
    <row r="31302" spans="20:20" s="566" customFormat="1">
      <c r="T31302" s="41"/>
    </row>
    <row r="31303" spans="20:20" s="566" customFormat="1">
      <c r="T31303" s="41"/>
    </row>
    <row r="31304" spans="20:20" s="566" customFormat="1">
      <c r="T31304" s="41"/>
    </row>
    <row r="31305" spans="20:20" s="566" customFormat="1">
      <c r="T31305" s="41"/>
    </row>
    <row r="31306" spans="20:20" s="566" customFormat="1">
      <c r="T31306" s="41"/>
    </row>
    <row r="31307" spans="20:20" s="566" customFormat="1">
      <c r="T31307" s="41"/>
    </row>
    <row r="31308" spans="20:20" s="566" customFormat="1">
      <c r="T31308" s="41"/>
    </row>
    <row r="31309" spans="20:20" s="566" customFormat="1">
      <c r="T31309" s="41"/>
    </row>
    <row r="31310" spans="20:20" s="566" customFormat="1">
      <c r="T31310" s="41"/>
    </row>
    <row r="31311" spans="20:20" s="566" customFormat="1">
      <c r="T31311" s="41"/>
    </row>
    <row r="31312" spans="20:20" s="566" customFormat="1">
      <c r="T31312" s="41"/>
    </row>
    <row r="31313" spans="20:20" s="566" customFormat="1">
      <c r="T31313" s="41"/>
    </row>
    <row r="31314" spans="20:20" s="566" customFormat="1">
      <c r="T31314" s="41"/>
    </row>
    <row r="31315" spans="20:20" s="566" customFormat="1">
      <c r="T31315" s="41"/>
    </row>
    <row r="31316" spans="20:20" s="566" customFormat="1">
      <c r="T31316" s="41"/>
    </row>
    <row r="31317" spans="20:20" s="566" customFormat="1">
      <c r="T31317" s="41"/>
    </row>
    <row r="31318" spans="20:20" s="566" customFormat="1">
      <c r="T31318" s="41"/>
    </row>
    <row r="31319" spans="20:20" s="566" customFormat="1">
      <c r="T31319" s="41"/>
    </row>
    <row r="31320" spans="20:20" s="566" customFormat="1">
      <c r="T31320" s="41"/>
    </row>
    <row r="31321" spans="20:20" s="566" customFormat="1">
      <c r="T31321" s="41"/>
    </row>
    <row r="31322" spans="20:20" s="566" customFormat="1">
      <c r="T31322" s="41"/>
    </row>
    <row r="31323" spans="20:20" s="566" customFormat="1">
      <c r="T31323" s="41"/>
    </row>
    <row r="31324" spans="20:20" s="566" customFormat="1">
      <c r="T31324" s="41"/>
    </row>
    <row r="31325" spans="20:20" s="566" customFormat="1">
      <c r="T31325" s="41"/>
    </row>
    <row r="31326" spans="20:20" s="566" customFormat="1">
      <c r="T31326" s="41"/>
    </row>
    <row r="31327" spans="20:20" s="566" customFormat="1">
      <c r="T31327" s="41"/>
    </row>
    <row r="31328" spans="20:20" s="566" customFormat="1">
      <c r="T31328" s="41"/>
    </row>
    <row r="31329" spans="20:20" s="566" customFormat="1">
      <c r="T31329" s="41"/>
    </row>
    <row r="31330" spans="20:20" s="566" customFormat="1">
      <c r="T31330" s="41"/>
    </row>
    <row r="31331" spans="20:20" s="566" customFormat="1">
      <c r="T31331" s="41"/>
    </row>
    <row r="31332" spans="20:20" s="566" customFormat="1">
      <c r="T31332" s="41"/>
    </row>
    <row r="31333" spans="20:20" s="566" customFormat="1">
      <c r="T31333" s="41"/>
    </row>
    <row r="31334" spans="20:20" s="566" customFormat="1">
      <c r="T31334" s="41"/>
    </row>
    <row r="31335" spans="20:20" s="566" customFormat="1">
      <c r="T31335" s="41"/>
    </row>
    <row r="31336" spans="20:20" s="566" customFormat="1">
      <c r="T31336" s="41"/>
    </row>
    <row r="31337" spans="20:20" s="566" customFormat="1">
      <c r="T31337" s="41"/>
    </row>
    <row r="31338" spans="20:20" s="566" customFormat="1">
      <c r="T31338" s="41"/>
    </row>
    <row r="31339" spans="20:20" s="566" customFormat="1">
      <c r="T31339" s="41"/>
    </row>
    <row r="31340" spans="20:20" s="566" customFormat="1">
      <c r="T31340" s="41"/>
    </row>
    <row r="31341" spans="20:20" s="566" customFormat="1">
      <c r="T31341" s="41"/>
    </row>
    <row r="31342" spans="20:20" s="566" customFormat="1">
      <c r="T31342" s="41"/>
    </row>
    <row r="31343" spans="20:20" s="566" customFormat="1">
      <c r="T31343" s="41"/>
    </row>
    <row r="31344" spans="20:20" s="566" customFormat="1">
      <c r="T31344" s="41"/>
    </row>
    <row r="31345" spans="20:20" s="566" customFormat="1">
      <c r="T31345" s="41"/>
    </row>
    <row r="31346" spans="20:20" s="566" customFormat="1">
      <c r="T31346" s="41"/>
    </row>
    <row r="31347" spans="20:20" s="566" customFormat="1">
      <c r="T31347" s="41"/>
    </row>
    <row r="31348" spans="20:20" s="566" customFormat="1">
      <c r="T31348" s="41"/>
    </row>
    <row r="31349" spans="20:20" s="566" customFormat="1">
      <c r="T31349" s="41"/>
    </row>
    <row r="31350" spans="20:20" s="566" customFormat="1">
      <c r="T31350" s="41"/>
    </row>
    <row r="31351" spans="20:20" s="566" customFormat="1">
      <c r="T31351" s="41"/>
    </row>
    <row r="31352" spans="20:20" s="566" customFormat="1">
      <c r="T31352" s="41"/>
    </row>
    <row r="31353" spans="20:20" s="566" customFormat="1">
      <c r="T31353" s="41"/>
    </row>
    <row r="31354" spans="20:20" s="566" customFormat="1">
      <c r="T31354" s="41"/>
    </row>
    <row r="31355" spans="20:20" s="566" customFormat="1">
      <c r="T31355" s="41"/>
    </row>
    <row r="31356" spans="20:20" s="566" customFormat="1">
      <c r="T31356" s="41"/>
    </row>
    <row r="31357" spans="20:20" s="566" customFormat="1">
      <c r="T31357" s="41"/>
    </row>
    <row r="31358" spans="20:20" s="566" customFormat="1">
      <c r="T31358" s="41"/>
    </row>
    <row r="31359" spans="20:20" s="566" customFormat="1">
      <c r="T31359" s="41"/>
    </row>
    <row r="31360" spans="20:20" s="566" customFormat="1">
      <c r="T31360" s="41"/>
    </row>
    <row r="31361" spans="20:20" s="566" customFormat="1">
      <c r="T31361" s="41"/>
    </row>
    <row r="31362" spans="20:20" s="566" customFormat="1">
      <c r="T31362" s="41"/>
    </row>
    <row r="31363" spans="20:20" s="566" customFormat="1">
      <c r="T31363" s="41"/>
    </row>
    <row r="31364" spans="20:20" s="566" customFormat="1">
      <c r="T31364" s="41"/>
    </row>
    <row r="31365" spans="20:20" s="566" customFormat="1">
      <c r="T31365" s="41"/>
    </row>
    <row r="31366" spans="20:20" s="566" customFormat="1">
      <c r="T31366" s="41"/>
    </row>
    <row r="31367" spans="20:20" s="566" customFormat="1">
      <c r="T31367" s="41"/>
    </row>
    <row r="31368" spans="20:20" s="566" customFormat="1">
      <c r="T31368" s="41"/>
    </row>
    <row r="31369" spans="20:20" s="566" customFormat="1">
      <c r="T31369" s="41"/>
    </row>
    <row r="31370" spans="20:20" s="566" customFormat="1">
      <c r="T31370" s="41"/>
    </row>
    <row r="31371" spans="20:20" s="566" customFormat="1">
      <c r="T31371" s="41"/>
    </row>
    <row r="31372" spans="20:20" s="566" customFormat="1">
      <c r="T31372" s="41"/>
    </row>
    <row r="31373" spans="20:20" s="566" customFormat="1">
      <c r="T31373" s="41"/>
    </row>
    <row r="31374" spans="20:20" s="566" customFormat="1">
      <c r="T31374" s="41"/>
    </row>
    <row r="31375" spans="20:20" s="566" customFormat="1">
      <c r="T31375" s="41"/>
    </row>
    <row r="31376" spans="20:20" s="566" customFormat="1">
      <c r="T31376" s="41"/>
    </row>
    <row r="31377" spans="20:20" s="566" customFormat="1">
      <c r="T31377" s="41"/>
    </row>
    <row r="31378" spans="20:20" s="566" customFormat="1">
      <c r="T31378" s="41"/>
    </row>
    <row r="31379" spans="20:20" s="566" customFormat="1">
      <c r="T31379" s="41"/>
    </row>
    <row r="31380" spans="20:20" s="566" customFormat="1">
      <c r="T31380" s="41"/>
    </row>
    <row r="31381" spans="20:20" s="566" customFormat="1">
      <c r="T31381" s="41"/>
    </row>
    <row r="31382" spans="20:20" s="566" customFormat="1">
      <c r="T31382" s="41"/>
    </row>
    <row r="31383" spans="20:20" s="566" customFormat="1">
      <c r="T31383" s="41"/>
    </row>
    <row r="31384" spans="20:20" s="566" customFormat="1">
      <c r="T31384" s="41"/>
    </row>
    <row r="31385" spans="20:20" s="566" customFormat="1">
      <c r="T31385" s="41"/>
    </row>
    <row r="31386" spans="20:20" s="566" customFormat="1">
      <c r="T31386" s="41"/>
    </row>
    <row r="31387" spans="20:20" s="566" customFormat="1">
      <c r="T31387" s="41"/>
    </row>
    <row r="31388" spans="20:20" s="566" customFormat="1">
      <c r="T31388" s="41"/>
    </row>
    <row r="31389" spans="20:20" s="566" customFormat="1">
      <c r="T31389" s="41"/>
    </row>
    <row r="31390" spans="20:20" s="566" customFormat="1">
      <c r="T31390" s="41"/>
    </row>
    <row r="31391" spans="20:20" s="566" customFormat="1">
      <c r="T31391" s="41"/>
    </row>
    <row r="31392" spans="20:20" s="566" customFormat="1">
      <c r="T31392" s="41"/>
    </row>
    <row r="31393" spans="20:20" s="566" customFormat="1">
      <c r="T31393" s="41"/>
    </row>
    <row r="31394" spans="20:20" s="566" customFormat="1">
      <c r="T31394" s="41"/>
    </row>
    <row r="31395" spans="20:20" s="566" customFormat="1">
      <c r="T31395" s="41"/>
    </row>
    <row r="31396" spans="20:20" s="566" customFormat="1">
      <c r="T31396" s="41"/>
    </row>
    <row r="31397" spans="20:20" s="566" customFormat="1">
      <c r="T31397" s="41"/>
    </row>
    <row r="31398" spans="20:20" s="566" customFormat="1">
      <c r="T31398" s="41"/>
    </row>
    <row r="31399" spans="20:20" s="566" customFormat="1">
      <c r="T31399" s="41"/>
    </row>
    <row r="31400" spans="20:20" s="566" customFormat="1">
      <c r="T31400" s="41"/>
    </row>
    <row r="31401" spans="20:20" s="566" customFormat="1">
      <c r="T31401" s="41"/>
    </row>
    <row r="31402" spans="20:20" s="566" customFormat="1">
      <c r="T31402" s="41"/>
    </row>
    <row r="31403" spans="20:20" s="566" customFormat="1">
      <c r="T31403" s="41"/>
    </row>
    <row r="31404" spans="20:20" s="566" customFormat="1">
      <c r="T31404" s="41"/>
    </row>
    <row r="31405" spans="20:20" s="566" customFormat="1">
      <c r="T31405" s="41"/>
    </row>
    <row r="31406" spans="20:20" s="566" customFormat="1">
      <c r="T31406" s="41"/>
    </row>
    <row r="31407" spans="20:20" s="566" customFormat="1">
      <c r="T31407" s="41"/>
    </row>
    <row r="31408" spans="20:20" s="566" customFormat="1">
      <c r="T31408" s="41"/>
    </row>
    <row r="31409" spans="20:20" s="566" customFormat="1">
      <c r="T31409" s="41"/>
    </row>
    <row r="31410" spans="20:20" s="566" customFormat="1">
      <c r="T31410" s="41"/>
    </row>
    <row r="31411" spans="20:20" s="566" customFormat="1">
      <c r="T31411" s="41"/>
    </row>
    <row r="31412" spans="20:20" s="566" customFormat="1">
      <c r="T31412" s="41"/>
    </row>
    <row r="31413" spans="20:20" s="566" customFormat="1">
      <c r="T31413" s="41"/>
    </row>
    <row r="31414" spans="20:20" s="566" customFormat="1">
      <c r="T31414" s="41"/>
    </row>
    <row r="31415" spans="20:20" s="566" customFormat="1">
      <c r="T31415" s="41"/>
    </row>
    <row r="31416" spans="20:20" s="566" customFormat="1">
      <c r="T31416" s="41"/>
    </row>
    <row r="31417" spans="20:20" s="566" customFormat="1">
      <c r="T31417" s="41"/>
    </row>
    <row r="31418" spans="20:20" s="566" customFormat="1">
      <c r="T31418" s="41"/>
    </row>
    <row r="31419" spans="20:20" s="566" customFormat="1">
      <c r="T31419" s="41"/>
    </row>
    <row r="31420" spans="20:20" s="566" customFormat="1">
      <c r="T31420" s="41"/>
    </row>
    <row r="31421" spans="20:20" s="566" customFormat="1">
      <c r="T31421" s="41"/>
    </row>
    <row r="31422" spans="20:20" s="566" customFormat="1">
      <c r="T31422" s="41"/>
    </row>
    <row r="31423" spans="20:20" s="566" customFormat="1">
      <c r="T31423" s="41"/>
    </row>
    <row r="31424" spans="20:20" s="566" customFormat="1">
      <c r="T31424" s="41"/>
    </row>
    <row r="31425" spans="20:20" s="566" customFormat="1">
      <c r="T31425" s="41"/>
    </row>
    <row r="31426" spans="20:20" s="566" customFormat="1">
      <c r="T31426" s="41"/>
    </row>
    <row r="31427" spans="20:20" s="566" customFormat="1">
      <c r="T31427" s="41"/>
    </row>
    <row r="31428" spans="20:20" s="566" customFormat="1">
      <c r="T31428" s="41"/>
    </row>
    <row r="31429" spans="20:20" s="566" customFormat="1">
      <c r="T31429" s="41"/>
    </row>
    <row r="31430" spans="20:20" s="566" customFormat="1">
      <c r="T31430" s="41"/>
    </row>
    <row r="31431" spans="20:20" s="566" customFormat="1">
      <c r="T31431" s="41"/>
    </row>
    <row r="31432" spans="20:20" s="566" customFormat="1">
      <c r="T31432" s="41"/>
    </row>
    <row r="31433" spans="20:20" s="566" customFormat="1">
      <c r="T31433" s="41"/>
    </row>
    <row r="31434" spans="20:20" s="566" customFormat="1">
      <c r="T31434" s="41"/>
    </row>
    <row r="31435" spans="20:20" s="566" customFormat="1">
      <c r="T31435" s="41"/>
    </row>
    <row r="31436" spans="20:20" s="566" customFormat="1">
      <c r="T31436" s="41"/>
    </row>
    <row r="31437" spans="20:20" s="566" customFormat="1">
      <c r="T31437" s="41"/>
    </row>
    <row r="31438" spans="20:20" s="566" customFormat="1">
      <c r="T31438" s="41"/>
    </row>
    <row r="31439" spans="20:20" s="566" customFormat="1">
      <c r="T31439" s="41"/>
    </row>
    <row r="31440" spans="20:20" s="566" customFormat="1">
      <c r="T31440" s="41"/>
    </row>
    <row r="31441" spans="20:20" s="566" customFormat="1">
      <c r="T31441" s="41"/>
    </row>
    <row r="31442" spans="20:20" s="566" customFormat="1">
      <c r="T31442" s="41"/>
    </row>
    <row r="31443" spans="20:20" s="566" customFormat="1">
      <c r="T31443" s="41"/>
    </row>
    <row r="31444" spans="20:20" s="566" customFormat="1">
      <c r="T31444" s="41"/>
    </row>
    <row r="31445" spans="20:20" s="566" customFormat="1">
      <c r="T31445" s="41"/>
    </row>
    <row r="31446" spans="20:20" s="566" customFormat="1">
      <c r="T31446" s="41"/>
    </row>
    <row r="31447" spans="20:20" s="566" customFormat="1">
      <c r="T31447" s="41"/>
    </row>
    <row r="31448" spans="20:20" s="566" customFormat="1">
      <c r="T31448" s="41"/>
    </row>
    <row r="31449" spans="20:20" s="566" customFormat="1">
      <c r="T31449" s="41"/>
    </row>
    <row r="31450" spans="20:20" s="566" customFormat="1">
      <c r="T31450" s="41"/>
    </row>
    <row r="31451" spans="20:20" s="566" customFormat="1">
      <c r="T31451" s="41"/>
    </row>
    <row r="31452" spans="20:20" s="566" customFormat="1">
      <c r="T31452" s="41"/>
    </row>
    <row r="31453" spans="20:20" s="566" customFormat="1">
      <c r="T31453" s="41"/>
    </row>
    <row r="31454" spans="20:20" s="566" customFormat="1">
      <c r="T31454" s="41"/>
    </row>
    <row r="31455" spans="20:20" s="566" customFormat="1">
      <c r="T31455" s="41"/>
    </row>
    <row r="31456" spans="20:20" s="566" customFormat="1">
      <c r="T31456" s="41"/>
    </row>
    <row r="31457" spans="20:20" s="566" customFormat="1">
      <c r="T31457" s="41"/>
    </row>
    <row r="31458" spans="20:20" s="566" customFormat="1">
      <c r="T31458" s="41"/>
    </row>
    <row r="31459" spans="20:20" s="566" customFormat="1">
      <c r="T31459" s="41"/>
    </row>
    <row r="31460" spans="20:20" s="566" customFormat="1">
      <c r="T31460" s="41"/>
    </row>
    <row r="31461" spans="20:20" s="566" customFormat="1">
      <c r="T31461" s="41"/>
    </row>
    <row r="31462" spans="20:20" s="566" customFormat="1">
      <c r="T31462" s="41"/>
    </row>
    <row r="31463" spans="20:20" s="566" customFormat="1">
      <c r="T31463" s="41"/>
    </row>
    <row r="31464" spans="20:20" s="566" customFormat="1">
      <c r="T31464" s="41"/>
    </row>
    <row r="31465" spans="20:20" s="566" customFormat="1">
      <c r="T31465" s="41"/>
    </row>
    <row r="31466" spans="20:20" s="566" customFormat="1">
      <c r="T31466" s="41"/>
    </row>
    <row r="31467" spans="20:20" s="566" customFormat="1">
      <c r="T31467" s="41"/>
    </row>
    <row r="31468" spans="20:20" s="566" customFormat="1">
      <c r="T31468" s="41"/>
    </row>
    <row r="31469" spans="20:20" s="566" customFormat="1">
      <c r="T31469" s="41"/>
    </row>
    <row r="31470" spans="20:20" s="566" customFormat="1">
      <c r="T31470" s="41"/>
    </row>
    <row r="31471" spans="20:20" s="566" customFormat="1">
      <c r="T31471" s="41"/>
    </row>
    <row r="31472" spans="20:20" s="566" customFormat="1">
      <c r="T31472" s="41"/>
    </row>
    <row r="31473" spans="20:20" s="566" customFormat="1">
      <c r="T31473" s="41"/>
    </row>
    <row r="31474" spans="20:20" s="566" customFormat="1">
      <c r="T31474" s="41"/>
    </row>
    <row r="31475" spans="20:20" s="566" customFormat="1">
      <c r="T31475" s="41"/>
    </row>
    <row r="31476" spans="20:20" s="566" customFormat="1">
      <c r="T31476" s="41"/>
    </row>
    <row r="31477" spans="20:20" s="566" customFormat="1">
      <c r="T31477" s="41"/>
    </row>
    <row r="31478" spans="20:20" s="566" customFormat="1">
      <c r="T31478" s="41"/>
    </row>
    <row r="31479" spans="20:20" s="566" customFormat="1">
      <c r="T31479" s="41"/>
    </row>
    <row r="31480" spans="20:20" s="566" customFormat="1">
      <c r="T31480" s="41"/>
    </row>
    <row r="31481" spans="20:20" s="566" customFormat="1">
      <c r="T31481" s="41"/>
    </row>
    <row r="31482" spans="20:20" s="566" customFormat="1">
      <c r="T31482" s="41"/>
    </row>
    <row r="31483" spans="20:20" s="566" customFormat="1">
      <c r="T31483" s="41"/>
    </row>
    <row r="31484" spans="20:20" s="566" customFormat="1">
      <c r="T31484" s="41"/>
    </row>
    <row r="31485" spans="20:20" s="566" customFormat="1">
      <c r="T31485" s="41"/>
    </row>
    <row r="31486" spans="20:20" s="566" customFormat="1">
      <c r="T31486" s="41"/>
    </row>
    <row r="31487" spans="20:20" s="566" customFormat="1">
      <c r="T31487" s="41"/>
    </row>
    <row r="31488" spans="20:20" s="566" customFormat="1">
      <c r="T31488" s="41"/>
    </row>
    <row r="31489" spans="20:20" s="566" customFormat="1">
      <c r="T31489" s="41"/>
    </row>
    <row r="31490" spans="20:20" s="566" customFormat="1">
      <c r="T31490" s="41"/>
    </row>
    <row r="31491" spans="20:20" s="566" customFormat="1">
      <c r="T31491" s="41"/>
    </row>
    <row r="31492" spans="20:20" s="566" customFormat="1">
      <c r="T31492" s="41"/>
    </row>
    <row r="31493" spans="20:20" s="566" customFormat="1">
      <c r="T31493" s="41"/>
    </row>
    <row r="31494" spans="20:20" s="566" customFormat="1">
      <c r="T31494" s="41"/>
    </row>
    <row r="31495" spans="20:20" s="566" customFormat="1">
      <c r="T31495" s="41"/>
    </row>
    <row r="31496" spans="20:20" s="566" customFormat="1">
      <c r="T31496" s="41"/>
    </row>
    <row r="31497" spans="20:20" s="566" customFormat="1">
      <c r="T31497" s="41"/>
    </row>
    <row r="31498" spans="20:20" s="566" customFormat="1">
      <c r="T31498" s="41"/>
    </row>
    <row r="31499" spans="20:20" s="566" customFormat="1">
      <c r="T31499" s="41"/>
    </row>
    <row r="31500" spans="20:20" s="566" customFormat="1">
      <c r="T31500" s="41"/>
    </row>
    <row r="31501" spans="20:20" s="566" customFormat="1">
      <c r="T31501" s="41"/>
    </row>
    <row r="31502" spans="20:20" s="566" customFormat="1">
      <c r="T31502" s="41"/>
    </row>
    <row r="31503" spans="20:20" s="566" customFormat="1">
      <c r="T31503" s="41"/>
    </row>
    <row r="31504" spans="20:20" s="566" customFormat="1">
      <c r="T31504" s="41"/>
    </row>
    <row r="31505" spans="20:20" s="566" customFormat="1">
      <c r="T31505" s="41"/>
    </row>
    <row r="31506" spans="20:20" s="566" customFormat="1">
      <c r="T31506" s="41"/>
    </row>
    <row r="31507" spans="20:20" s="566" customFormat="1">
      <c r="T31507" s="41"/>
    </row>
    <row r="31508" spans="20:20" s="566" customFormat="1">
      <c r="T31508" s="41"/>
    </row>
    <row r="31509" spans="20:20" s="566" customFormat="1">
      <c r="T31509" s="41"/>
    </row>
    <row r="31510" spans="20:20" s="566" customFormat="1">
      <c r="T31510" s="41"/>
    </row>
    <row r="31511" spans="20:20" s="566" customFormat="1">
      <c r="T31511" s="41"/>
    </row>
    <row r="31512" spans="20:20" s="566" customFormat="1">
      <c r="T31512" s="41"/>
    </row>
    <row r="31513" spans="20:20" s="566" customFormat="1">
      <c r="T31513" s="41"/>
    </row>
    <row r="31514" spans="20:20" s="566" customFormat="1">
      <c r="T31514" s="41"/>
    </row>
    <row r="31515" spans="20:20" s="566" customFormat="1">
      <c r="T31515" s="41"/>
    </row>
    <row r="31516" spans="20:20" s="566" customFormat="1">
      <c r="T31516" s="41"/>
    </row>
    <row r="31517" spans="20:20" s="566" customFormat="1">
      <c r="T31517" s="41"/>
    </row>
    <row r="31518" spans="20:20" s="566" customFormat="1">
      <c r="T31518" s="41"/>
    </row>
    <row r="31519" spans="20:20" s="566" customFormat="1">
      <c r="T31519" s="41"/>
    </row>
    <row r="31520" spans="20:20" s="566" customFormat="1">
      <c r="T31520" s="41"/>
    </row>
    <row r="31521" spans="20:20" s="566" customFormat="1">
      <c r="T31521" s="41"/>
    </row>
    <row r="31522" spans="20:20" s="566" customFormat="1">
      <c r="T31522" s="41"/>
    </row>
    <row r="31523" spans="20:20" s="566" customFormat="1">
      <c r="T31523" s="41"/>
    </row>
    <row r="31524" spans="20:20" s="566" customFormat="1">
      <c r="T31524" s="41"/>
    </row>
    <row r="31525" spans="20:20" s="566" customFormat="1">
      <c r="T31525" s="41"/>
    </row>
    <row r="31526" spans="20:20" s="566" customFormat="1">
      <c r="T31526" s="41"/>
    </row>
    <row r="31527" spans="20:20" s="566" customFormat="1">
      <c r="T31527" s="41"/>
    </row>
    <row r="31528" spans="20:20" s="566" customFormat="1">
      <c r="T31528" s="41"/>
    </row>
    <row r="31529" spans="20:20" s="566" customFormat="1">
      <c r="T31529" s="41"/>
    </row>
    <row r="31530" spans="20:20" s="566" customFormat="1">
      <c r="T31530" s="41"/>
    </row>
    <row r="31531" spans="20:20" s="566" customFormat="1">
      <c r="T31531" s="41"/>
    </row>
    <row r="31532" spans="20:20" s="566" customFormat="1">
      <c r="T31532" s="41"/>
    </row>
    <row r="31533" spans="20:20" s="566" customFormat="1">
      <c r="T31533" s="41"/>
    </row>
    <row r="31534" spans="20:20" s="566" customFormat="1">
      <c r="T31534" s="41"/>
    </row>
    <row r="31535" spans="20:20" s="566" customFormat="1">
      <c r="T31535" s="41"/>
    </row>
    <row r="31536" spans="20:20" s="566" customFormat="1">
      <c r="T31536" s="41"/>
    </row>
    <row r="31537" spans="20:20" s="566" customFormat="1">
      <c r="T31537" s="41"/>
    </row>
    <row r="31538" spans="20:20" s="566" customFormat="1">
      <c r="T31538" s="41"/>
    </row>
    <row r="31539" spans="20:20" s="566" customFormat="1">
      <c r="T31539" s="41"/>
    </row>
    <row r="31540" spans="20:20" s="566" customFormat="1">
      <c r="T31540" s="41"/>
    </row>
    <row r="31541" spans="20:20" s="566" customFormat="1">
      <c r="T31541" s="41"/>
    </row>
    <row r="31542" spans="20:20" s="566" customFormat="1">
      <c r="T31542" s="41"/>
    </row>
    <row r="31543" spans="20:20" s="566" customFormat="1">
      <c r="T31543" s="41"/>
    </row>
    <row r="31544" spans="20:20" s="566" customFormat="1">
      <c r="T31544" s="41"/>
    </row>
    <row r="31545" spans="20:20" s="566" customFormat="1">
      <c r="T31545" s="41"/>
    </row>
    <row r="31546" spans="20:20" s="566" customFormat="1">
      <c r="T31546" s="41"/>
    </row>
    <row r="31547" spans="20:20" s="566" customFormat="1">
      <c r="T31547" s="41"/>
    </row>
    <row r="31548" spans="20:20" s="566" customFormat="1">
      <c r="T31548" s="41"/>
    </row>
    <row r="31549" spans="20:20" s="566" customFormat="1">
      <c r="T31549" s="41"/>
    </row>
    <row r="31550" spans="20:20" s="566" customFormat="1">
      <c r="T31550" s="41"/>
    </row>
    <row r="31551" spans="20:20" s="566" customFormat="1">
      <c r="T31551" s="41"/>
    </row>
    <row r="31552" spans="20:20" s="566" customFormat="1">
      <c r="T31552" s="41"/>
    </row>
    <row r="31553" spans="20:20" s="566" customFormat="1">
      <c r="T31553" s="41"/>
    </row>
    <row r="31554" spans="20:20" s="566" customFormat="1">
      <c r="T31554" s="41"/>
    </row>
    <row r="31555" spans="20:20" s="566" customFormat="1">
      <c r="T31555" s="41"/>
    </row>
    <row r="31556" spans="20:20" s="566" customFormat="1">
      <c r="T31556" s="41"/>
    </row>
    <row r="31557" spans="20:20" s="566" customFormat="1">
      <c r="T31557" s="41"/>
    </row>
    <row r="31558" spans="20:20" s="566" customFormat="1">
      <c r="T31558" s="41"/>
    </row>
    <row r="31559" spans="20:20" s="566" customFormat="1">
      <c r="T31559" s="41"/>
    </row>
    <row r="31560" spans="20:20" s="566" customFormat="1">
      <c r="T31560" s="41"/>
    </row>
    <row r="31561" spans="20:20" s="566" customFormat="1">
      <c r="T31561" s="41"/>
    </row>
    <row r="31562" spans="20:20" s="566" customFormat="1">
      <c r="T31562" s="41"/>
    </row>
    <row r="31563" spans="20:20" s="566" customFormat="1">
      <c r="T31563" s="41"/>
    </row>
    <row r="31564" spans="20:20" s="566" customFormat="1">
      <c r="T31564" s="41"/>
    </row>
    <row r="31565" spans="20:20" s="566" customFormat="1">
      <c r="T31565" s="41"/>
    </row>
    <row r="31566" spans="20:20" s="566" customFormat="1">
      <c r="T31566" s="41"/>
    </row>
    <row r="31567" spans="20:20" s="566" customFormat="1">
      <c r="T31567" s="41"/>
    </row>
    <row r="31568" spans="20:20" s="566" customFormat="1">
      <c r="T31568" s="41"/>
    </row>
    <row r="31569" spans="20:20" s="566" customFormat="1">
      <c r="T31569" s="41"/>
    </row>
    <row r="31570" spans="20:20" s="566" customFormat="1">
      <c r="T31570" s="41"/>
    </row>
    <row r="31571" spans="20:20" s="566" customFormat="1">
      <c r="T31571" s="41"/>
    </row>
    <row r="31572" spans="20:20" s="566" customFormat="1">
      <c r="T31572" s="41"/>
    </row>
    <row r="31573" spans="20:20" s="566" customFormat="1">
      <c r="T31573" s="41"/>
    </row>
    <row r="31574" spans="20:20" s="566" customFormat="1">
      <c r="T31574" s="41"/>
    </row>
    <row r="31575" spans="20:20" s="566" customFormat="1">
      <c r="T31575" s="41"/>
    </row>
    <row r="31576" spans="20:20" s="566" customFormat="1">
      <c r="T31576" s="41"/>
    </row>
    <row r="31577" spans="20:20" s="566" customFormat="1">
      <c r="T31577" s="41"/>
    </row>
    <row r="31578" spans="20:20" s="566" customFormat="1">
      <c r="T31578" s="41"/>
    </row>
    <row r="31579" spans="20:20" s="566" customFormat="1">
      <c r="T31579" s="41"/>
    </row>
    <row r="31580" spans="20:20" s="566" customFormat="1">
      <c r="T31580" s="41"/>
    </row>
    <row r="31581" spans="20:20" s="566" customFormat="1">
      <c r="T31581" s="41"/>
    </row>
    <row r="31582" spans="20:20" s="566" customFormat="1">
      <c r="T31582" s="41"/>
    </row>
    <row r="31583" spans="20:20" s="566" customFormat="1">
      <c r="T31583" s="41"/>
    </row>
    <row r="31584" spans="20:20" s="566" customFormat="1">
      <c r="T31584" s="41"/>
    </row>
    <row r="31585" spans="20:20" s="566" customFormat="1">
      <c r="T31585" s="41"/>
    </row>
    <row r="31586" spans="20:20" s="566" customFormat="1">
      <c r="T31586" s="41"/>
    </row>
    <row r="31587" spans="20:20" s="566" customFormat="1">
      <c r="T31587" s="41"/>
    </row>
    <row r="31588" spans="20:20" s="566" customFormat="1">
      <c r="T31588" s="41"/>
    </row>
    <row r="31589" spans="20:20" s="566" customFormat="1">
      <c r="T31589" s="41"/>
    </row>
    <row r="31590" spans="20:20" s="566" customFormat="1">
      <c r="T31590" s="41"/>
    </row>
    <row r="31591" spans="20:20" s="566" customFormat="1">
      <c r="T31591" s="41"/>
    </row>
    <row r="31592" spans="20:20" s="566" customFormat="1">
      <c r="T31592" s="41"/>
    </row>
    <row r="31593" spans="20:20" s="566" customFormat="1">
      <c r="T31593" s="41"/>
    </row>
    <row r="31594" spans="20:20" s="566" customFormat="1">
      <c r="T31594" s="41"/>
    </row>
    <row r="31595" spans="20:20" s="566" customFormat="1">
      <c r="T31595" s="41"/>
    </row>
    <row r="31596" spans="20:20" s="566" customFormat="1">
      <c r="T31596" s="41"/>
    </row>
    <row r="31597" spans="20:20" s="566" customFormat="1">
      <c r="T31597" s="41"/>
    </row>
    <row r="31598" spans="20:20" s="566" customFormat="1">
      <c r="T31598" s="41"/>
    </row>
    <row r="31599" spans="20:20" s="566" customFormat="1">
      <c r="T31599" s="41"/>
    </row>
    <row r="31600" spans="20:20" s="566" customFormat="1">
      <c r="T31600" s="41"/>
    </row>
    <row r="31601" spans="20:20" s="566" customFormat="1">
      <c r="T31601" s="41"/>
    </row>
    <row r="31602" spans="20:20" s="566" customFormat="1">
      <c r="T31602" s="41"/>
    </row>
    <row r="31603" spans="20:20" s="566" customFormat="1">
      <c r="T31603" s="41"/>
    </row>
    <row r="31604" spans="20:20" s="566" customFormat="1">
      <c r="T31604" s="41"/>
    </row>
    <row r="31605" spans="20:20" s="566" customFormat="1">
      <c r="T31605" s="41"/>
    </row>
    <row r="31606" spans="20:20" s="566" customFormat="1">
      <c r="T31606" s="41"/>
    </row>
    <row r="31607" spans="20:20" s="566" customFormat="1">
      <c r="T31607" s="41"/>
    </row>
    <row r="31608" spans="20:20" s="566" customFormat="1">
      <c r="T31608" s="41"/>
    </row>
    <row r="31609" spans="20:20" s="566" customFormat="1">
      <c r="T31609" s="41"/>
    </row>
    <row r="31610" spans="20:20" s="566" customFormat="1">
      <c r="T31610" s="41"/>
    </row>
    <row r="31611" spans="20:20" s="566" customFormat="1">
      <c r="T31611" s="41"/>
    </row>
    <row r="31612" spans="20:20" s="566" customFormat="1">
      <c r="T31612" s="41"/>
    </row>
    <row r="31613" spans="20:20" s="566" customFormat="1">
      <c r="T31613" s="41"/>
    </row>
    <row r="31614" spans="20:20" s="566" customFormat="1">
      <c r="T31614" s="41"/>
    </row>
    <row r="31615" spans="20:20" s="566" customFormat="1">
      <c r="T31615" s="41"/>
    </row>
    <row r="31616" spans="20:20" s="566" customFormat="1">
      <c r="T31616" s="41"/>
    </row>
    <row r="31617" spans="20:20" s="566" customFormat="1">
      <c r="T31617" s="41"/>
    </row>
    <row r="31618" spans="20:20" s="566" customFormat="1">
      <c r="T31618" s="41"/>
    </row>
    <row r="31619" spans="20:20" s="566" customFormat="1">
      <c r="T31619" s="41"/>
    </row>
    <row r="31620" spans="20:20" s="566" customFormat="1">
      <c r="T31620" s="41"/>
    </row>
    <row r="31621" spans="20:20" s="566" customFormat="1">
      <c r="T31621" s="41"/>
    </row>
    <row r="31622" spans="20:20" s="566" customFormat="1">
      <c r="T31622" s="41"/>
    </row>
    <row r="31623" spans="20:20" s="566" customFormat="1">
      <c r="T31623" s="41"/>
    </row>
    <row r="31624" spans="20:20" s="566" customFormat="1">
      <c r="T31624" s="41"/>
    </row>
    <row r="31625" spans="20:20" s="566" customFormat="1">
      <c r="T31625" s="41"/>
    </row>
    <row r="31626" spans="20:20" s="566" customFormat="1">
      <c r="T31626" s="41"/>
    </row>
    <row r="31627" spans="20:20" s="566" customFormat="1">
      <c r="T31627" s="41"/>
    </row>
    <row r="31628" spans="20:20" s="566" customFormat="1">
      <c r="T31628" s="41"/>
    </row>
    <row r="31629" spans="20:20" s="566" customFormat="1">
      <c r="T31629" s="41"/>
    </row>
    <row r="31630" spans="20:20" s="566" customFormat="1">
      <c r="T31630" s="41"/>
    </row>
    <row r="31631" spans="20:20" s="566" customFormat="1">
      <c r="T31631" s="41"/>
    </row>
    <row r="31632" spans="20:20" s="566" customFormat="1">
      <c r="T31632" s="41"/>
    </row>
    <row r="31633" spans="20:20" s="566" customFormat="1">
      <c r="T31633" s="41"/>
    </row>
    <row r="31634" spans="20:20" s="566" customFormat="1">
      <c r="T31634" s="41"/>
    </row>
    <row r="31635" spans="20:20" s="566" customFormat="1">
      <c r="T31635" s="41"/>
    </row>
    <row r="31636" spans="20:20" s="566" customFormat="1">
      <c r="T31636" s="41"/>
    </row>
    <row r="31637" spans="20:20" s="566" customFormat="1">
      <c r="T31637" s="41"/>
    </row>
    <row r="31638" spans="20:20" s="566" customFormat="1">
      <c r="T31638" s="41"/>
    </row>
    <row r="31639" spans="20:20" s="566" customFormat="1">
      <c r="T31639" s="41"/>
    </row>
    <row r="31640" spans="20:20" s="566" customFormat="1">
      <c r="T31640" s="41"/>
    </row>
    <row r="31641" spans="20:20" s="566" customFormat="1">
      <c r="T31641" s="41"/>
    </row>
    <row r="31642" spans="20:20" s="566" customFormat="1">
      <c r="T31642" s="41"/>
    </row>
    <row r="31643" spans="20:20" s="566" customFormat="1">
      <c r="T31643" s="41"/>
    </row>
    <row r="31644" spans="20:20" s="566" customFormat="1">
      <c r="T31644" s="41"/>
    </row>
    <row r="31645" spans="20:20" s="566" customFormat="1">
      <c r="T31645" s="41"/>
    </row>
    <row r="31646" spans="20:20" s="566" customFormat="1">
      <c r="T31646" s="41"/>
    </row>
    <row r="31647" spans="20:20" s="566" customFormat="1">
      <c r="T31647" s="41"/>
    </row>
    <row r="31648" spans="20:20" s="566" customFormat="1">
      <c r="T31648" s="41"/>
    </row>
    <row r="31649" spans="20:20" s="566" customFormat="1">
      <c r="T31649" s="41"/>
    </row>
    <row r="31650" spans="20:20" s="566" customFormat="1">
      <c r="T31650" s="41"/>
    </row>
    <row r="31651" spans="20:20" s="566" customFormat="1">
      <c r="T31651" s="41"/>
    </row>
    <row r="31652" spans="20:20" s="566" customFormat="1">
      <c r="T31652" s="41"/>
    </row>
    <row r="31653" spans="20:20" s="566" customFormat="1">
      <c r="T31653" s="41"/>
    </row>
    <row r="31654" spans="20:20" s="566" customFormat="1">
      <c r="T31654" s="41"/>
    </row>
    <row r="31655" spans="20:20" s="566" customFormat="1">
      <c r="T31655" s="41"/>
    </row>
    <row r="31656" spans="20:20" s="566" customFormat="1">
      <c r="T31656" s="41"/>
    </row>
    <row r="31657" spans="20:20" s="566" customFormat="1">
      <c r="T31657" s="41"/>
    </row>
    <row r="31658" spans="20:20" s="566" customFormat="1">
      <c r="T31658" s="41"/>
    </row>
    <row r="31659" spans="20:20" s="566" customFormat="1">
      <c r="T31659" s="41"/>
    </row>
    <row r="31660" spans="20:20" s="566" customFormat="1">
      <c r="T31660" s="41"/>
    </row>
    <row r="31661" spans="20:20" s="566" customFormat="1">
      <c r="T31661" s="41"/>
    </row>
    <row r="31662" spans="20:20" s="566" customFormat="1">
      <c r="T31662" s="41"/>
    </row>
    <row r="31663" spans="20:20" s="566" customFormat="1">
      <c r="T31663" s="41"/>
    </row>
    <row r="31664" spans="20:20" s="566" customFormat="1">
      <c r="T31664" s="41"/>
    </row>
    <row r="31665" spans="20:20" s="566" customFormat="1">
      <c r="T31665" s="41"/>
    </row>
    <row r="31666" spans="20:20" s="566" customFormat="1">
      <c r="T31666" s="41"/>
    </row>
    <row r="31667" spans="20:20" s="566" customFormat="1">
      <c r="T31667" s="41"/>
    </row>
    <row r="31668" spans="20:20" s="566" customFormat="1">
      <c r="T31668" s="41"/>
    </row>
    <row r="31669" spans="20:20" s="566" customFormat="1">
      <c r="T31669" s="41"/>
    </row>
    <row r="31670" spans="20:20" s="566" customFormat="1">
      <c r="T31670" s="41"/>
    </row>
    <row r="31671" spans="20:20" s="566" customFormat="1">
      <c r="T31671" s="41"/>
    </row>
    <row r="31672" spans="20:20" s="566" customFormat="1">
      <c r="T31672" s="41"/>
    </row>
    <row r="31673" spans="20:20" s="566" customFormat="1">
      <c r="T31673" s="41"/>
    </row>
    <row r="31674" spans="20:20" s="566" customFormat="1">
      <c r="T31674" s="41"/>
    </row>
    <row r="31675" spans="20:20" s="566" customFormat="1">
      <c r="T31675" s="41"/>
    </row>
    <row r="31676" spans="20:20" s="566" customFormat="1">
      <c r="T31676" s="41"/>
    </row>
    <row r="31677" spans="20:20" s="566" customFormat="1">
      <c r="T31677" s="41"/>
    </row>
    <row r="31678" spans="20:20" s="566" customFormat="1">
      <c r="T31678" s="41"/>
    </row>
    <row r="31679" spans="20:20" s="566" customFormat="1">
      <c r="T31679" s="41"/>
    </row>
    <row r="31680" spans="20:20" s="566" customFormat="1">
      <c r="T31680" s="41"/>
    </row>
    <row r="31681" spans="20:20" s="566" customFormat="1">
      <c r="T31681" s="41"/>
    </row>
    <row r="31682" spans="20:20" s="566" customFormat="1">
      <c r="T31682" s="41"/>
    </row>
    <row r="31683" spans="20:20" s="566" customFormat="1">
      <c r="T31683" s="41"/>
    </row>
    <row r="31684" spans="20:20" s="566" customFormat="1">
      <c r="T31684" s="41"/>
    </row>
    <row r="31685" spans="20:20" s="566" customFormat="1">
      <c r="T31685" s="41"/>
    </row>
    <row r="31686" spans="20:20" s="566" customFormat="1">
      <c r="T31686" s="41"/>
    </row>
    <row r="31687" spans="20:20" s="566" customFormat="1">
      <c r="T31687" s="41"/>
    </row>
    <row r="31688" spans="20:20" s="566" customFormat="1">
      <c r="T31688" s="41"/>
    </row>
    <row r="31689" spans="20:20" s="566" customFormat="1">
      <c r="T31689" s="41"/>
    </row>
    <row r="31690" spans="20:20" s="566" customFormat="1">
      <c r="T31690" s="41"/>
    </row>
    <row r="31691" spans="20:20" s="566" customFormat="1">
      <c r="T31691" s="41"/>
    </row>
    <row r="31692" spans="20:20" s="566" customFormat="1">
      <c r="T31692" s="41"/>
    </row>
    <row r="31693" spans="20:20" s="566" customFormat="1">
      <c r="T31693" s="41"/>
    </row>
    <row r="31694" spans="20:20" s="566" customFormat="1">
      <c r="T31694" s="41"/>
    </row>
    <row r="31695" spans="20:20" s="566" customFormat="1">
      <c r="T31695" s="41"/>
    </row>
    <row r="31696" spans="20:20" s="566" customFormat="1">
      <c r="T31696" s="41"/>
    </row>
    <row r="31697" spans="20:20" s="566" customFormat="1">
      <c r="T31697" s="41"/>
    </row>
    <row r="31698" spans="20:20" s="566" customFormat="1">
      <c r="T31698" s="41"/>
    </row>
    <row r="31699" spans="20:20" s="566" customFormat="1">
      <c r="T31699" s="41"/>
    </row>
    <row r="31700" spans="20:20" s="566" customFormat="1">
      <c r="T31700" s="41"/>
    </row>
    <row r="31701" spans="20:20" s="566" customFormat="1">
      <c r="T31701" s="41"/>
    </row>
    <row r="31702" spans="20:20" s="566" customFormat="1">
      <c r="T31702" s="41"/>
    </row>
    <row r="31703" spans="20:20" s="566" customFormat="1">
      <c r="T31703" s="41"/>
    </row>
    <row r="31704" spans="20:20" s="566" customFormat="1">
      <c r="T31704" s="41"/>
    </row>
    <row r="31705" spans="20:20" s="566" customFormat="1">
      <c r="T31705" s="41"/>
    </row>
    <row r="31706" spans="20:20" s="566" customFormat="1">
      <c r="T31706" s="41"/>
    </row>
    <row r="31707" spans="20:20" s="566" customFormat="1">
      <c r="T31707" s="41"/>
    </row>
    <row r="31708" spans="20:20" s="566" customFormat="1">
      <c r="T31708" s="41"/>
    </row>
    <row r="31709" spans="20:20" s="566" customFormat="1">
      <c r="T31709" s="41"/>
    </row>
    <row r="31710" spans="20:20" s="566" customFormat="1">
      <c r="T31710" s="41"/>
    </row>
    <row r="31711" spans="20:20" s="566" customFormat="1">
      <c r="T31711" s="41"/>
    </row>
    <row r="31712" spans="20:20" s="566" customFormat="1">
      <c r="T31712" s="41"/>
    </row>
    <row r="31713" spans="20:20" s="566" customFormat="1">
      <c r="T31713" s="41"/>
    </row>
    <row r="31714" spans="20:20" s="566" customFormat="1">
      <c r="T31714" s="41"/>
    </row>
    <row r="31715" spans="20:20" s="566" customFormat="1">
      <c r="T31715" s="41"/>
    </row>
    <row r="31716" spans="20:20" s="566" customFormat="1">
      <c r="T31716" s="41"/>
    </row>
    <row r="31717" spans="20:20" s="566" customFormat="1">
      <c r="T31717" s="41"/>
    </row>
    <row r="31718" spans="20:20" s="566" customFormat="1">
      <c r="T31718" s="41"/>
    </row>
    <row r="31719" spans="20:20" s="566" customFormat="1">
      <c r="T31719" s="41"/>
    </row>
    <row r="31720" spans="20:20" s="566" customFormat="1">
      <c r="T31720" s="41"/>
    </row>
    <row r="31721" spans="20:20" s="566" customFormat="1">
      <c r="T31721" s="41"/>
    </row>
    <row r="31722" spans="20:20" s="566" customFormat="1">
      <c r="T31722" s="41"/>
    </row>
    <row r="31723" spans="20:20" s="566" customFormat="1">
      <c r="T31723" s="41"/>
    </row>
    <row r="31724" spans="20:20" s="566" customFormat="1">
      <c r="T31724" s="41"/>
    </row>
    <row r="31725" spans="20:20" s="566" customFormat="1">
      <c r="T31725" s="41"/>
    </row>
    <row r="31726" spans="20:20" s="566" customFormat="1">
      <c r="T31726" s="41"/>
    </row>
    <row r="31727" spans="20:20" s="566" customFormat="1">
      <c r="T31727" s="41"/>
    </row>
    <row r="31728" spans="20:20" s="566" customFormat="1">
      <c r="T31728" s="41"/>
    </row>
    <row r="31729" spans="20:20" s="566" customFormat="1">
      <c r="T31729" s="41"/>
    </row>
    <row r="31730" spans="20:20" s="566" customFormat="1">
      <c r="T31730" s="41"/>
    </row>
    <row r="31731" spans="20:20" s="566" customFormat="1">
      <c r="T31731" s="41"/>
    </row>
    <row r="31732" spans="20:20" s="566" customFormat="1">
      <c r="T31732" s="41"/>
    </row>
    <row r="31733" spans="20:20" s="566" customFormat="1">
      <c r="T31733" s="41"/>
    </row>
    <row r="31734" spans="20:20" s="566" customFormat="1">
      <c r="T31734" s="41"/>
    </row>
    <row r="31735" spans="20:20" s="566" customFormat="1">
      <c r="T31735" s="41"/>
    </row>
    <row r="31736" spans="20:20" s="566" customFormat="1">
      <c r="T31736" s="41"/>
    </row>
    <row r="31737" spans="20:20" s="566" customFormat="1">
      <c r="T31737" s="41"/>
    </row>
    <row r="31738" spans="20:20" s="566" customFormat="1">
      <c r="T31738" s="41"/>
    </row>
    <row r="31739" spans="20:20" s="566" customFormat="1">
      <c r="T31739" s="41"/>
    </row>
    <row r="31740" spans="20:20" s="566" customFormat="1">
      <c r="T31740" s="41"/>
    </row>
    <row r="31741" spans="20:20" s="566" customFormat="1">
      <c r="T31741" s="41"/>
    </row>
    <row r="31742" spans="20:20" s="566" customFormat="1">
      <c r="T31742" s="41"/>
    </row>
    <row r="31743" spans="20:20" s="566" customFormat="1">
      <c r="T31743" s="41"/>
    </row>
    <row r="31744" spans="20:20" s="566" customFormat="1">
      <c r="T31744" s="41"/>
    </row>
    <row r="31745" spans="20:20" s="566" customFormat="1">
      <c r="T31745" s="41"/>
    </row>
    <row r="31746" spans="20:20" s="566" customFormat="1">
      <c r="T31746" s="41"/>
    </row>
    <row r="31747" spans="20:20" s="566" customFormat="1">
      <c r="T31747" s="41"/>
    </row>
    <row r="31748" spans="20:20" s="566" customFormat="1">
      <c r="T31748" s="41"/>
    </row>
    <row r="31749" spans="20:20" s="566" customFormat="1">
      <c r="T31749" s="41"/>
    </row>
    <row r="31750" spans="20:20" s="566" customFormat="1">
      <c r="T31750" s="41"/>
    </row>
    <row r="31751" spans="20:20" s="566" customFormat="1">
      <c r="T31751" s="41"/>
    </row>
    <row r="31752" spans="20:20" s="566" customFormat="1">
      <c r="T31752" s="41"/>
    </row>
    <row r="31753" spans="20:20" s="566" customFormat="1">
      <c r="T31753" s="41"/>
    </row>
    <row r="31754" spans="20:20" s="566" customFormat="1">
      <c r="T31754" s="41"/>
    </row>
    <row r="31755" spans="20:20" s="566" customFormat="1">
      <c r="T31755" s="41"/>
    </row>
    <row r="31756" spans="20:20" s="566" customFormat="1">
      <c r="T31756" s="41"/>
    </row>
    <row r="31757" spans="20:20" s="566" customFormat="1">
      <c r="T31757" s="41"/>
    </row>
    <row r="31758" spans="20:20" s="566" customFormat="1">
      <c r="T31758" s="41"/>
    </row>
    <row r="31759" spans="20:20" s="566" customFormat="1">
      <c r="T31759" s="41"/>
    </row>
    <row r="31760" spans="20:20" s="566" customFormat="1">
      <c r="T31760" s="41"/>
    </row>
    <row r="31761" spans="20:20" s="566" customFormat="1">
      <c r="T31761" s="41"/>
    </row>
    <row r="31762" spans="20:20" s="566" customFormat="1">
      <c r="T31762" s="41"/>
    </row>
    <row r="31763" spans="20:20" s="566" customFormat="1">
      <c r="T31763" s="41"/>
    </row>
    <row r="31764" spans="20:20" s="566" customFormat="1">
      <c r="T31764" s="41"/>
    </row>
    <row r="31765" spans="20:20" s="566" customFormat="1">
      <c r="T31765" s="41"/>
    </row>
    <row r="31766" spans="20:20" s="566" customFormat="1">
      <c r="T31766" s="41"/>
    </row>
    <row r="31767" spans="20:20" s="566" customFormat="1">
      <c r="T31767" s="41"/>
    </row>
    <row r="31768" spans="20:20" s="566" customFormat="1">
      <c r="T31768" s="41"/>
    </row>
    <row r="31769" spans="20:20" s="566" customFormat="1">
      <c r="T31769" s="41"/>
    </row>
    <row r="31770" spans="20:20" s="566" customFormat="1">
      <c r="T31770" s="41"/>
    </row>
    <row r="31771" spans="20:20" s="566" customFormat="1">
      <c r="T31771" s="41"/>
    </row>
    <row r="31772" spans="20:20" s="566" customFormat="1">
      <c r="T31772" s="41"/>
    </row>
    <row r="31773" spans="20:20" s="566" customFormat="1">
      <c r="T31773" s="41"/>
    </row>
    <row r="31774" spans="20:20" s="566" customFormat="1">
      <c r="T31774" s="41"/>
    </row>
    <row r="31775" spans="20:20" s="566" customFormat="1">
      <c r="T31775" s="41"/>
    </row>
    <row r="31776" spans="20:20" s="566" customFormat="1">
      <c r="T31776" s="41"/>
    </row>
    <row r="31777" spans="20:20" s="566" customFormat="1">
      <c r="T31777" s="41"/>
    </row>
    <row r="31778" spans="20:20" s="566" customFormat="1">
      <c r="T31778" s="41"/>
    </row>
    <row r="31779" spans="20:20" s="566" customFormat="1">
      <c r="T31779" s="41"/>
    </row>
    <row r="31780" spans="20:20" s="566" customFormat="1">
      <c r="T31780" s="41"/>
    </row>
    <row r="31781" spans="20:20" s="566" customFormat="1">
      <c r="T31781" s="41"/>
    </row>
    <row r="31782" spans="20:20" s="566" customFormat="1">
      <c r="T31782" s="41"/>
    </row>
    <row r="31783" spans="20:20" s="566" customFormat="1">
      <c r="T31783" s="41"/>
    </row>
    <row r="31784" spans="20:20" s="566" customFormat="1">
      <c r="T31784" s="41"/>
    </row>
    <row r="31785" spans="20:20" s="566" customFormat="1">
      <c r="T31785" s="41"/>
    </row>
    <row r="31786" spans="20:20" s="566" customFormat="1">
      <c r="T31786" s="41"/>
    </row>
    <row r="31787" spans="20:20" s="566" customFormat="1">
      <c r="T31787" s="41"/>
    </row>
    <row r="31788" spans="20:20" s="566" customFormat="1">
      <c r="T31788" s="41"/>
    </row>
    <row r="31789" spans="20:20" s="566" customFormat="1">
      <c r="T31789" s="41"/>
    </row>
    <row r="31790" spans="20:20" s="566" customFormat="1">
      <c r="T31790" s="41"/>
    </row>
    <row r="31791" spans="20:20" s="566" customFormat="1">
      <c r="T31791" s="41"/>
    </row>
    <row r="31792" spans="20:20" s="566" customFormat="1">
      <c r="T31792" s="41"/>
    </row>
    <row r="31793" spans="20:20" s="566" customFormat="1">
      <c r="T31793" s="41"/>
    </row>
    <row r="31794" spans="20:20" s="566" customFormat="1">
      <c r="T31794" s="41"/>
    </row>
    <row r="31795" spans="20:20" s="566" customFormat="1">
      <c r="T31795" s="41"/>
    </row>
    <row r="31796" spans="20:20" s="566" customFormat="1">
      <c r="T31796" s="41"/>
    </row>
    <row r="31797" spans="20:20" s="566" customFormat="1">
      <c r="T31797" s="41"/>
    </row>
    <row r="31798" spans="20:20" s="566" customFormat="1">
      <c r="T31798" s="41"/>
    </row>
    <row r="31799" spans="20:20" s="566" customFormat="1">
      <c r="T31799" s="41"/>
    </row>
    <row r="31800" spans="20:20" s="566" customFormat="1">
      <c r="T31800" s="41"/>
    </row>
    <row r="31801" spans="20:20" s="566" customFormat="1">
      <c r="T31801" s="41"/>
    </row>
    <row r="31802" spans="20:20" s="566" customFormat="1">
      <c r="T31802" s="41"/>
    </row>
    <row r="31803" spans="20:20" s="566" customFormat="1">
      <c r="T31803" s="41"/>
    </row>
    <row r="31804" spans="20:20" s="566" customFormat="1">
      <c r="T31804" s="41"/>
    </row>
    <row r="31805" spans="20:20" s="566" customFormat="1">
      <c r="T31805" s="41"/>
    </row>
    <row r="31806" spans="20:20" s="566" customFormat="1">
      <c r="T31806" s="41"/>
    </row>
    <row r="31807" spans="20:20" s="566" customFormat="1">
      <c r="T31807" s="41"/>
    </row>
    <row r="31808" spans="20:20" s="566" customFormat="1">
      <c r="T31808" s="41"/>
    </row>
    <row r="31809" spans="20:20" s="566" customFormat="1">
      <c r="T31809" s="41"/>
    </row>
    <row r="31810" spans="20:20" s="566" customFormat="1">
      <c r="T31810" s="41"/>
    </row>
    <row r="31811" spans="20:20" s="566" customFormat="1">
      <c r="T31811" s="41"/>
    </row>
    <row r="31812" spans="20:20" s="566" customFormat="1">
      <c r="T31812" s="41"/>
    </row>
    <row r="31813" spans="20:20" s="566" customFormat="1">
      <c r="T31813" s="41"/>
    </row>
    <row r="31814" spans="20:20" s="566" customFormat="1">
      <c r="T31814" s="41"/>
    </row>
    <row r="31815" spans="20:20" s="566" customFormat="1">
      <c r="T31815" s="41"/>
    </row>
    <row r="31816" spans="20:20" s="566" customFormat="1">
      <c r="T31816" s="41"/>
    </row>
    <row r="31817" spans="20:20" s="566" customFormat="1">
      <c r="T31817" s="41"/>
    </row>
    <row r="31818" spans="20:20" s="566" customFormat="1">
      <c r="T31818" s="41"/>
    </row>
    <row r="31819" spans="20:20" s="566" customFormat="1">
      <c r="T31819" s="41"/>
    </row>
    <row r="31820" spans="20:20" s="566" customFormat="1">
      <c r="T31820" s="41"/>
    </row>
    <row r="31821" spans="20:20" s="566" customFormat="1">
      <c r="T31821" s="41"/>
    </row>
    <row r="31822" spans="20:20" s="566" customFormat="1">
      <c r="T31822" s="41"/>
    </row>
    <row r="31823" spans="20:20" s="566" customFormat="1">
      <c r="T31823" s="41"/>
    </row>
    <row r="31824" spans="20:20" s="566" customFormat="1">
      <c r="T31824" s="41"/>
    </row>
    <row r="31825" spans="20:20" s="566" customFormat="1">
      <c r="T31825" s="41"/>
    </row>
    <row r="31826" spans="20:20" s="566" customFormat="1">
      <c r="T31826" s="41"/>
    </row>
    <row r="31827" spans="20:20" s="566" customFormat="1">
      <c r="T31827" s="41"/>
    </row>
    <row r="31828" spans="20:20" s="566" customFormat="1">
      <c r="T31828" s="41"/>
    </row>
    <row r="31829" spans="20:20" s="566" customFormat="1">
      <c r="T31829" s="41"/>
    </row>
    <row r="31830" spans="20:20" s="566" customFormat="1">
      <c r="T31830" s="41"/>
    </row>
    <row r="31831" spans="20:20" s="566" customFormat="1">
      <c r="T31831" s="41"/>
    </row>
    <row r="31832" spans="20:20" s="566" customFormat="1">
      <c r="T31832" s="41"/>
    </row>
    <row r="31833" spans="20:20" s="566" customFormat="1">
      <c r="T31833" s="41"/>
    </row>
    <row r="31834" spans="20:20" s="566" customFormat="1">
      <c r="T31834" s="41"/>
    </row>
    <row r="31835" spans="20:20" s="566" customFormat="1">
      <c r="T31835" s="41"/>
    </row>
    <row r="31836" spans="20:20" s="566" customFormat="1">
      <c r="T31836" s="41"/>
    </row>
    <row r="31837" spans="20:20" s="566" customFormat="1">
      <c r="T31837" s="41"/>
    </row>
    <row r="31838" spans="20:20" s="566" customFormat="1">
      <c r="T31838" s="41"/>
    </row>
    <row r="31839" spans="20:20" s="566" customFormat="1">
      <c r="T31839" s="41"/>
    </row>
    <row r="31840" spans="20:20" s="566" customFormat="1">
      <c r="T31840" s="41"/>
    </row>
    <row r="31841" spans="20:20" s="566" customFormat="1">
      <c r="T31841" s="41"/>
    </row>
    <row r="31842" spans="20:20" s="566" customFormat="1">
      <c r="T31842" s="41"/>
    </row>
    <row r="31843" spans="20:20" s="566" customFormat="1">
      <c r="T31843" s="41"/>
    </row>
    <row r="31844" spans="20:20" s="566" customFormat="1">
      <c r="T31844" s="41"/>
    </row>
    <row r="31845" spans="20:20" s="566" customFormat="1">
      <c r="T31845" s="41"/>
    </row>
    <row r="31846" spans="20:20" s="566" customFormat="1">
      <c r="T31846" s="41"/>
    </row>
    <row r="31847" spans="20:20" s="566" customFormat="1">
      <c r="T31847" s="41"/>
    </row>
    <row r="31848" spans="20:20" s="566" customFormat="1">
      <c r="T31848" s="41"/>
    </row>
    <row r="31849" spans="20:20" s="566" customFormat="1">
      <c r="T31849" s="41"/>
    </row>
    <row r="31850" spans="20:20" s="566" customFormat="1">
      <c r="T31850" s="41"/>
    </row>
    <row r="31851" spans="20:20" s="566" customFormat="1">
      <c r="T31851" s="41"/>
    </row>
    <row r="31852" spans="20:20" s="566" customFormat="1">
      <c r="T31852" s="41"/>
    </row>
    <row r="31853" spans="20:20" s="566" customFormat="1">
      <c r="T31853" s="41"/>
    </row>
    <row r="31854" spans="20:20" s="566" customFormat="1">
      <c r="T31854" s="41"/>
    </row>
    <row r="31855" spans="20:20" s="566" customFormat="1">
      <c r="T31855" s="41"/>
    </row>
    <row r="31856" spans="20:20" s="566" customFormat="1">
      <c r="T31856" s="41"/>
    </row>
    <row r="31857" spans="20:20" s="566" customFormat="1">
      <c r="T31857" s="41"/>
    </row>
    <row r="31858" spans="20:20" s="566" customFormat="1">
      <c r="T31858" s="41"/>
    </row>
    <row r="31859" spans="20:20" s="566" customFormat="1">
      <c r="T31859" s="41"/>
    </row>
    <row r="31860" spans="20:20" s="566" customFormat="1">
      <c r="T31860" s="41"/>
    </row>
    <row r="31861" spans="20:20" s="566" customFormat="1">
      <c r="T31861" s="41"/>
    </row>
    <row r="31862" spans="20:20" s="566" customFormat="1">
      <c r="T31862" s="41"/>
    </row>
    <row r="31863" spans="20:20" s="566" customFormat="1">
      <c r="T31863" s="41"/>
    </row>
    <row r="31864" spans="20:20" s="566" customFormat="1">
      <c r="T31864" s="41"/>
    </row>
    <row r="31865" spans="20:20" s="566" customFormat="1">
      <c r="T31865" s="41"/>
    </row>
    <row r="31866" spans="20:20" s="566" customFormat="1">
      <c r="T31866" s="41"/>
    </row>
    <row r="31867" spans="20:20" s="566" customFormat="1">
      <c r="T31867" s="41"/>
    </row>
    <row r="31868" spans="20:20" s="566" customFormat="1">
      <c r="T31868" s="41"/>
    </row>
    <row r="31869" spans="20:20" s="566" customFormat="1">
      <c r="T31869" s="41"/>
    </row>
    <row r="31870" spans="20:20" s="566" customFormat="1">
      <c r="T31870" s="41"/>
    </row>
    <row r="31871" spans="20:20" s="566" customFormat="1">
      <c r="T31871" s="41"/>
    </row>
    <row r="31872" spans="20:20" s="566" customFormat="1">
      <c r="T31872" s="41"/>
    </row>
    <row r="31873" spans="20:20" s="566" customFormat="1">
      <c r="T31873" s="41"/>
    </row>
    <row r="31874" spans="20:20" s="566" customFormat="1">
      <c r="T31874" s="41"/>
    </row>
    <row r="31875" spans="20:20" s="566" customFormat="1">
      <c r="T31875" s="41"/>
    </row>
    <row r="31876" spans="20:20" s="566" customFormat="1">
      <c r="T31876" s="41"/>
    </row>
    <row r="31877" spans="20:20" s="566" customFormat="1">
      <c r="T31877" s="41"/>
    </row>
    <row r="31878" spans="20:20" s="566" customFormat="1">
      <c r="T31878" s="41"/>
    </row>
    <row r="31879" spans="20:20" s="566" customFormat="1">
      <c r="T31879" s="41"/>
    </row>
    <row r="31880" spans="20:20" s="566" customFormat="1">
      <c r="T31880" s="41"/>
    </row>
    <row r="31881" spans="20:20" s="566" customFormat="1">
      <c r="T31881" s="41"/>
    </row>
    <row r="31882" spans="20:20" s="566" customFormat="1">
      <c r="T31882" s="41"/>
    </row>
    <row r="31883" spans="20:20" s="566" customFormat="1">
      <c r="T31883" s="41"/>
    </row>
    <row r="31884" spans="20:20" s="566" customFormat="1">
      <c r="T31884" s="41"/>
    </row>
    <row r="31885" spans="20:20" s="566" customFormat="1">
      <c r="T31885" s="41"/>
    </row>
    <row r="31886" spans="20:20" s="566" customFormat="1">
      <c r="T31886" s="41"/>
    </row>
    <row r="31887" spans="20:20" s="566" customFormat="1">
      <c r="T31887" s="41"/>
    </row>
    <row r="31888" spans="20:20" s="566" customFormat="1">
      <c r="T31888" s="41"/>
    </row>
    <row r="31889" spans="20:20" s="566" customFormat="1">
      <c r="T31889" s="41"/>
    </row>
    <row r="31890" spans="20:20" s="566" customFormat="1">
      <c r="T31890" s="41"/>
    </row>
    <row r="31891" spans="20:20" s="566" customFormat="1">
      <c r="T31891" s="41"/>
    </row>
    <row r="31892" spans="20:20" s="566" customFormat="1">
      <c r="T31892" s="41"/>
    </row>
    <row r="31893" spans="20:20" s="566" customFormat="1">
      <c r="T31893" s="41"/>
    </row>
    <row r="31894" spans="20:20" s="566" customFormat="1">
      <c r="T31894" s="41"/>
    </row>
    <row r="31895" spans="20:20" s="566" customFormat="1">
      <c r="T31895" s="41"/>
    </row>
    <row r="31896" spans="20:20" s="566" customFormat="1">
      <c r="T31896" s="41"/>
    </row>
    <row r="31897" spans="20:20" s="566" customFormat="1">
      <c r="T31897" s="41"/>
    </row>
    <row r="31898" spans="20:20" s="566" customFormat="1">
      <c r="T31898" s="41"/>
    </row>
    <row r="31899" spans="20:20" s="566" customFormat="1">
      <c r="T31899" s="41"/>
    </row>
    <row r="31900" spans="20:20" s="566" customFormat="1">
      <c r="T31900" s="41"/>
    </row>
    <row r="31901" spans="20:20" s="566" customFormat="1">
      <c r="T31901" s="41"/>
    </row>
    <row r="31902" spans="20:20" s="566" customFormat="1">
      <c r="T31902" s="41"/>
    </row>
    <row r="31903" spans="20:20" s="566" customFormat="1">
      <c r="T31903" s="41"/>
    </row>
    <row r="31904" spans="20:20" s="566" customFormat="1">
      <c r="T31904" s="41"/>
    </row>
    <row r="31905" spans="20:20" s="566" customFormat="1">
      <c r="T31905" s="41"/>
    </row>
    <row r="31906" spans="20:20" s="566" customFormat="1">
      <c r="T31906" s="41"/>
    </row>
    <row r="31907" spans="20:20" s="566" customFormat="1">
      <c r="T31907" s="41"/>
    </row>
    <row r="31908" spans="20:20" s="566" customFormat="1">
      <c r="T31908" s="41"/>
    </row>
    <row r="31909" spans="20:20" s="566" customFormat="1">
      <c r="T31909" s="41"/>
    </row>
    <row r="31910" spans="20:20" s="566" customFormat="1">
      <c r="T31910" s="41"/>
    </row>
    <row r="31911" spans="20:20" s="566" customFormat="1">
      <c r="T31911" s="41"/>
    </row>
    <row r="31912" spans="20:20" s="566" customFormat="1">
      <c r="T31912" s="41"/>
    </row>
    <row r="31913" spans="20:20" s="566" customFormat="1">
      <c r="T31913" s="41"/>
    </row>
    <row r="31914" spans="20:20" s="566" customFormat="1">
      <c r="T31914" s="41"/>
    </row>
    <row r="31915" spans="20:20" s="566" customFormat="1">
      <c r="T31915" s="41"/>
    </row>
    <row r="31916" spans="20:20" s="566" customFormat="1">
      <c r="T31916" s="41"/>
    </row>
    <row r="31917" spans="20:20" s="566" customFormat="1">
      <c r="T31917" s="41"/>
    </row>
    <row r="31918" spans="20:20" s="566" customFormat="1">
      <c r="T31918" s="41"/>
    </row>
    <row r="31919" spans="20:20" s="566" customFormat="1">
      <c r="T31919" s="41"/>
    </row>
    <row r="31920" spans="20:20" s="566" customFormat="1">
      <c r="T31920" s="41"/>
    </row>
    <row r="31921" spans="20:20" s="566" customFormat="1">
      <c r="T31921" s="41"/>
    </row>
    <row r="31922" spans="20:20" s="566" customFormat="1">
      <c r="T31922" s="41"/>
    </row>
    <row r="31923" spans="20:20" s="566" customFormat="1">
      <c r="T31923" s="41"/>
    </row>
    <row r="31924" spans="20:20" s="566" customFormat="1">
      <c r="T31924" s="41"/>
    </row>
    <row r="31925" spans="20:20" s="566" customFormat="1">
      <c r="T31925" s="41"/>
    </row>
    <row r="31926" spans="20:20" s="566" customFormat="1">
      <c r="T31926" s="41"/>
    </row>
    <row r="31927" spans="20:20" s="566" customFormat="1">
      <c r="T31927" s="41"/>
    </row>
    <row r="31928" spans="20:20" s="566" customFormat="1">
      <c r="T31928" s="41"/>
    </row>
    <row r="31929" spans="20:20" s="566" customFormat="1">
      <c r="T31929" s="41"/>
    </row>
    <row r="31930" spans="20:20" s="566" customFormat="1">
      <c r="T31930" s="41"/>
    </row>
    <row r="31931" spans="20:20" s="566" customFormat="1">
      <c r="T31931" s="41"/>
    </row>
    <row r="31932" spans="20:20" s="566" customFormat="1">
      <c r="T31932" s="41"/>
    </row>
    <row r="31933" spans="20:20" s="566" customFormat="1">
      <c r="T31933" s="41"/>
    </row>
    <row r="31934" spans="20:20" s="566" customFormat="1">
      <c r="T31934" s="41"/>
    </row>
    <row r="31935" spans="20:20" s="566" customFormat="1">
      <c r="T31935" s="41"/>
    </row>
    <row r="31936" spans="20:20" s="566" customFormat="1">
      <c r="T31936" s="41"/>
    </row>
    <row r="31937" spans="20:20" s="566" customFormat="1">
      <c r="T31937" s="41"/>
    </row>
    <row r="31938" spans="20:20" s="566" customFormat="1">
      <c r="T31938" s="41"/>
    </row>
    <row r="31939" spans="20:20" s="566" customFormat="1">
      <c r="T31939" s="41"/>
    </row>
    <row r="31940" spans="20:20" s="566" customFormat="1">
      <c r="T31940" s="41"/>
    </row>
    <row r="31941" spans="20:20" s="566" customFormat="1">
      <c r="T31941" s="41"/>
    </row>
    <row r="31942" spans="20:20" s="566" customFormat="1">
      <c r="T31942" s="41"/>
    </row>
    <row r="31943" spans="20:20" s="566" customFormat="1">
      <c r="T31943" s="41"/>
    </row>
    <row r="31944" spans="20:20" s="566" customFormat="1">
      <c r="T31944" s="41"/>
    </row>
    <row r="31945" spans="20:20" s="566" customFormat="1">
      <c r="T31945" s="41"/>
    </row>
    <row r="31946" spans="20:20" s="566" customFormat="1">
      <c r="T31946" s="41"/>
    </row>
    <row r="31947" spans="20:20" s="566" customFormat="1">
      <c r="T31947" s="41"/>
    </row>
    <row r="31948" spans="20:20" s="566" customFormat="1">
      <c r="T31948" s="41"/>
    </row>
    <row r="31949" spans="20:20" s="566" customFormat="1">
      <c r="T31949" s="41"/>
    </row>
    <row r="31950" spans="20:20" s="566" customFormat="1">
      <c r="T31950" s="41"/>
    </row>
    <row r="31951" spans="20:20" s="566" customFormat="1">
      <c r="T31951" s="41"/>
    </row>
    <row r="31952" spans="20:20" s="566" customFormat="1">
      <c r="T31952" s="41"/>
    </row>
    <row r="31953" spans="20:20" s="566" customFormat="1">
      <c r="T31953" s="41"/>
    </row>
    <row r="31954" spans="20:20" s="566" customFormat="1">
      <c r="T31954" s="41"/>
    </row>
    <row r="31955" spans="20:20" s="566" customFormat="1">
      <c r="T31955" s="41"/>
    </row>
    <row r="31956" spans="20:20" s="566" customFormat="1">
      <c r="T31956" s="41"/>
    </row>
    <row r="31957" spans="20:20" s="566" customFormat="1">
      <c r="T31957" s="41"/>
    </row>
    <row r="31958" spans="20:20" s="566" customFormat="1">
      <c r="T31958" s="41"/>
    </row>
    <row r="31959" spans="20:20" s="566" customFormat="1">
      <c r="T31959" s="41"/>
    </row>
    <row r="31960" spans="20:20" s="566" customFormat="1">
      <c r="T31960" s="41"/>
    </row>
    <row r="31961" spans="20:20" s="566" customFormat="1">
      <c r="T31961" s="41"/>
    </row>
    <row r="31962" spans="20:20" s="566" customFormat="1">
      <c r="T31962" s="41"/>
    </row>
    <row r="31963" spans="20:20" s="566" customFormat="1">
      <c r="T31963" s="41"/>
    </row>
    <row r="31964" spans="20:20" s="566" customFormat="1">
      <c r="T31964" s="41"/>
    </row>
    <row r="31965" spans="20:20" s="566" customFormat="1">
      <c r="T31965" s="41"/>
    </row>
    <row r="31966" spans="20:20" s="566" customFormat="1">
      <c r="T31966" s="41"/>
    </row>
    <row r="31967" spans="20:20" s="566" customFormat="1">
      <c r="T31967" s="41"/>
    </row>
    <row r="31968" spans="20:20" s="566" customFormat="1">
      <c r="T31968" s="41"/>
    </row>
    <row r="31969" spans="20:20" s="566" customFormat="1">
      <c r="T31969" s="41"/>
    </row>
    <row r="31970" spans="20:20" s="566" customFormat="1">
      <c r="T31970" s="41"/>
    </row>
    <row r="31971" spans="20:20" s="566" customFormat="1">
      <c r="T31971" s="41"/>
    </row>
    <row r="31972" spans="20:20" s="566" customFormat="1">
      <c r="T31972" s="41"/>
    </row>
    <row r="31973" spans="20:20" s="566" customFormat="1">
      <c r="T31973" s="41"/>
    </row>
    <row r="31974" spans="20:20" s="566" customFormat="1">
      <c r="T31974" s="41"/>
    </row>
    <row r="31975" spans="20:20" s="566" customFormat="1">
      <c r="T31975" s="41"/>
    </row>
    <row r="31976" spans="20:20" s="566" customFormat="1">
      <c r="T31976" s="41"/>
    </row>
    <row r="31977" spans="20:20" s="566" customFormat="1">
      <c r="T31977" s="41"/>
    </row>
    <row r="31978" spans="20:20" s="566" customFormat="1">
      <c r="T31978" s="41"/>
    </row>
    <row r="31979" spans="20:20" s="566" customFormat="1">
      <c r="T31979" s="41"/>
    </row>
    <row r="31980" spans="20:20" s="566" customFormat="1">
      <c r="T31980" s="41"/>
    </row>
    <row r="31981" spans="20:20" s="566" customFormat="1">
      <c r="T31981" s="41"/>
    </row>
    <row r="31982" spans="20:20" s="566" customFormat="1">
      <c r="T31982" s="41"/>
    </row>
    <row r="31983" spans="20:20" s="566" customFormat="1">
      <c r="T31983" s="41"/>
    </row>
    <row r="31984" spans="20:20" s="566" customFormat="1">
      <c r="T31984" s="41"/>
    </row>
    <row r="31985" spans="20:20" s="566" customFormat="1">
      <c r="T31985" s="41"/>
    </row>
    <row r="31986" spans="20:20" s="566" customFormat="1">
      <c r="T31986" s="41"/>
    </row>
    <row r="31987" spans="20:20" s="566" customFormat="1">
      <c r="T31987" s="41"/>
    </row>
    <row r="31988" spans="20:20" s="566" customFormat="1">
      <c r="T31988" s="41"/>
    </row>
    <row r="31989" spans="20:20" s="566" customFormat="1">
      <c r="T31989" s="41"/>
    </row>
    <row r="31990" spans="20:20" s="566" customFormat="1">
      <c r="T31990" s="41"/>
    </row>
    <row r="31991" spans="20:20" s="566" customFormat="1">
      <c r="T31991" s="41"/>
    </row>
    <row r="31992" spans="20:20" s="566" customFormat="1">
      <c r="T31992" s="41"/>
    </row>
    <row r="31993" spans="20:20" s="566" customFormat="1">
      <c r="T31993" s="41"/>
    </row>
    <row r="31994" spans="20:20" s="566" customFormat="1">
      <c r="T31994" s="41"/>
    </row>
    <row r="31995" spans="20:20" s="566" customFormat="1">
      <c r="T31995" s="41"/>
    </row>
    <row r="31996" spans="20:20" s="566" customFormat="1">
      <c r="T31996" s="41"/>
    </row>
    <row r="31997" spans="20:20" s="566" customFormat="1">
      <c r="T31997" s="41"/>
    </row>
    <row r="31998" spans="20:20" s="566" customFormat="1">
      <c r="T31998" s="41"/>
    </row>
    <row r="31999" spans="20:20" s="566" customFormat="1">
      <c r="T31999" s="41"/>
    </row>
    <row r="32000" spans="20:20" s="566" customFormat="1">
      <c r="T32000" s="41"/>
    </row>
    <row r="32001" spans="20:20" s="566" customFormat="1">
      <c r="T32001" s="41"/>
    </row>
    <row r="32002" spans="20:20" s="566" customFormat="1">
      <c r="T32002" s="41"/>
    </row>
    <row r="32003" spans="20:20" s="566" customFormat="1">
      <c r="T32003" s="41"/>
    </row>
    <row r="32004" spans="20:20" s="566" customFormat="1">
      <c r="T32004" s="41"/>
    </row>
    <row r="32005" spans="20:20" s="566" customFormat="1">
      <c r="T32005" s="41"/>
    </row>
    <row r="32006" spans="20:20" s="566" customFormat="1">
      <c r="T32006" s="41"/>
    </row>
    <row r="32007" spans="20:20" s="566" customFormat="1">
      <c r="T32007" s="41"/>
    </row>
    <row r="32008" spans="20:20" s="566" customFormat="1">
      <c r="T32008" s="41"/>
    </row>
    <row r="32009" spans="20:20" s="566" customFormat="1">
      <c r="T32009" s="41"/>
    </row>
    <row r="32010" spans="20:20" s="566" customFormat="1">
      <c r="T32010" s="41"/>
    </row>
    <row r="32011" spans="20:20" s="566" customFormat="1">
      <c r="T32011" s="41"/>
    </row>
    <row r="32012" spans="20:20" s="566" customFormat="1">
      <c r="T32012" s="41"/>
    </row>
    <row r="32013" spans="20:20" s="566" customFormat="1">
      <c r="T32013" s="41"/>
    </row>
    <row r="32014" spans="20:20" s="566" customFormat="1">
      <c r="T32014" s="41"/>
    </row>
    <row r="32015" spans="20:20" s="566" customFormat="1">
      <c r="T32015" s="41"/>
    </row>
    <row r="32016" spans="20:20" s="566" customFormat="1">
      <c r="T32016" s="41"/>
    </row>
    <row r="32017" spans="20:20" s="566" customFormat="1">
      <c r="T32017" s="41"/>
    </row>
    <row r="32018" spans="20:20" s="566" customFormat="1">
      <c r="T32018" s="41"/>
    </row>
    <row r="32019" spans="20:20" s="566" customFormat="1">
      <c r="T32019" s="41"/>
    </row>
    <row r="32020" spans="20:20" s="566" customFormat="1">
      <c r="T32020" s="41"/>
    </row>
    <row r="32021" spans="20:20" s="566" customFormat="1">
      <c r="T32021" s="41"/>
    </row>
    <row r="32022" spans="20:20" s="566" customFormat="1">
      <c r="T32022" s="41"/>
    </row>
    <row r="32023" spans="20:20" s="566" customFormat="1">
      <c r="T32023" s="41"/>
    </row>
    <row r="32024" spans="20:20" s="566" customFormat="1">
      <c r="T32024" s="41"/>
    </row>
    <row r="32025" spans="20:20" s="566" customFormat="1">
      <c r="T32025" s="41"/>
    </row>
    <row r="32026" spans="20:20" s="566" customFormat="1">
      <c r="T32026" s="41"/>
    </row>
    <row r="32027" spans="20:20" s="566" customFormat="1">
      <c r="T32027" s="41"/>
    </row>
    <row r="32028" spans="20:20" s="566" customFormat="1">
      <c r="T32028" s="41"/>
    </row>
    <row r="32029" spans="20:20" s="566" customFormat="1">
      <c r="T32029" s="41"/>
    </row>
    <row r="32030" spans="20:20" s="566" customFormat="1">
      <c r="T32030" s="41"/>
    </row>
    <row r="32031" spans="20:20" s="566" customFormat="1">
      <c r="T32031" s="41"/>
    </row>
    <row r="32032" spans="20:20" s="566" customFormat="1">
      <c r="T32032" s="41"/>
    </row>
    <row r="32033" spans="20:20" s="566" customFormat="1">
      <c r="T32033" s="41"/>
    </row>
    <row r="32034" spans="20:20" s="566" customFormat="1">
      <c r="T32034" s="41"/>
    </row>
    <row r="32035" spans="20:20" s="566" customFormat="1">
      <c r="T32035" s="41"/>
    </row>
    <row r="32036" spans="20:20" s="566" customFormat="1">
      <c r="T32036" s="41"/>
    </row>
    <row r="32037" spans="20:20" s="566" customFormat="1">
      <c r="T32037" s="41"/>
    </row>
    <row r="32038" spans="20:20" s="566" customFormat="1">
      <c r="T32038" s="41"/>
    </row>
    <row r="32039" spans="20:20" s="566" customFormat="1">
      <c r="T32039" s="41"/>
    </row>
    <row r="32040" spans="20:20" s="566" customFormat="1">
      <c r="T32040" s="41"/>
    </row>
    <row r="32041" spans="20:20" s="566" customFormat="1">
      <c r="T32041" s="41"/>
    </row>
    <row r="32042" spans="20:20" s="566" customFormat="1">
      <c r="T32042" s="41"/>
    </row>
    <row r="32043" spans="20:20" s="566" customFormat="1">
      <c r="T32043" s="41"/>
    </row>
    <row r="32044" spans="20:20" s="566" customFormat="1">
      <c r="T32044" s="41"/>
    </row>
    <row r="32045" spans="20:20" s="566" customFormat="1">
      <c r="T32045" s="41"/>
    </row>
    <row r="32046" spans="20:20" s="566" customFormat="1">
      <c r="T32046" s="41"/>
    </row>
    <row r="32047" spans="20:20" s="566" customFormat="1">
      <c r="T32047" s="41"/>
    </row>
    <row r="32048" spans="20:20" s="566" customFormat="1">
      <c r="T32048" s="41"/>
    </row>
    <row r="32049" spans="20:20" s="566" customFormat="1">
      <c r="T32049" s="41"/>
    </row>
    <row r="32050" spans="20:20" s="566" customFormat="1">
      <c r="T32050" s="41"/>
    </row>
    <row r="32051" spans="20:20" s="566" customFormat="1">
      <c r="T32051" s="41"/>
    </row>
    <row r="32052" spans="20:20" s="566" customFormat="1">
      <c r="T32052" s="41"/>
    </row>
    <row r="32053" spans="20:20" s="566" customFormat="1">
      <c r="T32053" s="41"/>
    </row>
    <row r="32054" spans="20:20" s="566" customFormat="1">
      <c r="T32054" s="41"/>
    </row>
    <row r="32055" spans="20:20" s="566" customFormat="1">
      <c r="T32055" s="41"/>
    </row>
    <row r="32056" spans="20:20" s="566" customFormat="1">
      <c r="T32056" s="41"/>
    </row>
    <row r="32057" spans="20:20" s="566" customFormat="1">
      <c r="T32057" s="41"/>
    </row>
    <row r="32058" spans="20:20" s="566" customFormat="1">
      <c r="T32058" s="41"/>
    </row>
    <row r="32059" spans="20:20" s="566" customFormat="1">
      <c r="T32059" s="41"/>
    </row>
    <row r="32060" spans="20:20" s="566" customFormat="1">
      <c r="T32060" s="41"/>
    </row>
    <row r="32061" spans="20:20" s="566" customFormat="1">
      <c r="T32061" s="41"/>
    </row>
    <row r="32062" spans="20:20" s="566" customFormat="1">
      <c r="T32062" s="41"/>
    </row>
    <row r="32063" spans="20:20" s="566" customFormat="1">
      <c r="T32063" s="41"/>
    </row>
    <row r="32064" spans="20:20" s="566" customFormat="1">
      <c r="T32064" s="41"/>
    </row>
    <row r="32065" spans="20:20" s="566" customFormat="1">
      <c r="T32065" s="41"/>
    </row>
    <row r="32066" spans="20:20" s="566" customFormat="1">
      <c r="T32066" s="41"/>
    </row>
    <row r="32067" spans="20:20" s="566" customFormat="1">
      <c r="T32067" s="41"/>
    </row>
    <row r="32068" spans="20:20" s="566" customFormat="1">
      <c r="T32068" s="41"/>
    </row>
    <row r="32069" spans="20:20" s="566" customFormat="1">
      <c r="T32069" s="41"/>
    </row>
    <row r="32070" spans="20:20" s="566" customFormat="1">
      <c r="T32070" s="41"/>
    </row>
    <row r="32071" spans="20:20" s="566" customFormat="1">
      <c r="T32071" s="41"/>
    </row>
    <row r="32072" spans="20:20" s="566" customFormat="1">
      <c r="T32072" s="41"/>
    </row>
    <row r="32073" spans="20:20" s="566" customFormat="1">
      <c r="T32073" s="41"/>
    </row>
    <row r="32074" spans="20:20" s="566" customFormat="1">
      <c r="T32074" s="41"/>
    </row>
    <row r="32075" spans="20:20" s="566" customFormat="1">
      <c r="T32075" s="41"/>
    </row>
    <row r="32076" spans="20:20" s="566" customFormat="1">
      <c r="T32076" s="41"/>
    </row>
    <row r="32077" spans="20:20" s="566" customFormat="1">
      <c r="T32077" s="41"/>
    </row>
    <row r="32078" spans="20:20" s="566" customFormat="1">
      <c r="T32078" s="41"/>
    </row>
    <row r="32079" spans="20:20" s="566" customFormat="1">
      <c r="T32079" s="41"/>
    </row>
    <row r="32080" spans="20:20" s="566" customFormat="1">
      <c r="T32080" s="41"/>
    </row>
    <row r="32081" spans="20:20" s="566" customFormat="1">
      <c r="T32081" s="41"/>
    </row>
    <row r="32082" spans="20:20" s="566" customFormat="1">
      <c r="T32082" s="41"/>
    </row>
    <row r="32083" spans="20:20" s="566" customFormat="1">
      <c r="T32083" s="41"/>
    </row>
    <row r="32084" spans="20:20" s="566" customFormat="1">
      <c r="T32084" s="41"/>
    </row>
    <row r="32085" spans="20:20" s="566" customFormat="1">
      <c r="T32085" s="41"/>
    </row>
    <row r="32086" spans="20:20" s="566" customFormat="1">
      <c r="T32086" s="41"/>
    </row>
    <row r="32087" spans="20:20" s="566" customFormat="1">
      <c r="T32087" s="41"/>
    </row>
    <row r="32088" spans="20:20" s="566" customFormat="1">
      <c r="T32088" s="41"/>
    </row>
    <row r="32089" spans="20:20" s="566" customFormat="1">
      <c r="T32089" s="41"/>
    </row>
    <row r="32090" spans="20:20" s="566" customFormat="1">
      <c r="T32090" s="41"/>
    </row>
    <row r="32091" spans="20:20" s="566" customFormat="1">
      <c r="T32091" s="41"/>
    </row>
    <row r="32092" spans="20:20" s="566" customFormat="1">
      <c r="T32092" s="41"/>
    </row>
    <row r="32093" spans="20:20" s="566" customFormat="1">
      <c r="T32093" s="41"/>
    </row>
    <row r="32094" spans="20:20" s="566" customFormat="1">
      <c r="T32094" s="41"/>
    </row>
    <row r="32095" spans="20:20" s="566" customFormat="1">
      <c r="T32095" s="41"/>
    </row>
    <row r="32096" spans="20:20" s="566" customFormat="1">
      <c r="T32096" s="41"/>
    </row>
    <row r="32097" spans="20:20" s="566" customFormat="1">
      <c r="T32097" s="41"/>
    </row>
    <row r="32098" spans="20:20" s="566" customFormat="1">
      <c r="T32098" s="41"/>
    </row>
    <row r="32099" spans="20:20" s="566" customFormat="1">
      <c r="T32099" s="41"/>
    </row>
    <row r="32100" spans="20:20" s="566" customFormat="1">
      <c r="T32100" s="41"/>
    </row>
    <row r="32101" spans="20:20" s="566" customFormat="1">
      <c r="T32101" s="41"/>
    </row>
    <row r="32102" spans="20:20" s="566" customFormat="1">
      <c r="T32102" s="41"/>
    </row>
    <row r="32103" spans="20:20" s="566" customFormat="1">
      <c r="T32103" s="41"/>
    </row>
    <row r="32104" spans="20:20" s="566" customFormat="1">
      <c r="T32104" s="41"/>
    </row>
    <row r="32105" spans="20:20" s="566" customFormat="1">
      <c r="T32105" s="41"/>
    </row>
    <row r="32106" spans="20:20" s="566" customFormat="1">
      <c r="T32106" s="41"/>
    </row>
    <row r="32107" spans="20:20" s="566" customFormat="1">
      <c r="T32107" s="41"/>
    </row>
    <row r="32108" spans="20:20" s="566" customFormat="1">
      <c r="T32108" s="41"/>
    </row>
    <row r="32109" spans="20:20" s="566" customFormat="1">
      <c r="T32109" s="41"/>
    </row>
    <row r="32110" spans="20:20" s="566" customFormat="1">
      <c r="T32110" s="41"/>
    </row>
    <row r="32111" spans="20:20" s="566" customFormat="1">
      <c r="T32111" s="41"/>
    </row>
    <row r="32112" spans="20:20" s="566" customFormat="1">
      <c r="T32112" s="41"/>
    </row>
    <row r="32113" spans="20:20" s="566" customFormat="1">
      <c r="T32113" s="41"/>
    </row>
    <row r="32114" spans="20:20" s="566" customFormat="1">
      <c r="T32114" s="41"/>
    </row>
    <row r="32115" spans="20:20" s="566" customFormat="1">
      <c r="T32115" s="41"/>
    </row>
    <row r="32116" spans="20:20" s="566" customFormat="1">
      <c r="T32116" s="41"/>
    </row>
    <row r="32117" spans="20:20" s="566" customFormat="1">
      <c r="T32117" s="41"/>
    </row>
    <row r="32118" spans="20:20" s="566" customFormat="1">
      <c r="T32118" s="41"/>
    </row>
    <row r="32119" spans="20:20" s="566" customFormat="1">
      <c r="T32119" s="41"/>
    </row>
    <row r="32120" spans="20:20" s="566" customFormat="1">
      <c r="T32120" s="41"/>
    </row>
    <row r="32121" spans="20:20" s="566" customFormat="1">
      <c r="T32121" s="41"/>
    </row>
    <row r="32122" spans="20:20" s="566" customFormat="1">
      <c r="T32122" s="41"/>
    </row>
    <row r="32123" spans="20:20" s="566" customFormat="1">
      <c r="T32123" s="41"/>
    </row>
    <row r="32124" spans="20:20" s="566" customFormat="1">
      <c r="T32124" s="41"/>
    </row>
    <row r="32125" spans="20:20" s="566" customFormat="1">
      <c r="T32125" s="41"/>
    </row>
    <row r="32126" spans="20:20" s="566" customFormat="1">
      <c r="T32126" s="41"/>
    </row>
    <row r="32127" spans="20:20" s="566" customFormat="1">
      <c r="T32127" s="41"/>
    </row>
    <row r="32128" spans="20:20" s="566" customFormat="1">
      <c r="T32128" s="41"/>
    </row>
    <row r="32129" spans="20:20" s="566" customFormat="1">
      <c r="T32129" s="41"/>
    </row>
    <row r="32130" spans="20:20" s="566" customFormat="1">
      <c r="T32130" s="41"/>
    </row>
    <row r="32131" spans="20:20" s="566" customFormat="1">
      <c r="T32131" s="41"/>
    </row>
    <row r="32132" spans="20:20" s="566" customFormat="1">
      <c r="T32132" s="41"/>
    </row>
    <row r="32133" spans="20:20" s="566" customFormat="1">
      <c r="T32133" s="41"/>
    </row>
    <row r="32134" spans="20:20" s="566" customFormat="1">
      <c r="T32134" s="41"/>
    </row>
    <row r="32135" spans="20:20" s="566" customFormat="1">
      <c r="T32135" s="41"/>
    </row>
    <row r="32136" spans="20:20" s="566" customFormat="1">
      <c r="T32136" s="41"/>
    </row>
    <row r="32137" spans="20:20" s="566" customFormat="1">
      <c r="T32137" s="41"/>
    </row>
    <row r="32138" spans="20:20" s="566" customFormat="1">
      <c r="T32138" s="41"/>
    </row>
    <row r="32139" spans="20:20" s="566" customFormat="1">
      <c r="T32139" s="41"/>
    </row>
    <row r="32140" spans="20:20" s="566" customFormat="1">
      <c r="T32140" s="41"/>
    </row>
    <row r="32141" spans="20:20" s="566" customFormat="1">
      <c r="T32141" s="41"/>
    </row>
    <row r="32142" spans="20:20" s="566" customFormat="1">
      <c r="T32142" s="41"/>
    </row>
    <row r="32143" spans="20:20" s="566" customFormat="1">
      <c r="T32143" s="41"/>
    </row>
    <row r="32144" spans="20:20" s="566" customFormat="1">
      <c r="T32144" s="41"/>
    </row>
    <row r="32145" spans="20:20" s="566" customFormat="1">
      <c r="T32145" s="41"/>
    </row>
    <row r="32146" spans="20:20" s="566" customFormat="1">
      <c r="T32146" s="41"/>
    </row>
    <row r="32147" spans="20:20" s="566" customFormat="1">
      <c r="T32147" s="41"/>
    </row>
    <row r="32148" spans="20:20" s="566" customFormat="1">
      <c r="T32148" s="41"/>
    </row>
    <row r="32149" spans="20:20" s="566" customFormat="1">
      <c r="T32149" s="41"/>
    </row>
    <row r="32150" spans="20:20" s="566" customFormat="1">
      <c r="T32150" s="41"/>
    </row>
    <row r="32151" spans="20:20" s="566" customFormat="1">
      <c r="T32151" s="41"/>
    </row>
    <row r="32152" spans="20:20" s="566" customFormat="1">
      <c r="T32152" s="41"/>
    </row>
    <row r="32153" spans="20:20" s="566" customFormat="1">
      <c r="T32153" s="41"/>
    </row>
    <row r="32154" spans="20:20" s="566" customFormat="1">
      <c r="T32154" s="41"/>
    </row>
    <row r="32155" spans="20:20" s="566" customFormat="1">
      <c r="T32155" s="41"/>
    </row>
    <row r="32156" spans="20:20" s="566" customFormat="1">
      <c r="T32156" s="41"/>
    </row>
    <row r="32157" spans="20:20" s="566" customFormat="1">
      <c r="T32157" s="41"/>
    </row>
    <row r="32158" spans="20:20" s="566" customFormat="1">
      <c r="T32158" s="41"/>
    </row>
    <row r="32159" spans="20:20" s="566" customFormat="1">
      <c r="T32159" s="41"/>
    </row>
    <row r="32160" spans="20:20" s="566" customFormat="1">
      <c r="T32160" s="41"/>
    </row>
    <row r="32161" spans="20:20" s="566" customFormat="1">
      <c r="T32161" s="41"/>
    </row>
    <row r="32162" spans="20:20" s="566" customFormat="1">
      <c r="T32162" s="41"/>
    </row>
    <row r="32163" spans="20:20" s="566" customFormat="1">
      <c r="T32163" s="41"/>
    </row>
    <row r="32164" spans="20:20" s="566" customFormat="1">
      <c r="T32164" s="41"/>
    </row>
    <row r="32165" spans="20:20" s="566" customFormat="1">
      <c r="T32165" s="41"/>
    </row>
    <row r="32166" spans="20:20" s="566" customFormat="1">
      <c r="T32166" s="41"/>
    </row>
    <row r="32167" spans="20:20" s="566" customFormat="1">
      <c r="T32167" s="41"/>
    </row>
    <row r="32168" spans="20:20" s="566" customFormat="1">
      <c r="T32168" s="41"/>
    </row>
    <row r="32169" spans="20:20" s="566" customFormat="1">
      <c r="T32169" s="41"/>
    </row>
    <row r="32170" spans="20:20" s="566" customFormat="1">
      <c r="T32170" s="41"/>
    </row>
    <row r="32171" spans="20:20" s="566" customFormat="1">
      <c r="T32171" s="41"/>
    </row>
    <row r="32172" spans="20:20" s="566" customFormat="1">
      <c r="T32172" s="41"/>
    </row>
    <row r="32173" spans="20:20" s="566" customFormat="1">
      <c r="T32173" s="41"/>
    </row>
    <row r="32174" spans="20:20" s="566" customFormat="1">
      <c r="T32174" s="41"/>
    </row>
    <row r="32175" spans="20:20" s="566" customFormat="1">
      <c r="T32175" s="41"/>
    </row>
    <row r="32176" spans="20:20" s="566" customFormat="1">
      <c r="T32176" s="41"/>
    </row>
    <row r="32177" spans="20:20" s="566" customFormat="1">
      <c r="T32177" s="41"/>
    </row>
    <row r="32178" spans="20:20" s="566" customFormat="1">
      <c r="T32178" s="41"/>
    </row>
    <row r="32179" spans="20:20" s="566" customFormat="1">
      <c r="T32179" s="41"/>
    </row>
    <row r="32180" spans="20:20" s="566" customFormat="1">
      <c r="T32180" s="41"/>
    </row>
    <row r="32181" spans="20:20" s="566" customFormat="1">
      <c r="T32181" s="41"/>
    </row>
    <row r="32182" spans="20:20" s="566" customFormat="1">
      <c r="T32182" s="41"/>
    </row>
    <row r="32183" spans="20:20" s="566" customFormat="1">
      <c r="T32183" s="41"/>
    </row>
    <row r="32184" spans="20:20" s="566" customFormat="1">
      <c r="T32184" s="41"/>
    </row>
    <row r="32185" spans="20:20" s="566" customFormat="1">
      <c r="T32185" s="41"/>
    </row>
    <row r="32186" spans="20:20" s="566" customFormat="1">
      <c r="T32186" s="41"/>
    </row>
    <row r="32187" spans="20:20" s="566" customFormat="1">
      <c r="T32187" s="41"/>
    </row>
    <row r="32188" spans="20:20" s="566" customFormat="1">
      <c r="T32188" s="41"/>
    </row>
    <row r="32189" spans="20:20" s="566" customFormat="1">
      <c r="T32189" s="41"/>
    </row>
    <row r="32190" spans="20:20" s="566" customFormat="1">
      <c r="T32190" s="41"/>
    </row>
    <row r="32191" spans="20:20" s="566" customFormat="1">
      <c r="T32191" s="41"/>
    </row>
    <row r="32192" spans="20:20" s="566" customFormat="1">
      <c r="T32192" s="41"/>
    </row>
    <row r="32193" spans="20:20" s="566" customFormat="1">
      <c r="T32193" s="41"/>
    </row>
    <row r="32194" spans="20:20" s="566" customFormat="1">
      <c r="T32194" s="41"/>
    </row>
    <row r="32195" spans="20:20" s="566" customFormat="1">
      <c r="T32195" s="41"/>
    </row>
    <row r="32196" spans="20:20" s="566" customFormat="1">
      <c r="T32196" s="41"/>
    </row>
    <row r="32197" spans="20:20" s="566" customFormat="1">
      <c r="T32197" s="41"/>
    </row>
    <row r="32198" spans="20:20" s="566" customFormat="1">
      <c r="T32198" s="41"/>
    </row>
    <row r="32199" spans="20:20" s="566" customFormat="1">
      <c r="T32199" s="41"/>
    </row>
    <row r="32200" spans="20:20" s="566" customFormat="1">
      <c r="T32200" s="41"/>
    </row>
    <row r="32201" spans="20:20" s="566" customFormat="1">
      <c r="T32201" s="41"/>
    </row>
    <row r="32202" spans="20:20" s="566" customFormat="1">
      <c r="T32202" s="41"/>
    </row>
    <row r="32203" spans="20:20" s="566" customFormat="1">
      <c r="T32203" s="41"/>
    </row>
    <row r="32204" spans="20:20" s="566" customFormat="1">
      <c r="T32204" s="41"/>
    </row>
    <row r="32205" spans="20:20" s="566" customFormat="1">
      <c r="T32205" s="41"/>
    </row>
    <row r="32206" spans="20:20" s="566" customFormat="1">
      <c r="T32206" s="41"/>
    </row>
    <row r="32207" spans="20:20" s="566" customFormat="1">
      <c r="T32207" s="41"/>
    </row>
    <row r="32208" spans="20:20" s="566" customFormat="1">
      <c r="T32208" s="41"/>
    </row>
    <row r="32209" spans="20:20" s="566" customFormat="1">
      <c r="T32209" s="41"/>
    </row>
    <row r="32210" spans="20:20" s="566" customFormat="1">
      <c r="T32210" s="41"/>
    </row>
    <row r="32211" spans="20:20" s="566" customFormat="1">
      <c r="T32211" s="41"/>
    </row>
    <row r="32212" spans="20:20" s="566" customFormat="1">
      <c r="T32212" s="41"/>
    </row>
    <row r="32213" spans="20:20" s="566" customFormat="1">
      <c r="T32213" s="41"/>
    </row>
    <row r="32214" spans="20:20" s="566" customFormat="1">
      <c r="T32214" s="41"/>
    </row>
    <row r="32215" spans="20:20" s="566" customFormat="1">
      <c r="T32215" s="41"/>
    </row>
    <row r="32216" spans="20:20" s="566" customFormat="1">
      <c r="T32216" s="41"/>
    </row>
    <row r="32217" spans="20:20" s="566" customFormat="1">
      <c r="T32217" s="41"/>
    </row>
    <row r="32218" spans="20:20" s="566" customFormat="1">
      <c r="T32218" s="41"/>
    </row>
    <row r="32219" spans="20:20" s="566" customFormat="1">
      <c r="T32219" s="41"/>
    </row>
    <row r="32220" spans="20:20" s="566" customFormat="1">
      <c r="T32220" s="41"/>
    </row>
    <row r="32221" spans="20:20" s="566" customFormat="1">
      <c r="T32221" s="41"/>
    </row>
    <row r="32222" spans="20:20" s="566" customFormat="1">
      <c r="T32222" s="41"/>
    </row>
    <row r="32223" spans="20:20" s="566" customFormat="1">
      <c r="T32223" s="41"/>
    </row>
    <row r="32224" spans="20:20" s="566" customFormat="1">
      <c r="T32224" s="41"/>
    </row>
    <row r="32225" spans="20:20" s="566" customFormat="1">
      <c r="T32225" s="41"/>
    </row>
    <row r="32226" spans="20:20" s="566" customFormat="1">
      <c r="T32226" s="41"/>
    </row>
    <row r="32227" spans="20:20" s="566" customFormat="1">
      <c r="T32227" s="41"/>
    </row>
    <row r="32228" spans="20:20" s="566" customFormat="1">
      <c r="T32228" s="41"/>
    </row>
    <row r="32229" spans="20:20" s="566" customFormat="1">
      <c r="T32229" s="41"/>
    </row>
    <row r="32230" spans="20:20" s="566" customFormat="1">
      <c r="T32230" s="41"/>
    </row>
    <row r="32231" spans="20:20" s="566" customFormat="1">
      <c r="T32231" s="41"/>
    </row>
    <row r="32232" spans="20:20" s="566" customFormat="1">
      <c r="T32232" s="41"/>
    </row>
    <row r="32233" spans="20:20" s="566" customFormat="1">
      <c r="T32233" s="41"/>
    </row>
    <row r="32234" spans="20:20" s="566" customFormat="1">
      <c r="T32234" s="41"/>
    </row>
    <row r="32235" spans="20:20" s="566" customFormat="1">
      <c r="T32235" s="41"/>
    </row>
    <row r="32236" spans="20:20" s="566" customFormat="1">
      <c r="T32236" s="41"/>
    </row>
    <row r="32237" spans="20:20" s="566" customFormat="1">
      <c r="T32237" s="41"/>
    </row>
    <row r="32238" spans="20:20" s="566" customFormat="1">
      <c r="T32238" s="41"/>
    </row>
    <row r="32239" spans="20:20" s="566" customFormat="1">
      <c r="T32239" s="41"/>
    </row>
    <row r="32240" spans="20:20" s="566" customFormat="1">
      <c r="T32240" s="41"/>
    </row>
    <row r="32241" spans="20:20" s="566" customFormat="1">
      <c r="T32241" s="41"/>
    </row>
    <row r="32242" spans="20:20" s="566" customFormat="1">
      <c r="T32242" s="41"/>
    </row>
    <row r="32243" spans="20:20" s="566" customFormat="1">
      <c r="T32243" s="41"/>
    </row>
    <row r="32244" spans="20:20" s="566" customFormat="1">
      <c r="T32244" s="41"/>
    </row>
    <row r="32245" spans="20:20" s="566" customFormat="1">
      <c r="T32245" s="41"/>
    </row>
    <row r="32246" spans="20:20" s="566" customFormat="1">
      <c r="T32246" s="41"/>
    </row>
    <row r="32247" spans="20:20" s="566" customFormat="1">
      <c r="T32247" s="41"/>
    </row>
    <row r="32248" spans="20:20" s="566" customFormat="1">
      <c r="T32248" s="41"/>
    </row>
    <row r="32249" spans="20:20" s="566" customFormat="1">
      <c r="T32249" s="41"/>
    </row>
    <row r="32250" spans="20:20" s="566" customFormat="1">
      <c r="T32250" s="41"/>
    </row>
    <row r="32251" spans="20:20" s="566" customFormat="1">
      <c r="T32251" s="41"/>
    </row>
    <row r="32252" spans="20:20" s="566" customFormat="1">
      <c r="T32252" s="41"/>
    </row>
    <row r="32253" spans="20:20" s="566" customFormat="1">
      <c r="T32253" s="41"/>
    </row>
    <row r="32254" spans="20:20" s="566" customFormat="1">
      <c r="T32254" s="41"/>
    </row>
    <row r="32255" spans="20:20" s="566" customFormat="1">
      <c r="T32255" s="41"/>
    </row>
    <row r="32256" spans="20:20" s="566" customFormat="1">
      <c r="T32256" s="41"/>
    </row>
    <row r="32257" spans="20:20" s="566" customFormat="1">
      <c r="T32257" s="41"/>
    </row>
    <row r="32258" spans="20:20" s="566" customFormat="1">
      <c r="T32258" s="41"/>
    </row>
    <row r="32259" spans="20:20" s="566" customFormat="1">
      <c r="T32259" s="41"/>
    </row>
    <row r="32260" spans="20:20" s="566" customFormat="1">
      <c r="T32260" s="41"/>
    </row>
    <row r="32261" spans="20:20" s="566" customFormat="1">
      <c r="T32261" s="41"/>
    </row>
    <row r="32262" spans="20:20" s="566" customFormat="1">
      <c r="T32262" s="41"/>
    </row>
    <row r="32263" spans="20:20" s="566" customFormat="1">
      <c r="T32263" s="41"/>
    </row>
    <row r="32264" spans="20:20" s="566" customFormat="1">
      <c r="T32264" s="41"/>
    </row>
    <row r="32265" spans="20:20" s="566" customFormat="1">
      <c r="T32265" s="41"/>
    </row>
    <row r="32266" spans="20:20" s="566" customFormat="1">
      <c r="T32266" s="41"/>
    </row>
    <row r="32267" spans="20:20" s="566" customFormat="1">
      <c r="T32267" s="41"/>
    </row>
    <row r="32268" spans="20:20" s="566" customFormat="1">
      <c r="T32268" s="41"/>
    </row>
    <row r="32269" spans="20:20" s="566" customFormat="1">
      <c r="T32269" s="41"/>
    </row>
    <row r="32270" spans="20:20" s="566" customFormat="1">
      <c r="T32270" s="41"/>
    </row>
    <row r="32271" spans="20:20" s="566" customFormat="1">
      <c r="T32271" s="41"/>
    </row>
    <row r="32272" spans="20:20" s="566" customFormat="1">
      <c r="T32272" s="41"/>
    </row>
    <row r="32273" spans="20:20" s="566" customFormat="1">
      <c r="T32273" s="41"/>
    </row>
    <row r="32274" spans="20:20" s="566" customFormat="1">
      <c r="T32274" s="41"/>
    </row>
    <row r="32275" spans="20:20" s="566" customFormat="1">
      <c r="T32275" s="41"/>
    </row>
    <row r="32276" spans="20:20" s="566" customFormat="1">
      <c r="T32276" s="41"/>
    </row>
    <row r="32277" spans="20:20" s="566" customFormat="1">
      <c r="T32277" s="41"/>
    </row>
    <row r="32278" spans="20:20" s="566" customFormat="1">
      <c r="T32278" s="41"/>
    </row>
    <row r="32279" spans="20:20" s="566" customFormat="1">
      <c r="T32279" s="41"/>
    </row>
    <row r="32280" spans="20:20" s="566" customFormat="1">
      <c r="T32280" s="41"/>
    </row>
    <row r="32281" spans="20:20" s="566" customFormat="1">
      <c r="T32281" s="41"/>
    </row>
    <row r="32282" spans="20:20" s="566" customFormat="1">
      <c r="T32282" s="41"/>
    </row>
    <row r="32283" spans="20:20" s="566" customFormat="1">
      <c r="T32283" s="41"/>
    </row>
    <row r="32284" spans="20:20" s="566" customFormat="1">
      <c r="T32284" s="41"/>
    </row>
    <row r="32285" spans="20:20" s="566" customFormat="1">
      <c r="T32285" s="41"/>
    </row>
    <row r="32286" spans="20:20" s="566" customFormat="1">
      <c r="T32286" s="41"/>
    </row>
    <row r="32287" spans="20:20" s="566" customFormat="1">
      <c r="T32287" s="41"/>
    </row>
    <row r="32288" spans="20:20" s="566" customFormat="1">
      <c r="T32288" s="41"/>
    </row>
    <row r="32289" spans="20:20" s="566" customFormat="1">
      <c r="T32289" s="41"/>
    </row>
    <row r="32290" spans="20:20" s="566" customFormat="1">
      <c r="T32290" s="41"/>
    </row>
    <row r="32291" spans="20:20" s="566" customFormat="1">
      <c r="T32291" s="41"/>
    </row>
    <row r="32292" spans="20:20" s="566" customFormat="1">
      <c r="T32292" s="41"/>
    </row>
    <row r="32293" spans="20:20" s="566" customFormat="1">
      <c r="T32293" s="41"/>
    </row>
    <row r="32294" spans="20:20" s="566" customFormat="1">
      <c r="T32294" s="41"/>
    </row>
    <row r="32295" spans="20:20" s="566" customFormat="1">
      <c r="T32295" s="41"/>
    </row>
    <row r="32296" spans="20:20" s="566" customFormat="1">
      <c r="T32296" s="41"/>
    </row>
    <row r="32297" spans="20:20" s="566" customFormat="1">
      <c r="T32297" s="41"/>
    </row>
    <row r="32298" spans="20:20" s="566" customFormat="1">
      <c r="T32298" s="41"/>
    </row>
    <row r="32299" spans="20:20" s="566" customFormat="1">
      <c r="T32299" s="41"/>
    </row>
    <row r="32300" spans="20:20" s="566" customFormat="1">
      <c r="T32300" s="41"/>
    </row>
    <row r="32301" spans="20:20" s="566" customFormat="1">
      <c r="T32301" s="41"/>
    </row>
    <row r="32302" spans="20:20" s="566" customFormat="1">
      <c r="T32302" s="41"/>
    </row>
    <row r="32303" spans="20:20" s="566" customFormat="1">
      <c r="T32303" s="41"/>
    </row>
    <row r="32304" spans="20:20" s="566" customFormat="1">
      <c r="T32304" s="41"/>
    </row>
    <row r="32305" spans="20:20" s="566" customFormat="1">
      <c r="T32305" s="41"/>
    </row>
    <row r="32306" spans="20:20" s="566" customFormat="1">
      <c r="T32306" s="41"/>
    </row>
    <row r="32307" spans="20:20" s="566" customFormat="1">
      <c r="T32307" s="41"/>
    </row>
    <row r="32308" spans="20:20" s="566" customFormat="1">
      <c r="T32308" s="41"/>
    </row>
    <row r="32309" spans="20:20" s="566" customFormat="1">
      <c r="T32309" s="41"/>
    </row>
    <row r="32310" spans="20:20" s="566" customFormat="1">
      <c r="T32310" s="41"/>
    </row>
    <row r="32311" spans="20:20" s="566" customFormat="1">
      <c r="T32311" s="41"/>
    </row>
    <row r="32312" spans="20:20" s="566" customFormat="1">
      <c r="T32312" s="41"/>
    </row>
    <row r="32313" spans="20:20" s="566" customFormat="1">
      <c r="T32313" s="41"/>
    </row>
    <row r="32314" spans="20:20" s="566" customFormat="1">
      <c r="T32314" s="41"/>
    </row>
    <row r="32315" spans="20:20" s="566" customFormat="1">
      <c r="T32315" s="41"/>
    </row>
    <row r="32316" spans="20:20" s="566" customFormat="1">
      <c r="T32316" s="41"/>
    </row>
    <row r="32317" spans="20:20" s="566" customFormat="1">
      <c r="T32317" s="41"/>
    </row>
    <row r="32318" spans="20:20" s="566" customFormat="1">
      <c r="T32318" s="41"/>
    </row>
    <row r="32319" spans="20:20" s="566" customFormat="1">
      <c r="T32319" s="41"/>
    </row>
    <row r="32320" spans="20:20" s="566" customFormat="1">
      <c r="T32320" s="41"/>
    </row>
    <row r="32321" spans="20:20" s="566" customFormat="1">
      <c r="T32321" s="41"/>
    </row>
    <row r="32322" spans="20:20" s="566" customFormat="1">
      <c r="T32322" s="41"/>
    </row>
    <row r="32323" spans="20:20" s="566" customFormat="1">
      <c r="T32323" s="41"/>
    </row>
    <row r="32324" spans="20:20" s="566" customFormat="1">
      <c r="T32324" s="41"/>
    </row>
    <row r="32325" spans="20:20" s="566" customFormat="1">
      <c r="T32325" s="41"/>
    </row>
    <row r="32326" spans="20:20" s="566" customFormat="1">
      <c r="T32326" s="41"/>
    </row>
    <row r="32327" spans="20:20" s="566" customFormat="1">
      <c r="T32327" s="41"/>
    </row>
    <row r="32328" spans="20:20" s="566" customFormat="1">
      <c r="T32328" s="41"/>
    </row>
    <row r="32329" spans="20:20" s="566" customFormat="1">
      <c r="T32329" s="41"/>
    </row>
    <row r="32330" spans="20:20" s="566" customFormat="1">
      <c r="T32330" s="41"/>
    </row>
    <row r="32331" spans="20:20" s="566" customFormat="1">
      <c r="T32331" s="41"/>
    </row>
    <row r="32332" spans="20:20" s="566" customFormat="1">
      <c r="T32332" s="41"/>
    </row>
    <row r="32333" spans="20:20" s="566" customFormat="1">
      <c r="T32333" s="41"/>
    </row>
    <row r="32334" spans="20:20" s="566" customFormat="1">
      <c r="T32334" s="41"/>
    </row>
    <row r="32335" spans="20:20" s="566" customFormat="1">
      <c r="T32335" s="41"/>
    </row>
    <row r="32336" spans="20:20" s="566" customFormat="1">
      <c r="T32336" s="41"/>
    </row>
    <row r="32337" spans="20:20" s="566" customFormat="1">
      <c r="T32337" s="41"/>
    </row>
    <row r="32338" spans="20:20" s="566" customFormat="1">
      <c r="T32338" s="41"/>
    </row>
    <row r="32339" spans="20:20" s="566" customFormat="1">
      <c r="T32339" s="41"/>
    </row>
    <row r="32340" spans="20:20" s="566" customFormat="1">
      <c r="T32340" s="41"/>
    </row>
    <row r="32341" spans="20:20" s="566" customFormat="1">
      <c r="T32341" s="41"/>
    </row>
    <row r="32342" spans="20:20" s="566" customFormat="1">
      <c r="T32342" s="41"/>
    </row>
    <row r="32343" spans="20:20" s="566" customFormat="1">
      <c r="T32343" s="41"/>
    </row>
    <row r="32344" spans="20:20" s="566" customFormat="1">
      <c r="T32344" s="41"/>
    </row>
    <row r="32345" spans="20:20" s="566" customFormat="1">
      <c r="T32345" s="41"/>
    </row>
    <row r="32346" spans="20:20" s="566" customFormat="1">
      <c r="T32346" s="41"/>
    </row>
    <row r="32347" spans="20:20" s="566" customFormat="1">
      <c r="T32347" s="41"/>
    </row>
    <row r="32348" spans="20:20" s="566" customFormat="1">
      <c r="T32348" s="41"/>
    </row>
    <row r="32349" spans="20:20" s="566" customFormat="1">
      <c r="T32349" s="41"/>
    </row>
    <row r="32350" spans="20:20" s="566" customFormat="1">
      <c r="T32350" s="41"/>
    </row>
    <row r="32351" spans="20:20" s="566" customFormat="1">
      <c r="T32351" s="41"/>
    </row>
    <row r="32352" spans="20:20" s="566" customFormat="1">
      <c r="T32352" s="41"/>
    </row>
    <row r="32353" spans="20:20" s="566" customFormat="1">
      <c r="T32353" s="41"/>
    </row>
    <row r="32354" spans="20:20" s="566" customFormat="1">
      <c r="T32354" s="41"/>
    </row>
    <row r="32355" spans="20:20" s="566" customFormat="1">
      <c r="T32355" s="41"/>
    </row>
    <row r="32356" spans="20:20" s="566" customFormat="1">
      <c r="T32356" s="41"/>
    </row>
    <row r="32357" spans="20:20" s="566" customFormat="1">
      <c r="T32357" s="41"/>
    </row>
    <row r="32358" spans="20:20" s="566" customFormat="1">
      <c r="T32358" s="41"/>
    </row>
    <row r="32359" spans="20:20" s="566" customFormat="1">
      <c r="T32359" s="41"/>
    </row>
    <row r="32360" spans="20:20" s="566" customFormat="1">
      <c r="T32360" s="41"/>
    </row>
    <row r="32361" spans="20:20" s="566" customFormat="1">
      <c r="T32361" s="41"/>
    </row>
    <row r="32362" spans="20:20" s="566" customFormat="1">
      <c r="T32362" s="41"/>
    </row>
    <row r="32363" spans="20:20" s="566" customFormat="1">
      <c r="T32363" s="41"/>
    </row>
    <row r="32364" spans="20:20" s="566" customFormat="1">
      <c r="T32364" s="41"/>
    </row>
    <row r="32365" spans="20:20" s="566" customFormat="1">
      <c r="T32365" s="41"/>
    </row>
    <row r="32366" spans="20:20" s="566" customFormat="1">
      <c r="T32366" s="41"/>
    </row>
    <row r="32367" spans="20:20" s="566" customFormat="1">
      <c r="T32367" s="41"/>
    </row>
    <row r="32368" spans="20:20" s="566" customFormat="1">
      <c r="T32368" s="41"/>
    </row>
    <row r="32369" spans="20:20" s="566" customFormat="1">
      <c r="T32369" s="41"/>
    </row>
    <row r="32370" spans="20:20" s="566" customFormat="1">
      <c r="T32370" s="41"/>
    </row>
    <row r="32371" spans="20:20" s="566" customFormat="1">
      <c r="T32371" s="41"/>
    </row>
    <row r="32372" spans="20:20" s="566" customFormat="1">
      <c r="T32372" s="41"/>
    </row>
    <row r="32373" spans="20:20" s="566" customFormat="1">
      <c r="T32373" s="41"/>
    </row>
    <row r="32374" spans="20:20" s="566" customFormat="1">
      <c r="T32374" s="41"/>
    </row>
    <row r="32375" spans="20:20" s="566" customFormat="1">
      <c r="T32375" s="41"/>
    </row>
    <row r="32376" spans="20:20" s="566" customFormat="1">
      <c r="T32376" s="41"/>
    </row>
    <row r="32377" spans="20:20" s="566" customFormat="1">
      <c r="T32377" s="41"/>
    </row>
    <row r="32378" spans="20:20" s="566" customFormat="1">
      <c r="T32378" s="41"/>
    </row>
    <row r="32379" spans="20:20" s="566" customFormat="1">
      <c r="T32379" s="41"/>
    </row>
    <row r="32380" spans="20:20" s="566" customFormat="1">
      <c r="T32380" s="41"/>
    </row>
    <row r="32381" spans="20:20" s="566" customFormat="1">
      <c r="T32381" s="41"/>
    </row>
    <row r="32382" spans="20:20" s="566" customFormat="1">
      <c r="T32382" s="41"/>
    </row>
    <row r="32383" spans="20:20" s="566" customFormat="1">
      <c r="T32383" s="41"/>
    </row>
    <row r="32384" spans="20:20" s="566" customFormat="1">
      <c r="T32384" s="41"/>
    </row>
    <row r="32385" spans="20:20" s="566" customFormat="1">
      <c r="T32385" s="41"/>
    </row>
    <row r="32386" spans="20:20" s="566" customFormat="1">
      <c r="T32386" s="41"/>
    </row>
    <row r="32387" spans="20:20" s="566" customFormat="1">
      <c r="T32387" s="41"/>
    </row>
    <row r="32388" spans="20:20" s="566" customFormat="1">
      <c r="T32388" s="41"/>
    </row>
    <row r="32389" spans="20:20" s="566" customFormat="1">
      <c r="T32389" s="41"/>
    </row>
    <row r="32390" spans="20:20" s="566" customFormat="1">
      <c r="T32390" s="41"/>
    </row>
    <row r="32391" spans="20:20" s="566" customFormat="1">
      <c r="T32391" s="41"/>
    </row>
    <row r="32392" spans="20:20" s="566" customFormat="1">
      <c r="T32392" s="41"/>
    </row>
    <row r="32393" spans="20:20" s="566" customFormat="1">
      <c r="T32393" s="41"/>
    </row>
    <row r="32394" spans="20:20" s="566" customFormat="1">
      <c r="T32394" s="41"/>
    </row>
    <row r="32395" spans="20:20" s="566" customFormat="1">
      <c r="T32395" s="41"/>
    </row>
    <row r="32396" spans="20:20" s="566" customFormat="1">
      <c r="T32396" s="41"/>
    </row>
    <row r="32397" spans="20:20" s="566" customFormat="1">
      <c r="T32397" s="41"/>
    </row>
    <row r="32398" spans="20:20" s="566" customFormat="1">
      <c r="T32398" s="41"/>
    </row>
    <row r="32399" spans="20:20" s="566" customFormat="1">
      <c r="T32399" s="41"/>
    </row>
    <row r="32400" spans="20:20" s="566" customFormat="1">
      <c r="T32400" s="41"/>
    </row>
    <row r="32401" spans="20:20" s="566" customFormat="1">
      <c r="T32401" s="41"/>
    </row>
    <row r="32402" spans="20:20" s="566" customFormat="1">
      <c r="T32402" s="41"/>
    </row>
    <row r="32403" spans="20:20" s="566" customFormat="1">
      <c r="T32403" s="41"/>
    </row>
    <row r="32404" spans="20:20" s="566" customFormat="1">
      <c r="T32404" s="41"/>
    </row>
    <row r="32405" spans="20:20" s="566" customFormat="1">
      <c r="T32405" s="41"/>
    </row>
    <row r="32406" spans="20:20" s="566" customFormat="1">
      <c r="T32406" s="41"/>
    </row>
    <row r="32407" spans="20:20" s="566" customFormat="1">
      <c r="T32407" s="41"/>
    </row>
    <row r="32408" spans="20:20" s="566" customFormat="1">
      <c r="T32408" s="41"/>
    </row>
    <row r="32409" spans="20:20" s="566" customFormat="1">
      <c r="T32409" s="41"/>
    </row>
    <row r="32410" spans="20:20" s="566" customFormat="1">
      <c r="T32410" s="41"/>
    </row>
    <row r="32411" spans="20:20" s="566" customFormat="1">
      <c r="T32411" s="41"/>
    </row>
    <row r="32412" spans="20:20" s="566" customFormat="1">
      <c r="T32412" s="41"/>
    </row>
    <row r="32413" spans="20:20" s="566" customFormat="1">
      <c r="T32413" s="41"/>
    </row>
    <row r="32414" spans="20:20" s="566" customFormat="1">
      <c r="T32414" s="41"/>
    </row>
    <row r="32415" spans="20:20" s="566" customFormat="1">
      <c r="T32415" s="41"/>
    </row>
    <row r="32416" spans="20:20" s="566" customFormat="1">
      <c r="T32416" s="41"/>
    </row>
    <row r="32417" spans="20:20" s="566" customFormat="1">
      <c r="T32417" s="41"/>
    </row>
    <row r="32418" spans="20:20" s="566" customFormat="1">
      <c r="T32418" s="41"/>
    </row>
    <row r="32419" spans="20:20" s="566" customFormat="1">
      <c r="T32419" s="41"/>
    </row>
    <row r="32420" spans="20:20" s="566" customFormat="1">
      <c r="T32420" s="41"/>
    </row>
    <row r="32421" spans="20:20" s="566" customFormat="1">
      <c r="T32421" s="41"/>
    </row>
    <row r="32422" spans="20:20" s="566" customFormat="1">
      <c r="T32422" s="41"/>
    </row>
    <row r="32423" spans="20:20" s="566" customFormat="1">
      <c r="T32423" s="41"/>
    </row>
    <row r="32424" spans="20:20" s="566" customFormat="1">
      <c r="T32424" s="41"/>
    </row>
    <row r="32425" spans="20:20" s="566" customFormat="1">
      <c r="T32425" s="41"/>
    </row>
    <row r="32426" spans="20:20" s="566" customFormat="1">
      <c r="T32426" s="41"/>
    </row>
    <row r="32427" spans="20:20" s="566" customFormat="1">
      <c r="T32427" s="41"/>
    </row>
    <row r="32428" spans="20:20" s="566" customFormat="1">
      <c r="T32428" s="41"/>
    </row>
    <row r="32429" spans="20:20" s="566" customFormat="1">
      <c r="T32429" s="41"/>
    </row>
    <row r="32430" spans="20:20" s="566" customFormat="1">
      <c r="T32430" s="41"/>
    </row>
    <row r="32431" spans="20:20" s="566" customFormat="1">
      <c r="T32431" s="41"/>
    </row>
    <row r="32432" spans="20:20" s="566" customFormat="1">
      <c r="T32432" s="41"/>
    </row>
    <row r="32433" spans="20:20" s="566" customFormat="1">
      <c r="T32433" s="41"/>
    </row>
    <row r="32434" spans="20:20" s="566" customFormat="1">
      <c r="T32434" s="41"/>
    </row>
    <row r="32435" spans="20:20" s="566" customFormat="1">
      <c r="T32435" s="41"/>
    </row>
    <row r="32436" spans="20:20" s="566" customFormat="1">
      <c r="T32436" s="41"/>
    </row>
    <row r="32437" spans="20:20" s="566" customFormat="1">
      <c r="T32437" s="41"/>
    </row>
    <row r="32438" spans="20:20" s="566" customFormat="1">
      <c r="T32438" s="41"/>
    </row>
    <row r="32439" spans="20:20" s="566" customFormat="1">
      <c r="T32439" s="41"/>
    </row>
    <row r="32440" spans="20:20" s="566" customFormat="1">
      <c r="T32440" s="41"/>
    </row>
    <row r="32441" spans="20:20" s="566" customFormat="1">
      <c r="T32441" s="41"/>
    </row>
    <row r="32442" spans="20:20" s="566" customFormat="1">
      <c r="T32442" s="41"/>
    </row>
    <row r="32443" spans="20:20" s="566" customFormat="1">
      <c r="T32443" s="41"/>
    </row>
    <row r="32444" spans="20:20" s="566" customFormat="1">
      <c r="T32444" s="41"/>
    </row>
    <row r="32445" spans="20:20" s="566" customFormat="1">
      <c r="T32445" s="41"/>
    </row>
    <row r="32446" spans="20:20" s="566" customFormat="1">
      <c r="T32446" s="41"/>
    </row>
    <row r="32447" spans="20:20" s="566" customFormat="1">
      <c r="T32447" s="41"/>
    </row>
    <row r="32448" spans="20:20" s="566" customFormat="1">
      <c r="T32448" s="41"/>
    </row>
    <row r="32449" spans="20:20" s="566" customFormat="1">
      <c r="T32449" s="41"/>
    </row>
    <row r="32450" spans="20:20" s="566" customFormat="1">
      <c r="T32450" s="41"/>
    </row>
    <row r="32451" spans="20:20" s="566" customFormat="1">
      <c r="T32451" s="41"/>
    </row>
    <row r="32452" spans="20:20" s="566" customFormat="1">
      <c r="T32452" s="41"/>
    </row>
    <row r="32453" spans="20:20" s="566" customFormat="1">
      <c r="T32453" s="41"/>
    </row>
    <row r="32454" spans="20:20" s="566" customFormat="1">
      <c r="T32454" s="41"/>
    </row>
    <row r="32455" spans="20:20" s="566" customFormat="1">
      <c r="T32455" s="41"/>
    </row>
    <row r="32456" spans="20:20" s="566" customFormat="1">
      <c r="T32456" s="41"/>
    </row>
    <row r="32457" spans="20:20" s="566" customFormat="1">
      <c r="T32457" s="41"/>
    </row>
    <row r="32458" spans="20:20" s="566" customFormat="1">
      <c r="T32458" s="41"/>
    </row>
    <row r="32459" spans="20:20" s="566" customFormat="1">
      <c r="T32459" s="41"/>
    </row>
    <row r="32460" spans="20:20" s="566" customFormat="1">
      <c r="T32460" s="41"/>
    </row>
    <row r="32461" spans="20:20" s="566" customFormat="1">
      <c r="T32461" s="41"/>
    </row>
    <row r="32462" spans="20:20" s="566" customFormat="1">
      <c r="T32462" s="41"/>
    </row>
    <row r="32463" spans="20:20" s="566" customFormat="1">
      <c r="T32463" s="41"/>
    </row>
    <row r="32464" spans="20:20" s="566" customFormat="1">
      <c r="T32464" s="41"/>
    </row>
    <row r="32465" spans="20:20" s="566" customFormat="1">
      <c r="T32465" s="41"/>
    </row>
    <row r="32466" spans="20:20" s="566" customFormat="1">
      <c r="T32466" s="41"/>
    </row>
    <row r="32467" spans="20:20" s="566" customFormat="1">
      <c r="T32467" s="41"/>
    </row>
    <row r="32468" spans="20:20" s="566" customFormat="1">
      <c r="T32468" s="41"/>
    </row>
    <row r="32469" spans="20:20" s="566" customFormat="1">
      <c r="T32469" s="41"/>
    </row>
    <row r="32470" spans="20:20" s="566" customFormat="1">
      <c r="T32470" s="41"/>
    </row>
    <row r="32471" spans="20:20" s="566" customFormat="1">
      <c r="T32471" s="41"/>
    </row>
    <row r="32472" spans="20:20" s="566" customFormat="1">
      <c r="T32472" s="41"/>
    </row>
    <row r="32473" spans="20:20" s="566" customFormat="1">
      <c r="T32473" s="41"/>
    </row>
    <row r="32474" spans="20:20" s="566" customFormat="1">
      <c r="T32474" s="41"/>
    </row>
    <row r="32475" spans="20:20" s="566" customFormat="1">
      <c r="T32475" s="41"/>
    </row>
    <row r="32476" spans="20:20" s="566" customFormat="1">
      <c r="T32476" s="41"/>
    </row>
    <row r="32477" spans="20:20" s="566" customFormat="1">
      <c r="T32477" s="41"/>
    </row>
    <row r="32478" spans="20:20" s="566" customFormat="1">
      <c r="T32478" s="41"/>
    </row>
    <row r="32479" spans="20:20" s="566" customFormat="1">
      <c r="T32479" s="41"/>
    </row>
    <row r="32480" spans="20:20" s="566" customFormat="1">
      <c r="T32480" s="41"/>
    </row>
    <row r="32481" spans="20:20" s="566" customFormat="1">
      <c r="T32481" s="41"/>
    </row>
    <row r="32482" spans="20:20" s="566" customFormat="1">
      <c r="T32482" s="41"/>
    </row>
    <row r="32483" spans="20:20" s="566" customFormat="1">
      <c r="T32483" s="41"/>
    </row>
    <row r="32484" spans="20:20" s="566" customFormat="1">
      <c r="T32484" s="41"/>
    </row>
    <row r="32485" spans="20:20" s="566" customFormat="1">
      <c r="T32485" s="41"/>
    </row>
    <row r="32486" spans="20:20" s="566" customFormat="1">
      <c r="T32486" s="41"/>
    </row>
    <row r="32487" spans="20:20" s="566" customFormat="1">
      <c r="T32487" s="41"/>
    </row>
    <row r="32488" spans="20:20" s="566" customFormat="1">
      <c r="T32488" s="41"/>
    </row>
    <row r="32489" spans="20:20" s="566" customFormat="1">
      <c r="T32489" s="41"/>
    </row>
    <row r="32490" spans="20:20" s="566" customFormat="1">
      <c r="T32490" s="41"/>
    </row>
    <row r="32491" spans="20:20" s="566" customFormat="1">
      <c r="T32491" s="41"/>
    </row>
    <row r="32492" spans="20:20" s="566" customFormat="1">
      <c r="T32492" s="41"/>
    </row>
    <row r="32493" spans="20:20" s="566" customFormat="1">
      <c r="T32493" s="41"/>
    </row>
    <row r="32494" spans="20:20" s="566" customFormat="1">
      <c r="T32494" s="41"/>
    </row>
    <row r="32495" spans="20:20" s="566" customFormat="1">
      <c r="T32495" s="41"/>
    </row>
    <row r="32496" spans="20:20" s="566" customFormat="1">
      <c r="T32496" s="41"/>
    </row>
    <row r="32497" spans="20:20" s="566" customFormat="1">
      <c r="T32497" s="41"/>
    </row>
    <row r="32498" spans="20:20" s="566" customFormat="1">
      <c r="T32498" s="41"/>
    </row>
    <row r="32499" spans="20:20" s="566" customFormat="1">
      <c r="T32499" s="41"/>
    </row>
    <row r="32500" spans="20:20" s="566" customFormat="1">
      <c r="T32500" s="41"/>
    </row>
    <row r="32501" spans="20:20" s="566" customFormat="1">
      <c r="T32501" s="41"/>
    </row>
    <row r="32502" spans="20:20" s="566" customFormat="1">
      <c r="T32502" s="41"/>
    </row>
    <row r="32503" spans="20:20" s="566" customFormat="1">
      <c r="T32503" s="41"/>
    </row>
    <row r="32504" spans="20:20" s="566" customFormat="1">
      <c r="T32504" s="41"/>
    </row>
    <row r="32505" spans="20:20" s="566" customFormat="1">
      <c r="T32505" s="41"/>
    </row>
    <row r="32506" spans="20:20" s="566" customFormat="1">
      <c r="T32506" s="41"/>
    </row>
    <row r="32507" spans="20:20" s="566" customFormat="1">
      <c r="T32507" s="41"/>
    </row>
    <row r="32508" spans="20:20" s="566" customFormat="1">
      <c r="T32508" s="41"/>
    </row>
    <row r="32509" spans="20:20" s="566" customFormat="1">
      <c r="T32509" s="41"/>
    </row>
    <row r="32510" spans="20:20" s="566" customFormat="1">
      <c r="T32510" s="41"/>
    </row>
    <row r="32511" spans="20:20" s="566" customFormat="1">
      <c r="T32511" s="41"/>
    </row>
    <row r="32512" spans="20:20" s="566" customFormat="1">
      <c r="T32512" s="41"/>
    </row>
    <row r="32513" spans="20:20" s="566" customFormat="1">
      <c r="T32513" s="41"/>
    </row>
    <row r="32514" spans="20:20" s="566" customFormat="1">
      <c r="T32514" s="41"/>
    </row>
    <row r="32515" spans="20:20" s="566" customFormat="1">
      <c r="T32515" s="41"/>
    </row>
    <row r="32516" spans="20:20" s="566" customFormat="1">
      <c r="T32516" s="41"/>
    </row>
    <row r="32517" spans="20:20" s="566" customFormat="1">
      <c r="T32517" s="41"/>
    </row>
    <row r="32518" spans="20:20" s="566" customFormat="1">
      <c r="T32518" s="41"/>
    </row>
    <row r="32519" spans="20:20" s="566" customFormat="1">
      <c r="T32519" s="41"/>
    </row>
    <row r="32520" spans="20:20" s="566" customFormat="1">
      <c r="T32520" s="41"/>
    </row>
    <row r="32521" spans="20:20" s="566" customFormat="1">
      <c r="T32521" s="41"/>
    </row>
    <row r="32522" spans="20:20" s="566" customFormat="1">
      <c r="T32522" s="41"/>
    </row>
    <row r="32523" spans="20:20" s="566" customFormat="1">
      <c r="T32523" s="41"/>
    </row>
    <row r="32524" spans="20:20" s="566" customFormat="1">
      <c r="T32524" s="41"/>
    </row>
    <row r="32525" spans="20:20" s="566" customFormat="1">
      <c r="T32525" s="41"/>
    </row>
    <row r="32526" spans="20:20" s="566" customFormat="1">
      <c r="T32526" s="41"/>
    </row>
    <row r="32527" spans="20:20" s="566" customFormat="1">
      <c r="T32527" s="41"/>
    </row>
    <row r="32528" spans="20:20" s="566" customFormat="1">
      <c r="T32528" s="41"/>
    </row>
    <row r="32529" spans="20:20" s="566" customFormat="1">
      <c r="T32529" s="41"/>
    </row>
    <row r="32530" spans="20:20" s="566" customFormat="1">
      <c r="T32530" s="41"/>
    </row>
    <row r="32531" spans="20:20" s="566" customFormat="1">
      <c r="T32531" s="41"/>
    </row>
    <row r="32532" spans="20:20" s="566" customFormat="1">
      <c r="T32532" s="41"/>
    </row>
    <row r="32533" spans="20:20" s="566" customFormat="1">
      <c r="T32533" s="41"/>
    </row>
    <row r="32534" spans="20:20" s="566" customFormat="1">
      <c r="T32534" s="41"/>
    </row>
    <row r="32535" spans="20:20" s="566" customFormat="1">
      <c r="T32535" s="41"/>
    </row>
    <row r="32536" spans="20:20" s="566" customFormat="1">
      <c r="T32536" s="41"/>
    </row>
    <row r="32537" spans="20:20" s="566" customFormat="1">
      <c r="T32537" s="41"/>
    </row>
    <row r="32538" spans="20:20" s="566" customFormat="1">
      <c r="T32538" s="41"/>
    </row>
    <row r="32539" spans="20:20" s="566" customFormat="1">
      <c r="T32539" s="41"/>
    </row>
    <row r="32540" spans="20:20" s="566" customFormat="1">
      <c r="T32540" s="41"/>
    </row>
    <row r="32541" spans="20:20" s="566" customFormat="1">
      <c r="T32541" s="41"/>
    </row>
    <row r="32542" spans="20:20" s="566" customFormat="1">
      <c r="T32542" s="41"/>
    </row>
    <row r="32543" spans="20:20" s="566" customFormat="1">
      <c r="T32543" s="41"/>
    </row>
    <row r="32544" spans="20:20" s="566" customFormat="1">
      <c r="T32544" s="41"/>
    </row>
    <row r="32545" spans="20:20" s="566" customFormat="1">
      <c r="T32545" s="41"/>
    </row>
    <row r="32546" spans="20:20" s="566" customFormat="1">
      <c r="T32546" s="41"/>
    </row>
    <row r="32547" spans="20:20" s="566" customFormat="1">
      <c r="T32547" s="41"/>
    </row>
    <row r="32548" spans="20:20" s="566" customFormat="1">
      <c r="T32548" s="41"/>
    </row>
    <row r="32549" spans="20:20" s="566" customFormat="1">
      <c r="T32549" s="41"/>
    </row>
    <row r="32550" spans="20:20" s="566" customFormat="1">
      <c r="T32550" s="41"/>
    </row>
    <row r="32551" spans="20:20" s="566" customFormat="1">
      <c r="T32551" s="41"/>
    </row>
    <row r="32552" spans="20:20" s="566" customFormat="1">
      <c r="T32552" s="41"/>
    </row>
    <row r="32553" spans="20:20" s="566" customFormat="1">
      <c r="T32553" s="41"/>
    </row>
    <row r="32554" spans="20:20" s="566" customFormat="1">
      <c r="T32554" s="41"/>
    </row>
    <row r="32555" spans="20:20" s="566" customFormat="1">
      <c r="T32555" s="41"/>
    </row>
    <row r="32556" spans="20:20" s="566" customFormat="1">
      <c r="T32556" s="41"/>
    </row>
    <row r="32557" spans="20:20" s="566" customFormat="1">
      <c r="T32557" s="41"/>
    </row>
    <row r="32558" spans="20:20" s="566" customFormat="1">
      <c r="T32558" s="41"/>
    </row>
    <row r="32559" spans="20:20" s="566" customFormat="1">
      <c r="T32559" s="41"/>
    </row>
    <row r="32560" spans="20:20" s="566" customFormat="1">
      <c r="T32560" s="41"/>
    </row>
    <row r="32561" spans="20:20" s="566" customFormat="1">
      <c r="T32561" s="41"/>
    </row>
    <row r="32562" spans="20:20" s="566" customFormat="1">
      <c r="T32562" s="41"/>
    </row>
    <row r="32563" spans="20:20" s="566" customFormat="1">
      <c r="T32563" s="41"/>
    </row>
    <row r="32564" spans="20:20" s="566" customFormat="1">
      <c r="T32564" s="41"/>
    </row>
    <row r="32565" spans="20:20" s="566" customFormat="1">
      <c r="T32565" s="41"/>
    </row>
    <row r="32566" spans="20:20" s="566" customFormat="1">
      <c r="T32566" s="41"/>
    </row>
    <row r="32567" spans="20:20" s="566" customFormat="1">
      <c r="T32567" s="41"/>
    </row>
    <row r="32568" spans="20:20" s="566" customFormat="1">
      <c r="T32568" s="41"/>
    </row>
    <row r="32569" spans="20:20" s="566" customFormat="1">
      <c r="T32569" s="41"/>
    </row>
    <row r="32570" spans="20:20" s="566" customFormat="1">
      <c r="T32570" s="41"/>
    </row>
    <row r="32571" spans="20:20" s="566" customFormat="1">
      <c r="T32571" s="41"/>
    </row>
    <row r="32572" spans="20:20" s="566" customFormat="1">
      <c r="T32572" s="41"/>
    </row>
    <row r="32573" spans="20:20" s="566" customFormat="1">
      <c r="T32573" s="41"/>
    </row>
    <row r="32574" spans="20:20" s="566" customFormat="1">
      <c r="T32574" s="41"/>
    </row>
    <row r="32575" spans="20:20" s="566" customFormat="1">
      <c r="T32575" s="41"/>
    </row>
    <row r="32576" spans="20:20" s="566" customFormat="1">
      <c r="T32576" s="41"/>
    </row>
    <row r="32577" spans="20:20" s="566" customFormat="1">
      <c r="T32577" s="41"/>
    </row>
    <row r="32578" spans="20:20" s="566" customFormat="1">
      <c r="T32578" s="41"/>
    </row>
    <row r="32579" spans="20:20" s="566" customFormat="1">
      <c r="T32579" s="41"/>
    </row>
    <row r="32580" spans="20:20" s="566" customFormat="1">
      <c r="T32580" s="41"/>
    </row>
    <row r="32581" spans="20:20" s="566" customFormat="1">
      <c r="T32581" s="41"/>
    </row>
    <row r="32582" spans="20:20" s="566" customFormat="1">
      <c r="T32582" s="41"/>
    </row>
    <row r="32583" spans="20:20" s="566" customFormat="1">
      <c r="T32583" s="41"/>
    </row>
    <row r="32584" spans="20:20" s="566" customFormat="1">
      <c r="T32584" s="41"/>
    </row>
    <row r="32585" spans="20:20" s="566" customFormat="1">
      <c r="T32585" s="41"/>
    </row>
    <row r="32586" spans="20:20" s="566" customFormat="1">
      <c r="T32586" s="41"/>
    </row>
    <row r="32587" spans="20:20" s="566" customFormat="1">
      <c r="T32587" s="41"/>
    </row>
    <row r="32588" spans="20:20" s="566" customFormat="1">
      <c r="T32588" s="41"/>
    </row>
    <row r="32589" spans="20:20" s="566" customFormat="1">
      <c r="T32589" s="41"/>
    </row>
    <row r="32590" spans="20:20" s="566" customFormat="1">
      <c r="T32590" s="41"/>
    </row>
    <row r="32591" spans="20:20" s="566" customFormat="1">
      <c r="T32591" s="41"/>
    </row>
    <row r="32592" spans="20:20" s="566" customFormat="1">
      <c r="T32592" s="41"/>
    </row>
    <row r="32593" spans="20:20" s="566" customFormat="1">
      <c r="T32593" s="41"/>
    </row>
    <row r="32594" spans="20:20" s="566" customFormat="1">
      <c r="T32594" s="41"/>
    </row>
    <row r="32595" spans="20:20" s="566" customFormat="1">
      <c r="T32595" s="41"/>
    </row>
    <row r="32596" spans="20:20" s="566" customFormat="1">
      <c r="T32596" s="41"/>
    </row>
    <row r="32597" spans="20:20" s="566" customFormat="1">
      <c r="T32597" s="41"/>
    </row>
    <row r="32598" spans="20:20" s="566" customFormat="1">
      <c r="T32598" s="41"/>
    </row>
    <row r="32599" spans="20:20" s="566" customFormat="1">
      <c r="T32599" s="41"/>
    </row>
    <row r="32600" spans="20:20" s="566" customFormat="1">
      <c r="T32600" s="41"/>
    </row>
    <row r="32601" spans="20:20" s="566" customFormat="1">
      <c r="T32601" s="41"/>
    </row>
    <row r="32602" spans="20:20" s="566" customFormat="1">
      <c r="T32602" s="41"/>
    </row>
    <row r="32603" spans="20:20" s="566" customFormat="1">
      <c r="T32603" s="41"/>
    </row>
    <row r="32604" spans="20:20" s="566" customFormat="1">
      <c r="T32604" s="41"/>
    </row>
    <row r="32605" spans="20:20" s="566" customFormat="1">
      <c r="T32605" s="41"/>
    </row>
    <row r="32606" spans="20:20" s="566" customFormat="1">
      <c r="T32606" s="41"/>
    </row>
    <row r="32607" spans="20:20" s="566" customFormat="1">
      <c r="T32607" s="41"/>
    </row>
    <row r="32608" spans="20:20" s="566" customFormat="1">
      <c r="T32608" s="41"/>
    </row>
    <row r="32609" spans="20:20" s="566" customFormat="1">
      <c r="T32609" s="41"/>
    </row>
    <row r="32610" spans="20:20" s="566" customFormat="1">
      <c r="T32610" s="41"/>
    </row>
    <row r="32611" spans="20:20" s="566" customFormat="1">
      <c r="T32611" s="41"/>
    </row>
    <row r="32612" spans="20:20" s="566" customFormat="1">
      <c r="T32612" s="41"/>
    </row>
    <row r="32613" spans="20:20" s="566" customFormat="1">
      <c r="T32613" s="41"/>
    </row>
    <row r="32614" spans="20:20" s="566" customFormat="1">
      <c r="T32614" s="41"/>
    </row>
    <row r="32615" spans="20:20" s="566" customFormat="1">
      <c r="T32615" s="41"/>
    </row>
    <row r="32616" spans="20:20" s="566" customFormat="1">
      <c r="T32616" s="41"/>
    </row>
    <row r="32617" spans="20:20" s="566" customFormat="1">
      <c r="T32617" s="41"/>
    </row>
    <row r="32618" spans="20:20" s="566" customFormat="1">
      <c r="T32618" s="41"/>
    </row>
    <row r="32619" spans="20:20" s="566" customFormat="1">
      <c r="T32619" s="41"/>
    </row>
    <row r="32620" spans="20:20" s="566" customFormat="1">
      <c r="T32620" s="41"/>
    </row>
    <row r="32621" spans="20:20" s="566" customFormat="1">
      <c r="T32621" s="41"/>
    </row>
    <row r="32622" spans="20:20" s="566" customFormat="1">
      <c r="T32622" s="41"/>
    </row>
    <row r="32623" spans="20:20" s="566" customFormat="1">
      <c r="T32623" s="41"/>
    </row>
    <row r="32624" spans="20:20" s="566" customFormat="1">
      <c r="T32624" s="41"/>
    </row>
    <row r="32625" spans="20:20" s="566" customFormat="1">
      <c r="T32625" s="41"/>
    </row>
    <row r="32626" spans="20:20" s="566" customFormat="1">
      <c r="T32626" s="41"/>
    </row>
    <row r="32627" spans="20:20" s="566" customFormat="1">
      <c r="T32627" s="41"/>
    </row>
    <row r="32628" spans="20:20" s="566" customFormat="1">
      <c r="T32628" s="41"/>
    </row>
    <row r="32629" spans="20:20" s="566" customFormat="1">
      <c r="T32629" s="41"/>
    </row>
    <row r="32630" spans="20:20" s="566" customFormat="1">
      <c r="T32630" s="41"/>
    </row>
    <row r="32631" spans="20:20" s="566" customFormat="1">
      <c r="T32631" s="41"/>
    </row>
    <row r="32632" spans="20:20" s="566" customFormat="1">
      <c r="T32632" s="41"/>
    </row>
    <row r="32633" spans="20:20" s="566" customFormat="1">
      <c r="T32633" s="41"/>
    </row>
    <row r="32634" spans="20:20" s="566" customFormat="1">
      <c r="T32634" s="41"/>
    </row>
    <row r="32635" spans="20:20" s="566" customFormat="1">
      <c r="T32635" s="41"/>
    </row>
    <row r="32636" spans="20:20" s="566" customFormat="1">
      <c r="T32636" s="41"/>
    </row>
    <row r="32637" spans="20:20" s="566" customFormat="1">
      <c r="T32637" s="41"/>
    </row>
    <row r="32638" spans="20:20" s="566" customFormat="1">
      <c r="T32638" s="41"/>
    </row>
    <row r="32639" spans="20:20" s="566" customFormat="1">
      <c r="T32639" s="41"/>
    </row>
    <row r="32640" spans="20:20" s="566" customFormat="1">
      <c r="T32640" s="41"/>
    </row>
    <row r="32641" spans="20:20" s="566" customFormat="1">
      <c r="T32641" s="41"/>
    </row>
    <row r="32642" spans="20:20" s="566" customFormat="1">
      <c r="T32642" s="41"/>
    </row>
    <row r="32643" spans="20:20" s="566" customFormat="1">
      <c r="T32643" s="41"/>
    </row>
    <row r="32644" spans="20:20" s="566" customFormat="1">
      <c r="T32644" s="41"/>
    </row>
    <row r="32645" spans="20:20" s="566" customFormat="1">
      <c r="T32645" s="41"/>
    </row>
    <row r="32646" spans="20:20" s="566" customFormat="1">
      <c r="T32646" s="41"/>
    </row>
    <row r="32647" spans="20:20" s="566" customFormat="1">
      <c r="T32647" s="41"/>
    </row>
    <row r="32648" spans="20:20" s="566" customFormat="1">
      <c r="T32648" s="41"/>
    </row>
    <row r="32649" spans="20:20" s="566" customFormat="1">
      <c r="T32649" s="41"/>
    </row>
    <row r="32650" spans="20:20" s="566" customFormat="1">
      <c r="T32650" s="41"/>
    </row>
    <row r="32651" spans="20:20" s="566" customFormat="1">
      <c r="T32651" s="41"/>
    </row>
    <row r="32652" spans="20:20" s="566" customFormat="1">
      <c r="T32652" s="41"/>
    </row>
    <row r="32653" spans="20:20" s="566" customFormat="1">
      <c r="T32653" s="41"/>
    </row>
    <row r="32654" spans="20:20" s="566" customFormat="1">
      <c r="T32654" s="41"/>
    </row>
    <row r="32655" spans="20:20" s="566" customFormat="1">
      <c r="T32655" s="41"/>
    </row>
    <row r="32656" spans="20:20" s="566" customFormat="1">
      <c r="T32656" s="41"/>
    </row>
    <row r="32657" spans="20:20" s="566" customFormat="1">
      <c r="T32657" s="41"/>
    </row>
    <row r="32658" spans="20:20" s="566" customFormat="1">
      <c r="T32658" s="41"/>
    </row>
    <row r="32659" spans="20:20" s="566" customFormat="1">
      <c r="T32659" s="41"/>
    </row>
    <row r="32660" spans="20:20" s="566" customFormat="1">
      <c r="T32660" s="41"/>
    </row>
    <row r="32661" spans="20:20" s="566" customFormat="1">
      <c r="T32661" s="41"/>
    </row>
    <row r="32662" spans="20:20" s="566" customFormat="1">
      <c r="T32662" s="41"/>
    </row>
    <row r="32663" spans="20:20" s="566" customFormat="1">
      <c r="T32663" s="41"/>
    </row>
    <row r="32664" spans="20:20" s="566" customFormat="1">
      <c r="T32664" s="41"/>
    </row>
    <row r="32665" spans="20:20" s="566" customFormat="1">
      <c r="T32665" s="41"/>
    </row>
    <row r="32666" spans="20:20" s="566" customFormat="1">
      <c r="T32666" s="41"/>
    </row>
    <row r="32667" spans="20:20" s="566" customFormat="1">
      <c r="T32667" s="41"/>
    </row>
    <row r="32668" spans="20:20" s="566" customFormat="1">
      <c r="T32668" s="41"/>
    </row>
    <row r="32669" spans="20:20" s="566" customFormat="1">
      <c r="T32669" s="41"/>
    </row>
    <row r="32670" spans="20:20" s="566" customFormat="1">
      <c r="T32670" s="41"/>
    </row>
    <row r="32671" spans="20:20" s="566" customFormat="1">
      <c r="T32671" s="41"/>
    </row>
    <row r="32672" spans="20:20" s="566" customFormat="1">
      <c r="T32672" s="41"/>
    </row>
    <row r="32673" spans="20:20" s="566" customFormat="1">
      <c r="T32673" s="41"/>
    </row>
    <row r="32674" spans="20:20" s="566" customFormat="1">
      <c r="T32674" s="41"/>
    </row>
    <row r="32675" spans="20:20" s="566" customFormat="1">
      <c r="T32675" s="41"/>
    </row>
    <row r="32676" spans="20:20" s="566" customFormat="1">
      <c r="T32676" s="41"/>
    </row>
    <row r="32677" spans="20:20" s="566" customFormat="1">
      <c r="T32677" s="41"/>
    </row>
    <row r="32678" spans="20:20" s="566" customFormat="1">
      <c r="T32678" s="41"/>
    </row>
    <row r="32679" spans="20:20" s="566" customFormat="1">
      <c r="T32679" s="41"/>
    </row>
    <row r="32680" spans="20:20" s="566" customFormat="1">
      <c r="T32680" s="41"/>
    </row>
    <row r="32681" spans="20:20" s="566" customFormat="1">
      <c r="T32681" s="41"/>
    </row>
    <row r="32682" spans="20:20" s="566" customFormat="1">
      <c r="T32682" s="41"/>
    </row>
    <row r="32683" spans="20:20" s="566" customFormat="1">
      <c r="T32683" s="41"/>
    </row>
    <row r="32684" spans="20:20" s="566" customFormat="1">
      <c r="T32684" s="41"/>
    </row>
    <row r="32685" spans="20:20" s="566" customFormat="1">
      <c r="T32685" s="41"/>
    </row>
    <row r="32686" spans="20:20" s="566" customFormat="1">
      <c r="T32686" s="41"/>
    </row>
    <row r="32687" spans="20:20" s="566" customFormat="1">
      <c r="T32687" s="41"/>
    </row>
    <row r="32688" spans="20:20" s="566" customFormat="1">
      <c r="T32688" s="41"/>
    </row>
    <row r="32689" spans="20:20" s="566" customFormat="1">
      <c r="T32689" s="41"/>
    </row>
    <row r="32690" spans="20:20" s="566" customFormat="1">
      <c r="T32690" s="41"/>
    </row>
    <row r="32691" spans="20:20" s="566" customFormat="1">
      <c r="T32691" s="41"/>
    </row>
    <row r="32692" spans="20:20" s="566" customFormat="1">
      <c r="T32692" s="41"/>
    </row>
    <row r="32693" spans="20:20" s="566" customFormat="1">
      <c r="T32693" s="41"/>
    </row>
    <row r="32694" spans="20:20" s="566" customFormat="1">
      <c r="T32694" s="41"/>
    </row>
    <row r="32695" spans="20:20" s="566" customFormat="1">
      <c r="T32695" s="41"/>
    </row>
    <row r="32696" spans="20:20" s="566" customFormat="1">
      <c r="T32696" s="41"/>
    </row>
    <row r="32697" spans="20:20" s="566" customFormat="1">
      <c r="T32697" s="41"/>
    </row>
    <row r="32698" spans="20:20" s="566" customFormat="1">
      <c r="T32698" s="41"/>
    </row>
    <row r="32699" spans="20:20" s="566" customFormat="1">
      <c r="T32699" s="41"/>
    </row>
    <row r="32700" spans="20:20" s="566" customFormat="1">
      <c r="T32700" s="41"/>
    </row>
    <row r="32701" spans="20:20" s="566" customFormat="1">
      <c r="T32701" s="41"/>
    </row>
    <row r="32702" spans="20:20" s="566" customFormat="1">
      <c r="T32702" s="41"/>
    </row>
    <row r="32703" spans="20:20" s="566" customFormat="1">
      <c r="T32703" s="41"/>
    </row>
    <row r="32704" spans="20:20" s="566" customFormat="1">
      <c r="T32704" s="41"/>
    </row>
    <row r="32705" spans="20:20" s="566" customFormat="1">
      <c r="T32705" s="41"/>
    </row>
    <row r="32706" spans="20:20" s="566" customFormat="1">
      <c r="T32706" s="41"/>
    </row>
    <row r="32707" spans="20:20" s="566" customFormat="1">
      <c r="T32707" s="41"/>
    </row>
    <row r="32708" spans="20:20" s="566" customFormat="1">
      <c r="T32708" s="41"/>
    </row>
    <row r="32709" spans="20:20" s="566" customFormat="1">
      <c r="T32709" s="41"/>
    </row>
    <row r="32710" spans="20:20" s="566" customFormat="1">
      <c r="T32710" s="41"/>
    </row>
    <row r="32711" spans="20:20" s="566" customFormat="1">
      <c r="T32711" s="41"/>
    </row>
    <row r="32712" spans="20:20" s="566" customFormat="1">
      <c r="T32712" s="41"/>
    </row>
    <row r="32713" spans="20:20" s="566" customFormat="1">
      <c r="T32713" s="41"/>
    </row>
    <row r="32714" spans="20:20" s="566" customFormat="1">
      <c r="T32714" s="41"/>
    </row>
    <row r="32715" spans="20:20" s="566" customFormat="1">
      <c r="T32715" s="41"/>
    </row>
    <row r="32716" spans="20:20" s="566" customFormat="1">
      <c r="T32716" s="41"/>
    </row>
    <row r="32717" spans="20:20" s="566" customFormat="1">
      <c r="T32717" s="41"/>
    </row>
    <row r="32718" spans="20:20" s="566" customFormat="1">
      <c r="T32718" s="41"/>
    </row>
    <row r="32719" spans="20:20" s="566" customFormat="1">
      <c r="T32719" s="41"/>
    </row>
    <row r="32720" spans="20:20" s="566" customFormat="1">
      <c r="T32720" s="41"/>
    </row>
    <row r="32721" spans="20:20" s="566" customFormat="1">
      <c r="T32721" s="41"/>
    </row>
    <row r="32722" spans="20:20" s="566" customFormat="1">
      <c r="T32722" s="41"/>
    </row>
    <row r="32723" spans="20:20" s="566" customFormat="1">
      <c r="T32723" s="41"/>
    </row>
    <row r="32724" spans="20:20" s="566" customFormat="1">
      <c r="T32724" s="41"/>
    </row>
    <row r="32725" spans="20:20" s="566" customFormat="1">
      <c r="T32725" s="41"/>
    </row>
    <row r="32726" spans="20:20" s="566" customFormat="1">
      <c r="T32726" s="41"/>
    </row>
    <row r="32727" spans="20:20" s="566" customFormat="1">
      <c r="T32727" s="41"/>
    </row>
    <row r="32728" spans="20:20" s="566" customFormat="1">
      <c r="T32728" s="41"/>
    </row>
    <row r="32729" spans="20:20" s="566" customFormat="1">
      <c r="T32729" s="41"/>
    </row>
    <row r="32730" spans="20:20" s="566" customFormat="1">
      <c r="T32730" s="41"/>
    </row>
    <row r="32731" spans="20:20" s="566" customFormat="1">
      <c r="T32731" s="41"/>
    </row>
    <row r="32732" spans="20:20" s="566" customFormat="1">
      <c r="T32732" s="41"/>
    </row>
    <row r="32733" spans="20:20" s="566" customFormat="1">
      <c r="T32733" s="41"/>
    </row>
    <row r="32734" spans="20:20" s="566" customFormat="1">
      <c r="T32734" s="41"/>
    </row>
    <row r="32735" spans="20:20" s="566" customFormat="1">
      <c r="T32735" s="41"/>
    </row>
    <row r="32736" spans="20:20" s="566" customFormat="1">
      <c r="T32736" s="41"/>
    </row>
    <row r="32737" spans="20:20" s="566" customFormat="1">
      <c r="T32737" s="41"/>
    </row>
    <row r="32738" spans="20:20" s="566" customFormat="1">
      <c r="T32738" s="41"/>
    </row>
    <row r="32739" spans="20:20" s="566" customFormat="1">
      <c r="T32739" s="41"/>
    </row>
    <row r="32740" spans="20:20" s="566" customFormat="1">
      <c r="T32740" s="41"/>
    </row>
    <row r="32741" spans="20:20" s="566" customFormat="1">
      <c r="T32741" s="41"/>
    </row>
    <row r="32742" spans="20:20" s="566" customFormat="1">
      <c r="T32742" s="41"/>
    </row>
    <row r="32743" spans="20:20" s="566" customFormat="1">
      <c r="T32743" s="41"/>
    </row>
    <row r="32744" spans="20:20" s="566" customFormat="1">
      <c r="T32744" s="41"/>
    </row>
    <row r="32745" spans="20:20" s="566" customFormat="1">
      <c r="T32745" s="41"/>
    </row>
    <row r="32746" spans="20:20" s="566" customFormat="1">
      <c r="T32746" s="41"/>
    </row>
    <row r="32747" spans="20:20" s="566" customFormat="1">
      <c r="T32747" s="41"/>
    </row>
    <row r="32748" spans="20:20" s="566" customFormat="1">
      <c r="T32748" s="41"/>
    </row>
    <row r="32749" spans="20:20" s="566" customFormat="1">
      <c r="T32749" s="41"/>
    </row>
    <row r="32750" spans="20:20" s="566" customFormat="1">
      <c r="T32750" s="41"/>
    </row>
    <row r="32751" spans="20:20" s="566" customFormat="1">
      <c r="T32751" s="41"/>
    </row>
    <row r="32752" spans="20:20" s="566" customFormat="1">
      <c r="T32752" s="41"/>
    </row>
    <row r="32753" spans="20:20" s="566" customFormat="1">
      <c r="T32753" s="41"/>
    </row>
    <row r="32754" spans="20:20" s="566" customFormat="1">
      <c r="T32754" s="41"/>
    </row>
    <row r="32755" spans="20:20" s="566" customFormat="1">
      <c r="T32755" s="41"/>
    </row>
    <row r="32756" spans="20:20" s="566" customFormat="1">
      <c r="T32756" s="41"/>
    </row>
    <row r="32757" spans="20:20" s="566" customFormat="1">
      <c r="T32757" s="41"/>
    </row>
    <row r="32758" spans="20:20" s="566" customFormat="1">
      <c r="T32758" s="41"/>
    </row>
    <row r="32759" spans="20:20" s="566" customFormat="1">
      <c r="T32759" s="41"/>
    </row>
    <row r="32760" spans="20:20" s="566" customFormat="1">
      <c r="T32760" s="41"/>
    </row>
    <row r="32761" spans="20:20" s="566" customFormat="1">
      <c r="T32761" s="41"/>
    </row>
    <row r="32762" spans="20:20" s="566" customFormat="1">
      <c r="T32762" s="41"/>
    </row>
    <row r="32763" spans="20:20" s="566" customFormat="1">
      <c r="T32763" s="41"/>
    </row>
    <row r="32764" spans="20:20" s="566" customFormat="1">
      <c r="T32764" s="41"/>
    </row>
    <row r="32765" spans="20:20" s="566" customFormat="1">
      <c r="T32765" s="41"/>
    </row>
    <row r="32766" spans="20:20" s="566" customFormat="1">
      <c r="T32766" s="41"/>
    </row>
    <row r="32767" spans="20:20" s="566" customFormat="1">
      <c r="T32767" s="41"/>
    </row>
    <row r="32768" spans="20:20" s="566" customFormat="1">
      <c r="T32768" s="41"/>
    </row>
    <row r="32769" spans="20:20" s="566" customFormat="1">
      <c r="T32769" s="41"/>
    </row>
    <row r="32770" spans="20:20" s="566" customFormat="1">
      <c r="T32770" s="41"/>
    </row>
    <row r="32771" spans="20:20" s="566" customFormat="1">
      <c r="T32771" s="41"/>
    </row>
    <row r="32772" spans="20:20" s="566" customFormat="1">
      <c r="T32772" s="41"/>
    </row>
    <row r="32773" spans="20:20" s="566" customFormat="1">
      <c r="T32773" s="41"/>
    </row>
    <row r="32774" spans="20:20" s="566" customFormat="1">
      <c r="T32774" s="41"/>
    </row>
    <row r="32775" spans="20:20" s="566" customFormat="1">
      <c r="T32775" s="41"/>
    </row>
    <row r="32776" spans="20:20" s="566" customFormat="1">
      <c r="T32776" s="41"/>
    </row>
    <row r="32777" spans="20:20" s="566" customFormat="1">
      <c r="T32777" s="41"/>
    </row>
    <row r="32778" spans="20:20" s="566" customFormat="1">
      <c r="T32778" s="41"/>
    </row>
    <row r="32779" spans="20:20" s="566" customFormat="1">
      <c r="T32779" s="41"/>
    </row>
    <row r="32780" spans="20:20" s="566" customFormat="1">
      <c r="T32780" s="41"/>
    </row>
    <row r="32781" spans="20:20" s="566" customFormat="1">
      <c r="T32781" s="41"/>
    </row>
    <row r="32782" spans="20:20" s="566" customFormat="1">
      <c r="T32782" s="41"/>
    </row>
    <row r="32783" spans="20:20" s="566" customFormat="1">
      <c r="T32783" s="41"/>
    </row>
    <row r="32784" spans="20:20" s="566" customFormat="1">
      <c r="T32784" s="41"/>
    </row>
    <row r="32785" spans="20:20" s="566" customFormat="1">
      <c r="T32785" s="41"/>
    </row>
    <row r="32786" spans="20:20" s="566" customFormat="1">
      <c r="T32786" s="41"/>
    </row>
    <row r="32787" spans="20:20" s="566" customFormat="1">
      <c r="T32787" s="41"/>
    </row>
    <row r="32788" spans="20:20" s="566" customFormat="1">
      <c r="T32788" s="41"/>
    </row>
    <row r="32789" spans="20:20" s="566" customFormat="1">
      <c r="T32789" s="41"/>
    </row>
    <row r="32790" spans="20:20" s="566" customFormat="1">
      <c r="T32790" s="41"/>
    </row>
    <row r="32791" spans="20:20" s="566" customFormat="1">
      <c r="T32791" s="41"/>
    </row>
    <row r="32792" spans="20:20" s="566" customFormat="1">
      <c r="T32792" s="41"/>
    </row>
    <row r="32793" spans="20:20" s="566" customFormat="1">
      <c r="T32793" s="41"/>
    </row>
    <row r="32794" spans="20:20" s="566" customFormat="1">
      <c r="T32794" s="41"/>
    </row>
    <row r="32795" spans="20:20" s="566" customFormat="1">
      <c r="T32795" s="41"/>
    </row>
    <row r="32796" spans="20:20" s="566" customFormat="1">
      <c r="T32796" s="41"/>
    </row>
    <row r="32797" spans="20:20" s="566" customFormat="1">
      <c r="T32797" s="41"/>
    </row>
    <row r="32798" spans="20:20" s="566" customFormat="1">
      <c r="T32798" s="41"/>
    </row>
    <row r="32799" spans="20:20" s="566" customFormat="1">
      <c r="T32799" s="41"/>
    </row>
    <row r="32800" spans="20:20" s="566" customFormat="1">
      <c r="T32800" s="41"/>
    </row>
    <row r="32801" spans="20:20" s="566" customFormat="1">
      <c r="T32801" s="41"/>
    </row>
    <row r="32802" spans="20:20" s="566" customFormat="1">
      <c r="T32802" s="41"/>
    </row>
    <row r="32803" spans="20:20" s="566" customFormat="1">
      <c r="T32803" s="41"/>
    </row>
    <row r="32804" spans="20:20" s="566" customFormat="1">
      <c r="T32804" s="41"/>
    </row>
    <row r="32805" spans="20:20" s="566" customFormat="1">
      <c r="T32805" s="41"/>
    </row>
    <row r="32806" spans="20:20" s="566" customFormat="1">
      <c r="T32806" s="41"/>
    </row>
    <row r="32807" spans="20:20" s="566" customFormat="1">
      <c r="T32807" s="41"/>
    </row>
    <row r="32808" spans="20:20" s="566" customFormat="1">
      <c r="T32808" s="41"/>
    </row>
    <row r="32809" spans="20:20" s="566" customFormat="1">
      <c r="T32809" s="41"/>
    </row>
    <row r="32810" spans="20:20" s="566" customFormat="1">
      <c r="T32810" s="41"/>
    </row>
    <row r="32811" spans="20:20" s="566" customFormat="1">
      <c r="T32811" s="41"/>
    </row>
    <row r="32812" spans="20:20" s="566" customFormat="1">
      <c r="T32812" s="41"/>
    </row>
    <row r="32813" spans="20:20" s="566" customFormat="1">
      <c r="T32813" s="41"/>
    </row>
    <row r="32814" spans="20:20" s="566" customFormat="1">
      <c r="T32814" s="41"/>
    </row>
    <row r="32815" spans="20:20" s="566" customFormat="1">
      <c r="T32815" s="41"/>
    </row>
    <row r="32816" spans="20:20" s="566" customFormat="1">
      <c r="T32816" s="41"/>
    </row>
    <row r="32817" spans="20:20" s="566" customFormat="1">
      <c r="T32817" s="41"/>
    </row>
    <row r="32818" spans="20:20" s="566" customFormat="1">
      <c r="T32818" s="41"/>
    </row>
    <row r="32819" spans="20:20" s="566" customFormat="1">
      <c r="T32819" s="41"/>
    </row>
    <row r="32820" spans="20:20" s="566" customFormat="1">
      <c r="T32820" s="41"/>
    </row>
    <row r="32821" spans="20:20" s="566" customFormat="1">
      <c r="T32821" s="41"/>
    </row>
    <row r="32822" spans="20:20" s="566" customFormat="1">
      <c r="T32822" s="41"/>
    </row>
    <row r="32823" spans="20:20" s="566" customFormat="1">
      <c r="T32823" s="41"/>
    </row>
    <row r="32824" spans="20:20" s="566" customFormat="1">
      <c r="T32824" s="41"/>
    </row>
    <row r="32825" spans="20:20" s="566" customFormat="1">
      <c r="T32825" s="41"/>
    </row>
    <row r="32826" spans="20:20" s="566" customFormat="1">
      <c r="T32826" s="41"/>
    </row>
    <row r="32827" spans="20:20" s="566" customFormat="1">
      <c r="T32827" s="41"/>
    </row>
    <row r="32828" spans="20:20" s="566" customFormat="1">
      <c r="T32828" s="41"/>
    </row>
    <row r="32829" spans="20:20" s="566" customFormat="1">
      <c r="T32829" s="41"/>
    </row>
    <row r="32830" spans="20:20" s="566" customFormat="1">
      <c r="T32830" s="41"/>
    </row>
    <row r="32831" spans="20:20" s="566" customFormat="1">
      <c r="T32831" s="41"/>
    </row>
    <row r="32832" spans="20:20" s="566" customFormat="1">
      <c r="T32832" s="41"/>
    </row>
    <row r="32833" spans="20:20" s="566" customFormat="1">
      <c r="T32833" s="41"/>
    </row>
    <row r="32834" spans="20:20" s="566" customFormat="1">
      <c r="T32834" s="41"/>
    </row>
    <row r="32835" spans="20:20" s="566" customFormat="1">
      <c r="T32835" s="41"/>
    </row>
    <row r="32836" spans="20:20" s="566" customFormat="1">
      <c r="T32836" s="41"/>
    </row>
    <row r="32837" spans="20:20" s="566" customFormat="1">
      <c r="T32837" s="41"/>
    </row>
    <row r="32838" spans="20:20" s="566" customFormat="1">
      <c r="T32838" s="41"/>
    </row>
    <row r="32839" spans="20:20" s="566" customFormat="1">
      <c r="T32839" s="41"/>
    </row>
    <row r="32840" spans="20:20" s="566" customFormat="1">
      <c r="T32840" s="41"/>
    </row>
    <row r="32841" spans="20:20" s="566" customFormat="1">
      <c r="T32841" s="41"/>
    </row>
    <row r="32842" spans="20:20" s="566" customFormat="1">
      <c r="T32842" s="41"/>
    </row>
    <row r="32843" spans="20:20" s="566" customFormat="1">
      <c r="T32843" s="41"/>
    </row>
    <row r="32844" spans="20:20" s="566" customFormat="1">
      <c r="T32844" s="41"/>
    </row>
    <row r="32845" spans="20:20" s="566" customFormat="1">
      <c r="T32845" s="41"/>
    </row>
    <row r="32846" spans="20:20" s="566" customFormat="1">
      <c r="T32846" s="41"/>
    </row>
    <row r="32847" spans="20:20" s="566" customFormat="1">
      <c r="T32847" s="41"/>
    </row>
    <row r="32848" spans="20:20" s="566" customFormat="1">
      <c r="T32848" s="41"/>
    </row>
    <row r="32849" spans="20:20" s="566" customFormat="1">
      <c r="T32849" s="41"/>
    </row>
    <row r="32850" spans="20:20" s="566" customFormat="1">
      <c r="T32850" s="41"/>
    </row>
    <row r="32851" spans="20:20" s="566" customFormat="1">
      <c r="T32851" s="41"/>
    </row>
    <row r="32852" spans="20:20" s="566" customFormat="1">
      <c r="T32852" s="41"/>
    </row>
    <row r="32853" spans="20:20" s="566" customFormat="1">
      <c r="T32853" s="41"/>
    </row>
    <row r="32854" spans="20:20" s="566" customFormat="1">
      <c r="T32854" s="41"/>
    </row>
    <row r="32855" spans="20:20" s="566" customFormat="1">
      <c r="T32855" s="41"/>
    </row>
    <row r="32856" spans="20:20" s="566" customFormat="1">
      <c r="T32856" s="41"/>
    </row>
    <row r="32857" spans="20:20" s="566" customFormat="1">
      <c r="T32857" s="41"/>
    </row>
    <row r="32858" spans="20:20" s="566" customFormat="1">
      <c r="T32858" s="41"/>
    </row>
    <row r="32859" spans="20:20" s="566" customFormat="1">
      <c r="T32859" s="41"/>
    </row>
    <row r="32860" spans="20:20" s="566" customFormat="1">
      <c r="T32860" s="41"/>
    </row>
    <row r="32861" spans="20:20" s="566" customFormat="1">
      <c r="T32861" s="41"/>
    </row>
    <row r="32862" spans="20:20" s="566" customFormat="1">
      <c r="T32862" s="41"/>
    </row>
    <row r="32863" spans="20:20" s="566" customFormat="1">
      <c r="T32863" s="41"/>
    </row>
    <row r="32864" spans="20:20" s="566" customFormat="1">
      <c r="T32864" s="41"/>
    </row>
    <row r="32865" spans="20:20" s="566" customFormat="1">
      <c r="T32865" s="41"/>
    </row>
    <row r="32866" spans="20:20" s="566" customFormat="1">
      <c r="T32866" s="41"/>
    </row>
    <row r="32867" spans="20:20" s="566" customFormat="1">
      <c r="T32867" s="41"/>
    </row>
    <row r="32868" spans="20:20" s="566" customFormat="1">
      <c r="T32868" s="41"/>
    </row>
    <row r="32869" spans="20:20" s="566" customFormat="1">
      <c r="T32869" s="41"/>
    </row>
    <row r="32870" spans="20:20" s="566" customFormat="1">
      <c r="T32870" s="41"/>
    </row>
    <row r="32871" spans="20:20" s="566" customFormat="1">
      <c r="T32871" s="41"/>
    </row>
    <row r="32872" spans="20:20" s="566" customFormat="1">
      <c r="T32872" s="41"/>
    </row>
    <row r="32873" spans="20:20" s="566" customFormat="1">
      <c r="T32873" s="41"/>
    </row>
    <row r="32874" spans="20:20" s="566" customFormat="1">
      <c r="T32874" s="41"/>
    </row>
    <row r="32875" spans="20:20" s="566" customFormat="1">
      <c r="T32875" s="41"/>
    </row>
    <row r="32876" spans="20:20" s="566" customFormat="1">
      <c r="T32876" s="41"/>
    </row>
    <row r="32877" spans="20:20" s="566" customFormat="1">
      <c r="T32877" s="41"/>
    </row>
    <row r="32878" spans="20:20" s="566" customFormat="1">
      <c r="T32878" s="41"/>
    </row>
    <row r="32879" spans="20:20" s="566" customFormat="1">
      <c r="T32879" s="41"/>
    </row>
    <row r="32880" spans="20:20" s="566" customFormat="1">
      <c r="T32880" s="41"/>
    </row>
    <row r="32881" spans="20:20" s="566" customFormat="1">
      <c r="T32881" s="41"/>
    </row>
    <row r="32882" spans="20:20" s="566" customFormat="1">
      <c r="T32882" s="41"/>
    </row>
    <row r="32883" spans="20:20" s="566" customFormat="1">
      <c r="T32883" s="41"/>
    </row>
    <row r="32884" spans="20:20" s="566" customFormat="1">
      <c r="T32884" s="41"/>
    </row>
    <row r="32885" spans="20:20" s="566" customFormat="1">
      <c r="T32885" s="41"/>
    </row>
    <row r="32886" spans="20:20" s="566" customFormat="1">
      <c r="T32886" s="41"/>
    </row>
    <row r="32887" spans="20:20" s="566" customFormat="1">
      <c r="T32887" s="41"/>
    </row>
    <row r="32888" spans="20:20" s="566" customFormat="1">
      <c r="T32888" s="41"/>
    </row>
    <row r="32889" spans="20:20" s="566" customFormat="1">
      <c r="T32889" s="41"/>
    </row>
    <row r="32890" spans="20:20" s="566" customFormat="1">
      <c r="T32890" s="41"/>
    </row>
    <row r="32891" spans="20:20" s="566" customFormat="1">
      <c r="T32891" s="41"/>
    </row>
    <row r="32892" spans="20:20" s="566" customFormat="1">
      <c r="T32892" s="41"/>
    </row>
    <row r="32893" spans="20:20" s="566" customFormat="1">
      <c r="T32893" s="41"/>
    </row>
    <row r="32894" spans="20:20" s="566" customFormat="1">
      <c r="T32894" s="41"/>
    </row>
    <row r="32895" spans="20:20" s="566" customFormat="1">
      <c r="T32895" s="41"/>
    </row>
    <row r="32896" spans="20:20" s="566" customFormat="1">
      <c r="T32896" s="41"/>
    </row>
    <row r="32897" spans="20:20" s="566" customFormat="1">
      <c r="T32897" s="41"/>
    </row>
    <row r="32898" spans="20:20" s="566" customFormat="1">
      <c r="T32898" s="41"/>
    </row>
    <row r="32899" spans="20:20" s="566" customFormat="1">
      <c r="T32899" s="41"/>
    </row>
    <row r="32900" spans="20:20" s="566" customFormat="1">
      <c r="T32900" s="41"/>
    </row>
    <row r="32901" spans="20:20" s="566" customFormat="1">
      <c r="T32901" s="41"/>
    </row>
    <row r="32902" spans="20:20" s="566" customFormat="1">
      <c r="T32902" s="41"/>
    </row>
    <row r="32903" spans="20:20" s="566" customFormat="1">
      <c r="T32903" s="41"/>
    </row>
    <row r="32904" spans="20:20" s="566" customFormat="1">
      <c r="T32904" s="41"/>
    </row>
    <row r="32905" spans="20:20" s="566" customFormat="1">
      <c r="T32905" s="41"/>
    </row>
    <row r="32906" spans="20:20" s="566" customFormat="1">
      <c r="T32906" s="41"/>
    </row>
    <row r="32907" spans="20:20" s="566" customFormat="1">
      <c r="T32907" s="41"/>
    </row>
    <row r="32908" spans="20:20" s="566" customFormat="1">
      <c r="T32908" s="41"/>
    </row>
    <row r="32909" spans="20:20" s="566" customFormat="1">
      <c r="T32909" s="41"/>
    </row>
    <row r="32910" spans="20:20" s="566" customFormat="1">
      <c r="T32910" s="41"/>
    </row>
    <row r="32911" spans="20:20" s="566" customFormat="1">
      <c r="T32911" s="41"/>
    </row>
    <row r="32912" spans="20:20" s="566" customFormat="1">
      <c r="T32912" s="41"/>
    </row>
    <row r="32913" spans="20:20" s="566" customFormat="1">
      <c r="T32913" s="41"/>
    </row>
    <row r="32914" spans="20:20" s="566" customFormat="1">
      <c r="T32914" s="41"/>
    </row>
    <row r="32915" spans="20:20" s="566" customFormat="1">
      <c r="T32915" s="41"/>
    </row>
    <row r="32916" spans="20:20" s="566" customFormat="1">
      <c r="T32916" s="41"/>
    </row>
    <row r="32917" spans="20:20" s="566" customFormat="1">
      <c r="T32917" s="41"/>
    </row>
    <row r="32918" spans="20:20" s="566" customFormat="1">
      <c r="T32918" s="41"/>
    </row>
    <row r="32919" spans="20:20" s="566" customFormat="1">
      <c r="T32919" s="41"/>
    </row>
    <row r="32920" spans="20:20" s="566" customFormat="1">
      <c r="T32920" s="41"/>
    </row>
    <row r="32921" spans="20:20" s="566" customFormat="1">
      <c r="T32921" s="41"/>
    </row>
    <row r="32922" spans="20:20" s="566" customFormat="1">
      <c r="T32922" s="41"/>
    </row>
    <row r="32923" spans="20:20" s="566" customFormat="1">
      <c r="T32923" s="41"/>
    </row>
    <row r="32924" spans="20:20" s="566" customFormat="1">
      <c r="T32924" s="41"/>
    </row>
    <row r="32925" spans="20:20" s="566" customFormat="1">
      <c r="T32925" s="41"/>
    </row>
    <row r="32926" spans="20:20" s="566" customFormat="1">
      <c r="T32926" s="41"/>
    </row>
    <row r="32927" spans="20:20" s="566" customFormat="1">
      <c r="T32927" s="41"/>
    </row>
    <row r="32928" spans="20:20" s="566" customFormat="1">
      <c r="T32928" s="41"/>
    </row>
    <row r="32929" spans="20:20" s="566" customFormat="1">
      <c r="T32929" s="41"/>
    </row>
    <row r="32930" spans="20:20" s="566" customFormat="1">
      <c r="T32930" s="41"/>
    </row>
    <row r="32931" spans="20:20" s="566" customFormat="1">
      <c r="T32931" s="41"/>
    </row>
    <row r="32932" spans="20:20" s="566" customFormat="1">
      <c r="T32932" s="41"/>
    </row>
    <row r="32933" spans="20:20" s="566" customFormat="1">
      <c r="T32933" s="41"/>
    </row>
    <row r="32934" spans="20:20" s="566" customFormat="1">
      <c r="T32934" s="41"/>
    </row>
    <row r="32935" spans="20:20" s="566" customFormat="1">
      <c r="T32935" s="41"/>
    </row>
    <row r="32936" spans="20:20" s="566" customFormat="1">
      <c r="T32936" s="41"/>
    </row>
    <row r="32937" spans="20:20" s="566" customFormat="1">
      <c r="T32937" s="41"/>
    </row>
    <row r="32938" spans="20:20" s="566" customFormat="1">
      <c r="T32938" s="41"/>
    </row>
    <row r="32939" spans="20:20" s="566" customFormat="1">
      <c r="T32939" s="41"/>
    </row>
    <row r="32940" spans="20:20" s="566" customFormat="1">
      <c r="T32940" s="41"/>
    </row>
    <row r="32941" spans="20:20" s="566" customFormat="1">
      <c r="T32941" s="41"/>
    </row>
    <row r="32942" spans="20:20" s="566" customFormat="1">
      <c r="T32942" s="41"/>
    </row>
    <row r="32943" spans="20:20" s="566" customFormat="1">
      <c r="T32943" s="41"/>
    </row>
    <row r="32944" spans="20:20" s="566" customFormat="1">
      <c r="T32944" s="41"/>
    </row>
    <row r="32945" spans="20:20" s="566" customFormat="1">
      <c r="T32945" s="41"/>
    </row>
    <row r="32946" spans="20:20" s="566" customFormat="1">
      <c r="T32946" s="41"/>
    </row>
    <row r="32947" spans="20:20" s="566" customFormat="1">
      <c r="T32947" s="41"/>
    </row>
    <row r="32948" spans="20:20" s="566" customFormat="1">
      <c r="T32948" s="41"/>
    </row>
    <row r="32949" spans="20:20" s="566" customFormat="1">
      <c r="T32949" s="41"/>
    </row>
    <row r="32950" spans="20:20" s="566" customFormat="1">
      <c r="T32950" s="41"/>
    </row>
    <row r="32951" spans="20:20" s="566" customFormat="1">
      <c r="T32951" s="41"/>
    </row>
    <row r="32952" spans="20:20" s="566" customFormat="1">
      <c r="T32952" s="41"/>
    </row>
    <row r="32953" spans="20:20" s="566" customFormat="1">
      <c r="T32953" s="41"/>
    </row>
    <row r="32954" spans="20:20" s="566" customFormat="1">
      <c r="T32954" s="41"/>
    </row>
    <row r="32955" spans="20:20" s="566" customFormat="1">
      <c r="T32955" s="41"/>
    </row>
    <row r="32956" spans="20:20" s="566" customFormat="1">
      <c r="T32956" s="41"/>
    </row>
    <row r="32957" spans="20:20" s="566" customFormat="1">
      <c r="T32957" s="41"/>
    </row>
    <row r="32958" spans="20:20" s="566" customFormat="1">
      <c r="T32958" s="41"/>
    </row>
    <row r="32959" spans="20:20" s="566" customFormat="1">
      <c r="T32959" s="41"/>
    </row>
    <row r="32960" spans="20:20" s="566" customFormat="1">
      <c r="T32960" s="41"/>
    </row>
    <row r="32961" spans="20:20" s="566" customFormat="1">
      <c r="T32961" s="41"/>
    </row>
    <row r="32962" spans="20:20" s="566" customFormat="1">
      <c r="T32962" s="41"/>
    </row>
    <row r="32963" spans="20:20" s="566" customFormat="1">
      <c r="T32963" s="41"/>
    </row>
    <row r="32964" spans="20:20" s="566" customFormat="1">
      <c r="T32964" s="41"/>
    </row>
    <row r="32965" spans="20:20" s="566" customFormat="1">
      <c r="T32965" s="41"/>
    </row>
    <row r="32966" spans="20:20" s="566" customFormat="1">
      <c r="T32966" s="41"/>
    </row>
    <row r="32967" spans="20:20" s="566" customFormat="1">
      <c r="T32967" s="41"/>
    </row>
    <row r="32968" spans="20:20" s="566" customFormat="1">
      <c r="T32968" s="41"/>
    </row>
    <row r="32969" spans="20:20" s="566" customFormat="1">
      <c r="T32969" s="41"/>
    </row>
    <row r="32970" spans="20:20" s="566" customFormat="1">
      <c r="T32970" s="41"/>
    </row>
    <row r="32971" spans="20:20" s="566" customFormat="1">
      <c r="T32971" s="41"/>
    </row>
    <row r="32972" spans="20:20" s="566" customFormat="1">
      <c r="T32972" s="41"/>
    </row>
    <row r="32973" spans="20:20" s="566" customFormat="1">
      <c r="T32973" s="41"/>
    </row>
    <row r="32974" spans="20:20" s="566" customFormat="1">
      <c r="T32974" s="41"/>
    </row>
    <row r="32975" spans="20:20" s="566" customFormat="1">
      <c r="T32975" s="41"/>
    </row>
    <row r="32976" spans="20:20" s="566" customFormat="1">
      <c r="T32976" s="41"/>
    </row>
    <row r="32977" spans="20:20" s="566" customFormat="1">
      <c r="T32977" s="41"/>
    </row>
    <row r="32978" spans="20:20" s="566" customFormat="1">
      <c r="T32978" s="41"/>
    </row>
    <row r="32979" spans="20:20" s="566" customFormat="1">
      <c r="T32979" s="41"/>
    </row>
    <row r="32980" spans="20:20" s="566" customFormat="1">
      <c r="T32980" s="41"/>
    </row>
    <row r="32981" spans="20:20" s="566" customFormat="1">
      <c r="T32981" s="41"/>
    </row>
    <row r="32982" spans="20:20" s="566" customFormat="1">
      <c r="T32982" s="41"/>
    </row>
    <row r="32983" spans="20:20" s="566" customFormat="1">
      <c r="T32983" s="41"/>
    </row>
    <row r="32984" spans="20:20" s="566" customFormat="1">
      <c r="T32984" s="41"/>
    </row>
    <row r="32985" spans="20:20" s="566" customFormat="1">
      <c r="T32985" s="41"/>
    </row>
    <row r="32986" spans="20:20" s="566" customFormat="1">
      <c r="T32986" s="41"/>
    </row>
    <row r="32987" spans="20:20" s="566" customFormat="1">
      <c r="T32987" s="41"/>
    </row>
    <row r="32988" spans="20:20" s="566" customFormat="1">
      <c r="T32988" s="41"/>
    </row>
    <row r="32989" spans="20:20" s="566" customFormat="1">
      <c r="T32989" s="41"/>
    </row>
    <row r="32990" spans="20:20" s="566" customFormat="1">
      <c r="T32990" s="41"/>
    </row>
    <row r="32991" spans="20:20" s="566" customFormat="1">
      <c r="T32991" s="41"/>
    </row>
    <row r="32992" spans="20:20" s="566" customFormat="1">
      <c r="T32992" s="41"/>
    </row>
    <row r="32993" spans="20:20" s="566" customFormat="1">
      <c r="T32993" s="41"/>
    </row>
    <row r="32994" spans="20:20" s="566" customFormat="1">
      <c r="T32994" s="41"/>
    </row>
    <row r="32995" spans="20:20" s="566" customFormat="1">
      <c r="T32995" s="41"/>
    </row>
    <row r="32996" spans="20:20" s="566" customFormat="1">
      <c r="T32996" s="41"/>
    </row>
    <row r="32997" spans="20:20" s="566" customFormat="1">
      <c r="T32997" s="41"/>
    </row>
    <row r="32998" spans="20:20" s="566" customFormat="1">
      <c r="T32998" s="41"/>
    </row>
    <row r="32999" spans="20:20" s="566" customFormat="1">
      <c r="T32999" s="41"/>
    </row>
    <row r="33000" spans="20:20" s="566" customFormat="1">
      <c r="T33000" s="41"/>
    </row>
    <row r="33001" spans="20:20" s="566" customFormat="1">
      <c r="T33001" s="41"/>
    </row>
    <row r="33002" spans="20:20" s="566" customFormat="1">
      <c r="T33002" s="41"/>
    </row>
    <row r="33003" spans="20:20" s="566" customFormat="1">
      <c r="T33003" s="41"/>
    </row>
    <row r="33004" spans="20:20" s="566" customFormat="1">
      <c r="T33004" s="41"/>
    </row>
    <row r="33005" spans="20:20" s="566" customFormat="1">
      <c r="T33005" s="41"/>
    </row>
    <row r="33006" spans="20:20" s="566" customFormat="1">
      <c r="T33006" s="41"/>
    </row>
    <row r="33007" spans="20:20" s="566" customFormat="1">
      <c r="T33007" s="41"/>
    </row>
    <row r="33008" spans="20:20" s="566" customFormat="1">
      <c r="T33008" s="41"/>
    </row>
    <row r="33009" spans="20:20" s="566" customFormat="1">
      <c r="T33009" s="41"/>
    </row>
    <row r="33010" spans="20:20" s="566" customFormat="1">
      <c r="T33010" s="41"/>
    </row>
    <row r="33011" spans="20:20" s="566" customFormat="1">
      <c r="T33011" s="41"/>
    </row>
    <row r="33012" spans="20:20" s="566" customFormat="1">
      <c r="T33012" s="41"/>
    </row>
    <row r="33013" spans="20:20" s="566" customFormat="1">
      <c r="T33013" s="41"/>
    </row>
    <row r="33014" spans="20:20" s="566" customFormat="1">
      <c r="T33014" s="41"/>
    </row>
    <row r="33015" spans="20:20" s="566" customFormat="1">
      <c r="T33015" s="41"/>
    </row>
    <row r="33016" spans="20:20" s="566" customFormat="1">
      <c r="T33016" s="41"/>
    </row>
    <row r="33017" spans="20:20" s="566" customFormat="1">
      <c r="T33017" s="41"/>
    </row>
    <row r="33018" spans="20:20" s="566" customFormat="1">
      <c r="T33018" s="41"/>
    </row>
    <row r="33019" spans="20:20" s="566" customFormat="1">
      <c r="T33019" s="41"/>
    </row>
    <row r="33020" spans="20:20" s="566" customFormat="1">
      <c r="T33020" s="41"/>
    </row>
    <row r="33021" spans="20:20" s="566" customFormat="1">
      <c r="T33021" s="41"/>
    </row>
    <row r="33022" spans="20:20" s="566" customFormat="1">
      <c r="T33022" s="41"/>
    </row>
    <row r="33023" spans="20:20" s="566" customFormat="1">
      <c r="T33023" s="41"/>
    </row>
    <row r="33024" spans="20:20" s="566" customFormat="1">
      <c r="T33024" s="41"/>
    </row>
    <row r="33025" spans="20:20" s="566" customFormat="1">
      <c r="T33025" s="41"/>
    </row>
    <row r="33026" spans="20:20" s="566" customFormat="1">
      <c r="T33026" s="41"/>
    </row>
    <row r="33027" spans="20:20" s="566" customFormat="1">
      <c r="T33027" s="41"/>
    </row>
    <row r="33028" spans="20:20" s="566" customFormat="1">
      <c r="T33028" s="41"/>
    </row>
    <row r="33029" spans="20:20" s="566" customFormat="1">
      <c r="T33029" s="41"/>
    </row>
    <row r="33030" spans="20:20" s="566" customFormat="1">
      <c r="T33030" s="41"/>
    </row>
    <row r="33031" spans="20:20" s="566" customFormat="1">
      <c r="T33031" s="41"/>
    </row>
    <row r="33032" spans="20:20" s="566" customFormat="1">
      <c r="T33032" s="41"/>
    </row>
    <row r="33033" spans="20:20" s="566" customFormat="1">
      <c r="T33033" s="41"/>
    </row>
    <row r="33034" spans="20:20" s="566" customFormat="1">
      <c r="T33034" s="41"/>
    </row>
    <row r="33035" spans="20:20" s="566" customFormat="1">
      <c r="T33035" s="41"/>
    </row>
    <row r="33036" spans="20:20" s="566" customFormat="1">
      <c r="T33036" s="41"/>
    </row>
    <row r="33037" spans="20:20" s="566" customFormat="1">
      <c r="T33037" s="41"/>
    </row>
    <row r="33038" spans="20:20" s="566" customFormat="1">
      <c r="T33038" s="41"/>
    </row>
    <row r="33039" spans="20:20" s="566" customFormat="1">
      <c r="T33039" s="41"/>
    </row>
    <row r="33040" spans="20:20" s="566" customFormat="1">
      <c r="T33040" s="41"/>
    </row>
    <row r="33041" spans="20:20" s="566" customFormat="1">
      <c r="T33041" s="41"/>
    </row>
    <row r="33042" spans="20:20" s="566" customFormat="1">
      <c r="T33042" s="41"/>
    </row>
    <row r="33043" spans="20:20" s="566" customFormat="1">
      <c r="T33043" s="41"/>
    </row>
    <row r="33044" spans="20:20" s="566" customFormat="1">
      <c r="T33044" s="41"/>
    </row>
    <row r="33045" spans="20:20" s="566" customFormat="1">
      <c r="T33045" s="41"/>
    </row>
    <row r="33046" spans="20:20" s="566" customFormat="1">
      <c r="T33046" s="41"/>
    </row>
    <row r="33047" spans="20:20" s="566" customFormat="1">
      <c r="T33047" s="41"/>
    </row>
    <row r="33048" spans="20:20" s="566" customFormat="1">
      <c r="T33048" s="41"/>
    </row>
    <row r="33049" spans="20:20" s="566" customFormat="1">
      <c r="T33049" s="41"/>
    </row>
    <row r="33050" spans="20:20" s="566" customFormat="1">
      <c r="T33050" s="41"/>
    </row>
    <row r="33051" spans="20:20" s="566" customFormat="1">
      <c r="T33051" s="41"/>
    </row>
    <row r="33052" spans="20:20" s="566" customFormat="1">
      <c r="T33052" s="41"/>
    </row>
    <row r="33053" spans="20:20" s="566" customFormat="1">
      <c r="T33053" s="41"/>
    </row>
    <row r="33054" spans="20:20" s="566" customFormat="1">
      <c r="T33054" s="41"/>
    </row>
    <row r="33055" spans="20:20" s="566" customFormat="1">
      <c r="T33055" s="41"/>
    </row>
    <row r="33056" spans="20:20" s="566" customFormat="1">
      <c r="T33056" s="41"/>
    </row>
    <row r="33057" spans="20:20" s="566" customFormat="1">
      <c r="T33057" s="41"/>
    </row>
    <row r="33058" spans="20:20" s="566" customFormat="1">
      <c r="T33058" s="41"/>
    </row>
    <row r="33059" spans="20:20" s="566" customFormat="1">
      <c r="T33059" s="41"/>
    </row>
    <row r="33060" spans="20:20" s="566" customFormat="1">
      <c r="T33060" s="41"/>
    </row>
    <row r="33061" spans="20:20" s="566" customFormat="1">
      <c r="T33061" s="41"/>
    </row>
    <row r="33062" spans="20:20" s="566" customFormat="1">
      <c r="T33062" s="41"/>
    </row>
    <row r="33063" spans="20:20" s="566" customFormat="1">
      <c r="T33063" s="41"/>
    </row>
    <row r="33064" spans="20:20" s="566" customFormat="1">
      <c r="T33064" s="41"/>
    </row>
    <row r="33065" spans="20:20" s="566" customFormat="1">
      <c r="T33065" s="41"/>
    </row>
    <row r="33066" spans="20:20" s="566" customFormat="1">
      <c r="T33066" s="41"/>
    </row>
    <row r="33067" spans="20:20" s="566" customFormat="1">
      <c r="T33067" s="41"/>
    </row>
    <row r="33068" spans="20:20" s="566" customFormat="1">
      <c r="T33068" s="41"/>
    </row>
    <row r="33069" spans="20:20" s="566" customFormat="1">
      <c r="T33069" s="41"/>
    </row>
    <row r="33070" spans="20:20" s="566" customFormat="1">
      <c r="T33070" s="41"/>
    </row>
    <row r="33071" spans="20:20" s="566" customFormat="1">
      <c r="T33071" s="41"/>
    </row>
    <row r="33072" spans="20:20" s="566" customFormat="1">
      <c r="T33072" s="41"/>
    </row>
    <row r="33073" spans="20:20" s="566" customFormat="1">
      <c r="T33073" s="41"/>
    </row>
    <row r="33074" spans="20:20" s="566" customFormat="1">
      <c r="T33074" s="41"/>
    </row>
    <row r="33075" spans="20:20" s="566" customFormat="1">
      <c r="T33075" s="41"/>
    </row>
    <row r="33076" spans="20:20" s="566" customFormat="1">
      <c r="T33076" s="41"/>
    </row>
    <row r="33077" spans="20:20" s="566" customFormat="1">
      <c r="T33077" s="41"/>
    </row>
    <row r="33078" spans="20:20" s="566" customFormat="1">
      <c r="T33078" s="41"/>
    </row>
    <row r="33079" spans="20:20" s="566" customFormat="1">
      <c r="T33079" s="41"/>
    </row>
    <row r="33080" spans="20:20" s="566" customFormat="1">
      <c r="T33080" s="41"/>
    </row>
    <row r="33081" spans="20:20" s="566" customFormat="1">
      <c r="T33081" s="41"/>
    </row>
    <row r="33082" spans="20:20" s="566" customFormat="1">
      <c r="T33082" s="41"/>
    </row>
    <row r="33083" spans="20:20" s="566" customFormat="1">
      <c r="T33083" s="41"/>
    </row>
    <row r="33084" spans="20:20" s="566" customFormat="1">
      <c r="T33084" s="41"/>
    </row>
    <row r="33085" spans="20:20" s="566" customFormat="1">
      <c r="T33085" s="41"/>
    </row>
    <row r="33086" spans="20:20" s="566" customFormat="1">
      <c r="T33086" s="41"/>
    </row>
    <row r="33087" spans="20:20" s="566" customFormat="1">
      <c r="T33087" s="41"/>
    </row>
    <row r="33088" spans="20:20" s="566" customFormat="1">
      <c r="T33088" s="41"/>
    </row>
    <row r="33089" spans="20:20" s="566" customFormat="1">
      <c r="T33089" s="41"/>
    </row>
    <row r="33090" spans="20:20" s="566" customFormat="1">
      <c r="T33090" s="41"/>
    </row>
    <row r="33091" spans="20:20" s="566" customFormat="1">
      <c r="T33091" s="41"/>
    </row>
    <row r="33092" spans="20:20" s="566" customFormat="1">
      <c r="T33092" s="41"/>
    </row>
    <row r="33093" spans="20:20" s="566" customFormat="1">
      <c r="T33093" s="41"/>
    </row>
    <row r="33094" spans="20:20" s="566" customFormat="1">
      <c r="T33094" s="41"/>
    </row>
    <row r="33095" spans="20:20" s="566" customFormat="1">
      <c r="T33095" s="41"/>
    </row>
    <row r="33096" spans="20:20" s="566" customFormat="1">
      <c r="T33096" s="41"/>
    </row>
    <row r="33097" spans="20:20" s="566" customFormat="1">
      <c r="T33097" s="41"/>
    </row>
    <row r="33098" spans="20:20" s="566" customFormat="1">
      <c r="T33098" s="41"/>
    </row>
    <row r="33099" spans="20:20" s="566" customFormat="1">
      <c r="T33099" s="41"/>
    </row>
    <row r="33100" spans="20:20" s="566" customFormat="1">
      <c r="T33100" s="41"/>
    </row>
    <row r="33101" spans="20:20" s="566" customFormat="1">
      <c r="T33101" s="41"/>
    </row>
    <row r="33102" spans="20:20" s="566" customFormat="1">
      <c r="T33102" s="41"/>
    </row>
    <row r="33103" spans="20:20" s="566" customFormat="1">
      <c r="T33103" s="41"/>
    </row>
    <row r="33104" spans="20:20" s="566" customFormat="1">
      <c r="T33104" s="41"/>
    </row>
    <row r="33105" spans="20:20" s="566" customFormat="1">
      <c r="T33105" s="41"/>
    </row>
    <row r="33106" spans="20:20" s="566" customFormat="1">
      <c r="T33106" s="41"/>
    </row>
    <row r="33107" spans="20:20" s="566" customFormat="1">
      <c r="T33107" s="41"/>
    </row>
    <row r="33108" spans="20:20" s="566" customFormat="1">
      <c r="T33108" s="41"/>
    </row>
    <row r="33109" spans="20:20" s="566" customFormat="1">
      <c r="T33109" s="41"/>
    </row>
    <row r="33110" spans="20:20" s="566" customFormat="1">
      <c r="T33110" s="41"/>
    </row>
    <row r="33111" spans="20:20" s="566" customFormat="1">
      <c r="T33111" s="41"/>
    </row>
    <row r="33112" spans="20:20" s="566" customFormat="1">
      <c r="T33112" s="41"/>
    </row>
    <row r="33113" spans="20:20" s="566" customFormat="1">
      <c r="T33113" s="41"/>
    </row>
    <row r="33114" spans="20:20" s="566" customFormat="1">
      <c r="T33114" s="41"/>
    </row>
    <row r="33115" spans="20:20" s="566" customFormat="1">
      <c r="T33115" s="41"/>
    </row>
    <row r="33116" spans="20:20" s="566" customFormat="1">
      <c r="T33116" s="41"/>
    </row>
    <row r="33117" spans="20:20" s="566" customFormat="1">
      <c r="T33117" s="41"/>
    </row>
    <row r="33118" spans="20:20" s="566" customFormat="1">
      <c r="T33118" s="41"/>
    </row>
    <row r="33119" spans="20:20" s="566" customFormat="1">
      <c r="T33119" s="41"/>
    </row>
    <row r="33120" spans="20:20" s="566" customFormat="1">
      <c r="T33120" s="41"/>
    </row>
    <row r="33121" spans="20:20" s="566" customFormat="1">
      <c r="T33121" s="41"/>
    </row>
    <row r="33122" spans="20:20" s="566" customFormat="1">
      <c r="T33122" s="41"/>
    </row>
    <row r="33123" spans="20:20" s="566" customFormat="1">
      <c r="T33123" s="41"/>
    </row>
    <row r="33124" spans="20:20" s="566" customFormat="1">
      <c r="T33124" s="41"/>
    </row>
    <row r="33125" spans="20:20" s="566" customFormat="1">
      <c r="T33125" s="41"/>
    </row>
    <row r="33126" spans="20:20" s="566" customFormat="1">
      <c r="T33126" s="41"/>
    </row>
    <row r="33127" spans="20:20" s="566" customFormat="1">
      <c r="T33127" s="41"/>
    </row>
    <row r="33128" spans="20:20" s="566" customFormat="1">
      <c r="T33128" s="41"/>
    </row>
    <row r="33129" spans="20:20" s="566" customFormat="1">
      <c r="T33129" s="41"/>
    </row>
    <row r="33130" spans="20:20" s="566" customFormat="1">
      <c r="T33130" s="41"/>
    </row>
    <row r="33131" spans="20:20" s="566" customFormat="1">
      <c r="T33131" s="41"/>
    </row>
    <row r="33132" spans="20:20" s="566" customFormat="1">
      <c r="T33132" s="41"/>
    </row>
    <row r="33133" spans="20:20" s="566" customFormat="1">
      <c r="T33133" s="41"/>
    </row>
    <row r="33134" spans="20:20" s="566" customFormat="1">
      <c r="T33134" s="41"/>
    </row>
    <row r="33135" spans="20:20" s="566" customFormat="1">
      <c r="T33135" s="41"/>
    </row>
    <row r="33136" spans="20:20" s="566" customFormat="1">
      <c r="T33136" s="41"/>
    </row>
    <row r="33137" spans="20:20" s="566" customFormat="1">
      <c r="T33137" s="41"/>
    </row>
    <row r="33138" spans="20:20" s="566" customFormat="1">
      <c r="T33138" s="41"/>
    </row>
    <row r="33139" spans="20:20" s="566" customFormat="1">
      <c r="T33139" s="41"/>
    </row>
    <row r="33140" spans="20:20" s="566" customFormat="1">
      <c r="T33140" s="41"/>
    </row>
    <row r="33141" spans="20:20" s="566" customFormat="1">
      <c r="T33141" s="41"/>
    </row>
    <row r="33142" spans="20:20" s="566" customFormat="1">
      <c r="T33142" s="41"/>
    </row>
    <row r="33143" spans="20:20" s="566" customFormat="1">
      <c r="T33143" s="41"/>
    </row>
    <row r="33144" spans="20:20" s="566" customFormat="1">
      <c r="T33144" s="41"/>
    </row>
    <row r="33145" spans="20:20" s="566" customFormat="1">
      <c r="T33145" s="41"/>
    </row>
    <row r="33146" spans="20:20" s="566" customFormat="1">
      <c r="T33146" s="41"/>
    </row>
    <row r="33147" spans="20:20" s="566" customFormat="1">
      <c r="T33147" s="41"/>
    </row>
    <row r="33148" spans="20:20" s="566" customFormat="1">
      <c r="T33148" s="41"/>
    </row>
    <row r="33149" spans="20:20" s="566" customFormat="1">
      <c r="T33149" s="41"/>
    </row>
    <row r="33150" spans="20:20" s="566" customFormat="1">
      <c r="T33150" s="41"/>
    </row>
    <row r="33151" spans="20:20" s="566" customFormat="1">
      <c r="T33151" s="41"/>
    </row>
    <row r="33152" spans="20:20" s="566" customFormat="1">
      <c r="T33152" s="41"/>
    </row>
    <row r="33153" spans="20:20" s="566" customFormat="1">
      <c r="T33153" s="41"/>
    </row>
    <row r="33154" spans="20:20" s="566" customFormat="1">
      <c r="T33154" s="41"/>
    </row>
    <row r="33155" spans="20:20" s="566" customFormat="1">
      <c r="T33155" s="41"/>
    </row>
    <row r="33156" spans="20:20" s="566" customFormat="1">
      <c r="T33156" s="41"/>
    </row>
    <row r="33157" spans="20:20" s="566" customFormat="1">
      <c r="T33157" s="41"/>
    </row>
    <row r="33158" spans="20:20" s="566" customFormat="1">
      <c r="T33158" s="41"/>
    </row>
    <row r="33159" spans="20:20" s="566" customFormat="1">
      <c r="T33159" s="41"/>
    </row>
    <row r="33160" spans="20:20" s="566" customFormat="1">
      <c r="T33160" s="41"/>
    </row>
    <row r="33161" spans="20:20" s="566" customFormat="1">
      <c r="T33161" s="41"/>
    </row>
    <row r="33162" spans="20:20" s="566" customFormat="1">
      <c r="T33162" s="41"/>
    </row>
    <row r="33163" spans="20:20" s="566" customFormat="1">
      <c r="T33163" s="41"/>
    </row>
    <row r="33164" spans="20:20" s="566" customFormat="1">
      <c r="T33164" s="41"/>
    </row>
    <row r="33165" spans="20:20" s="566" customFormat="1">
      <c r="T33165" s="41"/>
    </row>
    <row r="33166" spans="20:20" s="566" customFormat="1">
      <c r="T33166" s="41"/>
    </row>
    <row r="33167" spans="20:20" s="566" customFormat="1">
      <c r="T33167" s="41"/>
    </row>
    <row r="33168" spans="20:20" s="566" customFormat="1">
      <c r="T33168" s="41"/>
    </row>
    <row r="33169" spans="20:20" s="566" customFormat="1">
      <c r="T33169" s="41"/>
    </row>
    <row r="33170" spans="20:20" s="566" customFormat="1">
      <c r="T33170" s="41"/>
    </row>
    <row r="33171" spans="20:20" s="566" customFormat="1">
      <c r="T33171" s="41"/>
    </row>
    <row r="33172" spans="20:20" s="566" customFormat="1">
      <c r="T33172" s="41"/>
    </row>
    <row r="33173" spans="20:20" s="566" customFormat="1">
      <c r="T33173" s="41"/>
    </row>
    <row r="33174" spans="20:20" s="566" customFormat="1">
      <c r="T33174" s="41"/>
    </row>
    <row r="33175" spans="20:20" s="566" customFormat="1">
      <c r="T33175" s="41"/>
    </row>
    <row r="33176" spans="20:20" s="566" customFormat="1">
      <c r="T33176" s="41"/>
    </row>
    <row r="33177" spans="20:20" s="566" customFormat="1">
      <c r="T33177" s="41"/>
    </row>
    <row r="33178" spans="20:20" s="566" customFormat="1">
      <c r="T33178" s="41"/>
    </row>
    <row r="33179" spans="20:20" s="566" customFormat="1">
      <c r="T33179" s="41"/>
    </row>
    <row r="33180" spans="20:20" s="566" customFormat="1">
      <c r="T33180" s="41"/>
    </row>
    <row r="33181" spans="20:20" s="566" customFormat="1">
      <c r="T33181" s="41"/>
    </row>
    <row r="33182" spans="20:20" s="566" customFormat="1">
      <c r="T33182" s="41"/>
    </row>
    <row r="33183" spans="20:20" s="566" customFormat="1">
      <c r="T33183" s="41"/>
    </row>
    <row r="33184" spans="20:20" s="566" customFormat="1">
      <c r="T33184" s="41"/>
    </row>
    <row r="33185" spans="20:20" s="566" customFormat="1">
      <c r="T33185" s="41"/>
    </row>
    <row r="33186" spans="20:20" s="566" customFormat="1">
      <c r="T33186" s="41"/>
    </row>
    <row r="33187" spans="20:20" s="566" customFormat="1">
      <c r="T33187" s="41"/>
    </row>
    <row r="33188" spans="20:20" s="566" customFormat="1">
      <c r="T33188" s="41"/>
    </row>
    <row r="33189" spans="20:20" s="566" customFormat="1">
      <c r="T33189" s="41"/>
    </row>
    <row r="33190" spans="20:20" s="566" customFormat="1">
      <c r="T33190" s="41"/>
    </row>
    <row r="33191" spans="20:20" s="566" customFormat="1">
      <c r="T33191" s="41"/>
    </row>
    <row r="33192" spans="20:20" s="566" customFormat="1">
      <c r="T33192" s="41"/>
    </row>
    <row r="33193" spans="20:20" s="566" customFormat="1">
      <c r="T33193" s="41"/>
    </row>
    <row r="33194" spans="20:20" s="566" customFormat="1">
      <c r="T33194" s="41"/>
    </row>
    <row r="33195" spans="20:20" s="566" customFormat="1">
      <c r="T33195" s="41"/>
    </row>
    <row r="33196" spans="20:20" s="566" customFormat="1">
      <c r="T33196" s="41"/>
    </row>
    <row r="33197" spans="20:20" s="566" customFormat="1">
      <c r="T33197" s="41"/>
    </row>
    <row r="33198" spans="20:20" s="566" customFormat="1">
      <c r="T33198" s="41"/>
    </row>
    <row r="33199" spans="20:20" s="566" customFormat="1">
      <c r="T33199" s="41"/>
    </row>
    <row r="33200" spans="20:20" s="566" customFormat="1">
      <c r="T33200" s="41"/>
    </row>
    <row r="33201" spans="20:20" s="566" customFormat="1">
      <c r="T33201" s="41"/>
    </row>
    <row r="33202" spans="20:20" s="566" customFormat="1">
      <c r="T33202" s="41"/>
    </row>
    <row r="33203" spans="20:20" s="566" customFormat="1">
      <c r="T33203" s="41"/>
    </row>
    <row r="33204" spans="20:20" s="566" customFormat="1">
      <c r="T33204" s="41"/>
    </row>
    <row r="33205" spans="20:20" s="566" customFormat="1">
      <c r="T33205" s="41"/>
    </row>
    <row r="33206" spans="20:20" s="566" customFormat="1">
      <c r="T33206" s="41"/>
    </row>
    <row r="33207" spans="20:20" s="566" customFormat="1">
      <c r="T33207" s="41"/>
    </row>
    <row r="33208" spans="20:20" s="566" customFormat="1">
      <c r="T33208" s="41"/>
    </row>
    <row r="33209" spans="20:20" s="566" customFormat="1">
      <c r="T33209" s="41"/>
    </row>
    <row r="33210" spans="20:20" s="566" customFormat="1">
      <c r="T33210" s="41"/>
    </row>
    <row r="33211" spans="20:20" s="566" customFormat="1">
      <c r="T33211" s="41"/>
    </row>
    <row r="33212" spans="20:20" s="566" customFormat="1">
      <c r="T33212" s="41"/>
    </row>
    <row r="33213" spans="20:20" s="566" customFormat="1">
      <c r="T33213" s="41"/>
    </row>
    <row r="33214" spans="20:20" s="566" customFormat="1">
      <c r="T33214" s="41"/>
    </row>
    <row r="33215" spans="20:20" s="566" customFormat="1">
      <c r="T33215" s="41"/>
    </row>
    <row r="33216" spans="20:20" s="566" customFormat="1">
      <c r="T33216" s="41"/>
    </row>
    <row r="33217" spans="20:20" s="566" customFormat="1">
      <c r="T33217" s="41"/>
    </row>
    <row r="33218" spans="20:20" s="566" customFormat="1">
      <c r="T33218" s="41"/>
    </row>
    <row r="33219" spans="20:20" s="566" customFormat="1">
      <c r="T33219" s="41"/>
    </row>
    <row r="33220" spans="20:20" s="566" customFormat="1">
      <c r="T33220" s="41"/>
    </row>
    <row r="33221" spans="20:20" s="566" customFormat="1">
      <c r="T33221" s="41"/>
    </row>
    <row r="33222" spans="20:20" s="566" customFormat="1">
      <c r="T33222" s="41"/>
    </row>
    <row r="33223" spans="20:20" s="566" customFormat="1">
      <c r="T33223" s="41"/>
    </row>
    <row r="33224" spans="20:20" s="566" customFormat="1">
      <c r="T33224" s="41"/>
    </row>
    <row r="33225" spans="20:20" s="566" customFormat="1">
      <c r="T33225" s="41"/>
    </row>
    <row r="33226" spans="20:20" s="566" customFormat="1">
      <c r="T33226" s="41"/>
    </row>
    <row r="33227" spans="20:20" s="566" customFormat="1">
      <c r="T33227" s="41"/>
    </row>
    <row r="33228" spans="20:20" s="566" customFormat="1">
      <c r="T33228" s="41"/>
    </row>
    <row r="33229" spans="20:20" s="566" customFormat="1">
      <c r="T33229" s="41"/>
    </row>
    <row r="33230" spans="20:20" s="566" customFormat="1">
      <c r="T33230" s="41"/>
    </row>
    <row r="33231" spans="20:20" s="566" customFormat="1">
      <c r="T33231" s="41"/>
    </row>
    <row r="33232" spans="20:20" s="566" customFormat="1">
      <c r="T33232" s="41"/>
    </row>
    <row r="33233" spans="20:20" s="566" customFormat="1">
      <c r="T33233" s="41"/>
    </row>
    <row r="33234" spans="20:20" s="566" customFormat="1">
      <c r="T33234" s="41"/>
    </row>
    <row r="33235" spans="20:20" s="566" customFormat="1">
      <c r="T33235" s="41"/>
    </row>
    <row r="33236" spans="20:20" s="566" customFormat="1">
      <c r="T33236" s="41"/>
    </row>
    <row r="33237" spans="20:20" s="566" customFormat="1">
      <c r="T33237" s="41"/>
    </row>
    <row r="33238" spans="20:20" s="566" customFormat="1">
      <c r="T33238" s="41"/>
    </row>
    <row r="33239" spans="20:20" s="566" customFormat="1">
      <c r="T33239" s="41"/>
    </row>
    <row r="33240" spans="20:20" s="566" customFormat="1">
      <c r="T33240" s="41"/>
    </row>
    <row r="33241" spans="20:20" s="566" customFormat="1">
      <c r="T33241" s="41"/>
    </row>
    <row r="33242" spans="20:20" s="566" customFormat="1">
      <c r="T33242" s="41"/>
    </row>
    <row r="33243" spans="20:20" s="566" customFormat="1">
      <c r="T33243" s="41"/>
    </row>
    <row r="33244" spans="20:20" s="566" customFormat="1">
      <c r="T33244" s="41"/>
    </row>
    <row r="33245" spans="20:20" s="566" customFormat="1">
      <c r="T33245" s="41"/>
    </row>
    <row r="33246" spans="20:20" s="566" customFormat="1">
      <c r="T33246" s="41"/>
    </row>
    <row r="33247" spans="20:20" s="566" customFormat="1">
      <c r="T33247" s="41"/>
    </row>
    <row r="33248" spans="20:20" s="566" customFormat="1">
      <c r="T33248" s="41"/>
    </row>
    <row r="33249" spans="20:20" s="566" customFormat="1">
      <c r="T33249" s="41"/>
    </row>
    <row r="33250" spans="20:20" s="566" customFormat="1">
      <c r="T33250" s="41"/>
    </row>
    <row r="33251" spans="20:20" s="566" customFormat="1">
      <c r="T33251" s="41"/>
    </row>
    <row r="33252" spans="20:20" s="566" customFormat="1">
      <c r="T33252" s="41"/>
    </row>
    <row r="33253" spans="20:20" s="566" customFormat="1">
      <c r="T33253" s="41"/>
    </row>
    <row r="33254" spans="20:20" s="566" customFormat="1">
      <c r="T33254" s="41"/>
    </row>
    <row r="33255" spans="20:20" s="566" customFormat="1">
      <c r="T33255" s="41"/>
    </row>
    <row r="33256" spans="20:20" s="566" customFormat="1">
      <c r="T33256" s="41"/>
    </row>
    <row r="33257" spans="20:20" s="566" customFormat="1">
      <c r="T33257" s="41"/>
    </row>
    <row r="33258" spans="20:20" s="566" customFormat="1">
      <c r="T33258" s="41"/>
    </row>
    <row r="33259" spans="20:20" s="566" customFormat="1">
      <c r="T33259" s="41"/>
    </row>
    <row r="33260" spans="20:20" s="566" customFormat="1">
      <c r="T33260" s="41"/>
    </row>
    <row r="33261" spans="20:20" s="566" customFormat="1">
      <c r="T33261" s="41"/>
    </row>
    <row r="33262" spans="20:20" s="566" customFormat="1">
      <c r="T33262" s="41"/>
    </row>
    <row r="33263" spans="20:20" s="566" customFormat="1">
      <c r="T33263" s="41"/>
    </row>
    <row r="33264" spans="20:20" s="566" customFormat="1">
      <c r="T33264" s="41"/>
    </row>
    <row r="33265" spans="20:20" s="566" customFormat="1">
      <c r="T33265" s="41"/>
    </row>
    <row r="33266" spans="20:20" s="566" customFormat="1">
      <c r="T33266" s="41"/>
    </row>
    <row r="33267" spans="20:20" s="566" customFormat="1">
      <c r="T33267" s="41"/>
    </row>
    <row r="33268" spans="20:20" s="566" customFormat="1">
      <c r="T33268" s="41"/>
    </row>
    <row r="33269" spans="20:20" s="566" customFormat="1">
      <c r="T33269" s="41"/>
    </row>
    <row r="33270" spans="20:20" s="566" customFormat="1">
      <c r="T33270" s="41"/>
    </row>
    <row r="33271" spans="20:20" s="566" customFormat="1">
      <c r="T33271" s="41"/>
    </row>
    <row r="33272" spans="20:20" s="566" customFormat="1">
      <c r="T33272" s="41"/>
    </row>
    <row r="33273" spans="20:20" s="566" customFormat="1">
      <c r="T33273" s="41"/>
    </row>
    <row r="33274" spans="20:20" s="566" customFormat="1">
      <c r="T33274" s="41"/>
    </row>
    <row r="33275" spans="20:20" s="566" customFormat="1">
      <c r="T33275" s="41"/>
    </row>
    <row r="33276" spans="20:20" s="566" customFormat="1">
      <c r="T33276" s="41"/>
    </row>
    <row r="33277" spans="20:20" s="566" customFormat="1">
      <c r="T33277" s="41"/>
    </row>
    <row r="33278" spans="20:20" s="566" customFormat="1">
      <c r="T33278" s="41"/>
    </row>
    <row r="33279" spans="20:20" s="566" customFormat="1">
      <c r="T33279" s="41"/>
    </row>
    <row r="33280" spans="20:20" s="566" customFormat="1">
      <c r="T33280" s="41"/>
    </row>
    <row r="33281" spans="20:20" s="566" customFormat="1">
      <c r="T33281" s="41"/>
    </row>
    <row r="33282" spans="20:20" s="566" customFormat="1">
      <c r="T33282" s="41"/>
    </row>
    <row r="33283" spans="20:20" s="566" customFormat="1">
      <c r="T33283" s="41"/>
    </row>
    <row r="33284" spans="20:20" s="566" customFormat="1">
      <c r="T33284" s="41"/>
    </row>
    <row r="33285" spans="20:20" s="566" customFormat="1">
      <c r="T33285" s="41"/>
    </row>
    <row r="33286" spans="20:20" s="566" customFormat="1">
      <c r="T33286" s="41"/>
    </row>
    <row r="33287" spans="20:20" s="566" customFormat="1">
      <c r="T33287" s="41"/>
    </row>
    <row r="33288" spans="20:20" s="566" customFormat="1">
      <c r="T33288" s="41"/>
    </row>
    <row r="33289" spans="20:20" s="566" customFormat="1">
      <c r="T33289" s="41"/>
    </row>
    <row r="33290" spans="20:20" s="566" customFormat="1">
      <c r="T33290" s="41"/>
    </row>
    <row r="33291" spans="20:20" s="566" customFormat="1">
      <c r="T33291" s="41"/>
    </row>
    <row r="33292" spans="20:20" s="566" customFormat="1">
      <c r="T33292" s="41"/>
    </row>
    <row r="33293" spans="20:20" s="566" customFormat="1">
      <c r="T33293" s="41"/>
    </row>
    <row r="33294" spans="20:20" s="566" customFormat="1">
      <c r="T33294" s="41"/>
    </row>
    <row r="33295" spans="20:20" s="566" customFormat="1">
      <c r="T33295" s="41"/>
    </row>
    <row r="33296" spans="20:20" s="566" customFormat="1">
      <c r="T33296" s="41"/>
    </row>
    <row r="33297" spans="20:20" s="566" customFormat="1">
      <c r="T33297" s="41"/>
    </row>
    <row r="33298" spans="20:20" s="566" customFormat="1">
      <c r="T33298" s="41"/>
    </row>
    <row r="33299" spans="20:20" s="566" customFormat="1">
      <c r="T33299" s="41"/>
    </row>
    <row r="33300" spans="20:20" s="566" customFormat="1">
      <c r="T33300" s="41"/>
    </row>
    <row r="33301" spans="20:20" s="566" customFormat="1">
      <c r="T33301" s="41"/>
    </row>
    <row r="33302" spans="20:20" s="566" customFormat="1">
      <c r="T33302" s="41"/>
    </row>
    <row r="33303" spans="20:20" s="566" customFormat="1">
      <c r="T33303" s="41"/>
    </row>
    <row r="33304" spans="20:20" s="566" customFormat="1">
      <c r="T33304" s="41"/>
    </row>
    <row r="33305" spans="20:20" s="566" customFormat="1">
      <c r="T33305" s="41"/>
    </row>
    <row r="33306" spans="20:20" s="566" customFormat="1">
      <c r="T33306" s="41"/>
    </row>
    <row r="33307" spans="20:20" s="566" customFormat="1">
      <c r="T33307" s="41"/>
    </row>
    <row r="33308" spans="20:20" s="566" customFormat="1">
      <c r="T33308" s="41"/>
    </row>
    <row r="33309" spans="20:20" s="566" customFormat="1">
      <c r="T33309" s="41"/>
    </row>
    <row r="33310" spans="20:20" s="566" customFormat="1">
      <c r="T33310" s="41"/>
    </row>
    <row r="33311" spans="20:20" s="566" customFormat="1">
      <c r="T33311" s="41"/>
    </row>
    <row r="33312" spans="20:20" s="566" customFormat="1">
      <c r="T33312" s="41"/>
    </row>
    <row r="33313" spans="20:20" s="566" customFormat="1">
      <c r="T33313" s="41"/>
    </row>
    <row r="33314" spans="20:20" s="566" customFormat="1">
      <c r="T33314" s="41"/>
    </row>
    <row r="33315" spans="20:20" s="566" customFormat="1">
      <c r="T33315" s="41"/>
    </row>
    <row r="33316" spans="20:20" s="566" customFormat="1">
      <c r="T33316" s="41"/>
    </row>
    <row r="33317" spans="20:20" s="566" customFormat="1">
      <c r="T33317" s="41"/>
    </row>
    <row r="33318" spans="20:20" s="566" customFormat="1">
      <c r="T33318" s="41"/>
    </row>
    <row r="33319" spans="20:20" s="566" customFormat="1">
      <c r="T33319" s="41"/>
    </row>
    <row r="33320" spans="20:20" s="566" customFormat="1">
      <c r="T33320" s="41"/>
    </row>
    <row r="33321" spans="20:20" s="566" customFormat="1">
      <c r="T33321" s="41"/>
    </row>
    <row r="33322" spans="20:20" s="566" customFormat="1">
      <c r="T33322" s="41"/>
    </row>
    <row r="33323" spans="20:20" s="566" customFormat="1">
      <c r="T33323" s="41"/>
    </row>
    <row r="33324" spans="20:20" s="566" customFormat="1">
      <c r="T33324" s="41"/>
    </row>
    <row r="33325" spans="20:20" s="566" customFormat="1">
      <c r="T33325" s="41"/>
    </row>
    <row r="33326" spans="20:20" s="566" customFormat="1">
      <c r="T33326" s="41"/>
    </row>
    <row r="33327" spans="20:20" s="566" customFormat="1">
      <c r="T33327" s="41"/>
    </row>
    <row r="33328" spans="20:20" s="566" customFormat="1">
      <c r="T33328" s="41"/>
    </row>
    <row r="33329" spans="20:20" s="566" customFormat="1">
      <c r="T33329" s="41"/>
    </row>
    <row r="33330" spans="20:20" s="566" customFormat="1">
      <c r="T33330" s="41"/>
    </row>
    <row r="33331" spans="20:20" s="566" customFormat="1">
      <c r="T33331" s="41"/>
    </row>
    <row r="33332" spans="20:20" s="566" customFormat="1">
      <c r="T33332" s="41"/>
    </row>
    <row r="33333" spans="20:20" s="566" customFormat="1">
      <c r="T33333" s="41"/>
    </row>
    <row r="33334" spans="20:20" s="566" customFormat="1">
      <c r="T33334" s="41"/>
    </row>
    <row r="33335" spans="20:20" s="566" customFormat="1">
      <c r="T33335" s="41"/>
    </row>
    <row r="33336" spans="20:20" s="566" customFormat="1">
      <c r="T33336" s="41"/>
    </row>
    <row r="33337" spans="20:20" s="566" customFormat="1">
      <c r="T33337" s="41"/>
    </row>
    <row r="33338" spans="20:20" s="566" customFormat="1">
      <c r="T33338" s="41"/>
    </row>
    <row r="33339" spans="20:20" s="566" customFormat="1">
      <c r="T33339" s="41"/>
    </row>
    <row r="33340" spans="20:20" s="566" customFormat="1">
      <c r="T33340" s="41"/>
    </row>
    <row r="33341" spans="20:20" s="566" customFormat="1">
      <c r="T33341" s="41"/>
    </row>
    <row r="33342" spans="20:20" s="566" customFormat="1">
      <c r="T33342" s="41"/>
    </row>
    <row r="33343" spans="20:20" s="566" customFormat="1">
      <c r="T33343" s="41"/>
    </row>
    <row r="33344" spans="20:20" s="566" customFormat="1">
      <c r="T33344" s="41"/>
    </row>
    <row r="33345" spans="20:20" s="566" customFormat="1">
      <c r="T33345" s="41"/>
    </row>
    <row r="33346" spans="20:20" s="566" customFormat="1">
      <c r="T33346" s="41"/>
    </row>
    <row r="33347" spans="20:20" s="566" customFormat="1">
      <c r="T33347" s="41"/>
    </row>
    <row r="33348" spans="20:20" s="566" customFormat="1">
      <c r="T33348" s="41"/>
    </row>
    <row r="33349" spans="20:20" s="566" customFormat="1">
      <c r="T33349" s="41"/>
    </row>
    <row r="33350" spans="20:20" s="566" customFormat="1">
      <c r="T33350" s="41"/>
    </row>
    <row r="33351" spans="20:20" s="566" customFormat="1">
      <c r="T33351" s="41"/>
    </row>
    <row r="33352" spans="20:20" s="566" customFormat="1">
      <c r="T33352" s="41"/>
    </row>
    <row r="33353" spans="20:20" s="566" customFormat="1">
      <c r="T33353" s="41"/>
    </row>
    <row r="33354" spans="20:20" s="566" customFormat="1">
      <c r="T33354" s="41"/>
    </row>
    <row r="33355" spans="20:20" s="566" customFormat="1">
      <c r="T33355" s="41"/>
    </row>
    <row r="33356" spans="20:20" s="566" customFormat="1">
      <c r="T33356" s="41"/>
    </row>
    <row r="33357" spans="20:20" s="566" customFormat="1">
      <c r="T33357" s="41"/>
    </row>
    <row r="33358" spans="20:20" s="566" customFormat="1">
      <c r="T33358" s="41"/>
    </row>
    <row r="33359" spans="20:20" s="566" customFormat="1">
      <c r="T33359" s="41"/>
    </row>
    <row r="33360" spans="20:20" s="566" customFormat="1">
      <c r="T33360" s="41"/>
    </row>
    <row r="33361" spans="20:20" s="566" customFormat="1">
      <c r="T33361" s="41"/>
    </row>
    <row r="33362" spans="20:20" s="566" customFormat="1">
      <c r="T33362" s="41"/>
    </row>
    <row r="33363" spans="20:20" s="566" customFormat="1">
      <c r="T33363" s="41"/>
    </row>
    <row r="33364" spans="20:20" s="566" customFormat="1">
      <c r="T33364" s="41"/>
    </row>
    <row r="33365" spans="20:20" s="566" customFormat="1">
      <c r="T33365" s="41"/>
    </row>
    <row r="33366" spans="20:20" s="566" customFormat="1">
      <c r="T33366" s="41"/>
    </row>
    <row r="33367" spans="20:20" s="566" customFormat="1">
      <c r="T33367" s="41"/>
    </row>
    <row r="33368" spans="20:20" s="566" customFormat="1">
      <c r="T33368" s="41"/>
    </row>
    <row r="33369" spans="20:20" s="566" customFormat="1">
      <c r="T33369" s="41"/>
    </row>
    <row r="33370" spans="20:20" s="566" customFormat="1">
      <c r="T33370" s="41"/>
    </row>
    <row r="33371" spans="20:20" s="566" customFormat="1">
      <c r="T33371" s="41"/>
    </row>
    <row r="33372" spans="20:20" s="566" customFormat="1">
      <c r="T33372" s="41"/>
    </row>
    <row r="33373" spans="20:20" s="566" customFormat="1">
      <c r="T33373" s="41"/>
    </row>
    <row r="33374" spans="20:20" s="566" customFormat="1">
      <c r="T33374" s="41"/>
    </row>
    <row r="33375" spans="20:20" s="566" customFormat="1">
      <c r="T33375" s="41"/>
    </row>
    <row r="33376" spans="20:20" s="566" customFormat="1">
      <c r="T33376" s="41"/>
    </row>
    <row r="33377" spans="20:20" s="566" customFormat="1">
      <c r="T33377" s="41"/>
    </row>
    <row r="33378" spans="20:20" s="566" customFormat="1">
      <c r="T33378" s="41"/>
    </row>
    <row r="33379" spans="20:20" s="566" customFormat="1">
      <c r="T33379" s="41"/>
    </row>
    <row r="33380" spans="20:20" s="566" customFormat="1">
      <c r="T33380" s="41"/>
    </row>
    <row r="33381" spans="20:20" s="566" customFormat="1">
      <c r="T33381" s="41"/>
    </row>
    <row r="33382" spans="20:20" s="566" customFormat="1">
      <c r="T33382" s="41"/>
    </row>
    <row r="33383" spans="20:20" s="566" customFormat="1">
      <c r="T33383" s="41"/>
    </row>
    <row r="33384" spans="20:20" s="566" customFormat="1">
      <c r="T33384" s="41"/>
    </row>
    <row r="33385" spans="20:20" s="566" customFormat="1">
      <c r="T33385" s="41"/>
    </row>
    <row r="33386" spans="20:20" s="566" customFormat="1">
      <c r="T33386" s="41"/>
    </row>
    <row r="33387" spans="20:20" s="566" customFormat="1">
      <c r="T33387" s="41"/>
    </row>
    <row r="33388" spans="20:20" s="566" customFormat="1">
      <c r="T33388" s="41"/>
    </row>
    <row r="33389" spans="20:20" s="566" customFormat="1">
      <c r="T33389" s="41"/>
    </row>
    <row r="33390" spans="20:20" s="566" customFormat="1">
      <c r="T33390" s="41"/>
    </row>
    <row r="33391" spans="20:20" s="566" customFormat="1">
      <c r="T33391" s="41"/>
    </row>
    <row r="33392" spans="20:20" s="566" customFormat="1">
      <c r="T33392" s="41"/>
    </row>
    <row r="33393" spans="20:20" s="566" customFormat="1">
      <c r="T33393" s="41"/>
    </row>
    <row r="33394" spans="20:20" s="566" customFormat="1">
      <c r="T33394" s="41"/>
    </row>
    <row r="33395" spans="20:20" s="566" customFormat="1">
      <c r="T33395" s="41"/>
    </row>
    <row r="33396" spans="20:20" s="566" customFormat="1">
      <c r="T33396" s="41"/>
    </row>
    <row r="33397" spans="20:20" s="566" customFormat="1">
      <c r="T33397" s="41"/>
    </row>
    <row r="33398" spans="20:20" s="566" customFormat="1">
      <c r="T33398" s="41"/>
    </row>
    <row r="33399" spans="20:20" s="566" customFormat="1">
      <c r="T33399" s="41"/>
    </row>
    <row r="33400" spans="20:20" s="566" customFormat="1">
      <c r="T33400" s="41"/>
    </row>
    <row r="33401" spans="20:20" s="566" customFormat="1">
      <c r="T33401" s="41"/>
    </row>
    <row r="33402" spans="20:20" s="566" customFormat="1">
      <c r="T33402" s="41"/>
    </row>
    <row r="33403" spans="20:20" s="566" customFormat="1">
      <c r="T33403" s="41"/>
    </row>
    <row r="33404" spans="20:20" s="566" customFormat="1">
      <c r="T33404" s="41"/>
    </row>
    <row r="33405" spans="20:20" s="566" customFormat="1">
      <c r="T33405" s="41"/>
    </row>
    <row r="33406" spans="20:20" s="566" customFormat="1">
      <c r="T33406" s="41"/>
    </row>
    <row r="33407" spans="20:20" s="566" customFormat="1">
      <c r="T33407" s="41"/>
    </row>
    <row r="33408" spans="20:20" s="566" customFormat="1">
      <c r="T33408" s="41"/>
    </row>
    <row r="33409" spans="20:20" s="566" customFormat="1">
      <c r="T33409" s="41"/>
    </row>
    <row r="33410" spans="20:20" s="566" customFormat="1">
      <c r="T33410" s="41"/>
    </row>
    <row r="33411" spans="20:20" s="566" customFormat="1">
      <c r="T33411" s="41"/>
    </row>
    <row r="33412" spans="20:20" s="566" customFormat="1">
      <c r="T33412" s="41"/>
    </row>
    <row r="33413" spans="20:20" s="566" customFormat="1">
      <c r="T33413" s="41"/>
    </row>
    <row r="33414" spans="20:20" s="566" customFormat="1">
      <c r="T33414" s="41"/>
    </row>
    <row r="33415" spans="20:20" s="566" customFormat="1">
      <c r="T33415" s="41"/>
    </row>
    <row r="33416" spans="20:20" s="566" customFormat="1">
      <c r="T33416" s="41"/>
    </row>
    <row r="33417" spans="20:20" s="566" customFormat="1">
      <c r="T33417" s="41"/>
    </row>
    <row r="33418" spans="20:20" s="566" customFormat="1">
      <c r="T33418" s="41"/>
    </row>
    <row r="33419" spans="20:20" s="566" customFormat="1">
      <c r="T33419" s="41"/>
    </row>
    <row r="33420" spans="20:20" s="566" customFormat="1">
      <c r="T33420" s="41"/>
    </row>
    <row r="33421" spans="20:20" s="566" customFormat="1">
      <c r="T33421" s="41"/>
    </row>
    <row r="33422" spans="20:20" s="566" customFormat="1">
      <c r="T33422" s="41"/>
    </row>
    <row r="33423" spans="20:20" s="566" customFormat="1">
      <c r="T33423" s="41"/>
    </row>
    <row r="33424" spans="20:20" s="566" customFormat="1">
      <c r="T33424" s="41"/>
    </row>
    <row r="33425" spans="20:20" s="566" customFormat="1">
      <c r="T33425" s="41"/>
    </row>
    <row r="33426" spans="20:20" s="566" customFormat="1">
      <c r="T33426" s="41"/>
    </row>
    <row r="33427" spans="20:20" s="566" customFormat="1">
      <c r="T33427" s="41"/>
    </row>
    <row r="33428" spans="20:20" s="566" customFormat="1">
      <c r="T33428" s="41"/>
    </row>
    <row r="33429" spans="20:20" s="566" customFormat="1">
      <c r="T33429" s="41"/>
    </row>
    <row r="33430" spans="20:20" s="566" customFormat="1">
      <c r="T33430" s="41"/>
    </row>
    <row r="33431" spans="20:20" s="566" customFormat="1">
      <c r="T33431" s="41"/>
    </row>
    <row r="33432" spans="20:20" s="566" customFormat="1">
      <c r="T33432" s="41"/>
    </row>
    <row r="33433" spans="20:20" s="566" customFormat="1">
      <c r="T33433" s="41"/>
    </row>
    <row r="33434" spans="20:20" s="566" customFormat="1">
      <c r="T33434" s="41"/>
    </row>
    <row r="33435" spans="20:20" s="566" customFormat="1">
      <c r="T33435" s="41"/>
    </row>
    <row r="33436" spans="20:20" s="566" customFormat="1">
      <c r="T33436" s="41"/>
    </row>
    <row r="33437" spans="20:20" s="566" customFormat="1">
      <c r="T33437" s="41"/>
    </row>
    <row r="33438" spans="20:20" s="566" customFormat="1">
      <c r="T33438" s="41"/>
    </row>
    <row r="33439" spans="20:20" s="566" customFormat="1">
      <c r="T33439" s="41"/>
    </row>
    <row r="33440" spans="20:20" s="566" customFormat="1">
      <c r="T33440" s="41"/>
    </row>
    <row r="33441" spans="20:20" s="566" customFormat="1">
      <c r="T33441" s="41"/>
    </row>
    <row r="33442" spans="20:20" s="566" customFormat="1">
      <c r="T33442" s="41"/>
    </row>
    <row r="33443" spans="20:20" s="566" customFormat="1">
      <c r="T33443" s="41"/>
    </row>
    <row r="33444" spans="20:20" s="566" customFormat="1">
      <c r="T33444" s="41"/>
    </row>
    <row r="33445" spans="20:20" s="566" customFormat="1">
      <c r="T33445" s="41"/>
    </row>
    <row r="33446" spans="20:20" s="566" customFormat="1">
      <c r="T33446" s="41"/>
    </row>
    <row r="33447" spans="20:20" s="566" customFormat="1">
      <c r="T33447" s="41"/>
    </row>
    <row r="33448" spans="20:20" s="566" customFormat="1">
      <c r="T33448" s="41"/>
    </row>
    <row r="33449" spans="20:20" s="566" customFormat="1">
      <c r="T33449" s="41"/>
    </row>
    <row r="33450" spans="20:20" s="566" customFormat="1">
      <c r="T33450" s="41"/>
    </row>
    <row r="33451" spans="20:20" s="566" customFormat="1">
      <c r="T33451" s="41"/>
    </row>
    <row r="33452" spans="20:20" s="566" customFormat="1">
      <c r="T33452" s="41"/>
    </row>
    <row r="33453" spans="20:20" s="566" customFormat="1">
      <c r="T33453" s="41"/>
    </row>
    <row r="33454" spans="20:20" s="566" customFormat="1">
      <c r="T33454" s="41"/>
    </row>
    <row r="33455" spans="20:20" s="566" customFormat="1">
      <c r="T33455" s="41"/>
    </row>
    <row r="33456" spans="20:20" s="566" customFormat="1">
      <c r="T33456" s="41"/>
    </row>
    <row r="33457" spans="20:20" s="566" customFormat="1">
      <c r="T33457" s="41"/>
    </row>
    <row r="33458" spans="20:20" s="566" customFormat="1">
      <c r="T33458" s="41"/>
    </row>
    <row r="33459" spans="20:20" s="566" customFormat="1">
      <c r="T33459" s="41"/>
    </row>
    <row r="33460" spans="20:20" s="566" customFormat="1">
      <c r="T33460" s="41"/>
    </row>
    <row r="33461" spans="20:20" s="566" customFormat="1">
      <c r="T33461" s="41"/>
    </row>
    <row r="33462" spans="20:20" s="566" customFormat="1">
      <c r="T33462" s="41"/>
    </row>
    <row r="33463" spans="20:20" s="566" customFormat="1">
      <c r="T33463" s="41"/>
    </row>
    <row r="33464" spans="20:20" s="566" customFormat="1">
      <c r="T33464" s="41"/>
    </row>
    <row r="33465" spans="20:20" s="566" customFormat="1">
      <c r="T33465" s="41"/>
    </row>
    <row r="33466" spans="20:20" s="566" customFormat="1">
      <c r="T33466" s="41"/>
    </row>
    <row r="33467" spans="20:20" s="566" customFormat="1">
      <c r="T33467" s="41"/>
    </row>
    <row r="33468" spans="20:20" s="566" customFormat="1">
      <c r="T33468" s="41"/>
    </row>
    <row r="33469" spans="20:20" s="566" customFormat="1">
      <c r="T33469" s="41"/>
    </row>
    <row r="33470" spans="20:20" s="566" customFormat="1">
      <c r="T33470" s="41"/>
    </row>
    <row r="33471" spans="20:20" s="566" customFormat="1">
      <c r="T33471" s="41"/>
    </row>
    <row r="33472" spans="20:20" s="566" customFormat="1">
      <c r="T33472" s="41"/>
    </row>
    <row r="33473" spans="20:20" s="566" customFormat="1">
      <c r="T33473" s="41"/>
    </row>
    <row r="33474" spans="20:20" s="566" customFormat="1">
      <c r="T33474" s="41"/>
    </row>
    <row r="33475" spans="20:20" s="566" customFormat="1">
      <c r="T33475" s="41"/>
    </row>
    <row r="33476" spans="20:20" s="566" customFormat="1">
      <c r="T33476" s="41"/>
    </row>
    <row r="33477" spans="20:20" s="566" customFormat="1">
      <c r="T33477" s="41"/>
    </row>
    <row r="33478" spans="20:20" s="566" customFormat="1">
      <c r="T33478" s="41"/>
    </row>
    <row r="33479" spans="20:20" s="566" customFormat="1">
      <c r="T33479" s="41"/>
    </row>
    <row r="33480" spans="20:20" s="566" customFormat="1">
      <c r="T33480" s="41"/>
    </row>
    <row r="33481" spans="20:20" s="566" customFormat="1">
      <c r="T33481" s="41"/>
    </row>
    <row r="33482" spans="20:20" s="566" customFormat="1">
      <c r="T33482" s="41"/>
    </row>
    <row r="33483" spans="20:20" s="566" customFormat="1">
      <c r="T33483" s="41"/>
    </row>
    <row r="33484" spans="20:20" s="566" customFormat="1">
      <c r="T33484" s="41"/>
    </row>
    <row r="33485" spans="20:20" s="566" customFormat="1">
      <c r="T33485" s="41"/>
    </row>
    <row r="33486" spans="20:20" s="566" customFormat="1">
      <c r="T33486" s="41"/>
    </row>
    <row r="33487" spans="20:20" s="566" customFormat="1">
      <c r="T33487" s="41"/>
    </row>
    <row r="33488" spans="20:20" s="566" customFormat="1">
      <c r="T33488" s="41"/>
    </row>
    <row r="33489" spans="20:20" s="566" customFormat="1">
      <c r="T33489" s="41"/>
    </row>
    <row r="33490" spans="20:20" s="566" customFormat="1">
      <c r="T33490" s="41"/>
    </row>
    <row r="33491" spans="20:20" s="566" customFormat="1">
      <c r="T33491" s="41"/>
    </row>
    <row r="33492" spans="20:20" s="566" customFormat="1">
      <c r="T33492" s="41"/>
    </row>
    <row r="33493" spans="20:20" s="566" customFormat="1">
      <c r="T33493" s="41"/>
    </row>
    <row r="33494" spans="20:20" s="566" customFormat="1">
      <c r="T33494" s="41"/>
    </row>
    <row r="33495" spans="20:20" s="566" customFormat="1">
      <c r="T33495" s="41"/>
    </row>
    <row r="33496" spans="20:20" s="566" customFormat="1">
      <c r="T33496" s="41"/>
    </row>
    <row r="33497" spans="20:20" s="566" customFormat="1">
      <c r="T33497" s="41"/>
    </row>
    <row r="33498" spans="20:20" s="566" customFormat="1">
      <c r="T33498" s="41"/>
    </row>
    <row r="33499" spans="20:20" s="566" customFormat="1">
      <c r="T33499" s="41"/>
    </row>
    <row r="33500" spans="20:20" s="566" customFormat="1">
      <c r="T33500" s="41"/>
    </row>
    <row r="33501" spans="20:20" s="566" customFormat="1">
      <c r="T33501" s="41"/>
    </row>
    <row r="33502" spans="20:20" s="566" customFormat="1">
      <c r="T33502" s="41"/>
    </row>
    <row r="33503" spans="20:20" s="566" customFormat="1">
      <c r="T33503" s="41"/>
    </row>
    <row r="33504" spans="20:20" s="566" customFormat="1">
      <c r="T33504" s="41"/>
    </row>
    <row r="33505" spans="20:20" s="566" customFormat="1">
      <c r="T33505" s="41"/>
    </row>
    <row r="33506" spans="20:20" s="566" customFormat="1">
      <c r="T33506" s="41"/>
    </row>
    <row r="33507" spans="20:20" s="566" customFormat="1">
      <c r="T33507" s="41"/>
    </row>
    <row r="33508" spans="20:20" s="566" customFormat="1">
      <c r="T33508" s="41"/>
    </row>
    <row r="33509" spans="20:20" s="566" customFormat="1">
      <c r="T33509" s="41"/>
    </row>
    <row r="33510" spans="20:20" s="566" customFormat="1">
      <c r="T33510" s="41"/>
    </row>
    <row r="33511" spans="20:20" s="566" customFormat="1">
      <c r="T33511" s="41"/>
    </row>
    <row r="33512" spans="20:20" s="566" customFormat="1">
      <c r="T33512" s="41"/>
    </row>
    <row r="33513" spans="20:20" s="566" customFormat="1">
      <c r="T33513" s="41"/>
    </row>
    <row r="33514" spans="20:20" s="566" customFormat="1">
      <c r="T33514" s="41"/>
    </row>
    <row r="33515" spans="20:20" s="566" customFormat="1">
      <c r="T33515" s="41"/>
    </row>
    <row r="33516" spans="20:20" s="566" customFormat="1">
      <c r="T33516" s="41"/>
    </row>
    <row r="33517" spans="20:20" s="566" customFormat="1">
      <c r="T33517" s="41"/>
    </row>
    <row r="33518" spans="20:20" s="566" customFormat="1">
      <c r="T33518" s="41"/>
    </row>
    <row r="33519" spans="20:20" s="566" customFormat="1">
      <c r="T33519" s="41"/>
    </row>
    <row r="33520" spans="20:20" s="566" customFormat="1">
      <c r="T33520" s="41"/>
    </row>
    <row r="33521" spans="20:20" s="566" customFormat="1">
      <c r="T33521" s="41"/>
    </row>
    <row r="33522" spans="20:20" s="566" customFormat="1">
      <c r="T33522" s="41"/>
    </row>
    <row r="33523" spans="20:20" s="566" customFormat="1">
      <c r="T33523" s="41"/>
    </row>
    <row r="33524" spans="20:20" s="566" customFormat="1">
      <c r="T33524" s="41"/>
    </row>
    <row r="33525" spans="20:20" s="566" customFormat="1">
      <c r="T33525" s="41"/>
    </row>
    <row r="33526" spans="20:20" s="566" customFormat="1">
      <c r="T33526" s="41"/>
    </row>
    <row r="33527" spans="20:20" s="566" customFormat="1">
      <c r="T33527" s="41"/>
    </row>
    <row r="33528" spans="20:20" s="566" customFormat="1">
      <c r="T33528" s="41"/>
    </row>
    <row r="33529" spans="20:20" s="566" customFormat="1">
      <c r="T33529" s="41"/>
    </row>
    <row r="33530" spans="20:20" s="566" customFormat="1">
      <c r="T33530" s="41"/>
    </row>
    <row r="33531" spans="20:20" s="566" customFormat="1">
      <c r="T33531" s="41"/>
    </row>
    <row r="33532" spans="20:20" s="566" customFormat="1">
      <c r="T33532" s="41"/>
    </row>
    <row r="33533" spans="20:20" s="566" customFormat="1">
      <c r="T33533" s="41"/>
    </row>
    <row r="33534" spans="20:20" s="566" customFormat="1">
      <c r="T33534" s="41"/>
    </row>
    <row r="33535" spans="20:20" s="566" customFormat="1">
      <c r="T33535" s="41"/>
    </row>
    <row r="33536" spans="20:20" s="566" customFormat="1">
      <c r="T33536" s="41"/>
    </row>
    <row r="33537" spans="20:20" s="566" customFormat="1">
      <c r="T33537" s="41"/>
    </row>
    <row r="33538" spans="20:20" s="566" customFormat="1">
      <c r="T33538" s="41"/>
    </row>
    <row r="33539" spans="20:20" s="566" customFormat="1">
      <c r="T33539" s="41"/>
    </row>
    <row r="33540" spans="20:20" s="566" customFormat="1">
      <c r="T33540" s="41"/>
    </row>
    <row r="33541" spans="20:20" s="566" customFormat="1">
      <c r="T33541" s="41"/>
    </row>
    <row r="33542" spans="20:20" s="566" customFormat="1">
      <c r="T33542" s="41"/>
    </row>
    <row r="33543" spans="20:20" s="566" customFormat="1">
      <c r="T33543" s="41"/>
    </row>
    <row r="33544" spans="20:20" s="566" customFormat="1">
      <c r="T33544" s="41"/>
    </row>
    <row r="33545" spans="20:20" s="566" customFormat="1">
      <c r="T33545" s="41"/>
    </row>
    <row r="33546" spans="20:20" s="566" customFormat="1">
      <c r="T33546" s="41"/>
    </row>
    <row r="33547" spans="20:20" s="566" customFormat="1">
      <c r="T33547" s="41"/>
    </row>
    <row r="33548" spans="20:20" s="566" customFormat="1">
      <c r="T33548" s="41"/>
    </row>
    <row r="33549" spans="20:20" s="566" customFormat="1">
      <c r="T33549" s="41"/>
    </row>
    <row r="33550" spans="20:20" s="566" customFormat="1">
      <c r="T33550" s="41"/>
    </row>
    <row r="33551" spans="20:20" s="566" customFormat="1">
      <c r="T33551" s="41"/>
    </row>
    <row r="33552" spans="20:20" s="566" customFormat="1">
      <c r="T33552" s="41"/>
    </row>
    <row r="33553" spans="20:20" s="566" customFormat="1">
      <c r="T33553" s="41"/>
    </row>
    <row r="33554" spans="20:20" s="566" customFormat="1">
      <c r="T33554" s="41"/>
    </row>
    <row r="33555" spans="20:20" s="566" customFormat="1">
      <c r="T33555" s="41"/>
    </row>
    <row r="33556" spans="20:20" s="566" customFormat="1">
      <c r="T33556" s="41"/>
    </row>
    <row r="33557" spans="20:20" s="566" customFormat="1">
      <c r="T33557" s="41"/>
    </row>
    <row r="33558" spans="20:20" s="566" customFormat="1">
      <c r="T33558" s="41"/>
    </row>
    <row r="33559" spans="20:20" s="566" customFormat="1">
      <c r="T33559" s="41"/>
    </row>
    <row r="33560" spans="20:20" s="566" customFormat="1">
      <c r="T33560" s="41"/>
    </row>
    <row r="33561" spans="20:20" s="566" customFormat="1">
      <c r="T33561" s="41"/>
    </row>
    <row r="33562" spans="20:20" s="566" customFormat="1">
      <c r="T33562" s="41"/>
    </row>
    <row r="33563" spans="20:20" s="566" customFormat="1">
      <c r="T33563" s="41"/>
    </row>
    <row r="33564" spans="20:20" s="566" customFormat="1">
      <c r="T33564" s="41"/>
    </row>
    <row r="33565" spans="20:20" s="566" customFormat="1">
      <c r="T33565" s="41"/>
    </row>
    <row r="33566" spans="20:20" s="566" customFormat="1">
      <c r="T33566" s="41"/>
    </row>
    <row r="33567" spans="20:20" s="566" customFormat="1">
      <c r="T33567" s="41"/>
    </row>
    <row r="33568" spans="20:20" s="566" customFormat="1">
      <c r="T33568" s="41"/>
    </row>
    <row r="33569" spans="20:20" s="566" customFormat="1">
      <c r="T33569" s="41"/>
    </row>
    <row r="33570" spans="20:20" s="566" customFormat="1">
      <c r="T33570" s="41"/>
    </row>
    <row r="33571" spans="20:20" s="566" customFormat="1">
      <c r="T33571" s="41"/>
    </row>
    <row r="33572" spans="20:20" s="566" customFormat="1">
      <c r="T33572" s="41"/>
    </row>
    <row r="33573" spans="20:20" s="566" customFormat="1">
      <c r="T33573" s="41"/>
    </row>
    <row r="33574" spans="20:20" s="566" customFormat="1">
      <c r="T33574" s="41"/>
    </row>
    <row r="33575" spans="20:20" s="566" customFormat="1">
      <c r="T33575" s="41"/>
    </row>
    <row r="33576" spans="20:20" s="566" customFormat="1">
      <c r="T33576" s="41"/>
    </row>
    <row r="33577" spans="20:20" s="566" customFormat="1">
      <c r="T33577" s="41"/>
    </row>
    <row r="33578" spans="20:20" s="566" customFormat="1">
      <c r="T33578" s="41"/>
    </row>
    <row r="33579" spans="20:20" s="566" customFormat="1">
      <c r="T33579" s="41"/>
    </row>
    <row r="33580" spans="20:20" s="566" customFormat="1">
      <c r="T33580" s="41"/>
    </row>
    <row r="33581" spans="20:20" s="566" customFormat="1">
      <c r="T33581" s="41"/>
    </row>
    <row r="33582" spans="20:20" s="566" customFormat="1">
      <c r="T33582" s="41"/>
    </row>
    <row r="33583" spans="20:20" s="566" customFormat="1">
      <c r="T33583" s="41"/>
    </row>
    <row r="33584" spans="20:20" s="566" customFormat="1">
      <c r="T33584" s="41"/>
    </row>
    <row r="33585" spans="20:20" s="566" customFormat="1">
      <c r="T33585" s="41"/>
    </row>
    <row r="33586" spans="20:20" s="566" customFormat="1">
      <c r="T33586" s="41"/>
    </row>
    <row r="33587" spans="20:20" s="566" customFormat="1">
      <c r="T33587" s="41"/>
    </row>
    <row r="33588" spans="20:20" s="566" customFormat="1">
      <c r="T33588" s="41"/>
    </row>
    <row r="33589" spans="20:20" s="566" customFormat="1">
      <c r="T33589" s="41"/>
    </row>
    <row r="33590" spans="20:20" s="566" customFormat="1">
      <c r="T33590" s="41"/>
    </row>
    <row r="33591" spans="20:20" s="566" customFormat="1">
      <c r="T33591" s="41"/>
    </row>
    <row r="33592" spans="20:20" s="566" customFormat="1">
      <c r="T33592" s="41"/>
    </row>
    <row r="33593" spans="20:20" s="566" customFormat="1">
      <c r="T33593" s="41"/>
    </row>
    <row r="33594" spans="20:20" s="566" customFormat="1">
      <c r="T33594" s="41"/>
    </row>
    <row r="33595" spans="20:20" s="566" customFormat="1">
      <c r="T33595" s="41"/>
    </row>
    <row r="33596" spans="20:20" s="566" customFormat="1">
      <c r="T33596" s="41"/>
    </row>
    <row r="33597" spans="20:20" s="566" customFormat="1">
      <c r="T33597" s="41"/>
    </row>
    <row r="33598" spans="20:20" s="566" customFormat="1">
      <c r="T33598" s="41"/>
    </row>
    <row r="33599" spans="20:20" s="566" customFormat="1">
      <c r="T33599" s="41"/>
    </row>
    <row r="33600" spans="20:20" s="566" customFormat="1">
      <c r="T33600" s="41"/>
    </row>
    <row r="33601" spans="20:20" s="566" customFormat="1">
      <c r="T33601" s="41"/>
    </row>
    <row r="33602" spans="20:20" s="566" customFormat="1">
      <c r="T33602" s="41"/>
    </row>
    <row r="33603" spans="20:20" s="566" customFormat="1">
      <c r="T33603" s="41"/>
    </row>
    <row r="33604" spans="20:20" s="566" customFormat="1">
      <c r="T33604" s="41"/>
    </row>
    <row r="33605" spans="20:20" s="566" customFormat="1">
      <c r="T33605" s="41"/>
    </row>
    <row r="33606" spans="20:20" s="566" customFormat="1">
      <c r="T33606" s="41"/>
    </row>
    <row r="33607" spans="20:20" s="566" customFormat="1">
      <c r="T33607" s="41"/>
    </row>
    <row r="33608" spans="20:20" s="566" customFormat="1">
      <c r="T33608" s="41"/>
    </row>
    <row r="33609" spans="20:20" s="566" customFormat="1">
      <c r="T33609" s="41"/>
    </row>
    <row r="33610" spans="20:20" s="566" customFormat="1">
      <c r="T33610" s="41"/>
    </row>
    <row r="33611" spans="20:20" s="566" customFormat="1">
      <c r="T33611" s="41"/>
    </row>
    <row r="33612" spans="20:20" s="566" customFormat="1">
      <c r="T33612" s="41"/>
    </row>
    <row r="33613" spans="20:20" s="566" customFormat="1">
      <c r="T33613" s="41"/>
    </row>
    <row r="33614" spans="20:20" s="566" customFormat="1">
      <c r="T33614" s="41"/>
    </row>
    <row r="33615" spans="20:20" s="566" customFormat="1">
      <c r="T33615" s="41"/>
    </row>
    <row r="33616" spans="20:20" s="566" customFormat="1">
      <c r="T33616" s="41"/>
    </row>
    <row r="33617" spans="20:20" s="566" customFormat="1">
      <c r="T33617" s="41"/>
    </row>
    <row r="33618" spans="20:20" s="566" customFormat="1">
      <c r="T33618" s="41"/>
    </row>
    <row r="33619" spans="20:20" s="566" customFormat="1">
      <c r="T33619" s="41"/>
    </row>
    <row r="33620" spans="20:20" s="566" customFormat="1">
      <c r="T33620" s="41"/>
    </row>
    <row r="33621" spans="20:20" s="566" customFormat="1">
      <c r="T33621" s="41"/>
    </row>
    <row r="33622" spans="20:20" s="566" customFormat="1">
      <c r="T33622" s="41"/>
    </row>
    <row r="33623" spans="20:20" s="566" customFormat="1">
      <c r="T33623" s="41"/>
    </row>
    <row r="33624" spans="20:20" s="566" customFormat="1">
      <c r="T33624" s="41"/>
    </row>
    <row r="33625" spans="20:20" s="566" customFormat="1">
      <c r="T33625" s="41"/>
    </row>
    <row r="33626" spans="20:20" s="566" customFormat="1">
      <c r="T33626" s="41"/>
    </row>
    <row r="33627" spans="20:20" s="566" customFormat="1">
      <c r="T33627" s="41"/>
    </row>
    <row r="33628" spans="20:20" s="566" customFormat="1">
      <c r="T33628" s="41"/>
    </row>
    <row r="33629" spans="20:20" s="566" customFormat="1">
      <c r="T33629" s="41"/>
    </row>
    <row r="33630" spans="20:20" s="566" customFormat="1">
      <c r="T33630" s="41"/>
    </row>
    <row r="33631" spans="20:20" s="566" customFormat="1">
      <c r="T33631" s="41"/>
    </row>
    <row r="33632" spans="20:20" s="566" customFormat="1">
      <c r="T33632" s="41"/>
    </row>
    <row r="33633" spans="20:20" s="566" customFormat="1">
      <c r="T33633" s="41"/>
    </row>
    <row r="33634" spans="20:20" s="566" customFormat="1">
      <c r="T33634" s="41"/>
    </row>
    <row r="33635" spans="20:20" s="566" customFormat="1">
      <c r="T33635" s="41"/>
    </row>
    <row r="33636" spans="20:20" s="566" customFormat="1">
      <c r="T33636" s="41"/>
    </row>
    <row r="33637" spans="20:20" s="566" customFormat="1">
      <c r="T33637" s="41"/>
    </row>
    <row r="33638" spans="20:20" s="566" customFormat="1">
      <c r="T33638" s="41"/>
    </row>
    <row r="33639" spans="20:20" s="566" customFormat="1">
      <c r="T33639" s="41"/>
    </row>
    <row r="33640" spans="20:20" s="566" customFormat="1">
      <c r="T33640" s="41"/>
    </row>
    <row r="33641" spans="20:20" s="566" customFormat="1">
      <c r="T33641" s="41"/>
    </row>
    <row r="33642" spans="20:20" s="566" customFormat="1">
      <c r="T33642" s="41"/>
    </row>
    <row r="33643" spans="20:20" s="566" customFormat="1">
      <c r="T33643" s="41"/>
    </row>
    <row r="33644" spans="20:20" s="566" customFormat="1">
      <c r="T33644" s="41"/>
    </row>
    <row r="33645" spans="20:20" s="566" customFormat="1">
      <c r="T33645" s="41"/>
    </row>
    <row r="33646" spans="20:20" s="566" customFormat="1">
      <c r="T33646" s="41"/>
    </row>
    <row r="33647" spans="20:20" s="566" customFormat="1">
      <c r="T33647" s="41"/>
    </row>
    <row r="33648" spans="20:20" s="566" customFormat="1">
      <c r="T33648" s="41"/>
    </row>
    <row r="33649" spans="20:20" s="566" customFormat="1">
      <c r="T33649" s="41"/>
    </row>
    <row r="33650" spans="20:20" s="566" customFormat="1">
      <c r="T33650" s="41"/>
    </row>
    <row r="33651" spans="20:20" s="566" customFormat="1">
      <c r="T33651" s="41"/>
    </row>
    <row r="33652" spans="20:20" s="566" customFormat="1">
      <c r="T33652" s="41"/>
    </row>
    <row r="33653" spans="20:20" s="566" customFormat="1">
      <c r="T33653" s="41"/>
    </row>
    <row r="33654" spans="20:20" s="566" customFormat="1">
      <c r="T33654" s="41"/>
    </row>
    <row r="33655" spans="20:20" s="566" customFormat="1">
      <c r="T33655" s="41"/>
    </row>
    <row r="33656" spans="20:20" s="566" customFormat="1">
      <c r="T33656" s="41"/>
    </row>
    <row r="33657" spans="20:20" s="566" customFormat="1">
      <c r="T33657" s="41"/>
    </row>
    <row r="33658" spans="20:20" s="566" customFormat="1">
      <c r="T33658" s="41"/>
    </row>
    <row r="33659" spans="20:20" s="566" customFormat="1">
      <c r="T33659" s="41"/>
    </row>
    <row r="33660" spans="20:20" s="566" customFormat="1">
      <c r="T33660" s="41"/>
    </row>
    <row r="33661" spans="20:20" s="566" customFormat="1">
      <c r="T33661" s="41"/>
    </row>
    <row r="33662" spans="20:20" s="566" customFormat="1">
      <c r="T33662" s="41"/>
    </row>
    <row r="33663" spans="20:20" s="566" customFormat="1">
      <c r="T33663" s="41"/>
    </row>
    <row r="33664" spans="20:20" s="566" customFormat="1">
      <c r="T33664" s="41"/>
    </row>
    <row r="33665" spans="20:20" s="566" customFormat="1">
      <c r="T33665" s="41"/>
    </row>
    <row r="33666" spans="20:20" s="566" customFormat="1">
      <c r="T33666" s="41"/>
    </row>
    <row r="33667" spans="20:20" s="566" customFormat="1">
      <c r="T33667" s="41"/>
    </row>
    <row r="33668" spans="20:20" s="566" customFormat="1">
      <c r="T33668" s="41"/>
    </row>
    <row r="33669" spans="20:20" s="566" customFormat="1">
      <c r="T33669" s="41"/>
    </row>
    <row r="33670" spans="20:20" s="566" customFormat="1">
      <c r="T33670" s="41"/>
    </row>
    <row r="33671" spans="20:20" s="566" customFormat="1">
      <c r="T33671" s="41"/>
    </row>
    <row r="33672" spans="20:20" s="566" customFormat="1">
      <c r="T33672" s="41"/>
    </row>
    <row r="33673" spans="20:20" s="566" customFormat="1">
      <c r="T33673" s="41"/>
    </row>
    <row r="33674" spans="20:20" s="566" customFormat="1">
      <c r="T33674" s="41"/>
    </row>
    <row r="33675" spans="20:20" s="566" customFormat="1">
      <c r="T33675" s="41"/>
    </row>
    <row r="33676" spans="20:20" s="566" customFormat="1">
      <c r="T33676" s="41"/>
    </row>
    <row r="33677" spans="20:20" s="566" customFormat="1">
      <c r="T33677" s="41"/>
    </row>
    <row r="33678" spans="20:20" s="566" customFormat="1">
      <c r="T33678" s="41"/>
    </row>
    <row r="33679" spans="20:20" s="566" customFormat="1">
      <c r="T33679" s="41"/>
    </row>
    <row r="33680" spans="20:20" s="566" customFormat="1">
      <c r="T33680" s="41"/>
    </row>
    <row r="33681" spans="20:20" s="566" customFormat="1">
      <c r="T33681" s="41"/>
    </row>
    <row r="33682" spans="20:20" s="566" customFormat="1">
      <c r="T33682" s="41"/>
    </row>
    <row r="33683" spans="20:20" s="566" customFormat="1">
      <c r="T33683" s="41"/>
    </row>
    <row r="33684" spans="20:20" s="566" customFormat="1">
      <c r="T33684" s="41"/>
    </row>
    <row r="33685" spans="20:20" s="566" customFormat="1">
      <c r="T33685" s="41"/>
    </row>
    <row r="33686" spans="20:20" s="566" customFormat="1">
      <c r="T33686" s="41"/>
    </row>
    <row r="33687" spans="20:20" s="566" customFormat="1">
      <c r="T33687" s="41"/>
    </row>
    <row r="33688" spans="20:20" s="566" customFormat="1">
      <c r="T33688" s="41"/>
    </row>
    <row r="33689" spans="20:20" s="566" customFormat="1">
      <c r="T33689" s="41"/>
    </row>
    <row r="33690" spans="20:20" s="566" customFormat="1">
      <c r="T33690" s="41"/>
    </row>
    <row r="33691" spans="20:20" s="566" customFormat="1">
      <c r="T33691" s="41"/>
    </row>
    <row r="33692" spans="20:20" s="566" customFormat="1">
      <c r="T33692" s="41"/>
    </row>
    <row r="33693" spans="20:20" s="566" customFormat="1">
      <c r="T33693" s="41"/>
    </row>
    <row r="33694" spans="20:20" s="566" customFormat="1">
      <c r="T33694" s="41"/>
    </row>
    <row r="33695" spans="20:20" s="566" customFormat="1">
      <c r="T33695" s="41"/>
    </row>
    <row r="33696" spans="20:20" s="566" customFormat="1">
      <c r="T33696" s="41"/>
    </row>
    <row r="33697" spans="20:20" s="566" customFormat="1">
      <c r="T33697" s="41"/>
    </row>
    <row r="33698" spans="20:20" s="566" customFormat="1">
      <c r="T33698" s="41"/>
    </row>
    <row r="33699" spans="20:20" s="566" customFormat="1">
      <c r="T33699" s="41"/>
    </row>
    <row r="33700" spans="20:20" s="566" customFormat="1">
      <c r="T33700" s="41"/>
    </row>
    <row r="33701" spans="20:20" s="566" customFormat="1">
      <c r="T33701" s="41"/>
    </row>
    <row r="33702" spans="20:20" s="566" customFormat="1">
      <c r="T33702" s="41"/>
    </row>
    <row r="33703" spans="20:20" s="566" customFormat="1">
      <c r="T33703" s="41"/>
    </row>
    <row r="33704" spans="20:20" s="566" customFormat="1">
      <c r="T33704" s="41"/>
    </row>
    <row r="33705" spans="20:20" s="566" customFormat="1">
      <c r="T33705" s="41"/>
    </row>
    <row r="33706" spans="20:20" s="566" customFormat="1">
      <c r="T33706" s="41"/>
    </row>
    <row r="33707" spans="20:20" s="566" customFormat="1">
      <c r="T33707" s="41"/>
    </row>
    <row r="33708" spans="20:20" s="566" customFormat="1">
      <c r="T33708" s="41"/>
    </row>
    <row r="33709" spans="20:20" s="566" customFormat="1">
      <c r="T33709" s="41"/>
    </row>
    <row r="33710" spans="20:20" s="566" customFormat="1">
      <c r="T33710" s="41"/>
    </row>
    <row r="33711" spans="20:20" s="566" customFormat="1">
      <c r="T33711" s="41"/>
    </row>
    <row r="33712" spans="20:20" s="566" customFormat="1">
      <c r="T33712" s="41"/>
    </row>
    <row r="33713" spans="20:20" s="566" customFormat="1">
      <c r="T33713" s="41"/>
    </row>
    <row r="33714" spans="20:20" s="566" customFormat="1">
      <c r="T33714" s="41"/>
    </row>
    <row r="33715" spans="20:20" s="566" customFormat="1">
      <c r="T33715" s="41"/>
    </row>
    <row r="33716" spans="20:20" s="566" customFormat="1">
      <c r="T33716" s="41"/>
    </row>
    <row r="33717" spans="20:20" s="566" customFormat="1">
      <c r="T33717" s="41"/>
    </row>
    <row r="33718" spans="20:20" s="566" customFormat="1">
      <c r="T33718" s="41"/>
    </row>
    <row r="33719" spans="20:20" s="566" customFormat="1">
      <c r="T33719" s="41"/>
    </row>
    <row r="33720" spans="20:20" s="566" customFormat="1">
      <c r="T33720" s="41"/>
    </row>
    <row r="33721" spans="20:20" s="566" customFormat="1">
      <c r="T33721" s="41"/>
    </row>
    <row r="33722" spans="20:20" s="566" customFormat="1">
      <c r="T33722" s="41"/>
    </row>
    <row r="33723" spans="20:20" s="566" customFormat="1">
      <c r="T33723" s="41"/>
    </row>
    <row r="33724" spans="20:20" s="566" customFormat="1">
      <c r="T33724" s="41"/>
    </row>
    <row r="33725" spans="20:20" s="566" customFormat="1">
      <c r="T33725" s="41"/>
    </row>
    <row r="33726" spans="20:20" s="566" customFormat="1">
      <c r="T33726" s="41"/>
    </row>
    <row r="33727" spans="20:20" s="566" customFormat="1">
      <c r="T33727" s="41"/>
    </row>
    <row r="33728" spans="20:20" s="566" customFormat="1">
      <c r="T33728" s="41"/>
    </row>
    <row r="33729" spans="20:20" s="566" customFormat="1">
      <c r="T33729" s="41"/>
    </row>
    <row r="33730" spans="20:20" s="566" customFormat="1">
      <c r="T33730" s="41"/>
    </row>
    <row r="33731" spans="20:20" s="566" customFormat="1">
      <c r="T33731" s="41"/>
    </row>
    <row r="33732" spans="20:20" s="566" customFormat="1">
      <c r="T33732" s="41"/>
    </row>
    <row r="33733" spans="20:20" s="566" customFormat="1">
      <c r="T33733" s="41"/>
    </row>
    <row r="33734" spans="20:20" s="566" customFormat="1">
      <c r="T33734" s="41"/>
    </row>
    <row r="33735" spans="20:20" s="566" customFormat="1">
      <c r="T33735" s="41"/>
    </row>
    <row r="33736" spans="20:20" s="566" customFormat="1">
      <c r="T33736" s="41"/>
    </row>
    <row r="33737" spans="20:20" s="566" customFormat="1">
      <c r="T33737" s="41"/>
    </row>
    <row r="33738" spans="20:20" s="566" customFormat="1">
      <c r="T33738" s="41"/>
    </row>
    <row r="33739" spans="20:20" s="566" customFormat="1">
      <c r="T33739" s="41"/>
    </row>
    <row r="33740" spans="20:20" s="566" customFormat="1">
      <c r="T33740" s="41"/>
    </row>
    <row r="33741" spans="20:20" s="566" customFormat="1">
      <c r="T33741" s="41"/>
    </row>
    <row r="33742" spans="20:20" s="566" customFormat="1">
      <c r="T33742" s="41"/>
    </row>
    <row r="33743" spans="20:20" s="566" customFormat="1">
      <c r="T33743" s="41"/>
    </row>
    <row r="33744" spans="20:20" s="566" customFormat="1">
      <c r="T33744" s="41"/>
    </row>
    <row r="33745" spans="20:20" s="566" customFormat="1">
      <c r="T33745" s="41"/>
    </row>
    <row r="33746" spans="20:20" s="566" customFormat="1">
      <c r="T33746" s="41"/>
    </row>
    <row r="33747" spans="20:20" s="566" customFormat="1">
      <c r="T33747" s="41"/>
    </row>
    <row r="33748" spans="20:20" s="566" customFormat="1">
      <c r="T33748" s="41"/>
    </row>
    <row r="33749" spans="20:20" s="566" customFormat="1">
      <c r="T33749" s="41"/>
    </row>
    <row r="33750" spans="20:20" s="566" customFormat="1">
      <c r="T33750" s="41"/>
    </row>
    <row r="33751" spans="20:20" s="566" customFormat="1">
      <c r="T33751" s="41"/>
    </row>
    <row r="33752" spans="20:20" s="566" customFormat="1">
      <c r="T33752" s="41"/>
    </row>
    <row r="33753" spans="20:20" s="566" customFormat="1">
      <c r="T33753" s="41"/>
    </row>
    <row r="33754" spans="20:20" s="566" customFormat="1">
      <c r="T33754" s="41"/>
    </row>
    <row r="33755" spans="20:20" s="566" customFormat="1">
      <c r="T33755" s="41"/>
    </row>
    <row r="33756" spans="20:20" s="566" customFormat="1">
      <c r="T33756" s="41"/>
    </row>
    <row r="33757" spans="20:20" s="566" customFormat="1">
      <c r="T33757" s="41"/>
    </row>
    <row r="33758" spans="20:20" s="566" customFormat="1">
      <c r="T33758" s="41"/>
    </row>
    <row r="33759" spans="20:20" s="566" customFormat="1">
      <c r="T33759" s="41"/>
    </row>
    <row r="33760" spans="20:20" s="566" customFormat="1">
      <c r="T33760" s="41"/>
    </row>
    <row r="33761" spans="20:20" s="566" customFormat="1">
      <c r="T33761" s="41"/>
    </row>
    <row r="33762" spans="20:20" s="566" customFormat="1">
      <c r="T33762" s="41"/>
    </row>
    <row r="33763" spans="20:20" s="566" customFormat="1">
      <c r="T33763" s="41"/>
    </row>
    <row r="33764" spans="20:20" s="566" customFormat="1">
      <c r="T33764" s="41"/>
    </row>
    <row r="33765" spans="20:20" s="566" customFormat="1">
      <c r="T33765" s="41"/>
    </row>
    <row r="33766" spans="20:20" s="566" customFormat="1">
      <c r="T33766" s="41"/>
    </row>
    <row r="33767" spans="20:20" s="566" customFormat="1">
      <c r="T33767" s="41"/>
    </row>
    <row r="33768" spans="20:20" s="566" customFormat="1">
      <c r="T33768" s="41"/>
    </row>
    <row r="33769" spans="20:20" s="566" customFormat="1">
      <c r="T33769" s="41"/>
    </row>
    <row r="33770" spans="20:20" s="566" customFormat="1">
      <c r="T33770" s="41"/>
    </row>
    <row r="33771" spans="20:20" s="566" customFormat="1">
      <c r="T33771" s="41"/>
    </row>
    <row r="33772" spans="20:20" s="566" customFormat="1">
      <c r="T33772" s="41"/>
    </row>
    <row r="33773" spans="20:20" s="566" customFormat="1">
      <c r="T33773" s="41"/>
    </row>
    <row r="33774" spans="20:20" s="566" customFormat="1">
      <c r="T33774" s="41"/>
    </row>
    <row r="33775" spans="20:20" s="566" customFormat="1">
      <c r="T33775" s="41"/>
    </row>
    <row r="33776" spans="20:20" s="566" customFormat="1">
      <c r="T33776" s="41"/>
    </row>
    <row r="33777" spans="20:20" s="566" customFormat="1">
      <c r="T33777" s="41"/>
    </row>
    <row r="33778" spans="20:20" s="566" customFormat="1">
      <c r="T33778" s="41"/>
    </row>
    <row r="33779" spans="20:20" s="566" customFormat="1">
      <c r="T33779" s="41"/>
    </row>
    <row r="33780" spans="20:20" s="566" customFormat="1">
      <c r="T33780" s="41"/>
    </row>
    <row r="33781" spans="20:20" s="566" customFormat="1">
      <c r="T33781" s="41"/>
    </row>
    <row r="33782" spans="20:20" s="566" customFormat="1">
      <c r="T33782" s="41"/>
    </row>
    <row r="33783" spans="20:20" s="566" customFormat="1">
      <c r="T33783" s="41"/>
    </row>
    <row r="33784" spans="20:20" s="566" customFormat="1">
      <c r="T33784" s="41"/>
    </row>
    <row r="33785" spans="20:20" s="566" customFormat="1">
      <c r="T33785" s="41"/>
    </row>
    <row r="33786" spans="20:20" s="566" customFormat="1">
      <c r="T33786" s="41"/>
    </row>
    <row r="33787" spans="20:20" s="566" customFormat="1">
      <c r="T33787" s="41"/>
    </row>
    <row r="33788" spans="20:20" s="566" customFormat="1">
      <c r="T33788" s="41"/>
    </row>
    <row r="33789" spans="20:20" s="566" customFormat="1">
      <c r="T33789" s="41"/>
    </row>
    <row r="33790" spans="20:20" s="566" customFormat="1">
      <c r="T33790" s="41"/>
    </row>
    <row r="33791" spans="20:20" s="566" customFormat="1">
      <c r="T33791" s="41"/>
    </row>
    <row r="33792" spans="20:20" s="566" customFormat="1">
      <c r="T33792" s="41"/>
    </row>
    <row r="33793" spans="20:20" s="566" customFormat="1">
      <c r="T33793" s="41"/>
    </row>
    <row r="33794" spans="20:20" s="566" customFormat="1">
      <c r="T33794" s="41"/>
    </row>
    <row r="33795" spans="20:20" s="566" customFormat="1">
      <c r="T33795" s="41"/>
    </row>
    <row r="33796" spans="20:20" s="566" customFormat="1">
      <c r="T33796" s="41"/>
    </row>
    <row r="33797" spans="20:20" s="566" customFormat="1">
      <c r="T33797" s="41"/>
    </row>
    <row r="33798" spans="20:20" s="566" customFormat="1">
      <c r="T33798" s="41"/>
    </row>
    <row r="33799" spans="20:20" s="566" customFormat="1">
      <c r="T33799" s="41"/>
    </row>
    <row r="33800" spans="20:20" s="566" customFormat="1">
      <c r="T33800" s="41"/>
    </row>
    <row r="33801" spans="20:20" s="566" customFormat="1">
      <c r="T33801" s="41"/>
    </row>
    <row r="33802" spans="20:20" s="566" customFormat="1">
      <c r="T33802" s="41"/>
    </row>
    <row r="33803" spans="20:20" s="566" customFormat="1">
      <c r="T33803" s="41"/>
    </row>
    <row r="33804" spans="20:20" s="566" customFormat="1">
      <c r="T33804" s="41"/>
    </row>
    <row r="33805" spans="20:20" s="566" customFormat="1">
      <c r="T33805" s="41"/>
    </row>
    <row r="33806" spans="20:20" s="566" customFormat="1">
      <c r="T33806" s="41"/>
    </row>
    <row r="33807" spans="20:20" s="566" customFormat="1">
      <c r="T33807" s="41"/>
    </row>
    <row r="33808" spans="20:20" s="566" customFormat="1">
      <c r="T33808" s="41"/>
    </row>
    <row r="33809" spans="20:20" s="566" customFormat="1">
      <c r="T33809" s="41"/>
    </row>
    <row r="33810" spans="20:20" s="566" customFormat="1">
      <c r="T33810" s="41"/>
    </row>
    <row r="33811" spans="20:20" s="566" customFormat="1">
      <c r="T33811" s="41"/>
    </row>
    <row r="33812" spans="20:20" s="566" customFormat="1">
      <c r="T33812" s="41"/>
    </row>
    <row r="33813" spans="20:20" s="566" customFormat="1">
      <c r="T33813" s="41"/>
    </row>
    <row r="33814" spans="20:20" s="566" customFormat="1">
      <c r="T33814" s="41"/>
    </row>
    <row r="33815" spans="20:20" s="566" customFormat="1">
      <c r="T33815" s="41"/>
    </row>
    <row r="33816" spans="20:20" s="566" customFormat="1">
      <c r="T33816" s="41"/>
    </row>
    <row r="33817" spans="20:20" s="566" customFormat="1">
      <c r="T33817" s="41"/>
    </row>
    <row r="33818" spans="20:20" s="566" customFormat="1">
      <c r="T33818" s="41"/>
    </row>
    <row r="33819" spans="20:20" s="566" customFormat="1">
      <c r="T33819" s="41"/>
    </row>
    <row r="33820" spans="20:20" s="566" customFormat="1">
      <c r="T33820" s="41"/>
    </row>
    <row r="33821" spans="20:20" s="566" customFormat="1">
      <c r="T33821" s="41"/>
    </row>
    <row r="33822" spans="20:20" s="566" customFormat="1">
      <c r="T33822" s="41"/>
    </row>
    <row r="33823" spans="20:20" s="566" customFormat="1">
      <c r="T33823" s="41"/>
    </row>
    <row r="33824" spans="20:20" s="566" customFormat="1">
      <c r="T33824" s="41"/>
    </row>
    <row r="33825" spans="20:20" s="566" customFormat="1">
      <c r="T33825" s="41"/>
    </row>
    <row r="33826" spans="20:20" s="566" customFormat="1">
      <c r="T33826" s="41"/>
    </row>
    <row r="33827" spans="20:20" s="566" customFormat="1">
      <c r="T33827" s="41"/>
    </row>
    <row r="33828" spans="20:20" s="566" customFormat="1">
      <c r="T33828" s="41"/>
    </row>
    <row r="33829" spans="20:20" s="566" customFormat="1">
      <c r="T33829" s="41"/>
    </row>
    <row r="33830" spans="20:20" s="566" customFormat="1">
      <c r="T33830" s="41"/>
    </row>
    <row r="33831" spans="20:20" s="566" customFormat="1">
      <c r="T33831" s="41"/>
    </row>
    <row r="33832" spans="20:20" s="566" customFormat="1">
      <c r="T33832" s="41"/>
    </row>
    <row r="33833" spans="20:20" s="566" customFormat="1">
      <c r="T33833" s="41"/>
    </row>
    <row r="33834" spans="20:20" s="566" customFormat="1">
      <c r="T33834" s="41"/>
    </row>
    <row r="33835" spans="20:20" s="566" customFormat="1">
      <c r="T33835" s="41"/>
    </row>
    <row r="33836" spans="20:20" s="566" customFormat="1">
      <c r="T33836" s="41"/>
    </row>
    <row r="33837" spans="20:20" s="566" customFormat="1">
      <c r="T33837" s="41"/>
    </row>
    <row r="33838" spans="20:20" s="566" customFormat="1">
      <c r="T33838" s="41"/>
    </row>
    <row r="33839" spans="20:20" s="566" customFormat="1">
      <c r="T33839" s="41"/>
    </row>
    <row r="33840" spans="20:20" s="566" customFormat="1">
      <c r="T33840" s="41"/>
    </row>
    <row r="33841" spans="20:20" s="566" customFormat="1">
      <c r="T33841" s="41"/>
    </row>
    <row r="33842" spans="20:20" s="566" customFormat="1">
      <c r="T33842" s="41"/>
    </row>
    <row r="33843" spans="20:20" s="566" customFormat="1">
      <c r="T33843" s="41"/>
    </row>
    <row r="33844" spans="20:20" s="566" customFormat="1">
      <c r="T33844" s="41"/>
    </row>
    <row r="33845" spans="20:20" s="566" customFormat="1">
      <c r="T33845" s="41"/>
    </row>
    <row r="33846" spans="20:20" s="566" customFormat="1">
      <c r="T33846" s="41"/>
    </row>
    <row r="33847" spans="20:20" s="566" customFormat="1">
      <c r="T33847" s="41"/>
    </row>
    <row r="33848" spans="20:20" s="566" customFormat="1">
      <c r="T33848" s="41"/>
    </row>
    <row r="33849" spans="20:20" s="566" customFormat="1">
      <c r="T33849" s="41"/>
    </row>
    <row r="33850" spans="20:20" s="566" customFormat="1">
      <c r="T33850" s="41"/>
    </row>
    <row r="33851" spans="20:20" s="566" customFormat="1">
      <c r="T33851" s="41"/>
    </row>
    <row r="33852" spans="20:20" s="566" customFormat="1">
      <c r="T33852" s="41"/>
    </row>
    <row r="33853" spans="20:20" s="566" customFormat="1">
      <c r="T33853" s="41"/>
    </row>
    <row r="33854" spans="20:20" s="566" customFormat="1">
      <c r="T33854" s="41"/>
    </row>
    <row r="33855" spans="20:20" s="566" customFormat="1">
      <c r="T33855" s="41"/>
    </row>
    <row r="33856" spans="20:20" s="566" customFormat="1">
      <c r="T33856" s="41"/>
    </row>
    <row r="33857" spans="20:20" s="566" customFormat="1">
      <c r="T33857" s="41"/>
    </row>
    <row r="33858" spans="20:20" s="566" customFormat="1">
      <c r="T33858" s="41"/>
    </row>
    <row r="33859" spans="20:20" s="566" customFormat="1">
      <c r="T33859" s="41"/>
    </row>
    <row r="33860" spans="20:20" s="566" customFormat="1">
      <c r="T33860" s="41"/>
    </row>
    <row r="33861" spans="20:20" s="566" customFormat="1">
      <c r="T33861" s="41"/>
    </row>
    <row r="33862" spans="20:20" s="566" customFormat="1">
      <c r="T33862" s="41"/>
    </row>
    <row r="33863" spans="20:20" s="566" customFormat="1">
      <c r="T33863" s="41"/>
    </row>
    <row r="33864" spans="20:20" s="566" customFormat="1">
      <c r="T33864" s="41"/>
    </row>
    <row r="33865" spans="20:20" s="566" customFormat="1">
      <c r="T33865" s="41"/>
    </row>
    <row r="33866" spans="20:20" s="566" customFormat="1">
      <c r="T33866" s="41"/>
    </row>
    <row r="33867" spans="20:20" s="566" customFormat="1">
      <c r="T33867" s="41"/>
    </row>
    <row r="33868" spans="20:20" s="566" customFormat="1">
      <c r="T33868" s="41"/>
    </row>
    <row r="33869" spans="20:20" s="566" customFormat="1">
      <c r="T33869" s="41"/>
    </row>
    <row r="33870" spans="20:20" s="566" customFormat="1">
      <c r="T33870" s="41"/>
    </row>
    <row r="33871" spans="20:20" s="566" customFormat="1">
      <c r="T33871" s="41"/>
    </row>
    <row r="33872" spans="20:20" s="566" customFormat="1">
      <c r="T33872" s="41"/>
    </row>
    <row r="33873" spans="20:20" s="566" customFormat="1">
      <c r="T33873" s="41"/>
    </row>
    <row r="33874" spans="20:20" s="566" customFormat="1">
      <c r="T33874" s="41"/>
    </row>
    <row r="33875" spans="20:20" s="566" customFormat="1">
      <c r="T33875" s="41"/>
    </row>
    <row r="33876" spans="20:20" s="566" customFormat="1">
      <c r="T33876" s="41"/>
    </row>
    <row r="33877" spans="20:20" s="566" customFormat="1">
      <c r="T33877" s="41"/>
    </row>
    <row r="33878" spans="20:20" s="566" customFormat="1">
      <c r="T33878" s="41"/>
    </row>
    <row r="33879" spans="20:20" s="566" customFormat="1">
      <c r="T33879" s="41"/>
    </row>
    <row r="33880" spans="20:20" s="566" customFormat="1">
      <c r="T33880" s="41"/>
    </row>
    <row r="33881" spans="20:20" s="566" customFormat="1">
      <c r="T33881" s="41"/>
    </row>
    <row r="33882" spans="20:20" s="566" customFormat="1">
      <c r="T33882" s="41"/>
    </row>
    <row r="33883" spans="20:20" s="566" customFormat="1">
      <c r="T33883" s="41"/>
    </row>
    <row r="33884" spans="20:20" s="566" customFormat="1">
      <c r="T33884" s="41"/>
    </row>
    <row r="33885" spans="20:20" s="566" customFormat="1">
      <c r="T33885" s="41"/>
    </row>
    <row r="33886" spans="20:20" s="566" customFormat="1">
      <c r="T33886" s="41"/>
    </row>
    <row r="33887" spans="20:20" s="566" customFormat="1">
      <c r="T33887" s="41"/>
    </row>
    <row r="33888" spans="20:20" s="566" customFormat="1">
      <c r="T33888" s="41"/>
    </row>
    <row r="33889" spans="20:20" s="566" customFormat="1">
      <c r="T33889" s="41"/>
    </row>
    <row r="33890" spans="20:20" s="566" customFormat="1">
      <c r="T33890" s="41"/>
    </row>
    <row r="33891" spans="20:20" s="566" customFormat="1">
      <c r="T33891" s="41"/>
    </row>
    <row r="33892" spans="20:20" s="566" customFormat="1">
      <c r="T33892" s="41"/>
    </row>
    <row r="33893" spans="20:20" s="566" customFormat="1">
      <c r="T33893" s="41"/>
    </row>
    <row r="33894" spans="20:20" s="566" customFormat="1">
      <c r="T33894" s="41"/>
    </row>
    <row r="33895" spans="20:20" s="566" customFormat="1">
      <c r="T33895" s="41"/>
    </row>
    <row r="33896" spans="20:20" s="566" customFormat="1">
      <c r="T33896" s="41"/>
    </row>
    <row r="33897" spans="20:20" s="566" customFormat="1">
      <c r="T33897" s="41"/>
    </row>
    <row r="33898" spans="20:20" s="566" customFormat="1">
      <c r="T33898" s="41"/>
    </row>
    <row r="33899" spans="20:20" s="566" customFormat="1">
      <c r="T33899" s="41"/>
    </row>
    <row r="33900" spans="20:20" s="566" customFormat="1">
      <c r="T33900" s="41"/>
    </row>
    <row r="33901" spans="20:20" s="566" customFormat="1">
      <c r="T33901" s="41"/>
    </row>
    <row r="33902" spans="20:20" s="566" customFormat="1">
      <c r="T33902" s="41"/>
    </row>
    <row r="33903" spans="20:20" s="566" customFormat="1">
      <c r="T33903" s="41"/>
    </row>
    <row r="33904" spans="20:20" s="566" customFormat="1">
      <c r="T33904" s="41"/>
    </row>
    <row r="33905" spans="20:20" s="566" customFormat="1">
      <c r="T33905" s="41"/>
    </row>
    <row r="33906" spans="20:20" s="566" customFormat="1">
      <c r="T33906" s="41"/>
    </row>
    <row r="33907" spans="20:20" s="566" customFormat="1">
      <c r="T33907" s="41"/>
    </row>
    <row r="33908" spans="20:20" s="566" customFormat="1">
      <c r="T33908" s="41"/>
    </row>
    <row r="33909" spans="20:20" s="566" customFormat="1">
      <c r="T33909" s="41"/>
    </row>
    <row r="33910" spans="20:20" s="566" customFormat="1">
      <c r="T33910" s="41"/>
    </row>
    <row r="33911" spans="20:20" s="566" customFormat="1">
      <c r="T33911" s="41"/>
    </row>
    <row r="33912" spans="20:20" s="566" customFormat="1">
      <c r="T33912" s="41"/>
    </row>
    <row r="33913" spans="20:20" s="566" customFormat="1">
      <c r="T33913" s="41"/>
    </row>
    <row r="33914" spans="20:20" s="566" customFormat="1">
      <c r="T33914" s="41"/>
    </row>
    <row r="33915" spans="20:20" s="566" customFormat="1">
      <c r="T33915" s="41"/>
    </row>
    <row r="33916" spans="20:20" s="566" customFormat="1">
      <c r="T33916" s="41"/>
    </row>
    <row r="33917" spans="20:20" s="566" customFormat="1">
      <c r="T33917" s="41"/>
    </row>
    <row r="33918" spans="20:20" s="566" customFormat="1">
      <c r="T33918" s="41"/>
    </row>
    <row r="33919" spans="20:20" s="566" customFormat="1">
      <c r="T33919" s="41"/>
    </row>
    <row r="33920" spans="20:20" s="566" customFormat="1">
      <c r="T33920" s="41"/>
    </row>
    <row r="33921" spans="20:20" s="566" customFormat="1">
      <c r="T33921" s="41"/>
    </row>
    <row r="33922" spans="20:20" s="566" customFormat="1">
      <c r="T33922" s="41"/>
    </row>
    <row r="33923" spans="20:20" s="566" customFormat="1">
      <c r="T33923" s="41"/>
    </row>
    <row r="33924" spans="20:20" s="566" customFormat="1">
      <c r="T33924" s="41"/>
    </row>
    <row r="33925" spans="20:20" s="566" customFormat="1">
      <c r="T33925" s="41"/>
    </row>
    <row r="33926" spans="20:20" s="566" customFormat="1">
      <c r="T33926" s="41"/>
    </row>
    <row r="33927" spans="20:20" s="566" customFormat="1">
      <c r="T33927" s="41"/>
    </row>
    <row r="33928" spans="20:20" s="566" customFormat="1">
      <c r="T33928" s="41"/>
    </row>
    <row r="33929" spans="20:20" s="566" customFormat="1">
      <c r="T33929" s="41"/>
    </row>
    <row r="33930" spans="20:20" s="566" customFormat="1">
      <c r="T33930" s="41"/>
    </row>
    <row r="33931" spans="20:20" s="566" customFormat="1">
      <c r="T33931" s="41"/>
    </row>
    <row r="33932" spans="20:20" s="566" customFormat="1">
      <c r="T33932" s="41"/>
    </row>
    <row r="33933" spans="20:20" s="566" customFormat="1">
      <c r="T33933" s="41"/>
    </row>
    <row r="33934" spans="20:20" s="566" customFormat="1">
      <c r="T33934" s="41"/>
    </row>
    <row r="33935" spans="20:20" s="566" customFormat="1">
      <c r="T33935" s="41"/>
    </row>
    <row r="33936" spans="20:20" s="566" customFormat="1">
      <c r="T33936" s="41"/>
    </row>
    <row r="33937" spans="20:20" s="566" customFormat="1">
      <c r="T33937" s="41"/>
    </row>
    <row r="33938" spans="20:20" s="566" customFormat="1">
      <c r="T33938" s="41"/>
    </row>
    <row r="33939" spans="20:20" s="566" customFormat="1">
      <c r="T33939" s="41"/>
    </row>
    <row r="33940" spans="20:20" s="566" customFormat="1">
      <c r="T33940" s="41"/>
    </row>
    <row r="33941" spans="20:20" s="566" customFormat="1">
      <c r="T33941" s="41"/>
    </row>
    <row r="33942" spans="20:20" s="566" customFormat="1">
      <c r="T33942" s="41"/>
    </row>
    <row r="33943" spans="20:20" s="566" customFormat="1">
      <c r="T33943" s="41"/>
    </row>
    <row r="33944" spans="20:20" s="566" customFormat="1">
      <c r="T33944" s="41"/>
    </row>
    <row r="33945" spans="20:20" s="566" customFormat="1">
      <c r="T33945" s="41"/>
    </row>
    <row r="33946" spans="20:20" s="566" customFormat="1">
      <c r="T33946" s="41"/>
    </row>
    <row r="33947" spans="20:20" s="566" customFormat="1">
      <c r="T33947" s="41"/>
    </row>
    <row r="33948" spans="20:20" s="566" customFormat="1">
      <c r="T33948" s="41"/>
    </row>
    <row r="33949" spans="20:20" s="566" customFormat="1">
      <c r="T33949" s="41"/>
    </row>
    <row r="33950" spans="20:20" s="566" customFormat="1">
      <c r="T33950" s="41"/>
    </row>
    <row r="33951" spans="20:20" s="566" customFormat="1">
      <c r="T33951" s="41"/>
    </row>
    <row r="33952" spans="20:20" s="566" customFormat="1">
      <c r="T33952" s="41"/>
    </row>
    <row r="33953" spans="20:20" s="566" customFormat="1">
      <c r="T33953" s="41"/>
    </row>
    <row r="33954" spans="20:20" s="566" customFormat="1">
      <c r="T33954" s="41"/>
    </row>
    <row r="33955" spans="20:20" s="566" customFormat="1">
      <c r="T33955" s="41"/>
    </row>
    <row r="33956" spans="20:20" s="566" customFormat="1">
      <c r="T33956" s="41"/>
    </row>
    <row r="33957" spans="20:20" s="566" customFormat="1">
      <c r="T33957" s="41"/>
    </row>
    <row r="33958" spans="20:20" s="566" customFormat="1">
      <c r="T33958" s="41"/>
    </row>
    <row r="33959" spans="20:20" s="566" customFormat="1">
      <c r="T33959" s="41"/>
    </row>
    <row r="33960" spans="20:20" s="566" customFormat="1">
      <c r="T33960" s="41"/>
    </row>
    <row r="33961" spans="20:20" s="566" customFormat="1">
      <c r="T33961" s="41"/>
    </row>
    <row r="33962" spans="20:20" s="566" customFormat="1">
      <c r="T33962" s="41"/>
    </row>
    <row r="33963" spans="20:20" s="566" customFormat="1">
      <c r="T33963" s="41"/>
    </row>
    <row r="33964" spans="20:20" s="566" customFormat="1">
      <c r="T33964" s="41"/>
    </row>
    <row r="33965" spans="20:20" s="566" customFormat="1">
      <c r="T33965" s="41"/>
    </row>
    <row r="33966" spans="20:20" s="566" customFormat="1">
      <c r="T33966" s="41"/>
    </row>
    <row r="33967" spans="20:20" s="566" customFormat="1">
      <c r="T33967" s="41"/>
    </row>
    <row r="33968" spans="20:20" s="566" customFormat="1">
      <c r="T33968" s="41"/>
    </row>
    <row r="33969" spans="20:20" s="566" customFormat="1">
      <c r="T33969" s="41"/>
    </row>
    <row r="33970" spans="20:20" s="566" customFormat="1">
      <c r="T33970" s="41"/>
    </row>
    <row r="33971" spans="20:20" s="566" customFormat="1">
      <c r="T33971" s="41"/>
    </row>
    <row r="33972" spans="20:20" s="566" customFormat="1">
      <c r="T33972" s="41"/>
    </row>
    <row r="33973" spans="20:20" s="566" customFormat="1">
      <c r="T33973" s="41"/>
    </row>
    <row r="33974" spans="20:20" s="566" customFormat="1">
      <c r="T33974" s="41"/>
    </row>
    <row r="33975" spans="20:20" s="566" customFormat="1">
      <c r="T33975" s="41"/>
    </row>
    <row r="33976" spans="20:20" s="566" customFormat="1">
      <c r="T33976" s="41"/>
    </row>
    <row r="33977" spans="20:20" s="566" customFormat="1">
      <c r="T33977" s="41"/>
    </row>
    <row r="33978" spans="20:20" s="566" customFormat="1">
      <c r="T33978" s="41"/>
    </row>
    <row r="33979" spans="20:20" s="566" customFormat="1">
      <c r="T33979" s="41"/>
    </row>
    <row r="33980" spans="20:20" s="566" customFormat="1">
      <c r="T33980" s="41"/>
    </row>
    <row r="33981" spans="20:20" s="566" customFormat="1">
      <c r="T33981" s="41"/>
    </row>
    <row r="33982" spans="20:20" s="566" customFormat="1">
      <c r="T33982" s="41"/>
    </row>
    <row r="33983" spans="20:20" s="566" customFormat="1">
      <c r="T33983" s="41"/>
    </row>
    <row r="33984" spans="20:20" s="566" customFormat="1">
      <c r="T33984" s="41"/>
    </row>
    <row r="33985" spans="20:20" s="566" customFormat="1">
      <c r="T33985" s="41"/>
    </row>
    <row r="33986" spans="20:20" s="566" customFormat="1">
      <c r="T33986" s="41"/>
    </row>
    <row r="33987" spans="20:20" s="566" customFormat="1">
      <c r="T33987" s="41"/>
    </row>
    <row r="33988" spans="20:20" s="566" customFormat="1">
      <c r="T33988" s="41"/>
    </row>
    <row r="33989" spans="20:20" s="566" customFormat="1">
      <c r="T33989" s="41"/>
    </row>
    <row r="33990" spans="20:20" s="566" customFormat="1">
      <c r="T33990" s="41"/>
    </row>
    <row r="33991" spans="20:20" s="566" customFormat="1">
      <c r="T33991" s="41"/>
    </row>
    <row r="33992" spans="20:20" s="566" customFormat="1">
      <c r="T33992" s="41"/>
    </row>
    <row r="33993" spans="20:20" s="566" customFormat="1">
      <c r="T33993" s="41"/>
    </row>
    <row r="33994" spans="20:20" s="566" customFormat="1">
      <c r="T33994" s="41"/>
    </row>
    <row r="33995" spans="20:20" s="566" customFormat="1">
      <c r="T33995" s="41"/>
    </row>
    <row r="33996" spans="20:20" s="566" customFormat="1">
      <c r="T33996" s="41"/>
    </row>
    <row r="33997" spans="20:20" s="566" customFormat="1">
      <c r="T33997" s="41"/>
    </row>
    <row r="33998" spans="20:20" s="566" customFormat="1">
      <c r="T33998" s="41"/>
    </row>
    <row r="33999" spans="20:20" s="566" customFormat="1">
      <c r="T33999" s="41"/>
    </row>
    <row r="34000" spans="20:20" s="566" customFormat="1">
      <c r="T34000" s="41"/>
    </row>
    <row r="34001" spans="20:20" s="566" customFormat="1">
      <c r="T34001" s="41"/>
    </row>
    <row r="34002" spans="20:20" s="566" customFormat="1">
      <c r="T34002" s="41"/>
    </row>
    <row r="34003" spans="20:20" s="566" customFormat="1">
      <c r="T34003" s="41"/>
    </row>
    <row r="34004" spans="20:20" s="566" customFormat="1">
      <c r="T34004" s="41"/>
    </row>
    <row r="34005" spans="20:20" s="566" customFormat="1">
      <c r="T34005" s="41"/>
    </row>
    <row r="34006" spans="20:20" s="566" customFormat="1">
      <c r="T34006" s="41"/>
    </row>
    <row r="34007" spans="20:20" s="566" customFormat="1">
      <c r="T34007" s="41"/>
    </row>
    <row r="34008" spans="20:20" s="566" customFormat="1">
      <c r="T34008" s="41"/>
    </row>
    <row r="34009" spans="20:20" s="566" customFormat="1">
      <c r="T34009" s="41"/>
    </row>
    <row r="34010" spans="20:20" s="566" customFormat="1">
      <c r="T34010" s="41"/>
    </row>
    <row r="34011" spans="20:20" s="566" customFormat="1">
      <c r="T34011" s="41"/>
    </row>
    <row r="34012" spans="20:20" s="566" customFormat="1">
      <c r="T34012" s="41"/>
    </row>
    <row r="34013" spans="20:20" s="566" customFormat="1">
      <c r="T34013" s="41"/>
    </row>
    <row r="34014" spans="20:20" s="566" customFormat="1">
      <c r="T34014" s="41"/>
    </row>
    <row r="34015" spans="20:20" s="566" customFormat="1">
      <c r="T34015" s="41"/>
    </row>
    <row r="34016" spans="20:20" s="566" customFormat="1">
      <c r="T34016" s="41"/>
    </row>
    <row r="34017" spans="20:20" s="566" customFormat="1">
      <c r="T34017" s="41"/>
    </row>
    <row r="34018" spans="20:20" s="566" customFormat="1">
      <c r="T34018" s="41"/>
    </row>
    <row r="34019" spans="20:20" s="566" customFormat="1">
      <c r="T34019" s="41"/>
    </row>
    <row r="34020" spans="20:20" s="566" customFormat="1">
      <c r="T34020" s="41"/>
    </row>
    <row r="34021" spans="20:20" s="566" customFormat="1">
      <c r="T34021" s="41"/>
    </row>
    <row r="34022" spans="20:20" s="566" customFormat="1">
      <c r="T34022" s="41"/>
    </row>
    <row r="34023" spans="20:20" s="566" customFormat="1">
      <c r="T34023" s="41"/>
    </row>
    <row r="34024" spans="20:20" s="566" customFormat="1">
      <c r="T34024" s="41"/>
    </row>
    <row r="34025" spans="20:20" s="566" customFormat="1">
      <c r="T34025" s="41"/>
    </row>
    <row r="34026" spans="20:20" s="566" customFormat="1">
      <c r="T34026" s="41"/>
    </row>
    <row r="34027" spans="20:20" s="566" customFormat="1">
      <c r="T34027" s="41"/>
    </row>
    <row r="34028" spans="20:20" s="566" customFormat="1">
      <c r="T34028" s="41"/>
    </row>
    <row r="34029" spans="20:20" s="566" customFormat="1">
      <c r="T34029" s="41"/>
    </row>
    <row r="34030" spans="20:20" s="566" customFormat="1">
      <c r="T34030" s="41"/>
    </row>
    <row r="34031" spans="20:20" s="566" customFormat="1">
      <c r="T34031" s="41"/>
    </row>
    <row r="34032" spans="20:20" s="566" customFormat="1">
      <c r="T34032" s="41"/>
    </row>
    <row r="34033" spans="20:20" s="566" customFormat="1">
      <c r="T34033" s="41"/>
    </row>
    <row r="34034" spans="20:20" s="566" customFormat="1">
      <c r="T34034" s="41"/>
    </row>
    <row r="34035" spans="20:20" s="566" customFormat="1">
      <c r="T34035" s="41"/>
    </row>
    <row r="34036" spans="20:20" s="566" customFormat="1">
      <c r="T34036" s="41"/>
    </row>
    <row r="34037" spans="20:20" s="566" customFormat="1">
      <c r="T34037" s="41"/>
    </row>
    <row r="34038" spans="20:20" s="566" customFormat="1">
      <c r="T34038" s="41"/>
    </row>
    <row r="34039" spans="20:20" s="566" customFormat="1">
      <c r="T34039" s="41"/>
    </row>
    <row r="34040" spans="20:20" s="566" customFormat="1">
      <c r="T34040" s="41"/>
    </row>
    <row r="34041" spans="20:20" s="566" customFormat="1">
      <c r="T34041" s="41"/>
    </row>
    <row r="34042" spans="20:20" s="566" customFormat="1">
      <c r="T34042" s="41"/>
    </row>
    <row r="34043" spans="20:20" s="566" customFormat="1">
      <c r="T34043" s="41"/>
    </row>
    <row r="34044" spans="20:20" s="566" customFormat="1">
      <c r="T34044" s="41"/>
    </row>
    <row r="34045" spans="20:20" s="566" customFormat="1">
      <c r="T34045" s="41"/>
    </row>
    <row r="34046" spans="20:20" s="566" customFormat="1">
      <c r="T34046" s="41"/>
    </row>
    <row r="34047" spans="20:20" s="566" customFormat="1">
      <c r="T34047" s="41"/>
    </row>
    <row r="34048" spans="20:20" s="566" customFormat="1">
      <c r="T34048" s="41"/>
    </row>
    <row r="34049" spans="20:20" s="566" customFormat="1">
      <c r="T34049" s="41"/>
    </row>
    <row r="34050" spans="20:20" s="566" customFormat="1">
      <c r="T34050" s="41"/>
    </row>
    <row r="34051" spans="20:20" s="566" customFormat="1">
      <c r="T34051" s="41"/>
    </row>
    <row r="34052" spans="20:20" s="566" customFormat="1">
      <c r="T34052" s="41"/>
    </row>
    <row r="34053" spans="20:20" s="566" customFormat="1">
      <c r="T34053" s="41"/>
    </row>
    <row r="34054" spans="20:20" s="566" customFormat="1">
      <c r="T34054" s="41"/>
    </row>
    <row r="34055" spans="20:20" s="566" customFormat="1">
      <c r="T34055" s="41"/>
    </row>
    <row r="34056" spans="20:20" s="566" customFormat="1">
      <c r="T34056" s="41"/>
    </row>
    <row r="34057" spans="20:20" s="566" customFormat="1">
      <c r="T34057" s="41"/>
    </row>
    <row r="34058" spans="20:20" s="566" customFormat="1">
      <c r="T34058" s="41"/>
    </row>
    <row r="34059" spans="20:20" s="566" customFormat="1">
      <c r="T34059" s="41"/>
    </row>
    <row r="34060" spans="20:20" s="566" customFormat="1">
      <c r="T34060" s="41"/>
    </row>
    <row r="34061" spans="20:20" s="566" customFormat="1">
      <c r="T34061" s="41"/>
    </row>
    <row r="34062" spans="20:20" s="566" customFormat="1">
      <c r="T34062" s="41"/>
    </row>
    <row r="34063" spans="20:20" s="566" customFormat="1">
      <c r="T34063" s="41"/>
    </row>
    <row r="34064" spans="20:20" s="566" customFormat="1">
      <c r="T34064" s="41"/>
    </row>
    <row r="34065" spans="20:20" s="566" customFormat="1">
      <c r="T34065" s="41"/>
    </row>
    <row r="34066" spans="20:20" s="566" customFormat="1">
      <c r="T34066" s="41"/>
    </row>
    <row r="34067" spans="20:20" s="566" customFormat="1">
      <c r="T34067" s="41"/>
    </row>
    <row r="34068" spans="20:20" s="566" customFormat="1">
      <c r="T34068" s="41"/>
    </row>
    <row r="34069" spans="20:20" s="566" customFormat="1">
      <c r="T34069" s="41"/>
    </row>
    <row r="34070" spans="20:20" s="566" customFormat="1">
      <c r="T34070" s="41"/>
    </row>
    <row r="34071" spans="20:20" s="566" customFormat="1">
      <c r="T34071" s="41"/>
    </row>
    <row r="34072" spans="20:20" s="566" customFormat="1">
      <c r="T34072" s="41"/>
    </row>
    <row r="34073" spans="20:20" s="566" customFormat="1">
      <c r="T34073" s="41"/>
    </row>
    <row r="34074" spans="20:20" s="566" customFormat="1">
      <c r="T34074" s="41"/>
    </row>
    <row r="34075" spans="20:20" s="566" customFormat="1">
      <c r="T34075" s="41"/>
    </row>
    <row r="34076" spans="20:20" s="566" customFormat="1">
      <c r="T34076" s="41"/>
    </row>
    <row r="34077" spans="20:20" s="566" customFormat="1">
      <c r="T34077" s="41"/>
    </row>
    <row r="34078" spans="20:20" s="566" customFormat="1">
      <c r="T34078" s="41"/>
    </row>
    <row r="34079" spans="20:20" s="566" customFormat="1">
      <c r="T34079" s="41"/>
    </row>
    <row r="34080" spans="20:20" s="566" customFormat="1">
      <c r="T34080" s="41"/>
    </row>
    <row r="34081" spans="20:20" s="566" customFormat="1">
      <c r="T34081" s="41"/>
    </row>
    <row r="34082" spans="20:20" s="566" customFormat="1">
      <c r="T34082" s="41"/>
    </row>
    <row r="34083" spans="20:20" s="566" customFormat="1">
      <c r="T34083" s="41"/>
    </row>
    <row r="34084" spans="20:20" s="566" customFormat="1">
      <c r="T34084" s="41"/>
    </row>
    <row r="34085" spans="20:20" s="566" customFormat="1">
      <c r="T34085" s="41"/>
    </row>
    <row r="34086" spans="20:20" s="566" customFormat="1">
      <c r="T34086" s="41"/>
    </row>
    <row r="34087" spans="20:20" s="566" customFormat="1">
      <c r="T34087" s="41"/>
    </row>
    <row r="34088" spans="20:20" s="566" customFormat="1">
      <c r="T34088" s="41"/>
    </row>
    <row r="34089" spans="20:20" s="566" customFormat="1">
      <c r="T34089" s="41"/>
    </row>
    <row r="34090" spans="20:20" s="566" customFormat="1">
      <c r="T34090" s="41"/>
    </row>
    <row r="34091" spans="20:20" s="566" customFormat="1">
      <c r="T34091" s="41"/>
    </row>
    <row r="34092" spans="20:20" s="566" customFormat="1">
      <c r="T34092" s="41"/>
    </row>
    <row r="34093" spans="20:20" s="566" customFormat="1">
      <c r="T34093" s="41"/>
    </row>
    <row r="34094" spans="20:20" s="566" customFormat="1">
      <c r="T34094" s="41"/>
    </row>
    <row r="34095" spans="20:20" s="566" customFormat="1">
      <c r="T34095" s="41"/>
    </row>
    <row r="34096" spans="20:20" s="566" customFormat="1">
      <c r="T34096" s="41"/>
    </row>
    <row r="34097" spans="20:20" s="566" customFormat="1">
      <c r="T34097" s="41"/>
    </row>
    <row r="34098" spans="20:20" s="566" customFormat="1">
      <c r="T34098" s="41"/>
    </row>
    <row r="34099" spans="20:20" s="566" customFormat="1">
      <c r="T34099" s="41"/>
    </row>
    <row r="34100" spans="20:20" s="566" customFormat="1">
      <c r="T34100" s="41"/>
    </row>
    <row r="34101" spans="20:20" s="566" customFormat="1">
      <c r="T34101" s="41"/>
    </row>
    <row r="34102" spans="20:20" s="566" customFormat="1">
      <c r="T34102" s="41"/>
    </row>
    <row r="34103" spans="20:20" s="566" customFormat="1">
      <c r="T34103" s="41"/>
    </row>
    <row r="34104" spans="20:20" s="566" customFormat="1">
      <c r="T34104" s="41"/>
    </row>
    <row r="34105" spans="20:20" s="566" customFormat="1">
      <c r="T34105" s="41"/>
    </row>
    <row r="34106" spans="20:20" s="566" customFormat="1">
      <c r="T34106" s="41"/>
    </row>
    <row r="34107" spans="20:20" s="566" customFormat="1">
      <c r="T34107" s="41"/>
    </row>
    <row r="34108" spans="20:20" s="566" customFormat="1">
      <c r="T34108" s="41"/>
    </row>
    <row r="34109" spans="20:20" s="566" customFormat="1">
      <c r="T34109" s="41"/>
    </row>
    <row r="34110" spans="20:20" s="566" customFormat="1">
      <c r="T34110" s="41"/>
    </row>
    <row r="34111" spans="20:20" s="566" customFormat="1">
      <c r="T34111" s="41"/>
    </row>
    <row r="34112" spans="20:20" s="566" customFormat="1">
      <c r="T34112" s="41"/>
    </row>
    <row r="34113" spans="20:20" s="566" customFormat="1">
      <c r="T34113" s="41"/>
    </row>
    <row r="34114" spans="20:20" s="566" customFormat="1">
      <c r="T34114" s="41"/>
    </row>
    <row r="34115" spans="20:20" s="566" customFormat="1">
      <c r="T34115" s="41"/>
    </row>
    <row r="34116" spans="20:20" s="566" customFormat="1">
      <c r="T34116" s="41"/>
    </row>
    <row r="34117" spans="20:20" s="566" customFormat="1">
      <c r="T34117" s="41"/>
    </row>
    <row r="34118" spans="20:20" s="566" customFormat="1">
      <c r="T34118" s="41"/>
    </row>
    <row r="34119" spans="20:20" s="566" customFormat="1">
      <c r="T34119" s="41"/>
    </row>
    <row r="34120" spans="20:20" s="566" customFormat="1">
      <c r="T34120" s="41"/>
    </row>
    <row r="34121" spans="20:20" s="566" customFormat="1">
      <c r="T34121" s="41"/>
    </row>
    <row r="34122" spans="20:20" s="566" customFormat="1">
      <c r="T34122" s="41"/>
    </row>
    <row r="34123" spans="20:20" s="566" customFormat="1">
      <c r="T34123" s="41"/>
    </row>
    <row r="34124" spans="20:20" s="566" customFormat="1">
      <c r="T34124" s="41"/>
    </row>
    <row r="34125" spans="20:20" s="566" customFormat="1">
      <c r="T34125" s="41"/>
    </row>
    <row r="34126" spans="20:20" s="566" customFormat="1">
      <c r="T34126" s="41"/>
    </row>
    <row r="34127" spans="20:20" s="566" customFormat="1">
      <c r="T34127" s="41"/>
    </row>
    <row r="34128" spans="20:20" s="566" customFormat="1">
      <c r="T34128" s="41"/>
    </row>
    <row r="34129" spans="20:20" s="566" customFormat="1">
      <c r="T34129" s="41"/>
    </row>
    <row r="34130" spans="20:20" s="566" customFormat="1">
      <c r="T34130" s="41"/>
    </row>
    <row r="34131" spans="20:20" s="566" customFormat="1">
      <c r="T34131" s="41"/>
    </row>
    <row r="34132" spans="20:20" s="566" customFormat="1">
      <c r="T34132" s="41"/>
    </row>
    <row r="34133" spans="20:20" s="566" customFormat="1">
      <c r="T34133" s="41"/>
    </row>
    <row r="34134" spans="20:20" s="566" customFormat="1">
      <c r="T34134" s="41"/>
    </row>
    <row r="34135" spans="20:20" s="566" customFormat="1">
      <c r="T34135" s="41"/>
    </row>
    <row r="34136" spans="20:20" s="566" customFormat="1">
      <c r="T34136" s="41"/>
    </row>
    <row r="34137" spans="20:20" s="566" customFormat="1">
      <c r="T34137" s="41"/>
    </row>
    <row r="34138" spans="20:20" s="566" customFormat="1">
      <c r="T34138" s="41"/>
    </row>
    <row r="34139" spans="20:20" s="566" customFormat="1">
      <c r="T34139" s="41"/>
    </row>
    <row r="34140" spans="20:20" s="566" customFormat="1">
      <c r="T34140" s="41"/>
    </row>
    <row r="34141" spans="20:20" s="566" customFormat="1">
      <c r="T34141" s="41"/>
    </row>
    <row r="34142" spans="20:20" s="566" customFormat="1">
      <c r="T34142" s="41"/>
    </row>
    <row r="34143" spans="20:20" s="566" customFormat="1">
      <c r="T34143" s="41"/>
    </row>
    <row r="34144" spans="20:20" s="566" customFormat="1">
      <c r="T34144" s="41"/>
    </row>
    <row r="34145" spans="20:20" s="566" customFormat="1">
      <c r="T34145" s="41"/>
    </row>
    <row r="34146" spans="20:20" s="566" customFormat="1">
      <c r="T34146" s="41"/>
    </row>
    <row r="34147" spans="20:20" s="566" customFormat="1">
      <c r="T34147" s="41"/>
    </row>
    <row r="34148" spans="20:20" s="566" customFormat="1">
      <c r="T34148" s="41"/>
    </row>
    <row r="34149" spans="20:20" s="566" customFormat="1">
      <c r="T34149" s="41"/>
    </row>
    <row r="34150" spans="20:20" s="566" customFormat="1">
      <c r="T34150" s="41"/>
    </row>
    <row r="34151" spans="20:20" s="566" customFormat="1">
      <c r="T34151" s="41"/>
    </row>
    <row r="34152" spans="20:20" s="566" customFormat="1">
      <c r="T34152" s="41"/>
    </row>
    <row r="34153" spans="20:20" s="566" customFormat="1">
      <c r="T34153" s="41"/>
    </row>
    <row r="34154" spans="20:20" s="566" customFormat="1">
      <c r="T34154" s="41"/>
    </row>
    <row r="34155" spans="20:20" s="566" customFormat="1">
      <c r="T34155" s="41"/>
    </row>
    <row r="34156" spans="20:20" s="566" customFormat="1">
      <c r="T34156" s="41"/>
    </row>
    <row r="34157" spans="20:20" s="566" customFormat="1">
      <c r="T34157" s="41"/>
    </row>
    <row r="34158" spans="20:20" s="566" customFormat="1">
      <c r="T34158" s="41"/>
    </row>
    <row r="34159" spans="20:20" s="566" customFormat="1">
      <c r="T34159" s="41"/>
    </row>
    <row r="34160" spans="20:20" s="566" customFormat="1">
      <c r="T34160" s="41"/>
    </row>
    <row r="34161" spans="20:20" s="566" customFormat="1">
      <c r="T34161" s="41"/>
    </row>
    <row r="34162" spans="20:20" s="566" customFormat="1">
      <c r="T34162" s="41"/>
    </row>
    <row r="34163" spans="20:20" s="566" customFormat="1">
      <c r="T34163" s="41"/>
    </row>
    <row r="34164" spans="20:20" s="566" customFormat="1">
      <c r="T34164" s="41"/>
    </row>
    <row r="34165" spans="20:20" s="566" customFormat="1">
      <c r="T34165" s="41"/>
    </row>
    <row r="34166" spans="20:20" s="566" customFormat="1">
      <c r="T34166" s="41"/>
    </row>
    <row r="34167" spans="20:20" s="566" customFormat="1">
      <c r="T34167" s="41"/>
    </row>
    <row r="34168" spans="20:20" s="566" customFormat="1">
      <c r="T34168" s="41"/>
    </row>
    <row r="34169" spans="20:20" s="566" customFormat="1">
      <c r="T34169" s="41"/>
    </row>
    <row r="34170" spans="20:20" s="566" customFormat="1">
      <c r="T34170" s="41"/>
    </row>
    <row r="34171" spans="20:20" s="566" customFormat="1">
      <c r="T34171" s="41"/>
    </row>
    <row r="34172" spans="20:20" s="566" customFormat="1">
      <c r="T34172" s="41"/>
    </row>
    <row r="34173" spans="20:20" s="566" customFormat="1">
      <c r="T34173" s="41"/>
    </row>
    <row r="34174" spans="20:20" s="566" customFormat="1">
      <c r="T34174" s="41"/>
    </row>
    <row r="34175" spans="20:20" s="566" customFormat="1">
      <c r="T34175" s="41"/>
    </row>
    <row r="34176" spans="20:20" s="566" customFormat="1">
      <c r="T34176" s="41"/>
    </row>
    <row r="34177" spans="20:20" s="566" customFormat="1">
      <c r="T34177" s="41"/>
    </row>
    <row r="34178" spans="20:20" s="566" customFormat="1">
      <c r="T34178" s="41"/>
    </row>
    <row r="34179" spans="20:20" s="566" customFormat="1">
      <c r="T34179" s="41"/>
    </row>
    <row r="34180" spans="20:20" s="566" customFormat="1">
      <c r="T34180" s="41"/>
    </row>
    <row r="34181" spans="20:20" s="566" customFormat="1">
      <c r="T34181" s="41"/>
    </row>
    <row r="34182" spans="20:20" s="566" customFormat="1">
      <c r="T34182" s="41"/>
    </row>
    <row r="34183" spans="20:20" s="566" customFormat="1">
      <c r="T34183" s="41"/>
    </row>
    <row r="34184" spans="20:20" s="566" customFormat="1">
      <c r="T34184" s="41"/>
    </row>
    <row r="34185" spans="20:20" s="566" customFormat="1">
      <c r="T34185" s="41"/>
    </row>
    <row r="34186" spans="20:20" s="566" customFormat="1">
      <c r="T34186" s="41"/>
    </row>
    <row r="34187" spans="20:20" s="566" customFormat="1">
      <c r="T34187" s="41"/>
    </row>
    <row r="34188" spans="20:20" s="566" customFormat="1">
      <c r="T34188" s="41"/>
    </row>
    <row r="34189" spans="20:20" s="566" customFormat="1">
      <c r="T34189" s="41"/>
    </row>
    <row r="34190" spans="20:20" s="566" customFormat="1">
      <c r="T34190" s="41"/>
    </row>
    <row r="34191" spans="20:20" s="566" customFormat="1">
      <c r="T34191" s="41"/>
    </row>
    <row r="34192" spans="20:20" s="566" customFormat="1">
      <c r="T34192" s="41"/>
    </row>
    <row r="34193" spans="20:20" s="566" customFormat="1">
      <c r="T34193" s="41"/>
    </row>
    <row r="34194" spans="20:20" s="566" customFormat="1">
      <c r="T34194" s="41"/>
    </row>
    <row r="34195" spans="20:20" s="566" customFormat="1">
      <c r="T34195" s="41"/>
    </row>
    <row r="34196" spans="20:20" s="566" customFormat="1">
      <c r="T34196" s="41"/>
    </row>
    <row r="34197" spans="20:20" s="566" customFormat="1">
      <c r="T34197" s="41"/>
    </row>
    <row r="34198" spans="20:20" s="566" customFormat="1">
      <c r="T34198" s="41"/>
    </row>
    <row r="34199" spans="20:20" s="566" customFormat="1">
      <c r="T34199" s="41"/>
    </row>
    <row r="34200" spans="20:20" s="566" customFormat="1">
      <c r="T34200" s="41"/>
    </row>
    <row r="34201" spans="20:20" s="566" customFormat="1">
      <c r="T34201" s="41"/>
    </row>
    <row r="34202" spans="20:20" s="566" customFormat="1">
      <c r="T34202" s="41"/>
    </row>
    <row r="34203" spans="20:20" s="566" customFormat="1">
      <c r="T34203" s="41"/>
    </row>
    <row r="34204" spans="20:20" s="566" customFormat="1">
      <c r="T34204" s="41"/>
    </row>
    <row r="34205" spans="20:20" s="566" customFormat="1">
      <c r="T34205" s="41"/>
    </row>
    <row r="34206" spans="20:20" s="566" customFormat="1">
      <c r="T34206" s="41"/>
    </row>
    <row r="34207" spans="20:20" s="566" customFormat="1">
      <c r="T34207" s="41"/>
    </row>
    <row r="34208" spans="20:20" s="566" customFormat="1">
      <c r="T34208" s="41"/>
    </row>
    <row r="34209" spans="20:20" s="566" customFormat="1">
      <c r="T34209" s="41"/>
    </row>
    <row r="34210" spans="20:20" s="566" customFormat="1">
      <c r="T34210" s="41"/>
    </row>
    <row r="34211" spans="20:20" s="566" customFormat="1">
      <c r="T34211" s="41"/>
    </row>
    <row r="34212" spans="20:20" s="566" customFormat="1">
      <c r="T34212" s="41"/>
    </row>
    <row r="34213" spans="20:20" s="566" customFormat="1">
      <c r="T34213" s="41"/>
    </row>
    <row r="34214" spans="20:20" s="566" customFormat="1">
      <c r="T34214" s="41"/>
    </row>
    <row r="34215" spans="20:20" s="566" customFormat="1">
      <c r="T34215" s="41"/>
    </row>
    <row r="34216" spans="20:20" s="566" customFormat="1">
      <c r="T34216" s="41"/>
    </row>
    <row r="34217" spans="20:20" s="566" customFormat="1">
      <c r="T34217" s="41"/>
    </row>
    <row r="34218" spans="20:20" s="566" customFormat="1">
      <c r="T34218" s="41"/>
    </row>
    <row r="34219" spans="20:20" s="566" customFormat="1">
      <c r="T34219" s="41"/>
    </row>
    <row r="34220" spans="20:20" s="566" customFormat="1">
      <c r="T34220" s="41"/>
    </row>
    <row r="34221" spans="20:20" s="566" customFormat="1">
      <c r="T34221" s="41"/>
    </row>
    <row r="34222" spans="20:20" s="566" customFormat="1">
      <c r="T34222" s="41"/>
    </row>
    <row r="34223" spans="20:20" s="566" customFormat="1">
      <c r="T34223" s="41"/>
    </row>
    <row r="34224" spans="20:20" s="566" customFormat="1">
      <c r="T34224" s="41"/>
    </row>
    <row r="34225" spans="20:20" s="566" customFormat="1">
      <c r="T34225" s="41"/>
    </row>
    <row r="34226" spans="20:20" s="566" customFormat="1">
      <c r="T34226" s="41"/>
    </row>
    <row r="34227" spans="20:20" s="566" customFormat="1">
      <c r="T34227" s="41"/>
    </row>
    <row r="34228" spans="20:20" s="566" customFormat="1">
      <c r="T34228" s="41"/>
    </row>
    <row r="34229" spans="20:20" s="566" customFormat="1">
      <c r="T34229" s="41"/>
    </row>
    <row r="34230" spans="20:20" s="566" customFormat="1">
      <c r="T34230" s="41"/>
    </row>
    <row r="34231" spans="20:20" s="566" customFormat="1">
      <c r="T34231" s="41"/>
    </row>
    <row r="34232" spans="20:20" s="566" customFormat="1">
      <c r="T34232" s="41"/>
    </row>
    <row r="34233" spans="20:20" s="566" customFormat="1">
      <c r="T34233" s="41"/>
    </row>
    <row r="34234" spans="20:20" s="566" customFormat="1">
      <c r="T34234" s="41"/>
    </row>
    <row r="34235" spans="20:20" s="566" customFormat="1">
      <c r="T34235" s="41"/>
    </row>
    <row r="34236" spans="20:20" s="566" customFormat="1">
      <c r="T34236" s="41"/>
    </row>
    <row r="34237" spans="20:20" s="566" customFormat="1">
      <c r="T34237" s="41"/>
    </row>
    <row r="34238" spans="20:20" s="566" customFormat="1">
      <c r="T34238" s="41"/>
    </row>
    <row r="34239" spans="20:20" s="566" customFormat="1">
      <c r="T34239" s="41"/>
    </row>
    <row r="34240" spans="20:20" s="566" customFormat="1">
      <c r="T34240" s="41"/>
    </row>
    <row r="34241" spans="20:20" s="566" customFormat="1">
      <c r="T34241" s="41"/>
    </row>
    <row r="34242" spans="20:20" s="566" customFormat="1">
      <c r="T34242" s="41"/>
    </row>
    <row r="34243" spans="20:20" s="566" customFormat="1">
      <c r="T34243" s="41"/>
    </row>
    <row r="34244" spans="20:20" s="566" customFormat="1">
      <c r="T34244" s="41"/>
    </row>
    <row r="34245" spans="20:20" s="566" customFormat="1">
      <c r="T34245" s="41"/>
    </row>
    <row r="34246" spans="20:20" s="566" customFormat="1">
      <c r="T34246" s="41"/>
    </row>
    <row r="34247" spans="20:20" s="566" customFormat="1">
      <c r="T34247" s="41"/>
    </row>
    <row r="34248" spans="20:20" s="566" customFormat="1">
      <c r="T34248" s="41"/>
    </row>
    <row r="34249" spans="20:20" s="566" customFormat="1">
      <c r="T34249" s="41"/>
    </row>
    <row r="34250" spans="20:20" s="566" customFormat="1">
      <c r="T34250" s="41"/>
    </row>
    <row r="34251" spans="20:20" s="566" customFormat="1">
      <c r="T34251" s="41"/>
    </row>
    <row r="34252" spans="20:20" s="566" customFormat="1">
      <c r="T34252" s="41"/>
    </row>
    <row r="34253" spans="20:20" s="566" customFormat="1">
      <c r="T34253" s="41"/>
    </row>
    <row r="34254" spans="20:20" s="566" customFormat="1">
      <c r="T34254" s="41"/>
    </row>
    <row r="34255" spans="20:20" s="566" customFormat="1">
      <c r="T34255" s="41"/>
    </row>
    <row r="34256" spans="20:20" s="566" customFormat="1">
      <c r="T34256" s="41"/>
    </row>
    <row r="34257" spans="20:20" s="566" customFormat="1">
      <c r="T34257" s="41"/>
    </row>
    <row r="34258" spans="20:20" s="566" customFormat="1">
      <c r="T34258" s="41"/>
    </row>
    <row r="34259" spans="20:20" s="566" customFormat="1">
      <c r="T34259" s="41"/>
    </row>
    <row r="34260" spans="20:20" s="566" customFormat="1">
      <c r="T34260" s="41"/>
    </row>
    <row r="34261" spans="20:20" s="566" customFormat="1">
      <c r="T34261" s="41"/>
    </row>
    <row r="34262" spans="20:20" s="566" customFormat="1">
      <c r="T34262" s="41"/>
    </row>
    <row r="34263" spans="20:20" s="566" customFormat="1">
      <c r="T34263" s="41"/>
    </row>
    <row r="34264" spans="20:20" s="566" customFormat="1">
      <c r="T34264" s="41"/>
    </row>
    <row r="34265" spans="20:20" s="566" customFormat="1">
      <c r="T34265" s="41"/>
    </row>
    <row r="34266" spans="20:20" s="566" customFormat="1">
      <c r="T34266" s="41"/>
    </row>
    <row r="34267" spans="20:20" s="566" customFormat="1">
      <c r="T34267" s="41"/>
    </row>
    <row r="34268" spans="20:20" s="566" customFormat="1">
      <c r="T34268" s="41"/>
    </row>
    <row r="34269" spans="20:20" s="566" customFormat="1">
      <c r="T34269" s="41"/>
    </row>
    <row r="34270" spans="20:20" s="566" customFormat="1">
      <c r="T34270" s="41"/>
    </row>
    <row r="34271" spans="20:20" s="566" customFormat="1">
      <c r="T34271" s="41"/>
    </row>
    <row r="34272" spans="20:20" s="566" customFormat="1">
      <c r="T34272" s="41"/>
    </row>
    <row r="34273" spans="20:20" s="566" customFormat="1">
      <c r="T34273" s="41"/>
    </row>
    <row r="34274" spans="20:20" s="566" customFormat="1">
      <c r="T34274" s="41"/>
    </row>
    <row r="34275" spans="20:20" s="566" customFormat="1">
      <c r="T34275" s="41"/>
    </row>
    <row r="34276" spans="20:20" s="566" customFormat="1">
      <c r="T34276" s="41"/>
    </row>
    <row r="34277" spans="20:20" s="566" customFormat="1">
      <c r="T34277" s="41"/>
    </row>
    <row r="34278" spans="20:20" s="566" customFormat="1">
      <c r="T34278" s="41"/>
    </row>
    <row r="34279" spans="20:20" s="566" customFormat="1">
      <c r="T34279" s="41"/>
    </row>
    <row r="34280" spans="20:20" s="566" customFormat="1">
      <c r="T34280" s="41"/>
    </row>
    <row r="34281" spans="20:20" s="566" customFormat="1">
      <c r="T34281" s="41"/>
    </row>
    <row r="34282" spans="20:20" s="566" customFormat="1">
      <c r="T34282" s="41"/>
    </row>
    <row r="34283" spans="20:20" s="566" customFormat="1">
      <c r="T34283" s="41"/>
    </row>
    <row r="34284" spans="20:20" s="566" customFormat="1">
      <c r="T34284" s="41"/>
    </row>
    <row r="34285" spans="20:20" s="566" customFormat="1">
      <c r="T34285" s="41"/>
    </row>
    <row r="34286" spans="20:20" s="566" customFormat="1">
      <c r="T34286" s="41"/>
    </row>
    <row r="34287" spans="20:20" s="566" customFormat="1">
      <c r="T34287" s="41"/>
    </row>
    <row r="34288" spans="20:20" s="566" customFormat="1">
      <c r="T34288" s="41"/>
    </row>
    <row r="34289" spans="20:20" s="566" customFormat="1">
      <c r="T34289" s="41"/>
    </row>
    <row r="34290" spans="20:20" s="566" customFormat="1">
      <c r="T34290" s="41"/>
    </row>
    <row r="34291" spans="20:20" s="566" customFormat="1">
      <c r="T34291" s="41"/>
    </row>
    <row r="34292" spans="20:20" s="566" customFormat="1">
      <c r="T34292" s="41"/>
    </row>
    <row r="34293" spans="20:20" s="566" customFormat="1">
      <c r="T34293" s="41"/>
    </row>
    <row r="34294" spans="20:20" s="566" customFormat="1">
      <c r="T34294" s="41"/>
    </row>
    <row r="34295" spans="20:20" s="566" customFormat="1">
      <c r="T34295" s="41"/>
    </row>
    <row r="34296" spans="20:20" s="566" customFormat="1">
      <c r="T34296" s="41"/>
    </row>
    <row r="34297" spans="20:20" s="566" customFormat="1">
      <c r="T34297" s="41"/>
    </row>
    <row r="34298" spans="20:20" s="566" customFormat="1">
      <c r="T34298" s="41"/>
    </row>
    <row r="34299" spans="20:20" s="566" customFormat="1">
      <c r="T34299" s="41"/>
    </row>
    <row r="34300" spans="20:20" s="566" customFormat="1">
      <c r="T34300" s="41"/>
    </row>
    <row r="34301" spans="20:20" s="566" customFormat="1">
      <c r="T34301" s="41"/>
    </row>
    <row r="34302" spans="20:20" s="566" customFormat="1">
      <c r="T34302" s="41"/>
    </row>
    <row r="34303" spans="20:20" s="566" customFormat="1">
      <c r="T34303" s="41"/>
    </row>
    <row r="34304" spans="20:20" s="566" customFormat="1">
      <c r="T34304" s="41"/>
    </row>
    <row r="34305" spans="20:20" s="566" customFormat="1">
      <c r="T34305" s="41"/>
    </row>
    <row r="34306" spans="20:20" s="566" customFormat="1">
      <c r="T34306" s="41"/>
    </row>
    <row r="34307" spans="20:20" s="566" customFormat="1">
      <c r="T34307" s="41"/>
    </row>
    <row r="34308" spans="20:20" s="566" customFormat="1">
      <c r="T34308" s="41"/>
    </row>
    <row r="34309" spans="20:20" s="566" customFormat="1">
      <c r="T34309" s="41"/>
    </row>
    <row r="34310" spans="20:20" s="566" customFormat="1">
      <c r="T34310" s="41"/>
    </row>
    <row r="34311" spans="20:20" s="566" customFormat="1">
      <c r="T34311" s="41"/>
    </row>
    <row r="34312" spans="20:20" s="566" customFormat="1">
      <c r="T34312" s="41"/>
    </row>
    <row r="34313" spans="20:20" s="566" customFormat="1">
      <c r="T34313" s="41"/>
    </row>
    <row r="34314" spans="20:20" s="566" customFormat="1">
      <c r="T34314" s="41"/>
    </row>
    <row r="34315" spans="20:20" s="566" customFormat="1">
      <c r="T34315" s="41"/>
    </row>
    <row r="34316" spans="20:20" s="566" customFormat="1">
      <c r="T34316" s="41"/>
    </row>
    <row r="34317" spans="20:20" s="566" customFormat="1">
      <c r="T34317" s="41"/>
    </row>
    <row r="34318" spans="20:20" s="566" customFormat="1">
      <c r="T34318" s="41"/>
    </row>
    <row r="34319" spans="20:20" s="566" customFormat="1">
      <c r="T34319" s="41"/>
    </row>
    <row r="34320" spans="20:20" s="566" customFormat="1">
      <c r="T34320" s="41"/>
    </row>
    <row r="34321" spans="20:20" s="566" customFormat="1">
      <c r="T34321" s="41"/>
    </row>
    <row r="34322" spans="20:20" s="566" customFormat="1">
      <c r="T34322" s="41"/>
    </row>
    <row r="34323" spans="20:20" s="566" customFormat="1">
      <c r="T34323" s="41"/>
    </row>
    <row r="34324" spans="20:20" s="566" customFormat="1">
      <c r="T34324" s="41"/>
    </row>
    <row r="34325" spans="20:20" s="566" customFormat="1">
      <c r="T34325" s="41"/>
    </row>
    <row r="34326" spans="20:20" s="566" customFormat="1">
      <c r="T34326" s="41"/>
    </row>
    <row r="34327" spans="20:20" s="566" customFormat="1">
      <c r="T34327" s="41"/>
    </row>
    <row r="34328" spans="20:20" s="566" customFormat="1">
      <c r="T34328" s="41"/>
    </row>
    <row r="34329" spans="20:20" s="566" customFormat="1">
      <c r="T34329" s="41"/>
    </row>
    <row r="34330" spans="20:20" s="566" customFormat="1">
      <c r="T34330" s="41"/>
    </row>
    <row r="34331" spans="20:20" s="566" customFormat="1">
      <c r="T34331" s="41"/>
    </row>
    <row r="34332" spans="20:20" s="566" customFormat="1">
      <c r="T34332" s="41"/>
    </row>
    <row r="34333" spans="20:20" s="566" customFormat="1">
      <c r="T34333" s="41"/>
    </row>
    <row r="34334" spans="20:20" s="566" customFormat="1">
      <c r="T34334" s="41"/>
    </row>
    <row r="34335" spans="20:20" s="566" customFormat="1">
      <c r="T34335" s="41"/>
    </row>
    <row r="34336" spans="20:20" s="566" customFormat="1">
      <c r="T34336" s="41"/>
    </row>
    <row r="34337" spans="20:20" s="566" customFormat="1">
      <c r="T34337" s="41"/>
    </row>
    <row r="34338" spans="20:20" s="566" customFormat="1">
      <c r="T34338" s="41"/>
    </row>
    <row r="34339" spans="20:20" s="566" customFormat="1">
      <c r="T34339" s="41"/>
    </row>
    <row r="34340" spans="20:20" s="566" customFormat="1">
      <c r="T34340" s="41"/>
    </row>
    <row r="34341" spans="20:20" s="566" customFormat="1">
      <c r="T34341" s="41"/>
    </row>
    <row r="34342" spans="20:20" s="566" customFormat="1">
      <c r="T34342" s="41"/>
    </row>
    <row r="34343" spans="20:20" s="566" customFormat="1">
      <c r="T34343" s="41"/>
    </row>
    <row r="34344" spans="20:20" s="566" customFormat="1">
      <c r="T34344" s="41"/>
    </row>
    <row r="34345" spans="20:20" s="566" customFormat="1">
      <c r="T34345" s="41"/>
    </row>
    <row r="34346" spans="20:20" s="566" customFormat="1">
      <c r="T34346" s="41"/>
    </row>
    <row r="34347" spans="20:20" s="566" customFormat="1">
      <c r="T34347" s="41"/>
    </row>
    <row r="34348" spans="20:20" s="566" customFormat="1">
      <c r="T34348" s="41"/>
    </row>
    <row r="34349" spans="20:20" s="566" customFormat="1">
      <c r="T34349" s="41"/>
    </row>
    <row r="34350" spans="20:20" s="566" customFormat="1">
      <c r="T34350" s="41"/>
    </row>
    <row r="34351" spans="20:20" s="566" customFormat="1">
      <c r="T34351" s="41"/>
    </row>
    <row r="34352" spans="20:20" s="566" customFormat="1">
      <c r="T34352" s="41"/>
    </row>
    <row r="34353" spans="20:20" s="566" customFormat="1">
      <c r="T34353" s="41"/>
    </row>
    <row r="34354" spans="20:20" s="566" customFormat="1">
      <c r="T34354" s="41"/>
    </row>
    <row r="34355" spans="20:20" s="566" customFormat="1">
      <c r="T34355" s="41"/>
    </row>
    <row r="34356" spans="20:20" s="566" customFormat="1">
      <c r="T34356" s="41"/>
    </row>
    <row r="34357" spans="20:20" s="566" customFormat="1">
      <c r="T34357" s="41"/>
    </row>
    <row r="34358" spans="20:20" s="566" customFormat="1">
      <c r="T34358" s="41"/>
    </row>
    <row r="34359" spans="20:20" s="566" customFormat="1">
      <c r="T34359" s="41"/>
    </row>
    <row r="34360" spans="20:20" s="566" customFormat="1">
      <c r="T34360" s="41"/>
    </row>
    <row r="34361" spans="20:20" s="566" customFormat="1">
      <c r="T34361" s="41"/>
    </row>
    <row r="34362" spans="20:20" s="566" customFormat="1">
      <c r="T34362" s="41"/>
    </row>
    <row r="34363" spans="20:20" s="566" customFormat="1">
      <c r="T34363" s="41"/>
    </row>
    <row r="34364" spans="20:20" s="566" customFormat="1">
      <c r="T34364" s="41"/>
    </row>
    <row r="34365" spans="20:20" s="566" customFormat="1">
      <c r="T34365" s="41"/>
    </row>
    <row r="34366" spans="20:20" s="566" customFormat="1">
      <c r="T34366" s="41"/>
    </row>
    <row r="34367" spans="20:20" s="566" customFormat="1">
      <c r="T34367" s="41"/>
    </row>
    <row r="34368" spans="20:20" s="566" customFormat="1">
      <c r="T34368" s="41"/>
    </row>
    <row r="34369" spans="20:20" s="566" customFormat="1">
      <c r="T34369" s="41"/>
    </row>
    <row r="34370" spans="20:20" s="566" customFormat="1">
      <c r="T34370" s="41"/>
    </row>
    <row r="34371" spans="20:20" s="566" customFormat="1">
      <c r="T34371" s="41"/>
    </row>
    <row r="34372" spans="20:20" s="566" customFormat="1">
      <c r="T34372" s="41"/>
    </row>
    <row r="34373" spans="20:20" s="566" customFormat="1">
      <c r="T34373" s="41"/>
    </row>
    <row r="34374" spans="20:20" s="566" customFormat="1">
      <c r="T34374" s="41"/>
    </row>
    <row r="34375" spans="20:20" s="566" customFormat="1">
      <c r="T34375" s="41"/>
    </row>
    <row r="34376" spans="20:20" s="566" customFormat="1">
      <c r="T34376" s="41"/>
    </row>
    <row r="34377" spans="20:20" s="566" customFormat="1">
      <c r="T34377" s="41"/>
    </row>
    <row r="34378" spans="20:20" s="566" customFormat="1">
      <c r="T34378" s="41"/>
    </row>
    <row r="34379" spans="20:20" s="566" customFormat="1">
      <c r="T34379" s="41"/>
    </row>
    <row r="34380" spans="20:20" s="566" customFormat="1">
      <c r="T34380" s="41"/>
    </row>
    <row r="34381" spans="20:20" s="566" customFormat="1">
      <c r="T34381" s="41"/>
    </row>
    <row r="34382" spans="20:20" s="566" customFormat="1">
      <c r="T34382" s="41"/>
    </row>
    <row r="34383" spans="20:20" s="566" customFormat="1">
      <c r="T34383" s="41"/>
    </row>
    <row r="34384" spans="20:20" s="566" customFormat="1">
      <c r="T34384" s="41"/>
    </row>
    <row r="34385" spans="20:20" s="566" customFormat="1">
      <c r="T34385" s="41"/>
    </row>
    <row r="34386" spans="20:20" s="566" customFormat="1">
      <c r="T34386" s="41"/>
    </row>
    <row r="34387" spans="20:20" s="566" customFormat="1">
      <c r="T34387" s="41"/>
    </row>
    <row r="34388" spans="20:20" s="566" customFormat="1">
      <c r="T34388" s="41"/>
    </row>
    <row r="34389" spans="20:20" s="566" customFormat="1">
      <c r="T34389" s="41"/>
    </row>
    <row r="34390" spans="20:20" s="566" customFormat="1">
      <c r="T34390" s="41"/>
    </row>
    <row r="34391" spans="20:20" s="566" customFormat="1">
      <c r="T34391" s="41"/>
    </row>
    <row r="34392" spans="20:20" s="566" customFormat="1">
      <c r="T34392" s="41"/>
    </row>
    <row r="34393" spans="20:20" s="566" customFormat="1">
      <c r="T34393" s="41"/>
    </row>
    <row r="34394" spans="20:20" s="566" customFormat="1">
      <c r="T34394" s="41"/>
    </row>
    <row r="34395" spans="20:20" s="566" customFormat="1">
      <c r="T34395" s="41"/>
    </row>
    <row r="34396" spans="20:20" s="566" customFormat="1">
      <c r="T34396" s="41"/>
    </row>
    <row r="34397" spans="20:20" s="566" customFormat="1">
      <c r="T34397" s="41"/>
    </row>
    <row r="34398" spans="20:20" s="566" customFormat="1">
      <c r="T34398" s="41"/>
    </row>
    <row r="34399" spans="20:20" s="566" customFormat="1">
      <c r="T34399" s="41"/>
    </row>
    <row r="34400" spans="20:20" s="566" customFormat="1">
      <c r="T34400" s="41"/>
    </row>
    <row r="34401" spans="20:20" s="566" customFormat="1">
      <c r="T34401" s="41"/>
    </row>
    <row r="34402" spans="20:20" s="566" customFormat="1">
      <c r="T34402" s="41"/>
    </row>
    <row r="34403" spans="20:20" s="566" customFormat="1">
      <c r="T34403" s="41"/>
    </row>
    <row r="34404" spans="20:20" s="566" customFormat="1">
      <c r="T34404" s="41"/>
    </row>
    <row r="34405" spans="20:20" s="566" customFormat="1">
      <c r="T34405" s="41"/>
    </row>
    <row r="34406" spans="20:20" s="566" customFormat="1">
      <c r="T34406" s="41"/>
    </row>
    <row r="34407" spans="20:20" s="566" customFormat="1">
      <c r="T34407" s="41"/>
    </row>
    <row r="34408" spans="20:20" s="566" customFormat="1">
      <c r="T34408" s="41"/>
    </row>
    <row r="34409" spans="20:20" s="566" customFormat="1">
      <c r="T34409" s="41"/>
    </row>
    <row r="34410" spans="20:20" s="566" customFormat="1">
      <c r="T34410" s="41"/>
    </row>
    <row r="34411" spans="20:20" s="566" customFormat="1">
      <c r="T34411" s="41"/>
    </row>
    <row r="34412" spans="20:20" s="566" customFormat="1">
      <c r="T34412" s="41"/>
    </row>
    <row r="34413" spans="20:20" s="566" customFormat="1">
      <c r="T34413" s="41"/>
    </row>
    <row r="34414" spans="20:20" s="566" customFormat="1">
      <c r="T34414" s="41"/>
    </row>
    <row r="34415" spans="20:20" s="566" customFormat="1">
      <c r="T34415" s="41"/>
    </row>
    <row r="34416" spans="20:20" s="566" customFormat="1">
      <c r="T34416" s="41"/>
    </row>
    <row r="34417" spans="20:20" s="566" customFormat="1">
      <c r="T34417" s="41"/>
    </row>
    <row r="34418" spans="20:20" s="566" customFormat="1">
      <c r="T34418" s="41"/>
    </row>
    <row r="34419" spans="20:20" s="566" customFormat="1">
      <c r="T34419" s="41"/>
    </row>
    <row r="34420" spans="20:20" s="566" customFormat="1">
      <c r="T34420" s="41"/>
    </row>
    <row r="34421" spans="20:20" s="566" customFormat="1">
      <c r="T34421" s="41"/>
    </row>
    <row r="34422" spans="20:20" s="566" customFormat="1">
      <c r="T34422" s="41"/>
    </row>
    <row r="34423" spans="20:20" s="566" customFormat="1">
      <c r="T34423" s="41"/>
    </row>
    <row r="34424" spans="20:20" s="566" customFormat="1">
      <c r="T34424" s="41"/>
    </row>
    <row r="34425" spans="20:20" s="566" customFormat="1">
      <c r="T34425" s="41"/>
    </row>
    <row r="34426" spans="20:20" s="566" customFormat="1">
      <c r="T34426" s="41"/>
    </row>
    <row r="34427" spans="20:20" s="566" customFormat="1">
      <c r="T34427" s="41"/>
    </row>
    <row r="34428" spans="20:20" s="566" customFormat="1">
      <c r="T34428" s="41"/>
    </row>
    <row r="34429" spans="20:20" s="566" customFormat="1">
      <c r="T34429" s="41"/>
    </row>
    <row r="34430" spans="20:20" s="566" customFormat="1">
      <c r="T34430" s="41"/>
    </row>
    <row r="34431" spans="20:20" s="566" customFormat="1">
      <c r="T34431" s="41"/>
    </row>
    <row r="34432" spans="20:20" s="566" customFormat="1">
      <c r="T34432" s="41"/>
    </row>
    <row r="34433" spans="20:20" s="566" customFormat="1">
      <c r="T34433" s="41"/>
    </row>
    <row r="34434" spans="20:20" s="566" customFormat="1">
      <c r="T34434" s="41"/>
    </row>
    <row r="34435" spans="20:20" s="566" customFormat="1">
      <c r="T34435" s="41"/>
    </row>
    <row r="34436" spans="20:20" s="566" customFormat="1">
      <c r="T34436" s="41"/>
    </row>
    <row r="34437" spans="20:20" s="566" customFormat="1">
      <c r="T34437" s="41"/>
    </row>
    <row r="34438" spans="20:20" s="566" customFormat="1">
      <c r="T34438" s="41"/>
    </row>
    <row r="34439" spans="20:20" s="566" customFormat="1">
      <c r="T34439" s="41"/>
    </row>
    <row r="34440" spans="20:20" s="566" customFormat="1">
      <c r="T34440" s="41"/>
    </row>
    <row r="34441" spans="20:20" s="566" customFormat="1">
      <c r="T34441" s="41"/>
    </row>
    <row r="34442" spans="20:20" s="566" customFormat="1">
      <c r="T34442" s="41"/>
    </row>
    <row r="34443" spans="20:20" s="566" customFormat="1">
      <c r="T34443" s="41"/>
    </row>
    <row r="34444" spans="20:20" s="566" customFormat="1">
      <c r="T34444" s="41"/>
    </row>
    <row r="34445" spans="20:20" s="566" customFormat="1">
      <c r="T34445" s="41"/>
    </row>
    <row r="34446" spans="20:20" s="566" customFormat="1">
      <c r="T34446" s="41"/>
    </row>
    <row r="34447" spans="20:20" s="566" customFormat="1">
      <c r="T34447" s="41"/>
    </row>
    <row r="34448" spans="20:20" s="566" customFormat="1">
      <c r="T34448" s="41"/>
    </row>
    <row r="34449" spans="20:20" s="566" customFormat="1">
      <c r="T34449" s="41"/>
    </row>
    <row r="34450" spans="20:20" s="566" customFormat="1">
      <c r="T34450" s="41"/>
    </row>
    <row r="34451" spans="20:20" s="566" customFormat="1">
      <c r="T34451" s="41"/>
    </row>
    <row r="34452" spans="20:20" s="566" customFormat="1">
      <c r="T34452" s="41"/>
    </row>
    <row r="34453" spans="20:20" s="566" customFormat="1">
      <c r="T34453" s="41"/>
    </row>
    <row r="34454" spans="20:20" s="566" customFormat="1">
      <c r="T34454" s="41"/>
    </row>
    <row r="34455" spans="20:20" s="566" customFormat="1">
      <c r="T34455" s="41"/>
    </row>
    <row r="34456" spans="20:20" s="566" customFormat="1">
      <c r="T34456" s="41"/>
    </row>
    <row r="34457" spans="20:20" s="566" customFormat="1">
      <c r="T34457" s="41"/>
    </row>
    <row r="34458" spans="20:20" s="566" customFormat="1">
      <c r="T34458" s="41"/>
    </row>
    <row r="34459" spans="20:20" s="566" customFormat="1">
      <c r="T34459" s="41"/>
    </row>
    <row r="34460" spans="20:20" s="566" customFormat="1">
      <c r="T34460" s="41"/>
    </row>
    <row r="34461" spans="20:20" s="566" customFormat="1">
      <c r="T34461" s="41"/>
    </row>
    <row r="34462" spans="20:20" s="566" customFormat="1">
      <c r="T34462" s="41"/>
    </row>
    <row r="34463" spans="20:20" s="566" customFormat="1">
      <c r="T34463" s="41"/>
    </row>
    <row r="34464" spans="20:20" s="566" customFormat="1">
      <c r="T34464" s="41"/>
    </row>
    <row r="34465" spans="20:20" s="566" customFormat="1">
      <c r="T34465" s="41"/>
    </row>
    <row r="34466" spans="20:20" s="566" customFormat="1">
      <c r="T34466" s="41"/>
    </row>
    <row r="34467" spans="20:20" s="566" customFormat="1">
      <c r="T34467" s="41"/>
    </row>
    <row r="34468" spans="20:20" s="566" customFormat="1">
      <c r="T34468" s="41"/>
    </row>
    <row r="34469" spans="20:20" s="566" customFormat="1">
      <c r="T34469" s="41"/>
    </row>
    <row r="34470" spans="20:20" s="566" customFormat="1">
      <c r="T34470" s="41"/>
    </row>
    <row r="34471" spans="20:20" s="566" customFormat="1">
      <c r="T34471" s="41"/>
    </row>
    <row r="34472" spans="20:20" s="566" customFormat="1">
      <c r="T34472" s="41"/>
    </row>
    <row r="34473" spans="20:20" s="566" customFormat="1">
      <c r="T34473" s="41"/>
    </row>
    <row r="34474" spans="20:20" s="566" customFormat="1">
      <c r="T34474" s="41"/>
    </row>
    <row r="34475" spans="20:20" s="566" customFormat="1">
      <c r="T34475" s="41"/>
    </row>
    <row r="34476" spans="20:20" s="566" customFormat="1">
      <c r="T34476" s="41"/>
    </row>
    <row r="34477" spans="20:20" s="566" customFormat="1">
      <c r="T34477" s="41"/>
    </row>
    <row r="34478" spans="20:20" s="566" customFormat="1">
      <c r="T34478" s="41"/>
    </row>
    <row r="34479" spans="20:20" s="566" customFormat="1">
      <c r="T34479" s="41"/>
    </row>
    <row r="34480" spans="20:20" s="566" customFormat="1">
      <c r="T34480" s="41"/>
    </row>
    <row r="34481" spans="20:20" s="566" customFormat="1">
      <c r="T34481" s="41"/>
    </row>
    <row r="34482" spans="20:20" s="566" customFormat="1">
      <c r="T34482" s="41"/>
    </row>
    <row r="34483" spans="20:20" s="566" customFormat="1">
      <c r="T34483" s="41"/>
    </row>
    <row r="34484" spans="20:20" s="566" customFormat="1">
      <c r="T34484" s="41"/>
    </row>
    <row r="34485" spans="20:20" s="566" customFormat="1">
      <c r="T34485" s="41"/>
    </row>
    <row r="34486" spans="20:20" s="566" customFormat="1">
      <c r="T34486" s="41"/>
    </row>
    <row r="34487" spans="20:20" s="566" customFormat="1">
      <c r="T34487" s="41"/>
    </row>
    <row r="34488" spans="20:20" s="566" customFormat="1">
      <c r="T34488" s="41"/>
    </row>
    <row r="34489" spans="20:20" s="566" customFormat="1">
      <c r="T34489" s="41"/>
    </row>
    <row r="34490" spans="20:20" s="566" customFormat="1">
      <c r="T34490" s="41"/>
    </row>
    <row r="34491" spans="20:20" s="566" customFormat="1">
      <c r="T34491" s="41"/>
    </row>
    <row r="34492" spans="20:20" s="566" customFormat="1">
      <c r="T34492" s="41"/>
    </row>
    <row r="34493" spans="20:20" s="566" customFormat="1">
      <c r="T34493" s="41"/>
    </row>
    <row r="34494" spans="20:20" s="566" customFormat="1">
      <c r="T34494" s="41"/>
    </row>
    <row r="34495" spans="20:20" s="566" customFormat="1">
      <c r="T34495" s="41"/>
    </row>
    <row r="34496" spans="20:20" s="566" customFormat="1">
      <c r="T34496" s="41"/>
    </row>
    <row r="34497" spans="20:20" s="566" customFormat="1">
      <c r="T34497" s="41"/>
    </row>
    <row r="34498" spans="20:20" s="566" customFormat="1">
      <c r="T34498" s="41"/>
    </row>
    <row r="34499" spans="20:20" s="566" customFormat="1">
      <c r="T34499" s="41"/>
    </row>
    <row r="34500" spans="20:20" s="566" customFormat="1">
      <c r="T34500" s="41"/>
    </row>
    <row r="34501" spans="20:20" s="566" customFormat="1">
      <c r="T34501" s="41"/>
    </row>
    <row r="34502" spans="20:20" s="566" customFormat="1">
      <c r="T34502" s="41"/>
    </row>
    <row r="34503" spans="20:20" s="566" customFormat="1">
      <c r="T34503" s="41"/>
    </row>
    <row r="34504" spans="20:20" s="566" customFormat="1">
      <c r="T34504" s="41"/>
    </row>
    <row r="34505" spans="20:20" s="566" customFormat="1">
      <c r="T34505" s="41"/>
    </row>
    <row r="34506" spans="20:20" s="566" customFormat="1">
      <c r="T34506" s="41"/>
    </row>
    <row r="34507" spans="20:20" s="566" customFormat="1">
      <c r="T34507" s="41"/>
    </row>
    <row r="34508" spans="20:20" s="566" customFormat="1">
      <c r="T34508" s="41"/>
    </row>
    <row r="34509" spans="20:20" s="566" customFormat="1">
      <c r="T34509" s="41"/>
    </row>
    <row r="34510" spans="20:20" s="566" customFormat="1">
      <c r="T34510" s="41"/>
    </row>
    <row r="34511" spans="20:20" s="566" customFormat="1">
      <c r="T34511" s="41"/>
    </row>
    <row r="34512" spans="20:20" s="566" customFormat="1">
      <c r="T34512" s="41"/>
    </row>
    <row r="34513" spans="20:20" s="566" customFormat="1">
      <c r="T34513" s="41"/>
    </row>
    <row r="34514" spans="20:20" s="566" customFormat="1">
      <c r="T34514" s="41"/>
    </row>
    <row r="34515" spans="20:20" s="566" customFormat="1">
      <c r="T34515" s="41"/>
    </row>
    <row r="34516" spans="20:20" s="566" customFormat="1">
      <c r="T34516" s="41"/>
    </row>
    <row r="34517" spans="20:20" s="566" customFormat="1">
      <c r="T34517" s="41"/>
    </row>
    <row r="34518" spans="20:20" s="566" customFormat="1">
      <c r="T34518" s="41"/>
    </row>
    <row r="34519" spans="20:20" s="566" customFormat="1">
      <c r="T34519" s="41"/>
    </row>
    <row r="34520" spans="20:20" s="566" customFormat="1">
      <c r="T34520" s="41"/>
    </row>
    <row r="34521" spans="20:20" s="566" customFormat="1">
      <c r="T34521" s="41"/>
    </row>
    <row r="34522" spans="20:20" s="566" customFormat="1">
      <c r="T34522" s="41"/>
    </row>
    <row r="34523" spans="20:20" s="566" customFormat="1">
      <c r="T34523" s="41"/>
    </row>
    <row r="34524" spans="20:20" s="566" customFormat="1">
      <c r="T34524" s="41"/>
    </row>
    <row r="34525" spans="20:20" s="566" customFormat="1">
      <c r="T34525" s="41"/>
    </row>
    <row r="34526" spans="20:20" s="566" customFormat="1">
      <c r="T34526" s="41"/>
    </row>
    <row r="34527" spans="20:20" s="566" customFormat="1">
      <c r="T34527" s="41"/>
    </row>
    <row r="34528" spans="20:20" s="566" customFormat="1">
      <c r="T34528" s="41"/>
    </row>
    <row r="34529" spans="20:20" s="566" customFormat="1">
      <c r="T34529" s="41"/>
    </row>
    <row r="34530" spans="20:20" s="566" customFormat="1">
      <c r="T34530" s="41"/>
    </row>
    <row r="34531" spans="20:20" s="566" customFormat="1">
      <c r="T34531" s="41"/>
    </row>
    <row r="34532" spans="20:20" s="566" customFormat="1">
      <c r="T34532" s="41"/>
    </row>
    <row r="34533" spans="20:20" s="566" customFormat="1">
      <c r="T34533" s="41"/>
    </row>
    <row r="34534" spans="20:20" s="566" customFormat="1">
      <c r="T34534" s="41"/>
    </row>
    <row r="34535" spans="20:20" s="566" customFormat="1">
      <c r="T34535" s="41"/>
    </row>
    <row r="34536" spans="20:20" s="566" customFormat="1">
      <c r="T34536" s="41"/>
    </row>
    <row r="34537" spans="20:20" s="566" customFormat="1">
      <c r="T34537" s="41"/>
    </row>
    <row r="34538" spans="20:20" s="566" customFormat="1">
      <c r="T34538" s="41"/>
    </row>
    <row r="34539" spans="20:20" s="566" customFormat="1">
      <c r="T34539" s="41"/>
    </row>
    <row r="34540" spans="20:20" s="566" customFormat="1">
      <c r="T34540" s="41"/>
    </row>
    <row r="34541" spans="20:20" s="566" customFormat="1">
      <c r="T34541" s="41"/>
    </row>
    <row r="34542" spans="20:20" s="566" customFormat="1">
      <c r="T34542" s="41"/>
    </row>
    <row r="34543" spans="20:20" s="566" customFormat="1">
      <c r="T34543" s="41"/>
    </row>
    <row r="34544" spans="20:20" s="566" customFormat="1">
      <c r="T34544" s="41"/>
    </row>
    <row r="34545" spans="20:20" s="566" customFormat="1">
      <c r="T34545" s="41"/>
    </row>
    <row r="34546" spans="20:20" s="566" customFormat="1">
      <c r="T34546" s="41"/>
    </row>
    <row r="34547" spans="20:20" s="566" customFormat="1">
      <c r="T34547" s="41"/>
    </row>
    <row r="34548" spans="20:20" s="566" customFormat="1">
      <c r="T34548" s="41"/>
    </row>
    <row r="34549" spans="20:20" s="566" customFormat="1">
      <c r="T34549" s="41"/>
    </row>
    <row r="34550" spans="20:20" s="566" customFormat="1">
      <c r="T34550" s="41"/>
    </row>
    <row r="34551" spans="20:20" s="566" customFormat="1">
      <c r="T34551" s="41"/>
    </row>
    <row r="34552" spans="20:20" s="566" customFormat="1">
      <c r="T34552" s="41"/>
    </row>
    <row r="34553" spans="20:20" s="566" customFormat="1">
      <c r="T34553" s="41"/>
    </row>
    <row r="34554" spans="20:20" s="566" customFormat="1">
      <c r="T34554" s="41"/>
    </row>
    <row r="34555" spans="20:20" s="566" customFormat="1">
      <c r="T34555" s="41"/>
    </row>
    <row r="34556" spans="20:20" s="566" customFormat="1">
      <c r="T34556" s="41"/>
    </row>
    <row r="34557" spans="20:20" s="566" customFormat="1">
      <c r="T34557" s="41"/>
    </row>
    <row r="34558" spans="20:20" s="566" customFormat="1">
      <c r="T34558" s="41"/>
    </row>
    <row r="34559" spans="20:20" s="566" customFormat="1">
      <c r="T34559" s="41"/>
    </row>
    <row r="34560" spans="20:20" s="566" customFormat="1">
      <c r="T34560" s="41"/>
    </row>
    <row r="34561" spans="20:20" s="566" customFormat="1">
      <c r="T34561" s="41"/>
    </row>
    <row r="34562" spans="20:20" s="566" customFormat="1">
      <c r="T34562" s="41"/>
    </row>
    <row r="34563" spans="20:20" s="566" customFormat="1">
      <c r="T34563" s="41"/>
    </row>
    <row r="34564" spans="20:20" s="566" customFormat="1">
      <c r="T34564" s="41"/>
    </row>
    <row r="34565" spans="20:20" s="566" customFormat="1">
      <c r="T34565" s="41"/>
    </row>
    <row r="34566" spans="20:20" s="566" customFormat="1">
      <c r="T34566" s="41"/>
    </row>
    <row r="34567" spans="20:20" s="566" customFormat="1">
      <c r="T34567" s="41"/>
    </row>
    <row r="34568" spans="20:20" s="566" customFormat="1">
      <c r="T34568" s="41"/>
    </row>
    <row r="34569" spans="20:20" s="566" customFormat="1">
      <c r="T34569" s="41"/>
    </row>
    <row r="34570" spans="20:20" s="566" customFormat="1">
      <c r="T34570" s="41"/>
    </row>
    <row r="34571" spans="20:20" s="566" customFormat="1">
      <c r="T34571" s="41"/>
    </row>
    <row r="34572" spans="20:20" s="566" customFormat="1">
      <c r="T34572" s="41"/>
    </row>
    <row r="34573" spans="20:20" s="566" customFormat="1">
      <c r="T34573" s="41"/>
    </row>
    <row r="34574" spans="20:20" s="566" customFormat="1">
      <c r="T34574" s="41"/>
    </row>
    <row r="34575" spans="20:20" s="566" customFormat="1">
      <c r="T34575" s="41"/>
    </row>
    <row r="34576" spans="20:20" s="566" customFormat="1">
      <c r="T34576" s="41"/>
    </row>
    <row r="34577" spans="20:20" s="566" customFormat="1">
      <c r="T34577" s="41"/>
    </row>
    <row r="34578" spans="20:20" s="566" customFormat="1">
      <c r="T34578" s="41"/>
    </row>
    <row r="34579" spans="20:20" s="566" customFormat="1">
      <c r="T34579" s="41"/>
    </row>
    <row r="34580" spans="20:20" s="566" customFormat="1">
      <c r="T34580" s="41"/>
    </row>
    <row r="34581" spans="20:20" s="566" customFormat="1">
      <c r="T34581" s="41"/>
    </row>
    <row r="34582" spans="20:20" s="566" customFormat="1">
      <c r="T34582" s="41"/>
    </row>
    <row r="34583" spans="20:20" s="566" customFormat="1">
      <c r="T34583" s="41"/>
    </row>
    <row r="34584" spans="20:20" s="566" customFormat="1">
      <c r="T34584" s="41"/>
    </row>
    <row r="34585" spans="20:20" s="566" customFormat="1">
      <c r="T34585" s="41"/>
    </row>
    <row r="34586" spans="20:20" s="566" customFormat="1">
      <c r="T34586" s="41"/>
    </row>
    <row r="34587" spans="20:20" s="566" customFormat="1">
      <c r="T34587" s="41"/>
    </row>
    <row r="34588" spans="20:20" s="566" customFormat="1">
      <c r="T34588" s="41"/>
    </row>
    <row r="34589" spans="20:20" s="566" customFormat="1">
      <c r="T34589" s="41"/>
    </row>
    <row r="34590" spans="20:20" s="566" customFormat="1">
      <c r="T34590" s="41"/>
    </row>
    <row r="34591" spans="20:20" s="566" customFormat="1">
      <c r="T34591" s="41"/>
    </row>
    <row r="34592" spans="20:20" s="566" customFormat="1">
      <c r="T34592" s="41"/>
    </row>
    <row r="34593" spans="20:20" s="566" customFormat="1">
      <c r="T34593" s="41"/>
    </row>
    <row r="34594" spans="20:20" s="566" customFormat="1">
      <c r="T34594" s="41"/>
    </row>
    <row r="34595" spans="20:20" s="566" customFormat="1">
      <c r="T34595" s="41"/>
    </row>
    <row r="34596" spans="20:20" s="566" customFormat="1">
      <c r="T34596" s="41"/>
    </row>
    <row r="34597" spans="20:20" s="566" customFormat="1">
      <c r="T34597" s="41"/>
    </row>
    <row r="34598" spans="20:20" s="566" customFormat="1">
      <c r="T34598" s="41"/>
    </row>
    <row r="34599" spans="20:20" s="566" customFormat="1">
      <c r="T34599" s="41"/>
    </row>
    <row r="34600" spans="20:20" s="566" customFormat="1">
      <c r="T34600" s="41"/>
    </row>
    <row r="34601" spans="20:20" s="566" customFormat="1">
      <c r="T34601" s="41"/>
    </row>
    <row r="34602" spans="20:20" s="566" customFormat="1">
      <c r="T34602" s="41"/>
    </row>
    <row r="34603" spans="20:20" s="566" customFormat="1">
      <c r="T34603" s="41"/>
    </row>
    <row r="34604" spans="20:20" s="566" customFormat="1">
      <c r="T34604" s="41"/>
    </row>
    <row r="34605" spans="20:20" s="566" customFormat="1">
      <c r="T34605" s="41"/>
    </row>
    <row r="34606" spans="20:20" s="566" customFormat="1">
      <c r="T34606" s="41"/>
    </row>
    <row r="34607" spans="20:20" s="566" customFormat="1">
      <c r="T34607" s="41"/>
    </row>
    <row r="34608" spans="20:20" s="566" customFormat="1">
      <c r="T34608" s="41"/>
    </row>
    <row r="34609" spans="20:20" s="566" customFormat="1">
      <c r="T34609" s="41"/>
    </row>
    <row r="34610" spans="20:20" s="566" customFormat="1">
      <c r="T34610" s="41"/>
    </row>
    <row r="34611" spans="20:20" s="566" customFormat="1">
      <c r="T34611" s="41"/>
    </row>
    <row r="34612" spans="20:20" s="566" customFormat="1">
      <c r="T34612" s="41"/>
    </row>
    <row r="34613" spans="20:20" s="566" customFormat="1">
      <c r="T34613" s="41"/>
    </row>
    <row r="34614" spans="20:20" s="566" customFormat="1">
      <c r="T34614" s="41"/>
    </row>
    <row r="34615" spans="20:20" s="566" customFormat="1">
      <c r="T34615" s="41"/>
    </row>
    <row r="34616" spans="20:20" s="566" customFormat="1">
      <c r="T34616" s="41"/>
    </row>
    <row r="34617" spans="20:20" s="566" customFormat="1">
      <c r="T34617" s="41"/>
    </row>
    <row r="34618" spans="20:20" s="566" customFormat="1">
      <c r="T34618" s="41"/>
    </row>
    <row r="34619" spans="20:20" s="566" customFormat="1">
      <c r="T34619" s="41"/>
    </row>
    <row r="34620" spans="20:20" s="566" customFormat="1">
      <c r="T34620" s="41"/>
    </row>
    <row r="34621" spans="20:20" s="566" customFormat="1">
      <c r="T34621" s="41"/>
    </row>
    <row r="34622" spans="20:20" s="566" customFormat="1">
      <c r="T34622" s="41"/>
    </row>
    <row r="34623" spans="20:20" s="566" customFormat="1">
      <c r="T34623" s="41"/>
    </row>
    <row r="34624" spans="20:20" s="566" customFormat="1">
      <c r="T34624" s="41"/>
    </row>
    <row r="34625" spans="20:20" s="566" customFormat="1">
      <c r="T34625" s="41"/>
    </row>
    <row r="34626" spans="20:20" s="566" customFormat="1">
      <c r="T34626" s="41"/>
    </row>
    <row r="34627" spans="20:20" s="566" customFormat="1">
      <c r="T34627" s="41"/>
    </row>
    <row r="34628" spans="20:20" s="566" customFormat="1">
      <c r="T34628" s="41"/>
    </row>
    <row r="34629" spans="20:20" s="566" customFormat="1">
      <c r="T34629" s="41"/>
    </row>
    <row r="34630" spans="20:20" s="566" customFormat="1">
      <c r="T34630" s="41"/>
    </row>
    <row r="34631" spans="20:20" s="566" customFormat="1">
      <c r="T34631" s="41"/>
    </row>
    <row r="34632" spans="20:20" s="566" customFormat="1">
      <c r="T34632" s="41"/>
    </row>
    <row r="34633" spans="20:20" s="566" customFormat="1">
      <c r="T34633" s="41"/>
    </row>
    <row r="34634" spans="20:20" s="566" customFormat="1">
      <c r="T34634" s="41"/>
    </row>
    <row r="34635" spans="20:20" s="566" customFormat="1">
      <c r="T34635" s="41"/>
    </row>
    <row r="34636" spans="20:20" s="566" customFormat="1">
      <c r="T34636" s="41"/>
    </row>
    <row r="34637" spans="20:20" s="566" customFormat="1">
      <c r="T34637" s="41"/>
    </row>
    <row r="34638" spans="20:20" s="566" customFormat="1">
      <c r="T34638" s="41"/>
    </row>
    <row r="34639" spans="20:20" s="566" customFormat="1">
      <c r="T34639" s="41"/>
    </row>
    <row r="34640" spans="20:20" s="566" customFormat="1">
      <c r="T34640" s="41"/>
    </row>
    <row r="34641" spans="20:20" s="566" customFormat="1">
      <c r="T34641" s="41"/>
    </row>
    <row r="34642" spans="20:20" s="566" customFormat="1">
      <c r="T34642" s="41"/>
    </row>
    <row r="34643" spans="20:20" s="566" customFormat="1">
      <c r="T34643" s="41"/>
    </row>
    <row r="34644" spans="20:20" s="566" customFormat="1">
      <c r="T34644" s="41"/>
    </row>
    <row r="34645" spans="20:20" s="566" customFormat="1">
      <c r="T34645" s="41"/>
    </row>
    <row r="34646" spans="20:20" s="566" customFormat="1">
      <c r="T34646" s="41"/>
    </row>
    <row r="34647" spans="20:20" s="566" customFormat="1">
      <c r="T34647" s="41"/>
    </row>
    <row r="34648" spans="20:20" s="566" customFormat="1">
      <c r="T34648" s="41"/>
    </row>
    <row r="34649" spans="20:20" s="566" customFormat="1">
      <c r="T34649" s="41"/>
    </row>
    <row r="34650" spans="20:20" s="566" customFormat="1">
      <c r="T34650" s="41"/>
    </row>
    <row r="34651" spans="20:20" s="566" customFormat="1">
      <c r="T34651" s="41"/>
    </row>
    <row r="34652" spans="20:20" s="566" customFormat="1">
      <c r="T34652" s="41"/>
    </row>
    <row r="34653" spans="20:20" s="566" customFormat="1">
      <c r="T34653" s="41"/>
    </row>
    <row r="34654" spans="20:20" s="566" customFormat="1">
      <c r="T34654" s="41"/>
    </row>
    <row r="34655" spans="20:20" s="566" customFormat="1">
      <c r="T34655" s="41"/>
    </row>
    <row r="34656" spans="20:20" s="566" customFormat="1">
      <c r="T34656" s="41"/>
    </row>
    <row r="34657" spans="20:20" s="566" customFormat="1">
      <c r="T34657" s="41"/>
    </row>
    <row r="34658" spans="20:20" s="566" customFormat="1">
      <c r="T34658" s="41"/>
    </row>
    <row r="34659" spans="20:20" s="566" customFormat="1">
      <c r="T34659" s="41"/>
    </row>
    <row r="34660" spans="20:20" s="566" customFormat="1">
      <c r="T34660" s="41"/>
    </row>
    <row r="34661" spans="20:20" s="566" customFormat="1">
      <c r="T34661" s="41"/>
    </row>
    <row r="34662" spans="20:20" s="566" customFormat="1">
      <c r="T34662" s="41"/>
    </row>
    <row r="34663" spans="20:20" s="566" customFormat="1">
      <c r="T34663" s="41"/>
    </row>
    <row r="34664" spans="20:20" s="566" customFormat="1">
      <c r="T34664" s="41"/>
    </row>
    <row r="34665" spans="20:20" s="566" customFormat="1">
      <c r="T34665" s="41"/>
    </row>
    <row r="34666" spans="20:20" s="566" customFormat="1">
      <c r="T34666" s="41"/>
    </row>
    <row r="34667" spans="20:20" s="566" customFormat="1">
      <c r="T34667" s="41"/>
    </row>
    <row r="34668" spans="20:20" s="566" customFormat="1">
      <c r="T34668" s="41"/>
    </row>
    <row r="34669" spans="20:20" s="566" customFormat="1">
      <c r="T34669" s="41"/>
    </row>
    <row r="34670" spans="20:20" s="566" customFormat="1">
      <c r="T34670" s="41"/>
    </row>
    <row r="34671" spans="20:20" s="566" customFormat="1">
      <c r="T34671" s="41"/>
    </row>
    <row r="34672" spans="20:20" s="566" customFormat="1">
      <c r="T34672" s="41"/>
    </row>
    <row r="34673" spans="20:20" s="566" customFormat="1">
      <c r="T34673" s="41"/>
    </row>
    <row r="34674" spans="20:20" s="566" customFormat="1">
      <c r="T34674" s="41"/>
    </row>
    <row r="34675" spans="20:20" s="566" customFormat="1">
      <c r="T34675" s="41"/>
    </row>
    <row r="34676" spans="20:20" s="566" customFormat="1">
      <c r="T34676" s="41"/>
    </row>
    <row r="34677" spans="20:20" s="566" customFormat="1">
      <c r="T34677" s="41"/>
    </row>
    <row r="34678" spans="20:20" s="566" customFormat="1">
      <c r="T34678" s="41"/>
    </row>
    <row r="34679" spans="20:20" s="566" customFormat="1">
      <c r="T34679" s="41"/>
    </row>
    <row r="34680" spans="20:20" s="566" customFormat="1">
      <c r="T34680" s="41"/>
    </row>
    <row r="34681" spans="20:20" s="566" customFormat="1">
      <c r="T34681" s="41"/>
    </row>
    <row r="34682" spans="20:20" s="566" customFormat="1">
      <c r="T34682" s="41"/>
    </row>
    <row r="34683" spans="20:20" s="566" customFormat="1">
      <c r="T34683" s="41"/>
    </row>
    <row r="34684" spans="20:20" s="566" customFormat="1">
      <c r="T34684" s="41"/>
    </row>
    <row r="34685" spans="20:20" s="566" customFormat="1">
      <c r="T34685" s="41"/>
    </row>
    <row r="34686" spans="20:20" s="566" customFormat="1">
      <c r="T34686" s="41"/>
    </row>
    <row r="34687" spans="20:20" s="566" customFormat="1">
      <c r="T34687" s="41"/>
    </row>
    <row r="34688" spans="20:20" s="566" customFormat="1">
      <c r="T34688" s="41"/>
    </row>
    <row r="34689" spans="20:20" s="566" customFormat="1">
      <c r="T34689" s="41"/>
    </row>
    <row r="34690" spans="20:20" s="566" customFormat="1">
      <c r="T34690" s="41"/>
    </row>
    <row r="34691" spans="20:20" s="566" customFormat="1">
      <c r="T34691" s="41"/>
    </row>
    <row r="34692" spans="20:20" s="566" customFormat="1">
      <c r="T34692" s="41"/>
    </row>
    <row r="34693" spans="20:20" s="566" customFormat="1">
      <c r="T34693" s="41"/>
    </row>
    <row r="34694" spans="20:20" s="566" customFormat="1">
      <c r="T34694" s="41"/>
    </row>
    <row r="34695" spans="20:20" s="566" customFormat="1">
      <c r="T34695" s="41"/>
    </row>
    <row r="34696" spans="20:20" s="566" customFormat="1">
      <c r="T34696" s="41"/>
    </row>
    <row r="34697" spans="20:20" s="566" customFormat="1">
      <c r="T34697" s="41"/>
    </row>
    <row r="34698" spans="20:20" s="566" customFormat="1">
      <c r="T34698" s="41"/>
    </row>
    <row r="34699" spans="20:20" s="566" customFormat="1">
      <c r="T34699" s="41"/>
    </row>
    <row r="34700" spans="20:20" s="566" customFormat="1">
      <c r="T34700" s="41"/>
    </row>
    <row r="34701" spans="20:20" s="566" customFormat="1">
      <c r="T34701" s="41"/>
    </row>
    <row r="34702" spans="20:20" s="566" customFormat="1">
      <c r="T34702" s="41"/>
    </row>
    <row r="34703" spans="20:20" s="566" customFormat="1">
      <c r="T34703" s="41"/>
    </row>
    <row r="34704" spans="20:20" s="566" customFormat="1">
      <c r="T34704" s="41"/>
    </row>
    <row r="34705" spans="20:20" s="566" customFormat="1">
      <c r="T34705" s="41"/>
    </row>
    <row r="34706" spans="20:20" s="566" customFormat="1">
      <c r="T34706" s="41"/>
    </row>
    <row r="34707" spans="20:20" s="566" customFormat="1">
      <c r="T34707" s="41"/>
    </row>
    <row r="34708" spans="20:20" s="566" customFormat="1">
      <c r="T34708" s="41"/>
    </row>
    <row r="34709" spans="20:20" s="566" customFormat="1">
      <c r="T34709" s="41"/>
    </row>
    <row r="34710" spans="20:20" s="566" customFormat="1">
      <c r="T34710" s="41"/>
    </row>
    <row r="34711" spans="20:20" s="566" customFormat="1">
      <c r="T34711" s="41"/>
    </row>
    <row r="34712" spans="20:20" s="566" customFormat="1">
      <c r="T34712" s="41"/>
    </row>
    <row r="34713" spans="20:20" s="566" customFormat="1">
      <c r="T34713" s="41"/>
    </row>
    <row r="34714" spans="20:20" s="566" customFormat="1">
      <c r="T34714" s="41"/>
    </row>
    <row r="34715" spans="20:20" s="566" customFormat="1">
      <c r="T34715" s="41"/>
    </row>
    <row r="34716" spans="20:20" s="566" customFormat="1">
      <c r="T34716" s="41"/>
    </row>
    <row r="34717" spans="20:20" s="566" customFormat="1">
      <c r="T34717" s="41"/>
    </row>
    <row r="34718" spans="20:20" s="566" customFormat="1">
      <c r="T34718" s="41"/>
    </row>
    <row r="34719" spans="20:20" s="566" customFormat="1">
      <c r="T34719" s="41"/>
    </row>
    <row r="34720" spans="20:20" s="566" customFormat="1">
      <c r="T34720" s="41"/>
    </row>
    <row r="34721" spans="20:20" s="566" customFormat="1">
      <c r="T34721" s="41"/>
    </row>
    <row r="34722" spans="20:20" s="566" customFormat="1">
      <c r="T34722" s="41"/>
    </row>
    <row r="34723" spans="20:20" s="566" customFormat="1">
      <c r="T34723" s="41"/>
    </row>
    <row r="34724" spans="20:20" s="566" customFormat="1">
      <c r="T34724" s="41"/>
    </row>
    <row r="34725" spans="20:20" s="566" customFormat="1">
      <c r="T34725" s="41"/>
    </row>
    <row r="34726" spans="20:20" s="566" customFormat="1">
      <c r="T34726" s="41"/>
    </row>
    <row r="34727" spans="20:20" s="566" customFormat="1">
      <c r="T34727" s="41"/>
    </row>
    <row r="34728" spans="20:20" s="566" customFormat="1">
      <c r="T34728" s="41"/>
    </row>
    <row r="34729" spans="20:20" s="566" customFormat="1">
      <c r="T34729" s="41"/>
    </row>
    <row r="34730" spans="20:20" s="566" customFormat="1">
      <c r="T34730" s="41"/>
    </row>
    <row r="34731" spans="20:20" s="566" customFormat="1">
      <c r="T34731" s="41"/>
    </row>
    <row r="34732" spans="20:20" s="566" customFormat="1">
      <c r="T34732" s="41"/>
    </row>
    <row r="34733" spans="20:20" s="566" customFormat="1">
      <c r="T34733" s="41"/>
    </row>
    <row r="34734" spans="20:20" s="566" customFormat="1">
      <c r="T34734" s="41"/>
    </row>
    <row r="34735" spans="20:20" s="566" customFormat="1">
      <c r="T34735" s="41"/>
    </row>
    <row r="34736" spans="20:20" s="566" customFormat="1">
      <c r="T34736" s="41"/>
    </row>
    <row r="34737" spans="20:20" s="566" customFormat="1">
      <c r="T34737" s="41"/>
    </row>
    <row r="34738" spans="20:20" s="566" customFormat="1">
      <c r="T34738" s="41"/>
    </row>
    <row r="34739" spans="20:20" s="566" customFormat="1">
      <c r="T34739" s="41"/>
    </row>
    <row r="34740" spans="20:20" s="566" customFormat="1">
      <c r="T34740" s="41"/>
    </row>
    <row r="34741" spans="20:20" s="566" customFormat="1">
      <c r="T34741" s="41"/>
    </row>
    <row r="34742" spans="20:20" s="566" customFormat="1">
      <c r="T34742" s="41"/>
    </row>
    <row r="34743" spans="20:20" s="566" customFormat="1">
      <c r="T34743" s="41"/>
    </row>
    <row r="34744" spans="20:20" s="566" customFormat="1">
      <c r="T34744" s="41"/>
    </row>
    <row r="34745" spans="20:20" s="566" customFormat="1">
      <c r="T34745" s="41"/>
    </row>
    <row r="34746" spans="20:20" s="566" customFormat="1">
      <c r="T34746" s="41"/>
    </row>
    <row r="34747" spans="20:20" s="566" customFormat="1">
      <c r="T34747" s="41"/>
    </row>
    <row r="34748" spans="20:20" s="566" customFormat="1">
      <c r="T34748" s="41"/>
    </row>
    <row r="34749" spans="20:20" s="566" customFormat="1">
      <c r="T34749" s="41"/>
    </row>
    <row r="34750" spans="20:20" s="566" customFormat="1">
      <c r="T34750" s="41"/>
    </row>
    <row r="34751" spans="20:20" s="566" customFormat="1">
      <c r="T34751" s="41"/>
    </row>
    <row r="34752" spans="20:20" s="566" customFormat="1">
      <c r="T34752" s="41"/>
    </row>
    <row r="34753" spans="20:20" s="566" customFormat="1">
      <c r="T34753" s="41"/>
    </row>
    <row r="34754" spans="20:20" s="566" customFormat="1">
      <c r="T34754" s="41"/>
    </row>
    <row r="34755" spans="20:20" s="566" customFormat="1">
      <c r="T34755" s="41"/>
    </row>
    <row r="34756" spans="20:20" s="566" customFormat="1">
      <c r="T34756" s="41"/>
    </row>
    <row r="34757" spans="20:20" s="566" customFormat="1">
      <c r="T34757" s="41"/>
    </row>
    <row r="34758" spans="20:20" s="566" customFormat="1">
      <c r="T34758" s="41"/>
    </row>
    <row r="34759" spans="20:20" s="566" customFormat="1">
      <c r="T34759" s="41"/>
    </row>
    <row r="34760" spans="20:20" s="566" customFormat="1">
      <c r="T34760" s="41"/>
    </row>
    <row r="34761" spans="20:20" s="566" customFormat="1">
      <c r="T34761" s="41"/>
    </row>
    <row r="34762" spans="20:20" s="566" customFormat="1">
      <c r="T34762" s="41"/>
    </row>
    <row r="34763" spans="20:20" s="566" customFormat="1">
      <c r="T34763" s="41"/>
    </row>
    <row r="34764" spans="20:20" s="566" customFormat="1">
      <c r="T34764" s="41"/>
    </row>
    <row r="34765" spans="20:20" s="566" customFormat="1">
      <c r="T34765" s="41"/>
    </row>
    <row r="34766" spans="20:20" s="566" customFormat="1">
      <c r="T34766" s="41"/>
    </row>
    <row r="34767" spans="20:20" s="566" customFormat="1">
      <c r="T34767" s="41"/>
    </row>
    <row r="34768" spans="20:20" s="566" customFormat="1">
      <c r="T34768" s="41"/>
    </row>
    <row r="34769" spans="20:20" s="566" customFormat="1">
      <c r="T34769" s="41"/>
    </row>
    <row r="34770" spans="20:20" s="566" customFormat="1">
      <c r="T34770" s="41"/>
    </row>
    <row r="34771" spans="20:20" s="566" customFormat="1">
      <c r="T34771" s="41"/>
    </row>
    <row r="34772" spans="20:20" s="566" customFormat="1">
      <c r="T34772" s="41"/>
    </row>
    <row r="34773" spans="20:20" s="566" customFormat="1">
      <c r="T34773" s="41"/>
    </row>
    <row r="34774" spans="20:20" s="566" customFormat="1">
      <c r="T34774" s="41"/>
    </row>
    <row r="34775" spans="20:20" s="566" customFormat="1">
      <c r="T34775" s="41"/>
    </row>
    <row r="34776" spans="20:20" s="566" customFormat="1">
      <c r="T34776" s="41"/>
    </row>
    <row r="34777" spans="20:20" s="566" customFormat="1">
      <c r="T34777" s="41"/>
    </row>
    <row r="34778" spans="20:20" s="566" customFormat="1">
      <c r="T34778" s="41"/>
    </row>
    <row r="34779" spans="20:20" s="566" customFormat="1">
      <c r="T34779" s="41"/>
    </row>
    <row r="34780" spans="20:20" s="566" customFormat="1">
      <c r="T34780" s="41"/>
    </row>
    <row r="34781" spans="20:20" s="566" customFormat="1">
      <c r="T34781" s="41"/>
    </row>
    <row r="34782" spans="20:20" s="566" customFormat="1">
      <c r="T34782" s="41"/>
    </row>
    <row r="34783" spans="20:20" s="566" customFormat="1">
      <c r="T34783" s="41"/>
    </row>
    <row r="34784" spans="20:20" s="566" customFormat="1">
      <c r="T34784" s="41"/>
    </row>
    <row r="34785" spans="20:20" s="566" customFormat="1">
      <c r="T34785" s="41"/>
    </row>
    <row r="34786" spans="20:20" s="566" customFormat="1">
      <c r="T34786" s="41"/>
    </row>
    <row r="34787" spans="20:20" s="566" customFormat="1">
      <c r="T34787" s="41"/>
    </row>
    <row r="34788" spans="20:20" s="566" customFormat="1">
      <c r="T34788" s="41"/>
    </row>
    <row r="34789" spans="20:20" s="566" customFormat="1">
      <c r="T34789" s="41"/>
    </row>
    <row r="34790" spans="20:20" s="566" customFormat="1">
      <c r="T34790" s="41"/>
    </row>
    <row r="34791" spans="20:20" s="566" customFormat="1">
      <c r="T34791" s="41"/>
    </row>
    <row r="34792" spans="20:20" s="566" customFormat="1">
      <c r="T34792" s="41"/>
    </row>
    <row r="34793" spans="20:20" s="566" customFormat="1">
      <c r="T34793" s="41"/>
    </row>
    <row r="34794" spans="20:20" s="566" customFormat="1">
      <c r="T34794" s="41"/>
    </row>
    <row r="34795" spans="20:20" s="566" customFormat="1">
      <c r="T34795" s="41"/>
    </row>
    <row r="34796" spans="20:20" s="566" customFormat="1">
      <c r="T34796" s="41"/>
    </row>
    <row r="34797" spans="20:20" s="566" customFormat="1">
      <c r="T34797" s="41"/>
    </row>
    <row r="34798" spans="20:20" s="566" customFormat="1">
      <c r="T34798" s="41"/>
    </row>
    <row r="34799" spans="20:20" s="566" customFormat="1">
      <c r="T34799" s="41"/>
    </row>
    <row r="34800" spans="20:20" s="566" customFormat="1">
      <c r="T34800" s="41"/>
    </row>
    <row r="34801" spans="20:20" s="566" customFormat="1">
      <c r="T34801" s="41"/>
    </row>
    <row r="34802" spans="20:20" s="566" customFormat="1">
      <c r="T34802" s="41"/>
    </row>
    <row r="34803" spans="20:20" s="566" customFormat="1">
      <c r="T34803" s="41"/>
    </row>
    <row r="34804" spans="20:20" s="566" customFormat="1">
      <c r="T34804" s="41"/>
    </row>
    <row r="34805" spans="20:20" s="566" customFormat="1">
      <c r="T34805" s="41"/>
    </row>
    <row r="34806" spans="20:20" s="566" customFormat="1">
      <c r="T34806" s="41"/>
    </row>
    <row r="34807" spans="20:20" s="566" customFormat="1">
      <c r="T34807" s="41"/>
    </row>
    <row r="34808" spans="20:20" s="566" customFormat="1">
      <c r="T34808" s="41"/>
    </row>
    <row r="34809" spans="20:20" s="566" customFormat="1">
      <c r="T34809" s="41"/>
    </row>
    <row r="34810" spans="20:20" s="566" customFormat="1">
      <c r="T34810" s="41"/>
    </row>
    <row r="34811" spans="20:20" s="566" customFormat="1">
      <c r="T34811" s="41"/>
    </row>
    <row r="34812" spans="20:20" s="566" customFormat="1">
      <c r="T34812" s="41"/>
    </row>
    <row r="34813" spans="20:20" s="566" customFormat="1">
      <c r="T34813" s="41"/>
    </row>
    <row r="34814" spans="20:20" s="566" customFormat="1">
      <c r="T34814" s="41"/>
    </row>
    <row r="34815" spans="20:20" s="566" customFormat="1">
      <c r="T34815" s="41"/>
    </row>
    <row r="34816" spans="20:20" s="566" customFormat="1">
      <c r="T34816" s="41"/>
    </row>
    <row r="34817" spans="20:20" s="566" customFormat="1">
      <c r="T34817" s="41"/>
    </row>
    <row r="34818" spans="20:20" s="566" customFormat="1">
      <c r="T34818" s="41"/>
    </row>
    <row r="34819" spans="20:20" s="566" customFormat="1">
      <c r="T34819" s="41"/>
    </row>
    <row r="34820" spans="20:20" s="566" customFormat="1">
      <c r="T34820" s="41"/>
    </row>
    <row r="34821" spans="20:20" s="566" customFormat="1">
      <c r="T34821" s="41"/>
    </row>
    <row r="34822" spans="20:20" s="566" customFormat="1">
      <c r="T34822" s="41"/>
    </row>
    <row r="34823" spans="20:20" s="566" customFormat="1">
      <c r="T34823" s="41"/>
    </row>
    <row r="34824" spans="20:20" s="566" customFormat="1">
      <c r="T34824" s="41"/>
    </row>
    <row r="34825" spans="20:20" s="566" customFormat="1">
      <c r="T34825" s="41"/>
    </row>
    <row r="34826" spans="20:20" s="566" customFormat="1">
      <c r="T34826" s="41"/>
    </row>
    <row r="34827" spans="20:20" s="566" customFormat="1">
      <c r="T34827" s="41"/>
    </row>
    <row r="34828" spans="20:20" s="566" customFormat="1">
      <c r="T34828" s="41"/>
    </row>
    <row r="34829" spans="20:20" s="566" customFormat="1">
      <c r="T34829" s="41"/>
    </row>
    <row r="34830" spans="20:20" s="566" customFormat="1">
      <c r="T34830" s="41"/>
    </row>
    <row r="34831" spans="20:20" s="566" customFormat="1">
      <c r="T34831" s="41"/>
    </row>
    <row r="34832" spans="20:20" s="566" customFormat="1">
      <c r="T34832" s="41"/>
    </row>
    <row r="34833" spans="20:20" s="566" customFormat="1">
      <c r="T34833" s="41"/>
    </row>
    <row r="34834" spans="20:20" s="566" customFormat="1">
      <c r="T34834" s="41"/>
    </row>
    <row r="34835" spans="20:20" s="566" customFormat="1">
      <c r="T34835" s="41"/>
    </row>
    <row r="34836" spans="20:20" s="566" customFormat="1">
      <c r="T34836" s="41"/>
    </row>
    <row r="34837" spans="20:20" s="566" customFormat="1">
      <c r="T34837" s="41"/>
    </row>
    <row r="34838" spans="20:20" s="566" customFormat="1">
      <c r="T34838" s="41"/>
    </row>
    <row r="34839" spans="20:20" s="566" customFormat="1">
      <c r="T34839" s="41"/>
    </row>
    <row r="34840" spans="20:20" s="566" customFormat="1">
      <c r="T34840" s="41"/>
    </row>
    <row r="34841" spans="20:20" s="566" customFormat="1">
      <c r="T34841" s="41"/>
    </row>
    <row r="34842" spans="20:20" s="566" customFormat="1">
      <c r="T34842" s="41"/>
    </row>
    <row r="34843" spans="20:20" s="566" customFormat="1">
      <c r="T34843" s="41"/>
    </row>
    <row r="34844" spans="20:20" s="566" customFormat="1">
      <c r="T34844" s="41"/>
    </row>
    <row r="34845" spans="20:20" s="566" customFormat="1">
      <c r="T34845" s="41"/>
    </row>
    <row r="34846" spans="20:20" s="566" customFormat="1">
      <c r="T34846" s="41"/>
    </row>
    <row r="34847" spans="20:20" s="566" customFormat="1">
      <c r="T34847" s="41"/>
    </row>
    <row r="34848" spans="20:20" s="566" customFormat="1">
      <c r="T34848" s="41"/>
    </row>
    <row r="34849" spans="20:20" s="566" customFormat="1">
      <c r="T34849" s="41"/>
    </row>
    <row r="34850" spans="20:20" s="566" customFormat="1">
      <c r="T34850" s="41"/>
    </row>
    <row r="34851" spans="20:20" s="566" customFormat="1">
      <c r="T34851" s="41"/>
    </row>
    <row r="34852" spans="20:20" s="566" customFormat="1">
      <c r="T34852" s="41"/>
    </row>
    <row r="34853" spans="20:20" s="566" customFormat="1">
      <c r="T34853" s="41"/>
    </row>
    <row r="34854" spans="20:20" s="566" customFormat="1">
      <c r="T34854" s="41"/>
    </row>
    <row r="34855" spans="20:20" s="566" customFormat="1">
      <c r="T34855" s="41"/>
    </row>
    <row r="34856" spans="20:20" s="566" customFormat="1">
      <c r="T34856" s="41"/>
    </row>
    <row r="34857" spans="20:20" s="566" customFormat="1">
      <c r="T34857" s="41"/>
    </row>
    <row r="34858" spans="20:20" s="566" customFormat="1">
      <c r="T34858" s="41"/>
    </row>
    <row r="34859" spans="20:20" s="566" customFormat="1">
      <c r="T34859" s="41"/>
    </row>
    <row r="34860" spans="20:20" s="566" customFormat="1">
      <c r="T34860" s="41"/>
    </row>
    <row r="34861" spans="20:20" s="566" customFormat="1">
      <c r="T34861" s="41"/>
    </row>
    <row r="34862" spans="20:20" s="566" customFormat="1">
      <c r="T34862" s="41"/>
    </row>
    <row r="34863" spans="20:20" s="566" customFormat="1">
      <c r="T34863" s="41"/>
    </row>
    <row r="34864" spans="20:20" s="566" customFormat="1">
      <c r="T34864" s="41"/>
    </row>
    <row r="34865" spans="20:20" s="566" customFormat="1">
      <c r="T34865" s="41"/>
    </row>
    <row r="34866" spans="20:20" s="566" customFormat="1">
      <c r="T34866" s="41"/>
    </row>
    <row r="34867" spans="20:20" s="566" customFormat="1">
      <c r="T34867" s="41"/>
    </row>
    <row r="34868" spans="20:20" s="566" customFormat="1">
      <c r="T34868" s="41"/>
    </row>
    <row r="34869" spans="20:20" s="566" customFormat="1">
      <c r="T34869" s="41"/>
    </row>
    <row r="34870" spans="20:20" s="566" customFormat="1">
      <c r="T34870" s="41"/>
    </row>
    <row r="34871" spans="20:20" s="566" customFormat="1">
      <c r="T34871" s="41"/>
    </row>
    <row r="34872" spans="20:20" s="566" customFormat="1">
      <c r="T34872" s="41"/>
    </row>
    <row r="34873" spans="20:20" s="566" customFormat="1">
      <c r="T34873" s="41"/>
    </row>
    <row r="34874" spans="20:20" s="566" customFormat="1">
      <c r="T34874" s="41"/>
    </row>
    <row r="34875" spans="20:20" s="566" customFormat="1">
      <c r="T34875" s="41"/>
    </row>
    <row r="34876" spans="20:20" s="566" customFormat="1">
      <c r="T34876" s="41"/>
    </row>
    <row r="34877" spans="20:20" s="566" customFormat="1">
      <c r="T34877" s="41"/>
    </row>
    <row r="34878" spans="20:20" s="566" customFormat="1">
      <c r="T34878" s="41"/>
    </row>
    <row r="34879" spans="20:20" s="566" customFormat="1">
      <c r="T34879" s="41"/>
    </row>
    <row r="34880" spans="20:20" s="566" customFormat="1">
      <c r="T34880" s="41"/>
    </row>
    <row r="34881" spans="20:20" s="566" customFormat="1">
      <c r="T34881" s="41"/>
    </row>
    <row r="34882" spans="20:20" s="566" customFormat="1">
      <c r="T34882" s="41"/>
    </row>
    <row r="34883" spans="20:20" s="566" customFormat="1">
      <c r="T34883" s="41"/>
    </row>
    <row r="34884" spans="20:20" s="566" customFormat="1">
      <c r="T34884" s="41"/>
    </row>
    <row r="34885" spans="20:20" s="566" customFormat="1">
      <c r="T34885" s="41"/>
    </row>
    <row r="34886" spans="20:20" s="566" customFormat="1">
      <c r="T34886" s="41"/>
    </row>
    <row r="34887" spans="20:20" s="566" customFormat="1">
      <c r="T34887" s="41"/>
    </row>
    <row r="34888" spans="20:20" s="566" customFormat="1">
      <c r="T34888" s="41"/>
    </row>
    <row r="34889" spans="20:20" s="566" customFormat="1">
      <c r="T34889" s="41"/>
    </row>
    <row r="34890" spans="20:20" s="566" customFormat="1">
      <c r="T34890" s="41"/>
    </row>
    <row r="34891" spans="20:20" s="566" customFormat="1">
      <c r="T34891" s="41"/>
    </row>
    <row r="34892" spans="20:20" s="566" customFormat="1">
      <c r="T34892" s="41"/>
    </row>
    <row r="34893" spans="20:20" s="566" customFormat="1">
      <c r="T34893" s="41"/>
    </row>
    <row r="34894" spans="20:20" s="566" customFormat="1">
      <c r="T34894" s="41"/>
    </row>
    <row r="34895" spans="20:20" s="566" customFormat="1">
      <c r="T34895" s="41"/>
    </row>
    <row r="34896" spans="20:20" s="566" customFormat="1">
      <c r="T34896" s="41"/>
    </row>
    <row r="34897" spans="20:20" s="566" customFormat="1">
      <c r="T34897" s="41"/>
    </row>
    <row r="34898" spans="20:20" s="566" customFormat="1">
      <c r="T34898" s="41"/>
    </row>
    <row r="34899" spans="20:20" s="566" customFormat="1">
      <c r="T34899" s="41"/>
    </row>
    <row r="34900" spans="20:20" s="566" customFormat="1">
      <c r="T34900" s="41"/>
    </row>
    <row r="34901" spans="20:20" s="566" customFormat="1">
      <c r="T34901" s="41"/>
    </row>
    <row r="34902" spans="20:20" s="566" customFormat="1">
      <c r="T34902" s="41"/>
    </row>
    <row r="34903" spans="20:20" s="566" customFormat="1">
      <c r="T34903" s="41"/>
    </row>
    <row r="34904" spans="20:20" s="566" customFormat="1">
      <c r="T34904" s="41"/>
    </row>
    <row r="34905" spans="20:20" s="566" customFormat="1">
      <c r="T34905" s="41"/>
    </row>
    <row r="34906" spans="20:20" s="566" customFormat="1">
      <c r="T34906" s="41"/>
    </row>
    <row r="34907" spans="20:20" s="566" customFormat="1">
      <c r="T34907" s="41"/>
    </row>
    <row r="34908" spans="20:20" s="566" customFormat="1">
      <c r="T34908" s="41"/>
    </row>
    <row r="34909" spans="20:20" s="566" customFormat="1">
      <c r="T34909" s="41"/>
    </row>
    <row r="34910" spans="20:20" s="566" customFormat="1">
      <c r="T34910" s="41"/>
    </row>
    <row r="34911" spans="20:20" s="566" customFormat="1">
      <c r="T34911" s="41"/>
    </row>
    <row r="34912" spans="20:20" s="566" customFormat="1">
      <c r="T34912" s="41"/>
    </row>
    <row r="34913" spans="20:20" s="566" customFormat="1">
      <c r="T34913" s="41"/>
    </row>
    <row r="34914" spans="20:20" s="566" customFormat="1">
      <c r="T34914" s="41"/>
    </row>
    <row r="34915" spans="20:20" s="566" customFormat="1">
      <c r="T34915" s="41"/>
    </row>
    <row r="34916" spans="20:20" s="566" customFormat="1">
      <c r="T34916" s="41"/>
    </row>
    <row r="34917" spans="20:20" s="566" customFormat="1">
      <c r="T34917" s="41"/>
    </row>
    <row r="34918" spans="20:20" s="566" customFormat="1">
      <c r="T34918" s="41"/>
    </row>
    <row r="34919" spans="20:20" s="566" customFormat="1">
      <c r="T34919" s="41"/>
    </row>
    <row r="34920" spans="20:20" s="566" customFormat="1">
      <c r="T34920" s="41"/>
    </row>
    <row r="34921" spans="20:20" s="566" customFormat="1">
      <c r="T34921" s="41"/>
    </row>
    <row r="34922" spans="20:20" s="566" customFormat="1">
      <c r="T34922" s="41"/>
    </row>
    <row r="34923" spans="20:20" s="566" customFormat="1">
      <c r="T34923" s="41"/>
    </row>
    <row r="34924" spans="20:20" s="566" customFormat="1">
      <c r="T34924" s="41"/>
    </row>
    <row r="34925" spans="20:20" s="566" customFormat="1">
      <c r="T34925" s="41"/>
    </row>
    <row r="34926" spans="20:20" s="566" customFormat="1">
      <c r="T34926" s="41"/>
    </row>
    <row r="34927" spans="20:20" s="566" customFormat="1">
      <c r="T34927" s="41"/>
    </row>
    <row r="34928" spans="20:20" s="566" customFormat="1">
      <c r="T34928" s="41"/>
    </row>
    <row r="34929" spans="20:20" s="566" customFormat="1">
      <c r="T34929" s="41"/>
    </row>
    <row r="34930" spans="20:20" s="566" customFormat="1">
      <c r="T34930" s="41"/>
    </row>
    <row r="34931" spans="20:20" s="566" customFormat="1">
      <c r="T34931" s="41"/>
    </row>
    <row r="34932" spans="20:20" s="566" customFormat="1">
      <c r="T34932" s="41"/>
    </row>
    <row r="34933" spans="20:20" s="566" customFormat="1">
      <c r="T34933" s="41"/>
    </row>
    <row r="34934" spans="20:20" s="566" customFormat="1">
      <c r="T34934" s="41"/>
    </row>
    <row r="34935" spans="20:20" s="566" customFormat="1">
      <c r="T34935" s="41"/>
    </row>
    <row r="34936" spans="20:20" s="566" customFormat="1">
      <c r="T34936" s="41"/>
    </row>
    <row r="34937" spans="20:20" s="566" customFormat="1">
      <c r="T34937" s="41"/>
    </row>
    <row r="34938" spans="20:20" s="566" customFormat="1">
      <c r="T34938" s="41"/>
    </row>
    <row r="34939" spans="20:20" s="566" customFormat="1">
      <c r="T34939" s="41"/>
    </row>
    <row r="34940" spans="20:20" s="566" customFormat="1">
      <c r="T34940" s="41"/>
    </row>
    <row r="34941" spans="20:20" s="566" customFormat="1">
      <c r="T34941" s="41"/>
    </row>
    <row r="34942" spans="20:20" s="566" customFormat="1">
      <c r="T34942" s="41"/>
    </row>
    <row r="34943" spans="20:20" s="566" customFormat="1">
      <c r="T34943" s="41"/>
    </row>
    <row r="34944" spans="20:20" s="566" customFormat="1">
      <c r="T34944" s="41"/>
    </row>
    <row r="34945" spans="20:20" s="566" customFormat="1">
      <c r="T34945" s="41"/>
    </row>
    <row r="34946" spans="20:20" s="566" customFormat="1">
      <c r="T34946" s="41"/>
    </row>
    <row r="34947" spans="20:20" s="566" customFormat="1">
      <c r="T34947" s="41"/>
    </row>
    <row r="34948" spans="20:20" s="566" customFormat="1">
      <c r="T34948" s="41"/>
    </row>
    <row r="34949" spans="20:20" s="566" customFormat="1">
      <c r="T34949" s="41"/>
    </row>
    <row r="34950" spans="20:20" s="566" customFormat="1">
      <c r="T34950" s="41"/>
    </row>
    <row r="34951" spans="20:20" s="566" customFormat="1">
      <c r="T34951" s="41"/>
    </row>
    <row r="34952" spans="20:20" s="566" customFormat="1">
      <c r="T34952" s="41"/>
    </row>
    <row r="34953" spans="20:20" s="566" customFormat="1">
      <c r="T34953" s="41"/>
    </row>
    <row r="34954" spans="20:20" s="566" customFormat="1">
      <c r="T34954" s="41"/>
    </row>
    <row r="34955" spans="20:20" s="566" customFormat="1">
      <c r="T34955" s="41"/>
    </row>
    <row r="34956" spans="20:20" s="566" customFormat="1">
      <c r="T34956" s="41"/>
    </row>
    <row r="34957" spans="20:20" s="566" customFormat="1">
      <c r="T34957" s="41"/>
    </row>
    <row r="34958" spans="20:20" s="566" customFormat="1">
      <c r="T34958" s="41"/>
    </row>
    <row r="34959" spans="20:20" s="566" customFormat="1">
      <c r="T34959" s="41"/>
    </row>
    <row r="34960" spans="20:20" s="566" customFormat="1">
      <c r="T34960" s="41"/>
    </row>
    <row r="34961" spans="20:20" s="566" customFormat="1">
      <c r="T34961" s="41"/>
    </row>
    <row r="34962" spans="20:20" s="566" customFormat="1">
      <c r="T34962" s="41"/>
    </row>
    <row r="34963" spans="20:20" s="566" customFormat="1">
      <c r="T34963" s="41"/>
    </row>
    <row r="34964" spans="20:20" s="566" customFormat="1">
      <c r="T34964" s="41"/>
    </row>
    <row r="34965" spans="20:20" s="566" customFormat="1">
      <c r="T34965" s="41"/>
    </row>
    <row r="34966" spans="20:20" s="566" customFormat="1">
      <c r="T34966" s="41"/>
    </row>
    <row r="34967" spans="20:20" s="566" customFormat="1">
      <c r="T34967" s="41"/>
    </row>
    <row r="34968" spans="20:20" s="566" customFormat="1">
      <c r="T34968" s="41"/>
    </row>
    <row r="34969" spans="20:20" s="566" customFormat="1">
      <c r="T34969" s="41"/>
    </row>
    <row r="34970" spans="20:20" s="566" customFormat="1">
      <c r="T34970" s="41"/>
    </row>
    <row r="34971" spans="20:20" s="566" customFormat="1">
      <c r="T34971" s="41"/>
    </row>
    <row r="34972" spans="20:20" s="566" customFormat="1">
      <c r="T34972" s="41"/>
    </row>
    <row r="34973" spans="20:20" s="566" customFormat="1">
      <c r="T34973" s="41"/>
    </row>
    <row r="34974" spans="20:20" s="566" customFormat="1">
      <c r="T34974" s="41"/>
    </row>
    <row r="34975" spans="20:20" s="566" customFormat="1">
      <c r="T34975" s="41"/>
    </row>
    <row r="34976" spans="20:20" s="566" customFormat="1">
      <c r="T34976" s="41"/>
    </row>
    <row r="34977" spans="20:20" s="566" customFormat="1">
      <c r="T34977" s="41"/>
    </row>
    <row r="34978" spans="20:20" s="566" customFormat="1">
      <c r="T34978" s="41"/>
    </row>
    <row r="34979" spans="20:20" s="566" customFormat="1">
      <c r="T34979" s="41"/>
    </row>
    <row r="34980" spans="20:20" s="566" customFormat="1">
      <c r="T34980" s="41"/>
    </row>
    <row r="34981" spans="20:20" s="566" customFormat="1">
      <c r="T34981" s="41"/>
    </row>
    <row r="34982" spans="20:20" s="566" customFormat="1">
      <c r="T34982" s="41"/>
    </row>
    <row r="34983" spans="20:20" s="566" customFormat="1">
      <c r="T34983" s="41"/>
    </row>
    <row r="34984" spans="20:20" s="566" customFormat="1">
      <c r="T34984" s="41"/>
    </row>
    <row r="34985" spans="20:20" s="566" customFormat="1">
      <c r="T34985" s="41"/>
    </row>
    <row r="34986" spans="20:20" s="566" customFormat="1">
      <c r="T34986" s="41"/>
    </row>
    <row r="34987" spans="20:20" s="566" customFormat="1">
      <c r="T34987" s="41"/>
    </row>
    <row r="34988" spans="20:20" s="566" customFormat="1">
      <c r="T34988" s="41"/>
    </row>
    <row r="34989" spans="20:20" s="566" customFormat="1">
      <c r="T34989" s="41"/>
    </row>
    <row r="34990" spans="20:20" s="566" customFormat="1">
      <c r="T34990" s="41"/>
    </row>
    <row r="34991" spans="20:20" s="566" customFormat="1">
      <c r="T34991" s="41"/>
    </row>
    <row r="34992" spans="20:20" s="566" customFormat="1">
      <c r="T34992" s="41"/>
    </row>
    <row r="34993" spans="20:20" s="566" customFormat="1">
      <c r="T34993" s="41"/>
    </row>
    <row r="34994" spans="20:20" s="566" customFormat="1">
      <c r="T34994" s="41"/>
    </row>
    <row r="34995" spans="20:20" s="566" customFormat="1">
      <c r="T34995" s="41"/>
    </row>
    <row r="34996" spans="20:20" s="566" customFormat="1">
      <c r="T34996" s="41"/>
    </row>
    <row r="34997" spans="20:20" s="566" customFormat="1">
      <c r="T34997" s="41"/>
    </row>
    <row r="34998" spans="20:20" s="566" customFormat="1">
      <c r="T34998" s="41"/>
    </row>
    <row r="34999" spans="20:20" s="566" customFormat="1">
      <c r="T34999" s="41"/>
    </row>
    <row r="35000" spans="20:20" s="566" customFormat="1">
      <c r="T35000" s="41"/>
    </row>
    <row r="35001" spans="20:20" s="566" customFormat="1">
      <c r="T35001" s="41"/>
    </row>
    <row r="35002" spans="20:20" s="566" customFormat="1">
      <c r="T35002" s="41"/>
    </row>
    <row r="35003" spans="20:20" s="566" customFormat="1">
      <c r="T35003" s="41"/>
    </row>
    <row r="35004" spans="20:20" s="566" customFormat="1">
      <c r="T35004" s="41"/>
    </row>
    <row r="35005" spans="20:20" s="566" customFormat="1">
      <c r="T35005" s="41"/>
    </row>
    <row r="35006" spans="20:20" s="566" customFormat="1">
      <c r="T35006" s="41"/>
    </row>
    <row r="35007" spans="20:20" s="566" customFormat="1">
      <c r="T35007" s="41"/>
    </row>
    <row r="35008" spans="20:20" s="566" customFormat="1">
      <c r="T35008" s="41"/>
    </row>
    <row r="35009" spans="20:20" s="566" customFormat="1">
      <c r="T35009" s="41"/>
    </row>
    <row r="35010" spans="20:20" s="566" customFormat="1">
      <c r="T35010" s="41"/>
    </row>
    <row r="35011" spans="20:20" s="566" customFormat="1">
      <c r="T35011" s="41"/>
    </row>
    <row r="35012" spans="20:20" s="566" customFormat="1">
      <c r="T35012" s="41"/>
    </row>
    <row r="35013" spans="20:20" s="566" customFormat="1">
      <c r="T35013" s="41"/>
    </row>
    <row r="35014" spans="20:20" s="566" customFormat="1">
      <c r="T35014" s="41"/>
    </row>
    <row r="35015" spans="20:20" s="566" customFormat="1">
      <c r="T35015" s="41"/>
    </row>
    <row r="35016" spans="20:20" s="566" customFormat="1">
      <c r="T35016" s="41"/>
    </row>
    <row r="35017" spans="20:20" s="566" customFormat="1">
      <c r="T35017" s="41"/>
    </row>
    <row r="35018" spans="20:20" s="566" customFormat="1">
      <c r="T35018" s="41"/>
    </row>
    <row r="35019" spans="20:20" s="566" customFormat="1">
      <c r="T35019" s="41"/>
    </row>
    <row r="35020" spans="20:20" s="566" customFormat="1">
      <c r="T35020" s="41"/>
    </row>
    <row r="35021" spans="20:20" s="566" customFormat="1">
      <c r="T35021" s="41"/>
    </row>
    <row r="35022" spans="20:20" s="566" customFormat="1">
      <c r="T35022" s="41"/>
    </row>
    <row r="35023" spans="20:20" s="566" customFormat="1">
      <c r="T35023" s="41"/>
    </row>
    <row r="35024" spans="20:20" s="566" customFormat="1">
      <c r="T35024" s="41"/>
    </row>
    <row r="35025" spans="20:20" s="566" customFormat="1">
      <c r="T35025" s="41"/>
    </row>
    <row r="35026" spans="20:20" s="566" customFormat="1">
      <c r="T35026" s="41"/>
    </row>
    <row r="35027" spans="20:20" s="566" customFormat="1">
      <c r="T35027" s="41"/>
    </row>
    <row r="35028" spans="20:20" s="566" customFormat="1">
      <c r="T35028" s="41"/>
    </row>
    <row r="35029" spans="20:20" s="566" customFormat="1">
      <c r="T35029" s="41"/>
    </row>
    <row r="35030" spans="20:20" s="566" customFormat="1">
      <c r="T35030" s="41"/>
    </row>
    <row r="35031" spans="20:20" s="566" customFormat="1">
      <c r="T35031" s="41"/>
    </row>
    <row r="35032" spans="20:20" s="566" customFormat="1">
      <c r="T35032" s="41"/>
    </row>
    <row r="35033" spans="20:20" s="566" customFormat="1">
      <c r="T35033" s="41"/>
    </row>
    <row r="35034" spans="20:20" s="566" customFormat="1">
      <c r="T35034" s="41"/>
    </row>
    <row r="35035" spans="20:20" s="566" customFormat="1">
      <c r="T35035" s="41"/>
    </row>
    <row r="35036" spans="20:20" s="566" customFormat="1">
      <c r="T35036" s="41"/>
    </row>
    <row r="35037" spans="20:20" s="566" customFormat="1">
      <c r="T35037" s="41"/>
    </row>
    <row r="35038" spans="20:20" s="566" customFormat="1">
      <c r="T35038" s="41"/>
    </row>
    <row r="35039" spans="20:20" s="566" customFormat="1">
      <c r="T35039" s="41"/>
    </row>
    <row r="35040" spans="20:20" s="566" customFormat="1">
      <c r="T35040" s="41"/>
    </row>
    <row r="35041" spans="20:20" s="566" customFormat="1">
      <c r="T35041" s="41"/>
    </row>
    <row r="35042" spans="20:20" s="566" customFormat="1">
      <c r="T35042" s="41"/>
    </row>
    <row r="35043" spans="20:20" s="566" customFormat="1">
      <c r="T35043" s="41"/>
    </row>
    <row r="35044" spans="20:20" s="566" customFormat="1">
      <c r="T35044" s="41"/>
    </row>
    <row r="35045" spans="20:20" s="566" customFormat="1">
      <c r="T35045" s="41"/>
    </row>
    <row r="35046" spans="20:20" s="566" customFormat="1">
      <c r="T35046" s="41"/>
    </row>
    <row r="35047" spans="20:20" s="566" customFormat="1">
      <c r="T35047" s="41"/>
    </row>
    <row r="35048" spans="20:20" s="566" customFormat="1">
      <c r="T35048" s="41"/>
    </row>
    <row r="35049" spans="20:20" s="566" customFormat="1">
      <c r="T35049" s="41"/>
    </row>
    <row r="35050" spans="20:20" s="566" customFormat="1">
      <c r="T35050" s="41"/>
    </row>
    <row r="35051" spans="20:20" s="566" customFormat="1">
      <c r="T35051" s="41"/>
    </row>
    <row r="35052" spans="20:20" s="566" customFormat="1">
      <c r="T35052" s="41"/>
    </row>
    <row r="35053" spans="20:20" s="566" customFormat="1">
      <c r="T35053" s="41"/>
    </row>
    <row r="35054" spans="20:20" s="566" customFormat="1">
      <c r="T35054" s="41"/>
    </row>
    <row r="35055" spans="20:20" s="566" customFormat="1">
      <c r="T35055" s="41"/>
    </row>
    <row r="35056" spans="20:20" s="566" customFormat="1">
      <c r="T35056" s="41"/>
    </row>
    <row r="35057" spans="20:20" s="566" customFormat="1">
      <c r="T35057" s="41"/>
    </row>
    <row r="35058" spans="20:20" s="566" customFormat="1">
      <c r="T35058" s="41"/>
    </row>
    <row r="35059" spans="20:20" s="566" customFormat="1">
      <c r="T35059" s="41"/>
    </row>
    <row r="35060" spans="20:20" s="566" customFormat="1">
      <c r="T35060" s="41"/>
    </row>
    <row r="35061" spans="20:20" s="566" customFormat="1">
      <c r="T35061" s="41"/>
    </row>
    <row r="35062" spans="20:20" s="566" customFormat="1">
      <c r="T35062" s="41"/>
    </row>
    <row r="35063" spans="20:20" s="566" customFormat="1">
      <c r="T35063" s="41"/>
    </row>
    <row r="35064" spans="20:20" s="566" customFormat="1">
      <c r="T35064" s="41"/>
    </row>
    <row r="35065" spans="20:20" s="566" customFormat="1">
      <c r="T35065" s="41"/>
    </row>
    <row r="35066" spans="20:20" s="566" customFormat="1">
      <c r="T35066" s="41"/>
    </row>
    <row r="35067" spans="20:20" s="566" customFormat="1">
      <c r="T35067" s="41"/>
    </row>
    <row r="35068" spans="20:20" s="566" customFormat="1">
      <c r="T35068" s="41"/>
    </row>
    <row r="35069" spans="20:20" s="566" customFormat="1">
      <c r="T35069" s="41"/>
    </row>
    <row r="35070" spans="20:20" s="566" customFormat="1">
      <c r="T35070" s="41"/>
    </row>
    <row r="35071" spans="20:20" s="566" customFormat="1">
      <c r="T35071" s="41"/>
    </row>
    <row r="35072" spans="20:20" s="566" customFormat="1">
      <c r="T35072" s="41"/>
    </row>
    <row r="35073" spans="20:20" s="566" customFormat="1">
      <c r="T35073" s="41"/>
    </row>
    <row r="35074" spans="20:20" s="566" customFormat="1">
      <c r="T35074" s="41"/>
    </row>
    <row r="35075" spans="20:20" s="566" customFormat="1">
      <c r="T35075" s="41"/>
    </row>
    <row r="35076" spans="20:20" s="566" customFormat="1">
      <c r="T35076" s="41"/>
    </row>
    <row r="35077" spans="20:20" s="566" customFormat="1">
      <c r="T35077" s="41"/>
    </row>
    <row r="35078" spans="20:20" s="566" customFormat="1">
      <c r="T35078" s="41"/>
    </row>
    <row r="35079" spans="20:20" s="566" customFormat="1">
      <c r="T35079" s="41"/>
    </row>
    <row r="35080" spans="20:20" s="566" customFormat="1">
      <c r="T35080" s="41"/>
    </row>
    <row r="35081" spans="20:20" s="566" customFormat="1">
      <c r="T35081" s="41"/>
    </row>
    <row r="35082" spans="20:20" s="566" customFormat="1">
      <c r="T35082" s="41"/>
    </row>
    <row r="35083" spans="20:20" s="566" customFormat="1">
      <c r="T35083" s="41"/>
    </row>
    <row r="35084" spans="20:20" s="566" customFormat="1">
      <c r="T35084" s="41"/>
    </row>
    <row r="35085" spans="20:20" s="566" customFormat="1">
      <c r="T35085" s="41"/>
    </row>
    <row r="35086" spans="20:20" s="566" customFormat="1">
      <c r="T35086" s="41"/>
    </row>
    <row r="35087" spans="20:20" s="566" customFormat="1">
      <c r="T35087" s="41"/>
    </row>
    <row r="35088" spans="20:20" s="566" customFormat="1">
      <c r="T35088" s="41"/>
    </row>
    <row r="35089" spans="20:20" s="566" customFormat="1">
      <c r="T35089" s="41"/>
    </row>
    <row r="35090" spans="20:20" s="566" customFormat="1">
      <c r="T35090" s="41"/>
    </row>
    <row r="35091" spans="20:20" s="566" customFormat="1">
      <c r="T35091" s="41"/>
    </row>
    <row r="35092" spans="20:20" s="566" customFormat="1">
      <c r="T35092" s="41"/>
    </row>
    <row r="35093" spans="20:20" s="566" customFormat="1">
      <c r="T35093" s="41"/>
    </row>
    <row r="35094" spans="20:20" s="566" customFormat="1">
      <c r="T35094" s="41"/>
    </row>
    <row r="35095" spans="20:20" s="566" customFormat="1">
      <c r="T35095" s="41"/>
    </row>
    <row r="35096" spans="20:20" s="566" customFormat="1">
      <c r="T35096" s="41"/>
    </row>
    <row r="35097" spans="20:20" s="566" customFormat="1">
      <c r="T35097" s="41"/>
    </row>
    <row r="35098" spans="20:20" s="566" customFormat="1">
      <c r="T35098" s="41"/>
    </row>
    <row r="35099" spans="20:20" s="566" customFormat="1">
      <c r="T35099" s="41"/>
    </row>
    <row r="35100" spans="20:20" s="566" customFormat="1">
      <c r="T35100" s="41"/>
    </row>
    <row r="35101" spans="20:20" s="566" customFormat="1">
      <c r="T35101" s="41"/>
    </row>
    <row r="35102" spans="20:20" s="566" customFormat="1">
      <c r="T35102" s="41"/>
    </row>
    <row r="35103" spans="20:20" s="566" customFormat="1">
      <c r="T35103" s="41"/>
    </row>
    <row r="35104" spans="20:20" s="566" customFormat="1">
      <c r="T35104" s="41"/>
    </row>
    <row r="35105" spans="20:20" s="566" customFormat="1">
      <c r="T35105" s="41"/>
    </row>
    <row r="35106" spans="20:20" s="566" customFormat="1">
      <c r="T35106" s="41"/>
    </row>
    <row r="35107" spans="20:20" s="566" customFormat="1">
      <c r="T35107" s="41"/>
    </row>
    <row r="35108" spans="20:20" s="566" customFormat="1">
      <c r="T35108" s="41"/>
    </row>
    <row r="35109" spans="20:20" s="566" customFormat="1">
      <c r="T35109" s="41"/>
    </row>
    <row r="35110" spans="20:20" s="566" customFormat="1">
      <c r="T35110" s="41"/>
    </row>
    <row r="35111" spans="20:20" s="566" customFormat="1">
      <c r="T35111" s="41"/>
    </row>
    <row r="35112" spans="20:20" s="566" customFormat="1">
      <c r="T35112" s="41"/>
    </row>
    <row r="35113" spans="20:20" s="566" customFormat="1">
      <c r="T35113" s="41"/>
    </row>
    <row r="35114" spans="20:20" s="566" customFormat="1">
      <c r="T35114" s="41"/>
    </row>
    <row r="35115" spans="20:20" s="566" customFormat="1">
      <c r="T35115" s="41"/>
    </row>
    <row r="35116" spans="20:20" s="566" customFormat="1">
      <c r="T35116" s="41"/>
    </row>
    <row r="35117" spans="20:20" s="566" customFormat="1">
      <c r="T35117" s="41"/>
    </row>
    <row r="35118" spans="20:20" s="566" customFormat="1">
      <c r="T35118" s="41"/>
    </row>
    <row r="35119" spans="20:20" s="566" customFormat="1">
      <c r="T35119" s="41"/>
    </row>
    <row r="35120" spans="20:20" s="566" customFormat="1">
      <c r="T35120" s="41"/>
    </row>
    <row r="35121" spans="20:20" s="566" customFormat="1">
      <c r="T35121" s="41"/>
    </row>
    <row r="35122" spans="20:20" s="566" customFormat="1">
      <c r="T35122" s="41"/>
    </row>
    <row r="35123" spans="20:20" s="566" customFormat="1">
      <c r="T35123" s="41"/>
    </row>
    <row r="35124" spans="20:20" s="566" customFormat="1">
      <c r="T35124" s="41"/>
    </row>
    <row r="35125" spans="20:20" s="566" customFormat="1">
      <c r="T35125" s="41"/>
    </row>
    <row r="35126" spans="20:20" s="566" customFormat="1">
      <c r="T35126" s="41"/>
    </row>
    <row r="35127" spans="20:20" s="566" customFormat="1">
      <c r="T35127" s="41"/>
    </row>
    <row r="35128" spans="20:20" s="566" customFormat="1">
      <c r="T35128" s="41"/>
    </row>
    <row r="35129" spans="20:20" s="566" customFormat="1">
      <c r="T35129" s="41"/>
    </row>
    <row r="35130" spans="20:20" s="566" customFormat="1">
      <c r="T35130" s="41"/>
    </row>
    <row r="35131" spans="20:20" s="566" customFormat="1">
      <c r="T35131" s="41"/>
    </row>
    <row r="35132" spans="20:20" s="566" customFormat="1">
      <c r="T35132" s="41"/>
    </row>
    <row r="35133" spans="20:20" s="566" customFormat="1">
      <c r="T35133" s="41"/>
    </row>
    <row r="35134" spans="20:20" s="566" customFormat="1">
      <c r="T35134" s="41"/>
    </row>
    <row r="35135" spans="20:20" s="566" customFormat="1">
      <c r="T35135" s="41"/>
    </row>
    <row r="35136" spans="20:20" s="566" customFormat="1">
      <c r="T35136" s="41"/>
    </row>
    <row r="35137" spans="20:20" s="566" customFormat="1">
      <c r="T35137" s="41"/>
    </row>
    <row r="35138" spans="20:20" s="566" customFormat="1">
      <c r="T35138" s="41"/>
    </row>
    <row r="35139" spans="20:20" s="566" customFormat="1">
      <c r="T35139" s="41"/>
    </row>
    <row r="35140" spans="20:20" s="566" customFormat="1">
      <c r="T35140" s="41"/>
    </row>
    <row r="35141" spans="20:20" s="566" customFormat="1">
      <c r="T35141" s="41"/>
    </row>
    <row r="35142" spans="20:20" s="566" customFormat="1">
      <c r="T35142" s="41"/>
    </row>
    <row r="35143" spans="20:20" s="566" customFormat="1">
      <c r="T35143" s="41"/>
    </row>
    <row r="35144" spans="20:20" s="566" customFormat="1">
      <c r="T35144" s="41"/>
    </row>
    <row r="35145" spans="20:20" s="566" customFormat="1">
      <c r="T35145" s="41"/>
    </row>
    <row r="35146" spans="20:20" s="566" customFormat="1">
      <c r="T35146" s="41"/>
    </row>
    <row r="35147" spans="20:20" s="566" customFormat="1">
      <c r="T35147" s="41"/>
    </row>
    <row r="35148" spans="20:20" s="566" customFormat="1">
      <c r="T35148" s="41"/>
    </row>
    <row r="35149" spans="20:20" s="566" customFormat="1">
      <c r="T35149" s="41"/>
    </row>
    <row r="35150" spans="20:20" s="566" customFormat="1">
      <c r="T35150" s="41"/>
    </row>
    <row r="35151" spans="20:20" s="566" customFormat="1">
      <c r="T35151" s="41"/>
    </row>
    <row r="35152" spans="20:20" s="566" customFormat="1">
      <c r="T35152" s="41"/>
    </row>
    <row r="35153" spans="20:20" s="566" customFormat="1">
      <c r="T35153" s="41"/>
    </row>
    <row r="35154" spans="20:20" s="566" customFormat="1">
      <c r="T35154" s="41"/>
    </row>
    <row r="35155" spans="20:20" s="566" customFormat="1">
      <c r="T35155" s="41"/>
    </row>
    <row r="35156" spans="20:20" s="566" customFormat="1">
      <c r="T35156" s="41"/>
    </row>
    <row r="35157" spans="20:20" s="566" customFormat="1">
      <c r="T35157" s="41"/>
    </row>
    <row r="35158" spans="20:20" s="566" customFormat="1">
      <c r="T35158" s="41"/>
    </row>
    <row r="35159" spans="20:20" s="566" customFormat="1">
      <c r="T35159" s="41"/>
    </row>
    <row r="35160" spans="20:20" s="566" customFormat="1">
      <c r="T35160" s="41"/>
    </row>
    <row r="35161" spans="20:20" s="566" customFormat="1">
      <c r="T35161" s="41"/>
    </row>
    <row r="35162" spans="20:20" s="566" customFormat="1">
      <c r="T35162" s="41"/>
    </row>
    <row r="35163" spans="20:20" s="566" customFormat="1">
      <c r="T35163" s="41"/>
    </row>
    <row r="35164" spans="20:20" s="566" customFormat="1">
      <c r="T35164" s="41"/>
    </row>
    <row r="35165" spans="20:20" s="566" customFormat="1">
      <c r="T35165" s="41"/>
    </row>
    <row r="35166" spans="20:20" s="566" customFormat="1">
      <c r="T35166" s="41"/>
    </row>
    <row r="35167" spans="20:20" s="566" customFormat="1">
      <c r="T35167" s="41"/>
    </row>
    <row r="35168" spans="20:20" s="566" customFormat="1">
      <c r="T35168" s="41"/>
    </row>
    <row r="35169" spans="20:20" s="566" customFormat="1">
      <c r="T35169" s="41"/>
    </row>
    <row r="35170" spans="20:20" s="566" customFormat="1">
      <c r="T35170" s="41"/>
    </row>
    <row r="35171" spans="20:20" s="566" customFormat="1">
      <c r="T35171" s="41"/>
    </row>
    <row r="35172" spans="20:20" s="566" customFormat="1">
      <c r="T35172" s="41"/>
    </row>
    <row r="35173" spans="20:20" s="566" customFormat="1">
      <c r="T35173" s="41"/>
    </row>
    <row r="35174" spans="20:20" s="566" customFormat="1">
      <c r="T35174" s="41"/>
    </row>
    <row r="35175" spans="20:20" s="566" customFormat="1">
      <c r="T35175" s="41"/>
    </row>
    <row r="35176" spans="20:20" s="566" customFormat="1">
      <c r="T35176" s="41"/>
    </row>
    <row r="35177" spans="20:20" s="566" customFormat="1">
      <c r="T35177" s="41"/>
    </row>
    <row r="35178" spans="20:20" s="566" customFormat="1">
      <c r="T35178" s="41"/>
    </row>
    <row r="35179" spans="20:20" s="566" customFormat="1">
      <c r="T35179" s="41"/>
    </row>
    <row r="35180" spans="20:20" s="566" customFormat="1">
      <c r="T35180" s="41"/>
    </row>
    <row r="35181" spans="20:20" s="566" customFormat="1">
      <c r="T35181" s="41"/>
    </row>
    <row r="35182" spans="20:20" s="566" customFormat="1">
      <c r="T35182" s="41"/>
    </row>
    <row r="35183" spans="20:20" s="566" customFormat="1">
      <c r="T35183" s="41"/>
    </row>
    <row r="35184" spans="20:20" s="566" customFormat="1">
      <c r="T35184" s="41"/>
    </row>
    <row r="35185" spans="20:20" s="566" customFormat="1">
      <c r="T35185" s="41"/>
    </row>
    <row r="35186" spans="20:20" s="566" customFormat="1">
      <c r="T35186" s="41"/>
    </row>
    <row r="35187" spans="20:20" s="566" customFormat="1">
      <c r="T35187" s="41"/>
    </row>
    <row r="35188" spans="20:20" s="566" customFormat="1">
      <c r="T35188" s="41"/>
    </row>
    <row r="35189" spans="20:20" s="566" customFormat="1">
      <c r="T35189" s="41"/>
    </row>
    <row r="35190" spans="20:20" s="566" customFormat="1">
      <c r="T35190" s="41"/>
    </row>
    <row r="35191" spans="20:20" s="566" customFormat="1">
      <c r="T35191" s="41"/>
    </row>
    <row r="35192" spans="20:20" s="566" customFormat="1">
      <c r="T35192" s="41"/>
    </row>
    <row r="35193" spans="20:20" s="566" customFormat="1">
      <c r="T35193" s="41"/>
    </row>
    <row r="35194" spans="20:20" s="566" customFormat="1">
      <c r="T35194" s="41"/>
    </row>
    <row r="35195" spans="20:20" s="566" customFormat="1">
      <c r="T35195" s="41"/>
    </row>
    <row r="35196" spans="20:20" s="566" customFormat="1">
      <c r="T35196" s="41"/>
    </row>
    <row r="35197" spans="20:20" s="566" customFormat="1">
      <c r="T35197" s="41"/>
    </row>
    <row r="35198" spans="20:20" s="566" customFormat="1">
      <c r="T35198" s="41"/>
    </row>
    <row r="35199" spans="20:20" s="566" customFormat="1">
      <c r="T35199" s="41"/>
    </row>
    <row r="35200" spans="20:20" s="566" customFormat="1">
      <c r="T35200" s="41"/>
    </row>
    <row r="35201" spans="20:20" s="566" customFormat="1">
      <c r="T35201" s="41"/>
    </row>
    <row r="35202" spans="20:20" s="566" customFormat="1">
      <c r="T35202" s="41"/>
    </row>
    <row r="35203" spans="20:20" s="566" customFormat="1">
      <c r="T35203" s="41"/>
    </row>
    <row r="35204" spans="20:20" s="566" customFormat="1">
      <c r="T35204" s="41"/>
    </row>
    <row r="35205" spans="20:20" s="566" customFormat="1">
      <c r="T35205" s="41"/>
    </row>
    <row r="35206" spans="20:20" s="566" customFormat="1">
      <c r="T35206" s="41"/>
    </row>
    <row r="35207" spans="20:20" s="566" customFormat="1">
      <c r="T35207" s="41"/>
    </row>
    <row r="35208" spans="20:20" s="566" customFormat="1">
      <c r="T35208" s="41"/>
    </row>
    <row r="35209" spans="20:20" s="566" customFormat="1">
      <c r="T35209" s="41"/>
    </row>
    <row r="35210" spans="20:20" s="566" customFormat="1">
      <c r="T35210" s="41"/>
    </row>
    <row r="35211" spans="20:20" s="566" customFormat="1">
      <c r="T35211" s="41"/>
    </row>
    <row r="35212" spans="20:20" s="566" customFormat="1">
      <c r="T35212" s="41"/>
    </row>
    <row r="35213" spans="20:20" s="566" customFormat="1">
      <c r="T35213" s="41"/>
    </row>
    <row r="35214" spans="20:20" s="566" customFormat="1">
      <c r="T35214" s="41"/>
    </row>
    <row r="35215" spans="20:20" s="566" customFormat="1">
      <c r="T35215" s="41"/>
    </row>
    <row r="35216" spans="20:20" s="566" customFormat="1">
      <c r="T35216" s="41"/>
    </row>
    <row r="35217" spans="20:20" s="566" customFormat="1">
      <c r="T35217" s="41"/>
    </row>
    <row r="35218" spans="20:20" s="566" customFormat="1">
      <c r="T35218" s="41"/>
    </row>
    <row r="35219" spans="20:20" s="566" customFormat="1">
      <c r="T35219" s="41"/>
    </row>
    <row r="35220" spans="20:20" s="566" customFormat="1">
      <c r="T35220" s="41"/>
    </row>
    <row r="35221" spans="20:20" s="566" customFormat="1">
      <c r="T35221" s="41"/>
    </row>
    <row r="35222" spans="20:20" s="566" customFormat="1">
      <c r="T35222" s="41"/>
    </row>
    <row r="35223" spans="20:20" s="566" customFormat="1">
      <c r="T35223" s="41"/>
    </row>
    <row r="35224" spans="20:20" s="566" customFormat="1">
      <c r="T35224" s="41"/>
    </row>
    <row r="35225" spans="20:20" s="566" customFormat="1">
      <c r="T35225" s="41"/>
    </row>
    <row r="35226" spans="20:20" s="566" customFormat="1">
      <c r="T35226" s="41"/>
    </row>
    <row r="35227" spans="20:20" s="566" customFormat="1">
      <c r="T35227" s="41"/>
    </row>
    <row r="35228" spans="20:20" s="566" customFormat="1">
      <c r="T35228" s="41"/>
    </row>
    <row r="35229" spans="20:20" s="566" customFormat="1">
      <c r="T35229" s="41"/>
    </row>
    <row r="35230" spans="20:20" s="566" customFormat="1">
      <c r="T35230" s="41"/>
    </row>
    <row r="35231" spans="20:20" s="566" customFormat="1">
      <c r="T35231" s="41"/>
    </row>
    <row r="35232" spans="20:20" s="566" customFormat="1">
      <c r="T35232" s="41"/>
    </row>
    <row r="35233" spans="20:20" s="566" customFormat="1">
      <c r="T35233" s="41"/>
    </row>
    <row r="35234" spans="20:20" s="566" customFormat="1">
      <c r="T35234" s="41"/>
    </row>
    <row r="35235" spans="20:20" s="566" customFormat="1">
      <c r="T35235" s="41"/>
    </row>
    <row r="35236" spans="20:20" s="566" customFormat="1">
      <c r="T35236" s="41"/>
    </row>
    <row r="35237" spans="20:20" s="566" customFormat="1">
      <c r="T35237" s="41"/>
    </row>
    <row r="35238" spans="20:20" s="566" customFormat="1">
      <c r="T35238" s="41"/>
    </row>
    <row r="35239" spans="20:20" s="566" customFormat="1">
      <c r="T35239" s="41"/>
    </row>
    <row r="35240" spans="20:20" s="566" customFormat="1">
      <c r="T35240" s="41"/>
    </row>
    <row r="35241" spans="20:20" s="566" customFormat="1">
      <c r="T35241" s="41"/>
    </row>
    <row r="35242" spans="20:20" s="566" customFormat="1">
      <c r="T35242" s="41"/>
    </row>
    <row r="35243" spans="20:20" s="566" customFormat="1">
      <c r="T35243" s="41"/>
    </row>
    <row r="35244" spans="20:20" s="566" customFormat="1">
      <c r="T35244" s="41"/>
    </row>
    <row r="35245" spans="20:20" s="566" customFormat="1">
      <c r="T35245" s="41"/>
    </row>
    <row r="35246" spans="20:20" s="566" customFormat="1">
      <c r="T35246" s="41"/>
    </row>
    <row r="35247" spans="20:20" s="566" customFormat="1">
      <c r="T35247" s="41"/>
    </row>
    <row r="35248" spans="20:20" s="566" customFormat="1">
      <c r="T35248" s="41"/>
    </row>
    <row r="35249" spans="20:20" s="566" customFormat="1">
      <c r="T35249" s="41"/>
    </row>
    <row r="35250" spans="20:20" s="566" customFormat="1">
      <c r="T35250" s="41"/>
    </row>
    <row r="35251" spans="20:20" s="566" customFormat="1">
      <c r="T35251" s="41"/>
    </row>
    <row r="35252" spans="20:20" s="566" customFormat="1">
      <c r="T35252" s="41"/>
    </row>
    <row r="35253" spans="20:20" s="566" customFormat="1">
      <c r="T35253" s="41"/>
    </row>
    <row r="35254" spans="20:20" s="566" customFormat="1">
      <c r="T35254" s="41"/>
    </row>
    <row r="35255" spans="20:20" s="566" customFormat="1">
      <c r="T35255" s="41"/>
    </row>
    <row r="35256" spans="20:20" s="566" customFormat="1">
      <c r="T35256" s="41"/>
    </row>
    <row r="35257" spans="20:20" s="566" customFormat="1">
      <c r="T35257" s="41"/>
    </row>
    <row r="35258" spans="20:20" s="566" customFormat="1">
      <c r="T35258" s="41"/>
    </row>
    <row r="35259" spans="20:20" s="566" customFormat="1">
      <c r="T35259" s="41"/>
    </row>
    <row r="35260" spans="20:20" s="566" customFormat="1">
      <c r="T35260" s="41"/>
    </row>
    <row r="35261" spans="20:20" s="566" customFormat="1">
      <c r="T35261" s="41"/>
    </row>
    <row r="35262" spans="20:20" s="566" customFormat="1">
      <c r="T35262" s="41"/>
    </row>
    <row r="35263" spans="20:20" s="566" customFormat="1">
      <c r="T35263" s="41"/>
    </row>
    <row r="35264" spans="20:20" s="566" customFormat="1">
      <c r="T35264" s="41"/>
    </row>
    <row r="35265" spans="20:20" s="566" customFormat="1">
      <c r="T35265" s="41"/>
    </row>
    <row r="35266" spans="20:20" s="566" customFormat="1">
      <c r="T35266" s="41"/>
    </row>
    <row r="35267" spans="20:20" s="566" customFormat="1">
      <c r="T35267" s="41"/>
    </row>
    <row r="35268" spans="20:20" s="566" customFormat="1">
      <c r="T35268" s="41"/>
    </row>
    <row r="35269" spans="20:20" s="566" customFormat="1">
      <c r="T35269" s="41"/>
    </row>
    <row r="35270" spans="20:20" s="566" customFormat="1">
      <c r="T35270" s="41"/>
    </row>
    <row r="35271" spans="20:20" s="566" customFormat="1">
      <c r="T35271" s="41"/>
    </row>
    <row r="35272" spans="20:20" s="566" customFormat="1">
      <c r="T35272" s="41"/>
    </row>
    <row r="35273" spans="20:20" s="566" customFormat="1">
      <c r="T35273" s="41"/>
    </row>
    <row r="35274" spans="20:20" s="566" customFormat="1">
      <c r="T35274" s="41"/>
    </row>
    <row r="35275" spans="20:20" s="566" customFormat="1">
      <c r="T35275" s="41"/>
    </row>
    <row r="35276" spans="20:20" s="566" customFormat="1">
      <c r="T35276" s="41"/>
    </row>
    <row r="35277" spans="20:20" s="566" customFormat="1">
      <c r="T35277" s="41"/>
    </row>
    <row r="35278" spans="20:20" s="566" customFormat="1">
      <c r="T35278" s="41"/>
    </row>
    <row r="35279" spans="20:20" s="566" customFormat="1">
      <c r="T35279" s="41"/>
    </row>
    <row r="35280" spans="20:20" s="566" customFormat="1">
      <c r="T35280" s="41"/>
    </row>
    <row r="35281" spans="20:20" s="566" customFormat="1">
      <c r="T35281" s="41"/>
    </row>
    <row r="35282" spans="20:20" s="566" customFormat="1">
      <c r="T35282" s="41"/>
    </row>
    <row r="35283" spans="20:20" s="566" customFormat="1">
      <c r="T35283" s="41"/>
    </row>
    <row r="35284" spans="20:20" s="566" customFormat="1">
      <c r="T35284" s="41"/>
    </row>
    <row r="35285" spans="20:20" s="566" customFormat="1">
      <c r="T35285" s="41"/>
    </row>
    <row r="35286" spans="20:20" s="566" customFormat="1">
      <c r="T35286" s="41"/>
    </row>
    <row r="35287" spans="20:20" s="566" customFormat="1">
      <c r="T35287" s="41"/>
    </row>
    <row r="35288" spans="20:20" s="566" customFormat="1">
      <c r="T35288" s="41"/>
    </row>
    <row r="35289" spans="20:20" s="566" customFormat="1">
      <c r="T35289" s="41"/>
    </row>
    <row r="35290" spans="20:20" s="566" customFormat="1">
      <c r="T35290" s="41"/>
    </row>
    <row r="35291" spans="20:20" s="566" customFormat="1">
      <c r="T35291" s="41"/>
    </row>
    <row r="35292" spans="20:20" s="566" customFormat="1">
      <c r="T35292" s="41"/>
    </row>
    <row r="35293" spans="20:20" s="566" customFormat="1">
      <c r="T35293" s="41"/>
    </row>
    <row r="35294" spans="20:20" s="566" customFormat="1">
      <c r="T35294" s="41"/>
    </row>
    <row r="35295" spans="20:20" s="566" customFormat="1">
      <c r="T35295" s="41"/>
    </row>
    <row r="35296" spans="20:20" s="566" customFormat="1">
      <c r="T35296" s="41"/>
    </row>
    <row r="35297" spans="20:20" s="566" customFormat="1">
      <c r="T35297" s="41"/>
    </row>
    <row r="35298" spans="20:20" s="566" customFormat="1">
      <c r="T35298" s="41"/>
    </row>
    <row r="35299" spans="20:20" s="566" customFormat="1">
      <c r="T35299" s="41"/>
    </row>
    <row r="35300" spans="20:20" s="566" customFormat="1">
      <c r="T35300" s="41"/>
    </row>
    <row r="35301" spans="20:20" s="566" customFormat="1">
      <c r="T35301" s="41"/>
    </row>
    <row r="35302" spans="20:20" s="566" customFormat="1">
      <c r="T35302" s="41"/>
    </row>
    <row r="35303" spans="20:20" s="566" customFormat="1">
      <c r="T35303" s="41"/>
    </row>
    <row r="35304" spans="20:20" s="566" customFormat="1">
      <c r="T35304" s="41"/>
    </row>
    <row r="35305" spans="20:20" s="566" customFormat="1">
      <c r="T35305" s="41"/>
    </row>
    <row r="35306" spans="20:20" s="566" customFormat="1">
      <c r="T35306" s="41"/>
    </row>
    <row r="35307" spans="20:20" s="566" customFormat="1">
      <c r="T35307" s="41"/>
    </row>
    <row r="35308" spans="20:20" s="566" customFormat="1">
      <c r="T35308" s="41"/>
    </row>
    <row r="35309" spans="20:20" s="566" customFormat="1">
      <c r="T35309" s="41"/>
    </row>
    <row r="35310" spans="20:20" s="566" customFormat="1">
      <c r="T35310" s="41"/>
    </row>
    <row r="35311" spans="20:20" s="566" customFormat="1">
      <c r="T35311" s="41"/>
    </row>
    <row r="35312" spans="20:20" s="566" customFormat="1">
      <c r="T35312" s="41"/>
    </row>
    <row r="35313" spans="20:20" s="566" customFormat="1">
      <c r="T35313" s="41"/>
    </row>
    <row r="35314" spans="20:20" s="566" customFormat="1">
      <c r="T35314" s="41"/>
    </row>
    <row r="35315" spans="20:20" s="566" customFormat="1">
      <c r="T35315" s="41"/>
    </row>
    <row r="35316" spans="20:20" s="566" customFormat="1">
      <c r="T35316" s="41"/>
    </row>
    <row r="35317" spans="20:20" s="566" customFormat="1">
      <c r="T35317" s="41"/>
    </row>
    <row r="35318" spans="20:20" s="566" customFormat="1">
      <c r="T35318" s="41"/>
    </row>
    <row r="35319" spans="20:20" s="566" customFormat="1">
      <c r="T35319" s="41"/>
    </row>
    <row r="35320" spans="20:20" s="566" customFormat="1">
      <c r="T35320" s="41"/>
    </row>
    <row r="35321" spans="20:20" s="566" customFormat="1">
      <c r="T35321" s="41"/>
    </row>
    <row r="35322" spans="20:20" s="566" customFormat="1">
      <c r="T35322" s="41"/>
    </row>
    <row r="35323" spans="20:20" s="566" customFormat="1">
      <c r="T35323" s="41"/>
    </row>
    <row r="35324" spans="20:20" s="566" customFormat="1">
      <c r="T35324" s="41"/>
    </row>
    <row r="35325" spans="20:20" s="566" customFormat="1">
      <c r="T35325" s="41"/>
    </row>
    <row r="35326" spans="20:20" s="566" customFormat="1">
      <c r="T35326" s="41"/>
    </row>
    <row r="35327" spans="20:20" s="566" customFormat="1">
      <c r="T35327" s="41"/>
    </row>
    <row r="35328" spans="20:20" s="566" customFormat="1">
      <c r="T35328" s="41"/>
    </row>
    <row r="35329" spans="20:20" s="566" customFormat="1">
      <c r="T35329" s="41"/>
    </row>
    <row r="35330" spans="20:20" s="566" customFormat="1">
      <c r="T35330" s="41"/>
    </row>
    <row r="35331" spans="20:20" s="566" customFormat="1">
      <c r="T35331" s="41"/>
    </row>
    <row r="35332" spans="20:20" s="566" customFormat="1">
      <c r="T35332" s="41"/>
    </row>
    <row r="35333" spans="20:20" s="566" customFormat="1">
      <c r="T35333" s="41"/>
    </row>
    <row r="35334" spans="20:20" s="566" customFormat="1">
      <c r="T35334" s="41"/>
    </row>
    <row r="35335" spans="20:20" s="566" customFormat="1">
      <c r="T35335" s="41"/>
    </row>
    <row r="35336" spans="20:20" s="566" customFormat="1">
      <c r="T35336" s="41"/>
    </row>
    <row r="35337" spans="20:20" s="566" customFormat="1">
      <c r="T35337" s="41"/>
    </row>
    <row r="35338" spans="20:20" s="566" customFormat="1">
      <c r="T35338" s="41"/>
    </row>
    <row r="35339" spans="20:20" s="566" customFormat="1">
      <c r="T35339" s="41"/>
    </row>
    <row r="35340" spans="20:20" s="566" customFormat="1">
      <c r="T35340" s="41"/>
    </row>
    <row r="35341" spans="20:20" s="566" customFormat="1">
      <c r="T35341" s="41"/>
    </row>
    <row r="35342" spans="20:20" s="566" customFormat="1">
      <c r="T35342" s="41"/>
    </row>
    <row r="35343" spans="20:20" s="566" customFormat="1">
      <c r="T35343" s="41"/>
    </row>
    <row r="35344" spans="20:20" s="566" customFormat="1">
      <c r="T35344" s="41"/>
    </row>
    <row r="35345" spans="20:20" s="566" customFormat="1">
      <c r="T35345" s="41"/>
    </row>
    <row r="35346" spans="20:20" s="566" customFormat="1">
      <c r="T35346" s="41"/>
    </row>
    <row r="35347" spans="20:20" s="566" customFormat="1">
      <c r="T35347" s="41"/>
    </row>
    <row r="35348" spans="20:20" s="566" customFormat="1">
      <c r="T35348" s="41"/>
    </row>
    <row r="35349" spans="20:20" s="566" customFormat="1">
      <c r="T35349" s="41"/>
    </row>
    <row r="35350" spans="20:20" s="566" customFormat="1">
      <c r="T35350" s="41"/>
    </row>
    <row r="35351" spans="20:20" s="566" customFormat="1">
      <c r="T35351" s="41"/>
    </row>
    <row r="35352" spans="20:20" s="566" customFormat="1">
      <c r="T35352" s="41"/>
    </row>
    <row r="35353" spans="20:20" s="566" customFormat="1">
      <c r="T35353" s="41"/>
    </row>
    <row r="35354" spans="20:20" s="566" customFormat="1">
      <c r="T35354" s="41"/>
    </row>
    <row r="35355" spans="20:20" s="566" customFormat="1">
      <c r="T35355" s="41"/>
    </row>
    <row r="35356" spans="20:20" s="566" customFormat="1">
      <c r="T35356" s="41"/>
    </row>
    <row r="35357" spans="20:20" s="566" customFormat="1">
      <c r="T35357" s="41"/>
    </row>
    <row r="35358" spans="20:20" s="566" customFormat="1">
      <c r="T35358" s="41"/>
    </row>
    <row r="35359" spans="20:20" s="566" customFormat="1">
      <c r="T35359" s="41"/>
    </row>
    <row r="35360" spans="20:20" s="566" customFormat="1">
      <c r="T35360" s="41"/>
    </row>
    <row r="35361" spans="20:20" s="566" customFormat="1">
      <c r="T35361" s="41"/>
    </row>
    <row r="35362" spans="20:20" s="566" customFormat="1">
      <c r="T35362" s="41"/>
    </row>
    <row r="35363" spans="20:20" s="566" customFormat="1">
      <c r="T35363" s="41"/>
    </row>
    <row r="35364" spans="20:20" s="566" customFormat="1">
      <c r="T35364" s="41"/>
    </row>
    <row r="35365" spans="20:20" s="566" customFormat="1">
      <c r="T35365" s="41"/>
    </row>
    <row r="35366" spans="20:20" s="566" customFormat="1">
      <c r="T35366" s="41"/>
    </row>
    <row r="35367" spans="20:20" s="566" customFormat="1">
      <c r="T35367" s="41"/>
    </row>
    <row r="35368" spans="20:20" s="566" customFormat="1">
      <c r="T35368" s="41"/>
    </row>
    <row r="35369" spans="20:20" s="566" customFormat="1">
      <c r="T35369" s="41"/>
    </row>
    <row r="35370" spans="20:20" s="566" customFormat="1">
      <c r="T35370" s="41"/>
    </row>
    <row r="35371" spans="20:20" s="566" customFormat="1">
      <c r="T35371" s="41"/>
    </row>
    <row r="35372" spans="20:20" s="566" customFormat="1">
      <c r="T35372" s="41"/>
    </row>
    <row r="35373" spans="20:20" s="566" customFormat="1">
      <c r="T35373" s="41"/>
    </row>
    <row r="35374" spans="20:20" s="566" customFormat="1">
      <c r="T35374" s="41"/>
    </row>
    <row r="35375" spans="20:20" s="566" customFormat="1">
      <c r="T35375" s="41"/>
    </row>
    <row r="35376" spans="20:20" s="566" customFormat="1">
      <c r="T35376" s="41"/>
    </row>
    <row r="35377" spans="20:20" s="566" customFormat="1">
      <c r="T35377" s="41"/>
    </row>
    <row r="35378" spans="20:20" s="566" customFormat="1">
      <c r="T35378" s="41"/>
    </row>
    <row r="35379" spans="20:20" s="566" customFormat="1">
      <c r="T35379" s="41"/>
    </row>
    <row r="35380" spans="20:20" s="566" customFormat="1">
      <c r="T35380" s="41"/>
    </row>
    <row r="35381" spans="20:20" s="566" customFormat="1">
      <c r="T35381" s="41"/>
    </row>
    <row r="35382" spans="20:20" s="566" customFormat="1">
      <c r="T35382" s="41"/>
    </row>
    <row r="35383" spans="20:20" s="566" customFormat="1">
      <c r="T35383" s="41"/>
    </row>
    <row r="35384" spans="20:20" s="566" customFormat="1">
      <c r="T35384" s="41"/>
    </row>
    <row r="35385" spans="20:20" s="566" customFormat="1">
      <c r="T35385" s="41"/>
    </row>
    <row r="35386" spans="20:20" s="566" customFormat="1">
      <c r="T35386" s="41"/>
    </row>
    <row r="35387" spans="20:20" s="566" customFormat="1">
      <c r="T35387" s="41"/>
    </row>
    <row r="35388" spans="20:20" s="566" customFormat="1">
      <c r="T35388" s="41"/>
    </row>
    <row r="35389" spans="20:20" s="566" customFormat="1">
      <c r="T35389" s="41"/>
    </row>
    <row r="35390" spans="20:20" s="566" customFormat="1">
      <c r="T35390" s="41"/>
    </row>
    <row r="35391" spans="20:20" s="566" customFormat="1">
      <c r="T35391" s="41"/>
    </row>
    <row r="35392" spans="20:20" s="566" customFormat="1">
      <c r="T35392" s="41"/>
    </row>
    <row r="35393" spans="20:20" s="566" customFormat="1">
      <c r="T35393" s="41"/>
    </row>
    <row r="35394" spans="20:20" s="566" customFormat="1">
      <c r="T35394" s="41"/>
    </row>
    <row r="35395" spans="20:20" s="566" customFormat="1">
      <c r="T35395" s="41"/>
    </row>
    <row r="35396" spans="20:20" s="566" customFormat="1">
      <c r="T35396" s="41"/>
    </row>
    <row r="35397" spans="20:20" s="566" customFormat="1">
      <c r="T35397" s="41"/>
    </row>
    <row r="35398" spans="20:20" s="566" customFormat="1">
      <c r="T35398" s="41"/>
    </row>
    <row r="35399" spans="20:20" s="566" customFormat="1">
      <c r="T35399" s="41"/>
    </row>
    <row r="35400" spans="20:20" s="566" customFormat="1">
      <c r="T35400" s="41"/>
    </row>
    <row r="35401" spans="20:20" s="566" customFormat="1">
      <c r="T35401" s="41"/>
    </row>
    <row r="35402" spans="20:20" s="566" customFormat="1">
      <c r="T35402" s="41"/>
    </row>
    <row r="35403" spans="20:20" s="566" customFormat="1">
      <c r="T35403" s="41"/>
    </row>
    <row r="35404" spans="20:20" s="566" customFormat="1">
      <c r="T35404" s="41"/>
    </row>
    <row r="35405" spans="20:20" s="566" customFormat="1">
      <c r="T35405" s="41"/>
    </row>
    <row r="35406" spans="20:20" s="566" customFormat="1">
      <c r="T35406" s="41"/>
    </row>
    <row r="35407" spans="20:20" s="566" customFormat="1">
      <c r="T35407" s="41"/>
    </row>
    <row r="35408" spans="20:20" s="566" customFormat="1">
      <c r="T35408" s="41"/>
    </row>
    <row r="35409" spans="20:20" s="566" customFormat="1">
      <c r="T35409" s="41"/>
    </row>
    <row r="35410" spans="20:20" s="566" customFormat="1">
      <c r="T35410" s="41"/>
    </row>
    <row r="35411" spans="20:20" s="566" customFormat="1">
      <c r="T35411" s="41"/>
    </row>
    <row r="35412" spans="20:20" s="566" customFormat="1">
      <c r="T35412" s="41"/>
    </row>
    <row r="35413" spans="20:20" s="566" customFormat="1">
      <c r="T35413" s="41"/>
    </row>
    <row r="35414" spans="20:20" s="566" customFormat="1">
      <c r="T35414" s="41"/>
    </row>
    <row r="35415" spans="20:20" s="566" customFormat="1">
      <c r="T35415" s="41"/>
    </row>
    <row r="35416" spans="20:20" s="566" customFormat="1">
      <c r="T35416" s="41"/>
    </row>
    <row r="35417" spans="20:20" s="566" customFormat="1">
      <c r="T35417" s="41"/>
    </row>
    <row r="35418" spans="20:20" s="566" customFormat="1">
      <c r="T35418" s="41"/>
    </row>
    <row r="35419" spans="20:20" s="566" customFormat="1">
      <c r="T35419" s="41"/>
    </row>
    <row r="35420" spans="20:20" s="566" customFormat="1">
      <c r="T35420" s="41"/>
    </row>
    <row r="35421" spans="20:20" s="566" customFormat="1">
      <c r="T35421" s="41"/>
    </row>
    <row r="35422" spans="20:20" s="566" customFormat="1">
      <c r="T35422" s="41"/>
    </row>
    <row r="35423" spans="20:20" s="566" customFormat="1">
      <c r="T35423" s="41"/>
    </row>
    <row r="35424" spans="20:20" s="566" customFormat="1">
      <c r="T35424" s="41"/>
    </row>
    <row r="35425" spans="20:20" s="566" customFormat="1">
      <c r="T35425" s="41"/>
    </row>
    <row r="35426" spans="20:20" s="566" customFormat="1">
      <c r="T35426" s="41"/>
    </row>
    <row r="35427" spans="20:20" s="566" customFormat="1">
      <c r="T35427" s="41"/>
    </row>
    <row r="35428" spans="20:20" s="566" customFormat="1">
      <c r="T35428" s="41"/>
    </row>
    <row r="35429" spans="20:20" s="566" customFormat="1">
      <c r="T35429" s="41"/>
    </row>
    <row r="35430" spans="20:20" s="566" customFormat="1">
      <c r="T35430" s="41"/>
    </row>
    <row r="35431" spans="20:20" s="566" customFormat="1">
      <c r="T35431" s="41"/>
    </row>
    <row r="35432" spans="20:20" s="566" customFormat="1">
      <c r="T35432" s="41"/>
    </row>
    <row r="35433" spans="20:20" s="566" customFormat="1">
      <c r="T35433" s="41"/>
    </row>
    <row r="35434" spans="20:20" s="566" customFormat="1">
      <c r="T35434" s="41"/>
    </row>
    <row r="35435" spans="20:20" s="566" customFormat="1">
      <c r="T35435" s="41"/>
    </row>
    <row r="35436" spans="20:20" s="566" customFormat="1">
      <c r="T35436" s="41"/>
    </row>
    <row r="35437" spans="20:20" s="566" customFormat="1">
      <c r="T35437" s="41"/>
    </row>
    <row r="35438" spans="20:20" s="566" customFormat="1">
      <c r="T35438" s="41"/>
    </row>
    <row r="35439" spans="20:20" s="566" customFormat="1">
      <c r="T35439" s="41"/>
    </row>
    <row r="35440" spans="20:20" s="566" customFormat="1">
      <c r="T35440" s="41"/>
    </row>
    <row r="35441" spans="20:20" s="566" customFormat="1">
      <c r="T35441" s="41"/>
    </row>
    <row r="35442" spans="20:20" s="566" customFormat="1">
      <c r="T35442" s="41"/>
    </row>
    <row r="35443" spans="20:20" s="566" customFormat="1">
      <c r="T35443" s="41"/>
    </row>
    <row r="35444" spans="20:20" s="566" customFormat="1">
      <c r="T35444" s="41"/>
    </row>
    <row r="35445" spans="20:20" s="566" customFormat="1">
      <c r="T35445" s="41"/>
    </row>
    <row r="35446" spans="20:20" s="566" customFormat="1">
      <c r="T35446" s="41"/>
    </row>
    <row r="35447" spans="20:20" s="566" customFormat="1">
      <c r="T35447" s="41"/>
    </row>
    <row r="35448" spans="20:20" s="566" customFormat="1">
      <c r="T35448" s="41"/>
    </row>
    <row r="35449" spans="20:20" s="566" customFormat="1">
      <c r="T35449" s="41"/>
    </row>
    <row r="35450" spans="20:20" s="566" customFormat="1">
      <c r="T35450" s="41"/>
    </row>
    <row r="35451" spans="20:20" s="566" customFormat="1">
      <c r="T35451" s="41"/>
    </row>
    <row r="35452" spans="20:20" s="566" customFormat="1">
      <c r="T35452" s="41"/>
    </row>
    <row r="35453" spans="20:20" s="566" customFormat="1">
      <c r="T35453" s="41"/>
    </row>
    <row r="35454" spans="20:20" s="566" customFormat="1">
      <c r="T35454" s="41"/>
    </row>
    <row r="35455" spans="20:20" s="566" customFormat="1">
      <c r="T35455" s="41"/>
    </row>
    <row r="35456" spans="20:20" s="566" customFormat="1">
      <c r="T35456" s="41"/>
    </row>
    <row r="35457" spans="20:20" s="566" customFormat="1">
      <c r="T35457" s="41"/>
    </row>
    <row r="35458" spans="20:20" s="566" customFormat="1">
      <c r="T35458" s="41"/>
    </row>
    <row r="35459" spans="20:20" s="566" customFormat="1">
      <c r="T35459" s="41"/>
    </row>
    <row r="35460" spans="20:20" s="566" customFormat="1">
      <c r="T35460" s="41"/>
    </row>
    <row r="35461" spans="20:20" s="566" customFormat="1">
      <c r="T35461" s="41"/>
    </row>
    <row r="35462" spans="20:20" s="566" customFormat="1">
      <c r="T35462" s="41"/>
    </row>
    <row r="35463" spans="20:20" s="566" customFormat="1">
      <c r="T35463" s="41"/>
    </row>
    <row r="35464" spans="20:20" s="566" customFormat="1">
      <c r="T35464" s="41"/>
    </row>
    <row r="35465" spans="20:20" s="566" customFormat="1">
      <c r="T35465" s="41"/>
    </row>
    <row r="35466" spans="20:20" s="566" customFormat="1">
      <c r="T35466" s="41"/>
    </row>
    <row r="35467" spans="20:20" s="566" customFormat="1">
      <c r="T35467" s="41"/>
    </row>
    <row r="35468" spans="20:20" s="566" customFormat="1">
      <c r="T35468" s="41"/>
    </row>
    <row r="35469" spans="20:20" s="566" customFormat="1">
      <c r="T35469" s="41"/>
    </row>
    <row r="35470" spans="20:20" s="566" customFormat="1">
      <c r="T35470" s="41"/>
    </row>
    <row r="35471" spans="20:20" s="566" customFormat="1">
      <c r="T35471" s="41"/>
    </row>
    <row r="35472" spans="20:20" s="566" customFormat="1">
      <c r="T35472" s="41"/>
    </row>
    <row r="35473" spans="20:20" s="566" customFormat="1">
      <c r="T35473" s="41"/>
    </row>
    <row r="35474" spans="20:20" s="566" customFormat="1">
      <c r="T35474" s="41"/>
    </row>
    <row r="35475" spans="20:20" s="566" customFormat="1">
      <c r="T35475" s="41"/>
    </row>
    <row r="35476" spans="20:20" s="566" customFormat="1">
      <c r="T35476" s="41"/>
    </row>
    <row r="35477" spans="20:20" s="566" customFormat="1">
      <c r="T35477" s="41"/>
    </row>
    <row r="35478" spans="20:20" s="566" customFormat="1">
      <c r="T35478" s="41"/>
    </row>
    <row r="35479" spans="20:20" s="566" customFormat="1">
      <c r="T35479" s="41"/>
    </row>
    <row r="35480" spans="20:20" s="566" customFormat="1">
      <c r="T35480" s="41"/>
    </row>
    <row r="35481" spans="20:20" s="566" customFormat="1">
      <c r="T35481" s="41"/>
    </row>
    <row r="35482" spans="20:20" s="566" customFormat="1">
      <c r="T35482" s="41"/>
    </row>
    <row r="35483" spans="20:20" s="566" customFormat="1">
      <c r="T35483" s="41"/>
    </row>
    <row r="35484" spans="20:20" s="566" customFormat="1">
      <c r="T35484" s="41"/>
    </row>
    <row r="35485" spans="20:20" s="566" customFormat="1">
      <c r="T35485" s="41"/>
    </row>
    <row r="35486" spans="20:20" s="566" customFormat="1">
      <c r="T35486" s="41"/>
    </row>
    <row r="35487" spans="20:20" s="566" customFormat="1">
      <c r="T35487" s="41"/>
    </row>
    <row r="35488" spans="20:20" s="566" customFormat="1">
      <c r="T35488" s="41"/>
    </row>
    <row r="35489" spans="20:20" s="566" customFormat="1">
      <c r="T35489" s="41"/>
    </row>
    <row r="35490" spans="20:20" s="566" customFormat="1">
      <c r="T35490" s="41"/>
    </row>
    <row r="35491" spans="20:20" s="566" customFormat="1">
      <c r="T35491" s="41"/>
    </row>
    <row r="35492" spans="20:20" s="566" customFormat="1">
      <c r="T35492" s="41"/>
    </row>
    <row r="35493" spans="20:20" s="566" customFormat="1">
      <c r="T35493" s="41"/>
    </row>
    <row r="35494" spans="20:20" s="566" customFormat="1">
      <c r="T35494" s="41"/>
    </row>
    <row r="35495" spans="20:20" s="566" customFormat="1">
      <c r="T35495" s="41"/>
    </row>
    <row r="35496" spans="20:20" s="566" customFormat="1">
      <c r="T35496" s="41"/>
    </row>
    <row r="35497" spans="20:20" s="566" customFormat="1">
      <c r="T35497" s="41"/>
    </row>
    <row r="35498" spans="20:20" s="566" customFormat="1">
      <c r="T35498" s="41"/>
    </row>
    <row r="35499" spans="20:20" s="566" customFormat="1">
      <c r="T35499" s="41"/>
    </row>
    <row r="35500" spans="20:20" s="566" customFormat="1">
      <c r="T35500" s="41"/>
    </row>
    <row r="35501" spans="20:20" s="566" customFormat="1">
      <c r="T35501" s="41"/>
    </row>
    <row r="35502" spans="20:20" s="566" customFormat="1">
      <c r="T35502" s="41"/>
    </row>
    <row r="35503" spans="20:20" s="566" customFormat="1">
      <c r="T35503" s="41"/>
    </row>
    <row r="35504" spans="20:20" s="566" customFormat="1">
      <c r="T35504" s="41"/>
    </row>
    <row r="35505" spans="20:20" s="566" customFormat="1">
      <c r="T35505" s="41"/>
    </row>
    <row r="35506" spans="20:20" s="566" customFormat="1">
      <c r="T35506" s="41"/>
    </row>
    <row r="35507" spans="20:20" s="566" customFormat="1">
      <c r="T35507" s="41"/>
    </row>
    <row r="35508" spans="20:20" s="566" customFormat="1">
      <c r="T35508" s="41"/>
    </row>
    <row r="35509" spans="20:20" s="566" customFormat="1">
      <c r="T35509" s="41"/>
    </row>
    <row r="35510" spans="20:20" s="566" customFormat="1">
      <c r="T35510" s="41"/>
    </row>
    <row r="35511" spans="20:20" s="566" customFormat="1">
      <c r="T35511" s="41"/>
    </row>
    <row r="35512" spans="20:20" s="566" customFormat="1">
      <c r="T35512" s="41"/>
    </row>
    <row r="35513" spans="20:20" s="566" customFormat="1">
      <c r="T35513" s="41"/>
    </row>
    <row r="35514" spans="20:20" s="566" customFormat="1">
      <c r="T35514" s="41"/>
    </row>
    <row r="35515" spans="20:20" s="566" customFormat="1">
      <c r="T35515" s="41"/>
    </row>
    <row r="35516" spans="20:20" s="566" customFormat="1">
      <c r="T35516" s="41"/>
    </row>
    <row r="35517" spans="20:20" s="566" customFormat="1">
      <c r="T35517" s="41"/>
    </row>
    <row r="35518" spans="20:20" s="566" customFormat="1">
      <c r="T35518" s="41"/>
    </row>
    <row r="35519" spans="20:20" s="566" customFormat="1">
      <c r="T35519" s="41"/>
    </row>
    <row r="35520" spans="20:20" s="566" customFormat="1">
      <c r="T35520" s="41"/>
    </row>
    <row r="35521" spans="20:20" s="566" customFormat="1">
      <c r="T35521" s="41"/>
    </row>
    <row r="35522" spans="20:20" s="566" customFormat="1">
      <c r="T35522" s="41"/>
    </row>
    <row r="35523" spans="20:20" s="566" customFormat="1">
      <c r="T35523" s="41"/>
    </row>
    <row r="35524" spans="20:20" s="566" customFormat="1">
      <c r="T35524" s="41"/>
    </row>
    <row r="35525" spans="20:20" s="566" customFormat="1">
      <c r="T35525" s="41"/>
    </row>
    <row r="35526" spans="20:20" s="566" customFormat="1">
      <c r="T35526" s="41"/>
    </row>
    <row r="35527" spans="20:20" s="566" customFormat="1">
      <c r="T35527" s="41"/>
    </row>
    <row r="35528" spans="20:20" s="566" customFormat="1">
      <c r="T35528" s="41"/>
    </row>
    <row r="35529" spans="20:20" s="566" customFormat="1">
      <c r="T35529" s="41"/>
    </row>
    <row r="35530" spans="20:20" s="566" customFormat="1">
      <c r="T35530" s="41"/>
    </row>
    <row r="35531" spans="20:20" s="566" customFormat="1">
      <c r="T35531" s="41"/>
    </row>
    <row r="35532" spans="20:20" s="566" customFormat="1">
      <c r="T35532" s="41"/>
    </row>
    <row r="35533" spans="20:20" s="566" customFormat="1">
      <c r="T35533" s="41"/>
    </row>
    <row r="35534" spans="20:20" s="566" customFormat="1">
      <c r="T35534" s="41"/>
    </row>
    <row r="35535" spans="20:20" s="566" customFormat="1">
      <c r="T35535" s="41"/>
    </row>
    <row r="35536" spans="20:20" s="566" customFormat="1">
      <c r="T35536" s="41"/>
    </row>
    <row r="35537" spans="20:20" s="566" customFormat="1">
      <c r="T35537" s="41"/>
    </row>
    <row r="35538" spans="20:20" s="566" customFormat="1">
      <c r="T35538" s="41"/>
    </row>
    <row r="35539" spans="20:20" s="566" customFormat="1">
      <c r="T35539" s="41"/>
    </row>
    <row r="35540" spans="20:20" s="566" customFormat="1">
      <c r="T35540" s="41"/>
    </row>
    <row r="35541" spans="20:20" s="566" customFormat="1">
      <c r="T35541" s="41"/>
    </row>
    <row r="35542" spans="20:20" s="566" customFormat="1">
      <c r="T35542" s="41"/>
    </row>
    <row r="35543" spans="20:20" s="566" customFormat="1">
      <c r="T35543" s="41"/>
    </row>
    <row r="35544" spans="20:20" s="566" customFormat="1">
      <c r="T35544" s="41"/>
    </row>
    <row r="35545" spans="20:20" s="566" customFormat="1">
      <c r="T35545" s="41"/>
    </row>
    <row r="35546" spans="20:20" s="566" customFormat="1">
      <c r="T35546" s="41"/>
    </row>
    <row r="35547" spans="20:20" s="566" customFormat="1">
      <c r="T35547" s="41"/>
    </row>
    <row r="35548" spans="20:20" s="566" customFormat="1">
      <c r="T35548" s="41"/>
    </row>
    <row r="35549" spans="20:20" s="566" customFormat="1">
      <c r="T35549" s="41"/>
    </row>
    <row r="35550" spans="20:20" s="566" customFormat="1">
      <c r="T35550" s="41"/>
    </row>
    <row r="35551" spans="20:20" s="566" customFormat="1">
      <c r="T35551" s="41"/>
    </row>
    <row r="35552" spans="20:20" s="566" customFormat="1">
      <c r="T35552" s="41"/>
    </row>
    <row r="35553" spans="20:20" s="566" customFormat="1">
      <c r="T35553" s="41"/>
    </row>
    <row r="35554" spans="20:20" s="566" customFormat="1">
      <c r="T35554" s="41"/>
    </row>
    <row r="35555" spans="20:20" s="566" customFormat="1">
      <c r="T35555" s="41"/>
    </row>
    <row r="35556" spans="20:20" s="566" customFormat="1">
      <c r="T35556" s="41"/>
    </row>
    <row r="35557" spans="20:20" s="566" customFormat="1">
      <c r="T35557" s="41"/>
    </row>
    <row r="35558" spans="20:20" s="566" customFormat="1">
      <c r="T35558" s="41"/>
    </row>
    <row r="35559" spans="20:20" s="566" customFormat="1">
      <c r="T35559" s="41"/>
    </row>
    <row r="35560" spans="20:20" s="566" customFormat="1">
      <c r="T35560" s="41"/>
    </row>
    <row r="35561" spans="20:20" s="566" customFormat="1">
      <c r="T35561" s="41"/>
    </row>
    <row r="35562" spans="20:20" s="566" customFormat="1">
      <c r="T35562" s="41"/>
    </row>
    <row r="35563" spans="20:20" s="566" customFormat="1">
      <c r="T35563" s="41"/>
    </row>
    <row r="35564" spans="20:20" s="566" customFormat="1">
      <c r="T35564" s="41"/>
    </row>
    <row r="35565" spans="20:20" s="566" customFormat="1">
      <c r="T35565" s="41"/>
    </row>
    <row r="35566" spans="20:20" s="566" customFormat="1">
      <c r="T35566" s="41"/>
    </row>
    <row r="35567" spans="20:20" s="566" customFormat="1">
      <c r="T35567" s="41"/>
    </row>
    <row r="35568" spans="20:20" s="566" customFormat="1">
      <c r="T35568" s="41"/>
    </row>
    <row r="35569" spans="20:20" s="566" customFormat="1">
      <c r="T35569" s="41"/>
    </row>
    <row r="35570" spans="20:20" s="566" customFormat="1">
      <c r="T35570" s="41"/>
    </row>
    <row r="35571" spans="20:20" s="566" customFormat="1">
      <c r="T35571" s="41"/>
    </row>
    <row r="35572" spans="20:20" s="566" customFormat="1">
      <c r="T35572" s="41"/>
    </row>
    <row r="35573" spans="20:20" s="566" customFormat="1">
      <c r="T35573" s="41"/>
    </row>
    <row r="35574" spans="20:20" s="566" customFormat="1">
      <c r="T35574" s="41"/>
    </row>
    <row r="35575" spans="20:20" s="566" customFormat="1">
      <c r="T35575" s="41"/>
    </row>
    <row r="35576" spans="20:20" s="566" customFormat="1">
      <c r="T35576" s="41"/>
    </row>
    <row r="35577" spans="20:20" s="566" customFormat="1">
      <c r="T35577" s="41"/>
    </row>
    <row r="35578" spans="20:20" s="566" customFormat="1">
      <c r="T35578" s="41"/>
    </row>
    <row r="35579" spans="20:20" s="566" customFormat="1">
      <c r="T35579" s="41"/>
    </row>
    <row r="35580" spans="20:20" s="566" customFormat="1">
      <c r="T35580" s="41"/>
    </row>
    <row r="35581" spans="20:20" s="566" customFormat="1">
      <c r="T35581" s="41"/>
    </row>
    <row r="35582" spans="20:20" s="566" customFormat="1">
      <c r="T35582" s="41"/>
    </row>
    <row r="35583" spans="20:20" s="566" customFormat="1">
      <c r="T35583" s="41"/>
    </row>
    <row r="35584" spans="20:20" s="566" customFormat="1">
      <c r="T35584" s="41"/>
    </row>
    <row r="35585" spans="20:20" s="566" customFormat="1">
      <c r="T35585" s="41"/>
    </row>
    <row r="35586" spans="20:20" s="566" customFormat="1">
      <c r="T35586" s="41"/>
    </row>
    <row r="35587" spans="20:20" s="566" customFormat="1">
      <c r="T35587" s="41"/>
    </row>
    <row r="35588" spans="20:20" s="566" customFormat="1">
      <c r="T35588" s="41"/>
    </row>
    <row r="35589" spans="20:20" s="566" customFormat="1">
      <c r="T35589" s="41"/>
    </row>
    <row r="35590" spans="20:20" s="566" customFormat="1">
      <c r="T35590" s="41"/>
    </row>
    <row r="35591" spans="20:20" s="566" customFormat="1">
      <c r="T35591" s="41"/>
    </row>
    <row r="35592" spans="20:20" s="566" customFormat="1">
      <c r="T35592" s="41"/>
    </row>
    <row r="35593" spans="20:20" s="566" customFormat="1">
      <c r="T35593" s="41"/>
    </row>
    <row r="35594" spans="20:20" s="566" customFormat="1">
      <c r="T35594" s="41"/>
    </row>
    <row r="35595" spans="20:20" s="566" customFormat="1">
      <c r="T35595" s="41"/>
    </row>
    <row r="35596" spans="20:20" s="566" customFormat="1">
      <c r="T35596" s="41"/>
    </row>
    <row r="35597" spans="20:20" s="566" customFormat="1">
      <c r="T35597" s="41"/>
    </row>
    <row r="35598" spans="20:20" s="566" customFormat="1">
      <c r="T35598" s="41"/>
    </row>
    <row r="35599" spans="20:20" s="566" customFormat="1">
      <c r="T35599" s="41"/>
    </row>
    <row r="35600" spans="20:20" s="566" customFormat="1">
      <c r="T35600" s="41"/>
    </row>
    <row r="35601" spans="20:20" s="566" customFormat="1">
      <c r="T35601" s="41"/>
    </row>
    <row r="35602" spans="20:20" s="566" customFormat="1">
      <c r="T35602" s="41"/>
    </row>
    <row r="35603" spans="20:20" s="566" customFormat="1">
      <c r="T35603" s="41"/>
    </row>
    <row r="35604" spans="20:20" s="566" customFormat="1">
      <c r="T35604" s="41"/>
    </row>
    <row r="35605" spans="20:20" s="566" customFormat="1">
      <c r="T35605" s="41"/>
    </row>
    <row r="35606" spans="20:20" s="566" customFormat="1">
      <c r="T35606" s="41"/>
    </row>
    <row r="35607" spans="20:20" s="566" customFormat="1">
      <c r="T35607" s="41"/>
    </row>
    <row r="35608" spans="20:20" s="566" customFormat="1">
      <c r="T35608" s="41"/>
    </row>
    <row r="35609" spans="20:20" s="566" customFormat="1">
      <c r="T35609" s="41"/>
    </row>
    <row r="35610" spans="20:20" s="566" customFormat="1">
      <c r="T35610" s="41"/>
    </row>
    <row r="35611" spans="20:20" s="566" customFormat="1">
      <c r="T35611" s="41"/>
    </row>
    <row r="35612" spans="20:20" s="566" customFormat="1">
      <c r="T35612" s="41"/>
    </row>
    <row r="35613" spans="20:20" s="566" customFormat="1">
      <c r="T35613" s="41"/>
    </row>
    <row r="35614" spans="20:20" s="566" customFormat="1">
      <c r="T35614" s="41"/>
    </row>
    <row r="35615" spans="20:20" s="566" customFormat="1">
      <c r="T35615" s="41"/>
    </row>
    <row r="35616" spans="20:20" s="566" customFormat="1">
      <c r="T35616" s="41"/>
    </row>
    <row r="35617" spans="20:20" s="566" customFormat="1">
      <c r="T35617" s="41"/>
    </row>
    <row r="35618" spans="20:20" s="566" customFormat="1">
      <c r="T35618" s="41"/>
    </row>
    <row r="35619" spans="20:20" s="566" customFormat="1">
      <c r="T35619" s="41"/>
    </row>
    <row r="35620" spans="20:20" s="566" customFormat="1">
      <c r="T35620" s="41"/>
    </row>
    <row r="35621" spans="20:20" s="566" customFormat="1">
      <c r="T35621" s="41"/>
    </row>
    <row r="35622" spans="20:20" s="566" customFormat="1">
      <c r="T35622" s="41"/>
    </row>
    <row r="35623" spans="20:20" s="566" customFormat="1">
      <c r="T35623" s="41"/>
    </row>
    <row r="35624" spans="20:20" s="566" customFormat="1">
      <c r="T35624" s="41"/>
    </row>
    <row r="35625" spans="20:20" s="566" customFormat="1">
      <c r="T35625" s="41"/>
    </row>
    <row r="35626" spans="20:20" s="566" customFormat="1">
      <c r="T35626" s="41"/>
    </row>
    <row r="35627" spans="20:20" s="566" customFormat="1">
      <c r="T35627" s="41"/>
    </row>
    <row r="35628" spans="20:20" s="566" customFormat="1">
      <c r="T35628" s="41"/>
    </row>
    <row r="35629" spans="20:20" s="566" customFormat="1">
      <c r="T35629" s="41"/>
    </row>
    <row r="35630" spans="20:20" s="566" customFormat="1">
      <c r="T35630" s="41"/>
    </row>
    <row r="35631" spans="20:20" s="566" customFormat="1">
      <c r="T35631" s="41"/>
    </row>
    <row r="35632" spans="20:20" s="566" customFormat="1">
      <c r="T35632" s="41"/>
    </row>
    <row r="35633" spans="20:20" s="566" customFormat="1">
      <c r="T35633" s="41"/>
    </row>
    <row r="35634" spans="20:20" s="566" customFormat="1">
      <c r="T35634" s="41"/>
    </row>
    <row r="35635" spans="20:20" s="566" customFormat="1">
      <c r="T35635" s="41"/>
    </row>
    <row r="35636" spans="20:20" s="566" customFormat="1">
      <c r="T35636" s="41"/>
    </row>
    <row r="35637" spans="20:20" s="566" customFormat="1">
      <c r="T35637" s="41"/>
    </row>
    <row r="35638" spans="20:20" s="566" customFormat="1">
      <c r="T35638" s="41"/>
    </row>
    <row r="35639" spans="20:20" s="566" customFormat="1">
      <c r="T35639" s="41"/>
    </row>
    <row r="35640" spans="20:20" s="566" customFormat="1">
      <c r="T35640" s="41"/>
    </row>
    <row r="35641" spans="20:20" s="566" customFormat="1">
      <c r="T35641" s="41"/>
    </row>
    <row r="35642" spans="20:20" s="566" customFormat="1">
      <c r="T35642" s="41"/>
    </row>
    <row r="35643" spans="20:20" s="566" customFormat="1">
      <c r="T35643" s="41"/>
    </row>
    <row r="35644" spans="20:20" s="566" customFormat="1">
      <c r="T35644" s="41"/>
    </row>
    <row r="35645" spans="20:20" s="566" customFormat="1">
      <c r="T35645" s="41"/>
    </row>
    <row r="35646" spans="20:20" s="566" customFormat="1">
      <c r="T35646" s="41"/>
    </row>
    <row r="35647" spans="20:20" s="566" customFormat="1">
      <c r="T35647" s="41"/>
    </row>
    <row r="35648" spans="20:20" s="566" customFormat="1">
      <c r="T35648" s="41"/>
    </row>
    <row r="35649" spans="20:20" s="566" customFormat="1">
      <c r="T35649" s="41"/>
    </row>
    <row r="35650" spans="20:20" s="566" customFormat="1">
      <c r="T35650" s="41"/>
    </row>
    <row r="35651" spans="20:20" s="566" customFormat="1">
      <c r="T35651" s="41"/>
    </row>
    <row r="35652" spans="20:20" s="566" customFormat="1">
      <c r="T35652" s="41"/>
    </row>
    <row r="35653" spans="20:20" s="566" customFormat="1">
      <c r="T35653" s="41"/>
    </row>
    <row r="35654" spans="20:20" s="566" customFormat="1">
      <c r="T35654" s="41"/>
    </row>
    <row r="35655" spans="20:20" s="566" customFormat="1">
      <c r="T35655" s="41"/>
    </row>
    <row r="35656" spans="20:20" s="566" customFormat="1">
      <c r="T35656" s="41"/>
    </row>
    <row r="35657" spans="20:20" s="566" customFormat="1">
      <c r="T35657" s="41"/>
    </row>
    <row r="35658" spans="20:20" s="566" customFormat="1">
      <c r="T35658" s="41"/>
    </row>
    <row r="35659" spans="20:20" s="566" customFormat="1">
      <c r="T35659" s="41"/>
    </row>
    <row r="35660" spans="20:20" s="566" customFormat="1">
      <c r="T35660" s="41"/>
    </row>
    <row r="35661" spans="20:20" s="566" customFormat="1">
      <c r="T35661" s="41"/>
    </row>
    <row r="35662" spans="20:20" s="566" customFormat="1">
      <c r="T35662" s="41"/>
    </row>
    <row r="35663" spans="20:20" s="566" customFormat="1">
      <c r="T35663" s="41"/>
    </row>
    <row r="35664" spans="20:20" s="566" customFormat="1">
      <c r="T35664" s="41"/>
    </row>
    <row r="35665" spans="20:20" s="566" customFormat="1">
      <c r="T35665" s="41"/>
    </row>
    <row r="35666" spans="20:20" s="566" customFormat="1">
      <c r="T35666" s="41"/>
    </row>
    <row r="35667" spans="20:20" s="566" customFormat="1">
      <c r="T35667" s="41"/>
    </row>
    <row r="35668" spans="20:20" s="566" customFormat="1">
      <c r="T35668" s="41"/>
    </row>
    <row r="35669" spans="20:20" s="566" customFormat="1">
      <c r="T35669" s="41"/>
    </row>
    <row r="35670" spans="20:20" s="566" customFormat="1">
      <c r="T35670" s="41"/>
    </row>
    <row r="35671" spans="20:20" s="566" customFormat="1">
      <c r="T35671" s="41"/>
    </row>
    <row r="35672" spans="20:20" s="566" customFormat="1">
      <c r="T35672" s="41"/>
    </row>
    <row r="35673" spans="20:20" s="566" customFormat="1">
      <c r="T35673" s="41"/>
    </row>
    <row r="35674" spans="20:20" s="566" customFormat="1">
      <c r="T35674" s="41"/>
    </row>
    <row r="35675" spans="20:20" s="566" customFormat="1">
      <c r="T35675" s="41"/>
    </row>
    <row r="35676" spans="20:20" s="566" customFormat="1">
      <c r="T35676" s="41"/>
    </row>
    <row r="35677" spans="20:20" s="566" customFormat="1">
      <c r="T35677" s="41"/>
    </row>
    <row r="35678" spans="20:20" s="566" customFormat="1">
      <c r="T35678" s="41"/>
    </row>
    <row r="35679" spans="20:20" s="566" customFormat="1">
      <c r="T35679" s="41"/>
    </row>
    <row r="35680" spans="20:20" s="566" customFormat="1">
      <c r="T35680" s="41"/>
    </row>
    <row r="35681" spans="20:20" s="566" customFormat="1">
      <c r="T35681" s="41"/>
    </row>
    <row r="35682" spans="20:20" s="566" customFormat="1">
      <c r="T35682" s="41"/>
    </row>
    <row r="35683" spans="20:20" s="566" customFormat="1">
      <c r="T35683" s="41"/>
    </row>
    <row r="35684" spans="20:20" s="566" customFormat="1">
      <c r="T35684" s="41"/>
    </row>
    <row r="35685" spans="20:20" s="566" customFormat="1">
      <c r="T35685" s="41"/>
    </row>
    <row r="35686" spans="20:20" s="566" customFormat="1">
      <c r="T35686" s="41"/>
    </row>
    <row r="35687" spans="20:20" s="566" customFormat="1">
      <c r="T35687" s="41"/>
    </row>
    <row r="35688" spans="20:20" s="566" customFormat="1">
      <c r="T35688" s="41"/>
    </row>
    <row r="35689" spans="20:20" s="566" customFormat="1">
      <c r="T35689" s="41"/>
    </row>
    <row r="35690" spans="20:20" s="566" customFormat="1">
      <c r="T35690" s="41"/>
    </row>
    <row r="35691" spans="20:20" s="566" customFormat="1">
      <c r="T35691" s="41"/>
    </row>
    <row r="35692" spans="20:20" s="566" customFormat="1">
      <c r="T35692" s="41"/>
    </row>
    <row r="35693" spans="20:20" s="566" customFormat="1">
      <c r="T35693" s="41"/>
    </row>
    <row r="35694" spans="20:20" s="566" customFormat="1">
      <c r="T35694" s="41"/>
    </row>
    <row r="35695" spans="20:20" s="566" customFormat="1">
      <c r="T35695" s="41"/>
    </row>
    <row r="35696" spans="20:20" s="566" customFormat="1">
      <c r="T35696" s="41"/>
    </row>
    <row r="35697" spans="20:20" s="566" customFormat="1">
      <c r="T35697" s="41"/>
    </row>
    <row r="35698" spans="20:20" s="566" customFormat="1">
      <c r="T35698" s="41"/>
    </row>
    <row r="35699" spans="20:20" s="566" customFormat="1">
      <c r="T35699" s="41"/>
    </row>
    <row r="35700" spans="20:20" s="566" customFormat="1">
      <c r="T35700" s="41"/>
    </row>
    <row r="35701" spans="20:20" s="566" customFormat="1">
      <c r="T35701" s="41"/>
    </row>
    <row r="35702" spans="20:20" s="566" customFormat="1">
      <c r="T35702" s="41"/>
    </row>
    <row r="35703" spans="20:20" s="566" customFormat="1">
      <c r="T35703" s="41"/>
    </row>
    <row r="35704" spans="20:20" s="566" customFormat="1">
      <c r="T35704" s="41"/>
    </row>
    <row r="35705" spans="20:20" s="566" customFormat="1">
      <c r="T35705" s="41"/>
    </row>
    <row r="35706" spans="20:20" s="566" customFormat="1">
      <c r="T35706" s="41"/>
    </row>
    <row r="35707" spans="20:20" s="566" customFormat="1">
      <c r="T35707" s="41"/>
    </row>
    <row r="35708" spans="20:20" s="566" customFormat="1">
      <c r="T35708" s="41"/>
    </row>
    <row r="35709" spans="20:20" s="566" customFormat="1">
      <c r="T35709" s="41"/>
    </row>
    <row r="35710" spans="20:20" s="566" customFormat="1">
      <c r="T35710" s="41"/>
    </row>
    <row r="35711" spans="20:20" s="566" customFormat="1">
      <c r="T35711" s="41"/>
    </row>
    <row r="35712" spans="20:20" s="566" customFormat="1">
      <c r="T35712" s="41"/>
    </row>
    <row r="35713" spans="20:20" s="566" customFormat="1">
      <c r="T35713" s="41"/>
    </row>
    <row r="35714" spans="20:20" s="566" customFormat="1">
      <c r="T35714" s="41"/>
    </row>
    <row r="35715" spans="20:20" s="566" customFormat="1">
      <c r="T35715" s="41"/>
    </row>
    <row r="35716" spans="20:20" s="566" customFormat="1">
      <c r="T35716" s="41"/>
    </row>
    <row r="35717" spans="20:20" s="566" customFormat="1">
      <c r="T35717" s="41"/>
    </row>
    <row r="35718" spans="20:20" s="566" customFormat="1">
      <c r="T35718" s="41"/>
    </row>
    <row r="35719" spans="20:20" s="566" customFormat="1">
      <c r="T35719" s="41"/>
    </row>
    <row r="35720" spans="20:20" s="566" customFormat="1">
      <c r="T35720" s="41"/>
    </row>
    <row r="35721" spans="20:20" s="566" customFormat="1">
      <c r="T35721" s="41"/>
    </row>
    <row r="35722" spans="20:20" s="566" customFormat="1">
      <c r="T35722" s="41"/>
    </row>
    <row r="35723" spans="20:20" s="566" customFormat="1">
      <c r="T35723" s="41"/>
    </row>
    <row r="35724" spans="20:20" s="566" customFormat="1">
      <c r="T35724" s="41"/>
    </row>
    <row r="35725" spans="20:20" s="566" customFormat="1">
      <c r="T35725" s="41"/>
    </row>
    <row r="35726" spans="20:20" s="566" customFormat="1">
      <c r="T35726" s="41"/>
    </row>
    <row r="35727" spans="20:20" s="566" customFormat="1">
      <c r="T35727" s="41"/>
    </row>
    <row r="35728" spans="20:20" s="566" customFormat="1">
      <c r="T35728" s="41"/>
    </row>
    <row r="35729" spans="20:20" s="566" customFormat="1">
      <c r="T35729" s="41"/>
    </row>
    <row r="35730" spans="20:20" s="566" customFormat="1">
      <c r="T35730" s="41"/>
    </row>
    <row r="35731" spans="20:20" s="566" customFormat="1">
      <c r="T35731" s="41"/>
    </row>
    <row r="35732" spans="20:20" s="566" customFormat="1">
      <c r="T35732" s="41"/>
    </row>
    <row r="35733" spans="20:20" s="566" customFormat="1">
      <c r="T35733" s="41"/>
    </row>
    <row r="35734" spans="20:20" s="566" customFormat="1">
      <c r="T35734" s="41"/>
    </row>
    <row r="35735" spans="20:20" s="566" customFormat="1">
      <c r="T35735" s="41"/>
    </row>
    <row r="35736" spans="20:20" s="566" customFormat="1">
      <c r="T35736" s="41"/>
    </row>
    <row r="35737" spans="20:20" s="566" customFormat="1">
      <c r="T35737" s="41"/>
    </row>
    <row r="35738" spans="20:20" s="566" customFormat="1">
      <c r="T35738" s="41"/>
    </row>
    <row r="35739" spans="20:20" s="566" customFormat="1">
      <c r="T35739" s="41"/>
    </row>
    <row r="35740" spans="20:20" s="566" customFormat="1">
      <c r="T35740" s="41"/>
    </row>
    <row r="35741" spans="20:20" s="566" customFormat="1">
      <c r="T35741" s="41"/>
    </row>
    <row r="35742" spans="20:20" s="566" customFormat="1">
      <c r="T35742" s="41"/>
    </row>
    <row r="35743" spans="20:20" s="566" customFormat="1">
      <c r="T35743" s="41"/>
    </row>
    <row r="35744" spans="20:20" s="566" customFormat="1">
      <c r="T35744" s="41"/>
    </row>
    <row r="35745" spans="20:20" s="566" customFormat="1">
      <c r="T35745" s="41"/>
    </row>
    <row r="35746" spans="20:20" s="566" customFormat="1">
      <c r="T35746" s="41"/>
    </row>
    <row r="35747" spans="20:20" s="566" customFormat="1">
      <c r="T35747" s="41"/>
    </row>
    <row r="35748" spans="20:20" s="566" customFormat="1">
      <c r="T35748" s="41"/>
    </row>
    <row r="35749" spans="20:20" s="566" customFormat="1">
      <c r="T35749" s="41"/>
    </row>
    <row r="35750" spans="20:20" s="566" customFormat="1">
      <c r="T35750" s="41"/>
    </row>
    <row r="35751" spans="20:20" s="566" customFormat="1">
      <c r="T35751" s="41"/>
    </row>
    <row r="35752" spans="20:20" s="566" customFormat="1">
      <c r="T35752" s="41"/>
    </row>
    <row r="35753" spans="20:20" s="566" customFormat="1">
      <c r="T35753" s="41"/>
    </row>
    <row r="35754" spans="20:20" s="566" customFormat="1">
      <c r="T35754" s="41"/>
    </row>
    <row r="35755" spans="20:20" s="566" customFormat="1">
      <c r="T35755" s="41"/>
    </row>
    <row r="35756" spans="20:20" s="566" customFormat="1">
      <c r="T35756" s="41"/>
    </row>
    <row r="35757" spans="20:20" s="566" customFormat="1">
      <c r="T35757" s="41"/>
    </row>
    <row r="35758" spans="20:20" s="566" customFormat="1">
      <c r="T35758" s="41"/>
    </row>
    <row r="35759" spans="20:20" s="566" customFormat="1">
      <c r="T35759" s="41"/>
    </row>
    <row r="35760" spans="20:20" s="566" customFormat="1">
      <c r="T35760" s="41"/>
    </row>
    <row r="35761" spans="20:20" s="566" customFormat="1">
      <c r="T35761" s="41"/>
    </row>
    <row r="35762" spans="20:20" s="566" customFormat="1">
      <c r="T35762" s="41"/>
    </row>
    <row r="35763" spans="20:20" s="566" customFormat="1">
      <c r="T35763" s="41"/>
    </row>
    <row r="35764" spans="20:20" s="566" customFormat="1">
      <c r="T35764" s="41"/>
    </row>
    <row r="35765" spans="20:20" s="566" customFormat="1">
      <c r="T35765" s="41"/>
    </row>
    <row r="35766" spans="20:20" s="566" customFormat="1">
      <c r="T35766" s="41"/>
    </row>
    <row r="35767" spans="20:20" s="566" customFormat="1">
      <c r="T35767" s="41"/>
    </row>
    <row r="35768" spans="20:20" s="566" customFormat="1">
      <c r="T35768" s="41"/>
    </row>
    <row r="35769" spans="20:20" s="566" customFormat="1">
      <c r="T35769" s="41"/>
    </row>
    <row r="35770" spans="20:20" s="566" customFormat="1">
      <c r="T35770" s="41"/>
    </row>
    <row r="35771" spans="20:20" s="566" customFormat="1">
      <c r="T35771" s="41"/>
    </row>
    <row r="35772" spans="20:20" s="566" customFormat="1">
      <c r="T35772" s="41"/>
    </row>
    <row r="35773" spans="20:20" s="566" customFormat="1">
      <c r="T35773" s="41"/>
    </row>
    <row r="35774" spans="20:20" s="566" customFormat="1">
      <c r="T35774" s="41"/>
    </row>
    <row r="35775" spans="20:20" s="566" customFormat="1">
      <c r="T35775" s="41"/>
    </row>
    <row r="35776" spans="20:20" s="566" customFormat="1">
      <c r="T35776" s="41"/>
    </row>
    <row r="35777" spans="20:20" s="566" customFormat="1">
      <c r="T35777" s="41"/>
    </row>
    <row r="35778" spans="20:20" s="566" customFormat="1">
      <c r="T35778" s="41"/>
    </row>
    <row r="35779" spans="20:20" s="566" customFormat="1">
      <c r="T35779" s="41"/>
    </row>
    <row r="35780" spans="20:20" s="566" customFormat="1">
      <c r="T35780" s="41"/>
    </row>
    <row r="35781" spans="20:20" s="566" customFormat="1">
      <c r="T35781" s="41"/>
    </row>
    <row r="35782" spans="20:20" s="566" customFormat="1">
      <c r="T35782" s="41"/>
    </row>
    <row r="35783" spans="20:20" s="566" customFormat="1">
      <c r="T35783" s="41"/>
    </row>
    <row r="35784" spans="20:20" s="566" customFormat="1">
      <c r="T35784" s="41"/>
    </row>
    <row r="35785" spans="20:20" s="566" customFormat="1">
      <c r="T35785" s="41"/>
    </row>
    <row r="35786" spans="20:20" s="566" customFormat="1">
      <c r="T35786" s="41"/>
    </row>
    <row r="35787" spans="20:20" s="566" customFormat="1">
      <c r="T35787" s="41"/>
    </row>
    <row r="35788" spans="20:20" s="566" customFormat="1">
      <c r="T35788" s="41"/>
    </row>
    <row r="35789" spans="20:20" s="566" customFormat="1">
      <c r="T35789" s="41"/>
    </row>
    <row r="35790" spans="20:20" s="566" customFormat="1">
      <c r="T35790" s="41"/>
    </row>
    <row r="35791" spans="20:20" s="566" customFormat="1">
      <c r="T35791" s="41"/>
    </row>
    <row r="35792" spans="20:20" s="566" customFormat="1">
      <c r="T35792" s="41"/>
    </row>
    <row r="35793" spans="20:20" s="566" customFormat="1">
      <c r="T35793" s="41"/>
    </row>
    <row r="35794" spans="20:20" s="566" customFormat="1">
      <c r="T35794" s="41"/>
    </row>
    <row r="35795" spans="20:20" s="566" customFormat="1">
      <c r="T35795" s="41"/>
    </row>
    <row r="35796" spans="20:20" s="566" customFormat="1">
      <c r="T35796" s="41"/>
    </row>
    <row r="35797" spans="20:20" s="566" customFormat="1">
      <c r="T35797" s="41"/>
    </row>
    <row r="35798" spans="20:20" s="566" customFormat="1">
      <c r="T35798" s="41"/>
    </row>
    <row r="35799" spans="20:20" s="566" customFormat="1">
      <c r="T35799" s="41"/>
    </row>
    <row r="35800" spans="20:20" s="566" customFormat="1">
      <c r="T35800" s="41"/>
    </row>
    <row r="35801" spans="20:20" s="566" customFormat="1">
      <c r="T35801" s="41"/>
    </row>
    <row r="35802" spans="20:20" s="566" customFormat="1">
      <c r="T35802" s="41"/>
    </row>
    <row r="35803" spans="20:20" s="566" customFormat="1">
      <c r="T35803" s="41"/>
    </row>
    <row r="35804" spans="20:20" s="566" customFormat="1">
      <c r="T35804" s="41"/>
    </row>
    <row r="35805" spans="20:20" s="566" customFormat="1">
      <c r="T35805" s="41"/>
    </row>
    <row r="35806" spans="20:20" s="566" customFormat="1">
      <c r="T35806" s="41"/>
    </row>
    <row r="35807" spans="20:20" s="566" customFormat="1">
      <c r="T35807" s="41"/>
    </row>
    <row r="35808" spans="20:20" s="566" customFormat="1">
      <c r="T35808" s="41"/>
    </row>
    <row r="35809" spans="20:20" s="566" customFormat="1">
      <c r="T35809" s="41"/>
    </row>
    <row r="35810" spans="20:20" s="566" customFormat="1">
      <c r="T35810" s="41"/>
    </row>
    <row r="35811" spans="20:20" s="566" customFormat="1">
      <c r="T35811" s="41"/>
    </row>
    <row r="35812" spans="20:20" s="566" customFormat="1">
      <c r="T35812" s="41"/>
    </row>
    <row r="35813" spans="20:20" s="566" customFormat="1">
      <c r="T35813" s="41"/>
    </row>
    <row r="35814" spans="20:20" s="566" customFormat="1">
      <c r="T35814" s="41"/>
    </row>
    <row r="35815" spans="20:20" s="566" customFormat="1">
      <c r="T35815" s="41"/>
    </row>
    <row r="35816" spans="20:20" s="566" customFormat="1">
      <c r="T35816" s="41"/>
    </row>
    <row r="35817" spans="20:20" s="566" customFormat="1">
      <c r="T35817" s="41"/>
    </row>
    <row r="35818" spans="20:20" s="566" customFormat="1">
      <c r="T35818" s="41"/>
    </row>
    <row r="35819" spans="20:20" s="566" customFormat="1">
      <c r="T35819" s="41"/>
    </row>
    <row r="35820" spans="20:20" s="566" customFormat="1">
      <c r="T35820" s="41"/>
    </row>
    <row r="35821" spans="20:20" s="566" customFormat="1">
      <c r="T35821" s="41"/>
    </row>
    <row r="35822" spans="20:20" s="566" customFormat="1">
      <c r="T35822" s="41"/>
    </row>
    <row r="35823" spans="20:20" s="566" customFormat="1">
      <c r="T35823" s="41"/>
    </row>
    <row r="35824" spans="20:20" s="566" customFormat="1">
      <c r="T35824" s="41"/>
    </row>
    <row r="35825" spans="20:20" s="566" customFormat="1">
      <c r="T35825" s="41"/>
    </row>
    <row r="35826" spans="20:20" s="566" customFormat="1">
      <c r="T35826" s="41"/>
    </row>
    <row r="35827" spans="20:20" s="566" customFormat="1">
      <c r="T35827" s="41"/>
    </row>
    <row r="35828" spans="20:20" s="566" customFormat="1">
      <c r="T35828" s="41"/>
    </row>
    <row r="35829" spans="20:20" s="566" customFormat="1">
      <c r="T35829" s="41"/>
    </row>
    <row r="35830" spans="20:20" s="566" customFormat="1">
      <c r="T35830" s="41"/>
    </row>
    <row r="35831" spans="20:20" s="566" customFormat="1">
      <c r="T35831" s="41"/>
    </row>
    <row r="35832" spans="20:20" s="566" customFormat="1">
      <c r="T35832" s="41"/>
    </row>
    <row r="35833" spans="20:20" s="566" customFormat="1">
      <c r="T35833" s="41"/>
    </row>
    <row r="35834" spans="20:20" s="566" customFormat="1">
      <c r="T35834" s="41"/>
    </row>
    <row r="35835" spans="20:20" s="566" customFormat="1">
      <c r="T35835" s="41"/>
    </row>
    <row r="35836" spans="20:20" s="566" customFormat="1">
      <c r="T35836" s="41"/>
    </row>
    <row r="35837" spans="20:20" s="566" customFormat="1">
      <c r="T35837" s="41"/>
    </row>
    <row r="35838" spans="20:20" s="566" customFormat="1">
      <c r="T35838" s="41"/>
    </row>
    <row r="35839" spans="20:20" s="566" customFormat="1">
      <c r="T35839" s="41"/>
    </row>
    <row r="35840" spans="20:20" s="566" customFormat="1">
      <c r="T35840" s="41"/>
    </row>
    <row r="35841" spans="20:20" s="566" customFormat="1">
      <c r="T35841" s="41"/>
    </row>
    <row r="35842" spans="20:20" s="566" customFormat="1">
      <c r="T35842" s="41"/>
    </row>
    <row r="35843" spans="20:20" s="566" customFormat="1">
      <c r="T35843" s="41"/>
    </row>
    <row r="35844" spans="20:20" s="566" customFormat="1">
      <c r="T35844" s="41"/>
    </row>
    <row r="35845" spans="20:20" s="566" customFormat="1">
      <c r="T35845" s="41"/>
    </row>
    <row r="35846" spans="20:20" s="566" customFormat="1">
      <c r="T35846" s="41"/>
    </row>
    <row r="35847" spans="20:20" s="566" customFormat="1">
      <c r="T35847" s="41"/>
    </row>
    <row r="35848" spans="20:20" s="566" customFormat="1">
      <c r="T35848" s="41"/>
    </row>
    <row r="35849" spans="20:20" s="566" customFormat="1">
      <c r="T35849" s="41"/>
    </row>
    <row r="35850" spans="20:20" s="566" customFormat="1">
      <c r="T35850" s="41"/>
    </row>
    <row r="35851" spans="20:20" s="566" customFormat="1">
      <c r="T35851" s="41"/>
    </row>
    <row r="35852" spans="20:20" s="566" customFormat="1">
      <c r="T35852" s="41"/>
    </row>
    <row r="35853" spans="20:20" s="566" customFormat="1">
      <c r="T35853" s="41"/>
    </row>
    <row r="35854" spans="20:20" s="566" customFormat="1">
      <c r="T35854" s="41"/>
    </row>
    <row r="35855" spans="20:20" s="566" customFormat="1">
      <c r="T35855" s="41"/>
    </row>
    <row r="35856" spans="20:20" s="566" customFormat="1">
      <c r="T35856" s="41"/>
    </row>
    <row r="35857" spans="20:20" s="566" customFormat="1">
      <c r="T35857" s="41"/>
    </row>
    <row r="35858" spans="20:20" s="566" customFormat="1">
      <c r="T35858" s="41"/>
    </row>
    <row r="35859" spans="20:20" s="566" customFormat="1">
      <c r="T35859" s="41"/>
    </row>
    <row r="35860" spans="20:20" s="566" customFormat="1">
      <c r="T35860" s="41"/>
    </row>
    <row r="35861" spans="20:20" s="566" customFormat="1">
      <c r="T35861" s="41"/>
    </row>
    <row r="35862" spans="20:20" s="566" customFormat="1">
      <c r="T35862" s="41"/>
    </row>
    <row r="35863" spans="20:20" s="566" customFormat="1">
      <c r="T35863" s="41"/>
    </row>
    <row r="35864" spans="20:20" s="566" customFormat="1">
      <c r="T35864" s="41"/>
    </row>
    <row r="35865" spans="20:20" s="566" customFormat="1">
      <c r="T35865" s="41"/>
    </row>
    <row r="35866" spans="20:20" s="566" customFormat="1">
      <c r="T35866" s="41"/>
    </row>
    <row r="35867" spans="20:20" s="566" customFormat="1">
      <c r="T35867" s="41"/>
    </row>
    <row r="35868" spans="20:20" s="566" customFormat="1">
      <c r="T35868" s="41"/>
    </row>
    <row r="35869" spans="20:20" s="566" customFormat="1">
      <c r="T35869" s="41"/>
    </row>
    <row r="35870" spans="20:20" s="566" customFormat="1">
      <c r="T35870" s="41"/>
    </row>
    <row r="35871" spans="20:20" s="566" customFormat="1">
      <c r="T35871" s="41"/>
    </row>
    <row r="35872" spans="20:20" s="566" customFormat="1">
      <c r="T35872" s="41"/>
    </row>
    <row r="35873" spans="20:20" s="566" customFormat="1">
      <c r="T35873" s="41"/>
    </row>
    <row r="35874" spans="20:20" s="566" customFormat="1">
      <c r="T35874" s="41"/>
    </row>
    <row r="35875" spans="20:20" s="566" customFormat="1">
      <c r="T35875" s="41"/>
    </row>
    <row r="35876" spans="20:20" s="566" customFormat="1">
      <c r="T35876" s="41"/>
    </row>
    <row r="35877" spans="20:20" s="566" customFormat="1">
      <c r="T35877" s="41"/>
    </row>
    <row r="35878" spans="20:20" s="566" customFormat="1">
      <c r="T35878" s="41"/>
    </row>
    <row r="35879" spans="20:20" s="566" customFormat="1">
      <c r="T35879" s="41"/>
    </row>
    <row r="35880" spans="20:20" s="566" customFormat="1">
      <c r="T35880" s="41"/>
    </row>
    <row r="35881" spans="20:20" s="566" customFormat="1">
      <c r="T35881" s="41"/>
    </row>
    <row r="35882" spans="20:20" s="566" customFormat="1">
      <c r="T35882" s="41"/>
    </row>
    <row r="35883" spans="20:20" s="566" customFormat="1">
      <c r="T35883" s="41"/>
    </row>
    <row r="35884" spans="20:20" s="566" customFormat="1">
      <c r="T35884" s="41"/>
    </row>
    <row r="35885" spans="20:20" s="566" customFormat="1">
      <c r="T35885" s="41"/>
    </row>
    <row r="35886" spans="20:20" s="566" customFormat="1">
      <c r="T35886" s="41"/>
    </row>
    <row r="35887" spans="20:20" s="566" customFormat="1">
      <c r="T35887" s="41"/>
    </row>
    <row r="35888" spans="20:20" s="566" customFormat="1">
      <c r="T35888" s="41"/>
    </row>
    <row r="35889" spans="20:20" s="566" customFormat="1">
      <c r="T35889" s="41"/>
    </row>
    <row r="35890" spans="20:20" s="566" customFormat="1">
      <c r="T35890" s="41"/>
    </row>
    <row r="35891" spans="20:20" s="566" customFormat="1">
      <c r="T35891" s="41"/>
    </row>
    <row r="35892" spans="20:20" s="566" customFormat="1">
      <c r="T35892" s="41"/>
    </row>
    <row r="35893" spans="20:20" s="566" customFormat="1">
      <c r="T35893" s="41"/>
    </row>
    <row r="35894" spans="20:20" s="566" customFormat="1">
      <c r="T35894" s="41"/>
    </row>
    <row r="35895" spans="20:20" s="566" customFormat="1">
      <c r="T35895" s="41"/>
    </row>
    <row r="35896" spans="20:20" s="566" customFormat="1">
      <c r="T35896" s="41"/>
    </row>
    <row r="35897" spans="20:20" s="566" customFormat="1">
      <c r="T35897" s="41"/>
    </row>
    <row r="35898" spans="20:20" s="566" customFormat="1">
      <c r="T35898" s="41"/>
    </row>
    <row r="35899" spans="20:20" s="566" customFormat="1">
      <c r="T35899" s="41"/>
    </row>
    <row r="35900" spans="20:20" s="566" customFormat="1">
      <c r="T35900" s="41"/>
    </row>
    <row r="35901" spans="20:20" s="566" customFormat="1">
      <c r="T35901" s="41"/>
    </row>
    <row r="35902" spans="20:20" s="566" customFormat="1">
      <c r="T35902" s="41"/>
    </row>
    <row r="35903" spans="20:20" s="566" customFormat="1">
      <c r="T35903" s="41"/>
    </row>
    <row r="35904" spans="20:20" s="566" customFormat="1">
      <c r="T35904" s="41"/>
    </row>
    <row r="35905" spans="20:20" s="566" customFormat="1">
      <c r="T35905" s="41"/>
    </row>
    <row r="35906" spans="20:20" s="566" customFormat="1">
      <c r="T35906" s="41"/>
    </row>
    <row r="35907" spans="20:20" s="566" customFormat="1">
      <c r="T35907" s="41"/>
    </row>
    <row r="35908" spans="20:20" s="566" customFormat="1">
      <c r="T35908" s="41"/>
    </row>
    <row r="35909" spans="20:20" s="566" customFormat="1">
      <c r="T35909" s="41"/>
    </row>
    <row r="35910" spans="20:20" s="566" customFormat="1">
      <c r="T35910" s="41"/>
    </row>
    <row r="35911" spans="20:20" s="566" customFormat="1">
      <c r="T35911" s="41"/>
    </row>
    <row r="35912" spans="20:20" s="566" customFormat="1">
      <c r="T35912" s="41"/>
    </row>
    <row r="35913" spans="20:20" s="566" customFormat="1">
      <c r="T35913" s="41"/>
    </row>
    <row r="35914" spans="20:20" s="566" customFormat="1">
      <c r="T35914" s="41"/>
    </row>
    <row r="35915" spans="20:20" s="566" customFormat="1">
      <c r="T35915" s="41"/>
    </row>
    <row r="35916" spans="20:20" s="566" customFormat="1">
      <c r="T35916" s="41"/>
    </row>
    <row r="35917" spans="20:20" s="566" customFormat="1">
      <c r="T35917" s="41"/>
    </row>
    <row r="35918" spans="20:20" s="566" customFormat="1">
      <c r="T35918" s="41"/>
    </row>
    <row r="35919" spans="20:20" s="566" customFormat="1">
      <c r="T35919" s="41"/>
    </row>
    <row r="35920" spans="20:20" s="566" customFormat="1">
      <c r="T35920" s="41"/>
    </row>
    <row r="35921" spans="20:20" s="566" customFormat="1">
      <c r="T35921" s="41"/>
    </row>
    <row r="35922" spans="20:20" s="566" customFormat="1">
      <c r="T35922" s="41"/>
    </row>
    <row r="35923" spans="20:20" s="566" customFormat="1">
      <c r="T35923" s="41"/>
    </row>
    <row r="35924" spans="20:20" s="566" customFormat="1">
      <c r="T35924" s="41"/>
    </row>
    <row r="35925" spans="20:20" s="566" customFormat="1">
      <c r="T35925" s="41"/>
    </row>
    <row r="35926" spans="20:20" s="566" customFormat="1">
      <c r="T35926" s="41"/>
    </row>
    <row r="35927" spans="20:20" s="566" customFormat="1">
      <c r="T35927" s="41"/>
    </row>
    <row r="35928" spans="20:20" s="566" customFormat="1">
      <c r="T35928" s="41"/>
    </row>
    <row r="35929" spans="20:20" s="566" customFormat="1">
      <c r="T35929" s="41"/>
    </row>
    <row r="35930" spans="20:20" s="566" customFormat="1">
      <c r="T35930" s="41"/>
    </row>
    <row r="35931" spans="20:20" s="566" customFormat="1">
      <c r="T35931" s="41"/>
    </row>
    <row r="35932" spans="20:20" s="566" customFormat="1">
      <c r="T35932" s="41"/>
    </row>
    <row r="35933" spans="20:20" s="566" customFormat="1">
      <c r="T35933" s="41"/>
    </row>
    <row r="35934" spans="20:20" s="566" customFormat="1">
      <c r="T35934" s="41"/>
    </row>
    <row r="35935" spans="20:20" s="566" customFormat="1">
      <c r="T35935" s="41"/>
    </row>
    <row r="35936" spans="20:20" s="566" customFormat="1">
      <c r="T35936" s="41"/>
    </row>
    <row r="35937" spans="20:20" s="566" customFormat="1">
      <c r="T35937" s="41"/>
    </row>
    <row r="35938" spans="20:20" s="566" customFormat="1">
      <c r="T35938" s="41"/>
    </row>
    <row r="35939" spans="20:20" s="566" customFormat="1">
      <c r="T35939" s="41"/>
    </row>
    <row r="35940" spans="20:20" s="566" customFormat="1">
      <c r="T35940" s="41"/>
    </row>
    <row r="35941" spans="20:20" s="566" customFormat="1">
      <c r="T35941" s="41"/>
    </row>
    <row r="35942" spans="20:20" s="566" customFormat="1">
      <c r="T35942" s="41"/>
    </row>
    <row r="35943" spans="20:20" s="566" customFormat="1">
      <c r="T35943" s="41"/>
    </row>
    <row r="35944" spans="20:20" s="566" customFormat="1">
      <c r="T35944" s="41"/>
    </row>
    <row r="35945" spans="20:20" s="566" customFormat="1">
      <c r="T35945" s="41"/>
    </row>
    <row r="35946" spans="20:20" s="566" customFormat="1">
      <c r="T35946" s="41"/>
    </row>
    <row r="35947" spans="20:20" s="566" customFormat="1">
      <c r="T35947" s="41"/>
    </row>
    <row r="35948" spans="20:20" s="566" customFormat="1">
      <c r="T35948" s="41"/>
    </row>
    <row r="35949" spans="20:20" s="566" customFormat="1">
      <c r="T35949" s="41"/>
    </row>
    <row r="35950" spans="20:20" s="566" customFormat="1">
      <c r="T35950" s="41"/>
    </row>
    <row r="35951" spans="20:20" s="566" customFormat="1">
      <c r="T35951" s="41"/>
    </row>
    <row r="35952" spans="20:20" s="566" customFormat="1">
      <c r="T35952" s="41"/>
    </row>
    <row r="35953" spans="20:20" s="566" customFormat="1">
      <c r="T35953" s="41"/>
    </row>
    <row r="35954" spans="20:20" s="566" customFormat="1">
      <c r="T35954" s="41"/>
    </row>
    <row r="35955" spans="20:20" s="566" customFormat="1">
      <c r="T35955" s="41"/>
    </row>
    <row r="35956" spans="20:20" s="566" customFormat="1">
      <c r="T35956" s="41"/>
    </row>
    <row r="35957" spans="20:20" s="566" customFormat="1">
      <c r="T35957" s="41"/>
    </row>
    <row r="35958" spans="20:20" s="566" customFormat="1">
      <c r="T35958" s="41"/>
    </row>
    <row r="35959" spans="20:20" s="566" customFormat="1">
      <c r="T35959" s="41"/>
    </row>
    <row r="35960" spans="20:20" s="566" customFormat="1">
      <c r="T35960" s="41"/>
    </row>
    <row r="35961" spans="20:20" s="566" customFormat="1">
      <c r="T35961" s="41"/>
    </row>
    <row r="35962" spans="20:20" s="566" customFormat="1">
      <c r="T35962" s="41"/>
    </row>
    <row r="35963" spans="20:20" s="566" customFormat="1">
      <c r="T35963" s="41"/>
    </row>
    <row r="35964" spans="20:20" s="566" customFormat="1">
      <c r="T35964" s="41"/>
    </row>
    <row r="35965" spans="20:20" s="566" customFormat="1">
      <c r="T35965" s="41"/>
    </row>
    <row r="35966" spans="20:20" s="566" customFormat="1">
      <c r="T35966" s="41"/>
    </row>
    <row r="35967" spans="20:20" s="566" customFormat="1">
      <c r="T35967" s="41"/>
    </row>
    <row r="35968" spans="20:20" s="566" customFormat="1">
      <c r="T35968" s="41"/>
    </row>
    <row r="35969" spans="20:20" s="566" customFormat="1">
      <c r="T35969" s="41"/>
    </row>
    <row r="35970" spans="20:20" s="566" customFormat="1">
      <c r="T35970" s="41"/>
    </row>
    <row r="35971" spans="20:20" s="566" customFormat="1">
      <c r="T35971" s="41"/>
    </row>
    <row r="35972" spans="20:20" s="566" customFormat="1">
      <c r="T35972" s="41"/>
    </row>
    <row r="35973" spans="20:20" s="566" customFormat="1">
      <c r="T35973" s="41"/>
    </row>
    <row r="35974" spans="20:20" s="566" customFormat="1">
      <c r="T35974" s="41"/>
    </row>
    <row r="35975" spans="20:20" s="566" customFormat="1">
      <c r="T35975" s="41"/>
    </row>
    <row r="35976" spans="20:20" s="566" customFormat="1">
      <c r="T35976" s="41"/>
    </row>
    <row r="35977" spans="20:20" s="566" customFormat="1">
      <c r="T35977" s="41"/>
    </row>
    <row r="35978" spans="20:20" s="566" customFormat="1">
      <c r="T35978" s="41"/>
    </row>
    <row r="35979" spans="20:20" s="566" customFormat="1">
      <c r="T35979" s="41"/>
    </row>
    <row r="35980" spans="20:20" s="566" customFormat="1">
      <c r="T35980" s="41"/>
    </row>
    <row r="35981" spans="20:20" s="566" customFormat="1">
      <c r="T35981" s="41"/>
    </row>
    <row r="35982" spans="20:20" s="566" customFormat="1">
      <c r="T35982" s="41"/>
    </row>
    <row r="35983" spans="20:20" s="566" customFormat="1">
      <c r="T35983" s="41"/>
    </row>
    <row r="35984" spans="20:20" s="566" customFormat="1">
      <c r="T35984" s="41"/>
    </row>
    <row r="35985" spans="20:20" s="566" customFormat="1">
      <c r="T35985" s="41"/>
    </row>
    <row r="35986" spans="20:20" s="566" customFormat="1">
      <c r="T35986" s="41"/>
    </row>
    <row r="35987" spans="20:20" s="566" customFormat="1">
      <c r="T35987" s="41"/>
    </row>
    <row r="35988" spans="20:20" s="566" customFormat="1">
      <c r="T35988" s="41"/>
    </row>
    <row r="35989" spans="20:20" s="566" customFormat="1">
      <c r="T35989" s="41"/>
    </row>
    <row r="35990" spans="20:20" s="566" customFormat="1">
      <c r="T35990" s="41"/>
    </row>
    <row r="35991" spans="20:20" s="566" customFormat="1">
      <c r="T35991" s="41"/>
    </row>
    <row r="35992" spans="20:20" s="566" customFormat="1">
      <c r="T35992" s="41"/>
    </row>
    <row r="35993" spans="20:20" s="566" customFormat="1">
      <c r="T35993" s="41"/>
    </row>
    <row r="35994" spans="20:20" s="566" customFormat="1">
      <c r="T35994" s="41"/>
    </row>
    <row r="35995" spans="20:20" s="566" customFormat="1">
      <c r="T35995" s="41"/>
    </row>
    <row r="35996" spans="20:20" s="566" customFormat="1">
      <c r="T35996" s="41"/>
    </row>
    <row r="35997" spans="20:20" s="566" customFormat="1">
      <c r="T35997" s="41"/>
    </row>
    <row r="35998" spans="20:20" s="566" customFormat="1">
      <c r="T35998" s="41"/>
    </row>
    <row r="35999" spans="20:20" s="566" customFormat="1">
      <c r="T35999" s="41"/>
    </row>
    <row r="36000" spans="20:20" s="566" customFormat="1">
      <c r="T36000" s="41"/>
    </row>
    <row r="36001" spans="20:20" s="566" customFormat="1">
      <c r="T36001" s="41"/>
    </row>
    <row r="36002" spans="20:20" s="566" customFormat="1">
      <c r="T36002" s="41"/>
    </row>
    <row r="36003" spans="20:20" s="566" customFormat="1">
      <c r="T36003" s="41"/>
    </row>
    <row r="36004" spans="20:20" s="566" customFormat="1">
      <c r="T36004" s="41"/>
    </row>
    <row r="36005" spans="20:20" s="566" customFormat="1">
      <c r="T36005" s="41"/>
    </row>
    <row r="36006" spans="20:20" s="566" customFormat="1">
      <c r="T36006" s="41"/>
    </row>
    <row r="36007" spans="20:20" s="566" customFormat="1">
      <c r="T36007" s="41"/>
    </row>
    <row r="36008" spans="20:20" s="566" customFormat="1">
      <c r="T36008" s="41"/>
    </row>
    <row r="36009" spans="20:20" s="566" customFormat="1">
      <c r="T36009" s="41"/>
    </row>
    <row r="36010" spans="20:20" s="566" customFormat="1">
      <c r="T36010" s="41"/>
    </row>
    <row r="36011" spans="20:20" s="566" customFormat="1">
      <c r="T36011" s="41"/>
    </row>
    <row r="36012" spans="20:20" s="566" customFormat="1">
      <c r="T36012" s="41"/>
    </row>
    <row r="36013" spans="20:20" s="566" customFormat="1">
      <c r="T36013" s="41"/>
    </row>
    <row r="36014" spans="20:20" s="566" customFormat="1">
      <c r="T36014" s="41"/>
    </row>
    <row r="36015" spans="20:20" s="566" customFormat="1">
      <c r="T36015" s="41"/>
    </row>
    <row r="36016" spans="20:20" s="566" customFormat="1">
      <c r="T36016" s="41"/>
    </row>
    <row r="36017" spans="20:20" s="566" customFormat="1">
      <c r="T36017" s="41"/>
    </row>
    <row r="36018" spans="20:20" s="566" customFormat="1">
      <c r="T36018" s="41"/>
    </row>
    <row r="36019" spans="20:20" s="566" customFormat="1">
      <c r="T36019" s="41"/>
    </row>
    <row r="36020" spans="20:20" s="566" customFormat="1">
      <c r="T36020" s="41"/>
    </row>
    <row r="36021" spans="20:20" s="566" customFormat="1">
      <c r="T36021" s="41"/>
    </row>
    <row r="36022" spans="20:20" s="566" customFormat="1">
      <c r="T36022" s="41"/>
    </row>
    <row r="36023" spans="20:20" s="566" customFormat="1">
      <c r="T36023" s="41"/>
    </row>
    <row r="36024" spans="20:20" s="566" customFormat="1">
      <c r="T36024" s="41"/>
    </row>
    <row r="36025" spans="20:20" s="566" customFormat="1">
      <c r="T36025" s="41"/>
    </row>
    <row r="36026" spans="20:20" s="566" customFormat="1">
      <c r="T36026" s="41"/>
    </row>
    <row r="36027" spans="20:20" s="566" customFormat="1">
      <c r="T36027" s="41"/>
    </row>
    <row r="36028" spans="20:20" s="566" customFormat="1">
      <c r="T36028" s="41"/>
    </row>
    <row r="36029" spans="20:20" s="566" customFormat="1">
      <c r="T36029" s="41"/>
    </row>
    <row r="36030" spans="20:20" s="566" customFormat="1">
      <c r="T36030" s="41"/>
    </row>
    <row r="36031" spans="20:20" s="566" customFormat="1">
      <c r="T36031" s="41"/>
    </row>
    <row r="36032" spans="20:20" s="566" customFormat="1">
      <c r="T36032" s="41"/>
    </row>
    <row r="36033" spans="20:20" s="566" customFormat="1">
      <c r="T36033" s="41"/>
    </row>
    <row r="36034" spans="20:20" s="566" customFormat="1">
      <c r="T36034" s="41"/>
    </row>
    <row r="36035" spans="20:20" s="566" customFormat="1">
      <c r="T36035" s="41"/>
    </row>
    <row r="36036" spans="20:20" s="566" customFormat="1">
      <c r="T36036" s="41"/>
    </row>
    <row r="36037" spans="20:20" s="566" customFormat="1">
      <c r="T36037" s="41"/>
    </row>
    <row r="36038" spans="20:20" s="566" customFormat="1">
      <c r="T36038" s="41"/>
    </row>
    <row r="36039" spans="20:20" s="566" customFormat="1">
      <c r="T36039" s="41"/>
    </row>
    <row r="36040" spans="20:20" s="566" customFormat="1">
      <c r="T36040" s="41"/>
    </row>
    <row r="36041" spans="20:20" s="566" customFormat="1">
      <c r="T36041" s="41"/>
    </row>
    <row r="36042" spans="20:20" s="566" customFormat="1">
      <c r="T36042" s="41"/>
    </row>
    <row r="36043" spans="20:20" s="566" customFormat="1">
      <c r="T36043" s="41"/>
    </row>
    <row r="36044" spans="20:20" s="566" customFormat="1">
      <c r="T36044" s="41"/>
    </row>
    <row r="36045" spans="20:20" s="566" customFormat="1">
      <c r="T36045" s="41"/>
    </row>
    <row r="36046" spans="20:20" s="566" customFormat="1">
      <c r="T36046" s="41"/>
    </row>
    <row r="36047" spans="20:20" s="566" customFormat="1">
      <c r="T36047" s="41"/>
    </row>
    <row r="36048" spans="20:20" s="566" customFormat="1">
      <c r="T36048" s="41"/>
    </row>
    <row r="36049" spans="20:20" s="566" customFormat="1">
      <c r="T36049" s="41"/>
    </row>
    <row r="36050" spans="20:20" s="566" customFormat="1">
      <c r="T36050" s="41"/>
    </row>
    <row r="36051" spans="20:20" s="566" customFormat="1">
      <c r="T36051" s="41"/>
    </row>
    <row r="36052" spans="20:20" s="566" customFormat="1">
      <c r="T36052" s="41"/>
    </row>
    <row r="36053" spans="20:20" s="566" customFormat="1">
      <c r="T36053" s="41"/>
    </row>
    <row r="36054" spans="20:20" s="566" customFormat="1">
      <c r="T36054" s="41"/>
    </row>
    <row r="36055" spans="20:20" s="566" customFormat="1">
      <c r="T36055" s="41"/>
    </row>
    <row r="36056" spans="20:20" s="566" customFormat="1">
      <c r="T36056" s="41"/>
    </row>
    <row r="36057" spans="20:20" s="566" customFormat="1">
      <c r="T36057" s="41"/>
    </row>
    <row r="36058" spans="20:20" s="566" customFormat="1">
      <c r="T36058" s="41"/>
    </row>
    <row r="36059" spans="20:20" s="566" customFormat="1">
      <c r="T36059" s="41"/>
    </row>
    <row r="36060" spans="20:20" s="566" customFormat="1">
      <c r="T36060" s="41"/>
    </row>
    <row r="36061" spans="20:20" s="566" customFormat="1">
      <c r="T36061" s="41"/>
    </row>
    <row r="36062" spans="20:20" s="566" customFormat="1">
      <c r="T36062" s="41"/>
    </row>
    <row r="36063" spans="20:20" s="566" customFormat="1">
      <c r="T36063" s="41"/>
    </row>
    <row r="36064" spans="20:20" s="566" customFormat="1">
      <c r="T36064" s="41"/>
    </row>
    <row r="36065" spans="20:20" s="566" customFormat="1">
      <c r="T36065" s="41"/>
    </row>
    <row r="36066" spans="20:20" s="566" customFormat="1">
      <c r="T36066" s="41"/>
    </row>
    <row r="36067" spans="20:20" s="566" customFormat="1">
      <c r="T36067" s="41"/>
    </row>
    <row r="36068" spans="20:20" s="566" customFormat="1">
      <c r="T36068" s="41"/>
    </row>
    <row r="36069" spans="20:20" s="566" customFormat="1">
      <c r="T36069" s="41"/>
    </row>
    <row r="36070" spans="20:20" s="566" customFormat="1">
      <c r="T36070" s="41"/>
    </row>
    <row r="36071" spans="20:20" s="566" customFormat="1">
      <c r="T36071" s="41"/>
    </row>
    <row r="36072" spans="20:20" s="566" customFormat="1">
      <c r="T36072" s="41"/>
    </row>
    <row r="36073" spans="20:20" s="566" customFormat="1">
      <c r="T36073" s="41"/>
    </row>
    <row r="36074" spans="20:20" s="566" customFormat="1">
      <c r="T36074" s="41"/>
    </row>
    <row r="36075" spans="20:20" s="566" customFormat="1">
      <c r="T36075" s="41"/>
    </row>
    <row r="36076" spans="20:20" s="566" customFormat="1">
      <c r="T36076" s="41"/>
    </row>
    <row r="36077" spans="20:20" s="566" customFormat="1">
      <c r="T36077" s="41"/>
    </row>
    <row r="36078" spans="20:20" s="566" customFormat="1">
      <c r="T36078" s="41"/>
    </row>
    <row r="36079" spans="20:20" s="566" customFormat="1">
      <c r="T36079" s="41"/>
    </row>
    <row r="36080" spans="20:20" s="566" customFormat="1">
      <c r="T36080" s="41"/>
    </row>
    <row r="36081" spans="20:20" s="566" customFormat="1">
      <c r="T36081" s="41"/>
    </row>
    <row r="36082" spans="20:20" s="566" customFormat="1">
      <c r="T36082" s="41"/>
    </row>
    <row r="36083" spans="20:20" s="566" customFormat="1">
      <c r="T36083" s="41"/>
    </row>
    <row r="36084" spans="20:20" s="566" customFormat="1">
      <c r="T36084" s="41"/>
    </row>
    <row r="36085" spans="20:20" s="566" customFormat="1">
      <c r="T36085" s="41"/>
    </row>
    <row r="36086" spans="20:20" s="566" customFormat="1">
      <c r="T36086" s="41"/>
    </row>
    <row r="36087" spans="20:20" s="566" customFormat="1">
      <c r="T36087" s="41"/>
    </row>
    <row r="36088" spans="20:20" s="566" customFormat="1">
      <c r="T36088" s="41"/>
    </row>
    <row r="36089" spans="20:20" s="566" customFormat="1">
      <c r="T36089" s="41"/>
    </row>
    <row r="36090" spans="20:20" s="566" customFormat="1">
      <c r="T36090" s="41"/>
    </row>
    <row r="36091" spans="20:20" s="566" customFormat="1">
      <c r="T36091" s="41"/>
    </row>
    <row r="36092" spans="20:20" s="566" customFormat="1">
      <c r="T36092" s="41"/>
    </row>
    <row r="36093" spans="20:20" s="566" customFormat="1">
      <c r="T36093" s="41"/>
    </row>
    <row r="36094" spans="20:20" s="566" customFormat="1">
      <c r="T36094" s="41"/>
    </row>
    <row r="36095" spans="20:20" s="566" customFormat="1">
      <c r="T36095" s="41"/>
    </row>
    <row r="36096" spans="20:20" s="566" customFormat="1">
      <c r="T36096" s="41"/>
    </row>
    <row r="36097" spans="20:20" s="566" customFormat="1">
      <c r="T36097" s="41"/>
    </row>
    <row r="36098" spans="20:20" s="566" customFormat="1">
      <c r="T36098" s="41"/>
    </row>
    <row r="36099" spans="20:20" s="566" customFormat="1">
      <c r="T36099" s="41"/>
    </row>
    <row r="36100" spans="20:20" s="566" customFormat="1">
      <c r="T36100" s="41"/>
    </row>
    <row r="36101" spans="20:20" s="566" customFormat="1">
      <c r="T36101" s="41"/>
    </row>
    <row r="36102" spans="20:20" s="566" customFormat="1">
      <c r="T36102" s="41"/>
    </row>
    <row r="36103" spans="20:20" s="566" customFormat="1">
      <c r="T36103" s="41"/>
    </row>
    <row r="36104" spans="20:20" s="566" customFormat="1">
      <c r="T36104" s="41"/>
    </row>
    <row r="36105" spans="20:20" s="566" customFormat="1">
      <c r="T36105" s="41"/>
    </row>
    <row r="36106" spans="20:20" s="566" customFormat="1">
      <c r="T36106" s="41"/>
    </row>
    <row r="36107" spans="20:20" s="566" customFormat="1">
      <c r="T36107" s="41"/>
    </row>
    <row r="36108" spans="20:20" s="566" customFormat="1">
      <c r="T36108" s="41"/>
    </row>
    <row r="36109" spans="20:20" s="566" customFormat="1">
      <c r="T36109" s="41"/>
    </row>
    <row r="36110" spans="20:20" s="566" customFormat="1">
      <c r="T36110" s="41"/>
    </row>
    <row r="36111" spans="20:20" s="566" customFormat="1">
      <c r="T36111" s="41"/>
    </row>
    <row r="36112" spans="20:20" s="566" customFormat="1">
      <c r="T36112" s="41"/>
    </row>
    <row r="36113" spans="20:20" s="566" customFormat="1">
      <c r="T36113" s="41"/>
    </row>
    <row r="36114" spans="20:20" s="566" customFormat="1">
      <c r="T36114" s="41"/>
    </row>
    <row r="36115" spans="20:20" s="566" customFormat="1">
      <c r="T36115" s="41"/>
    </row>
    <row r="36116" spans="20:20" s="566" customFormat="1">
      <c r="T36116" s="41"/>
    </row>
    <row r="36117" spans="20:20" s="566" customFormat="1">
      <c r="T36117" s="41"/>
    </row>
    <row r="36118" spans="20:20" s="566" customFormat="1">
      <c r="T36118" s="41"/>
    </row>
    <row r="36119" spans="20:20" s="566" customFormat="1">
      <c r="T36119" s="41"/>
    </row>
    <row r="36120" spans="20:20" s="566" customFormat="1">
      <c r="T36120" s="41"/>
    </row>
    <row r="36121" spans="20:20" s="566" customFormat="1">
      <c r="T36121" s="41"/>
    </row>
    <row r="36122" spans="20:20" s="566" customFormat="1">
      <c r="T36122" s="41"/>
    </row>
    <row r="36123" spans="20:20" s="566" customFormat="1">
      <c r="T36123" s="41"/>
    </row>
    <row r="36124" spans="20:20" s="566" customFormat="1">
      <c r="T36124" s="41"/>
    </row>
    <row r="36125" spans="20:20" s="566" customFormat="1">
      <c r="T36125" s="41"/>
    </row>
    <row r="36126" spans="20:20" s="566" customFormat="1">
      <c r="T36126" s="41"/>
    </row>
    <row r="36127" spans="20:20" s="566" customFormat="1">
      <c r="T36127" s="41"/>
    </row>
    <row r="36128" spans="20:20" s="566" customFormat="1">
      <c r="T36128" s="41"/>
    </row>
    <row r="36129" spans="20:20" s="566" customFormat="1">
      <c r="T36129" s="41"/>
    </row>
    <row r="36130" spans="20:20" s="566" customFormat="1">
      <c r="T36130" s="41"/>
    </row>
    <row r="36131" spans="20:20" s="566" customFormat="1">
      <c r="T36131" s="41"/>
    </row>
    <row r="36132" spans="20:20" s="566" customFormat="1">
      <c r="T36132" s="41"/>
    </row>
    <row r="36133" spans="20:20" s="566" customFormat="1">
      <c r="T36133" s="41"/>
    </row>
    <row r="36134" spans="20:20" s="566" customFormat="1">
      <c r="T36134" s="41"/>
    </row>
    <row r="36135" spans="20:20" s="566" customFormat="1">
      <c r="T36135" s="41"/>
    </row>
    <row r="36136" spans="20:20" s="566" customFormat="1">
      <c r="T36136" s="41"/>
    </row>
    <row r="36137" spans="20:20" s="566" customFormat="1">
      <c r="T36137" s="41"/>
    </row>
    <row r="36138" spans="20:20" s="566" customFormat="1">
      <c r="T36138" s="41"/>
    </row>
    <row r="36139" spans="20:20" s="566" customFormat="1">
      <c r="T36139" s="41"/>
    </row>
    <row r="36140" spans="20:20" s="566" customFormat="1">
      <c r="T36140" s="41"/>
    </row>
    <row r="36141" spans="20:20" s="566" customFormat="1">
      <c r="T36141" s="41"/>
    </row>
    <row r="36142" spans="20:20" s="566" customFormat="1">
      <c r="T36142" s="41"/>
    </row>
    <row r="36143" spans="20:20" s="566" customFormat="1">
      <c r="T36143" s="41"/>
    </row>
    <row r="36144" spans="20:20" s="566" customFormat="1">
      <c r="T36144" s="41"/>
    </row>
    <row r="36145" spans="20:20" s="566" customFormat="1">
      <c r="T36145" s="41"/>
    </row>
    <row r="36146" spans="20:20" s="566" customFormat="1">
      <c r="T36146" s="41"/>
    </row>
    <row r="36147" spans="20:20" s="566" customFormat="1">
      <c r="T36147" s="41"/>
    </row>
    <row r="36148" spans="20:20" s="566" customFormat="1">
      <c r="T36148" s="41"/>
    </row>
    <row r="36149" spans="20:20" s="566" customFormat="1">
      <c r="T36149" s="41"/>
    </row>
    <row r="36150" spans="20:20" s="566" customFormat="1">
      <c r="T36150" s="41"/>
    </row>
    <row r="36151" spans="20:20" s="566" customFormat="1">
      <c r="T36151" s="41"/>
    </row>
    <row r="36152" spans="20:20" s="566" customFormat="1">
      <c r="T36152" s="41"/>
    </row>
    <row r="36153" spans="20:20" s="566" customFormat="1">
      <c r="T36153" s="41"/>
    </row>
    <row r="36154" spans="20:20" s="566" customFormat="1">
      <c r="T36154" s="41"/>
    </row>
    <row r="36155" spans="20:20" s="566" customFormat="1">
      <c r="T36155" s="41"/>
    </row>
    <row r="36156" spans="20:20" s="566" customFormat="1">
      <c r="T36156" s="41"/>
    </row>
    <row r="36157" spans="20:20" s="566" customFormat="1">
      <c r="T36157" s="41"/>
    </row>
    <row r="36158" spans="20:20" s="566" customFormat="1">
      <c r="T36158" s="41"/>
    </row>
    <row r="36159" spans="20:20" s="566" customFormat="1">
      <c r="T36159" s="41"/>
    </row>
    <row r="36160" spans="20:20" s="566" customFormat="1">
      <c r="T36160" s="41"/>
    </row>
    <row r="36161" spans="20:20" s="566" customFormat="1">
      <c r="T36161" s="41"/>
    </row>
    <row r="36162" spans="20:20" s="566" customFormat="1">
      <c r="T36162" s="41"/>
    </row>
    <row r="36163" spans="20:20" s="566" customFormat="1">
      <c r="T36163" s="41"/>
    </row>
    <row r="36164" spans="20:20" s="566" customFormat="1">
      <c r="T36164" s="41"/>
    </row>
    <row r="36165" spans="20:20" s="566" customFormat="1">
      <c r="T36165" s="41"/>
    </row>
    <row r="36166" spans="20:20" s="566" customFormat="1">
      <c r="T36166" s="41"/>
    </row>
    <row r="36167" spans="20:20" s="566" customFormat="1">
      <c r="T36167" s="41"/>
    </row>
    <row r="36168" spans="20:20" s="566" customFormat="1">
      <c r="T36168" s="41"/>
    </row>
    <row r="36169" spans="20:20" s="566" customFormat="1">
      <c r="T36169" s="41"/>
    </row>
    <row r="36170" spans="20:20" s="566" customFormat="1">
      <c r="T36170" s="41"/>
    </row>
    <row r="36171" spans="20:20" s="566" customFormat="1">
      <c r="T36171" s="41"/>
    </row>
    <row r="36172" spans="20:20" s="566" customFormat="1">
      <c r="T36172" s="41"/>
    </row>
    <row r="36173" spans="20:20" s="566" customFormat="1">
      <c r="T36173" s="41"/>
    </row>
    <row r="36174" spans="20:20" s="566" customFormat="1">
      <c r="T36174" s="41"/>
    </row>
    <row r="36175" spans="20:20" s="566" customFormat="1">
      <c r="T36175" s="41"/>
    </row>
    <row r="36176" spans="20:20" s="566" customFormat="1">
      <c r="T36176" s="41"/>
    </row>
    <row r="36177" spans="20:20" s="566" customFormat="1">
      <c r="T36177" s="41"/>
    </row>
    <row r="36178" spans="20:20" s="566" customFormat="1">
      <c r="T36178" s="41"/>
    </row>
    <row r="36179" spans="20:20" s="566" customFormat="1">
      <c r="T36179" s="41"/>
    </row>
    <row r="36180" spans="20:20" s="566" customFormat="1">
      <c r="T36180" s="41"/>
    </row>
    <row r="36181" spans="20:20" s="566" customFormat="1">
      <c r="T36181" s="41"/>
    </row>
    <row r="36182" spans="20:20" s="566" customFormat="1">
      <c r="T36182" s="41"/>
    </row>
    <row r="36183" spans="20:20" s="566" customFormat="1">
      <c r="T36183" s="41"/>
    </row>
    <row r="36184" spans="20:20" s="566" customFormat="1">
      <c r="T36184" s="41"/>
    </row>
    <row r="36185" spans="20:20" s="566" customFormat="1">
      <c r="T36185" s="41"/>
    </row>
    <row r="36186" spans="20:20" s="566" customFormat="1">
      <c r="T36186" s="41"/>
    </row>
    <row r="36187" spans="20:20" s="566" customFormat="1">
      <c r="T36187" s="41"/>
    </row>
    <row r="36188" spans="20:20" s="566" customFormat="1">
      <c r="T36188" s="41"/>
    </row>
    <row r="36189" spans="20:20" s="566" customFormat="1">
      <c r="T36189" s="41"/>
    </row>
    <row r="36190" spans="20:20" s="566" customFormat="1">
      <c r="T36190" s="41"/>
    </row>
    <row r="36191" spans="20:20" s="566" customFormat="1">
      <c r="T36191" s="41"/>
    </row>
    <row r="36192" spans="20:20" s="566" customFormat="1">
      <c r="T36192" s="41"/>
    </row>
    <row r="36193" spans="20:20" s="566" customFormat="1">
      <c r="T36193" s="41"/>
    </row>
    <row r="36194" spans="20:20" s="566" customFormat="1">
      <c r="T36194" s="41"/>
    </row>
    <row r="36195" spans="20:20" s="566" customFormat="1">
      <c r="T36195" s="41"/>
    </row>
    <row r="36196" spans="20:20" s="566" customFormat="1">
      <c r="T36196" s="41"/>
    </row>
    <row r="36197" spans="20:20" s="566" customFormat="1">
      <c r="T36197" s="41"/>
    </row>
    <row r="36198" spans="20:20" s="566" customFormat="1">
      <c r="T36198" s="41"/>
    </row>
    <row r="36199" spans="20:20" s="566" customFormat="1">
      <c r="T36199" s="41"/>
    </row>
    <row r="36200" spans="20:20" s="566" customFormat="1">
      <c r="T36200" s="41"/>
    </row>
    <row r="36201" spans="20:20" s="566" customFormat="1">
      <c r="T36201" s="41"/>
    </row>
    <row r="36202" spans="20:20" s="566" customFormat="1">
      <c r="T36202" s="41"/>
    </row>
    <row r="36203" spans="20:20" s="566" customFormat="1">
      <c r="T36203" s="41"/>
    </row>
    <row r="36204" spans="20:20" s="566" customFormat="1">
      <c r="T36204" s="41"/>
    </row>
    <row r="36205" spans="20:20" s="566" customFormat="1">
      <c r="T36205" s="41"/>
    </row>
    <row r="36206" spans="20:20" s="566" customFormat="1">
      <c r="T36206" s="41"/>
    </row>
    <row r="36207" spans="20:20" s="566" customFormat="1">
      <c r="T36207" s="41"/>
    </row>
    <row r="36208" spans="20:20" s="566" customFormat="1">
      <c r="T36208" s="41"/>
    </row>
    <row r="36209" spans="20:20" s="566" customFormat="1">
      <c r="T36209" s="41"/>
    </row>
    <row r="36210" spans="20:20" s="566" customFormat="1">
      <c r="T36210" s="41"/>
    </row>
    <row r="36211" spans="20:20" s="566" customFormat="1">
      <c r="T36211" s="41"/>
    </row>
    <row r="36212" spans="20:20" s="566" customFormat="1">
      <c r="T36212" s="41"/>
    </row>
    <row r="36213" spans="20:20" s="566" customFormat="1">
      <c r="T36213" s="41"/>
    </row>
    <row r="36214" spans="20:20" s="566" customFormat="1">
      <c r="T36214" s="41"/>
    </row>
    <row r="36215" spans="20:20" s="566" customFormat="1">
      <c r="T36215" s="41"/>
    </row>
    <row r="36216" spans="20:20" s="566" customFormat="1">
      <c r="T36216" s="41"/>
    </row>
    <row r="36217" spans="20:20" s="566" customFormat="1">
      <c r="T36217" s="41"/>
    </row>
    <row r="36218" spans="20:20" s="566" customFormat="1">
      <c r="T36218" s="41"/>
    </row>
    <row r="36219" spans="20:20" s="566" customFormat="1">
      <c r="T36219" s="41"/>
    </row>
    <row r="36220" spans="20:20" s="566" customFormat="1">
      <c r="T36220" s="41"/>
    </row>
    <row r="36221" spans="20:20" s="566" customFormat="1">
      <c r="T36221" s="41"/>
    </row>
    <row r="36222" spans="20:20" s="566" customFormat="1">
      <c r="T36222" s="41"/>
    </row>
    <row r="36223" spans="20:20" s="566" customFormat="1">
      <c r="T36223" s="41"/>
    </row>
    <row r="36224" spans="20:20" s="566" customFormat="1">
      <c r="T36224" s="41"/>
    </row>
    <row r="36225" spans="20:20" s="566" customFormat="1">
      <c r="T36225" s="41"/>
    </row>
    <row r="36226" spans="20:20" s="566" customFormat="1">
      <c r="T36226" s="41"/>
    </row>
    <row r="36227" spans="20:20" s="566" customFormat="1">
      <c r="T36227" s="41"/>
    </row>
    <row r="36228" spans="20:20" s="566" customFormat="1">
      <c r="T36228" s="41"/>
    </row>
    <row r="36229" spans="20:20" s="566" customFormat="1">
      <c r="T36229" s="41"/>
    </row>
    <row r="36230" spans="20:20" s="566" customFormat="1">
      <c r="T36230" s="41"/>
    </row>
    <row r="36231" spans="20:20" s="566" customFormat="1">
      <c r="T36231" s="41"/>
    </row>
    <row r="36232" spans="20:20" s="566" customFormat="1">
      <c r="T36232" s="41"/>
    </row>
    <row r="36233" spans="20:20" s="566" customFormat="1">
      <c r="T36233" s="41"/>
    </row>
    <row r="36234" spans="20:20" s="566" customFormat="1">
      <c r="T36234" s="41"/>
    </row>
    <row r="36235" spans="20:20" s="566" customFormat="1">
      <c r="T36235" s="41"/>
    </row>
    <row r="36236" spans="20:20" s="566" customFormat="1">
      <c r="T36236" s="41"/>
    </row>
    <row r="36237" spans="20:20" s="566" customFormat="1">
      <c r="T36237" s="41"/>
    </row>
    <row r="36238" spans="20:20" s="566" customFormat="1">
      <c r="T36238" s="41"/>
    </row>
    <row r="36239" spans="20:20" s="566" customFormat="1">
      <c r="T36239" s="41"/>
    </row>
    <row r="36240" spans="20:20" s="566" customFormat="1">
      <c r="T36240" s="41"/>
    </row>
    <row r="36241" spans="20:20" s="566" customFormat="1">
      <c r="T36241" s="41"/>
    </row>
    <row r="36242" spans="20:20" s="566" customFormat="1">
      <c r="T36242" s="41"/>
    </row>
    <row r="36243" spans="20:20" s="566" customFormat="1">
      <c r="T36243" s="41"/>
    </row>
    <row r="36244" spans="20:20" s="566" customFormat="1">
      <c r="T36244" s="41"/>
    </row>
    <row r="36245" spans="20:20" s="566" customFormat="1">
      <c r="T36245" s="41"/>
    </row>
    <row r="36246" spans="20:20" s="566" customFormat="1">
      <c r="T36246" s="41"/>
    </row>
    <row r="36247" spans="20:20" s="566" customFormat="1">
      <c r="T36247" s="41"/>
    </row>
    <row r="36248" spans="20:20" s="566" customFormat="1">
      <c r="T36248" s="41"/>
    </row>
    <row r="36249" spans="20:20" s="566" customFormat="1">
      <c r="T36249" s="41"/>
    </row>
    <row r="36250" spans="20:20" s="566" customFormat="1">
      <c r="T36250" s="41"/>
    </row>
    <row r="36251" spans="20:20" s="566" customFormat="1">
      <c r="T36251" s="41"/>
    </row>
    <row r="36252" spans="20:20" s="566" customFormat="1">
      <c r="T36252" s="41"/>
    </row>
    <row r="36253" spans="20:20" s="566" customFormat="1">
      <c r="T36253" s="41"/>
    </row>
    <row r="36254" spans="20:20" s="566" customFormat="1">
      <c r="T36254" s="41"/>
    </row>
    <row r="36255" spans="20:20" s="566" customFormat="1">
      <c r="T36255" s="41"/>
    </row>
    <row r="36256" spans="20:20" s="566" customFormat="1">
      <c r="T36256" s="41"/>
    </row>
    <row r="36257" spans="20:20" s="566" customFormat="1">
      <c r="T36257" s="41"/>
    </row>
    <row r="36258" spans="20:20" s="566" customFormat="1">
      <c r="T36258" s="41"/>
    </row>
    <row r="36259" spans="20:20" s="566" customFormat="1">
      <c r="T36259" s="41"/>
    </row>
    <row r="36260" spans="20:20" s="566" customFormat="1">
      <c r="T36260" s="41"/>
    </row>
    <row r="36261" spans="20:20" s="566" customFormat="1">
      <c r="T36261" s="41"/>
    </row>
    <row r="36262" spans="20:20" s="566" customFormat="1">
      <c r="T36262" s="41"/>
    </row>
    <row r="36263" spans="20:20" s="566" customFormat="1">
      <c r="T36263" s="41"/>
    </row>
    <row r="36264" spans="20:20" s="566" customFormat="1">
      <c r="T36264" s="41"/>
    </row>
    <row r="36265" spans="20:20" s="566" customFormat="1">
      <c r="T36265" s="41"/>
    </row>
    <row r="36266" spans="20:20" s="566" customFormat="1">
      <c r="T36266" s="41"/>
    </row>
    <row r="36267" spans="20:20" s="566" customFormat="1">
      <c r="T36267" s="41"/>
    </row>
    <row r="36268" spans="20:20" s="566" customFormat="1">
      <c r="T36268" s="41"/>
    </row>
    <row r="36269" spans="20:20" s="566" customFormat="1">
      <c r="T36269" s="41"/>
    </row>
    <row r="36270" spans="20:20" s="566" customFormat="1">
      <c r="T36270" s="41"/>
    </row>
    <row r="36271" spans="20:20" s="566" customFormat="1">
      <c r="T36271" s="41"/>
    </row>
    <row r="36272" spans="20:20" s="566" customFormat="1">
      <c r="T36272" s="41"/>
    </row>
    <row r="36273" spans="20:20" s="566" customFormat="1">
      <c r="T36273" s="41"/>
    </row>
    <row r="36274" spans="20:20" s="566" customFormat="1">
      <c r="T36274" s="41"/>
    </row>
    <row r="36275" spans="20:20" s="566" customFormat="1">
      <c r="T36275" s="41"/>
    </row>
    <row r="36276" spans="20:20" s="566" customFormat="1">
      <c r="T36276" s="41"/>
    </row>
    <row r="36277" spans="20:20" s="566" customFormat="1">
      <c r="T36277" s="41"/>
    </row>
    <row r="36278" spans="20:20" s="566" customFormat="1">
      <c r="T36278" s="41"/>
    </row>
    <row r="36279" spans="20:20" s="566" customFormat="1">
      <c r="T36279" s="41"/>
    </row>
    <row r="36280" spans="20:20" s="566" customFormat="1">
      <c r="T36280" s="41"/>
    </row>
    <row r="36281" spans="20:20" s="566" customFormat="1">
      <c r="T36281" s="41"/>
    </row>
    <row r="36282" spans="20:20" s="566" customFormat="1">
      <c r="T36282" s="41"/>
    </row>
    <row r="36283" spans="20:20" s="566" customFormat="1">
      <c r="T36283" s="41"/>
    </row>
    <row r="36284" spans="20:20" s="566" customFormat="1">
      <c r="T36284" s="41"/>
    </row>
    <row r="36285" spans="20:20" s="566" customFormat="1">
      <c r="T36285" s="41"/>
    </row>
    <row r="36286" spans="20:20" s="566" customFormat="1">
      <c r="T36286" s="41"/>
    </row>
    <row r="36287" spans="20:20" s="566" customFormat="1">
      <c r="T36287" s="41"/>
    </row>
    <row r="36288" spans="20:20" s="566" customFormat="1">
      <c r="T36288" s="41"/>
    </row>
    <row r="36289" spans="20:20" s="566" customFormat="1">
      <c r="T36289" s="41"/>
    </row>
    <row r="36290" spans="20:20" s="566" customFormat="1">
      <c r="T36290" s="41"/>
    </row>
    <row r="36291" spans="20:20" s="566" customFormat="1">
      <c r="T36291" s="41"/>
    </row>
    <row r="36292" spans="20:20" s="566" customFormat="1">
      <c r="T36292" s="41"/>
    </row>
    <row r="36293" spans="20:20" s="566" customFormat="1">
      <c r="T36293" s="41"/>
    </row>
    <row r="36294" spans="20:20" s="566" customFormat="1">
      <c r="T36294" s="41"/>
    </row>
    <row r="36295" spans="20:20" s="566" customFormat="1">
      <c r="T36295" s="41"/>
    </row>
    <row r="36296" spans="20:20" s="566" customFormat="1">
      <c r="T36296" s="41"/>
    </row>
    <row r="36297" spans="20:20" s="566" customFormat="1">
      <c r="T36297" s="41"/>
    </row>
    <row r="36298" spans="20:20" s="566" customFormat="1">
      <c r="T36298" s="41"/>
    </row>
    <row r="36299" spans="20:20" s="566" customFormat="1">
      <c r="T36299" s="41"/>
    </row>
    <row r="36300" spans="20:20" s="566" customFormat="1">
      <c r="T36300" s="41"/>
    </row>
    <row r="36301" spans="20:20" s="566" customFormat="1">
      <c r="T36301" s="41"/>
    </row>
    <row r="36302" spans="20:20" s="566" customFormat="1">
      <c r="T36302" s="41"/>
    </row>
    <row r="36303" spans="20:20" s="566" customFormat="1">
      <c r="T36303" s="41"/>
    </row>
    <row r="36304" spans="20:20" s="566" customFormat="1">
      <c r="T36304" s="41"/>
    </row>
    <row r="36305" spans="20:20" s="566" customFormat="1">
      <c r="T36305" s="41"/>
    </row>
    <row r="36306" spans="20:20" s="566" customFormat="1">
      <c r="T36306" s="41"/>
    </row>
    <row r="36307" spans="20:20" s="566" customFormat="1">
      <c r="T36307" s="41"/>
    </row>
    <row r="36308" spans="20:20" s="566" customFormat="1">
      <c r="T36308" s="41"/>
    </row>
    <row r="36309" spans="20:20" s="566" customFormat="1">
      <c r="T36309" s="41"/>
    </row>
    <row r="36310" spans="20:20" s="566" customFormat="1">
      <c r="T36310" s="41"/>
    </row>
    <row r="36311" spans="20:20" s="566" customFormat="1">
      <c r="T36311" s="41"/>
    </row>
    <row r="36312" spans="20:20" s="566" customFormat="1">
      <c r="T36312" s="41"/>
    </row>
    <row r="36313" spans="20:20" s="566" customFormat="1">
      <c r="T36313" s="41"/>
    </row>
    <row r="36314" spans="20:20" s="566" customFormat="1">
      <c r="T36314" s="41"/>
    </row>
    <row r="36315" spans="20:20" s="566" customFormat="1">
      <c r="T36315" s="41"/>
    </row>
    <row r="36316" spans="20:20" s="566" customFormat="1">
      <c r="T36316" s="41"/>
    </row>
    <row r="36317" spans="20:20" s="566" customFormat="1">
      <c r="T36317" s="41"/>
    </row>
    <row r="36318" spans="20:20" s="566" customFormat="1">
      <c r="T36318" s="41"/>
    </row>
    <row r="36319" spans="20:20" s="566" customFormat="1">
      <c r="T36319" s="41"/>
    </row>
    <row r="36320" spans="20:20" s="566" customFormat="1">
      <c r="T36320" s="41"/>
    </row>
    <row r="36321" spans="20:20" s="566" customFormat="1">
      <c r="T36321" s="41"/>
    </row>
    <row r="36322" spans="20:20" s="566" customFormat="1">
      <c r="T36322" s="41"/>
    </row>
    <row r="36323" spans="20:20" s="566" customFormat="1">
      <c r="T36323" s="41"/>
    </row>
    <row r="36324" spans="20:20" s="566" customFormat="1">
      <c r="T36324" s="41"/>
    </row>
    <row r="36325" spans="20:20" s="566" customFormat="1">
      <c r="T36325" s="41"/>
    </row>
    <row r="36326" spans="20:20" s="566" customFormat="1">
      <c r="T36326" s="41"/>
    </row>
    <row r="36327" spans="20:20" s="566" customFormat="1">
      <c r="T36327" s="41"/>
    </row>
    <row r="36328" spans="20:20" s="566" customFormat="1">
      <c r="T36328" s="41"/>
    </row>
    <row r="36329" spans="20:20" s="566" customFormat="1">
      <c r="T36329" s="41"/>
    </row>
    <row r="36330" spans="20:20" s="566" customFormat="1">
      <c r="T36330" s="41"/>
    </row>
    <row r="36331" spans="20:20" s="566" customFormat="1">
      <c r="T36331" s="41"/>
    </row>
    <row r="36332" spans="20:20" s="566" customFormat="1">
      <c r="T36332" s="41"/>
    </row>
    <row r="36333" spans="20:20" s="566" customFormat="1">
      <c r="T36333" s="41"/>
    </row>
    <row r="36334" spans="20:20" s="566" customFormat="1">
      <c r="T36334" s="41"/>
    </row>
    <row r="36335" spans="20:20" s="566" customFormat="1">
      <c r="T36335" s="41"/>
    </row>
    <row r="36336" spans="20:20" s="566" customFormat="1">
      <c r="T36336" s="41"/>
    </row>
    <row r="36337" spans="20:20" s="566" customFormat="1">
      <c r="T36337" s="41"/>
    </row>
    <row r="36338" spans="20:20" s="566" customFormat="1">
      <c r="T36338" s="41"/>
    </row>
    <row r="36339" spans="20:20" s="566" customFormat="1">
      <c r="T36339" s="41"/>
    </row>
    <row r="36340" spans="20:20" s="566" customFormat="1">
      <c r="T36340" s="41"/>
    </row>
    <row r="36341" spans="20:20" s="566" customFormat="1">
      <c r="T36341" s="41"/>
    </row>
    <row r="36342" spans="20:20" s="566" customFormat="1">
      <c r="T36342" s="41"/>
    </row>
    <row r="36343" spans="20:20" s="566" customFormat="1">
      <c r="T36343" s="41"/>
    </row>
    <row r="36344" spans="20:20" s="566" customFormat="1">
      <c r="T36344" s="41"/>
    </row>
    <row r="36345" spans="20:20" s="566" customFormat="1">
      <c r="T36345" s="41"/>
    </row>
    <row r="36346" spans="20:20" s="566" customFormat="1">
      <c r="T36346" s="41"/>
    </row>
    <row r="36347" spans="20:20" s="566" customFormat="1">
      <c r="T36347" s="41"/>
    </row>
    <row r="36348" spans="20:20" s="566" customFormat="1">
      <c r="T36348" s="41"/>
    </row>
    <row r="36349" spans="20:20" s="566" customFormat="1">
      <c r="T36349" s="41"/>
    </row>
    <row r="36350" spans="20:20" s="566" customFormat="1">
      <c r="T36350" s="41"/>
    </row>
    <row r="36351" spans="20:20" s="566" customFormat="1">
      <c r="T36351" s="41"/>
    </row>
    <row r="36352" spans="20:20" s="566" customFormat="1">
      <c r="T36352" s="41"/>
    </row>
    <row r="36353" spans="20:20" s="566" customFormat="1">
      <c r="T36353" s="41"/>
    </row>
    <row r="36354" spans="20:20" s="566" customFormat="1">
      <c r="T36354" s="41"/>
    </row>
    <row r="36355" spans="20:20" s="566" customFormat="1">
      <c r="T36355" s="41"/>
    </row>
    <row r="36356" spans="20:20" s="566" customFormat="1">
      <c r="T36356" s="41"/>
    </row>
    <row r="36357" spans="20:20" s="566" customFormat="1">
      <c r="T36357" s="41"/>
    </row>
    <row r="36358" spans="20:20" s="566" customFormat="1">
      <c r="T36358" s="41"/>
    </row>
    <row r="36359" spans="20:20" s="566" customFormat="1">
      <c r="T36359" s="41"/>
    </row>
    <row r="36360" spans="20:20" s="566" customFormat="1">
      <c r="T36360" s="41"/>
    </row>
    <row r="36361" spans="20:20" s="566" customFormat="1">
      <c r="T36361" s="41"/>
    </row>
    <row r="36362" spans="20:20" s="566" customFormat="1">
      <c r="T36362" s="41"/>
    </row>
    <row r="36363" spans="20:20" s="566" customFormat="1">
      <c r="T36363" s="41"/>
    </row>
    <row r="36364" spans="20:20" s="566" customFormat="1">
      <c r="T36364" s="41"/>
    </row>
    <row r="36365" spans="20:20" s="566" customFormat="1">
      <c r="T36365" s="41"/>
    </row>
    <row r="36366" spans="20:20" s="566" customFormat="1">
      <c r="T36366" s="41"/>
    </row>
    <row r="36367" spans="20:20" s="566" customFormat="1">
      <c r="T36367" s="41"/>
    </row>
    <row r="36368" spans="20:20" s="566" customFormat="1">
      <c r="T36368" s="41"/>
    </row>
    <row r="36369" spans="20:20" s="566" customFormat="1">
      <c r="T36369" s="41"/>
    </row>
    <row r="36370" spans="20:20" s="566" customFormat="1">
      <c r="T36370" s="41"/>
    </row>
    <row r="36371" spans="20:20" s="566" customFormat="1">
      <c r="T36371" s="41"/>
    </row>
    <row r="36372" spans="20:20" s="566" customFormat="1">
      <c r="T36372" s="41"/>
    </row>
    <row r="36373" spans="20:20" s="566" customFormat="1">
      <c r="T36373" s="41"/>
    </row>
    <row r="36374" spans="20:20" s="566" customFormat="1">
      <c r="T36374" s="41"/>
    </row>
    <row r="36375" spans="20:20" s="566" customFormat="1">
      <c r="T36375" s="41"/>
    </row>
    <row r="36376" spans="20:20" s="566" customFormat="1">
      <c r="T36376" s="41"/>
    </row>
    <row r="36377" spans="20:20" s="566" customFormat="1">
      <c r="T36377" s="41"/>
    </row>
    <row r="36378" spans="20:20" s="566" customFormat="1">
      <c r="T36378" s="41"/>
    </row>
    <row r="36379" spans="20:20" s="566" customFormat="1">
      <c r="T36379" s="41"/>
    </row>
    <row r="36380" spans="20:20" s="566" customFormat="1">
      <c r="T36380" s="41"/>
    </row>
    <row r="36381" spans="20:20" s="566" customFormat="1">
      <c r="T36381" s="41"/>
    </row>
    <row r="36382" spans="20:20" s="566" customFormat="1">
      <c r="T36382" s="41"/>
    </row>
    <row r="36383" spans="20:20" s="566" customFormat="1">
      <c r="T36383" s="41"/>
    </row>
    <row r="36384" spans="20:20" s="566" customFormat="1">
      <c r="T36384" s="41"/>
    </row>
    <row r="36385" spans="20:20" s="566" customFormat="1">
      <c r="T36385" s="41"/>
    </row>
    <row r="36386" spans="20:20" s="566" customFormat="1">
      <c r="T36386" s="41"/>
    </row>
    <row r="36387" spans="20:20" s="566" customFormat="1">
      <c r="T36387" s="41"/>
    </row>
    <row r="36388" spans="20:20" s="566" customFormat="1">
      <c r="T36388" s="41"/>
    </row>
    <row r="36389" spans="20:20" s="566" customFormat="1">
      <c r="T36389" s="41"/>
    </row>
    <row r="36390" spans="20:20" s="566" customFormat="1">
      <c r="T36390" s="41"/>
    </row>
    <row r="36391" spans="20:20" s="566" customFormat="1">
      <c r="T36391" s="41"/>
    </row>
    <row r="36392" spans="20:20" s="566" customFormat="1">
      <c r="T36392" s="41"/>
    </row>
    <row r="36393" spans="20:20" s="566" customFormat="1">
      <c r="T36393" s="41"/>
    </row>
    <row r="36394" spans="20:20" s="566" customFormat="1">
      <c r="T36394" s="41"/>
    </row>
    <row r="36395" spans="20:20" s="566" customFormat="1">
      <c r="T36395" s="41"/>
    </row>
    <row r="36396" spans="20:20" s="566" customFormat="1">
      <c r="T36396" s="41"/>
    </row>
    <row r="36397" spans="20:20" s="566" customFormat="1">
      <c r="T36397" s="41"/>
    </row>
    <row r="36398" spans="20:20" s="566" customFormat="1">
      <c r="T36398" s="41"/>
    </row>
    <row r="36399" spans="20:20" s="566" customFormat="1">
      <c r="T36399" s="41"/>
    </row>
    <row r="36400" spans="20:20" s="566" customFormat="1">
      <c r="T36400" s="41"/>
    </row>
    <row r="36401" spans="20:20" s="566" customFormat="1">
      <c r="T36401" s="41"/>
    </row>
    <row r="36402" spans="20:20" s="566" customFormat="1">
      <c r="T36402" s="41"/>
    </row>
    <row r="36403" spans="20:20" s="566" customFormat="1">
      <c r="T36403" s="41"/>
    </row>
    <row r="36404" spans="20:20" s="566" customFormat="1">
      <c r="T36404" s="41"/>
    </row>
    <row r="36405" spans="20:20" s="566" customFormat="1">
      <c r="T36405" s="41"/>
    </row>
    <row r="36406" spans="20:20" s="566" customFormat="1">
      <c r="T36406" s="41"/>
    </row>
    <row r="36407" spans="20:20" s="566" customFormat="1">
      <c r="T36407" s="41"/>
    </row>
    <row r="36408" spans="20:20" s="566" customFormat="1">
      <c r="T36408" s="41"/>
    </row>
    <row r="36409" spans="20:20" s="566" customFormat="1">
      <c r="T36409" s="41"/>
    </row>
    <row r="36410" spans="20:20" s="566" customFormat="1">
      <c r="T36410" s="41"/>
    </row>
    <row r="36411" spans="20:20" s="566" customFormat="1">
      <c r="T36411" s="41"/>
    </row>
    <row r="36412" spans="20:20" s="566" customFormat="1">
      <c r="T36412" s="41"/>
    </row>
    <row r="36413" spans="20:20" s="566" customFormat="1">
      <c r="T36413" s="41"/>
    </row>
    <row r="36414" spans="20:20" s="566" customFormat="1">
      <c r="T36414" s="41"/>
    </row>
    <row r="36415" spans="20:20" s="566" customFormat="1">
      <c r="T36415" s="41"/>
    </row>
    <row r="36416" spans="20:20" s="566" customFormat="1">
      <c r="T36416" s="41"/>
    </row>
    <row r="36417" spans="20:20" s="566" customFormat="1">
      <c r="T36417" s="41"/>
    </row>
    <row r="36418" spans="20:20" s="566" customFormat="1">
      <c r="T36418" s="41"/>
    </row>
    <row r="36419" spans="20:20" s="566" customFormat="1">
      <c r="T36419" s="41"/>
    </row>
    <row r="36420" spans="20:20" s="566" customFormat="1">
      <c r="T36420" s="41"/>
    </row>
    <row r="36421" spans="20:20" s="566" customFormat="1">
      <c r="T36421" s="41"/>
    </row>
    <row r="36422" spans="20:20" s="566" customFormat="1">
      <c r="T36422" s="41"/>
    </row>
    <row r="36423" spans="20:20" s="566" customFormat="1">
      <c r="T36423" s="41"/>
    </row>
    <row r="36424" spans="20:20" s="566" customFormat="1">
      <c r="T36424" s="41"/>
    </row>
    <row r="36425" spans="20:20" s="566" customFormat="1">
      <c r="T36425" s="41"/>
    </row>
    <row r="36426" spans="20:20" s="566" customFormat="1">
      <c r="T36426" s="41"/>
    </row>
    <row r="36427" spans="20:20" s="566" customFormat="1">
      <c r="T36427" s="41"/>
    </row>
    <row r="36428" spans="20:20" s="566" customFormat="1">
      <c r="T36428" s="41"/>
    </row>
    <row r="36429" spans="20:20" s="566" customFormat="1">
      <c r="T36429" s="41"/>
    </row>
    <row r="36430" spans="20:20" s="566" customFormat="1">
      <c r="T36430" s="41"/>
    </row>
    <row r="36431" spans="20:20" s="566" customFormat="1">
      <c r="T36431" s="41"/>
    </row>
    <row r="36432" spans="20:20" s="566" customFormat="1">
      <c r="T36432" s="41"/>
    </row>
    <row r="36433" spans="20:20" s="566" customFormat="1">
      <c r="T36433" s="41"/>
    </row>
    <row r="36434" spans="20:20" s="566" customFormat="1">
      <c r="T36434" s="41"/>
    </row>
    <row r="36435" spans="20:20" s="566" customFormat="1">
      <c r="T36435" s="41"/>
    </row>
    <row r="36436" spans="20:20" s="566" customFormat="1">
      <c r="T36436" s="41"/>
    </row>
    <row r="36437" spans="20:20" s="566" customFormat="1">
      <c r="T36437" s="41"/>
    </row>
    <row r="36438" spans="20:20" s="566" customFormat="1">
      <c r="T36438" s="41"/>
    </row>
    <row r="36439" spans="20:20" s="566" customFormat="1">
      <c r="T36439" s="41"/>
    </row>
    <row r="36440" spans="20:20" s="566" customFormat="1">
      <c r="T36440" s="41"/>
    </row>
    <row r="36441" spans="20:20" s="566" customFormat="1">
      <c r="T36441" s="41"/>
    </row>
    <row r="36442" spans="20:20" s="566" customFormat="1">
      <c r="T36442" s="41"/>
    </row>
    <row r="36443" spans="20:20" s="566" customFormat="1">
      <c r="T36443" s="41"/>
    </row>
    <row r="36444" spans="20:20" s="566" customFormat="1">
      <c r="T36444" s="41"/>
    </row>
    <row r="36445" spans="20:20" s="566" customFormat="1">
      <c r="T36445" s="41"/>
    </row>
    <row r="36446" spans="20:20" s="566" customFormat="1">
      <c r="T36446" s="41"/>
    </row>
    <row r="36447" spans="20:20" s="566" customFormat="1">
      <c r="T36447" s="41"/>
    </row>
    <row r="36448" spans="20:20" s="566" customFormat="1">
      <c r="T36448" s="41"/>
    </row>
    <row r="36449" spans="20:20" s="566" customFormat="1">
      <c r="T36449" s="41"/>
    </row>
    <row r="36450" spans="20:20" s="566" customFormat="1">
      <c r="T36450" s="41"/>
    </row>
    <row r="36451" spans="20:20" s="566" customFormat="1">
      <c r="T36451" s="41"/>
    </row>
    <row r="36452" spans="20:20" s="566" customFormat="1">
      <c r="T36452" s="41"/>
    </row>
    <row r="36453" spans="20:20" s="566" customFormat="1">
      <c r="T36453" s="41"/>
    </row>
    <row r="36454" spans="20:20" s="566" customFormat="1">
      <c r="T36454" s="41"/>
    </row>
    <row r="36455" spans="20:20" s="566" customFormat="1">
      <c r="T36455" s="41"/>
    </row>
    <row r="36456" spans="20:20" s="566" customFormat="1">
      <c r="T36456" s="41"/>
    </row>
    <row r="36457" spans="20:20" s="566" customFormat="1">
      <c r="T36457" s="41"/>
    </row>
    <row r="36458" spans="20:20" s="566" customFormat="1">
      <c r="T36458" s="41"/>
    </row>
    <row r="36459" spans="20:20" s="566" customFormat="1">
      <c r="T36459" s="41"/>
    </row>
    <row r="36460" spans="20:20" s="566" customFormat="1">
      <c r="T36460" s="41"/>
    </row>
    <row r="36461" spans="20:20" s="566" customFormat="1">
      <c r="T36461" s="41"/>
    </row>
    <row r="36462" spans="20:20" s="566" customFormat="1">
      <c r="T36462" s="41"/>
    </row>
    <row r="36463" spans="20:20" s="566" customFormat="1">
      <c r="T36463" s="41"/>
    </row>
    <row r="36464" spans="20:20" s="566" customFormat="1">
      <c r="T36464" s="41"/>
    </row>
    <row r="36465" spans="20:20" s="566" customFormat="1">
      <c r="T36465" s="41"/>
    </row>
    <row r="36466" spans="20:20" s="566" customFormat="1">
      <c r="T36466" s="41"/>
    </row>
    <row r="36467" spans="20:20" s="566" customFormat="1">
      <c r="T36467" s="41"/>
    </row>
    <row r="36468" spans="20:20" s="566" customFormat="1">
      <c r="T36468" s="41"/>
    </row>
    <row r="36469" spans="20:20" s="566" customFormat="1">
      <c r="T36469" s="41"/>
    </row>
    <row r="36470" spans="20:20" s="566" customFormat="1">
      <c r="T36470" s="41"/>
    </row>
    <row r="36471" spans="20:20" s="566" customFormat="1">
      <c r="T36471" s="41"/>
    </row>
    <row r="36472" spans="20:20" s="566" customFormat="1">
      <c r="T36472" s="41"/>
    </row>
    <row r="36473" spans="20:20" s="566" customFormat="1">
      <c r="T36473" s="41"/>
    </row>
    <row r="36474" spans="20:20" s="566" customFormat="1">
      <c r="T36474" s="41"/>
    </row>
    <row r="36475" spans="20:20" s="566" customFormat="1">
      <c r="T36475" s="41"/>
    </row>
    <row r="36476" spans="20:20" s="566" customFormat="1">
      <c r="T36476" s="41"/>
    </row>
    <row r="36477" spans="20:20" s="566" customFormat="1">
      <c r="T36477" s="41"/>
    </row>
    <row r="36478" spans="20:20" s="566" customFormat="1">
      <c r="T36478" s="41"/>
    </row>
    <row r="36479" spans="20:20" s="566" customFormat="1">
      <c r="T36479" s="41"/>
    </row>
    <row r="36480" spans="20:20" s="566" customFormat="1">
      <c r="T36480" s="41"/>
    </row>
    <row r="36481" spans="20:20" s="566" customFormat="1">
      <c r="T36481" s="41"/>
    </row>
    <row r="36482" spans="20:20" s="566" customFormat="1">
      <c r="T36482" s="41"/>
    </row>
    <row r="36483" spans="20:20" s="566" customFormat="1">
      <c r="T36483" s="41"/>
    </row>
    <row r="36484" spans="20:20" s="566" customFormat="1">
      <c r="T36484" s="41"/>
    </row>
    <row r="36485" spans="20:20" s="566" customFormat="1">
      <c r="T36485" s="41"/>
    </row>
    <row r="36486" spans="20:20" s="566" customFormat="1">
      <c r="T36486" s="41"/>
    </row>
    <row r="36487" spans="20:20" s="566" customFormat="1">
      <c r="T36487" s="41"/>
    </row>
    <row r="36488" spans="20:20" s="566" customFormat="1">
      <c r="T36488" s="41"/>
    </row>
    <row r="36489" spans="20:20" s="566" customFormat="1">
      <c r="T36489" s="41"/>
    </row>
    <row r="36490" spans="20:20" s="566" customFormat="1">
      <c r="T36490" s="41"/>
    </row>
    <row r="36491" spans="20:20" s="566" customFormat="1">
      <c r="T36491" s="41"/>
    </row>
    <row r="36492" spans="20:20" s="566" customFormat="1">
      <c r="T36492" s="41"/>
    </row>
    <row r="36493" spans="20:20" s="566" customFormat="1">
      <c r="T36493" s="41"/>
    </row>
    <row r="36494" spans="20:20" s="566" customFormat="1">
      <c r="T36494" s="41"/>
    </row>
    <row r="36495" spans="20:20" s="566" customFormat="1">
      <c r="T36495" s="41"/>
    </row>
    <row r="36496" spans="20:20" s="566" customFormat="1">
      <c r="T36496" s="41"/>
    </row>
    <row r="36497" spans="20:20" s="566" customFormat="1">
      <c r="T36497" s="41"/>
    </row>
    <row r="36498" spans="20:20" s="566" customFormat="1">
      <c r="T36498" s="41"/>
    </row>
    <row r="36499" spans="20:20" s="566" customFormat="1">
      <c r="T36499" s="41"/>
    </row>
    <row r="36500" spans="20:20" s="566" customFormat="1">
      <c r="T36500" s="41"/>
    </row>
    <row r="36501" spans="20:20" s="566" customFormat="1">
      <c r="T36501" s="41"/>
    </row>
    <row r="36502" spans="20:20" s="566" customFormat="1">
      <c r="T36502" s="41"/>
    </row>
    <row r="36503" spans="20:20" s="566" customFormat="1">
      <c r="T36503" s="41"/>
    </row>
    <row r="36504" spans="20:20" s="566" customFormat="1">
      <c r="T36504" s="41"/>
    </row>
    <row r="36505" spans="20:20" s="566" customFormat="1">
      <c r="T36505" s="41"/>
    </row>
    <row r="36506" spans="20:20" s="566" customFormat="1">
      <c r="T36506" s="41"/>
    </row>
    <row r="36507" spans="20:20" s="566" customFormat="1">
      <c r="T36507" s="41"/>
    </row>
    <row r="36508" spans="20:20" s="566" customFormat="1">
      <c r="T36508" s="41"/>
    </row>
    <row r="36509" spans="20:20" s="566" customFormat="1">
      <c r="T36509" s="41"/>
    </row>
    <row r="36510" spans="20:20" s="566" customFormat="1">
      <c r="T36510" s="41"/>
    </row>
    <row r="36511" spans="20:20" s="566" customFormat="1">
      <c r="T36511" s="41"/>
    </row>
    <row r="36512" spans="20:20" s="566" customFormat="1">
      <c r="T36512" s="41"/>
    </row>
    <row r="36513" spans="20:20" s="566" customFormat="1">
      <c r="T36513" s="41"/>
    </row>
    <row r="36514" spans="20:20" s="566" customFormat="1">
      <c r="T36514" s="41"/>
    </row>
    <row r="36515" spans="20:20" s="566" customFormat="1">
      <c r="T36515" s="41"/>
    </row>
    <row r="36516" spans="20:20" s="566" customFormat="1">
      <c r="T36516" s="41"/>
    </row>
    <row r="36517" spans="20:20" s="566" customFormat="1">
      <c r="T36517" s="41"/>
    </row>
    <row r="36518" spans="20:20" s="566" customFormat="1">
      <c r="T36518" s="41"/>
    </row>
    <row r="36519" spans="20:20" s="566" customFormat="1">
      <c r="T36519" s="41"/>
    </row>
    <row r="36520" spans="20:20" s="566" customFormat="1">
      <c r="T36520" s="41"/>
    </row>
    <row r="36521" spans="20:20" s="566" customFormat="1">
      <c r="T36521" s="41"/>
    </row>
    <row r="36522" spans="20:20" s="566" customFormat="1">
      <c r="T36522" s="41"/>
    </row>
    <row r="36523" spans="20:20" s="566" customFormat="1">
      <c r="T36523" s="41"/>
    </row>
    <row r="36524" spans="20:20" s="566" customFormat="1">
      <c r="T36524" s="41"/>
    </row>
    <row r="36525" spans="20:20" s="566" customFormat="1">
      <c r="T36525" s="41"/>
    </row>
    <row r="36526" spans="20:20" s="566" customFormat="1">
      <c r="T36526" s="41"/>
    </row>
    <row r="36527" spans="20:20" s="566" customFormat="1">
      <c r="T36527" s="41"/>
    </row>
    <row r="36528" spans="20:20" s="566" customFormat="1">
      <c r="T36528" s="41"/>
    </row>
    <row r="36529" spans="20:20" s="566" customFormat="1">
      <c r="T36529" s="41"/>
    </row>
    <row r="36530" spans="20:20" s="566" customFormat="1">
      <c r="T36530" s="41"/>
    </row>
    <row r="36531" spans="20:20" s="566" customFormat="1">
      <c r="T36531" s="41"/>
    </row>
    <row r="36532" spans="20:20" s="566" customFormat="1">
      <c r="T36532" s="41"/>
    </row>
    <row r="36533" spans="20:20" s="566" customFormat="1">
      <c r="T36533" s="41"/>
    </row>
    <row r="36534" spans="20:20" s="566" customFormat="1">
      <c r="T36534" s="41"/>
    </row>
    <row r="36535" spans="20:20" s="566" customFormat="1">
      <c r="T36535" s="41"/>
    </row>
    <row r="36536" spans="20:20" s="566" customFormat="1">
      <c r="T36536" s="41"/>
    </row>
    <row r="36537" spans="20:20" s="566" customFormat="1">
      <c r="T36537" s="41"/>
    </row>
    <row r="36538" spans="20:20" s="566" customFormat="1">
      <c r="T36538" s="41"/>
    </row>
    <row r="36539" spans="20:20" s="566" customFormat="1">
      <c r="T36539" s="41"/>
    </row>
    <row r="36540" spans="20:20" s="566" customFormat="1">
      <c r="T36540" s="41"/>
    </row>
    <row r="36541" spans="20:20" s="566" customFormat="1">
      <c r="T36541" s="41"/>
    </row>
    <row r="36542" spans="20:20" s="566" customFormat="1">
      <c r="T36542" s="41"/>
    </row>
    <row r="36543" spans="20:20" s="566" customFormat="1">
      <c r="T36543" s="41"/>
    </row>
    <row r="36544" spans="20:20" s="566" customFormat="1">
      <c r="T36544" s="41"/>
    </row>
    <row r="36545" spans="20:20" s="566" customFormat="1">
      <c r="T36545" s="41"/>
    </row>
    <row r="36546" spans="20:20" s="566" customFormat="1">
      <c r="T36546" s="41"/>
    </row>
    <row r="36547" spans="20:20" s="566" customFormat="1">
      <c r="T36547" s="41"/>
    </row>
    <row r="36548" spans="20:20" s="566" customFormat="1">
      <c r="T36548" s="41"/>
    </row>
    <row r="36549" spans="20:20" s="566" customFormat="1">
      <c r="T36549" s="41"/>
    </row>
    <row r="36550" spans="20:20" s="566" customFormat="1">
      <c r="T36550" s="41"/>
    </row>
    <row r="36551" spans="20:20" s="566" customFormat="1">
      <c r="T36551" s="41"/>
    </row>
    <row r="36552" spans="20:20" s="566" customFormat="1">
      <c r="T36552" s="41"/>
    </row>
    <row r="36553" spans="20:20" s="566" customFormat="1">
      <c r="T36553" s="41"/>
    </row>
    <row r="36554" spans="20:20" s="566" customFormat="1">
      <c r="T36554" s="41"/>
    </row>
    <row r="36555" spans="20:20" s="566" customFormat="1">
      <c r="T36555" s="41"/>
    </row>
    <row r="36556" spans="20:20" s="566" customFormat="1">
      <c r="T36556" s="41"/>
    </row>
    <row r="36557" spans="20:20" s="566" customFormat="1">
      <c r="T36557" s="41"/>
    </row>
    <row r="36558" spans="20:20" s="566" customFormat="1">
      <c r="T36558" s="41"/>
    </row>
    <row r="36559" spans="20:20" s="566" customFormat="1">
      <c r="T36559" s="41"/>
    </row>
    <row r="36560" spans="20:20" s="566" customFormat="1">
      <c r="T36560" s="41"/>
    </row>
    <row r="36561" spans="20:20" s="566" customFormat="1">
      <c r="T36561" s="41"/>
    </row>
    <row r="36562" spans="20:20" s="566" customFormat="1">
      <c r="T36562" s="41"/>
    </row>
    <row r="36563" spans="20:20" s="566" customFormat="1">
      <c r="T36563" s="41"/>
    </row>
    <row r="36564" spans="20:20" s="566" customFormat="1">
      <c r="T36564" s="41"/>
    </row>
    <row r="36565" spans="20:20" s="566" customFormat="1">
      <c r="T36565" s="41"/>
    </row>
    <row r="36566" spans="20:20" s="566" customFormat="1">
      <c r="T36566" s="41"/>
    </row>
    <row r="36567" spans="20:20" s="566" customFormat="1">
      <c r="T36567" s="41"/>
    </row>
    <row r="36568" spans="20:20" s="566" customFormat="1">
      <c r="T36568" s="41"/>
    </row>
    <row r="36569" spans="20:20" s="566" customFormat="1">
      <c r="T36569" s="41"/>
    </row>
    <row r="36570" spans="20:20" s="566" customFormat="1">
      <c r="T36570" s="41"/>
    </row>
    <row r="36571" spans="20:20" s="566" customFormat="1">
      <c r="T36571" s="41"/>
    </row>
    <row r="36572" spans="20:20" s="566" customFormat="1">
      <c r="T36572" s="41"/>
    </row>
    <row r="36573" spans="20:20" s="566" customFormat="1">
      <c r="T36573" s="41"/>
    </row>
    <row r="36574" spans="20:20" s="566" customFormat="1">
      <c r="T36574" s="41"/>
    </row>
    <row r="36575" spans="20:20" s="566" customFormat="1">
      <c r="T36575" s="41"/>
    </row>
    <row r="36576" spans="20:20" s="566" customFormat="1">
      <c r="T36576" s="41"/>
    </row>
    <row r="36577" spans="20:20" s="566" customFormat="1">
      <c r="T36577" s="41"/>
    </row>
    <row r="36578" spans="20:20" s="566" customFormat="1">
      <c r="T36578" s="41"/>
    </row>
    <row r="36579" spans="20:20" s="566" customFormat="1">
      <c r="T36579" s="41"/>
    </row>
    <row r="36580" spans="20:20" s="566" customFormat="1">
      <c r="T36580" s="41"/>
    </row>
    <row r="36581" spans="20:20" s="566" customFormat="1">
      <c r="T36581" s="41"/>
    </row>
    <row r="36582" spans="20:20" s="566" customFormat="1">
      <c r="T36582" s="41"/>
    </row>
    <row r="36583" spans="20:20" s="566" customFormat="1">
      <c r="T36583" s="41"/>
    </row>
    <row r="36584" spans="20:20" s="566" customFormat="1">
      <c r="T36584" s="41"/>
    </row>
    <row r="36585" spans="20:20" s="566" customFormat="1">
      <c r="T36585" s="41"/>
    </row>
    <row r="36586" spans="20:20" s="566" customFormat="1">
      <c r="T36586" s="41"/>
    </row>
    <row r="36587" spans="20:20" s="566" customFormat="1">
      <c r="T36587" s="41"/>
    </row>
    <row r="36588" spans="20:20" s="566" customFormat="1">
      <c r="T36588" s="41"/>
    </row>
    <row r="36589" spans="20:20" s="566" customFormat="1">
      <c r="T36589" s="41"/>
    </row>
    <row r="36590" spans="20:20" s="566" customFormat="1">
      <c r="T36590" s="41"/>
    </row>
    <row r="36591" spans="20:20" s="566" customFormat="1">
      <c r="T36591" s="41"/>
    </row>
    <row r="36592" spans="20:20" s="566" customFormat="1">
      <c r="T36592" s="41"/>
    </row>
    <row r="36593" spans="20:20" s="566" customFormat="1">
      <c r="T36593" s="41"/>
    </row>
    <row r="36594" spans="20:20" s="566" customFormat="1">
      <c r="T36594" s="41"/>
    </row>
    <row r="36595" spans="20:20" s="566" customFormat="1">
      <c r="T36595" s="41"/>
    </row>
    <row r="36596" spans="20:20" s="566" customFormat="1">
      <c r="T36596" s="41"/>
    </row>
    <row r="36597" spans="20:20" s="566" customFormat="1">
      <c r="T36597" s="41"/>
    </row>
    <row r="36598" spans="20:20" s="566" customFormat="1">
      <c r="T36598" s="41"/>
    </row>
    <row r="36599" spans="20:20" s="566" customFormat="1">
      <c r="T36599" s="41"/>
    </row>
    <row r="36600" spans="20:20" s="566" customFormat="1">
      <c r="T36600" s="41"/>
    </row>
    <row r="36601" spans="20:20" s="566" customFormat="1">
      <c r="T36601" s="41"/>
    </row>
    <row r="36602" spans="20:20" s="566" customFormat="1">
      <c r="T36602" s="41"/>
    </row>
    <row r="36603" spans="20:20" s="566" customFormat="1">
      <c r="T36603" s="41"/>
    </row>
    <row r="36604" spans="20:20" s="566" customFormat="1">
      <c r="T36604" s="41"/>
    </row>
    <row r="36605" spans="20:20" s="566" customFormat="1">
      <c r="T36605" s="41"/>
    </row>
    <row r="36606" spans="20:20" s="566" customFormat="1">
      <c r="T36606" s="41"/>
    </row>
    <row r="36607" spans="20:20" s="566" customFormat="1">
      <c r="T36607" s="41"/>
    </row>
    <row r="36608" spans="20:20" s="566" customFormat="1">
      <c r="T36608" s="41"/>
    </row>
    <row r="36609" spans="20:20" s="566" customFormat="1">
      <c r="T36609" s="41"/>
    </row>
    <row r="36610" spans="20:20" s="566" customFormat="1">
      <c r="T36610" s="41"/>
    </row>
    <row r="36611" spans="20:20" s="566" customFormat="1">
      <c r="T36611" s="41"/>
    </row>
    <row r="36612" spans="20:20" s="566" customFormat="1">
      <c r="T36612" s="41"/>
    </row>
    <row r="36613" spans="20:20" s="566" customFormat="1">
      <c r="T36613" s="41"/>
    </row>
    <row r="36614" spans="20:20" s="566" customFormat="1">
      <c r="T36614" s="41"/>
    </row>
    <row r="36615" spans="20:20" s="566" customFormat="1">
      <c r="T36615" s="41"/>
    </row>
    <row r="36616" spans="20:20" s="566" customFormat="1">
      <c r="T36616" s="41"/>
    </row>
    <row r="36617" spans="20:20" s="566" customFormat="1">
      <c r="T36617" s="41"/>
    </row>
    <row r="36618" spans="20:20" s="566" customFormat="1">
      <c r="T36618" s="41"/>
    </row>
    <row r="36619" spans="20:20" s="566" customFormat="1">
      <c r="T36619" s="41"/>
    </row>
    <row r="36620" spans="20:20" s="566" customFormat="1">
      <c r="T36620" s="41"/>
    </row>
    <row r="36621" spans="20:20" s="566" customFormat="1">
      <c r="T36621" s="41"/>
    </row>
    <row r="36622" spans="20:20" s="566" customFormat="1">
      <c r="T36622" s="41"/>
    </row>
    <row r="36623" spans="20:20" s="566" customFormat="1">
      <c r="T36623" s="41"/>
    </row>
    <row r="36624" spans="20:20" s="566" customFormat="1">
      <c r="T36624" s="41"/>
    </row>
    <row r="36625" spans="20:20" s="566" customFormat="1">
      <c r="T36625" s="41"/>
    </row>
    <row r="36626" spans="20:20" s="566" customFormat="1">
      <c r="T36626" s="41"/>
    </row>
    <row r="36627" spans="20:20" s="566" customFormat="1">
      <c r="T36627" s="41"/>
    </row>
    <row r="36628" spans="20:20" s="566" customFormat="1">
      <c r="T36628" s="41"/>
    </row>
    <row r="36629" spans="20:20" s="566" customFormat="1">
      <c r="T36629" s="41"/>
    </row>
    <row r="36630" spans="20:20" s="566" customFormat="1">
      <c r="T36630" s="41"/>
    </row>
    <row r="36631" spans="20:20" s="566" customFormat="1">
      <c r="T36631" s="41"/>
    </row>
    <row r="36632" spans="20:20" s="566" customFormat="1">
      <c r="T36632" s="41"/>
    </row>
    <row r="36633" spans="20:20" s="566" customFormat="1">
      <c r="T36633" s="41"/>
    </row>
    <row r="36634" spans="20:20" s="566" customFormat="1">
      <c r="T36634" s="41"/>
    </row>
    <row r="36635" spans="20:20" s="566" customFormat="1">
      <c r="T36635" s="41"/>
    </row>
    <row r="36636" spans="20:20" s="566" customFormat="1">
      <c r="T36636" s="41"/>
    </row>
    <row r="36637" spans="20:20" s="566" customFormat="1">
      <c r="T36637" s="41"/>
    </row>
    <row r="36638" spans="20:20" s="566" customFormat="1">
      <c r="T36638" s="41"/>
    </row>
    <row r="36639" spans="20:20" s="566" customFormat="1">
      <c r="T36639" s="41"/>
    </row>
    <row r="36640" spans="20:20" s="566" customFormat="1">
      <c r="T36640" s="41"/>
    </row>
    <row r="36641" spans="20:20" s="566" customFormat="1">
      <c r="T36641" s="41"/>
    </row>
    <row r="36642" spans="20:20" s="566" customFormat="1">
      <c r="T36642" s="41"/>
    </row>
    <row r="36643" spans="20:20" s="566" customFormat="1">
      <c r="T36643" s="41"/>
    </row>
    <row r="36644" spans="20:20" s="566" customFormat="1">
      <c r="T36644" s="41"/>
    </row>
    <row r="36645" spans="20:20" s="566" customFormat="1">
      <c r="T36645" s="41"/>
    </row>
    <row r="36646" spans="20:20" s="566" customFormat="1">
      <c r="T36646" s="41"/>
    </row>
    <row r="36647" spans="20:20" s="566" customFormat="1">
      <c r="T36647" s="41"/>
    </row>
    <row r="36648" spans="20:20" s="566" customFormat="1">
      <c r="T36648" s="41"/>
    </row>
    <row r="36649" spans="20:20" s="566" customFormat="1">
      <c r="T36649" s="41"/>
    </row>
    <row r="36650" spans="20:20" s="566" customFormat="1">
      <c r="T36650" s="41"/>
    </row>
    <row r="36651" spans="20:20" s="566" customFormat="1">
      <c r="T36651" s="41"/>
    </row>
    <row r="36652" spans="20:20" s="566" customFormat="1">
      <c r="T36652" s="41"/>
    </row>
    <row r="36653" spans="20:20" s="566" customFormat="1">
      <c r="T36653" s="41"/>
    </row>
    <row r="36654" spans="20:20" s="566" customFormat="1">
      <c r="T36654" s="41"/>
    </row>
    <row r="36655" spans="20:20" s="566" customFormat="1">
      <c r="T36655" s="41"/>
    </row>
    <row r="36656" spans="20:20" s="566" customFormat="1">
      <c r="T36656" s="41"/>
    </row>
    <row r="36657" spans="20:20" s="566" customFormat="1">
      <c r="T36657" s="41"/>
    </row>
    <row r="36658" spans="20:20" s="566" customFormat="1">
      <c r="T36658" s="41"/>
    </row>
    <row r="36659" spans="20:20" s="566" customFormat="1">
      <c r="T36659" s="41"/>
    </row>
    <row r="36660" spans="20:20" s="566" customFormat="1">
      <c r="T36660" s="41"/>
    </row>
    <row r="36661" spans="20:20" s="566" customFormat="1">
      <c r="T36661" s="41"/>
    </row>
    <row r="36662" spans="20:20" s="566" customFormat="1">
      <c r="T36662" s="41"/>
    </row>
    <row r="36663" spans="20:20" s="566" customFormat="1">
      <c r="T36663" s="41"/>
    </row>
    <row r="36664" spans="20:20" s="566" customFormat="1">
      <c r="T36664" s="41"/>
    </row>
    <row r="36665" spans="20:20" s="566" customFormat="1">
      <c r="T36665" s="41"/>
    </row>
    <row r="36666" spans="20:20" s="566" customFormat="1">
      <c r="T36666" s="41"/>
    </row>
    <row r="36667" spans="20:20" s="566" customFormat="1">
      <c r="T36667" s="41"/>
    </row>
    <row r="36668" spans="20:20" s="566" customFormat="1">
      <c r="T36668" s="41"/>
    </row>
    <row r="36669" spans="20:20" s="566" customFormat="1">
      <c r="T36669" s="41"/>
    </row>
    <row r="36670" spans="20:20" s="566" customFormat="1">
      <c r="T36670" s="41"/>
    </row>
    <row r="36671" spans="20:20" s="566" customFormat="1">
      <c r="T36671" s="41"/>
    </row>
    <row r="36672" spans="20:20" s="566" customFormat="1">
      <c r="T36672" s="41"/>
    </row>
    <row r="36673" spans="20:20" s="566" customFormat="1">
      <c r="T36673" s="41"/>
    </row>
    <row r="36674" spans="20:20" s="566" customFormat="1">
      <c r="T36674" s="41"/>
    </row>
    <row r="36675" spans="20:20" s="566" customFormat="1">
      <c r="T36675" s="41"/>
    </row>
    <row r="36676" spans="20:20" s="566" customFormat="1">
      <c r="T36676" s="41"/>
    </row>
    <row r="36677" spans="20:20" s="566" customFormat="1">
      <c r="T36677" s="41"/>
    </row>
    <row r="36678" spans="20:20" s="566" customFormat="1">
      <c r="T36678" s="41"/>
    </row>
    <row r="36679" spans="20:20" s="566" customFormat="1">
      <c r="T36679" s="41"/>
    </row>
    <row r="36680" spans="20:20" s="566" customFormat="1">
      <c r="T36680" s="41"/>
    </row>
    <row r="36681" spans="20:20" s="566" customFormat="1">
      <c r="T36681" s="41"/>
    </row>
    <row r="36682" spans="20:20" s="566" customFormat="1">
      <c r="T36682" s="41"/>
    </row>
    <row r="36683" spans="20:20" s="566" customFormat="1">
      <c r="T36683" s="41"/>
    </row>
    <row r="36684" spans="20:20" s="566" customFormat="1">
      <c r="T36684" s="41"/>
    </row>
    <row r="36685" spans="20:20" s="566" customFormat="1">
      <c r="T36685" s="41"/>
    </row>
    <row r="36686" spans="20:20" s="566" customFormat="1">
      <c r="T36686" s="41"/>
    </row>
    <row r="36687" spans="20:20" s="566" customFormat="1">
      <c r="T36687" s="41"/>
    </row>
    <row r="36688" spans="20:20" s="566" customFormat="1">
      <c r="T36688" s="41"/>
    </row>
    <row r="36689" spans="20:20" s="566" customFormat="1">
      <c r="T36689" s="41"/>
    </row>
    <row r="36690" spans="20:20" s="566" customFormat="1">
      <c r="T36690" s="41"/>
    </row>
    <row r="36691" spans="20:20" s="566" customFormat="1">
      <c r="T36691" s="41"/>
    </row>
    <row r="36692" spans="20:20" s="566" customFormat="1">
      <c r="T36692" s="41"/>
    </row>
    <row r="36693" spans="20:20" s="566" customFormat="1">
      <c r="T36693" s="41"/>
    </row>
    <row r="36694" spans="20:20" s="566" customFormat="1">
      <c r="T36694" s="41"/>
    </row>
    <row r="36695" spans="20:20" s="566" customFormat="1">
      <c r="T36695" s="41"/>
    </row>
    <row r="36696" spans="20:20" s="566" customFormat="1">
      <c r="T36696" s="41"/>
    </row>
    <row r="36697" spans="20:20" s="566" customFormat="1">
      <c r="T36697" s="41"/>
    </row>
    <row r="36698" spans="20:20" s="566" customFormat="1">
      <c r="T36698" s="41"/>
    </row>
    <row r="36699" spans="20:20" s="566" customFormat="1">
      <c r="T36699" s="41"/>
    </row>
    <row r="36700" spans="20:20" s="566" customFormat="1">
      <c r="T36700" s="41"/>
    </row>
    <row r="36701" spans="20:20" s="566" customFormat="1">
      <c r="T36701" s="41"/>
    </row>
    <row r="36702" spans="20:20" s="566" customFormat="1">
      <c r="T36702" s="41"/>
    </row>
    <row r="36703" spans="20:20" s="566" customFormat="1">
      <c r="T36703" s="41"/>
    </row>
    <row r="36704" spans="20:20" s="566" customFormat="1">
      <c r="T36704" s="41"/>
    </row>
    <row r="36705" spans="20:20" s="566" customFormat="1">
      <c r="T36705" s="41"/>
    </row>
    <row r="36706" spans="20:20" s="566" customFormat="1">
      <c r="T36706" s="41"/>
    </row>
    <row r="36707" spans="20:20" s="566" customFormat="1">
      <c r="T36707" s="41"/>
    </row>
    <row r="36708" spans="20:20" s="566" customFormat="1">
      <c r="T36708" s="41"/>
    </row>
    <row r="36709" spans="20:20" s="566" customFormat="1">
      <c r="T36709" s="41"/>
    </row>
    <row r="36710" spans="20:20" s="566" customFormat="1">
      <c r="T36710" s="41"/>
    </row>
    <row r="36711" spans="20:20" s="566" customFormat="1">
      <c r="T36711" s="41"/>
    </row>
    <row r="36712" spans="20:20" s="566" customFormat="1">
      <c r="T36712" s="41"/>
    </row>
    <row r="36713" spans="20:20" s="566" customFormat="1">
      <c r="T36713" s="41"/>
    </row>
    <row r="36714" spans="20:20" s="566" customFormat="1">
      <c r="T36714" s="41"/>
    </row>
    <row r="36715" spans="20:20" s="566" customFormat="1">
      <c r="T36715" s="41"/>
    </row>
    <row r="36716" spans="20:20" s="566" customFormat="1">
      <c r="T36716" s="41"/>
    </row>
    <row r="36717" spans="20:20" s="566" customFormat="1">
      <c r="T36717" s="41"/>
    </row>
    <row r="36718" spans="20:20" s="566" customFormat="1">
      <c r="T36718" s="41"/>
    </row>
    <row r="36719" spans="20:20" s="566" customFormat="1">
      <c r="T36719" s="41"/>
    </row>
    <row r="36720" spans="20:20" s="566" customFormat="1">
      <c r="T36720" s="41"/>
    </row>
    <row r="36721" spans="20:20" s="566" customFormat="1">
      <c r="T36721" s="41"/>
    </row>
    <row r="36722" spans="20:20" s="566" customFormat="1">
      <c r="T36722" s="41"/>
    </row>
    <row r="36723" spans="20:20" s="566" customFormat="1">
      <c r="T36723" s="41"/>
    </row>
    <row r="36724" spans="20:20" s="566" customFormat="1">
      <c r="T36724" s="41"/>
    </row>
    <row r="36725" spans="20:20" s="566" customFormat="1">
      <c r="T36725" s="41"/>
    </row>
    <row r="36726" spans="20:20" s="566" customFormat="1">
      <c r="T36726" s="41"/>
    </row>
    <row r="36727" spans="20:20" s="566" customFormat="1">
      <c r="T36727" s="41"/>
    </row>
    <row r="36728" spans="20:20" s="566" customFormat="1">
      <c r="T36728" s="41"/>
    </row>
    <row r="36729" spans="20:20" s="566" customFormat="1">
      <c r="T36729" s="41"/>
    </row>
    <row r="36730" spans="20:20" s="566" customFormat="1">
      <c r="T36730" s="41"/>
    </row>
    <row r="36731" spans="20:20" s="566" customFormat="1">
      <c r="T36731" s="41"/>
    </row>
    <row r="36732" spans="20:20" s="566" customFormat="1">
      <c r="T36732" s="41"/>
    </row>
    <row r="36733" spans="20:20" s="566" customFormat="1">
      <c r="T36733" s="41"/>
    </row>
    <row r="36734" spans="20:20" s="566" customFormat="1">
      <c r="T36734" s="41"/>
    </row>
    <row r="36735" spans="20:20" s="566" customFormat="1">
      <c r="T36735" s="41"/>
    </row>
    <row r="36736" spans="20:20" s="566" customFormat="1">
      <c r="T36736" s="41"/>
    </row>
    <row r="36737" spans="20:20" s="566" customFormat="1">
      <c r="T36737" s="41"/>
    </row>
    <row r="36738" spans="20:20" s="566" customFormat="1">
      <c r="T36738" s="41"/>
    </row>
    <row r="36739" spans="20:20" s="566" customFormat="1">
      <c r="T36739" s="41"/>
    </row>
    <row r="36740" spans="20:20" s="566" customFormat="1">
      <c r="T36740" s="41"/>
    </row>
    <row r="36741" spans="20:20" s="566" customFormat="1">
      <c r="T36741" s="41"/>
    </row>
    <row r="36742" spans="20:20" s="566" customFormat="1">
      <c r="T36742" s="41"/>
    </row>
    <row r="36743" spans="20:20" s="566" customFormat="1">
      <c r="T36743" s="41"/>
    </row>
    <row r="36744" spans="20:20" s="566" customFormat="1">
      <c r="T36744" s="41"/>
    </row>
    <row r="36745" spans="20:20" s="566" customFormat="1">
      <c r="T36745" s="41"/>
    </row>
    <row r="36746" spans="20:20" s="566" customFormat="1">
      <c r="T36746" s="41"/>
    </row>
    <row r="36747" spans="20:20" s="566" customFormat="1">
      <c r="T36747" s="41"/>
    </row>
    <row r="36748" spans="20:20" s="566" customFormat="1">
      <c r="T36748" s="41"/>
    </row>
    <row r="36749" spans="20:20" s="566" customFormat="1">
      <c r="T36749" s="41"/>
    </row>
    <row r="36750" spans="20:20" s="566" customFormat="1">
      <c r="T36750" s="41"/>
    </row>
    <row r="36751" spans="20:20" s="566" customFormat="1">
      <c r="T36751" s="41"/>
    </row>
    <row r="36752" spans="20:20" s="566" customFormat="1">
      <c r="T36752" s="41"/>
    </row>
    <row r="36753" spans="20:20" s="566" customFormat="1">
      <c r="T36753" s="41"/>
    </row>
    <row r="36754" spans="20:20" s="566" customFormat="1">
      <c r="T36754" s="41"/>
    </row>
    <row r="36755" spans="20:20" s="566" customFormat="1">
      <c r="T36755" s="41"/>
    </row>
    <row r="36756" spans="20:20" s="566" customFormat="1">
      <c r="T36756" s="41"/>
    </row>
    <row r="36757" spans="20:20" s="566" customFormat="1">
      <c r="T36757" s="41"/>
    </row>
    <row r="36758" spans="20:20" s="566" customFormat="1">
      <c r="T36758" s="41"/>
    </row>
    <row r="36759" spans="20:20" s="566" customFormat="1">
      <c r="T36759" s="41"/>
    </row>
    <row r="36760" spans="20:20" s="566" customFormat="1">
      <c r="T36760" s="41"/>
    </row>
    <row r="36761" spans="20:20" s="566" customFormat="1">
      <c r="T36761" s="41"/>
    </row>
    <row r="36762" spans="20:20" s="566" customFormat="1">
      <c r="T36762" s="41"/>
    </row>
    <row r="36763" spans="20:20" s="566" customFormat="1">
      <c r="T36763" s="41"/>
    </row>
    <row r="36764" spans="20:20" s="566" customFormat="1">
      <c r="T36764" s="41"/>
    </row>
    <row r="36765" spans="20:20" s="566" customFormat="1">
      <c r="T36765" s="41"/>
    </row>
    <row r="36766" spans="20:20" s="566" customFormat="1">
      <c r="T36766" s="41"/>
    </row>
    <row r="36767" spans="20:20" s="566" customFormat="1">
      <c r="T36767" s="41"/>
    </row>
    <row r="36768" spans="20:20" s="566" customFormat="1">
      <c r="T36768" s="41"/>
    </row>
    <row r="36769" spans="20:20" s="566" customFormat="1">
      <c r="T36769" s="41"/>
    </row>
    <row r="36770" spans="20:20" s="566" customFormat="1">
      <c r="T36770" s="41"/>
    </row>
    <row r="36771" spans="20:20" s="566" customFormat="1">
      <c r="T36771" s="41"/>
    </row>
    <row r="36772" spans="20:20" s="566" customFormat="1">
      <c r="T36772" s="41"/>
    </row>
    <row r="36773" spans="20:20" s="566" customFormat="1">
      <c r="T36773" s="41"/>
    </row>
    <row r="36774" spans="20:20" s="566" customFormat="1">
      <c r="T36774" s="41"/>
    </row>
    <row r="36775" spans="20:20" s="566" customFormat="1">
      <c r="T36775" s="41"/>
    </row>
    <row r="36776" spans="20:20" s="566" customFormat="1">
      <c r="T36776" s="41"/>
    </row>
    <row r="36777" spans="20:20" s="566" customFormat="1">
      <c r="T36777" s="41"/>
    </row>
    <row r="36778" spans="20:20" s="566" customFormat="1">
      <c r="T36778" s="41"/>
    </row>
    <row r="36779" spans="20:20" s="566" customFormat="1">
      <c r="T36779" s="41"/>
    </row>
    <row r="36780" spans="20:20" s="566" customFormat="1">
      <c r="T36780" s="41"/>
    </row>
    <row r="36781" spans="20:20" s="566" customFormat="1">
      <c r="T36781" s="41"/>
    </row>
    <row r="36782" spans="20:20" s="566" customFormat="1">
      <c r="T36782" s="41"/>
    </row>
    <row r="36783" spans="20:20" s="566" customFormat="1">
      <c r="T36783" s="41"/>
    </row>
    <row r="36784" spans="20:20" s="566" customFormat="1">
      <c r="T36784" s="41"/>
    </row>
    <row r="36785" spans="20:20" s="566" customFormat="1">
      <c r="T36785" s="41"/>
    </row>
    <row r="36786" spans="20:20" s="566" customFormat="1">
      <c r="T36786" s="41"/>
    </row>
    <row r="36787" spans="20:20" s="566" customFormat="1">
      <c r="T36787" s="41"/>
    </row>
    <row r="36788" spans="20:20" s="566" customFormat="1">
      <c r="T36788" s="41"/>
    </row>
    <row r="36789" spans="20:20" s="566" customFormat="1">
      <c r="T36789" s="41"/>
    </row>
    <row r="36790" spans="20:20" s="566" customFormat="1">
      <c r="T36790" s="41"/>
    </row>
    <row r="36791" spans="20:20" s="566" customFormat="1">
      <c r="T36791" s="41"/>
    </row>
    <row r="36792" spans="20:20" s="566" customFormat="1">
      <c r="T36792" s="41"/>
    </row>
    <row r="36793" spans="20:20" s="566" customFormat="1">
      <c r="T36793" s="41"/>
    </row>
    <row r="36794" spans="20:20" s="566" customFormat="1">
      <c r="T36794" s="41"/>
    </row>
    <row r="36795" spans="20:20" s="566" customFormat="1">
      <c r="T36795" s="41"/>
    </row>
    <row r="36796" spans="20:20" s="566" customFormat="1">
      <c r="T36796" s="41"/>
    </row>
    <row r="36797" spans="20:20" s="566" customFormat="1">
      <c r="T36797" s="41"/>
    </row>
    <row r="36798" spans="20:20" s="566" customFormat="1">
      <c r="T36798" s="41"/>
    </row>
    <row r="36799" spans="20:20" s="566" customFormat="1">
      <c r="T36799" s="41"/>
    </row>
    <row r="36800" spans="20:20" s="566" customFormat="1">
      <c r="T36800" s="41"/>
    </row>
    <row r="36801" spans="20:20" s="566" customFormat="1">
      <c r="T36801" s="41"/>
    </row>
    <row r="36802" spans="20:20" s="566" customFormat="1">
      <c r="T36802" s="41"/>
    </row>
    <row r="36803" spans="20:20" s="566" customFormat="1">
      <c r="T36803" s="41"/>
    </row>
    <row r="36804" spans="20:20" s="566" customFormat="1">
      <c r="T36804" s="41"/>
    </row>
    <row r="36805" spans="20:20" s="566" customFormat="1">
      <c r="T36805" s="41"/>
    </row>
    <row r="36806" spans="20:20" s="566" customFormat="1">
      <c r="T36806" s="41"/>
    </row>
    <row r="36807" spans="20:20" s="566" customFormat="1">
      <c r="T36807" s="41"/>
    </row>
    <row r="36808" spans="20:20" s="566" customFormat="1">
      <c r="T36808" s="41"/>
    </row>
    <row r="36809" spans="20:20" s="566" customFormat="1">
      <c r="T36809" s="41"/>
    </row>
    <row r="36810" spans="20:20" s="566" customFormat="1">
      <c r="T36810" s="41"/>
    </row>
    <row r="36811" spans="20:20" s="566" customFormat="1">
      <c r="T36811" s="41"/>
    </row>
    <row r="36812" spans="20:20" s="566" customFormat="1">
      <c r="T36812" s="41"/>
    </row>
    <row r="36813" spans="20:20" s="566" customFormat="1">
      <c r="T36813" s="41"/>
    </row>
    <row r="36814" spans="20:20" s="566" customFormat="1">
      <c r="T36814" s="41"/>
    </row>
    <row r="36815" spans="20:20" s="566" customFormat="1">
      <c r="T36815" s="41"/>
    </row>
    <row r="36816" spans="20:20" s="566" customFormat="1">
      <c r="T36816" s="41"/>
    </row>
    <row r="36817" spans="20:20" s="566" customFormat="1">
      <c r="T36817" s="41"/>
    </row>
    <row r="36818" spans="20:20" s="566" customFormat="1">
      <c r="T36818" s="41"/>
    </row>
    <row r="36819" spans="20:20" s="566" customFormat="1">
      <c r="T36819" s="41"/>
    </row>
    <row r="36820" spans="20:20" s="566" customFormat="1">
      <c r="T36820" s="41"/>
    </row>
    <row r="36821" spans="20:20" s="566" customFormat="1">
      <c r="T36821" s="41"/>
    </row>
    <row r="36822" spans="20:20" s="566" customFormat="1">
      <c r="T36822" s="41"/>
    </row>
    <row r="36823" spans="20:20" s="566" customFormat="1">
      <c r="T36823" s="41"/>
    </row>
    <row r="36824" spans="20:20" s="566" customFormat="1">
      <c r="T36824" s="41"/>
    </row>
    <row r="36825" spans="20:20" s="566" customFormat="1">
      <c r="T36825" s="41"/>
    </row>
    <row r="36826" spans="20:20" s="566" customFormat="1">
      <c r="T36826" s="41"/>
    </row>
    <row r="36827" spans="20:20" s="566" customFormat="1">
      <c r="T36827" s="41"/>
    </row>
    <row r="36828" spans="20:20" s="566" customFormat="1">
      <c r="T36828" s="41"/>
    </row>
    <row r="36829" spans="20:20" s="566" customFormat="1">
      <c r="T36829" s="41"/>
    </row>
    <row r="36830" spans="20:20" s="566" customFormat="1">
      <c r="T36830" s="41"/>
    </row>
    <row r="36831" spans="20:20" s="566" customFormat="1">
      <c r="T36831" s="41"/>
    </row>
    <row r="36832" spans="20:20" s="566" customFormat="1">
      <c r="T36832" s="41"/>
    </row>
    <row r="36833" spans="20:20" s="566" customFormat="1">
      <c r="T36833" s="41"/>
    </row>
    <row r="36834" spans="20:20" s="566" customFormat="1">
      <c r="T36834" s="41"/>
    </row>
    <row r="36835" spans="20:20" s="566" customFormat="1">
      <c r="T36835" s="41"/>
    </row>
    <row r="36836" spans="20:20" s="566" customFormat="1">
      <c r="T36836" s="41"/>
    </row>
    <row r="36837" spans="20:20" s="566" customFormat="1">
      <c r="T36837" s="41"/>
    </row>
    <row r="36838" spans="20:20" s="566" customFormat="1">
      <c r="T36838" s="41"/>
    </row>
    <row r="36839" spans="20:20" s="566" customFormat="1">
      <c r="T36839" s="41"/>
    </row>
    <row r="36840" spans="20:20" s="566" customFormat="1">
      <c r="T36840" s="41"/>
    </row>
    <row r="36841" spans="20:20" s="566" customFormat="1">
      <c r="T36841" s="41"/>
    </row>
    <row r="36842" spans="20:20" s="566" customFormat="1">
      <c r="T36842" s="41"/>
    </row>
    <row r="36843" spans="20:20" s="566" customFormat="1">
      <c r="T36843" s="41"/>
    </row>
    <row r="36844" spans="20:20" s="566" customFormat="1">
      <c r="T36844" s="41"/>
    </row>
    <row r="36845" spans="20:20" s="566" customFormat="1">
      <c r="T36845" s="41"/>
    </row>
    <row r="36846" spans="20:20" s="566" customFormat="1">
      <c r="T36846" s="41"/>
    </row>
    <row r="36847" spans="20:20" s="566" customFormat="1">
      <c r="T36847" s="41"/>
    </row>
    <row r="36848" spans="20:20" s="566" customFormat="1">
      <c r="T36848" s="41"/>
    </row>
    <row r="36849" spans="20:20" s="566" customFormat="1">
      <c r="T36849" s="41"/>
    </row>
    <row r="36850" spans="20:20" s="566" customFormat="1">
      <c r="T36850" s="41"/>
    </row>
    <row r="36851" spans="20:20" s="566" customFormat="1">
      <c r="T36851" s="41"/>
    </row>
    <row r="36852" spans="20:20" s="566" customFormat="1">
      <c r="T36852" s="41"/>
    </row>
    <row r="36853" spans="20:20" s="566" customFormat="1">
      <c r="T36853" s="41"/>
    </row>
    <row r="36854" spans="20:20" s="566" customFormat="1">
      <c r="T36854" s="41"/>
    </row>
    <row r="36855" spans="20:20" s="566" customFormat="1">
      <c r="T36855" s="41"/>
    </row>
    <row r="36856" spans="20:20" s="566" customFormat="1">
      <c r="T36856" s="41"/>
    </row>
    <row r="36857" spans="20:20" s="566" customFormat="1">
      <c r="T36857" s="41"/>
    </row>
    <row r="36858" spans="20:20" s="566" customFormat="1">
      <c r="T36858" s="41"/>
    </row>
    <row r="36859" spans="20:20" s="566" customFormat="1">
      <c r="T36859" s="41"/>
    </row>
    <row r="36860" spans="20:20" s="566" customFormat="1">
      <c r="T36860" s="41"/>
    </row>
    <row r="36861" spans="20:20" s="566" customFormat="1">
      <c r="T36861" s="41"/>
    </row>
    <row r="36862" spans="20:20" s="566" customFormat="1">
      <c r="T36862" s="41"/>
    </row>
    <row r="36863" spans="20:20" s="566" customFormat="1">
      <c r="T36863" s="41"/>
    </row>
    <row r="36864" spans="20:20" s="566" customFormat="1">
      <c r="T36864" s="41"/>
    </row>
    <row r="36865" spans="20:20" s="566" customFormat="1">
      <c r="T36865" s="41"/>
    </row>
    <row r="36866" spans="20:20" s="566" customFormat="1">
      <c r="T36866" s="41"/>
    </row>
    <row r="36867" spans="20:20" s="566" customFormat="1">
      <c r="T36867" s="41"/>
    </row>
    <row r="36868" spans="20:20" s="566" customFormat="1">
      <c r="T36868" s="41"/>
    </row>
    <row r="36869" spans="20:20" s="566" customFormat="1">
      <c r="T36869" s="41"/>
    </row>
    <row r="36870" spans="20:20" s="566" customFormat="1">
      <c r="T36870" s="41"/>
    </row>
    <row r="36871" spans="20:20" s="566" customFormat="1">
      <c r="T36871" s="41"/>
    </row>
    <row r="36872" spans="20:20" s="566" customFormat="1">
      <c r="T36872" s="41"/>
    </row>
    <row r="36873" spans="20:20" s="566" customFormat="1">
      <c r="T36873" s="41"/>
    </row>
    <row r="36874" spans="20:20" s="566" customFormat="1">
      <c r="T36874" s="41"/>
    </row>
    <row r="36875" spans="20:20" s="566" customFormat="1">
      <c r="T36875" s="41"/>
    </row>
    <row r="36876" spans="20:20" s="566" customFormat="1">
      <c r="T36876" s="41"/>
    </row>
    <row r="36877" spans="20:20" s="566" customFormat="1">
      <c r="T36877" s="41"/>
    </row>
    <row r="36878" spans="20:20" s="566" customFormat="1">
      <c r="T36878" s="41"/>
    </row>
    <row r="36879" spans="20:20" s="566" customFormat="1">
      <c r="T36879" s="41"/>
    </row>
    <row r="36880" spans="20:20" s="566" customFormat="1">
      <c r="T36880" s="41"/>
    </row>
    <row r="36881" spans="20:20" s="566" customFormat="1">
      <c r="T36881" s="41"/>
    </row>
    <row r="36882" spans="20:20" s="566" customFormat="1">
      <c r="T36882" s="41"/>
    </row>
    <row r="36883" spans="20:20" s="566" customFormat="1">
      <c r="T36883" s="41"/>
    </row>
    <row r="36884" spans="20:20" s="566" customFormat="1">
      <c r="T36884" s="41"/>
    </row>
    <row r="36885" spans="20:20" s="566" customFormat="1">
      <c r="T36885" s="41"/>
    </row>
    <row r="36886" spans="20:20" s="566" customFormat="1">
      <c r="T36886" s="41"/>
    </row>
    <row r="36887" spans="20:20" s="566" customFormat="1">
      <c r="T36887" s="41"/>
    </row>
    <row r="36888" spans="20:20" s="566" customFormat="1">
      <c r="T36888" s="41"/>
    </row>
    <row r="36889" spans="20:20" s="566" customFormat="1">
      <c r="T36889" s="41"/>
    </row>
    <row r="36890" spans="20:20" s="566" customFormat="1">
      <c r="T36890" s="41"/>
    </row>
    <row r="36891" spans="20:20" s="566" customFormat="1">
      <c r="T36891" s="41"/>
    </row>
    <row r="36892" spans="20:20" s="566" customFormat="1">
      <c r="T36892" s="41"/>
    </row>
    <row r="36893" spans="20:20" s="566" customFormat="1">
      <c r="T36893" s="41"/>
    </row>
    <row r="36894" spans="20:20" s="566" customFormat="1">
      <c r="T36894" s="41"/>
    </row>
    <row r="36895" spans="20:20" s="566" customFormat="1">
      <c r="T36895" s="41"/>
    </row>
    <row r="36896" spans="20:20" s="566" customFormat="1">
      <c r="T36896" s="41"/>
    </row>
    <row r="36897" spans="20:20" s="566" customFormat="1">
      <c r="T36897" s="41"/>
    </row>
    <row r="36898" spans="20:20" s="566" customFormat="1">
      <c r="T36898" s="41"/>
    </row>
    <row r="36899" spans="20:20" s="566" customFormat="1">
      <c r="T36899" s="41"/>
    </row>
    <row r="36900" spans="20:20" s="566" customFormat="1">
      <c r="T36900" s="41"/>
    </row>
    <row r="36901" spans="20:20" s="566" customFormat="1">
      <c r="T36901" s="41"/>
    </row>
    <row r="36902" spans="20:20" s="566" customFormat="1">
      <c r="T36902" s="41"/>
    </row>
    <row r="36903" spans="20:20" s="566" customFormat="1">
      <c r="T36903" s="41"/>
    </row>
    <row r="36904" spans="20:20" s="566" customFormat="1">
      <c r="T36904" s="41"/>
    </row>
    <row r="36905" spans="20:20" s="566" customFormat="1">
      <c r="T36905" s="41"/>
    </row>
    <row r="36906" spans="20:20" s="566" customFormat="1">
      <c r="T36906" s="41"/>
    </row>
    <row r="36907" spans="20:20" s="566" customFormat="1">
      <c r="T36907" s="41"/>
    </row>
    <row r="36908" spans="20:20" s="566" customFormat="1">
      <c r="T36908" s="41"/>
    </row>
    <row r="36909" spans="20:20" s="566" customFormat="1">
      <c r="T36909" s="41"/>
    </row>
    <row r="36910" spans="20:20" s="566" customFormat="1">
      <c r="T36910" s="41"/>
    </row>
    <row r="36911" spans="20:20" s="566" customFormat="1">
      <c r="T36911" s="41"/>
    </row>
    <row r="36912" spans="20:20" s="566" customFormat="1">
      <c r="T36912" s="41"/>
    </row>
    <row r="36913" spans="20:20" s="566" customFormat="1">
      <c r="T36913" s="41"/>
    </row>
    <row r="36914" spans="20:20" s="566" customFormat="1">
      <c r="T36914" s="41"/>
    </row>
    <row r="36915" spans="20:20" s="566" customFormat="1">
      <c r="T36915" s="41"/>
    </row>
    <row r="36916" spans="20:20" s="566" customFormat="1">
      <c r="T36916" s="41"/>
    </row>
    <row r="36917" spans="20:20" s="566" customFormat="1">
      <c r="T36917" s="41"/>
    </row>
    <row r="36918" spans="20:20" s="566" customFormat="1">
      <c r="T36918" s="41"/>
    </row>
    <row r="36919" spans="20:20" s="566" customFormat="1">
      <c r="T36919" s="41"/>
    </row>
    <row r="36920" spans="20:20" s="566" customFormat="1">
      <c r="T36920" s="41"/>
    </row>
    <row r="36921" spans="20:20" s="566" customFormat="1">
      <c r="T36921" s="41"/>
    </row>
    <row r="36922" spans="20:20" s="566" customFormat="1">
      <c r="T36922" s="41"/>
    </row>
    <row r="36923" spans="20:20" s="566" customFormat="1">
      <c r="T36923" s="41"/>
    </row>
    <row r="36924" spans="20:20" s="566" customFormat="1">
      <c r="T36924" s="41"/>
    </row>
    <row r="36925" spans="20:20" s="566" customFormat="1">
      <c r="T36925" s="41"/>
    </row>
    <row r="36926" spans="20:20" s="566" customFormat="1">
      <c r="T36926" s="41"/>
    </row>
    <row r="36927" spans="20:20" s="566" customFormat="1">
      <c r="T36927" s="41"/>
    </row>
    <row r="36928" spans="20:20" s="566" customFormat="1">
      <c r="T36928" s="41"/>
    </row>
    <row r="36929" spans="20:20" s="566" customFormat="1">
      <c r="T36929" s="41"/>
    </row>
    <row r="36930" spans="20:20" s="566" customFormat="1">
      <c r="T36930" s="41"/>
    </row>
    <row r="36931" spans="20:20" s="566" customFormat="1">
      <c r="T36931" s="41"/>
    </row>
    <row r="36932" spans="20:20" s="566" customFormat="1">
      <c r="T36932" s="41"/>
    </row>
    <row r="36933" spans="20:20" s="566" customFormat="1">
      <c r="T36933" s="41"/>
    </row>
    <row r="36934" spans="20:20" s="566" customFormat="1">
      <c r="T36934" s="41"/>
    </row>
    <row r="36935" spans="20:20" s="566" customFormat="1">
      <c r="T36935" s="41"/>
    </row>
    <row r="36936" spans="20:20" s="566" customFormat="1">
      <c r="T36936" s="41"/>
    </row>
    <row r="36937" spans="20:20" s="566" customFormat="1">
      <c r="T36937" s="41"/>
    </row>
    <row r="36938" spans="20:20" s="566" customFormat="1">
      <c r="T36938" s="41"/>
    </row>
    <row r="36939" spans="20:20" s="566" customFormat="1">
      <c r="T36939" s="41"/>
    </row>
    <row r="36940" spans="20:20" s="566" customFormat="1">
      <c r="T36940" s="41"/>
    </row>
    <row r="36941" spans="20:20" s="566" customFormat="1">
      <c r="T36941" s="41"/>
    </row>
    <row r="36942" spans="20:20" s="566" customFormat="1">
      <c r="T36942" s="41"/>
    </row>
    <row r="36943" spans="20:20" s="566" customFormat="1">
      <c r="T36943" s="41"/>
    </row>
    <row r="36944" spans="20:20" s="566" customFormat="1">
      <c r="T36944" s="41"/>
    </row>
    <row r="36945" spans="20:20" s="566" customFormat="1">
      <c r="T36945" s="41"/>
    </row>
    <row r="36946" spans="20:20" s="566" customFormat="1">
      <c r="T36946" s="41"/>
    </row>
    <row r="36947" spans="20:20" s="566" customFormat="1">
      <c r="T36947" s="41"/>
    </row>
    <row r="36948" spans="20:20" s="566" customFormat="1">
      <c r="T36948" s="41"/>
    </row>
    <row r="36949" spans="20:20" s="566" customFormat="1">
      <c r="T36949" s="41"/>
    </row>
    <row r="36950" spans="20:20" s="566" customFormat="1">
      <c r="T36950" s="41"/>
    </row>
    <row r="36951" spans="20:20" s="566" customFormat="1">
      <c r="T36951" s="41"/>
    </row>
    <row r="36952" spans="20:20" s="566" customFormat="1">
      <c r="T36952" s="41"/>
    </row>
    <row r="36953" spans="20:20" s="566" customFormat="1">
      <c r="T36953" s="41"/>
    </row>
    <row r="36954" spans="20:20" s="566" customFormat="1">
      <c r="T36954" s="41"/>
    </row>
    <row r="36955" spans="20:20" s="566" customFormat="1">
      <c r="T36955" s="41"/>
    </row>
    <row r="36956" spans="20:20" s="566" customFormat="1">
      <c r="T36956" s="41"/>
    </row>
    <row r="36957" spans="20:20" s="566" customFormat="1">
      <c r="T36957" s="41"/>
    </row>
    <row r="36958" spans="20:20" s="566" customFormat="1">
      <c r="T36958" s="41"/>
    </row>
    <row r="36959" spans="20:20" s="566" customFormat="1">
      <c r="T36959" s="41"/>
    </row>
    <row r="36960" spans="20:20" s="566" customFormat="1">
      <c r="T36960" s="41"/>
    </row>
    <row r="36961" spans="20:20" s="566" customFormat="1">
      <c r="T36961" s="41"/>
    </row>
    <row r="36962" spans="20:20" s="566" customFormat="1">
      <c r="T36962" s="41"/>
    </row>
    <row r="36963" spans="20:20" s="566" customFormat="1">
      <c r="T36963" s="41"/>
    </row>
    <row r="36964" spans="20:20" s="566" customFormat="1">
      <c r="T36964" s="41"/>
    </row>
    <row r="36965" spans="20:20" s="566" customFormat="1">
      <c r="T36965" s="41"/>
    </row>
    <row r="36966" spans="20:20" s="566" customFormat="1">
      <c r="T36966" s="41"/>
    </row>
    <row r="36967" spans="20:20" s="566" customFormat="1">
      <c r="T36967" s="41"/>
    </row>
    <row r="36968" spans="20:20" s="566" customFormat="1">
      <c r="T36968" s="41"/>
    </row>
    <row r="36969" spans="20:20" s="566" customFormat="1">
      <c r="T36969" s="41"/>
    </row>
    <row r="36970" spans="20:20" s="566" customFormat="1">
      <c r="T36970" s="41"/>
    </row>
    <row r="36971" spans="20:20" s="566" customFormat="1">
      <c r="T36971" s="41"/>
    </row>
    <row r="36972" spans="20:20" s="566" customFormat="1">
      <c r="T36972" s="41"/>
    </row>
    <row r="36973" spans="20:20" s="566" customFormat="1">
      <c r="T36973" s="41"/>
    </row>
    <row r="36974" spans="20:20" s="566" customFormat="1">
      <c r="T36974" s="41"/>
    </row>
    <row r="36975" spans="20:20" s="566" customFormat="1">
      <c r="T36975" s="41"/>
    </row>
    <row r="36976" spans="20:20" s="566" customFormat="1">
      <c r="T36976" s="41"/>
    </row>
    <row r="36977" spans="20:20" s="566" customFormat="1">
      <c r="T36977" s="41"/>
    </row>
    <row r="36978" spans="20:20" s="566" customFormat="1">
      <c r="T36978" s="41"/>
    </row>
    <row r="36979" spans="20:20" s="566" customFormat="1">
      <c r="T36979" s="41"/>
    </row>
    <row r="36980" spans="20:20" s="566" customFormat="1">
      <c r="T36980" s="41"/>
    </row>
    <row r="36981" spans="20:20" s="566" customFormat="1">
      <c r="T36981" s="41"/>
    </row>
    <row r="36982" spans="20:20" s="566" customFormat="1">
      <c r="T36982" s="41"/>
    </row>
    <row r="36983" spans="20:20" s="566" customFormat="1">
      <c r="T36983" s="41"/>
    </row>
    <row r="36984" spans="20:20" s="566" customFormat="1">
      <c r="T36984" s="41"/>
    </row>
    <row r="36985" spans="20:20" s="566" customFormat="1">
      <c r="T36985" s="41"/>
    </row>
    <row r="36986" spans="20:20" s="566" customFormat="1">
      <c r="T36986" s="41"/>
    </row>
    <row r="36987" spans="20:20" s="566" customFormat="1">
      <c r="T36987" s="41"/>
    </row>
    <row r="36988" spans="20:20" s="566" customFormat="1">
      <c r="T36988" s="41"/>
    </row>
    <row r="36989" spans="20:20" s="566" customFormat="1">
      <c r="T36989" s="41"/>
    </row>
    <row r="36990" spans="20:20" s="566" customFormat="1">
      <c r="T36990" s="41"/>
    </row>
    <row r="36991" spans="20:20" s="566" customFormat="1">
      <c r="T36991" s="41"/>
    </row>
    <row r="36992" spans="20:20" s="566" customFormat="1">
      <c r="T36992" s="41"/>
    </row>
    <row r="36993" spans="20:20" s="566" customFormat="1">
      <c r="T36993" s="41"/>
    </row>
    <row r="36994" spans="20:20" s="566" customFormat="1">
      <c r="T36994" s="41"/>
    </row>
    <row r="36995" spans="20:20" s="566" customFormat="1">
      <c r="T36995" s="41"/>
    </row>
    <row r="36996" spans="20:20" s="566" customFormat="1">
      <c r="T36996" s="41"/>
    </row>
    <row r="36997" spans="20:20" s="566" customFormat="1">
      <c r="T36997" s="41"/>
    </row>
    <row r="36998" spans="20:20" s="566" customFormat="1">
      <c r="T36998" s="41"/>
    </row>
    <row r="36999" spans="20:20" s="566" customFormat="1">
      <c r="T36999" s="41"/>
    </row>
    <row r="37000" spans="20:20" s="566" customFormat="1">
      <c r="T37000" s="41"/>
    </row>
    <row r="37001" spans="20:20" s="566" customFormat="1">
      <c r="T37001" s="41"/>
    </row>
    <row r="37002" spans="20:20" s="566" customFormat="1">
      <c r="T37002" s="41"/>
    </row>
    <row r="37003" spans="20:20" s="566" customFormat="1">
      <c r="T37003" s="41"/>
    </row>
    <row r="37004" spans="20:20" s="566" customFormat="1">
      <c r="T37004" s="41"/>
    </row>
    <row r="37005" spans="20:20" s="566" customFormat="1">
      <c r="T37005" s="41"/>
    </row>
    <row r="37006" spans="20:20" s="566" customFormat="1">
      <c r="T37006" s="41"/>
    </row>
    <row r="37007" spans="20:20" s="566" customFormat="1">
      <c r="T37007" s="41"/>
    </row>
    <row r="37008" spans="20:20" s="566" customFormat="1">
      <c r="T37008" s="41"/>
    </row>
    <row r="37009" spans="20:20" s="566" customFormat="1">
      <c r="T37009" s="41"/>
    </row>
    <row r="37010" spans="20:20" s="566" customFormat="1">
      <c r="T37010" s="41"/>
    </row>
    <row r="37011" spans="20:20" s="566" customFormat="1">
      <c r="T37011" s="41"/>
    </row>
    <row r="37012" spans="20:20" s="566" customFormat="1">
      <c r="T37012" s="41"/>
    </row>
    <row r="37013" spans="20:20" s="566" customFormat="1">
      <c r="T37013" s="41"/>
    </row>
    <row r="37014" spans="20:20" s="566" customFormat="1">
      <c r="T37014" s="41"/>
    </row>
    <row r="37015" spans="20:20" s="566" customFormat="1">
      <c r="T37015" s="41"/>
    </row>
    <row r="37016" spans="20:20" s="566" customFormat="1">
      <c r="T37016" s="41"/>
    </row>
    <row r="37017" spans="20:20" s="566" customFormat="1">
      <c r="T37017" s="41"/>
    </row>
    <row r="37018" spans="20:20" s="566" customFormat="1">
      <c r="T37018" s="41"/>
    </row>
    <row r="37019" spans="20:20" s="566" customFormat="1">
      <c r="T37019" s="41"/>
    </row>
    <row r="37020" spans="20:20" s="566" customFormat="1">
      <c r="T37020" s="41"/>
    </row>
    <row r="37021" spans="20:20" s="566" customFormat="1">
      <c r="T37021" s="41"/>
    </row>
    <row r="37022" spans="20:20" s="566" customFormat="1">
      <c r="T37022" s="41"/>
    </row>
    <row r="37023" spans="20:20" s="566" customFormat="1">
      <c r="T37023" s="41"/>
    </row>
    <row r="37024" spans="20:20" s="566" customFormat="1">
      <c r="T37024" s="41"/>
    </row>
    <row r="37025" spans="20:20" s="566" customFormat="1">
      <c r="T37025" s="41"/>
    </row>
    <row r="37026" spans="20:20" s="566" customFormat="1">
      <c r="T37026" s="41"/>
    </row>
    <row r="37027" spans="20:20" s="566" customFormat="1">
      <c r="T37027" s="41"/>
    </row>
    <row r="37028" spans="20:20" s="566" customFormat="1">
      <c r="T37028" s="41"/>
    </row>
    <row r="37029" spans="20:20" s="566" customFormat="1">
      <c r="T37029" s="41"/>
    </row>
    <row r="37030" spans="20:20" s="566" customFormat="1">
      <c r="T37030" s="41"/>
    </row>
    <row r="37031" spans="20:20" s="566" customFormat="1">
      <c r="T37031" s="41"/>
    </row>
    <row r="37032" spans="20:20" s="566" customFormat="1">
      <c r="T37032" s="41"/>
    </row>
    <row r="37033" spans="20:20" s="566" customFormat="1">
      <c r="T37033" s="41"/>
    </row>
    <row r="37034" spans="20:20" s="566" customFormat="1">
      <c r="T37034" s="41"/>
    </row>
    <row r="37035" spans="20:20" s="566" customFormat="1">
      <c r="T37035" s="41"/>
    </row>
    <row r="37036" spans="20:20" s="566" customFormat="1">
      <c r="T37036" s="41"/>
    </row>
    <row r="37037" spans="20:20" s="566" customFormat="1">
      <c r="T37037" s="41"/>
    </row>
    <row r="37038" spans="20:20" s="566" customFormat="1">
      <c r="T37038" s="41"/>
    </row>
    <row r="37039" spans="20:20" s="566" customFormat="1">
      <c r="T37039" s="41"/>
    </row>
    <row r="37040" spans="20:20" s="566" customFormat="1">
      <c r="T37040" s="41"/>
    </row>
    <row r="37041" spans="20:20" s="566" customFormat="1">
      <c r="T37041" s="41"/>
    </row>
    <row r="37042" spans="20:20" s="566" customFormat="1">
      <c r="T37042" s="41"/>
    </row>
    <row r="37043" spans="20:20" s="566" customFormat="1">
      <c r="T37043" s="41"/>
    </row>
    <row r="37044" spans="20:20" s="566" customFormat="1">
      <c r="T37044" s="41"/>
    </row>
    <row r="37045" spans="20:20" s="566" customFormat="1">
      <c r="T37045" s="41"/>
    </row>
    <row r="37046" spans="20:20" s="566" customFormat="1">
      <c r="T37046" s="41"/>
    </row>
    <row r="37047" spans="20:20" s="566" customFormat="1">
      <c r="T37047" s="41"/>
    </row>
    <row r="37048" spans="20:20" s="566" customFormat="1">
      <c r="T37048" s="41"/>
    </row>
    <row r="37049" spans="20:20" s="566" customFormat="1">
      <c r="T37049" s="41"/>
    </row>
    <row r="37050" spans="20:20" s="566" customFormat="1">
      <c r="T37050" s="41"/>
    </row>
    <row r="37051" spans="20:20" s="566" customFormat="1">
      <c r="T37051" s="41"/>
    </row>
    <row r="37052" spans="20:20" s="566" customFormat="1">
      <c r="T37052" s="41"/>
    </row>
    <row r="37053" spans="20:20" s="566" customFormat="1">
      <c r="T37053" s="41"/>
    </row>
    <row r="37054" spans="20:20" s="566" customFormat="1">
      <c r="T37054" s="41"/>
    </row>
    <row r="37055" spans="20:20" s="566" customFormat="1">
      <c r="T37055" s="41"/>
    </row>
    <row r="37056" spans="20:20" s="566" customFormat="1">
      <c r="T37056" s="41"/>
    </row>
    <row r="37057" spans="20:20" s="566" customFormat="1">
      <c r="T37057" s="41"/>
    </row>
    <row r="37058" spans="20:20" s="566" customFormat="1">
      <c r="T37058" s="41"/>
    </row>
    <row r="37059" spans="20:20" s="566" customFormat="1">
      <c r="T37059" s="41"/>
    </row>
    <row r="37060" spans="20:20" s="566" customFormat="1">
      <c r="T37060" s="41"/>
    </row>
    <row r="37061" spans="20:20" s="566" customFormat="1">
      <c r="T37061" s="41"/>
    </row>
    <row r="37062" spans="20:20" s="566" customFormat="1">
      <c r="T37062" s="41"/>
    </row>
    <row r="37063" spans="20:20" s="566" customFormat="1">
      <c r="T37063" s="41"/>
    </row>
    <row r="37064" spans="20:20" s="566" customFormat="1">
      <c r="T37064" s="41"/>
    </row>
    <row r="37065" spans="20:20" s="566" customFormat="1">
      <c r="T37065" s="41"/>
    </row>
    <row r="37066" spans="20:20" s="566" customFormat="1">
      <c r="T37066" s="41"/>
    </row>
    <row r="37067" spans="20:20" s="566" customFormat="1">
      <c r="T37067" s="41"/>
    </row>
    <row r="37068" spans="20:20" s="566" customFormat="1">
      <c r="T37068" s="41"/>
    </row>
    <row r="37069" spans="20:20" s="566" customFormat="1">
      <c r="T37069" s="41"/>
    </row>
    <row r="37070" spans="20:20" s="566" customFormat="1">
      <c r="T37070" s="41"/>
    </row>
    <row r="37071" spans="20:20" s="566" customFormat="1">
      <c r="T37071" s="41"/>
    </row>
    <row r="37072" spans="20:20" s="566" customFormat="1">
      <c r="T37072" s="41"/>
    </row>
    <row r="37073" spans="20:20" s="566" customFormat="1">
      <c r="T37073" s="41"/>
    </row>
    <row r="37074" spans="20:20" s="566" customFormat="1">
      <c r="T37074" s="41"/>
    </row>
    <row r="37075" spans="20:20" s="566" customFormat="1">
      <c r="T37075" s="41"/>
    </row>
    <row r="37076" spans="20:20" s="566" customFormat="1">
      <c r="T37076" s="41"/>
    </row>
    <row r="37077" spans="20:20" s="566" customFormat="1">
      <c r="T37077" s="41"/>
    </row>
    <row r="37078" spans="20:20" s="566" customFormat="1">
      <c r="T37078" s="41"/>
    </row>
    <row r="37079" spans="20:20" s="566" customFormat="1">
      <c r="T37079" s="41"/>
    </row>
    <row r="37080" spans="20:20" s="566" customFormat="1">
      <c r="T37080" s="41"/>
    </row>
    <row r="37081" spans="20:20" s="566" customFormat="1">
      <c r="T37081" s="41"/>
    </row>
    <row r="37082" spans="20:20" s="566" customFormat="1">
      <c r="T37082" s="41"/>
    </row>
    <row r="37083" spans="20:20" s="566" customFormat="1">
      <c r="T37083" s="41"/>
    </row>
    <row r="37084" spans="20:20" s="566" customFormat="1">
      <c r="T37084" s="41"/>
    </row>
    <row r="37085" spans="20:20" s="566" customFormat="1">
      <c r="T37085" s="41"/>
    </row>
    <row r="37086" spans="20:20" s="566" customFormat="1">
      <c r="T37086" s="41"/>
    </row>
    <row r="37087" spans="20:20" s="566" customFormat="1">
      <c r="T37087" s="41"/>
    </row>
    <row r="37088" spans="20:20" s="566" customFormat="1">
      <c r="T37088" s="41"/>
    </row>
    <row r="37089" spans="20:20" s="566" customFormat="1">
      <c r="T37089" s="41"/>
    </row>
    <row r="37090" spans="20:20" s="566" customFormat="1">
      <c r="T37090" s="41"/>
    </row>
    <row r="37091" spans="20:20" s="566" customFormat="1">
      <c r="T37091" s="41"/>
    </row>
    <row r="37092" spans="20:20" s="566" customFormat="1">
      <c r="T37092" s="41"/>
    </row>
    <row r="37093" spans="20:20" s="566" customFormat="1">
      <c r="T37093" s="41"/>
    </row>
    <row r="37094" spans="20:20" s="566" customFormat="1">
      <c r="T37094" s="41"/>
    </row>
    <row r="37095" spans="20:20" s="566" customFormat="1">
      <c r="T37095" s="41"/>
    </row>
    <row r="37096" spans="20:20" s="566" customFormat="1">
      <c r="T37096" s="41"/>
    </row>
    <row r="37097" spans="20:20" s="566" customFormat="1">
      <c r="T37097" s="41"/>
    </row>
    <row r="37098" spans="20:20" s="566" customFormat="1">
      <c r="T37098" s="41"/>
    </row>
    <row r="37099" spans="20:20" s="566" customFormat="1">
      <c r="T37099" s="41"/>
    </row>
    <row r="37100" spans="20:20" s="566" customFormat="1">
      <c r="T37100" s="41"/>
    </row>
    <row r="37101" spans="20:20" s="566" customFormat="1">
      <c r="T37101" s="41"/>
    </row>
    <row r="37102" spans="20:20" s="566" customFormat="1">
      <c r="T37102" s="41"/>
    </row>
    <row r="37103" spans="20:20" s="566" customFormat="1">
      <c r="T37103" s="41"/>
    </row>
    <row r="37104" spans="20:20" s="566" customFormat="1">
      <c r="T37104" s="41"/>
    </row>
    <row r="37105" spans="20:20" s="566" customFormat="1">
      <c r="T37105" s="41"/>
    </row>
    <row r="37106" spans="20:20" s="566" customFormat="1">
      <c r="T37106" s="41"/>
    </row>
    <row r="37107" spans="20:20" s="566" customFormat="1">
      <c r="T37107" s="41"/>
    </row>
    <row r="37108" spans="20:20" s="566" customFormat="1">
      <c r="T37108" s="41"/>
    </row>
    <row r="37109" spans="20:20" s="566" customFormat="1">
      <c r="T37109" s="41"/>
    </row>
    <row r="37110" spans="20:20" s="566" customFormat="1">
      <c r="T37110" s="41"/>
    </row>
    <row r="37111" spans="20:20" s="566" customFormat="1">
      <c r="T37111" s="41"/>
    </row>
    <row r="37112" spans="20:20" s="566" customFormat="1">
      <c r="T37112" s="41"/>
    </row>
    <row r="37113" spans="20:20" s="566" customFormat="1">
      <c r="T37113" s="41"/>
    </row>
    <row r="37114" spans="20:20" s="566" customFormat="1">
      <c r="T37114" s="41"/>
    </row>
    <row r="37115" spans="20:20" s="566" customFormat="1">
      <c r="T37115" s="41"/>
    </row>
    <row r="37116" spans="20:20" s="566" customFormat="1">
      <c r="T37116" s="41"/>
    </row>
    <row r="37117" spans="20:20" s="566" customFormat="1">
      <c r="T37117" s="41"/>
    </row>
    <row r="37118" spans="20:20" s="566" customFormat="1">
      <c r="T37118" s="41"/>
    </row>
    <row r="37119" spans="20:20" s="566" customFormat="1">
      <c r="T37119" s="41"/>
    </row>
    <row r="37120" spans="20:20" s="566" customFormat="1">
      <c r="T37120" s="41"/>
    </row>
    <row r="37121" spans="20:20" s="566" customFormat="1">
      <c r="T37121" s="41"/>
    </row>
    <row r="37122" spans="20:20" s="566" customFormat="1">
      <c r="T37122" s="41"/>
    </row>
    <row r="37123" spans="20:20" s="566" customFormat="1">
      <c r="T37123" s="41"/>
    </row>
    <row r="37124" spans="20:20" s="566" customFormat="1">
      <c r="T37124" s="41"/>
    </row>
    <row r="37125" spans="20:20" s="566" customFormat="1">
      <c r="T37125" s="41"/>
    </row>
    <row r="37126" spans="20:20" s="566" customFormat="1">
      <c r="T37126" s="41"/>
    </row>
    <row r="37127" spans="20:20" s="566" customFormat="1">
      <c r="T37127" s="41"/>
    </row>
    <row r="37128" spans="20:20" s="566" customFormat="1">
      <c r="T37128" s="41"/>
    </row>
    <row r="37129" spans="20:20" s="566" customFormat="1">
      <c r="T37129" s="41"/>
    </row>
    <row r="37130" spans="20:20" s="566" customFormat="1">
      <c r="T37130" s="41"/>
    </row>
    <row r="37131" spans="20:20" s="566" customFormat="1">
      <c r="T37131" s="41"/>
    </row>
    <row r="37132" spans="20:20" s="566" customFormat="1">
      <c r="T37132" s="41"/>
    </row>
    <row r="37133" spans="20:20" s="566" customFormat="1">
      <c r="T37133" s="41"/>
    </row>
    <row r="37134" spans="20:20" s="566" customFormat="1">
      <c r="T37134" s="41"/>
    </row>
    <row r="37135" spans="20:20" s="566" customFormat="1">
      <c r="T37135" s="41"/>
    </row>
    <row r="37136" spans="20:20" s="566" customFormat="1">
      <c r="T37136" s="41"/>
    </row>
    <row r="37137" spans="20:20" s="566" customFormat="1">
      <c r="T37137" s="41"/>
    </row>
    <row r="37138" spans="20:20" s="566" customFormat="1">
      <c r="T37138" s="41"/>
    </row>
    <row r="37139" spans="20:20" s="566" customFormat="1">
      <c r="T37139" s="41"/>
    </row>
    <row r="37140" spans="20:20" s="566" customFormat="1">
      <c r="T37140" s="41"/>
    </row>
    <row r="37141" spans="20:20" s="566" customFormat="1">
      <c r="T37141" s="41"/>
    </row>
    <row r="37142" spans="20:20" s="566" customFormat="1">
      <c r="T37142" s="41"/>
    </row>
    <row r="37143" spans="20:20" s="566" customFormat="1">
      <c r="T37143" s="41"/>
    </row>
    <row r="37144" spans="20:20" s="566" customFormat="1">
      <c r="T37144" s="41"/>
    </row>
    <row r="37145" spans="20:20" s="566" customFormat="1">
      <c r="T37145" s="41"/>
    </row>
    <row r="37146" spans="20:20" s="566" customFormat="1">
      <c r="T37146" s="41"/>
    </row>
    <row r="37147" spans="20:20" s="566" customFormat="1">
      <c r="T37147" s="41"/>
    </row>
    <row r="37148" spans="20:20" s="566" customFormat="1">
      <c r="T37148" s="41"/>
    </row>
    <row r="37149" spans="20:20" s="566" customFormat="1">
      <c r="T37149" s="41"/>
    </row>
    <row r="37150" spans="20:20" s="566" customFormat="1">
      <c r="T37150" s="41"/>
    </row>
    <row r="37151" spans="20:20" s="566" customFormat="1">
      <c r="T37151" s="41"/>
    </row>
    <row r="37152" spans="20:20" s="566" customFormat="1">
      <c r="T37152" s="41"/>
    </row>
    <row r="37153" spans="20:20" s="566" customFormat="1">
      <c r="T37153" s="41"/>
    </row>
    <row r="37154" spans="20:20" s="566" customFormat="1">
      <c r="T37154" s="41"/>
    </row>
    <row r="37155" spans="20:20" s="566" customFormat="1">
      <c r="T37155" s="41"/>
    </row>
    <row r="37156" spans="20:20" s="566" customFormat="1">
      <c r="T37156" s="41"/>
    </row>
    <row r="37157" spans="20:20" s="566" customFormat="1">
      <c r="T37157" s="41"/>
    </row>
    <row r="37158" spans="20:20" s="566" customFormat="1">
      <c r="T37158" s="41"/>
    </row>
    <row r="37159" spans="20:20" s="566" customFormat="1">
      <c r="T37159" s="41"/>
    </row>
    <row r="37160" spans="20:20" s="566" customFormat="1">
      <c r="T37160" s="41"/>
    </row>
    <row r="37161" spans="20:20" s="566" customFormat="1">
      <c r="T37161" s="41"/>
    </row>
    <row r="37162" spans="20:20" s="566" customFormat="1">
      <c r="T37162" s="41"/>
    </row>
    <row r="37163" spans="20:20" s="566" customFormat="1">
      <c r="T37163" s="41"/>
    </row>
    <row r="37164" spans="20:20" s="566" customFormat="1">
      <c r="T37164" s="41"/>
    </row>
    <row r="37165" spans="20:20" s="566" customFormat="1">
      <c r="T37165" s="41"/>
    </row>
    <row r="37166" spans="20:20" s="566" customFormat="1">
      <c r="T37166" s="41"/>
    </row>
    <row r="37167" spans="20:20" s="566" customFormat="1">
      <c r="T37167" s="41"/>
    </row>
    <row r="37168" spans="20:20" s="566" customFormat="1">
      <c r="T37168" s="41"/>
    </row>
    <row r="37169" spans="20:20" s="566" customFormat="1">
      <c r="T37169" s="41"/>
    </row>
    <row r="37170" spans="20:20" s="566" customFormat="1">
      <c r="T37170" s="41"/>
    </row>
    <row r="37171" spans="20:20" s="566" customFormat="1">
      <c r="T37171" s="41"/>
    </row>
    <row r="37172" spans="20:20" s="566" customFormat="1">
      <c r="T37172" s="41"/>
    </row>
    <row r="37173" spans="20:20" s="566" customFormat="1">
      <c r="T37173" s="41"/>
    </row>
    <row r="37174" spans="20:20" s="566" customFormat="1">
      <c r="T37174" s="41"/>
    </row>
    <row r="37175" spans="20:20" s="566" customFormat="1">
      <c r="T37175" s="41"/>
    </row>
    <row r="37176" spans="20:20" s="566" customFormat="1">
      <c r="T37176" s="41"/>
    </row>
    <row r="37177" spans="20:20" s="566" customFormat="1">
      <c r="T37177" s="41"/>
    </row>
    <row r="37178" spans="20:20" s="566" customFormat="1">
      <c r="T37178" s="41"/>
    </row>
    <row r="37179" spans="20:20" s="566" customFormat="1">
      <c r="T37179" s="41"/>
    </row>
    <row r="37180" spans="20:20" s="566" customFormat="1">
      <c r="T37180" s="41"/>
    </row>
    <row r="37181" spans="20:20" s="566" customFormat="1">
      <c r="T37181" s="41"/>
    </row>
    <row r="37182" spans="20:20" s="566" customFormat="1">
      <c r="T37182" s="41"/>
    </row>
    <row r="37183" spans="20:20" s="566" customFormat="1">
      <c r="T37183" s="41"/>
    </row>
    <row r="37184" spans="20:20" s="566" customFormat="1">
      <c r="T37184" s="41"/>
    </row>
    <row r="37185" spans="20:20" s="566" customFormat="1">
      <c r="T37185" s="41"/>
    </row>
    <row r="37186" spans="20:20" s="566" customFormat="1">
      <c r="T37186" s="41"/>
    </row>
    <row r="37187" spans="20:20" s="566" customFormat="1">
      <c r="T37187" s="41"/>
    </row>
    <row r="37188" spans="20:20" s="566" customFormat="1">
      <c r="T37188" s="41"/>
    </row>
    <row r="37189" spans="20:20" s="566" customFormat="1">
      <c r="T37189" s="41"/>
    </row>
    <row r="37190" spans="20:20" s="566" customFormat="1">
      <c r="T37190" s="41"/>
    </row>
    <row r="37191" spans="20:20" s="566" customFormat="1">
      <c r="T37191" s="41"/>
    </row>
    <row r="37192" spans="20:20" s="566" customFormat="1">
      <c r="T37192" s="41"/>
    </row>
    <row r="37193" spans="20:20" s="566" customFormat="1">
      <c r="T37193" s="41"/>
    </row>
    <row r="37194" spans="20:20" s="566" customFormat="1">
      <c r="T37194" s="41"/>
    </row>
    <row r="37195" spans="20:20" s="566" customFormat="1">
      <c r="T37195" s="41"/>
    </row>
    <row r="37196" spans="20:20" s="566" customFormat="1">
      <c r="T37196" s="41"/>
    </row>
    <row r="37197" spans="20:20" s="566" customFormat="1">
      <c r="T37197" s="41"/>
    </row>
    <row r="37198" spans="20:20" s="566" customFormat="1">
      <c r="T37198" s="41"/>
    </row>
    <row r="37199" spans="20:20" s="566" customFormat="1">
      <c r="T37199" s="41"/>
    </row>
    <row r="37200" spans="20:20" s="566" customFormat="1">
      <c r="T37200" s="41"/>
    </row>
    <row r="37201" spans="20:20" s="566" customFormat="1">
      <c r="T37201" s="41"/>
    </row>
    <row r="37202" spans="20:20" s="566" customFormat="1">
      <c r="T37202" s="41"/>
    </row>
    <row r="37203" spans="20:20" s="566" customFormat="1">
      <c r="T37203" s="41"/>
    </row>
    <row r="37204" spans="20:20" s="566" customFormat="1">
      <c r="T37204" s="41"/>
    </row>
    <row r="37205" spans="20:20" s="566" customFormat="1">
      <c r="T37205" s="41"/>
    </row>
    <row r="37206" spans="20:20" s="566" customFormat="1">
      <c r="T37206" s="41"/>
    </row>
    <row r="37207" spans="20:20" s="566" customFormat="1">
      <c r="T37207" s="41"/>
    </row>
    <row r="37208" spans="20:20" s="566" customFormat="1">
      <c r="T37208" s="41"/>
    </row>
    <row r="37209" spans="20:20" s="566" customFormat="1">
      <c r="T37209" s="41"/>
    </row>
    <row r="37210" spans="20:20" s="566" customFormat="1">
      <c r="T37210" s="41"/>
    </row>
    <row r="37211" spans="20:20" s="566" customFormat="1">
      <c r="T37211" s="41"/>
    </row>
    <row r="37212" spans="20:20" s="566" customFormat="1">
      <c r="T37212" s="41"/>
    </row>
    <row r="37213" spans="20:20" s="566" customFormat="1">
      <c r="T37213" s="41"/>
    </row>
    <row r="37214" spans="20:20" s="566" customFormat="1">
      <c r="T37214" s="41"/>
    </row>
    <row r="37215" spans="20:20" s="566" customFormat="1">
      <c r="T37215" s="41"/>
    </row>
    <row r="37216" spans="20:20" s="566" customFormat="1">
      <c r="T37216" s="41"/>
    </row>
    <row r="37217" spans="20:20" s="566" customFormat="1">
      <c r="T37217" s="41"/>
    </row>
    <row r="37218" spans="20:20" s="566" customFormat="1">
      <c r="T37218" s="41"/>
    </row>
    <row r="37219" spans="20:20" s="566" customFormat="1">
      <c r="T37219" s="41"/>
    </row>
    <row r="37220" spans="20:20" s="566" customFormat="1">
      <c r="T37220" s="41"/>
    </row>
    <row r="37221" spans="20:20" s="566" customFormat="1">
      <c r="T37221" s="41"/>
    </row>
    <row r="37222" spans="20:20" s="566" customFormat="1">
      <c r="T37222" s="41"/>
    </row>
    <row r="37223" spans="20:20" s="566" customFormat="1">
      <c r="T37223" s="41"/>
    </row>
    <row r="37224" spans="20:20" s="566" customFormat="1">
      <c r="T37224" s="41"/>
    </row>
    <row r="37225" spans="20:20" s="566" customFormat="1">
      <c r="T37225" s="41"/>
    </row>
    <row r="37226" spans="20:20" s="566" customFormat="1">
      <c r="T37226" s="41"/>
    </row>
    <row r="37227" spans="20:20" s="566" customFormat="1">
      <c r="T37227" s="41"/>
    </row>
    <row r="37228" spans="20:20" s="566" customFormat="1">
      <c r="T37228" s="41"/>
    </row>
    <row r="37229" spans="20:20" s="566" customFormat="1">
      <c r="T37229" s="41"/>
    </row>
    <row r="37230" spans="20:20" s="566" customFormat="1">
      <c r="T37230" s="41"/>
    </row>
    <row r="37231" spans="20:20" s="566" customFormat="1">
      <c r="T37231" s="41"/>
    </row>
    <row r="37232" spans="20:20" s="566" customFormat="1">
      <c r="T37232" s="41"/>
    </row>
    <row r="37233" spans="20:20" s="566" customFormat="1">
      <c r="T37233" s="41"/>
    </row>
    <row r="37234" spans="20:20" s="566" customFormat="1">
      <c r="T37234" s="41"/>
    </row>
    <row r="37235" spans="20:20" s="566" customFormat="1">
      <c r="T37235" s="41"/>
    </row>
    <row r="37236" spans="20:20" s="566" customFormat="1">
      <c r="T37236" s="41"/>
    </row>
    <row r="37237" spans="20:20" s="566" customFormat="1">
      <c r="T37237" s="41"/>
    </row>
    <row r="37238" spans="20:20" s="566" customFormat="1">
      <c r="T37238" s="41"/>
    </row>
    <row r="37239" spans="20:20" s="566" customFormat="1">
      <c r="T37239" s="41"/>
    </row>
    <row r="37240" spans="20:20" s="566" customFormat="1">
      <c r="T37240" s="41"/>
    </row>
    <row r="37241" spans="20:20" s="566" customFormat="1">
      <c r="T37241" s="41"/>
    </row>
    <row r="37242" spans="20:20" s="566" customFormat="1">
      <c r="T37242" s="41"/>
    </row>
    <row r="37243" spans="20:20" s="566" customFormat="1">
      <c r="T37243" s="41"/>
    </row>
    <row r="37244" spans="20:20" s="566" customFormat="1">
      <c r="T37244" s="41"/>
    </row>
    <row r="37245" spans="20:20" s="566" customFormat="1">
      <c r="T37245" s="41"/>
    </row>
    <row r="37246" spans="20:20" s="566" customFormat="1">
      <c r="T37246" s="41"/>
    </row>
    <row r="37247" spans="20:20" s="566" customFormat="1">
      <c r="T37247" s="41"/>
    </row>
    <row r="37248" spans="20:20" s="566" customFormat="1">
      <c r="T37248" s="41"/>
    </row>
    <row r="37249" spans="20:20" s="566" customFormat="1">
      <c r="T37249" s="41"/>
    </row>
    <row r="37250" spans="20:20" s="566" customFormat="1">
      <c r="T37250" s="41"/>
    </row>
    <row r="37251" spans="20:20" s="566" customFormat="1">
      <c r="T37251" s="41"/>
    </row>
    <row r="37252" spans="20:20" s="566" customFormat="1">
      <c r="T37252" s="41"/>
    </row>
    <row r="37253" spans="20:20" s="566" customFormat="1">
      <c r="T37253" s="41"/>
    </row>
    <row r="37254" spans="20:20" s="566" customFormat="1">
      <c r="T37254" s="41"/>
    </row>
    <row r="37255" spans="20:20" s="566" customFormat="1">
      <c r="T37255" s="41"/>
    </row>
    <row r="37256" spans="20:20" s="566" customFormat="1">
      <c r="T37256" s="41"/>
    </row>
    <row r="37257" spans="20:20" s="566" customFormat="1">
      <c r="T37257" s="41"/>
    </row>
    <row r="37258" spans="20:20" s="566" customFormat="1">
      <c r="T37258" s="41"/>
    </row>
    <row r="37259" spans="20:20" s="566" customFormat="1">
      <c r="T37259" s="41"/>
    </row>
    <row r="37260" spans="20:20" s="566" customFormat="1">
      <c r="T37260" s="41"/>
    </row>
    <row r="37261" spans="20:20" s="566" customFormat="1">
      <c r="T37261" s="41"/>
    </row>
    <row r="37262" spans="20:20" s="566" customFormat="1">
      <c r="T37262" s="41"/>
    </row>
    <row r="37263" spans="20:20" s="566" customFormat="1">
      <c r="T37263" s="41"/>
    </row>
    <row r="37264" spans="20:20" s="566" customFormat="1">
      <c r="T37264" s="41"/>
    </row>
    <row r="37265" spans="20:20" s="566" customFormat="1">
      <c r="T37265" s="41"/>
    </row>
    <row r="37266" spans="20:20" s="566" customFormat="1">
      <c r="T37266" s="41"/>
    </row>
    <row r="37267" spans="20:20" s="566" customFormat="1">
      <c r="T37267" s="41"/>
    </row>
    <row r="37268" spans="20:20" s="566" customFormat="1">
      <c r="T37268" s="41"/>
    </row>
    <row r="37269" spans="20:20" s="566" customFormat="1">
      <c r="T37269" s="41"/>
    </row>
    <row r="37270" spans="20:20" s="566" customFormat="1">
      <c r="T37270" s="41"/>
    </row>
    <row r="37271" spans="20:20" s="566" customFormat="1">
      <c r="T37271" s="41"/>
    </row>
    <row r="37272" spans="20:20" s="566" customFormat="1">
      <c r="T37272" s="41"/>
    </row>
    <row r="37273" spans="20:20" s="566" customFormat="1">
      <c r="T37273" s="41"/>
    </row>
    <row r="37274" spans="20:20" s="566" customFormat="1">
      <c r="T37274" s="41"/>
    </row>
    <row r="37275" spans="20:20" s="566" customFormat="1">
      <c r="T37275" s="41"/>
    </row>
    <row r="37276" spans="20:20" s="566" customFormat="1">
      <c r="T37276" s="41"/>
    </row>
    <row r="37277" spans="20:20" s="566" customFormat="1">
      <c r="T37277" s="41"/>
    </row>
    <row r="37278" spans="20:20" s="566" customFormat="1">
      <c r="T37278" s="41"/>
    </row>
    <row r="37279" spans="20:20" s="566" customFormat="1">
      <c r="T37279" s="41"/>
    </row>
    <row r="37280" spans="20:20" s="566" customFormat="1">
      <c r="T37280" s="41"/>
    </row>
    <row r="37281" spans="20:20" s="566" customFormat="1">
      <c r="T37281" s="41"/>
    </row>
    <row r="37282" spans="20:20" s="566" customFormat="1">
      <c r="T37282" s="41"/>
    </row>
    <row r="37283" spans="20:20" s="566" customFormat="1">
      <c r="T37283" s="41"/>
    </row>
    <row r="37284" spans="20:20" s="566" customFormat="1">
      <c r="T37284" s="41"/>
    </row>
    <row r="37285" spans="20:20" s="566" customFormat="1">
      <c r="T37285" s="41"/>
    </row>
    <row r="37286" spans="20:20" s="566" customFormat="1">
      <c r="T37286" s="41"/>
    </row>
    <row r="37287" spans="20:20" s="566" customFormat="1">
      <c r="T37287" s="41"/>
    </row>
    <row r="37288" spans="20:20" s="566" customFormat="1">
      <c r="T37288" s="41"/>
    </row>
    <row r="37289" spans="20:20" s="566" customFormat="1">
      <c r="T37289" s="41"/>
    </row>
    <row r="37290" spans="20:20" s="566" customFormat="1">
      <c r="T37290" s="41"/>
    </row>
    <row r="37291" spans="20:20" s="566" customFormat="1">
      <c r="T37291" s="41"/>
    </row>
    <row r="37292" spans="20:20" s="566" customFormat="1">
      <c r="T37292" s="41"/>
    </row>
    <row r="37293" spans="20:20" s="566" customFormat="1">
      <c r="T37293" s="41"/>
    </row>
    <row r="37294" spans="20:20" s="566" customFormat="1">
      <c r="T37294" s="41"/>
    </row>
    <row r="37295" spans="20:20" s="566" customFormat="1">
      <c r="T37295" s="41"/>
    </row>
    <row r="37296" spans="20:20" s="566" customFormat="1">
      <c r="T37296" s="41"/>
    </row>
    <row r="37297" spans="20:20" s="566" customFormat="1">
      <c r="T37297" s="41"/>
    </row>
    <row r="37298" spans="20:20" s="566" customFormat="1">
      <c r="T37298" s="41"/>
    </row>
    <row r="37299" spans="20:20" s="566" customFormat="1">
      <c r="T37299" s="41"/>
    </row>
    <row r="37300" spans="20:20" s="566" customFormat="1">
      <c r="T37300" s="41"/>
    </row>
    <row r="37301" spans="20:20" s="566" customFormat="1">
      <c r="T37301" s="41"/>
    </row>
    <row r="37302" spans="20:20" s="566" customFormat="1">
      <c r="T37302" s="41"/>
    </row>
    <row r="37303" spans="20:20" s="566" customFormat="1">
      <c r="T37303" s="41"/>
    </row>
    <row r="37304" spans="20:20" s="566" customFormat="1">
      <c r="T37304" s="41"/>
    </row>
    <row r="37305" spans="20:20" s="566" customFormat="1">
      <c r="T37305" s="41"/>
    </row>
    <row r="37306" spans="20:20" s="566" customFormat="1">
      <c r="T37306" s="41"/>
    </row>
    <row r="37307" spans="20:20" s="566" customFormat="1">
      <c r="T37307" s="41"/>
    </row>
    <row r="37308" spans="20:20" s="566" customFormat="1">
      <c r="T37308" s="41"/>
    </row>
    <row r="37309" spans="20:20" s="566" customFormat="1">
      <c r="T37309" s="41"/>
    </row>
    <row r="37310" spans="20:20" s="566" customFormat="1">
      <c r="T37310" s="41"/>
    </row>
    <row r="37311" spans="20:20" s="566" customFormat="1">
      <c r="T37311" s="41"/>
    </row>
    <row r="37312" spans="20:20" s="566" customFormat="1">
      <c r="T37312" s="41"/>
    </row>
    <row r="37313" spans="20:20" s="566" customFormat="1">
      <c r="T37313" s="41"/>
    </row>
    <row r="37314" spans="20:20" s="566" customFormat="1">
      <c r="T37314" s="41"/>
    </row>
    <row r="37315" spans="20:20" s="566" customFormat="1">
      <c r="T37315" s="41"/>
    </row>
    <row r="37316" spans="20:20" s="566" customFormat="1">
      <c r="T37316" s="41"/>
    </row>
    <row r="37317" spans="20:20" s="566" customFormat="1">
      <c r="T37317" s="41"/>
    </row>
    <row r="37318" spans="20:20" s="566" customFormat="1">
      <c r="T37318" s="41"/>
    </row>
    <row r="37319" spans="20:20" s="566" customFormat="1">
      <c r="T37319" s="41"/>
    </row>
    <row r="37320" spans="20:20" s="566" customFormat="1">
      <c r="T37320" s="41"/>
    </row>
    <row r="37321" spans="20:20" s="566" customFormat="1">
      <c r="T37321" s="41"/>
    </row>
    <row r="37322" spans="20:20" s="566" customFormat="1">
      <c r="T37322" s="41"/>
    </row>
    <row r="37323" spans="20:20" s="566" customFormat="1">
      <c r="T37323" s="41"/>
    </row>
    <row r="37324" spans="20:20" s="566" customFormat="1">
      <c r="T37324" s="41"/>
    </row>
    <row r="37325" spans="20:20" s="566" customFormat="1">
      <c r="T37325" s="41"/>
    </row>
    <row r="37326" spans="20:20" s="566" customFormat="1">
      <c r="T37326" s="41"/>
    </row>
    <row r="37327" spans="20:20" s="566" customFormat="1">
      <c r="T37327" s="41"/>
    </row>
    <row r="37328" spans="20:20" s="566" customFormat="1">
      <c r="T37328" s="41"/>
    </row>
    <row r="37329" spans="20:20" s="566" customFormat="1">
      <c r="T37329" s="41"/>
    </row>
    <row r="37330" spans="20:20" s="566" customFormat="1">
      <c r="T37330" s="41"/>
    </row>
    <row r="37331" spans="20:20" s="566" customFormat="1">
      <c r="T37331" s="41"/>
    </row>
    <row r="37332" spans="20:20" s="566" customFormat="1">
      <c r="T37332" s="41"/>
    </row>
    <row r="37333" spans="20:20" s="566" customFormat="1">
      <c r="T37333" s="41"/>
    </row>
    <row r="37334" spans="20:20" s="566" customFormat="1">
      <c r="T37334" s="41"/>
    </row>
    <row r="37335" spans="20:20" s="566" customFormat="1">
      <c r="T37335" s="41"/>
    </row>
    <row r="37336" spans="20:20" s="566" customFormat="1">
      <c r="T37336" s="41"/>
    </row>
    <row r="37337" spans="20:20" s="566" customFormat="1">
      <c r="T37337" s="41"/>
    </row>
    <row r="37338" spans="20:20" s="566" customFormat="1">
      <c r="T37338" s="41"/>
    </row>
    <row r="37339" spans="20:20" s="566" customFormat="1">
      <c r="T37339" s="41"/>
    </row>
    <row r="37340" spans="20:20" s="566" customFormat="1">
      <c r="T37340" s="41"/>
    </row>
    <row r="37341" spans="20:20" s="566" customFormat="1">
      <c r="T37341" s="41"/>
    </row>
    <row r="37342" spans="20:20" s="566" customFormat="1">
      <c r="T37342" s="41"/>
    </row>
    <row r="37343" spans="20:20" s="566" customFormat="1">
      <c r="T37343" s="41"/>
    </row>
    <row r="37344" spans="20:20" s="566" customFormat="1">
      <c r="T37344" s="41"/>
    </row>
    <row r="37345" spans="20:20" s="566" customFormat="1">
      <c r="T37345" s="41"/>
    </row>
    <row r="37346" spans="20:20" s="566" customFormat="1">
      <c r="T37346" s="41"/>
    </row>
    <row r="37347" spans="20:20" s="566" customFormat="1">
      <c r="T37347" s="41"/>
    </row>
    <row r="37348" spans="20:20" s="566" customFormat="1">
      <c r="T37348" s="41"/>
    </row>
    <row r="37349" spans="20:20" s="566" customFormat="1">
      <c r="T37349" s="41"/>
    </row>
    <row r="37350" spans="20:20" s="566" customFormat="1">
      <c r="T37350" s="41"/>
    </row>
    <row r="37351" spans="20:20" s="566" customFormat="1">
      <c r="T37351" s="41"/>
    </row>
    <row r="37352" spans="20:20" s="566" customFormat="1">
      <c r="T37352" s="41"/>
    </row>
    <row r="37353" spans="20:20" s="566" customFormat="1">
      <c r="T37353" s="41"/>
    </row>
    <row r="37354" spans="20:20" s="566" customFormat="1">
      <c r="T37354" s="41"/>
    </row>
    <row r="37355" spans="20:20" s="566" customFormat="1">
      <c r="T37355" s="41"/>
    </row>
    <row r="37356" spans="20:20" s="566" customFormat="1">
      <c r="T37356" s="41"/>
    </row>
    <row r="37357" spans="20:20" s="566" customFormat="1">
      <c r="T37357" s="41"/>
    </row>
    <row r="37358" spans="20:20" s="566" customFormat="1">
      <c r="T37358" s="41"/>
    </row>
    <row r="37359" spans="20:20" s="566" customFormat="1">
      <c r="T37359" s="41"/>
    </row>
    <row r="37360" spans="20:20" s="566" customFormat="1">
      <c r="T37360" s="41"/>
    </row>
    <row r="37361" spans="20:20" s="566" customFormat="1">
      <c r="T37361" s="41"/>
    </row>
    <row r="37362" spans="20:20" s="566" customFormat="1">
      <c r="T37362" s="41"/>
    </row>
    <row r="37363" spans="20:20" s="566" customFormat="1">
      <c r="T37363" s="41"/>
    </row>
    <row r="37364" spans="20:20" s="566" customFormat="1">
      <c r="T37364" s="41"/>
    </row>
    <row r="37365" spans="20:20" s="566" customFormat="1">
      <c r="T37365" s="41"/>
    </row>
    <row r="37366" spans="20:20" s="566" customFormat="1">
      <c r="T37366" s="41"/>
    </row>
    <row r="37367" spans="20:20" s="566" customFormat="1">
      <c r="T37367" s="41"/>
    </row>
    <row r="37368" spans="20:20" s="566" customFormat="1">
      <c r="T37368" s="41"/>
    </row>
    <row r="37369" spans="20:20" s="566" customFormat="1">
      <c r="T37369" s="41"/>
    </row>
    <row r="37370" spans="20:20" s="566" customFormat="1">
      <c r="T37370" s="41"/>
    </row>
    <row r="37371" spans="20:20" s="566" customFormat="1">
      <c r="T37371" s="41"/>
    </row>
    <row r="37372" spans="20:20" s="566" customFormat="1">
      <c r="T37372" s="41"/>
    </row>
    <row r="37373" spans="20:20" s="566" customFormat="1">
      <c r="T37373" s="41"/>
    </row>
    <row r="37374" spans="20:20" s="566" customFormat="1">
      <c r="T37374" s="41"/>
    </row>
    <row r="37375" spans="20:20" s="566" customFormat="1">
      <c r="T37375" s="41"/>
    </row>
    <row r="37376" spans="20:20" s="566" customFormat="1">
      <c r="T37376" s="41"/>
    </row>
    <row r="37377" spans="20:20" s="566" customFormat="1">
      <c r="T37377" s="41"/>
    </row>
    <row r="37378" spans="20:20" s="566" customFormat="1">
      <c r="T37378" s="41"/>
    </row>
    <row r="37379" spans="20:20" s="566" customFormat="1">
      <c r="T37379" s="41"/>
    </row>
    <row r="37380" spans="20:20" s="566" customFormat="1">
      <c r="T37380" s="41"/>
    </row>
    <row r="37381" spans="20:20" s="566" customFormat="1">
      <c r="T37381" s="41"/>
    </row>
    <row r="37382" spans="20:20" s="566" customFormat="1">
      <c r="T37382" s="41"/>
    </row>
    <row r="37383" spans="20:20" s="566" customFormat="1">
      <c r="T37383" s="41"/>
    </row>
    <row r="37384" spans="20:20" s="566" customFormat="1">
      <c r="T37384" s="41"/>
    </row>
    <row r="37385" spans="20:20" s="566" customFormat="1">
      <c r="T37385" s="41"/>
    </row>
    <row r="37386" spans="20:20" s="566" customFormat="1">
      <c r="T37386" s="41"/>
    </row>
    <row r="37387" spans="20:20" s="566" customFormat="1">
      <c r="T37387" s="41"/>
    </row>
    <row r="37388" spans="20:20" s="566" customFormat="1">
      <c r="T37388" s="41"/>
    </row>
    <row r="37389" spans="20:20" s="566" customFormat="1">
      <c r="T37389" s="41"/>
    </row>
    <row r="37390" spans="20:20" s="566" customFormat="1">
      <c r="T37390" s="41"/>
    </row>
    <row r="37391" spans="20:20" s="566" customFormat="1">
      <c r="T37391" s="41"/>
    </row>
    <row r="37392" spans="20:20" s="566" customFormat="1">
      <c r="T37392" s="41"/>
    </row>
    <row r="37393" spans="20:20" s="566" customFormat="1">
      <c r="T37393" s="41"/>
    </row>
    <row r="37394" spans="20:20" s="566" customFormat="1">
      <c r="T37394" s="41"/>
    </row>
    <row r="37395" spans="20:20" s="566" customFormat="1">
      <c r="T37395" s="41"/>
    </row>
    <row r="37396" spans="20:20" s="566" customFormat="1">
      <c r="T37396" s="41"/>
    </row>
    <row r="37397" spans="20:20" s="566" customFormat="1">
      <c r="T37397" s="41"/>
    </row>
    <row r="37398" spans="20:20" s="566" customFormat="1">
      <c r="T37398" s="41"/>
    </row>
    <row r="37399" spans="20:20" s="566" customFormat="1">
      <c r="T37399" s="41"/>
    </row>
    <row r="37400" spans="20:20" s="566" customFormat="1">
      <c r="T37400" s="41"/>
    </row>
    <row r="37401" spans="20:20" s="566" customFormat="1">
      <c r="T37401" s="41"/>
    </row>
    <row r="37402" spans="20:20" s="566" customFormat="1">
      <c r="T37402" s="41"/>
    </row>
    <row r="37403" spans="20:20" s="566" customFormat="1">
      <c r="T37403" s="41"/>
    </row>
    <row r="37404" spans="20:20" s="566" customFormat="1">
      <c r="T37404" s="41"/>
    </row>
    <row r="37405" spans="20:20" s="566" customFormat="1">
      <c r="T37405" s="41"/>
    </row>
    <row r="37406" spans="20:20" s="566" customFormat="1">
      <c r="T37406" s="41"/>
    </row>
    <row r="37407" spans="20:20" s="566" customFormat="1">
      <c r="T37407" s="41"/>
    </row>
    <row r="37408" spans="20:20" s="566" customFormat="1">
      <c r="T37408" s="41"/>
    </row>
    <row r="37409" spans="20:20" s="566" customFormat="1">
      <c r="T37409" s="41"/>
    </row>
    <row r="37410" spans="20:20" s="566" customFormat="1">
      <c r="T37410" s="41"/>
    </row>
    <row r="37411" spans="20:20" s="566" customFormat="1">
      <c r="T37411" s="41"/>
    </row>
    <row r="37412" spans="20:20" s="566" customFormat="1">
      <c r="T37412" s="41"/>
    </row>
    <row r="37413" spans="20:20" s="566" customFormat="1">
      <c r="T37413" s="41"/>
    </row>
    <row r="37414" spans="20:20" s="566" customFormat="1">
      <c r="T37414" s="41"/>
    </row>
    <row r="37415" spans="20:20" s="566" customFormat="1">
      <c r="T37415" s="41"/>
    </row>
    <row r="37416" spans="20:20" s="566" customFormat="1">
      <c r="T37416" s="41"/>
    </row>
    <row r="37417" spans="20:20" s="566" customFormat="1">
      <c r="T37417" s="41"/>
    </row>
    <row r="37418" spans="20:20" s="566" customFormat="1">
      <c r="T37418" s="41"/>
    </row>
    <row r="37419" spans="20:20" s="566" customFormat="1">
      <c r="T37419" s="41"/>
    </row>
    <row r="37420" spans="20:20" s="566" customFormat="1">
      <c r="T37420" s="41"/>
    </row>
    <row r="37421" spans="20:20" s="566" customFormat="1">
      <c r="T37421" s="41"/>
    </row>
    <row r="37422" spans="20:20" s="566" customFormat="1">
      <c r="T37422" s="41"/>
    </row>
    <row r="37423" spans="20:20" s="566" customFormat="1">
      <c r="T37423" s="41"/>
    </row>
    <row r="37424" spans="20:20" s="566" customFormat="1">
      <c r="T37424" s="41"/>
    </row>
    <row r="37425" spans="20:20" s="566" customFormat="1">
      <c r="T37425" s="41"/>
    </row>
    <row r="37426" spans="20:20" s="566" customFormat="1">
      <c r="T37426" s="41"/>
    </row>
    <row r="37427" spans="20:20" s="566" customFormat="1">
      <c r="T37427" s="41"/>
    </row>
    <row r="37428" spans="20:20" s="566" customFormat="1">
      <c r="T37428" s="41"/>
    </row>
    <row r="37429" spans="20:20" s="566" customFormat="1">
      <c r="T37429" s="41"/>
    </row>
    <row r="37430" spans="20:20" s="566" customFormat="1">
      <c r="T37430" s="41"/>
    </row>
    <row r="37431" spans="20:20" s="566" customFormat="1">
      <c r="T37431" s="41"/>
    </row>
    <row r="37432" spans="20:20" s="566" customFormat="1">
      <c r="T37432" s="41"/>
    </row>
    <row r="37433" spans="20:20" s="566" customFormat="1">
      <c r="T37433" s="41"/>
    </row>
    <row r="37434" spans="20:20" s="566" customFormat="1">
      <c r="T37434" s="41"/>
    </row>
    <row r="37435" spans="20:20" s="566" customFormat="1">
      <c r="T37435" s="41"/>
    </row>
    <row r="37436" spans="20:20" s="566" customFormat="1">
      <c r="T37436" s="41"/>
    </row>
    <row r="37437" spans="20:20" s="566" customFormat="1">
      <c r="T37437" s="41"/>
    </row>
    <row r="37438" spans="20:20" s="566" customFormat="1">
      <c r="T37438" s="41"/>
    </row>
    <row r="37439" spans="20:20" s="566" customFormat="1">
      <c r="T37439" s="41"/>
    </row>
    <row r="37440" spans="20:20" s="566" customFormat="1">
      <c r="T37440" s="41"/>
    </row>
    <row r="37441" spans="20:20" s="566" customFormat="1">
      <c r="T37441" s="41"/>
    </row>
    <row r="37442" spans="20:20" s="566" customFormat="1">
      <c r="T37442" s="41"/>
    </row>
    <row r="37443" spans="20:20" s="566" customFormat="1">
      <c r="T37443" s="41"/>
    </row>
    <row r="37444" spans="20:20" s="566" customFormat="1">
      <c r="T37444" s="41"/>
    </row>
    <row r="37445" spans="20:20" s="566" customFormat="1">
      <c r="T37445" s="41"/>
    </row>
    <row r="37446" spans="20:20" s="566" customFormat="1">
      <c r="T37446" s="41"/>
    </row>
    <row r="37447" spans="20:20" s="566" customFormat="1">
      <c r="T37447" s="41"/>
    </row>
    <row r="37448" spans="20:20" s="566" customFormat="1">
      <c r="T37448" s="41"/>
    </row>
    <row r="37449" spans="20:20" s="566" customFormat="1">
      <c r="T37449" s="41"/>
    </row>
    <row r="37450" spans="20:20" s="566" customFormat="1">
      <c r="T37450" s="41"/>
    </row>
    <row r="37451" spans="20:20" s="566" customFormat="1">
      <c r="T37451" s="41"/>
    </row>
    <row r="37452" spans="20:20" s="566" customFormat="1">
      <c r="T37452" s="41"/>
    </row>
    <row r="37453" spans="20:20" s="566" customFormat="1">
      <c r="T37453" s="41"/>
    </row>
    <row r="37454" spans="20:20" s="566" customFormat="1">
      <c r="T37454" s="41"/>
    </row>
    <row r="37455" spans="20:20" s="566" customFormat="1">
      <c r="T37455" s="41"/>
    </row>
    <row r="37456" spans="20:20" s="566" customFormat="1">
      <c r="T37456" s="41"/>
    </row>
    <row r="37457" spans="20:20" s="566" customFormat="1">
      <c r="T37457" s="41"/>
    </row>
    <row r="37458" spans="20:20" s="566" customFormat="1">
      <c r="T37458" s="41"/>
    </row>
    <row r="37459" spans="20:20" s="566" customFormat="1">
      <c r="T37459" s="41"/>
    </row>
    <row r="37460" spans="20:20" s="566" customFormat="1">
      <c r="T37460" s="41"/>
    </row>
    <row r="37461" spans="20:20" s="566" customFormat="1">
      <c r="T37461" s="41"/>
    </row>
    <row r="37462" spans="20:20" s="566" customFormat="1">
      <c r="T37462" s="41"/>
    </row>
    <row r="37463" spans="20:20" s="566" customFormat="1">
      <c r="T37463" s="41"/>
    </row>
    <row r="37464" spans="20:20" s="566" customFormat="1">
      <c r="T37464" s="41"/>
    </row>
    <row r="37465" spans="20:20" s="566" customFormat="1">
      <c r="T37465" s="41"/>
    </row>
    <row r="37466" spans="20:20" s="566" customFormat="1">
      <c r="T37466" s="41"/>
    </row>
    <row r="37467" spans="20:20" s="566" customFormat="1">
      <c r="T37467" s="41"/>
    </row>
    <row r="37468" spans="20:20" s="566" customFormat="1">
      <c r="T37468" s="41"/>
    </row>
    <row r="37469" spans="20:20" s="566" customFormat="1">
      <c r="T37469" s="41"/>
    </row>
    <row r="37470" spans="20:20" s="566" customFormat="1">
      <c r="T37470" s="41"/>
    </row>
    <row r="37471" spans="20:20" s="566" customFormat="1">
      <c r="T37471" s="41"/>
    </row>
    <row r="37472" spans="20:20" s="566" customFormat="1">
      <c r="T37472" s="41"/>
    </row>
    <row r="37473" spans="20:20" s="566" customFormat="1">
      <c r="T37473" s="41"/>
    </row>
    <row r="37474" spans="20:20" s="566" customFormat="1">
      <c r="T37474" s="41"/>
    </row>
    <row r="37475" spans="20:20" s="566" customFormat="1">
      <c r="T37475" s="41"/>
    </row>
    <row r="37476" spans="20:20" s="566" customFormat="1">
      <c r="T37476" s="41"/>
    </row>
    <row r="37477" spans="20:20" s="566" customFormat="1">
      <c r="T37477" s="41"/>
    </row>
    <row r="37478" spans="20:20" s="566" customFormat="1">
      <c r="T37478" s="41"/>
    </row>
    <row r="37479" spans="20:20" s="566" customFormat="1">
      <c r="T37479" s="41"/>
    </row>
    <row r="37480" spans="20:20" s="566" customFormat="1">
      <c r="T37480" s="41"/>
    </row>
    <row r="37481" spans="20:20" s="566" customFormat="1">
      <c r="T37481" s="41"/>
    </row>
    <row r="37482" spans="20:20" s="566" customFormat="1">
      <c r="T37482" s="41"/>
    </row>
    <row r="37483" spans="20:20" s="566" customFormat="1">
      <c r="T37483" s="41"/>
    </row>
    <row r="37484" spans="20:20" s="566" customFormat="1">
      <c r="T37484" s="41"/>
    </row>
    <row r="37485" spans="20:20" s="566" customFormat="1">
      <c r="T37485" s="41"/>
    </row>
    <row r="37486" spans="20:20" s="566" customFormat="1">
      <c r="T37486" s="41"/>
    </row>
    <row r="37487" spans="20:20" s="566" customFormat="1">
      <c r="T37487" s="41"/>
    </row>
    <row r="37488" spans="20:20" s="566" customFormat="1">
      <c r="T37488" s="41"/>
    </row>
    <row r="37489" spans="20:20" s="566" customFormat="1">
      <c r="T37489" s="41"/>
    </row>
    <row r="37490" spans="20:20" s="566" customFormat="1">
      <c r="T37490" s="41"/>
    </row>
    <row r="37491" spans="20:20" s="566" customFormat="1">
      <c r="T37491" s="41"/>
    </row>
    <row r="37492" spans="20:20" s="566" customFormat="1">
      <c r="T37492" s="41"/>
    </row>
    <row r="37493" spans="20:20" s="566" customFormat="1">
      <c r="T37493" s="41"/>
    </row>
    <row r="37494" spans="20:20" s="566" customFormat="1">
      <c r="T37494" s="41"/>
    </row>
    <row r="37495" spans="20:20" s="566" customFormat="1">
      <c r="T37495" s="41"/>
    </row>
    <row r="37496" spans="20:20" s="566" customFormat="1">
      <c r="T37496" s="41"/>
    </row>
    <row r="37497" spans="20:20" s="566" customFormat="1">
      <c r="T37497" s="41"/>
    </row>
    <row r="37498" spans="20:20" s="566" customFormat="1">
      <c r="T37498" s="41"/>
    </row>
    <row r="37499" spans="20:20" s="566" customFormat="1">
      <c r="T37499" s="41"/>
    </row>
    <row r="37500" spans="20:20" s="566" customFormat="1">
      <c r="T37500" s="41"/>
    </row>
    <row r="37501" spans="20:20" s="566" customFormat="1">
      <c r="T37501" s="41"/>
    </row>
    <row r="37502" spans="20:20" s="566" customFormat="1">
      <c r="T37502" s="41"/>
    </row>
    <row r="37503" spans="20:20" s="566" customFormat="1">
      <c r="T37503" s="41"/>
    </row>
    <row r="37504" spans="20:20" s="566" customFormat="1">
      <c r="T37504" s="41"/>
    </row>
    <row r="37505" spans="20:20" s="566" customFormat="1">
      <c r="T37505" s="41"/>
    </row>
    <row r="37506" spans="20:20" s="566" customFormat="1">
      <c r="T37506" s="41"/>
    </row>
    <row r="37507" spans="20:20" s="566" customFormat="1">
      <c r="T37507" s="41"/>
    </row>
    <row r="37508" spans="20:20" s="566" customFormat="1">
      <c r="T37508" s="41"/>
    </row>
    <row r="37509" spans="20:20" s="566" customFormat="1">
      <c r="T37509" s="41"/>
    </row>
    <row r="37510" spans="20:20" s="566" customFormat="1">
      <c r="T37510" s="41"/>
    </row>
    <row r="37511" spans="20:20" s="566" customFormat="1">
      <c r="T37511" s="41"/>
    </row>
    <row r="37512" spans="20:20" s="566" customFormat="1">
      <c r="T37512" s="41"/>
    </row>
    <row r="37513" spans="20:20" s="566" customFormat="1">
      <c r="T37513" s="41"/>
    </row>
    <row r="37514" spans="20:20" s="566" customFormat="1">
      <c r="T37514" s="41"/>
    </row>
    <row r="37515" spans="20:20" s="566" customFormat="1">
      <c r="T37515" s="41"/>
    </row>
    <row r="37516" spans="20:20" s="566" customFormat="1">
      <c r="T37516" s="41"/>
    </row>
    <row r="37517" spans="20:20" s="566" customFormat="1">
      <c r="T37517" s="41"/>
    </row>
    <row r="37518" spans="20:20" s="566" customFormat="1">
      <c r="T37518" s="41"/>
    </row>
    <row r="37519" spans="20:20" s="566" customFormat="1">
      <c r="T37519" s="41"/>
    </row>
    <row r="37520" spans="20:20" s="566" customFormat="1">
      <c r="T37520" s="41"/>
    </row>
    <row r="37521" spans="20:20" s="566" customFormat="1">
      <c r="T37521" s="41"/>
    </row>
    <row r="37522" spans="20:20" s="566" customFormat="1">
      <c r="T37522" s="41"/>
    </row>
    <row r="37523" spans="20:20" s="566" customFormat="1">
      <c r="T37523" s="41"/>
    </row>
    <row r="37524" spans="20:20" s="566" customFormat="1">
      <c r="T37524" s="41"/>
    </row>
    <row r="37525" spans="20:20" s="566" customFormat="1">
      <c r="T37525" s="41"/>
    </row>
    <row r="37526" spans="20:20" s="566" customFormat="1">
      <c r="T37526" s="41"/>
    </row>
    <row r="37527" spans="20:20" s="566" customFormat="1">
      <c r="T37527" s="41"/>
    </row>
    <row r="37528" spans="20:20" s="566" customFormat="1">
      <c r="T37528" s="41"/>
    </row>
    <row r="37529" spans="20:20" s="566" customFormat="1">
      <c r="T37529" s="41"/>
    </row>
    <row r="37530" spans="20:20" s="566" customFormat="1">
      <c r="T37530" s="41"/>
    </row>
    <row r="37531" spans="20:20" s="566" customFormat="1">
      <c r="T37531" s="41"/>
    </row>
    <row r="37532" spans="20:20" s="566" customFormat="1">
      <c r="T37532" s="41"/>
    </row>
    <row r="37533" spans="20:20" s="566" customFormat="1">
      <c r="T37533" s="41"/>
    </row>
    <row r="37534" spans="20:20" s="566" customFormat="1">
      <c r="T37534" s="41"/>
    </row>
    <row r="37535" spans="20:20" s="566" customFormat="1">
      <c r="T37535" s="41"/>
    </row>
    <row r="37536" spans="20:20" s="566" customFormat="1">
      <c r="T37536" s="41"/>
    </row>
    <row r="37537" spans="20:20" s="566" customFormat="1">
      <c r="T37537" s="41"/>
    </row>
    <row r="37538" spans="20:20" s="566" customFormat="1">
      <c r="T37538" s="41"/>
    </row>
    <row r="37539" spans="20:20" s="566" customFormat="1">
      <c r="T37539" s="41"/>
    </row>
    <row r="37540" spans="20:20" s="566" customFormat="1">
      <c r="T37540" s="41"/>
    </row>
    <row r="37541" spans="20:20" s="566" customFormat="1">
      <c r="T37541" s="41"/>
    </row>
    <row r="37542" spans="20:20" s="566" customFormat="1">
      <c r="T37542" s="41"/>
    </row>
    <row r="37543" spans="20:20" s="566" customFormat="1">
      <c r="T37543" s="41"/>
    </row>
    <row r="37544" spans="20:20" s="566" customFormat="1">
      <c r="T37544" s="41"/>
    </row>
    <row r="37545" spans="20:20" s="566" customFormat="1">
      <c r="T37545" s="41"/>
    </row>
    <row r="37546" spans="20:20" s="566" customFormat="1">
      <c r="T37546" s="41"/>
    </row>
    <row r="37547" spans="20:20" s="566" customFormat="1">
      <c r="T37547" s="41"/>
    </row>
    <row r="37548" spans="20:20" s="566" customFormat="1">
      <c r="T37548" s="41"/>
    </row>
    <row r="37549" spans="20:20" s="566" customFormat="1">
      <c r="T37549" s="41"/>
    </row>
    <row r="37550" spans="20:20" s="566" customFormat="1">
      <c r="T37550" s="41"/>
    </row>
    <row r="37551" spans="20:20" s="566" customFormat="1">
      <c r="T37551" s="41"/>
    </row>
    <row r="37552" spans="20:20" s="566" customFormat="1">
      <c r="T37552" s="41"/>
    </row>
    <row r="37553" spans="20:20" s="566" customFormat="1">
      <c r="T37553" s="41"/>
    </row>
    <row r="37554" spans="20:20" s="566" customFormat="1">
      <c r="T37554" s="41"/>
    </row>
    <row r="37555" spans="20:20" s="566" customFormat="1">
      <c r="T37555" s="41"/>
    </row>
    <row r="37556" spans="20:20" s="566" customFormat="1">
      <c r="T37556" s="41"/>
    </row>
    <row r="37557" spans="20:20" s="566" customFormat="1">
      <c r="T37557" s="41"/>
    </row>
    <row r="37558" spans="20:20" s="566" customFormat="1">
      <c r="T37558" s="41"/>
    </row>
    <row r="37559" spans="20:20" s="566" customFormat="1">
      <c r="T37559" s="41"/>
    </row>
    <row r="37560" spans="20:20" s="566" customFormat="1">
      <c r="T37560" s="41"/>
    </row>
    <row r="37561" spans="20:20" s="566" customFormat="1">
      <c r="T37561" s="41"/>
    </row>
    <row r="37562" spans="20:20" s="566" customFormat="1">
      <c r="T37562" s="41"/>
    </row>
    <row r="37563" spans="20:20" s="566" customFormat="1">
      <c r="T37563" s="41"/>
    </row>
    <row r="37564" spans="20:20" s="566" customFormat="1">
      <c r="T37564" s="41"/>
    </row>
    <row r="37565" spans="20:20" s="566" customFormat="1">
      <c r="T37565" s="41"/>
    </row>
    <row r="37566" spans="20:20" s="566" customFormat="1">
      <c r="T37566" s="41"/>
    </row>
    <row r="37567" spans="20:20" s="566" customFormat="1">
      <c r="T37567" s="41"/>
    </row>
    <row r="37568" spans="20:20" s="566" customFormat="1">
      <c r="T37568" s="41"/>
    </row>
    <row r="37569" spans="20:20" s="566" customFormat="1">
      <c r="T37569" s="41"/>
    </row>
    <row r="37570" spans="20:20" s="566" customFormat="1">
      <c r="T37570" s="41"/>
    </row>
    <row r="37571" spans="20:20" s="566" customFormat="1">
      <c r="T37571" s="41"/>
    </row>
    <row r="37572" spans="20:20" s="566" customFormat="1">
      <c r="T37572" s="41"/>
    </row>
    <row r="37573" spans="20:20" s="566" customFormat="1">
      <c r="T37573" s="41"/>
    </row>
    <row r="37574" spans="20:20" s="566" customFormat="1">
      <c r="T37574" s="41"/>
    </row>
    <row r="37575" spans="20:20" s="566" customFormat="1">
      <c r="T37575" s="41"/>
    </row>
    <row r="37576" spans="20:20" s="566" customFormat="1">
      <c r="T37576" s="41"/>
    </row>
    <row r="37577" spans="20:20" s="566" customFormat="1">
      <c r="T37577" s="41"/>
    </row>
    <row r="37578" spans="20:20" s="566" customFormat="1">
      <c r="T37578" s="41"/>
    </row>
    <row r="37579" spans="20:20" s="566" customFormat="1">
      <c r="T37579" s="41"/>
    </row>
    <row r="37580" spans="20:20" s="566" customFormat="1">
      <c r="T37580" s="41"/>
    </row>
    <row r="37581" spans="20:20" s="566" customFormat="1">
      <c r="T37581" s="41"/>
    </row>
    <row r="37582" spans="20:20" s="566" customFormat="1">
      <c r="T37582" s="41"/>
    </row>
    <row r="37583" spans="20:20" s="566" customFormat="1">
      <c r="T37583" s="41"/>
    </row>
    <row r="37584" spans="20:20" s="566" customFormat="1">
      <c r="T37584" s="41"/>
    </row>
    <row r="37585" spans="20:20" s="566" customFormat="1">
      <c r="T37585" s="41"/>
    </row>
    <row r="37586" spans="20:20" s="566" customFormat="1">
      <c r="T37586" s="41"/>
    </row>
    <row r="37587" spans="20:20" s="566" customFormat="1">
      <c r="T37587" s="41"/>
    </row>
    <row r="37588" spans="20:20" s="566" customFormat="1">
      <c r="T37588" s="41"/>
    </row>
    <row r="37589" spans="20:20" s="566" customFormat="1">
      <c r="T37589" s="41"/>
    </row>
    <row r="37590" spans="20:20" s="566" customFormat="1">
      <c r="T37590" s="41"/>
    </row>
    <row r="37591" spans="20:20" s="566" customFormat="1">
      <c r="T37591" s="41"/>
    </row>
    <row r="37592" spans="20:20" s="566" customFormat="1">
      <c r="T37592" s="41"/>
    </row>
    <row r="37593" spans="20:20" s="566" customFormat="1">
      <c r="T37593" s="41"/>
    </row>
    <row r="37594" spans="20:20" s="566" customFormat="1">
      <c r="T37594" s="41"/>
    </row>
    <row r="37595" spans="20:20" s="566" customFormat="1">
      <c r="T37595" s="41"/>
    </row>
    <row r="37596" spans="20:20" s="566" customFormat="1">
      <c r="T37596" s="41"/>
    </row>
    <row r="37597" spans="20:20" s="566" customFormat="1">
      <c r="T37597" s="41"/>
    </row>
    <row r="37598" spans="20:20" s="566" customFormat="1">
      <c r="T37598" s="41"/>
    </row>
    <row r="37599" spans="20:20" s="566" customFormat="1">
      <c r="T37599" s="41"/>
    </row>
    <row r="37600" spans="20:20" s="566" customFormat="1">
      <c r="T37600" s="41"/>
    </row>
    <row r="37601" spans="20:20" s="566" customFormat="1">
      <c r="T37601" s="41"/>
    </row>
    <row r="37602" spans="20:20" s="566" customFormat="1">
      <c r="T37602" s="41"/>
    </row>
    <row r="37603" spans="20:20" s="566" customFormat="1">
      <c r="T37603" s="41"/>
    </row>
    <row r="37604" spans="20:20" s="566" customFormat="1">
      <c r="T37604" s="41"/>
    </row>
    <row r="37605" spans="20:20" s="566" customFormat="1">
      <c r="T37605" s="41"/>
    </row>
    <row r="37606" spans="20:20" s="566" customFormat="1">
      <c r="T37606" s="41"/>
    </row>
    <row r="37607" spans="20:20" s="566" customFormat="1">
      <c r="T37607" s="41"/>
    </row>
    <row r="37608" spans="20:20" s="566" customFormat="1">
      <c r="T37608" s="41"/>
    </row>
    <row r="37609" spans="20:20" s="566" customFormat="1">
      <c r="T37609" s="41"/>
    </row>
    <row r="37610" spans="20:20" s="566" customFormat="1">
      <c r="T37610" s="41"/>
    </row>
    <row r="37611" spans="20:20" s="566" customFormat="1">
      <c r="T37611" s="41"/>
    </row>
    <row r="37612" spans="20:20" s="566" customFormat="1">
      <c r="T37612" s="41"/>
    </row>
    <row r="37613" spans="20:20" s="566" customFormat="1">
      <c r="T37613" s="41"/>
    </row>
    <row r="37614" spans="20:20" s="566" customFormat="1">
      <c r="T37614" s="41"/>
    </row>
    <row r="37615" spans="20:20" s="566" customFormat="1">
      <c r="T37615" s="41"/>
    </row>
    <row r="37616" spans="20:20" s="566" customFormat="1">
      <c r="T37616" s="41"/>
    </row>
    <row r="37617" spans="20:20" s="566" customFormat="1">
      <c r="T37617" s="41"/>
    </row>
    <row r="37618" spans="20:20" s="566" customFormat="1">
      <c r="T37618" s="41"/>
    </row>
    <row r="37619" spans="20:20" s="566" customFormat="1">
      <c r="T37619" s="41"/>
    </row>
    <row r="37620" spans="20:20" s="566" customFormat="1">
      <c r="T37620" s="41"/>
    </row>
    <row r="37621" spans="20:20" s="566" customFormat="1">
      <c r="T37621" s="41"/>
    </row>
    <row r="37622" spans="20:20" s="566" customFormat="1">
      <c r="T37622" s="41"/>
    </row>
    <row r="37623" spans="20:20" s="566" customFormat="1">
      <c r="T37623" s="41"/>
    </row>
    <row r="37624" spans="20:20" s="566" customFormat="1">
      <c r="T37624" s="41"/>
    </row>
    <row r="37625" spans="20:20" s="566" customFormat="1">
      <c r="T37625" s="41"/>
    </row>
    <row r="37626" spans="20:20" s="566" customFormat="1">
      <c r="T37626" s="41"/>
    </row>
    <row r="37627" spans="20:20" s="566" customFormat="1">
      <c r="T37627" s="41"/>
    </row>
    <row r="37628" spans="20:20" s="566" customFormat="1">
      <c r="T37628" s="41"/>
    </row>
    <row r="37629" spans="20:20" s="566" customFormat="1">
      <c r="T37629" s="41"/>
    </row>
    <row r="37630" spans="20:20" s="566" customFormat="1">
      <c r="T37630" s="41"/>
    </row>
    <row r="37631" spans="20:20" s="566" customFormat="1">
      <c r="T37631" s="41"/>
    </row>
    <row r="37632" spans="20:20" s="566" customFormat="1">
      <c r="T37632" s="41"/>
    </row>
    <row r="37633" spans="20:20" s="566" customFormat="1">
      <c r="T37633" s="41"/>
    </row>
    <row r="37634" spans="20:20" s="566" customFormat="1">
      <c r="T37634" s="41"/>
    </row>
    <row r="37635" spans="20:20" s="566" customFormat="1">
      <c r="T37635" s="41"/>
    </row>
    <row r="37636" spans="20:20" s="566" customFormat="1">
      <c r="T37636" s="41"/>
    </row>
    <row r="37637" spans="20:20" s="566" customFormat="1">
      <c r="T37637" s="41"/>
    </row>
    <row r="37638" spans="20:20" s="566" customFormat="1">
      <c r="T37638" s="41"/>
    </row>
    <row r="37639" spans="20:20" s="566" customFormat="1">
      <c r="T37639" s="41"/>
    </row>
    <row r="37640" spans="20:20" s="566" customFormat="1">
      <c r="T37640" s="41"/>
    </row>
    <row r="37641" spans="20:20" s="566" customFormat="1">
      <c r="T37641" s="41"/>
    </row>
    <row r="37642" spans="20:20" s="566" customFormat="1">
      <c r="T37642" s="41"/>
    </row>
    <row r="37643" spans="20:20" s="566" customFormat="1">
      <c r="T37643" s="41"/>
    </row>
    <row r="37644" spans="20:20" s="566" customFormat="1">
      <c r="T37644" s="41"/>
    </row>
    <row r="37645" spans="20:20" s="566" customFormat="1">
      <c r="T37645" s="41"/>
    </row>
    <row r="37646" spans="20:20" s="566" customFormat="1">
      <c r="T37646" s="41"/>
    </row>
    <row r="37647" spans="20:20" s="566" customFormat="1">
      <c r="T37647" s="41"/>
    </row>
    <row r="37648" spans="20:20" s="566" customFormat="1">
      <c r="T37648" s="41"/>
    </row>
    <row r="37649" spans="20:20" s="566" customFormat="1">
      <c r="T37649" s="41"/>
    </row>
    <row r="37650" spans="20:20" s="566" customFormat="1">
      <c r="T37650" s="41"/>
    </row>
    <row r="37651" spans="20:20" s="566" customFormat="1">
      <c r="T37651" s="41"/>
    </row>
    <row r="37652" spans="20:20" s="566" customFormat="1">
      <c r="T37652" s="41"/>
    </row>
    <row r="37653" spans="20:20" s="566" customFormat="1">
      <c r="T37653" s="41"/>
    </row>
    <row r="37654" spans="20:20" s="566" customFormat="1">
      <c r="T37654" s="41"/>
    </row>
    <row r="37655" spans="20:20" s="566" customFormat="1">
      <c r="T37655" s="41"/>
    </row>
    <row r="37656" spans="20:20" s="566" customFormat="1">
      <c r="T37656" s="41"/>
    </row>
    <row r="37657" spans="20:20" s="566" customFormat="1">
      <c r="T37657" s="41"/>
    </row>
    <row r="37658" spans="20:20" s="566" customFormat="1">
      <c r="T37658" s="41"/>
    </row>
    <row r="37659" spans="20:20" s="566" customFormat="1">
      <c r="T37659" s="41"/>
    </row>
    <row r="37660" spans="20:20" s="566" customFormat="1">
      <c r="T37660" s="41"/>
    </row>
    <row r="37661" spans="20:20" s="566" customFormat="1">
      <c r="T37661" s="41"/>
    </row>
    <row r="37662" spans="20:20" s="566" customFormat="1">
      <c r="T37662" s="41"/>
    </row>
    <row r="37663" spans="20:20" s="566" customFormat="1">
      <c r="T37663" s="41"/>
    </row>
    <row r="37664" spans="20:20" s="566" customFormat="1">
      <c r="T37664" s="41"/>
    </row>
    <row r="37665" spans="20:20" s="566" customFormat="1">
      <c r="T37665" s="41"/>
    </row>
    <row r="37666" spans="20:20" s="566" customFormat="1">
      <c r="T37666" s="41"/>
    </row>
    <row r="37667" spans="20:20" s="566" customFormat="1">
      <c r="T37667" s="41"/>
    </row>
    <row r="37668" spans="20:20" s="566" customFormat="1">
      <c r="T37668" s="41"/>
    </row>
    <row r="37669" spans="20:20" s="566" customFormat="1">
      <c r="T37669" s="41"/>
    </row>
    <row r="37670" spans="20:20" s="566" customFormat="1">
      <c r="T37670" s="41"/>
    </row>
    <row r="37671" spans="20:20" s="566" customFormat="1">
      <c r="T37671" s="41"/>
    </row>
    <row r="37672" spans="20:20" s="566" customFormat="1">
      <c r="T37672" s="41"/>
    </row>
    <row r="37673" spans="20:20" s="566" customFormat="1">
      <c r="T37673" s="41"/>
    </row>
    <row r="37674" spans="20:20" s="566" customFormat="1">
      <c r="T37674" s="41"/>
    </row>
    <row r="37675" spans="20:20" s="566" customFormat="1">
      <c r="T37675" s="41"/>
    </row>
    <row r="37676" spans="20:20" s="566" customFormat="1">
      <c r="T37676" s="41"/>
    </row>
    <row r="37677" spans="20:20" s="566" customFormat="1">
      <c r="T37677" s="41"/>
    </row>
    <row r="37678" spans="20:20" s="566" customFormat="1">
      <c r="T37678" s="41"/>
    </row>
    <row r="37679" spans="20:20" s="566" customFormat="1">
      <c r="T37679" s="41"/>
    </row>
    <row r="37680" spans="20:20" s="566" customFormat="1">
      <c r="T37680" s="41"/>
    </row>
    <row r="37681" spans="20:20" s="566" customFormat="1">
      <c r="T37681" s="41"/>
    </row>
    <row r="37682" spans="20:20" s="566" customFormat="1">
      <c r="T37682" s="41"/>
    </row>
    <row r="37683" spans="20:20" s="566" customFormat="1">
      <c r="T37683" s="41"/>
    </row>
    <row r="37684" spans="20:20" s="566" customFormat="1">
      <c r="T37684" s="41"/>
    </row>
    <row r="37685" spans="20:20" s="566" customFormat="1">
      <c r="T37685" s="41"/>
    </row>
    <row r="37686" spans="20:20" s="566" customFormat="1">
      <c r="T37686" s="41"/>
    </row>
    <row r="37687" spans="20:20" s="566" customFormat="1">
      <c r="T37687" s="41"/>
    </row>
    <row r="37688" spans="20:20" s="566" customFormat="1">
      <c r="T37688" s="41"/>
    </row>
    <row r="37689" spans="20:20" s="566" customFormat="1">
      <c r="T37689" s="41"/>
    </row>
    <row r="37690" spans="20:20" s="566" customFormat="1">
      <c r="T37690" s="41"/>
    </row>
    <row r="37691" spans="20:20" s="566" customFormat="1">
      <c r="T37691" s="41"/>
    </row>
    <row r="37692" spans="20:20" s="566" customFormat="1">
      <c r="T37692" s="41"/>
    </row>
    <row r="37693" spans="20:20" s="566" customFormat="1">
      <c r="T37693" s="41"/>
    </row>
    <row r="37694" spans="20:20" s="566" customFormat="1">
      <c r="T37694" s="41"/>
    </row>
    <row r="37695" spans="20:20" s="566" customFormat="1">
      <c r="T37695" s="41"/>
    </row>
    <row r="37696" spans="20:20" s="566" customFormat="1">
      <c r="T37696" s="41"/>
    </row>
    <row r="37697" spans="20:20" s="566" customFormat="1">
      <c r="T37697" s="41"/>
    </row>
    <row r="37698" spans="20:20" s="566" customFormat="1">
      <c r="T37698" s="41"/>
    </row>
    <row r="37699" spans="20:20" s="566" customFormat="1">
      <c r="T37699" s="41"/>
    </row>
    <row r="37700" spans="20:20" s="566" customFormat="1">
      <c r="T37700" s="41"/>
    </row>
    <row r="37701" spans="20:20" s="566" customFormat="1">
      <c r="T37701" s="41"/>
    </row>
    <row r="37702" spans="20:20" s="566" customFormat="1">
      <c r="T37702" s="41"/>
    </row>
    <row r="37703" spans="20:20" s="566" customFormat="1">
      <c r="T37703" s="41"/>
    </row>
    <row r="37704" spans="20:20" s="566" customFormat="1">
      <c r="T37704" s="41"/>
    </row>
    <row r="37705" spans="20:20" s="566" customFormat="1">
      <c r="T37705" s="41"/>
    </row>
    <row r="37706" spans="20:20" s="566" customFormat="1">
      <c r="T37706" s="41"/>
    </row>
    <row r="37707" spans="20:20" s="566" customFormat="1">
      <c r="T37707" s="41"/>
    </row>
    <row r="37708" spans="20:20" s="566" customFormat="1">
      <c r="T37708" s="41"/>
    </row>
    <row r="37709" spans="20:20" s="566" customFormat="1">
      <c r="T37709" s="41"/>
    </row>
    <row r="37710" spans="20:20" s="566" customFormat="1">
      <c r="T37710" s="41"/>
    </row>
    <row r="37711" spans="20:20" s="566" customFormat="1">
      <c r="T37711" s="41"/>
    </row>
    <row r="37712" spans="20:20" s="566" customFormat="1">
      <c r="T37712" s="41"/>
    </row>
    <row r="37713" spans="20:20" s="566" customFormat="1">
      <c r="T37713" s="41"/>
    </row>
    <row r="37714" spans="20:20" s="566" customFormat="1">
      <c r="T37714" s="41"/>
    </row>
    <row r="37715" spans="20:20" s="566" customFormat="1">
      <c r="T37715" s="41"/>
    </row>
    <row r="37716" spans="20:20" s="566" customFormat="1">
      <c r="T37716" s="41"/>
    </row>
    <row r="37717" spans="20:20" s="566" customFormat="1">
      <c r="T37717" s="41"/>
    </row>
    <row r="37718" spans="20:20" s="566" customFormat="1">
      <c r="T37718" s="41"/>
    </row>
    <row r="37719" spans="20:20" s="566" customFormat="1">
      <c r="T37719" s="41"/>
    </row>
    <row r="37720" spans="20:20" s="566" customFormat="1">
      <c r="T37720" s="41"/>
    </row>
    <row r="37721" spans="20:20" s="566" customFormat="1">
      <c r="T37721" s="41"/>
    </row>
    <row r="37722" spans="20:20" s="566" customFormat="1">
      <c r="T37722" s="41"/>
    </row>
    <row r="37723" spans="20:20" s="566" customFormat="1">
      <c r="T37723" s="41"/>
    </row>
    <row r="37724" spans="20:20" s="566" customFormat="1">
      <c r="T37724" s="41"/>
    </row>
    <row r="37725" spans="20:20" s="566" customFormat="1">
      <c r="T37725" s="41"/>
    </row>
    <row r="37726" spans="20:20" s="566" customFormat="1">
      <c r="T37726" s="41"/>
    </row>
    <row r="37727" spans="20:20" s="566" customFormat="1">
      <c r="T37727" s="41"/>
    </row>
    <row r="37728" spans="20:20" s="566" customFormat="1">
      <c r="T37728" s="41"/>
    </row>
    <row r="37729" spans="20:20" s="566" customFormat="1">
      <c r="T37729" s="41"/>
    </row>
    <row r="37730" spans="20:20" s="566" customFormat="1">
      <c r="T37730" s="41"/>
    </row>
    <row r="37731" spans="20:20" s="566" customFormat="1">
      <c r="T37731" s="41"/>
    </row>
    <row r="37732" spans="20:20" s="566" customFormat="1">
      <c r="T37732" s="41"/>
    </row>
    <row r="37733" spans="20:20" s="566" customFormat="1">
      <c r="T37733" s="41"/>
    </row>
    <row r="37734" spans="20:20" s="566" customFormat="1">
      <c r="T37734" s="41"/>
    </row>
    <row r="37735" spans="20:20" s="566" customFormat="1">
      <c r="T37735" s="41"/>
    </row>
    <row r="37736" spans="20:20" s="566" customFormat="1">
      <c r="T37736" s="41"/>
    </row>
    <row r="37737" spans="20:20" s="566" customFormat="1">
      <c r="T37737" s="41"/>
    </row>
    <row r="37738" spans="20:20" s="566" customFormat="1">
      <c r="T37738" s="41"/>
    </row>
    <row r="37739" spans="20:20" s="566" customFormat="1">
      <c r="T37739" s="41"/>
    </row>
    <row r="37740" spans="20:20" s="566" customFormat="1">
      <c r="T37740" s="41"/>
    </row>
    <row r="37741" spans="20:20" s="566" customFormat="1">
      <c r="T37741" s="41"/>
    </row>
    <row r="37742" spans="20:20" s="566" customFormat="1">
      <c r="T37742" s="41"/>
    </row>
    <row r="37743" spans="20:20" s="566" customFormat="1">
      <c r="T37743" s="41"/>
    </row>
    <row r="37744" spans="20:20" s="566" customFormat="1">
      <c r="T37744" s="41"/>
    </row>
    <row r="37745" spans="20:20" s="566" customFormat="1">
      <c r="T37745" s="41"/>
    </row>
    <row r="37746" spans="20:20" s="566" customFormat="1">
      <c r="T37746" s="41"/>
    </row>
    <row r="37747" spans="20:20" s="566" customFormat="1">
      <c r="T37747" s="41"/>
    </row>
    <row r="37748" spans="20:20" s="566" customFormat="1">
      <c r="T37748" s="41"/>
    </row>
    <row r="37749" spans="20:20" s="566" customFormat="1">
      <c r="T37749" s="41"/>
    </row>
    <row r="37750" spans="20:20" s="566" customFormat="1">
      <c r="T37750" s="41"/>
    </row>
    <row r="37751" spans="20:20" s="566" customFormat="1">
      <c r="T37751" s="41"/>
    </row>
    <row r="37752" spans="20:20" s="566" customFormat="1">
      <c r="T37752" s="41"/>
    </row>
    <row r="37753" spans="20:20" s="566" customFormat="1">
      <c r="T37753" s="41"/>
    </row>
    <row r="37754" spans="20:20" s="566" customFormat="1">
      <c r="T37754" s="41"/>
    </row>
    <row r="37755" spans="20:20" s="566" customFormat="1">
      <c r="T37755" s="41"/>
    </row>
    <row r="37756" spans="20:20" s="566" customFormat="1">
      <c r="T37756" s="41"/>
    </row>
    <row r="37757" spans="20:20" s="566" customFormat="1">
      <c r="T37757" s="41"/>
    </row>
    <row r="37758" spans="20:20" s="566" customFormat="1">
      <c r="T37758" s="41"/>
    </row>
    <row r="37759" spans="20:20" s="566" customFormat="1">
      <c r="T37759" s="41"/>
    </row>
    <row r="37760" spans="20:20" s="566" customFormat="1">
      <c r="T37760" s="41"/>
    </row>
    <row r="37761" spans="20:20" s="566" customFormat="1">
      <c r="T37761" s="41"/>
    </row>
    <row r="37762" spans="20:20" s="566" customFormat="1">
      <c r="T37762" s="41"/>
    </row>
    <row r="37763" spans="20:20" s="566" customFormat="1">
      <c r="T37763" s="41"/>
    </row>
    <row r="37764" spans="20:20" s="566" customFormat="1">
      <c r="T37764" s="41"/>
    </row>
    <row r="37765" spans="20:20" s="566" customFormat="1">
      <c r="T37765" s="41"/>
    </row>
    <row r="37766" spans="20:20" s="566" customFormat="1">
      <c r="T37766" s="41"/>
    </row>
    <row r="37767" spans="20:20" s="566" customFormat="1">
      <c r="T37767" s="41"/>
    </row>
    <row r="37768" spans="20:20" s="566" customFormat="1">
      <c r="T37768" s="41"/>
    </row>
    <row r="37769" spans="20:20" s="566" customFormat="1">
      <c r="T37769" s="41"/>
    </row>
    <row r="37770" spans="20:20" s="566" customFormat="1">
      <c r="T37770" s="41"/>
    </row>
    <row r="37771" spans="20:20" s="566" customFormat="1">
      <c r="T37771" s="41"/>
    </row>
    <row r="37772" spans="20:20" s="566" customFormat="1">
      <c r="T37772" s="41"/>
    </row>
    <row r="37773" spans="20:20" s="566" customFormat="1">
      <c r="T37773" s="41"/>
    </row>
    <row r="37774" spans="20:20" s="566" customFormat="1">
      <c r="T37774" s="41"/>
    </row>
    <row r="37775" spans="20:20" s="566" customFormat="1">
      <c r="T37775" s="41"/>
    </row>
    <row r="37776" spans="20:20" s="566" customFormat="1">
      <c r="T37776" s="41"/>
    </row>
    <row r="37777" spans="20:20" s="566" customFormat="1">
      <c r="T37777" s="41"/>
    </row>
    <row r="37778" spans="20:20" s="566" customFormat="1">
      <c r="T37778" s="41"/>
    </row>
    <row r="37779" spans="20:20" s="566" customFormat="1">
      <c r="T37779" s="41"/>
    </row>
    <row r="37780" spans="20:20" s="566" customFormat="1">
      <c r="T37780" s="41"/>
    </row>
    <row r="37781" spans="20:20" s="566" customFormat="1">
      <c r="T37781" s="41"/>
    </row>
    <row r="37782" spans="20:20" s="566" customFormat="1">
      <c r="T37782" s="41"/>
    </row>
    <row r="37783" spans="20:20" s="566" customFormat="1">
      <c r="T37783" s="41"/>
    </row>
    <row r="37784" spans="20:20" s="566" customFormat="1">
      <c r="T37784" s="41"/>
    </row>
    <row r="37785" spans="20:20" s="566" customFormat="1">
      <c r="T37785" s="41"/>
    </row>
    <row r="37786" spans="20:20" s="566" customFormat="1">
      <c r="T37786" s="41"/>
    </row>
    <row r="37787" spans="20:20" s="566" customFormat="1">
      <c r="T37787" s="41"/>
    </row>
    <row r="37788" spans="20:20" s="566" customFormat="1">
      <c r="T37788" s="41"/>
    </row>
    <row r="37789" spans="20:20" s="566" customFormat="1">
      <c r="T37789" s="41"/>
    </row>
    <row r="37790" spans="20:20" s="566" customFormat="1">
      <c r="T37790" s="41"/>
    </row>
    <row r="37791" spans="20:20" s="566" customFormat="1">
      <c r="T37791" s="41"/>
    </row>
    <row r="37792" spans="20:20" s="566" customFormat="1">
      <c r="T37792" s="41"/>
    </row>
    <row r="37793" spans="20:20" s="566" customFormat="1">
      <c r="T37793" s="41"/>
    </row>
    <row r="37794" spans="20:20" s="566" customFormat="1">
      <c r="T37794" s="41"/>
    </row>
    <row r="37795" spans="20:20" s="566" customFormat="1">
      <c r="T37795" s="41"/>
    </row>
    <row r="37796" spans="20:20" s="566" customFormat="1">
      <c r="T37796" s="41"/>
    </row>
    <row r="37797" spans="20:20" s="566" customFormat="1">
      <c r="T37797" s="41"/>
    </row>
    <row r="37798" spans="20:20" s="566" customFormat="1">
      <c r="T37798" s="41"/>
    </row>
    <row r="37799" spans="20:20" s="566" customFormat="1">
      <c r="T37799" s="41"/>
    </row>
    <row r="37800" spans="20:20" s="566" customFormat="1">
      <c r="T37800" s="41"/>
    </row>
    <row r="37801" spans="20:20" s="566" customFormat="1">
      <c r="T37801" s="41"/>
    </row>
    <row r="37802" spans="20:20" s="566" customFormat="1">
      <c r="T37802" s="41"/>
    </row>
    <row r="37803" spans="20:20" s="566" customFormat="1">
      <c r="T37803" s="41"/>
    </row>
    <row r="37804" spans="20:20" s="566" customFormat="1">
      <c r="T37804" s="41"/>
    </row>
    <row r="37805" spans="20:20" s="566" customFormat="1">
      <c r="T37805" s="41"/>
    </row>
    <row r="37806" spans="20:20" s="566" customFormat="1">
      <c r="T37806" s="41"/>
    </row>
    <row r="37807" spans="20:20" s="566" customFormat="1">
      <c r="T37807" s="41"/>
    </row>
    <row r="37808" spans="20:20" s="566" customFormat="1">
      <c r="T37808" s="41"/>
    </row>
    <row r="37809" spans="20:20" s="566" customFormat="1">
      <c r="T37809" s="41"/>
    </row>
    <row r="37810" spans="20:20" s="566" customFormat="1">
      <c r="T37810" s="41"/>
    </row>
    <row r="37811" spans="20:20" s="566" customFormat="1">
      <c r="T37811" s="41"/>
    </row>
    <row r="37812" spans="20:20" s="566" customFormat="1">
      <c r="T37812" s="41"/>
    </row>
    <row r="37813" spans="20:20" s="566" customFormat="1">
      <c r="T37813" s="41"/>
    </row>
    <row r="37814" spans="20:20" s="566" customFormat="1">
      <c r="T37814" s="41"/>
    </row>
    <row r="37815" spans="20:20" s="566" customFormat="1">
      <c r="T37815" s="41"/>
    </row>
    <row r="37816" spans="20:20" s="566" customFormat="1">
      <c r="T37816" s="41"/>
    </row>
    <row r="37817" spans="20:20" s="566" customFormat="1">
      <c r="T37817" s="41"/>
    </row>
    <row r="37818" spans="20:20" s="566" customFormat="1">
      <c r="T37818" s="41"/>
    </row>
    <row r="37819" spans="20:20" s="566" customFormat="1">
      <c r="T37819" s="41"/>
    </row>
    <row r="37820" spans="20:20" s="566" customFormat="1">
      <c r="T37820" s="41"/>
    </row>
    <row r="37821" spans="20:20" s="566" customFormat="1">
      <c r="T37821" s="41"/>
    </row>
    <row r="37822" spans="20:20" s="566" customFormat="1">
      <c r="T37822" s="41"/>
    </row>
    <row r="37823" spans="20:20" s="566" customFormat="1">
      <c r="T37823" s="41"/>
    </row>
    <row r="37824" spans="20:20" s="566" customFormat="1">
      <c r="T37824" s="41"/>
    </row>
    <row r="37825" spans="20:20" s="566" customFormat="1">
      <c r="T37825" s="41"/>
    </row>
    <row r="37826" spans="20:20" s="566" customFormat="1">
      <c r="T37826" s="41"/>
    </row>
    <row r="37827" spans="20:20" s="566" customFormat="1">
      <c r="T37827" s="41"/>
    </row>
    <row r="37828" spans="20:20" s="566" customFormat="1">
      <c r="T37828" s="41"/>
    </row>
    <row r="37829" spans="20:20" s="566" customFormat="1">
      <c r="T37829" s="41"/>
    </row>
    <row r="37830" spans="20:20" s="566" customFormat="1">
      <c r="T37830" s="41"/>
    </row>
    <row r="37831" spans="20:20" s="566" customFormat="1">
      <c r="T37831" s="41"/>
    </row>
    <row r="37832" spans="20:20" s="566" customFormat="1">
      <c r="T37832" s="41"/>
    </row>
    <row r="37833" spans="20:20" s="566" customFormat="1">
      <c r="T37833" s="41"/>
    </row>
    <row r="37834" spans="20:20" s="566" customFormat="1">
      <c r="T37834" s="41"/>
    </row>
    <row r="37835" spans="20:20" s="566" customFormat="1">
      <c r="T37835" s="41"/>
    </row>
    <row r="37836" spans="20:20" s="566" customFormat="1">
      <c r="T37836" s="41"/>
    </row>
    <row r="37837" spans="20:20" s="566" customFormat="1">
      <c r="T37837" s="41"/>
    </row>
    <row r="37838" spans="20:20" s="566" customFormat="1">
      <c r="T37838" s="41"/>
    </row>
    <row r="37839" spans="20:20" s="566" customFormat="1">
      <c r="T37839" s="41"/>
    </row>
    <row r="37840" spans="20:20" s="566" customFormat="1">
      <c r="T37840" s="41"/>
    </row>
    <row r="37841" spans="20:20" s="566" customFormat="1">
      <c r="T37841" s="41"/>
    </row>
    <row r="37842" spans="20:20" s="566" customFormat="1">
      <c r="T37842" s="41"/>
    </row>
    <row r="37843" spans="20:20" s="566" customFormat="1">
      <c r="T37843" s="41"/>
    </row>
    <row r="37844" spans="20:20" s="566" customFormat="1">
      <c r="T37844" s="41"/>
    </row>
    <row r="37845" spans="20:20" s="566" customFormat="1">
      <c r="T37845" s="41"/>
    </row>
    <row r="37846" spans="20:20" s="566" customFormat="1">
      <c r="T37846" s="41"/>
    </row>
    <row r="37847" spans="20:20" s="566" customFormat="1">
      <c r="T37847" s="41"/>
    </row>
    <row r="37848" spans="20:20" s="566" customFormat="1">
      <c r="T37848" s="41"/>
    </row>
    <row r="37849" spans="20:20" s="566" customFormat="1">
      <c r="T37849" s="41"/>
    </row>
    <row r="37850" spans="20:20" s="566" customFormat="1">
      <c r="T37850" s="41"/>
    </row>
    <row r="37851" spans="20:20" s="566" customFormat="1">
      <c r="T37851" s="41"/>
    </row>
    <row r="37852" spans="20:20" s="566" customFormat="1">
      <c r="T37852" s="41"/>
    </row>
    <row r="37853" spans="20:20" s="566" customFormat="1">
      <c r="T37853" s="41"/>
    </row>
    <row r="37854" spans="20:20" s="566" customFormat="1">
      <c r="T37854" s="41"/>
    </row>
    <row r="37855" spans="20:20" s="566" customFormat="1">
      <c r="T37855" s="41"/>
    </row>
    <row r="37856" spans="20:20" s="566" customFormat="1">
      <c r="T37856" s="41"/>
    </row>
    <row r="37857" spans="20:20" s="566" customFormat="1">
      <c r="T37857" s="41"/>
    </row>
    <row r="37858" spans="20:20" s="566" customFormat="1">
      <c r="T37858" s="41"/>
    </row>
    <row r="37859" spans="20:20" s="566" customFormat="1">
      <c r="T37859" s="41"/>
    </row>
    <row r="37860" spans="20:20" s="566" customFormat="1">
      <c r="T37860" s="41"/>
    </row>
    <row r="37861" spans="20:20" s="566" customFormat="1">
      <c r="T37861" s="41"/>
    </row>
    <row r="37862" spans="20:20" s="566" customFormat="1">
      <c r="T37862" s="41"/>
    </row>
    <row r="37863" spans="20:20" s="566" customFormat="1">
      <c r="T37863" s="41"/>
    </row>
    <row r="37864" spans="20:20" s="566" customFormat="1">
      <c r="T37864" s="41"/>
    </row>
    <row r="37865" spans="20:20" s="566" customFormat="1">
      <c r="T37865" s="41"/>
    </row>
    <row r="37866" spans="20:20" s="566" customFormat="1">
      <c r="T37866" s="41"/>
    </row>
    <row r="37867" spans="20:20" s="566" customFormat="1">
      <c r="T37867" s="41"/>
    </row>
    <row r="37868" spans="20:20" s="566" customFormat="1">
      <c r="T37868" s="41"/>
    </row>
    <row r="37869" spans="20:20" s="566" customFormat="1">
      <c r="T37869" s="41"/>
    </row>
    <row r="37870" spans="20:20" s="566" customFormat="1">
      <c r="T37870" s="41"/>
    </row>
    <row r="37871" spans="20:20" s="566" customFormat="1">
      <c r="T37871" s="41"/>
    </row>
    <row r="37872" spans="20:20" s="566" customFormat="1">
      <c r="T37872" s="41"/>
    </row>
    <row r="37873" spans="20:20" s="566" customFormat="1">
      <c r="T37873" s="41"/>
    </row>
    <row r="37874" spans="20:20" s="566" customFormat="1">
      <c r="T37874" s="41"/>
    </row>
    <row r="37875" spans="20:20" s="566" customFormat="1">
      <c r="T37875" s="41"/>
    </row>
    <row r="37876" spans="20:20" s="566" customFormat="1">
      <c r="T37876" s="41"/>
    </row>
    <row r="37877" spans="20:20" s="566" customFormat="1">
      <c r="T37877" s="41"/>
    </row>
    <row r="37878" spans="20:20" s="566" customFormat="1">
      <c r="T37878" s="41"/>
    </row>
    <row r="37879" spans="20:20" s="566" customFormat="1">
      <c r="T37879" s="41"/>
    </row>
    <row r="37880" spans="20:20" s="566" customFormat="1">
      <c r="T37880" s="41"/>
    </row>
    <row r="37881" spans="20:20" s="566" customFormat="1">
      <c r="T37881" s="41"/>
    </row>
    <row r="37882" spans="20:20" s="566" customFormat="1">
      <c r="T37882" s="41"/>
    </row>
    <row r="37883" spans="20:20" s="566" customFormat="1">
      <c r="T37883" s="41"/>
    </row>
    <row r="37884" spans="20:20" s="566" customFormat="1">
      <c r="T37884" s="41"/>
    </row>
    <row r="37885" spans="20:20" s="566" customFormat="1">
      <c r="T37885" s="41"/>
    </row>
    <row r="37886" spans="20:20" s="566" customFormat="1">
      <c r="T37886" s="41"/>
    </row>
    <row r="37887" spans="20:20" s="566" customFormat="1">
      <c r="T37887" s="41"/>
    </row>
    <row r="37888" spans="20:20" s="566" customFormat="1">
      <c r="T37888" s="41"/>
    </row>
    <row r="37889" spans="20:20" s="566" customFormat="1">
      <c r="T37889" s="41"/>
    </row>
    <row r="37890" spans="20:20" s="566" customFormat="1">
      <c r="T37890" s="41"/>
    </row>
    <row r="37891" spans="20:20" s="566" customFormat="1">
      <c r="T37891" s="41"/>
    </row>
    <row r="37892" spans="20:20" s="566" customFormat="1">
      <c r="T37892" s="41"/>
    </row>
    <row r="37893" spans="20:20" s="566" customFormat="1">
      <c r="T37893" s="41"/>
    </row>
    <row r="37894" spans="20:20" s="566" customFormat="1">
      <c r="T37894" s="41"/>
    </row>
    <row r="37895" spans="20:20" s="566" customFormat="1">
      <c r="T37895" s="41"/>
    </row>
    <row r="37896" spans="20:20" s="566" customFormat="1">
      <c r="T37896" s="41"/>
    </row>
    <row r="37897" spans="20:20" s="566" customFormat="1">
      <c r="T37897" s="41"/>
    </row>
    <row r="37898" spans="20:20" s="566" customFormat="1">
      <c r="T37898" s="41"/>
    </row>
    <row r="37899" spans="20:20" s="566" customFormat="1">
      <c r="T37899" s="41"/>
    </row>
    <row r="37900" spans="20:20" s="566" customFormat="1">
      <c r="T37900" s="41"/>
    </row>
    <row r="37901" spans="20:20" s="566" customFormat="1">
      <c r="T37901" s="41"/>
    </row>
    <row r="37902" spans="20:20" s="566" customFormat="1">
      <c r="T37902" s="41"/>
    </row>
    <row r="37903" spans="20:20" s="566" customFormat="1">
      <c r="T37903" s="41"/>
    </row>
    <row r="37904" spans="20:20" s="566" customFormat="1">
      <c r="T37904" s="41"/>
    </row>
    <row r="37905" spans="20:20" s="566" customFormat="1">
      <c r="T37905" s="41"/>
    </row>
    <row r="37906" spans="20:20" s="566" customFormat="1">
      <c r="T37906" s="41"/>
    </row>
    <row r="37907" spans="20:20" s="566" customFormat="1">
      <c r="T37907" s="41"/>
    </row>
    <row r="37908" spans="20:20" s="566" customFormat="1">
      <c r="T37908" s="41"/>
    </row>
    <row r="37909" spans="20:20" s="566" customFormat="1">
      <c r="T37909" s="41"/>
    </row>
    <row r="37910" spans="20:20" s="566" customFormat="1">
      <c r="T37910" s="41"/>
    </row>
    <row r="37911" spans="20:20" s="566" customFormat="1">
      <c r="T37911" s="41"/>
    </row>
    <row r="37912" spans="20:20" s="566" customFormat="1">
      <c r="T37912" s="41"/>
    </row>
    <row r="37913" spans="20:20" s="566" customFormat="1">
      <c r="T37913" s="41"/>
    </row>
    <row r="37914" spans="20:20" s="566" customFormat="1">
      <c r="T37914" s="41"/>
    </row>
    <row r="37915" spans="20:20" s="566" customFormat="1">
      <c r="T37915" s="41"/>
    </row>
    <row r="37916" spans="20:20" s="566" customFormat="1">
      <c r="T37916" s="41"/>
    </row>
    <row r="37917" spans="20:20" s="566" customFormat="1">
      <c r="T37917" s="41"/>
    </row>
    <row r="37918" spans="20:20" s="566" customFormat="1">
      <c r="T37918" s="41"/>
    </row>
    <row r="37919" spans="20:20" s="566" customFormat="1">
      <c r="T37919" s="41"/>
    </row>
    <row r="37920" spans="20:20" s="566" customFormat="1">
      <c r="T37920" s="41"/>
    </row>
    <row r="37921" spans="20:20" s="566" customFormat="1">
      <c r="T37921" s="41"/>
    </row>
    <row r="37922" spans="20:20" s="566" customFormat="1">
      <c r="T37922" s="41"/>
    </row>
    <row r="37923" spans="20:20" s="566" customFormat="1">
      <c r="T37923" s="41"/>
    </row>
    <row r="37924" spans="20:20" s="566" customFormat="1">
      <c r="T37924" s="41"/>
    </row>
    <row r="37925" spans="20:20" s="566" customFormat="1">
      <c r="T37925" s="41"/>
    </row>
    <row r="37926" spans="20:20" s="566" customFormat="1">
      <c r="T37926" s="41"/>
    </row>
    <row r="37927" spans="20:20" s="566" customFormat="1">
      <c r="T37927" s="41"/>
    </row>
    <row r="37928" spans="20:20" s="566" customFormat="1">
      <c r="T37928" s="41"/>
    </row>
    <row r="37929" spans="20:20" s="566" customFormat="1">
      <c r="T37929" s="41"/>
    </row>
    <row r="37930" spans="20:20" s="566" customFormat="1">
      <c r="T37930" s="41"/>
    </row>
    <row r="37931" spans="20:20" s="566" customFormat="1">
      <c r="T37931" s="41"/>
    </row>
    <row r="37932" spans="20:20" s="566" customFormat="1">
      <c r="T37932" s="41"/>
    </row>
    <row r="37933" spans="20:20" s="566" customFormat="1">
      <c r="T37933" s="41"/>
    </row>
    <row r="37934" spans="20:20" s="566" customFormat="1">
      <c r="T37934" s="41"/>
    </row>
    <row r="37935" spans="20:20" s="566" customFormat="1">
      <c r="T37935" s="41"/>
    </row>
    <row r="37936" spans="20:20" s="566" customFormat="1">
      <c r="T37936" s="41"/>
    </row>
    <row r="37937" spans="20:20" s="566" customFormat="1">
      <c r="T37937" s="41"/>
    </row>
    <row r="37938" spans="20:20" s="566" customFormat="1">
      <c r="T37938" s="41"/>
    </row>
    <row r="37939" spans="20:20" s="566" customFormat="1">
      <c r="T37939" s="41"/>
    </row>
    <row r="37940" spans="20:20" s="566" customFormat="1">
      <c r="T37940" s="41"/>
    </row>
    <row r="37941" spans="20:20" s="566" customFormat="1">
      <c r="T37941" s="41"/>
    </row>
    <row r="37942" spans="20:20" s="566" customFormat="1">
      <c r="T37942" s="41"/>
    </row>
    <row r="37943" spans="20:20" s="566" customFormat="1">
      <c r="T37943" s="41"/>
    </row>
    <row r="37944" spans="20:20" s="566" customFormat="1">
      <c r="T37944" s="41"/>
    </row>
    <row r="37945" spans="20:20" s="566" customFormat="1">
      <c r="T37945" s="41"/>
    </row>
    <row r="37946" spans="20:20" s="566" customFormat="1">
      <c r="T37946" s="41"/>
    </row>
    <row r="37947" spans="20:20" s="566" customFormat="1">
      <c r="T37947" s="41"/>
    </row>
    <row r="37948" spans="20:20" s="566" customFormat="1">
      <c r="T37948" s="41"/>
    </row>
    <row r="37949" spans="20:20" s="566" customFormat="1">
      <c r="T37949" s="41"/>
    </row>
    <row r="37950" spans="20:20" s="566" customFormat="1">
      <c r="T37950" s="41"/>
    </row>
    <row r="37951" spans="20:20" s="566" customFormat="1">
      <c r="T37951" s="41"/>
    </row>
    <row r="37952" spans="20:20" s="566" customFormat="1">
      <c r="T37952" s="41"/>
    </row>
    <row r="37953" spans="20:20" s="566" customFormat="1">
      <c r="T37953" s="41"/>
    </row>
    <row r="37954" spans="20:20" s="566" customFormat="1">
      <c r="T37954" s="41"/>
    </row>
    <row r="37955" spans="20:20" s="566" customFormat="1">
      <c r="T37955" s="41"/>
    </row>
    <row r="37956" spans="20:20" s="566" customFormat="1">
      <c r="T37956" s="41"/>
    </row>
    <row r="37957" spans="20:20" s="566" customFormat="1">
      <c r="T37957" s="41"/>
    </row>
    <row r="37958" spans="20:20" s="566" customFormat="1">
      <c r="T37958" s="41"/>
    </row>
    <row r="37959" spans="20:20" s="566" customFormat="1">
      <c r="T37959" s="41"/>
    </row>
    <row r="37960" spans="20:20" s="566" customFormat="1">
      <c r="T37960" s="41"/>
    </row>
    <row r="37961" spans="20:20" s="566" customFormat="1">
      <c r="T37961" s="41"/>
    </row>
    <row r="37962" spans="20:20" s="566" customFormat="1">
      <c r="T37962" s="41"/>
    </row>
    <row r="37963" spans="20:20" s="566" customFormat="1">
      <c r="T37963" s="41"/>
    </row>
    <row r="37964" spans="20:20" s="566" customFormat="1">
      <c r="T37964" s="41"/>
    </row>
    <row r="37965" spans="20:20" s="566" customFormat="1">
      <c r="T37965" s="41"/>
    </row>
    <row r="37966" spans="20:20" s="566" customFormat="1">
      <c r="T37966" s="41"/>
    </row>
    <row r="37967" spans="20:20" s="566" customFormat="1">
      <c r="T37967" s="41"/>
    </row>
    <row r="37968" spans="20:20" s="566" customFormat="1">
      <c r="T37968" s="41"/>
    </row>
    <row r="37969" spans="20:20" s="566" customFormat="1">
      <c r="T37969" s="41"/>
    </row>
    <row r="37970" spans="20:20" s="566" customFormat="1">
      <c r="T37970" s="41"/>
    </row>
    <row r="37971" spans="20:20" s="566" customFormat="1">
      <c r="T37971" s="41"/>
    </row>
    <row r="37972" spans="20:20" s="566" customFormat="1">
      <c r="T37972" s="41"/>
    </row>
    <row r="37973" spans="20:20" s="566" customFormat="1">
      <c r="T37973" s="41"/>
    </row>
    <row r="37974" spans="20:20" s="566" customFormat="1">
      <c r="T37974" s="41"/>
    </row>
    <row r="37975" spans="20:20" s="566" customFormat="1">
      <c r="T37975" s="41"/>
    </row>
    <row r="37976" spans="20:20" s="566" customFormat="1">
      <c r="T37976" s="41"/>
    </row>
    <row r="37977" spans="20:20" s="566" customFormat="1">
      <c r="T37977" s="41"/>
    </row>
    <row r="37978" spans="20:20" s="566" customFormat="1">
      <c r="T37978" s="41"/>
    </row>
    <row r="37979" spans="20:20" s="566" customFormat="1">
      <c r="T37979" s="41"/>
    </row>
    <row r="37980" spans="20:20" s="566" customFormat="1">
      <c r="T37980" s="41"/>
    </row>
    <row r="37981" spans="20:20" s="566" customFormat="1">
      <c r="T37981" s="41"/>
    </row>
    <row r="37982" spans="20:20" s="566" customFormat="1">
      <c r="T37982" s="41"/>
    </row>
    <row r="37983" spans="20:20" s="566" customFormat="1">
      <c r="T37983" s="41"/>
    </row>
    <row r="37984" spans="20:20" s="566" customFormat="1">
      <c r="T37984" s="41"/>
    </row>
    <row r="37985" spans="20:20" s="566" customFormat="1">
      <c r="T37985" s="41"/>
    </row>
    <row r="37986" spans="20:20" s="566" customFormat="1">
      <c r="T37986" s="41"/>
    </row>
    <row r="37987" spans="20:20" s="566" customFormat="1">
      <c r="T37987" s="41"/>
    </row>
    <row r="37988" spans="20:20" s="566" customFormat="1">
      <c r="T37988" s="41"/>
    </row>
    <row r="37989" spans="20:20" s="566" customFormat="1">
      <c r="T37989" s="41"/>
    </row>
    <row r="37990" spans="20:20" s="566" customFormat="1">
      <c r="T37990" s="41"/>
    </row>
    <row r="37991" spans="20:20" s="566" customFormat="1">
      <c r="T37991" s="41"/>
    </row>
    <row r="37992" spans="20:20" s="566" customFormat="1">
      <c r="T37992" s="41"/>
    </row>
    <row r="37993" spans="20:20" s="566" customFormat="1">
      <c r="T37993" s="41"/>
    </row>
    <row r="37994" spans="20:20" s="566" customFormat="1">
      <c r="T37994" s="41"/>
    </row>
    <row r="37995" spans="20:20" s="566" customFormat="1">
      <c r="T37995" s="41"/>
    </row>
    <row r="37996" spans="20:20" s="566" customFormat="1">
      <c r="T37996" s="41"/>
    </row>
    <row r="37997" spans="20:20" s="566" customFormat="1">
      <c r="T37997" s="41"/>
    </row>
    <row r="37998" spans="20:20" s="566" customFormat="1">
      <c r="T37998" s="41"/>
    </row>
    <row r="37999" spans="20:20" s="566" customFormat="1">
      <c r="T37999" s="41"/>
    </row>
    <row r="38000" spans="20:20" s="566" customFormat="1">
      <c r="T38000" s="41"/>
    </row>
    <row r="38001" spans="20:20" s="566" customFormat="1">
      <c r="T38001" s="41"/>
    </row>
    <row r="38002" spans="20:20" s="566" customFormat="1">
      <c r="T38002" s="41"/>
    </row>
    <row r="38003" spans="20:20" s="566" customFormat="1">
      <c r="T38003" s="41"/>
    </row>
    <row r="38004" spans="20:20" s="566" customFormat="1">
      <c r="T38004" s="41"/>
    </row>
    <row r="38005" spans="20:20" s="566" customFormat="1">
      <c r="T38005" s="41"/>
    </row>
    <row r="38006" spans="20:20" s="566" customFormat="1">
      <c r="T38006" s="41"/>
    </row>
    <row r="38007" spans="20:20" s="566" customFormat="1">
      <c r="T38007" s="41"/>
    </row>
    <row r="38008" spans="20:20" s="566" customFormat="1">
      <c r="T38008" s="41"/>
    </row>
    <row r="38009" spans="20:20" s="566" customFormat="1">
      <c r="T38009" s="41"/>
    </row>
    <row r="38010" spans="20:20" s="566" customFormat="1">
      <c r="T38010" s="41"/>
    </row>
    <row r="38011" spans="20:20" s="566" customFormat="1">
      <c r="T38011" s="41"/>
    </row>
    <row r="38012" spans="20:20" s="566" customFormat="1">
      <c r="T38012" s="41"/>
    </row>
    <row r="38013" spans="20:20" s="566" customFormat="1">
      <c r="T38013" s="41"/>
    </row>
    <row r="38014" spans="20:20" s="566" customFormat="1">
      <c r="T38014" s="41"/>
    </row>
    <row r="38015" spans="20:20" s="566" customFormat="1">
      <c r="T38015" s="41"/>
    </row>
    <row r="38016" spans="20:20" s="566" customFormat="1">
      <c r="T38016" s="41"/>
    </row>
    <row r="38017" spans="20:20" s="566" customFormat="1">
      <c r="T38017" s="41"/>
    </row>
    <row r="38018" spans="20:20" s="566" customFormat="1">
      <c r="T38018" s="41"/>
    </row>
    <row r="38019" spans="20:20" s="566" customFormat="1">
      <c r="T38019" s="41"/>
    </row>
    <row r="38020" spans="20:20" s="566" customFormat="1">
      <c r="T38020" s="41"/>
    </row>
    <row r="38021" spans="20:20" s="566" customFormat="1">
      <c r="T38021" s="41"/>
    </row>
    <row r="38022" spans="20:20" s="566" customFormat="1">
      <c r="T38022" s="41"/>
    </row>
    <row r="38023" spans="20:20" s="566" customFormat="1">
      <c r="T38023" s="41"/>
    </row>
    <row r="38024" spans="20:20" s="566" customFormat="1">
      <c r="T38024" s="41"/>
    </row>
    <row r="38025" spans="20:20" s="566" customFormat="1">
      <c r="T38025" s="41"/>
    </row>
    <row r="38026" spans="20:20" s="566" customFormat="1">
      <c r="T38026" s="41"/>
    </row>
    <row r="38027" spans="20:20" s="566" customFormat="1">
      <c r="T38027" s="41"/>
    </row>
    <row r="38028" spans="20:20" s="566" customFormat="1">
      <c r="T38028" s="41"/>
    </row>
    <row r="38029" spans="20:20" s="566" customFormat="1">
      <c r="T38029" s="41"/>
    </row>
    <row r="38030" spans="20:20" s="566" customFormat="1">
      <c r="T38030" s="41"/>
    </row>
    <row r="38031" spans="20:20" s="566" customFormat="1">
      <c r="T38031" s="41"/>
    </row>
    <row r="38032" spans="20:20" s="566" customFormat="1">
      <c r="T38032" s="41"/>
    </row>
    <row r="38033" spans="20:20" s="566" customFormat="1">
      <c r="T38033" s="41"/>
    </row>
    <row r="38034" spans="20:20" s="566" customFormat="1">
      <c r="T38034" s="41"/>
    </row>
    <row r="38035" spans="20:20" s="566" customFormat="1">
      <c r="T38035" s="41"/>
    </row>
    <row r="38036" spans="20:20" s="566" customFormat="1">
      <c r="T38036" s="41"/>
    </row>
    <row r="38037" spans="20:20" s="566" customFormat="1">
      <c r="T38037" s="41"/>
    </row>
    <row r="38038" spans="20:20" s="566" customFormat="1">
      <c r="T38038" s="41"/>
    </row>
    <row r="38039" spans="20:20" s="566" customFormat="1">
      <c r="T38039" s="41"/>
    </row>
    <row r="38040" spans="20:20" s="566" customFormat="1">
      <c r="T38040" s="41"/>
    </row>
    <row r="38041" spans="20:20" s="566" customFormat="1">
      <c r="T38041" s="41"/>
    </row>
    <row r="38042" spans="20:20" s="566" customFormat="1">
      <c r="T38042" s="41"/>
    </row>
    <row r="38043" spans="20:20" s="566" customFormat="1">
      <c r="T38043" s="41"/>
    </row>
    <row r="38044" spans="20:20" s="566" customFormat="1">
      <c r="T38044" s="41"/>
    </row>
    <row r="38045" spans="20:20" s="566" customFormat="1">
      <c r="T38045" s="41"/>
    </row>
    <row r="38046" spans="20:20" s="566" customFormat="1">
      <c r="T38046" s="41"/>
    </row>
    <row r="38047" spans="20:20" s="566" customFormat="1">
      <c r="T38047" s="41"/>
    </row>
    <row r="38048" spans="20:20" s="566" customFormat="1">
      <c r="T38048" s="41"/>
    </row>
    <row r="38049" spans="20:20" s="566" customFormat="1">
      <c r="T38049" s="41"/>
    </row>
    <row r="38050" spans="20:20" s="566" customFormat="1">
      <c r="T38050" s="41"/>
    </row>
    <row r="38051" spans="20:20" s="566" customFormat="1">
      <c r="T38051" s="41"/>
    </row>
    <row r="38052" spans="20:20" s="566" customFormat="1">
      <c r="T38052" s="41"/>
    </row>
    <row r="38053" spans="20:20" s="566" customFormat="1">
      <c r="T38053" s="41"/>
    </row>
    <row r="38054" spans="20:20" s="566" customFormat="1">
      <c r="T38054" s="41"/>
    </row>
    <row r="38055" spans="20:20" s="566" customFormat="1">
      <c r="T38055" s="41"/>
    </row>
    <row r="38056" spans="20:20" s="566" customFormat="1">
      <c r="T38056" s="41"/>
    </row>
    <row r="38057" spans="20:20" s="566" customFormat="1">
      <c r="T38057" s="41"/>
    </row>
    <row r="38058" spans="20:20" s="566" customFormat="1">
      <c r="T38058" s="41"/>
    </row>
    <row r="38059" spans="20:20" s="566" customFormat="1">
      <c r="T38059" s="41"/>
    </row>
    <row r="38060" spans="20:20" s="566" customFormat="1">
      <c r="T38060" s="41"/>
    </row>
    <row r="38061" spans="20:20" s="566" customFormat="1">
      <c r="T38061" s="41"/>
    </row>
    <row r="38062" spans="20:20" s="566" customFormat="1">
      <c r="T38062" s="41"/>
    </row>
    <row r="38063" spans="20:20" s="566" customFormat="1">
      <c r="T38063" s="41"/>
    </row>
    <row r="38064" spans="20:20" s="566" customFormat="1">
      <c r="T38064" s="41"/>
    </row>
    <row r="38065" spans="20:20" s="566" customFormat="1">
      <c r="T38065" s="41"/>
    </row>
    <row r="38066" spans="20:20" s="566" customFormat="1">
      <c r="T38066" s="41"/>
    </row>
    <row r="38067" spans="20:20" s="566" customFormat="1">
      <c r="T38067" s="41"/>
    </row>
    <row r="38068" spans="20:20" s="566" customFormat="1">
      <c r="T38068" s="41"/>
    </row>
    <row r="38069" spans="20:20" s="566" customFormat="1">
      <c r="T38069" s="41"/>
    </row>
    <row r="38070" spans="20:20" s="566" customFormat="1">
      <c r="T38070" s="41"/>
    </row>
    <row r="38071" spans="20:20" s="566" customFormat="1">
      <c r="T38071" s="41"/>
    </row>
    <row r="38072" spans="20:20" s="566" customFormat="1">
      <c r="T38072" s="41"/>
    </row>
    <row r="38073" spans="20:20" s="566" customFormat="1">
      <c r="T38073" s="41"/>
    </row>
    <row r="38074" spans="20:20" s="566" customFormat="1">
      <c r="T38074" s="41"/>
    </row>
    <row r="38075" spans="20:20" s="566" customFormat="1">
      <c r="T38075" s="41"/>
    </row>
    <row r="38076" spans="20:20" s="566" customFormat="1">
      <c r="T38076" s="41"/>
    </row>
    <row r="38077" spans="20:20" s="566" customFormat="1">
      <c r="T38077" s="41"/>
    </row>
    <row r="38078" spans="20:20" s="566" customFormat="1">
      <c r="T38078" s="41"/>
    </row>
    <row r="38079" spans="20:20" s="566" customFormat="1">
      <c r="T38079" s="41"/>
    </row>
    <row r="38080" spans="20:20" s="566" customFormat="1">
      <c r="T38080" s="41"/>
    </row>
    <row r="38081" spans="20:20" s="566" customFormat="1">
      <c r="T38081" s="41"/>
    </row>
    <row r="38082" spans="20:20" s="566" customFormat="1">
      <c r="T38082" s="41"/>
    </row>
    <row r="38083" spans="20:20" s="566" customFormat="1">
      <c r="T38083" s="41"/>
    </row>
    <row r="38084" spans="20:20" s="566" customFormat="1">
      <c r="T38084" s="41"/>
    </row>
    <row r="38085" spans="20:20" s="566" customFormat="1">
      <c r="T38085" s="41"/>
    </row>
    <row r="38086" spans="20:20" s="566" customFormat="1">
      <c r="T38086" s="41"/>
    </row>
    <row r="38087" spans="20:20" s="566" customFormat="1">
      <c r="T38087" s="41"/>
    </row>
    <row r="38088" spans="20:20" s="566" customFormat="1">
      <c r="T38088" s="41"/>
    </row>
    <row r="38089" spans="20:20" s="566" customFormat="1">
      <c r="T38089" s="41"/>
    </row>
    <row r="38090" spans="20:20" s="566" customFormat="1">
      <c r="T38090" s="41"/>
    </row>
    <row r="38091" spans="20:20" s="566" customFormat="1">
      <c r="T38091" s="41"/>
    </row>
    <row r="38092" spans="20:20" s="566" customFormat="1">
      <c r="T38092" s="41"/>
    </row>
    <row r="38093" spans="20:20" s="566" customFormat="1">
      <c r="T38093" s="41"/>
    </row>
    <row r="38094" spans="20:20" s="566" customFormat="1">
      <c r="T38094" s="41"/>
    </row>
    <row r="38095" spans="20:20" s="566" customFormat="1">
      <c r="T38095" s="41"/>
    </row>
    <row r="38096" spans="20:20" s="566" customFormat="1">
      <c r="T38096" s="41"/>
    </row>
    <row r="38097" spans="20:20" s="566" customFormat="1">
      <c r="T38097" s="41"/>
    </row>
    <row r="38098" spans="20:20" s="566" customFormat="1">
      <c r="T38098" s="41"/>
    </row>
    <row r="38099" spans="20:20" s="566" customFormat="1">
      <c r="T38099" s="41"/>
    </row>
    <row r="38100" spans="20:20" s="566" customFormat="1">
      <c r="T38100" s="41"/>
    </row>
    <row r="38101" spans="20:20" s="566" customFormat="1">
      <c r="T38101" s="41"/>
    </row>
    <row r="38102" spans="20:20" s="566" customFormat="1">
      <c r="T38102" s="41"/>
    </row>
    <row r="38103" spans="20:20" s="566" customFormat="1">
      <c r="T38103" s="41"/>
    </row>
    <row r="38104" spans="20:20" s="566" customFormat="1">
      <c r="T38104" s="41"/>
    </row>
    <row r="38105" spans="20:20" s="566" customFormat="1">
      <c r="T38105" s="41"/>
    </row>
    <row r="38106" spans="20:20" s="566" customFormat="1">
      <c r="T38106" s="41"/>
    </row>
    <row r="38107" spans="20:20" s="566" customFormat="1">
      <c r="T38107" s="41"/>
    </row>
    <row r="38108" spans="20:20" s="566" customFormat="1">
      <c r="T38108" s="41"/>
    </row>
    <row r="38109" spans="20:20" s="566" customFormat="1">
      <c r="T38109" s="41"/>
    </row>
    <row r="38110" spans="20:20" s="566" customFormat="1">
      <c r="T38110" s="41"/>
    </row>
    <row r="38111" spans="20:20" s="566" customFormat="1">
      <c r="T38111" s="41"/>
    </row>
    <row r="38112" spans="20:20" s="566" customFormat="1">
      <c r="T38112" s="41"/>
    </row>
    <row r="38113" spans="20:20" s="566" customFormat="1">
      <c r="T38113" s="41"/>
    </row>
    <row r="38114" spans="20:20" s="566" customFormat="1">
      <c r="T38114" s="41"/>
    </row>
    <row r="38115" spans="20:20" s="566" customFormat="1">
      <c r="T38115" s="41"/>
    </row>
    <row r="38116" spans="20:20" s="566" customFormat="1">
      <c r="T38116" s="41"/>
    </row>
    <row r="38117" spans="20:20" s="566" customFormat="1">
      <c r="T38117" s="41"/>
    </row>
    <row r="38118" spans="20:20" s="566" customFormat="1">
      <c r="T38118" s="41"/>
    </row>
    <row r="38119" spans="20:20" s="566" customFormat="1">
      <c r="T38119" s="41"/>
    </row>
    <row r="38120" spans="20:20" s="566" customFormat="1">
      <c r="T38120" s="41"/>
    </row>
    <row r="38121" spans="20:20" s="566" customFormat="1">
      <c r="T38121" s="41"/>
    </row>
    <row r="38122" spans="20:20" s="566" customFormat="1">
      <c r="T38122" s="41"/>
    </row>
    <row r="38123" spans="20:20" s="566" customFormat="1">
      <c r="T38123" s="41"/>
    </row>
    <row r="38124" spans="20:20" s="566" customFormat="1">
      <c r="T38124" s="41"/>
    </row>
    <row r="38125" spans="20:20" s="566" customFormat="1">
      <c r="T38125" s="41"/>
    </row>
    <row r="38126" spans="20:20" s="566" customFormat="1">
      <c r="T38126" s="41"/>
    </row>
    <row r="38127" spans="20:20" s="566" customFormat="1">
      <c r="T38127" s="41"/>
    </row>
    <row r="38128" spans="20:20" s="566" customFormat="1">
      <c r="T38128" s="41"/>
    </row>
    <row r="38129" spans="20:20" s="566" customFormat="1">
      <c r="T38129" s="41"/>
    </row>
    <row r="38130" spans="20:20" s="566" customFormat="1">
      <c r="T38130" s="41"/>
    </row>
    <row r="38131" spans="20:20" s="566" customFormat="1">
      <c r="T38131" s="41"/>
    </row>
    <row r="38132" spans="20:20" s="566" customFormat="1">
      <c r="T38132" s="41"/>
    </row>
    <row r="38133" spans="20:20" s="566" customFormat="1">
      <c r="T38133" s="41"/>
    </row>
    <row r="38134" spans="20:20" s="566" customFormat="1">
      <c r="T38134" s="41"/>
    </row>
    <row r="38135" spans="20:20" s="566" customFormat="1">
      <c r="T38135" s="41"/>
    </row>
    <row r="38136" spans="20:20" s="566" customFormat="1">
      <c r="T38136" s="41"/>
    </row>
    <row r="38137" spans="20:20" s="566" customFormat="1">
      <c r="T38137" s="41"/>
    </row>
    <row r="38138" spans="20:20" s="566" customFormat="1">
      <c r="T38138" s="41"/>
    </row>
    <row r="38139" spans="20:20" s="566" customFormat="1">
      <c r="T38139" s="41"/>
    </row>
    <row r="38140" spans="20:20" s="566" customFormat="1">
      <c r="T38140" s="41"/>
    </row>
    <row r="38141" spans="20:20" s="566" customFormat="1">
      <c r="T38141" s="41"/>
    </row>
    <row r="38142" spans="20:20" s="566" customFormat="1">
      <c r="T38142" s="41"/>
    </row>
    <row r="38143" spans="20:20" s="566" customFormat="1">
      <c r="T38143" s="41"/>
    </row>
    <row r="38144" spans="20:20" s="566" customFormat="1">
      <c r="T38144" s="41"/>
    </row>
    <row r="38145" spans="20:20" s="566" customFormat="1">
      <c r="T38145" s="41"/>
    </row>
    <row r="38146" spans="20:20" s="566" customFormat="1">
      <c r="T38146" s="41"/>
    </row>
    <row r="38147" spans="20:20" s="566" customFormat="1">
      <c r="T38147" s="41"/>
    </row>
    <row r="38148" spans="20:20" s="566" customFormat="1">
      <c r="T38148" s="41"/>
    </row>
    <row r="38149" spans="20:20" s="566" customFormat="1">
      <c r="T38149" s="41"/>
    </row>
    <row r="38150" spans="20:20" s="566" customFormat="1">
      <c r="T38150" s="41"/>
    </row>
    <row r="38151" spans="20:20" s="566" customFormat="1">
      <c r="T38151" s="41"/>
    </row>
    <row r="38152" spans="20:20" s="566" customFormat="1">
      <c r="T38152" s="41"/>
    </row>
    <row r="38153" spans="20:20" s="566" customFormat="1">
      <c r="T38153" s="41"/>
    </row>
    <row r="38154" spans="20:20" s="566" customFormat="1">
      <c r="T38154" s="41"/>
    </row>
    <row r="38155" spans="20:20" s="566" customFormat="1">
      <c r="T38155" s="41"/>
    </row>
    <row r="38156" spans="20:20" s="566" customFormat="1">
      <c r="T38156" s="41"/>
    </row>
    <row r="38157" spans="20:20" s="566" customFormat="1">
      <c r="T38157" s="41"/>
    </row>
    <row r="38158" spans="20:20" s="566" customFormat="1">
      <c r="T38158" s="41"/>
    </row>
    <row r="38159" spans="20:20" s="566" customFormat="1">
      <c r="T38159" s="41"/>
    </row>
    <row r="38160" spans="20:20" s="566" customFormat="1">
      <c r="T38160" s="41"/>
    </row>
    <row r="38161" spans="20:20" s="566" customFormat="1">
      <c r="T38161" s="41"/>
    </row>
    <row r="38162" spans="20:20" s="566" customFormat="1">
      <c r="T38162" s="41"/>
    </row>
    <row r="38163" spans="20:20" s="566" customFormat="1">
      <c r="T38163" s="41"/>
    </row>
    <row r="38164" spans="20:20" s="566" customFormat="1">
      <c r="T38164" s="41"/>
    </row>
    <row r="38165" spans="20:20" s="566" customFormat="1">
      <c r="T38165" s="41"/>
    </row>
    <row r="38166" spans="20:20" s="566" customFormat="1">
      <c r="T38166" s="41"/>
    </row>
    <row r="38167" spans="20:20" s="566" customFormat="1">
      <c r="T38167" s="41"/>
    </row>
    <row r="38168" spans="20:20" s="566" customFormat="1">
      <c r="T38168" s="41"/>
    </row>
    <row r="38169" spans="20:20" s="566" customFormat="1">
      <c r="T38169" s="41"/>
    </row>
    <row r="38170" spans="20:20" s="566" customFormat="1">
      <c r="T38170" s="41"/>
    </row>
    <row r="38171" spans="20:20" s="566" customFormat="1">
      <c r="T38171" s="41"/>
    </row>
    <row r="38172" spans="20:20" s="566" customFormat="1">
      <c r="T38172" s="41"/>
    </row>
    <row r="38173" spans="20:20" s="566" customFormat="1">
      <c r="T38173" s="41"/>
    </row>
    <row r="38174" spans="20:20" s="566" customFormat="1">
      <c r="T38174" s="41"/>
    </row>
    <row r="38175" spans="20:20" s="566" customFormat="1">
      <c r="T38175" s="41"/>
    </row>
    <row r="38176" spans="20:20" s="566" customFormat="1">
      <c r="T38176" s="41"/>
    </row>
    <row r="38177" spans="20:20" s="566" customFormat="1">
      <c r="T38177" s="41"/>
    </row>
    <row r="38178" spans="20:20" s="566" customFormat="1">
      <c r="T38178" s="41"/>
    </row>
    <row r="38179" spans="20:20" s="566" customFormat="1">
      <c r="T38179" s="41"/>
    </row>
    <row r="38180" spans="20:20" s="566" customFormat="1">
      <c r="T38180" s="41"/>
    </row>
    <row r="38181" spans="20:20" s="566" customFormat="1">
      <c r="T38181" s="41"/>
    </row>
    <row r="38182" spans="20:20" s="566" customFormat="1">
      <c r="T38182" s="41"/>
    </row>
    <row r="38183" spans="20:20" s="566" customFormat="1">
      <c r="T38183" s="41"/>
    </row>
    <row r="38184" spans="20:20" s="566" customFormat="1">
      <c r="T38184" s="41"/>
    </row>
    <row r="38185" spans="20:20" s="566" customFormat="1">
      <c r="T38185" s="41"/>
    </row>
    <row r="38186" spans="20:20" s="566" customFormat="1">
      <c r="T38186" s="41"/>
    </row>
    <row r="38187" spans="20:20" s="566" customFormat="1">
      <c r="T38187" s="41"/>
    </row>
    <row r="38188" spans="20:20" s="566" customFormat="1">
      <c r="T38188" s="41"/>
    </row>
    <row r="38189" spans="20:20" s="566" customFormat="1">
      <c r="T38189" s="41"/>
    </row>
    <row r="38190" spans="20:20" s="566" customFormat="1">
      <c r="T38190" s="41"/>
    </row>
    <row r="38191" spans="20:20" s="566" customFormat="1">
      <c r="T38191" s="41"/>
    </row>
    <row r="38192" spans="20:20" s="566" customFormat="1">
      <c r="T38192" s="41"/>
    </row>
    <row r="38193" spans="20:20" s="566" customFormat="1">
      <c r="T38193" s="41"/>
    </row>
    <row r="38194" spans="20:20" s="566" customFormat="1">
      <c r="T38194" s="41"/>
    </row>
    <row r="38195" spans="20:20" s="566" customFormat="1">
      <c r="T38195" s="41"/>
    </row>
    <row r="38196" spans="20:20" s="566" customFormat="1">
      <c r="T38196" s="41"/>
    </row>
    <row r="38197" spans="20:20" s="566" customFormat="1">
      <c r="T38197" s="41"/>
    </row>
    <row r="38198" spans="20:20" s="566" customFormat="1">
      <c r="T38198" s="41"/>
    </row>
    <row r="38199" spans="20:20" s="566" customFormat="1">
      <c r="T38199" s="41"/>
    </row>
    <row r="38200" spans="20:20" s="566" customFormat="1">
      <c r="T38200" s="41"/>
    </row>
    <row r="38201" spans="20:20" s="566" customFormat="1">
      <c r="T38201" s="41"/>
    </row>
    <row r="38202" spans="20:20" s="566" customFormat="1">
      <c r="T38202" s="41"/>
    </row>
    <row r="38203" spans="20:20" s="566" customFormat="1">
      <c r="T38203" s="41"/>
    </row>
    <row r="38204" spans="20:20" s="566" customFormat="1">
      <c r="T38204" s="41"/>
    </row>
    <row r="38205" spans="20:20" s="566" customFormat="1">
      <c r="T38205" s="41"/>
    </row>
    <row r="38206" spans="20:20" s="566" customFormat="1">
      <c r="T38206" s="41"/>
    </row>
    <row r="38207" spans="20:20" s="566" customFormat="1">
      <c r="T38207" s="41"/>
    </row>
    <row r="38208" spans="20:20" s="566" customFormat="1">
      <c r="T38208" s="41"/>
    </row>
    <row r="38209" spans="20:20" s="566" customFormat="1">
      <c r="T38209" s="41"/>
    </row>
    <row r="38210" spans="20:20" s="566" customFormat="1">
      <c r="T38210" s="41"/>
    </row>
    <row r="38211" spans="20:20" s="566" customFormat="1">
      <c r="T38211" s="41"/>
    </row>
    <row r="38212" spans="20:20" s="566" customFormat="1">
      <c r="T38212" s="41"/>
    </row>
    <row r="38213" spans="20:20" s="566" customFormat="1">
      <c r="T38213" s="41"/>
    </row>
    <row r="38214" spans="20:20" s="566" customFormat="1">
      <c r="T38214" s="41"/>
    </row>
    <row r="38215" spans="20:20" s="566" customFormat="1">
      <c r="T38215" s="41"/>
    </row>
    <row r="38216" spans="20:20" s="566" customFormat="1">
      <c r="T38216" s="41"/>
    </row>
    <row r="38217" spans="20:20" s="566" customFormat="1">
      <c r="T38217" s="41"/>
    </row>
    <row r="38218" spans="20:20" s="566" customFormat="1">
      <c r="T38218" s="41"/>
    </row>
    <row r="38219" spans="20:20" s="566" customFormat="1">
      <c r="T38219" s="41"/>
    </row>
    <row r="38220" spans="20:20" s="566" customFormat="1">
      <c r="T38220" s="41"/>
    </row>
    <row r="38221" spans="20:20" s="566" customFormat="1">
      <c r="T38221" s="41"/>
    </row>
    <row r="38222" spans="20:20" s="566" customFormat="1">
      <c r="T38222" s="41"/>
    </row>
    <row r="38223" spans="20:20" s="566" customFormat="1">
      <c r="T38223" s="41"/>
    </row>
    <row r="38224" spans="20:20" s="566" customFormat="1">
      <c r="T38224" s="41"/>
    </row>
    <row r="38225" spans="20:20" s="566" customFormat="1">
      <c r="T38225" s="41"/>
    </row>
    <row r="38226" spans="20:20" s="566" customFormat="1">
      <c r="T38226" s="41"/>
    </row>
    <row r="38227" spans="20:20" s="566" customFormat="1">
      <c r="T38227" s="41"/>
    </row>
    <row r="38228" spans="20:20" s="566" customFormat="1">
      <c r="T38228" s="41"/>
    </row>
    <row r="38229" spans="20:20" s="566" customFormat="1">
      <c r="T38229" s="41"/>
    </row>
    <row r="38230" spans="20:20" s="566" customFormat="1">
      <c r="T38230" s="41"/>
    </row>
    <row r="38231" spans="20:20" s="566" customFormat="1">
      <c r="T38231" s="41"/>
    </row>
    <row r="38232" spans="20:20" s="566" customFormat="1">
      <c r="T38232" s="41"/>
    </row>
    <row r="38233" spans="20:20" s="566" customFormat="1">
      <c r="T38233" s="41"/>
    </row>
    <row r="38234" spans="20:20" s="566" customFormat="1">
      <c r="T38234" s="41"/>
    </row>
    <row r="38235" spans="20:20" s="566" customFormat="1">
      <c r="T38235" s="41"/>
    </row>
    <row r="38236" spans="20:20" s="566" customFormat="1">
      <c r="T38236" s="41"/>
    </row>
    <row r="38237" spans="20:20" s="566" customFormat="1">
      <c r="T38237" s="41"/>
    </row>
    <row r="38238" spans="20:20" s="566" customFormat="1">
      <c r="T38238" s="41"/>
    </row>
    <row r="38239" spans="20:20" s="566" customFormat="1">
      <c r="T38239" s="41"/>
    </row>
    <row r="38240" spans="20:20" s="566" customFormat="1">
      <c r="T38240" s="41"/>
    </row>
    <row r="38241" spans="20:20" s="566" customFormat="1">
      <c r="T38241" s="41"/>
    </row>
    <row r="38242" spans="20:20" s="566" customFormat="1">
      <c r="T38242" s="41"/>
    </row>
    <row r="38243" spans="20:20" s="566" customFormat="1">
      <c r="T38243" s="41"/>
    </row>
    <row r="38244" spans="20:20" s="566" customFormat="1">
      <c r="T38244" s="41"/>
    </row>
    <row r="38245" spans="20:20" s="566" customFormat="1">
      <c r="T38245" s="41"/>
    </row>
    <row r="38246" spans="20:20" s="566" customFormat="1">
      <c r="T38246" s="41"/>
    </row>
    <row r="38247" spans="20:20" s="566" customFormat="1">
      <c r="T38247" s="41"/>
    </row>
    <row r="38248" spans="20:20" s="566" customFormat="1">
      <c r="T38248" s="41"/>
    </row>
    <row r="38249" spans="20:20" s="566" customFormat="1">
      <c r="T38249" s="41"/>
    </row>
    <row r="38250" spans="20:20" s="566" customFormat="1">
      <c r="T38250" s="41"/>
    </row>
    <row r="38251" spans="20:20" s="566" customFormat="1">
      <c r="T38251" s="41"/>
    </row>
    <row r="38252" spans="20:20" s="566" customFormat="1">
      <c r="T38252" s="41"/>
    </row>
    <row r="38253" spans="20:20" s="566" customFormat="1">
      <c r="T38253" s="41"/>
    </row>
    <row r="38254" spans="20:20" s="566" customFormat="1">
      <c r="T38254" s="41"/>
    </row>
    <row r="38255" spans="20:20" s="566" customFormat="1">
      <c r="T38255" s="41"/>
    </row>
    <row r="38256" spans="20:20" s="566" customFormat="1">
      <c r="T38256" s="41"/>
    </row>
    <row r="38257" spans="20:20" s="566" customFormat="1">
      <c r="T38257" s="41"/>
    </row>
    <row r="38258" spans="20:20" s="566" customFormat="1">
      <c r="T38258" s="41"/>
    </row>
    <row r="38259" spans="20:20" s="566" customFormat="1">
      <c r="T38259" s="41"/>
    </row>
    <row r="38260" spans="20:20" s="566" customFormat="1">
      <c r="T38260" s="41"/>
    </row>
    <row r="38261" spans="20:20" s="566" customFormat="1">
      <c r="T38261" s="41"/>
    </row>
    <row r="38262" spans="20:20" s="566" customFormat="1">
      <c r="T38262" s="41"/>
    </row>
    <row r="38263" spans="20:20" s="566" customFormat="1">
      <c r="T38263" s="41"/>
    </row>
    <row r="38264" spans="20:20" s="566" customFormat="1">
      <c r="T38264" s="41"/>
    </row>
    <row r="38265" spans="20:20" s="566" customFormat="1">
      <c r="T38265" s="41"/>
    </row>
    <row r="38266" spans="20:20" s="566" customFormat="1">
      <c r="T38266" s="41"/>
    </row>
    <row r="38267" spans="20:20" s="566" customFormat="1">
      <c r="T38267" s="41"/>
    </row>
    <row r="38268" spans="20:20" s="566" customFormat="1">
      <c r="T38268" s="41"/>
    </row>
    <row r="38269" spans="20:20" s="566" customFormat="1">
      <c r="T38269" s="41"/>
    </row>
    <row r="38270" spans="20:20" s="566" customFormat="1">
      <c r="T38270" s="41"/>
    </row>
    <row r="38271" spans="20:20" s="566" customFormat="1">
      <c r="T38271" s="41"/>
    </row>
    <row r="38272" spans="20:20" s="566" customFormat="1">
      <c r="T38272" s="41"/>
    </row>
    <row r="38273" spans="20:20" s="566" customFormat="1">
      <c r="T38273" s="41"/>
    </row>
    <row r="38274" spans="20:20" s="566" customFormat="1">
      <c r="T38274" s="41"/>
    </row>
    <row r="38275" spans="20:20" s="566" customFormat="1">
      <c r="T38275" s="41"/>
    </row>
    <row r="38276" spans="20:20" s="566" customFormat="1">
      <c r="T38276" s="41"/>
    </row>
    <row r="38277" spans="20:20" s="566" customFormat="1">
      <c r="T38277" s="41"/>
    </row>
    <row r="38278" spans="20:20" s="566" customFormat="1">
      <c r="T38278" s="41"/>
    </row>
    <row r="38279" spans="20:20" s="566" customFormat="1">
      <c r="T38279" s="41"/>
    </row>
    <row r="38280" spans="20:20" s="566" customFormat="1">
      <c r="T38280" s="41"/>
    </row>
    <row r="38281" spans="20:20" s="566" customFormat="1">
      <c r="T38281" s="41"/>
    </row>
    <row r="38282" spans="20:20" s="566" customFormat="1">
      <c r="T38282" s="41"/>
    </row>
    <row r="38283" spans="20:20" s="566" customFormat="1">
      <c r="T38283" s="41"/>
    </row>
    <row r="38284" spans="20:20" s="566" customFormat="1">
      <c r="T38284" s="41"/>
    </row>
    <row r="38285" spans="20:20" s="566" customFormat="1">
      <c r="T38285" s="41"/>
    </row>
    <row r="38286" spans="20:20" s="566" customFormat="1">
      <c r="T38286" s="41"/>
    </row>
    <row r="38287" spans="20:20" s="566" customFormat="1">
      <c r="T38287" s="41"/>
    </row>
    <row r="38288" spans="20:20" s="566" customFormat="1">
      <c r="T38288" s="41"/>
    </row>
    <row r="38289" spans="20:20" s="566" customFormat="1">
      <c r="T38289" s="41"/>
    </row>
    <row r="38290" spans="20:20" s="566" customFormat="1">
      <c r="T38290" s="41"/>
    </row>
    <row r="38291" spans="20:20" s="566" customFormat="1">
      <c r="T38291" s="41"/>
    </row>
    <row r="38292" spans="20:20" s="566" customFormat="1">
      <c r="T38292" s="41"/>
    </row>
    <row r="38293" spans="20:20" s="566" customFormat="1">
      <c r="T38293" s="41"/>
    </row>
    <row r="38294" spans="20:20" s="566" customFormat="1">
      <c r="T38294" s="41"/>
    </row>
    <row r="38295" spans="20:20" s="566" customFormat="1">
      <c r="T38295" s="41"/>
    </row>
    <row r="38296" spans="20:20" s="566" customFormat="1">
      <c r="T38296" s="41"/>
    </row>
    <row r="38297" spans="20:20" s="566" customFormat="1">
      <c r="T38297" s="41"/>
    </row>
    <row r="38298" spans="20:20" s="566" customFormat="1">
      <c r="T38298" s="41"/>
    </row>
    <row r="38299" spans="20:20" s="566" customFormat="1">
      <c r="T38299" s="41"/>
    </row>
    <row r="38300" spans="20:20" s="566" customFormat="1">
      <c r="T38300" s="41"/>
    </row>
    <row r="38301" spans="20:20" s="566" customFormat="1">
      <c r="T38301" s="41"/>
    </row>
    <row r="38302" spans="20:20" s="566" customFormat="1">
      <c r="T38302" s="41"/>
    </row>
    <row r="38303" spans="20:20" s="566" customFormat="1">
      <c r="T38303" s="41"/>
    </row>
    <row r="38304" spans="20:20" s="566" customFormat="1">
      <c r="T38304" s="41"/>
    </row>
    <row r="38305" spans="20:20" s="566" customFormat="1">
      <c r="T38305" s="41"/>
    </row>
    <row r="38306" spans="20:20" s="566" customFormat="1">
      <c r="T38306" s="41"/>
    </row>
    <row r="38307" spans="20:20" s="566" customFormat="1">
      <c r="T38307" s="41"/>
    </row>
    <row r="38308" spans="20:20" s="566" customFormat="1">
      <c r="T38308" s="41"/>
    </row>
    <row r="38309" spans="20:20" s="566" customFormat="1">
      <c r="T38309" s="41"/>
    </row>
    <row r="38310" spans="20:20" s="566" customFormat="1">
      <c r="T38310" s="41"/>
    </row>
    <row r="38311" spans="20:20" s="566" customFormat="1">
      <c r="T38311" s="41"/>
    </row>
    <row r="38312" spans="20:20" s="566" customFormat="1">
      <c r="T38312" s="41"/>
    </row>
    <row r="38313" spans="20:20" s="566" customFormat="1">
      <c r="T38313" s="41"/>
    </row>
    <row r="38314" spans="20:20" s="566" customFormat="1">
      <c r="T38314" s="41"/>
    </row>
    <row r="38315" spans="20:20" s="566" customFormat="1">
      <c r="T38315" s="41"/>
    </row>
    <row r="38316" spans="20:20" s="566" customFormat="1">
      <c r="T38316" s="41"/>
    </row>
    <row r="38317" spans="20:20" s="566" customFormat="1">
      <c r="T38317" s="41"/>
    </row>
    <row r="38318" spans="20:20" s="566" customFormat="1">
      <c r="T38318" s="41"/>
    </row>
    <row r="38319" spans="20:20" s="566" customFormat="1">
      <c r="T38319" s="41"/>
    </row>
    <row r="38320" spans="20:20" s="566" customFormat="1">
      <c r="T38320" s="41"/>
    </row>
    <row r="38321" spans="20:20" s="566" customFormat="1">
      <c r="T38321" s="41"/>
    </row>
    <row r="38322" spans="20:20" s="566" customFormat="1">
      <c r="T38322" s="41"/>
    </row>
    <row r="38323" spans="20:20" s="566" customFormat="1">
      <c r="T38323" s="41"/>
    </row>
    <row r="38324" spans="20:20" s="566" customFormat="1">
      <c r="T38324" s="41"/>
    </row>
    <row r="38325" spans="20:20" s="566" customFormat="1">
      <c r="T38325" s="41"/>
    </row>
    <row r="38326" spans="20:20" s="566" customFormat="1">
      <c r="T38326" s="41"/>
    </row>
    <row r="38327" spans="20:20" s="566" customFormat="1">
      <c r="T38327" s="41"/>
    </row>
    <row r="38328" spans="20:20" s="566" customFormat="1">
      <c r="T38328" s="41"/>
    </row>
    <row r="38329" spans="20:20" s="566" customFormat="1">
      <c r="T38329" s="41"/>
    </row>
    <row r="38330" spans="20:20" s="566" customFormat="1">
      <c r="T38330" s="41"/>
    </row>
    <row r="38331" spans="20:20" s="566" customFormat="1">
      <c r="T38331" s="41"/>
    </row>
    <row r="38332" spans="20:20" s="566" customFormat="1">
      <c r="T38332" s="41"/>
    </row>
    <row r="38333" spans="20:20" s="566" customFormat="1">
      <c r="T38333" s="41"/>
    </row>
    <row r="38334" spans="20:20" s="566" customFormat="1">
      <c r="T38334" s="41"/>
    </row>
    <row r="38335" spans="20:20" s="566" customFormat="1">
      <c r="T38335" s="41"/>
    </row>
    <row r="38336" spans="20:20" s="566" customFormat="1">
      <c r="T38336" s="41"/>
    </row>
    <row r="38337" spans="20:20" s="566" customFormat="1">
      <c r="T38337" s="41"/>
    </row>
    <row r="38338" spans="20:20" s="566" customFormat="1">
      <c r="T38338" s="41"/>
    </row>
    <row r="38339" spans="20:20" s="566" customFormat="1">
      <c r="T38339" s="41"/>
    </row>
    <row r="38340" spans="20:20" s="566" customFormat="1">
      <c r="T38340" s="41"/>
    </row>
    <row r="38341" spans="20:20" s="566" customFormat="1">
      <c r="T38341" s="41"/>
    </row>
    <row r="38342" spans="20:20" s="566" customFormat="1">
      <c r="T38342" s="41"/>
    </row>
    <row r="38343" spans="20:20" s="566" customFormat="1">
      <c r="T38343" s="41"/>
    </row>
    <row r="38344" spans="20:20" s="566" customFormat="1">
      <c r="T38344" s="41"/>
    </row>
    <row r="38345" spans="20:20" s="566" customFormat="1">
      <c r="T38345" s="41"/>
    </row>
    <row r="38346" spans="20:20" s="566" customFormat="1">
      <c r="T38346" s="41"/>
    </row>
    <row r="38347" spans="20:20" s="566" customFormat="1">
      <c r="T38347" s="41"/>
    </row>
    <row r="38348" spans="20:20" s="566" customFormat="1">
      <c r="T38348" s="41"/>
    </row>
    <row r="38349" spans="20:20" s="566" customFormat="1">
      <c r="T38349" s="41"/>
    </row>
    <row r="38350" spans="20:20" s="566" customFormat="1">
      <c r="T38350" s="41"/>
    </row>
    <row r="38351" spans="20:20" s="566" customFormat="1">
      <c r="T38351" s="41"/>
    </row>
    <row r="38352" spans="20:20" s="566" customFormat="1">
      <c r="T38352" s="41"/>
    </row>
    <row r="38353" spans="20:20" s="566" customFormat="1">
      <c r="T38353" s="41"/>
    </row>
    <row r="38354" spans="20:20" s="566" customFormat="1">
      <c r="T38354" s="41"/>
    </row>
    <row r="38355" spans="20:20" s="566" customFormat="1">
      <c r="T38355" s="41"/>
    </row>
    <row r="38356" spans="20:20" s="566" customFormat="1">
      <c r="T38356" s="41"/>
    </row>
    <row r="38357" spans="20:20" s="566" customFormat="1">
      <c r="T38357" s="41"/>
    </row>
    <row r="38358" spans="20:20" s="566" customFormat="1">
      <c r="T38358" s="41"/>
    </row>
    <row r="38359" spans="20:20" s="566" customFormat="1">
      <c r="T38359" s="41"/>
    </row>
    <row r="38360" spans="20:20" s="566" customFormat="1">
      <c r="T38360" s="41"/>
    </row>
    <row r="38361" spans="20:20" s="566" customFormat="1">
      <c r="T38361" s="41"/>
    </row>
    <row r="38362" spans="20:20" s="566" customFormat="1">
      <c r="T38362" s="41"/>
    </row>
    <row r="38363" spans="20:20" s="566" customFormat="1">
      <c r="T38363" s="41"/>
    </row>
    <row r="38364" spans="20:20" s="566" customFormat="1">
      <c r="T38364" s="41"/>
    </row>
    <row r="38365" spans="20:20" s="566" customFormat="1">
      <c r="T38365" s="41"/>
    </row>
    <row r="38366" spans="20:20" s="566" customFormat="1">
      <c r="T38366" s="41"/>
    </row>
    <row r="38367" spans="20:20" s="566" customFormat="1">
      <c r="T38367" s="41"/>
    </row>
    <row r="38368" spans="20:20" s="566" customFormat="1">
      <c r="T38368" s="41"/>
    </row>
    <row r="38369" spans="20:20" s="566" customFormat="1">
      <c r="T38369" s="41"/>
    </row>
    <row r="38370" spans="20:20" s="566" customFormat="1">
      <c r="T38370" s="41"/>
    </row>
    <row r="38371" spans="20:20" s="566" customFormat="1">
      <c r="T38371" s="41"/>
    </row>
    <row r="38372" spans="20:20" s="566" customFormat="1">
      <c r="T38372" s="41"/>
    </row>
    <row r="38373" spans="20:20" s="566" customFormat="1">
      <c r="T38373" s="41"/>
    </row>
    <row r="38374" spans="20:20" s="566" customFormat="1">
      <c r="T38374" s="41"/>
    </row>
    <row r="38375" spans="20:20" s="566" customFormat="1">
      <c r="T38375" s="41"/>
    </row>
    <row r="38376" spans="20:20" s="566" customFormat="1">
      <c r="T38376" s="41"/>
    </row>
    <row r="38377" spans="20:20" s="566" customFormat="1">
      <c r="T38377" s="41"/>
    </row>
    <row r="38378" spans="20:20" s="566" customFormat="1">
      <c r="T38378" s="41"/>
    </row>
    <row r="38379" spans="20:20" s="566" customFormat="1">
      <c r="T38379" s="41"/>
    </row>
    <row r="38380" spans="20:20" s="566" customFormat="1">
      <c r="T38380" s="41"/>
    </row>
    <row r="38381" spans="20:20" s="566" customFormat="1">
      <c r="T38381" s="41"/>
    </row>
    <row r="38382" spans="20:20" s="566" customFormat="1">
      <c r="T38382" s="41"/>
    </row>
    <row r="38383" spans="20:20" s="566" customFormat="1">
      <c r="T38383" s="41"/>
    </row>
    <row r="38384" spans="20:20" s="566" customFormat="1">
      <c r="T38384" s="41"/>
    </row>
    <row r="38385" spans="20:20" s="566" customFormat="1">
      <c r="T38385" s="41"/>
    </row>
    <row r="38386" spans="20:20" s="566" customFormat="1">
      <c r="T38386" s="41"/>
    </row>
    <row r="38387" spans="20:20" s="566" customFormat="1">
      <c r="T38387" s="41"/>
    </row>
    <row r="38388" spans="20:20" s="566" customFormat="1">
      <c r="T38388" s="41"/>
    </row>
    <row r="38389" spans="20:20" s="566" customFormat="1">
      <c r="T38389" s="41"/>
    </row>
    <row r="38390" spans="20:20" s="566" customFormat="1">
      <c r="T38390" s="41"/>
    </row>
    <row r="38391" spans="20:20" s="566" customFormat="1">
      <c r="T38391" s="41"/>
    </row>
    <row r="38392" spans="20:20" s="566" customFormat="1">
      <c r="T38392" s="41"/>
    </row>
    <row r="38393" spans="20:20" s="566" customFormat="1">
      <c r="T38393" s="41"/>
    </row>
    <row r="38394" spans="20:20" s="566" customFormat="1">
      <c r="T38394" s="41"/>
    </row>
    <row r="38395" spans="20:20" s="566" customFormat="1">
      <c r="T38395" s="41"/>
    </row>
    <row r="38396" spans="20:20" s="566" customFormat="1">
      <c r="T38396" s="41"/>
    </row>
    <row r="38397" spans="20:20" s="566" customFormat="1">
      <c r="T38397" s="41"/>
    </row>
    <row r="38398" spans="20:20" s="566" customFormat="1">
      <c r="T38398" s="41"/>
    </row>
    <row r="38399" spans="20:20" s="566" customFormat="1">
      <c r="T38399" s="41"/>
    </row>
    <row r="38400" spans="20:20" s="566" customFormat="1">
      <c r="T38400" s="41"/>
    </row>
    <row r="38401" spans="20:20" s="566" customFormat="1">
      <c r="T38401" s="41"/>
    </row>
    <row r="38402" spans="20:20" s="566" customFormat="1">
      <c r="T38402" s="41"/>
    </row>
    <row r="38403" spans="20:20" s="566" customFormat="1">
      <c r="T38403" s="41"/>
    </row>
    <row r="38404" spans="20:20" s="566" customFormat="1">
      <c r="T38404" s="41"/>
    </row>
    <row r="38405" spans="20:20" s="566" customFormat="1">
      <c r="T38405" s="41"/>
    </row>
    <row r="38406" spans="20:20" s="566" customFormat="1">
      <c r="T38406" s="41"/>
    </row>
    <row r="38407" spans="20:20" s="566" customFormat="1">
      <c r="T38407" s="41"/>
    </row>
    <row r="38408" spans="20:20" s="566" customFormat="1">
      <c r="T38408" s="41"/>
    </row>
    <row r="38409" spans="20:20" s="566" customFormat="1">
      <c r="T38409" s="41"/>
    </row>
    <row r="38410" spans="20:20" s="566" customFormat="1">
      <c r="T38410" s="41"/>
    </row>
    <row r="38411" spans="20:20" s="566" customFormat="1">
      <c r="T38411" s="41"/>
    </row>
    <row r="38412" spans="20:20" s="566" customFormat="1">
      <c r="T38412" s="41"/>
    </row>
    <row r="38413" spans="20:20" s="566" customFormat="1">
      <c r="T38413" s="41"/>
    </row>
    <row r="38414" spans="20:20" s="566" customFormat="1">
      <c r="T38414" s="41"/>
    </row>
    <row r="38415" spans="20:20" s="566" customFormat="1">
      <c r="T38415" s="41"/>
    </row>
    <row r="38416" spans="20:20" s="566" customFormat="1">
      <c r="T38416" s="41"/>
    </row>
    <row r="38417" spans="20:20" s="566" customFormat="1">
      <c r="T38417" s="41"/>
    </row>
    <row r="38418" spans="20:20" s="566" customFormat="1">
      <c r="T38418" s="41"/>
    </row>
    <row r="38419" spans="20:20" s="566" customFormat="1">
      <c r="T38419" s="41"/>
    </row>
    <row r="38420" spans="20:20" s="566" customFormat="1">
      <c r="T38420" s="41"/>
    </row>
    <row r="38421" spans="20:20" s="566" customFormat="1">
      <c r="T38421" s="41"/>
    </row>
    <row r="38422" spans="20:20" s="566" customFormat="1">
      <c r="T38422" s="41"/>
    </row>
    <row r="38423" spans="20:20" s="566" customFormat="1">
      <c r="T38423" s="41"/>
    </row>
    <row r="38424" spans="20:20" s="566" customFormat="1">
      <c r="T38424" s="41"/>
    </row>
    <row r="38425" spans="20:20" s="566" customFormat="1">
      <c r="T38425" s="41"/>
    </row>
    <row r="38426" spans="20:20" s="566" customFormat="1">
      <c r="T38426" s="41"/>
    </row>
    <row r="38427" spans="20:20" s="566" customFormat="1">
      <c r="T38427" s="41"/>
    </row>
    <row r="38428" spans="20:20" s="566" customFormat="1">
      <c r="T38428" s="41"/>
    </row>
    <row r="38429" spans="20:20" s="566" customFormat="1">
      <c r="T38429" s="41"/>
    </row>
    <row r="38430" spans="20:20" s="566" customFormat="1">
      <c r="T38430" s="41"/>
    </row>
    <row r="38431" spans="20:20" s="566" customFormat="1">
      <c r="T38431" s="41"/>
    </row>
    <row r="38432" spans="20:20" s="566" customFormat="1">
      <c r="T38432" s="41"/>
    </row>
    <row r="38433" spans="20:20" s="566" customFormat="1">
      <c r="T38433" s="41"/>
    </row>
    <row r="38434" spans="20:20" s="566" customFormat="1">
      <c r="T38434" s="41"/>
    </row>
    <row r="38435" spans="20:20" s="566" customFormat="1">
      <c r="T38435" s="41"/>
    </row>
    <row r="38436" spans="20:20" s="566" customFormat="1">
      <c r="T38436" s="41"/>
    </row>
    <row r="38437" spans="20:20" s="566" customFormat="1">
      <c r="T38437" s="41"/>
    </row>
    <row r="38438" spans="20:20" s="566" customFormat="1">
      <c r="T38438" s="41"/>
    </row>
    <row r="38439" spans="20:20" s="566" customFormat="1">
      <c r="T38439" s="41"/>
    </row>
    <row r="38440" spans="20:20" s="566" customFormat="1">
      <c r="T38440" s="41"/>
    </row>
    <row r="38441" spans="20:20" s="566" customFormat="1">
      <c r="T38441" s="41"/>
    </row>
    <row r="38442" spans="20:20" s="566" customFormat="1">
      <c r="T38442" s="41"/>
    </row>
    <row r="38443" spans="20:20" s="566" customFormat="1">
      <c r="T38443" s="41"/>
    </row>
    <row r="38444" spans="20:20" s="566" customFormat="1">
      <c r="T38444" s="41"/>
    </row>
    <row r="38445" spans="20:20" s="566" customFormat="1">
      <c r="T38445" s="41"/>
    </row>
    <row r="38446" spans="20:20" s="566" customFormat="1">
      <c r="T38446" s="41"/>
    </row>
    <row r="38447" spans="20:20" s="566" customFormat="1">
      <c r="T38447" s="41"/>
    </row>
    <row r="38448" spans="20:20" s="566" customFormat="1">
      <c r="T38448" s="41"/>
    </row>
    <row r="38449" spans="20:20" s="566" customFormat="1">
      <c r="T38449" s="41"/>
    </row>
    <row r="38450" spans="20:20" s="566" customFormat="1">
      <c r="T38450" s="41"/>
    </row>
    <row r="38451" spans="20:20" s="566" customFormat="1">
      <c r="T38451" s="41"/>
    </row>
    <row r="38452" spans="20:20" s="566" customFormat="1">
      <c r="T38452" s="41"/>
    </row>
    <row r="38453" spans="20:20" s="566" customFormat="1">
      <c r="T38453" s="41"/>
    </row>
    <row r="38454" spans="20:20" s="566" customFormat="1">
      <c r="T38454" s="41"/>
    </row>
    <row r="38455" spans="20:20" s="566" customFormat="1">
      <c r="T38455" s="41"/>
    </row>
    <row r="38456" spans="20:20" s="566" customFormat="1">
      <c r="T38456" s="41"/>
    </row>
    <row r="38457" spans="20:20" s="566" customFormat="1">
      <c r="T38457" s="41"/>
    </row>
    <row r="38458" spans="20:20" s="566" customFormat="1">
      <c r="T38458" s="41"/>
    </row>
    <row r="38459" spans="20:20" s="566" customFormat="1">
      <c r="T38459" s="41"/>
    </row>
    <row r="38460" spans="20:20" s="566" customFormat="1">
      <c r="T38460" s="41"/>
    </row>
    <row r="38461" spans="20:20" s="566" customFormat="1">
      <c r="T38461" s="41"/>
    </row>
    <row r="38462" spans="20:20" s="566" customFormat="1">
      <c r="T38462" s="41"/>
    </row>
    <row r="38463" spans="20:20" s="566" customFormat="1">
      <c r="T38463" s="41"/>
    </row>
    <row r="38464" spans="20:20" s="566" customFormat="1">
      <c r="T38464" s="41"/>
    </row>
    <row r="38465" spans="20:20" s="566" customFormat="1">
      <c r="T38465" s="41"/>
    </row>
    <row r="38466" spans="20:20" s="566" customFormat="1">
      <c r="T38466" s="41"/>
    </row>
    <row r="38467" spans="20:20" s="566" customFormat="1">
      <c r="T38467" s="41"/>
    </row>
    <row r="38468" spans="20:20" s="566" customFormat="1">
      <c r="T38468" s="41"/>
    </row>
    <row r="38469" spans="20:20" s="566" customFormat="1">
      <c r="T38469" s="41"/>
    </row>
    <row r="38470" spans="20:20" s="566" customFormat="1">
      <c r="T38470" s="41"/>
    </row>
    <row r="38471" spans="20:20" s="566" customFormat="1">
      <c r="T38471" s="41"/>
    </row>
    <row r="38472" spans="20:20" s="566" customFormat="1">
      <c r="T38472" s="41"/>
    </row>
    <row r="38473" spans="20:20" s="566" customFormat="1">
      <c r="T38473" s="41"/>
    </row>
    <row r="38474" spans="20:20" s="566" customFormat="1">
      <c r="T38474" s="41"/>
    </row>
    <row r="38475" spans="20:20" s="566" customFormat="1">
      <c r="T38475" s="41"/>
    </row>
    <row r="38476" spans="20:20" s="566" customFormat="1">
      <c r="T38476" s="41"/>
    </row>
    <row r="38477" spans="20:20" s="566" customFormat="1">
      <c r="T38477" s="41"/>
    </row>
    <row r="38478" spans="20:20" s="566" customFormat="1">
      <c r="T38478" s="41"/>
    </row>
    <row r="38479" spans="20:20" s="566" customFormat="1">
      <c r="T38479" s="41"/>
    </row>
    <row r="38480" spans="20:20" s="566" customFormat="1">
      <c r="T38480" s="41"/>
    </row>
    <row r="38481" spans="20:20" s="566" customFormat="1">
      <c r="T38481" s="41"/>
    </row>
    <row r="38482" spans="20:20" s="566" customFormat="1">
      <c r="T38482" s="41"/>
    </row>
    <row r="38483" spans="20:20" s="566" customFormat="1">
      <c r="T38483" s="41"/>
    </row>
    <row r="38484" spans="20:20" s="566" customFormat="1">
      <c r="T38484" s="41"/>
    </row>
    <row r="38485" spans="20:20" s="566" customFormat="1">
      <c r="T38485" s="41"/>
    </row>
    <row r="38486" spans="20:20" s="566" customFormat="1">
      <c r="T38486" s="41"/>
    </row>
    <row r="38487" spans="20:20" s="566" customFormat="1">
      <c r="T38487" s="41"/>
    </row>
    <row r="38488" spans="20:20" s="566" customFormat="1">
      <c r="T38488" s="41"/>
    </row>
    <row r="38489" spans="20:20" s="566" customFormat="1">
      <c r="T38489" s="41"/>
    </row>
    <row r="38490" spans="20:20" s="566" customFormat="1">
      <c r="T38490" s="41"/>
    </row>
    <row r="38491" spans="20:20" s="566" customFormat="1">
      <c r="T38491" s="41"/>
    </row>
    <row r="38492" spans="20:20" s="566" customFormat="1">
      <c r="T38492" s="41"/>
    </row>
    <row r="38493" spans="20:20" s="566" customFormat="1">
      <c r="T38493" s="41"/>
    </row>
    <row r="38494" spans="20:20" s="566" customFormat="1">
      <c r="T38494" s="41"/>
    </row>
    <row r="38495" spans="20:20" s="566" customFormat="1">
      <c r="T38495" s="41"/>
    </row>
    <row r="38496" spans="20:20" s="566" customFormat="1">
      <c r="T38496" s="41"/>
    </row>
    <row r="38497" spans="20:20" s="566" customFormat="1">
      <c r="T38497" s="41"/>
    </row>
    <row r="38498" spans="20:20" s="566" customFormat="1">
      <c r="T38498" s="41"/>
    </row>
    <row r="38499" spans="20:20" s="566" customFormat="1">
      <c r="T38499" s="41"/>
    </row>
    <row r="38500" spans="20:20" s="566" customFormat="1">
      <c r="T38500" s="41"/>
    </row>
    <row r="38501" spans="20:20" s="566" customFormat="1">
      <c r="T38501" s="41"/>
    </row>
    <row r="38502" spans="20:20" s="566" customFormat="1">
      <c r="T38502" s="41"/>
    </row>
    <row r="38503" spans="20:20" s="566" customFormat="1">
      <c r="T38503" s="41"/>
    </row>
    <row r="38504" spans="20:20" s="566" customFormat="1">
      <c r="T38504" s="41"/>
    </row>
    <row r="38505" spans="20:20" s="566" customFormat="1">
      <c r="T38505" s="41"/>
    </row>
    <row r="38506" spans="20:20" s="566" customFormat="1">
      <c r="T38506" s="41"/>
    </row>
    <row r="38507" spans="20:20" s="566" customFormat="1">
      <c r="T38507" s="41"/>
    </row>
    <row r="38508" spans="20:20" s="566" customFormat="1">
      <c r="T38508" s="41"/>
    </row>
    <row r="38509" spans="20:20" s="566" customFormat="1">
      <c r="T38509" s="41"/>
    </row>
    <row r="38510" spans="20:20" s="566" customFormat="1">
      <c r="T38510" s="41"/>
    </row>
    <row r="38511" spans="20:20" s="566" customFormat="1">
      <c r="T38511" s="41"/>
    </row>
    <row r="38512" spans="20:20" s="566" customFormat="1">
      <c r="T38512" s="41"/>
    </row>
    <row r="38513" spans="20:20" s="566" customFormat="1">
      <c r="T38513" s="41"/>
    </row>
    <row r="38514" spans="20:20" s="566" customFormat="1">
      <c r="T38514" s="41"/>
    </row>
    <row r="38515" spans="20:20" s="566" customFormat="1">
      <c r="T38515" s="41"/>
    </row>
    <row r="38516" spans="20:20" s="566" customFormat="1">
      <c r="T38516" s="41"/>
    </row>
    <row r="38517" spans="20:20" s="566" customFormat="1">
      <c r="T38517" s="41"/>
    </row>
    <row r="38518" spans="20:20" s="566" customFormat="1">
      <c r="T38518" s="41"/>
    </row>
    <row r="38519" spans="20:20" s="566" customFormat="1">
      <c r="T38519" s="41"/>
    </row>
    <row r="38520" spans="20:20" s="566" customFormat="1">
      <c r="T38520" s="41"/>
    </row>
    <row r="38521" spans="20:20" s="566" customFormat="1">
      <c r="T38521" s="41"/>
    </row>
    <row r="38522" spans="20:20" s="566" customFormat="1">
      <c r="T38522" s="41"/>
    </row>
    <row r="38523" spans="20:20" s="566" customFormat="1">
      <c r="T38523" s="41"/>
    </row>
    <row r="38524" spans="20:20" s="566" customFormat="1">
      <c r="T38524" s="41"/>
    </row>
    <row r="38525" spans="20:20" s="566" customFormat="1">
      <c r="T38525" s="41"/>
    </row>
    <row r="38526" spans="20:20" s="566" customFormat="1">
      <c r="T38526" s="41"/>
    </row>
    <row r="38527" spans="20:20" s="566" customFormat="1">
      <c r="T38527" s="41"/>
    </row>
    <row r="38528" spans="20:20" s="566" customFormat="1">
      <c r="T38528" s="41"/>
    </row>
    <row r="38529" spans="20:20" s="566" customFormat="1">
      <c r="T38529" s="41"/>
    </row>
    <row r="38530" spans="20:20" s="566" customFormat="1">
      <c r="T38530" s="41"/>
    </row>
    <row r="38531" spans="20:20" s="566" customFormat="1">
      <c r="T38531" s="41"/>
    </row>
    <row r="38532" spans="20:20" s="566" customFormat="1">
      <c r="T38532" s="41"/>
    </row>
    <row r="38533" spans="20:20" s="566" customFormat="1">
      <c r="T38533" s="41"/>
    </row>
    <row r="38534" spans="20:20" s="566" customFormat="1">
      <c r="T38534" s="41"/>
    </row>
    <row r="38535" spans="20:20" s="566" customFormat="1">
      <c r="T38535" s="41"/>
    </row>
    <row r="38536" spans="20:20" s="566" customFormat="1">
      <c r="T38536" s="41"/>
    </row>
    <row r="38537" spans="20:20" s="566" customFormat="1">
      <c r="T38537" s="41"/>
    </row>
    <row r="38538" spans="20:20" s="566" customFormat="1">
      <c r="T38538" s="41"/>
    </row>
    <row r="38539" spans="20:20" s="566" customFormat="1">
      <c r="T38539" s="41"/>
    </row>
    <row r="38540" spans="20:20" s="566" customFormat="1">
      <c r="T38540" s="41"/>
    </row>
    <row r="38541" spans="20:20" s="566" customFormat="1">
      <c r="T38541" s="41"/>
    </row>
    <row r="38542" spans="20:20" s="566" customFormat="1">
      <c r="T38542" s="41"/>
    </row>
    <row r="38543" spans="20:20" s="566" customFormat="1">
      <c r="T38543" s="41"/>
    </row>
    <row r="38544" spans="20:20" s="566" customFormat="1">
      <c r="T38544" s="41"/>
    </row>
    <row r="38545" spans="20:20" s="566" customFormat="1">
      <c r="T38545" s="41"/>
    </row>
    <row r="38546" spans="20:20" s="566" customFormat="1">
      <c r="T38546" s="41"/>
    </row>
    <row r="38547" spans="20:20" s="566" customFormat="1">
      <c r="T38547" s="41"/>
    </row>
    <row r="38548" spans="20:20" s="566" customFormat="1">
      <c r="T38548" s="41"/>
    </row>
    <row r="38549" spans="20:20" s="566" customFormat="1">
      <c r="T38549" s="41"/>
    </row>
    <row r="38550" spans="20:20" s="566" customFormat="1">
      <c r="T38550" s="41"/>
    </row>
    <row r="38551" spans="20:20" s="566" customFormat="1">
      <c r="T38551" s="41"/>
    </row>
    <row r="38552" spans="20:20" s="566" customFormat="1">
      <c r="T38552" s="41"/>
    </row>
    <row r="38553" spans="20:20" s="566" customFormat="1">
      <c r="T38553" s="41"/>
    </row>
    <row r="38554" spans="20:20" s="566" customFormat="1">
      <c r="T38554" s="41"/>
    </row>
    <row r="38555" spans="20:20" s="566" customFormat="1">
      <c r="T38555" s="41"/>
    </row>
    <row r="38556" spans="20:20" s="566" customFormat="1">
      <c r="T38556" s="41"/>
    </row>
    <row r="38557" spans="20:20" s="566" customFormat="1">
      <c r="T38557" s="41"/>
    </row>
    <row r="38558" spans="20:20" s="566" customFormat="1">
      <c r="T38558" s="41"/>
    </row>
    <row r="38559" spans="20:20" s="566" customFormat="1">
      <c r="T38559" s="41"/>
    </row>
    <row r="38560" spans="20:20" s="566" customFormat="1">
      <c r="T38560" s="41"/>
    </row>
    <row r="38561" spans="20:20" s="566" customFormat="1">
      <c r="T38561" s="41"/>
    </row>
    <row r="38562" spans="20:20" s="566" customFormat="1">
      <c r="T38562" s="41"/>
    </row>
    <row r="38563" spans="20:20" s="566" customFormat="1">
      <c r="T38563" s="41"/>
    </row>
    <row r="38564" spans="20:20" s="566" customFormat="1">
      <c r="T38564" s="41"/>
    </row>
    <row r="38565" spans="20:20" s="566" customFormat="1">
      <c r="T38565" s="41"/>
    </row>
    <row r="38566" spans="20:20" s="566" customFormat="1">
      <c r="T38566" s="41"/>
    </row>
    <row r="38567" spans="20:20" s="566" customFormat="1">
      <c r="T38567" s="41"/>
    </row>
    <row r="38568" spans="20:20" s="566" customFormat="1">
      <c r="T38568" s="41"/>
    </row>
    <row r="38569" spans="20:20" s="566" customFormat="1">
      <c r="T38569" s="41"/>
    </row>
    <row r="38570" spans="20:20" s="566" customFormat="1">
      <c r="T38570" s="41"/>
    </row>
    <row r="38571" spans="20:20" s="566" customFormat="1">
      <c r="T38571" s="41"/>
    </row>
    <row r="38572" spans="20:20" s="566" customFormat="1">
      <c r="T38572" s="41"/>
    </row>
    <row r="38573" spans="20:20" s="566" customFormat="1">
      <c r="T38573" s="41"/>
    </row>
    <row r="38574" spans="20:20" s="566" customFormat="1">
      <c r="T38574" s="41"/>
    </row>
    <row r="38575" spans="20:20" s="566" customFormat="1">
      <c r="T38575" s="41"/>
    </row>
    <row r="38576" spans="20:20" s="566" customFormat="1">
      <c r="T38576" s="41"/>
    </row>
    <row r="38577" spans="20:20" s="566" customFormat="1">
      <c r="T38577" s="41"/>
    </row>
    <row r="38578" spans="20:20" s="566" customFormat="1">
      <c r="T38578" s="41"/>
    </row>
    <row r="38579" spans="20:20" s="566" customFormat="1">
      <c r="T38579" s="41"/>
    </row>
    <row r="38580" spans="20:20" s="566" customFormat="1">
      <c r="T38580" s="41"/>
    </row>
    <row r="38581" spans="20:20" s="566" customFormat="1">
      <c r="T38581" s="41"/>
    </row>
    <row r="38582" spans="20:20" s="566" customFormat="1">
      <c r="T38582" s="41"/>
    </row>
    <row r="38583" spans="20:20" s="566" customFormat="1">
      <c r="T38583" s="41"/>
    </row>
    <row r="38584" spans="20:20" s="566" customFormat="1">
      <c r="T38584" s="41"/>
    </row>
    <row r="38585" spans="20:20" s="566" customFormat="1">
      <c r="T38585" s="41"/>
    </row>
    <row r="38586" spans="20:20" s="566" customFormat="1">
      <c r="T38586" s="41"/>
    </row>
    <row r="38587" spans="20:20" s="566" customFormat="1">
      <c r="T38587" s="41"/>
    </row>
    <row r="38588" spans="20:20" s="566" customFormat="1">
      <c r="T38588" s="41"/>
    </row>
    <row r="38589" spans="20:20" s="566" customFormat="1">
      <c r="T38589" s="41"/>
    </row>
    <row r="38590" spans="20:20" s="566" customFormat="1">
      <c r="T38590" s="41"/>
    </row>
    <row r="38591" spans="20:20" s="566" customFormat="1">
      <c r="T38591" s="41"/>
    </row>
    <row r="38592" spans="20:20" s="566" customFormat="1">
      <c r="T38592" s="41"/>
    </row>
    <row r="38593" spans="20:20" s="566" customFormat="1">
      <c r="T38593" s="41"/>
    </row>
    <row r="38594" spans="20:20" s="566" customFormat="1">
      <c r="T38594" s="41"/>
    </row>
    <row r="38595" spans="20:20" s="566" customFormat="1">
      <c r="T38595" s="41"/>
    </row>
    <row r="38596" spans="20:20" s="566" customFormat="1">
      <c r="T38596" s="41"/>
    </row>
    <row r="38597" spans="20:20" s="566" customFormat="1">
      <c r="T38597" s="41"/>
    </row>
    <row r="38598" spans="20:20" s="566" customFormat="1">
      <c r="T38598" s="41"/>
    </row>
    <row r="38599" spans="20:20" s="566" customFormat="1">
      <c r="T38599" s="41"/>
    </row>
    <row r="38600" spans="20:20" s="566" customFormat="1">
      <c r="T38600" s="41"/>
    </row>
    <row r="38601" spans="20:20" s="566" customFormat="1">
      <c r="T38601" s="41"/>
    </row>
    <row r="38602" spans="20:20" s="566" customFormat="1">
      <c r="T38602" s="41"/>
    </row>
    <row r="38603" spans="20:20" s="566" customFormat="1">
      <c r="T38603" s="41"/>
    </row>
    <row r="38604" spans="20:20" s="566" customFormat="1">
      <c r="T38604" s="41"/>
    </row>
    <row r="38605" spans="20:20" s="566" customFormat="1">
      <c r="T38605" s="41"/>
    </row>
    <row r="38606" spans="20:20" s="566" customFormat="1">
      <c r="T38606" s="41"/>
    </row>
    <row r="38607" spans="20:20" s="566" customFormat="1">
      <c r="T38607" s="41"/>
    </row>
    <row r="38608" spans="20:20" s="566" customFormat="1">
      <c r="T38608" s="41"/>
    </row>
    <row r="38609" spans="20:20" s="566" customFormat="1">
      <c r="T38609" s="41"/>
    </row>
    <row r="38610" spans="20:20" s="566" customFormat="1">
      <c r="T38610" s="41"/>
    </row>
    <row r="38611" spans="20:20" s="566" customFormat="1">
      <c r="T38611" s="41"/>
    </row>
    <row r="38612" spans="20:20" s="566" customFormat="1">
      <c r="T38612" s="41"/>
    </row>
    <row r="38613" spans="20:20" s="566" customFormat="1">
      <c r="T38613" s="41"/>
    </row>
    <row r="38614" spans="20:20" s="566" customFormat="1">
      <c r="T38614" s="41"/>
    </row>
    <row r="38615" spans="20:20" s="566" customFormat="1">
      <c r="T38615" s="41"/>
    </row>
    <row r="38616" spans="20:20" s="566" customFormat="1">
      <c r="T38616" s="41"/>
    </row>
    <row r="38617" spans="20:20" s="566" customFormat="1">
      <c r="T38617" s="41"/>
    </row>
    <row r="38618" spans="20:20" s="566" customFormat="1">
      <c r="T38618" s="41"/>
    </row>
    <row r="38619" spans="20:20" s="566" customFormat="1">
      <c r="T38619" s="41"/>
    </row>
    <row r="38620" spans="20:20" s="566" customFormat="1">
      <c r="T38620" s="41"/>
    </row>
    <row r="38621" spans="20:20" s="566" customFormat="1">
      <c r="T38621" s="41"/>
    </row>
    <row r="38622" spans="20:20" s="566" customFormat="1">
      <c r="T38622" s="41"/>
    </row>
    <row r="38623" spans="20:20" s="566" customFormat="1">
      <c r="T38623" s="41"/>
    </row>
    <row r="38624" spans="20:20" s="566" customFormat="1">
      <c r="T38624" s="41"/>
    </row>
    <row r="38625" spans="20:20" s="566" customFormat="1">
      <c r="T38625" s="41"/>
    </row>
    <row r="38626" spans="20:20" s="566" customFormat="1">
      <c r="T38626" s="41"/>
    </row>
    <row r="38627" spans="20:20" s="566" customFormat="1">
      <c r="T38627" s="41"/>
    </row>
    <row r="38628" spans="20:20" s="566" customFormat="1">
      <c r="T38628" s="41"/>
    </row>
    <row r="38629" spans="20:20" s="566" customFormat="1">
      <c r="T38629" s="41"/>
    </row>
    <row r="38630" spans="20:20" s="566" customFormat="1">
      <c r="T38630" s="41"/>
    </row>
    <row r="38631" spans="20:20" s="566" customFormat="1">
      <c r="T38631" s="41"/>
    </row>
    <row r="38632" spans="20:20" s="566" customFormat="1">
      <c r="T38632" s="41"/>
    </row>
    <row r="38633" spans="20:20" s="566" customFormat="1">
      <c r="T38633" s="41"/>
    </row>
    <row r="38634" spans="20:20" s="566" customFormat="1">
      <c r="T38634" s="41"/>
    </row>
    <row r="38635" spans="20:20" s="566" customFormat="1">
      <c r="T38635" s="41"/>
    </row>
    <row r="38636" spans="20:20" s="566" customFormat="1">
      <c r="T38636" s="41"/>
    </row>
    <row r="38637" spans="20:20" s="566" customFormat="1">
      <c r="T38637" s="41"/>
    </row>
    <row r="38638" spans="20:20" s="566" customFormat="1">
      <c r="T38638" s="41"/>
    </row>
    <row r="38639" spans="20:20" s="566" customFormat="1">
      <c r="T38639" s="41"/>
    </row>
    <row r="38640" spans="20:20" s="566" customFormat="1">
      <c r="T38640" s="41"/>
    </row>
    <row r="38641" spans="20:20" s="566" customFormat="1">
      <c r="T38641" s="41"/>
    </row>
    <row r="38642" spans="20:20" s="566" customFormat="1">
      <c r="T38642" s="41"/>
    </row>
    <row r="38643" spans="20:20" s="566" customFormat="1">
      <c r="T38643" s="41"/>
    </row>
    <row r="38644" spans="20:20" s="566" customFormat="1">
      <c r="T38644" s="41"/>
    </row>
    <row r="38645" spans="20:20" s="566" customFormat="1">
      <c r="T38645" s="41"/>
    </row>
    <row r="38646" spans="20:20" s="566" customFormat="1">
      <c r="T38646" s="41"/>
    </row>
    <row r="38647" spans="20:20" s="566" customFormat="1">
      <c r="T38647" s="41"/>
    </row>
    <row r="38648" spans="20:20" s="566" customFormat="1">
      <c r="T38648" s="41"/>
    </row>
    <row r="38649" spans="20:20" s="566" customFormat="1">
      <c r="T38649" s="41"/>
    </row>
    <row r="38650" spans="20:20" s="566" customFormat="1">
      <c r="T38650" s="41"/>
    </row>
    <row r="38651" spans="20:20" s="566" customFormat="1">
      <c r="T38651" s="41"/>
    </row>
    <row r="38652" spans="20:20" s="566" customFormat="1">
      <c r="T38652" s="41"/>
    </row>
    <row r="38653" spans="20:20" s="566" customFormat="1">
      <c r="T38653" s="41"/>
    </row>
    <row r="38654" spans="20:20" s="566" customFormat="1">
      <c r="T38654" s="41"/>
    </row>
    <row r="38655" spans="20:20" s="566" customFormat="1">
      <c r="T38655" s="41"/>
    </row>
    <row r="38656" spans="20:20" s="566" customFormat="1">
      <c r="T38656" s="41"/>
    </row>
    <row r="38657" spans="20:20" s="566" customFormat="1">
      <c r="T38657" s="41"/>
    </row>
    <row r="38658" spans="20:20" s="566" customFormat="1">
      <c r="T38658" s="41"/>
    </row>
    <row r="38659" spans="20:20" s="566" customFormat="1">
      <c r="T38659" s="41"/>
    </row>
    <row r="38660" spans="20:20" s="566" customFormat="1">
      <c r="T38660" s="41"/>
    </row>
    <row r="38661" spans="20:20" s="566" customFormat="1">
      <c r="T38661" s="41"/>
    </row>
    <row r="38662" spans="20:20" s="566" customFormat="1">
      <c r="T38662" s="41"/>
    </row>
    <row r="38663" spans="20:20" s="566" customFormat="1">
      <c r="T38663" s="41"/>
    </row>
    <row r="38664" spans="20:20" s="566" customFormat="1">
      <c r="T38664" s="41"/>
    </row>
    <row r="38665" spans="20:20" s="566" customFormat="1">
      <c r="T38665" s="41"/>
    </row>
    <row r="38666" spans="20:20" s="566" customFormat="1">
      <c r="T38666" s="41"/>
    </row>
    <row r="38667" spans="20:20" s="566" customFormat="1">
      <c r="T38667" s="41"/>
    </row>
    <row r="38668" spans="20:20" s="566" customFormat="1">
      <c r="T38668" s="41"/>
    </row>
    <row r="38669" spans="20:20" s="566" customFormat="1">
      <c r="T38669" s="41"/>
    </row>
    <row r="38670" spans="20:20" s="566" customFormat="1">
      <c r="T38670" s="41"/>
    </row>
    <row r="38671" spans="20:20" s="566" customFormat="1">
      <c r="T38671" s="41"/>
    </row>
    <row r="38672" spans="20:20" s="566" customFormat="1">
      <c r="T38672" s="41"/>
    </row>
    <row r="38673" spans="20:20" s="566" customFormat="1">
      <c r="T38673" s="41"/>
    </row>
    <row r="38674" spans="20:20" s="566" customFormat="1">
      <c r="T38674" s="41"/>
    </row>
    <row r="38675" spans="20:20" s="566" customFormat="1">
      <c r="T38675" s="41"/>
    </row>
    <row r="38676" spans="20:20" s="566" customFormat="1">
      <c r="T38676" s="41"/>
    </row>
    <row r="38677" spans="20:20" s="566" customFormat="1">
      <c r="T38677" s="41"/>
    </row>
    <row r="38678" spans="20:20" s="566" customFormat="1">
      <c r="T38678" s="41"/>
    </row>
    <row r="38679" spans="20:20" s="566" customFormat="1">
      <c r="T38679" s="41"/>
    </row>
    <row r="38680" spans="20:20" s="566" customFormat="1">
      <c r="T38680" s="41"/>
    </row>
    <row r="38681" spans="20:20" s="566" customFormat="1">
      <c r="T38681" s="41"/>
    </row>
    <row r="38682" spans="20:20" s="566" customFormat="1">
      <c r="T38682" s="41"/>
    </row>
    <row r="38683" spans="20:20" s="566" customFormat="1">
      <c r="T38683" s="41"/>
    </row>
    <row r="38684" spans="20:20" s="566" customFormat="1">
      <c r="T38684" s="41"/>
    </row>
    <row r="38685" spans="20:20" s="566" customFormat="1">
      <c r="T38685" s="41"/>
    </row>
    <row r="38686" spans="20:20" s="566" customFormat="1">
      <c r="T38686" s="41"/>
    </row>
    <row r="38687" spans="20:20" s="566" customFormat="1">
      <c r="T38687" s="41"/>
    </row>
    <row r="38688" spans="20:20" s="566" customFormat="1">
      <c r="T38688" s="41"/>
    </row>
    <row r="38689" spans="20:20" s="566" customFormat="1">
      <c r="T38689" s="41"/>
    </row>
    <row r="38690" spans="20:20" s="566" customFormat="1">
      <c r="T38690" s="41"/>
    </row>
    <row r="38691" spans="20:20" s="566" customFormat="1">
      <c r="T38691" s="41"/>
    </row>
    <row r="38692" spans="20:20" s="566" customFormat="1">
      <c r="T38692" s="41"/>
    </row>
    <row r="38693" spans="20:20" s="566" customFormat="1">
      <c r="T38693" s="41"/>
    </row>
    <row r="38694" spans="20:20" s="566" customFormat="1">
      <c r="T38694" s="41"/>
    </row>
    <row r="38695" spans="20:20" s="566" customFormat="1">
      <c r="T38695" s="41"/>
    </row>
    <row r="38696" spans="20:20" s="566" customFormat="1">
      <c r="T38696" s="41"/>
    </row>
    <row r="38697" spans="20:20" s="566" customFormat="1">
      <c r="T38697" s="41"/>
    </row>
    <row r="38698" spans="20:20" s="566" customFormat="1">
      <c r="T38698" s="41"/>
    </row>
    <row r="38699" spans="20:20" s="566" customFormat="1">
      <c r="T38699" s="41"/>
    </row>
    <row r="38700" spans="20:20" s="566" customFormat="1">
      <c r="T38700" s="41"/>
    </row>
    <row r="38701" spans="20:20" s="566" customFormat="1">
      <c r="T38701" s="41"/>
    </row>
    <row r="38702" spans="20:20" s="566" customFormat="1">
      <c r="T38702" s="41"/>
    </row>
    <row r="38703" spans="20:20" s="566" customFormat="1">
      <c r="T38703" s="41"/>
    </row>
    <row r="38704" spans="20:20" s="566" customFormat="1">
      <c r="T38704" s="41"/>
    </row>
    <row r="38705" spans="20:20" s="566" customFormat="1">
      <c r="T38705" s="41"/>
    </row>
    <row r="38706" spans="20:20" s="566" customFormat="1">
      <c r="T38706" s="41"/>
    </row>
    <row r="38707" spans="20:20" s="566" customFormat="1">
      <c r="T38707" s="41"/>
    </row>
    <row r="38708" spans="20:20" s="566" customFormat="1">
      <c r="T38708" s="41"/>
    </row>
    <row r="38709" spans="20:20" s="566" customFormat="1">
      <c r="T38709" s="41"/>
    </row>
    <row r="38710" spans="20:20" s="566" customFormat="1">
      <c r="T38710" s="41"/>
    </row>
    <row r="38711" spans="20:20" s="566" customFormat="1">
      <c r="T38711" s="41"/>
    </row>
    <row r="38712" spans="20:20" s="566" customFormat="1">
      <c r="T38712" s="41"/>
    </row>
    <row r="38713" spans="20:20" s="566" customFormat="1">
      <c r="T38713" s="41"/>
    </row>
    <row r="38714" spans="20:20" s="566" customFormat="1">
      <c r="T38714" s="41"/>
    </row>
    <row r="38715" spans="20:20" s="566" customFormat="1">
      <c r="T38715" s="41"/>
    </row>
    <row r="38716" spans="20:20" s="566" customFormat="1">
      <c r="T38716" s="41"/>
    </row>
    <row r="38717" spans="20:20" s="566" customFormat="1">
      <c r="T38717" s="41"/>
    </row>
    <row r="38718" spans="20:20" s="566" customFormat="1">
      <c r="T38718" s="41"/>
    </row>
    <row r="38719" spans="20:20" s="566" customFormat="1">
      <c r="T38719" s="41"/>
    </row>
    <row r="38720" spans="20:20" s="566" customFormat="1">
      <c r="T38720" s="41"/>
    </row>
    <row r="38721" spans="20:20" s="566" customFormat="1">
      <c r="T38721" s="41"/>
    </row>
    <row r="38722" spans="20:20" s="566" customFormat="1">
      <c r="T38722" s="41"/>
    </row>
    <row r="38723" spans="20:20" s="566" customFormat="1">
      <c r="T38723" s="41"/>
    </row>
    <row r="38724" spans="20:20" s="566" customFormat="1">
      <c r="T38724" s="41"/>
    </row>
    <row r="38725" spans="20:20" s="566" customFormat="1">
      <c r="T38725" s="41"/>
    </row>
    <row r="38726" spans="20:20" s="566" customFormat="1">
      <c r="T38726" s="41"/>
    </row>
    <row r="38727" spans="20:20" s="566" customFormat="1">
      <c r="T38727" s="41"/>
    </row>
    <row r="38728" spans="20:20" s="566" customFormat="1">
      <c r="T38728" s="41"/>
    </row>
    <row r="38729" spans="20:20" s="566" customFormat="1">
      <c r="T38729" s="41"/>
    </row>
    <row r="38730" spans="20:20" s="566" customFormat="1">
      <c r="T38730" s="41"/>
    </row>
    <row r="38731" spans="20:20" s="566" customFormat="1">
      <c r="T38731" s="41"/>
    </row>
    <row r="38732" spans="20:20" s="566" customFormat="1">
      <c r="T38732" s="41"/>
    </row>
    <row r="38733" spans="20:20" s="566" customFormat="1">
      <c r="T38733" s="41"/>
    </row>
    <row r="38734" spans="20:20" s="566" customFormat="1">
      <c r="T38734" s="41"/>
    </row>
    <row r="38735" spans="20:20" s="566" customFormat="1">
      <c r="T38735" s="41"/>
    </row>
    <row r="38736" spans="20:20" s="566" customFormat="1">
      <c r="T38736" s="41"/>
    </row>
    <row r="38737" spans="20:20" s="566" customFormat="1">
      <c r="T38737" s="41"/>
    </row>
    <row r="38738" spans="20:20" s="566" customFormat="1">
      <c r="T38738" s="41"/>
    </row>
    <row r="38739" spans="20:20" s="566" customFormat="1">
      <c r="T38739" s="41"/>
    </row>
    <row r="38740" spans="20:20" s="566" customFormat="1">
      <c r="T38740" s="41"/>
    </row>
    <row r="38741" spans="20:20" s="566" customFormat="1">
      <c r="T38741" s="41"/>
    </row>
    <row r="38742" spans="20:20" s="566" customFormat="1">
      <c r="T38742" s="41"/>
    </row>
    <row r="38743" spans="20:20" s="566" customFormat="1">
      <c r="T38743" s="41"/>
    </row>
    <row r="38744" spans="20:20" s="566" customFormat="1">
      <c r="T38744" s="41"/>
    </row>
    <row r="38745" spans="20:20" s="566" customFormat="1">
      <c r="T38745" s="41"/>
    </row>
    <row r="38746" spans="20:20" s="566" customFormat="1">
      <c r="T38746" s="41"/>
    </row>
    <row r="38747" spans="20:20" s="566" customFormat="1">
      <c r="T38747" s="41"/>
    </row>
    <row r="38748" spans="20:20" s="566" customFormat="1">
      <c r="T38748" s="41"/>
    </row>
    <row r="38749" spans="20:20" s="566" customFormat="1">
      <c r="T38749" s="41"/>
    </row>
    <row r="38750" spans="20:20" s="566" customFormat="1">
      <c r="T38750" s="41"/>
    </row>
    <row r="38751" spans="20:20" s="566" customFormat="1">
      <c r="T38751" s="41"/>
    </row>
    <row r="38752" spans="20:20" s="566" customFormat="1">
      <c r="T38752" s="41"/>
    </row>
    <row r="38753" spans="20:20" s="566" customFormat="1">
      <c r="T38753" s="41"/>
    </row>
    <row r="38754" spans="20:20" s="566" customFormat="1">
      <c r="T38754" s="41"/>
    </row>
    <row r="38755" spans="20:20" s="566" customFormat="1">
      <c r="T38755" s="41"/>
    </row>
    <row r="38756" spans="20:20" s="566" customFormat="1">
      <c r="T38756" s="41"/>
    </row>
    <row r="38757" spans="20:20" s="566" customFormat="1">
      <c r="T38757" s="41"/>
    </row>
    <row r="38758" spans="20:20" s="566" customFormat="1">
      <c r="T38758" s="41"/>
    </row>
    <row r="38759" spans="20:20" s="566" customFormat="1">
      <c r="T38759" s="41"/>
    </row>
    <row r="38760" spans="20:20" s="566" customFormat="1">
      <c r="T38760" s="41"/>
    </row>
    <row r="38761" spans="20:20" s="566" customFormat="1">
      <c r="T38761" s="41"/>
    </row>
    <row r="38762" spans="20:20" s="566" customFormat="1">
      <c r="T38762" s="41"/>
    </row>
    <row r="38763" spans="20:20" s="566" customFormat="1">
      <c r="T38763" s="41"/>
    </row>
    <row r="38764" spans="20:20" s="566" customFormat="1">
      <c r="T38764" s="41"/>
    </row>
    <row r="38765" spans="20:20" s="566" customFormat="1">
      <c r="T38765" s="41"/>
    </row>
    <row r="38766" spans="20:20" s="566" customFormat="1">
      <c r="T38766" s="41"/>
    </row>
    <row r="38767" spans="20:20" s="566" customFormat="1">
      <c r="T38767" s="41"/>
    </row>
    <row r="38768" spans="20:20" s="566" customFormat="1">
      <c r="T38768" s="41"/>
    </row>
    <row r="38769" spans="20:20" s="566" customFormat="1">
      <c r="T38769" s="41"/>
    </row>
    <row r="38770" spans="20:20" s="566" customFormat="1">
      <c r="T38770" s="41"/>
    </row>
    <row r="38771" spans="20:20" s="566" customFormat="1">
      <c r="T38771" s="41"/>
    </row>
    <row r="38772" spans="20:20" s="566" customFormat="1">
      <c r="T38772" s="41"/>
    </row>
    <row r="38773" spans="20:20" s="566" customFormat="1">
      <c r="T38773" s="41"/>
    </row>
    <row r="38774" spans="20:20" s="566" customFormat="1">
      <c r="T38774" s="41"/>
    </row>
    <row r="38775" spans="20:20" s="566" customFormat="1">
      <c r="T38775" s="41"/>
    </row>
    <row r="38776" spans="20:20" s="566" customFormat="1">
      <c r="T38776" s="41"/>
    </row>
    <row r="38777" spans="20:20" s="566" customFormat="1">
      <c r="T38777" s="41"/>
    </row>
    <row r="38778" spans="20:20" s="566" customFormat="1">
      <c r="T38778" s="41"/>
    </row>
    <row r="38779" spans="20:20" s="566" customFormat="1">
      <c r="T38779" s="41"/>
    </row>
    <row r="38780" spans="20:20" s="566" customFormat="1">
      <c r="T38780" s="41"/>
    </row>
    <row r="38781" spans="20:20" s="566" customFormat="1">
      <c r="T38781" s="41"/>
    </row>
    <row r="38782" spans="20:20" s="566" customFormat="1">
      <c r="T38782" s="41"/>
    </row>
    <row r="38783" spans="20:20" s="566" customFormat="1">
      <c r="T38783" s="41"/>
    </row>
    <row r="38784" spans="20:20" s="566" customFormat="1">
      <c r="T38784" s="41"/>
    </row>
    <row r="38785" spans="20:20" s="566" customFormat="1">
      <c r="T38785" s="41"/>
    </row>
    <row r="38786" spans="20:20" s="566" customFormat="1">
      <c r="T38786" s="41"/>
    </row>
    <row r="38787" spans="20:20" s="566" customFormat="1">
      <c r="T38787" s="41"/>
    </row>
    <row r="38788" spans="20:20" s="566" customFormat="1">
      <c r="T38788" s="41"/>
    </row>
    <row r="38789" spans="20:20" s="566" customFormat="1">
      <c r="T38789" s="41"/>
    </row>
    <row r="38790" spans="20:20" s="566" customFormat="1">
      <c r="T38790" s="41"/>
    </row>
    <row r="38791" spans="20:20" s="566" customFormat="1">
      <c r="T38791" s="41"/>
    </row>
    <row r="38792" spans="20:20" s="566" customFormat="1">
      <c r="T38792" s="41"/>
    </row>
    <row r="38793" spans="20:20" s="566" customFormat="1">
      <c r="T38793" s="41"/>
    </row>
    <row r="38794" spans="20:20" s="566" customFormat="1">
      <c r="T38794" s="41"/>
    </row>
    <row r="38795" spans="20:20" s="566" customFormat="1">
      <c r="T38795" s="41"/>
    </row>
    <row r="38796" spans="20:20" s="566" customFormat="1">
      <c r="T38796" s="41"/>
    </row>
    <row r="38797" spans="20:20" s="566" customFormat="1">
      <c r="T38797" s="41"/>
    </row>
    <row r="38798" spans="20:20" s="566" customFormat="1">
      <c r="T38798" s="41"/>
    </row>
    <row r="38799" spans="20:20" s="566" customFormat="1">
      <c r="T38799" s="41"/>
    </row>
    <row r="38800" spans="20:20" s="566" customFormat="1">
      <c r="T38800" s="41"/>
    </row>
    <row r="38801" spans="20:20" s="566" customFormat="1">
      <c r="T38801" s="41"/>
    </row>
    <row r="38802" spans="20:20" s="566" customFormat="1">
      <c r="T38802" s="41"/>
    </row>
    <row r="38803" spans="20:20" s="566" customFormat="1">
      <c r="T38803" s="41"/>
    </row>
    <row r="38804" spans="20:20" s="566" customFormat="1">
      <c r="T38804" s="41"/>
    </row>
    <row r="38805" spans="20:20" s="566" customFormat="1">
      <c r="T38805" s="41"/>
    </row>
    <row r="38806" spans="20:20" s="566" customFormat="1">
      <c r="T38806" s="41"/>
    </row>
    <row r="38807" spans="20:20" s="566" customFormat="1">
      <c r="T38807" s="41"/>
    </row>
    <row r="38808" spans="20:20" s="566" customFormat="1">
      <c r="T38808" s="41"/>
    </row>
    <row r="38809" spans="20:20" s="566" customFormat="1">
      <c r="T38809" s="41"/>
    </row>
    <row r="38810" spans="20:20" s="566" customFormat="1">
      <c r="T38810" s="41"/>
    </row>
    <row r="38811" spans="20:20" s="566" customFormat="1">
      <c r="T38811" s="41"/>
    </row>
    <row r="38812" spans="20:20" s="566" customFormat="1">
      <c r="T38812" s="41"/>
    </row>
    <row r="38813" spans="20:20" s="566" customFormat="1">
      <c r="T38813" s="41"/>
    </row>
    <row r="38814" spans="20:20" s="566" customFormat="1">
      <c r="T38814" s="41"/>
    </row>
    <row r="38815" spans="20:20" s="566" customFormat="1">
      <c r="T38815" s="41"/>
    </row>
    <row r="38816" spans="20:20" s="566" customFormat="1">
      <c r="T38816" s="41"/>
    </row>
    <row r="38817" spans="20:20" s="566" customFormat="1">
      <c r="T38817" s="41"/>
    </row>
    <row r="38818" spans="20:20" s="566" customFormat="1">
      <c r="T38818" s="41"/>
    </row>
    <row r="38819" spans="20:20" s="566" customFormat="1">
      <c r="T38819" s="41"/>
    </row>
    <row r="38820" spans="20:20" s="566" customFormat="1">
      <c r="T38820" s="41"/>
    </row>
    <row r="38821" spans="20:20" s="566" customFormat="1">
      <c r="T38821" s="41"/>
    </row>
    <row r="38822" spans="20:20" s="566" customFormat="1">
      <c r="T38822" s="41"/>
    </row>
    <row r="38823" spans="20:20" s="566" customFormat="1">
      <c r="T38823" s="41"/>
    </row>
    <row r="38824" spans="20:20" s="566" customFormat="1">
      <c r="T38824" s="41"/>
    </row>
    <row r="38825" spans="20:20" s="566" customFormat="1">
      <c r="T38825" s="41"/>
    </row>
    <row r="38826" spans="20:20" s="566" customFormat="1">
      <c r="T38826" s="41"/>
    </row>
    <row r="38827" spans="20:20" s="566" customFormat="1">
      <c r="T38827" s="41"/>
    </row>
    <row r="38828" spans="20:20" s="566" customFormat="1">
      <c r="T38828" s="41"/>
    </row>
    <row r="38829" spans="20:20" s="566" customFormat="1">
      <c r="T38829" s="41"/>
    </row>
    <row r="38830" spans="20:20" s="566" customFormat="1">
      <c r="T38830" s="41"/>
    </row>
    <row r="38831" spans="20:20" s="566" customFormat="1">
      <c r="T38831" s="41"/>
    </row>
    <row r="38832" spans="20:20" s="566" customFormat="1">
      <c r="T38832" s="41"/>
    </row>
    <row r="38833" spans="20:20" s="566" customFormat="1">
      <c r="T38833" s="41"/>
    </row>
    <row r="38834" spans="20:20" s="566" customFormat="1">
      <c r="T38834" s="41"/>
    </row>
    <row r="38835" spans="20:20" s="566" customFormat="1">
      <c r="T38835" s="41"/>
    </row>
    <row r="38836" spans="20:20" s="566" customFormat="1">
      <c r="T38836" s="41"/>
    </row>
    <row r="38837" spans="20:20" s="566" customFormat="1">
      <c r="T38837" s="41"/>
    </row>
    <row r="38838" spans="20:20" s="566" customFormat="1">
      <c r="T38838" s="41"/>
    </row>
    <row r="38839" spans="20:20" s="566" customFormat="1">
      <c r="T38839" s="41"/>
    </row>
    <row r="38840" spans="20:20" s="566" customFormat="1">
      <c r="T38840" s="41"/>
    </row>
    <row r="38841" spans="20:20" s="566" customFormat="1">
      <c r="T38841" s="41"/>
    </row>
    <row r="38842" spans="20:20" s="566" customFormat="1">
      <c r="T38842" s="41"/>
    </row>
    <row r="38843" spans="20:20" s="566" customFormat="1">
      <c r="T38843" s="41"/>
    </row>
    <row r="38844" spans="20:20" s="566" customFormat="1">
      <c r="T38844" s="41"/>
    </row>
    <row r="38845" spans="20:20" s="566" customFormat="1">
      <c r="T38845" s="41"/>
    </row>
    <row r="38846" spans="20:20" s="566" customFormat="1">
      <c r="T38846" s="41"/>
    </row>
    <row r="38847" spans="20:20" s="566" customFormat="1">
      <c r="T38847" s="41"/>
    </row>
    <row r="38848" spans="20:20" s="566" customFormat="1">
      <c r="T38848" s="41"/>
    </row>
    <row r="38849" spans="20:20" s="566" customFormat="1">
      <c r="T38849" s="41"/>
    </row>
    <row r="38850" spans="20:20" s="566" customFormat="1">
      <c r="T38850" s="41"/>
    </row>
    <row r="38851" spans="20:20" s="566" customFormat="1">
      <c r="T38851" s="41"/>
    </row>
    <row r="38852" spans="20:20" s="566" customFormat="1">
      <c r="T38852" s="41"/>
    </row>
    <row r="38853" spans="20:20" s="566" customFormat="1">
      <c r="T38853" s="41"/>
    </row>
    <row r="38854" spans="20:20" s="566" customFormat="1">
      <c r="T38854" s="41"/>
    </row>
    <row r="38855" spans="20:20" s="566" customFormat="1">
      <c r="T38855" s="41"/>
    </row>
    <row r="38856" spans="20:20" s="566" customFormat="1">
      <c r="T38856" s="41"/>
    </row>
    <row r="38857" spans="20:20" s="566" customFormat="1">
      <c r="T38857" s="41"/>
    </row>
    <row r="38858" spans="20:20" s="566" customFormat="1">
      <c r="T38858" s="41"/>
    </row>
    <row r="38859" spans="20:20" s="566" customFormat="1">
      <c r="T38859" s="41"/>
    </row>
    <row r="38860" spans="20:20" s="566" customFormat="1">
      <c r="T38860" s="41"/>
    </row>
    <row r="38861" spans="20:20" s="566" customFormat="1">
      <c r="T38861" s="41"/>
    </row>
    <row r="38862" spans="20:20" s="566" customFormat="1">
      <c r="T38862" s="41"/>
    </row>
    <row r="38863" spans="20:20" s="566" customFormat="1">
      <c r="T38863" s="41"/>
    </row>
    <row r="38864" spans="20:20" s="566" customFormat="1">
      <c r="T38864" s="41"/>
    </row>
    <row r="38865" spans="20:20" s="566" customFormat="1">
      <c r="T38865" s="41"/>
    </row>
    <row r="38866" spans="20:20" s="566" customFormat="1">
      <c r="T38866" s="41"/>
    </row>
    <row r="38867" spans="20:20" s="566" customFormat="1">
      <c r="T38867" s="41"/>
    </row>
    <row r="38868" spans="20:20" s="566" customFormat="1">
      <c r="T38868" s="41"/>
    </row>
    <row r="38869" spans="20:20" s="566" customFormat="1">
      <c r="T38869" s="41"/>
    </row>
    <row r="38870" spans="20:20" s="566" customFormat="1">
      <c r="T38870" s="41"/>
    </row>
    <row r="38871" spans="20:20" s="566" customFormat="1">
      <c r="T38871" s="41"/>
    </row>
    <row r="38872" spans="20:20" s="566" customFormat="1">
      <c r="T38872" s="41"/>
    </row>
    <row r="38873" spans="20:20" s="566" customFormat="1">
      <c r="T38873" s="41"/>
    </row>
    <row r="38874" spans="20:20" s="566" customFormat="1">
      <c r="T38874" s="41"/>
    </row>
    <row r="38875" spans="20:20" s="566" customFormat="1">
      <c r="T38875" s="41"/>
    </row>
    <row r="38876" spans="20:20" s="566" customFormat="1">
      <c r="T38876" s="41"/>
    </row>
    <row r="38877" spans="20:20" s="566" customFormat="1">
      <c r="T38877" s="41"/>
    </row>
    <row r="38878" spans="20:20" s="566" customFormat="1">
      <c r="T38878" s="41"/>
    </row>
    <row r="38879" spans="20:20" s="566" customFormat="1">
      <c r="T38879" s="41"/>
    </row>
    <row r="38880" spans="20:20" s="566" customFormat="1">
      <c r="T38880" s="41"/>
    </row>
    <row r="38881" spans="20:20" s="566" customFormat="1">
      <c r="T38881" s="41"/>
    </row>
    <row r="38882" spans="20:20" s="566" customFormat="1">
      <c r="T38882" s="41"/>
    </row>
    <row r="38883" spans="20:20" s="566" customFormat="1">
      <c r="T38883" s="41"/>
    </row>
    <row r="38884" spans="20:20" s="566" customFormat="1">
      <c r="T38884" s="41"/>
    </row>
    <row r="38885" spans="20:20" s="566" customFormat="1">
      <c r="T38885" s="41"/>
    </row>
    <row r="38886" spans="20:20" s="566" customFormat="1">
      <c r="T38886" s="41"/>
    </row>
    <row r="38887" spans="20:20" s="566" customFormat="1">
      <c r="T38887" s="41"/>
    </row>
    <row r="38888" spans="20:20" s="566" customFormat="1">
      <c r="T38888" s="41"/>
    </row>
    <row r="38889" spans="20:20" s="566" customFormat="1">
      <c r="T38889" s="41"/>
    </row>
    <row r="38890" spans="20:20" s="566" customFormat="1">
      <c r="T38890" s="41"/>
    </row>
    <row r="38891" spans="20:20" s="566" customFormat="1">
      <c r="T38891" s="41"/>
    </row>
    <row r="38892" spans="20:20" s="566" customFormat="1">
      <c r="T38892" s="41"/>
    </row>
    <row r="38893" spans="20:20" s="566" customFormat="1">
      <c r="T38893" s="41"/>
    </row>
    <row r="38894" spans="20:20" s="566" customFormat="1">
      <c r="T38894" s="41"/>
    </row>
    <row r="38895" spans="20:20" s="566" customFormat="1">
      <c r="T38895" s="41"/>
    </row>
    <row r="38896" spans="20:20" s="566" customFormat="1">
      <c r="T38896" s="41"/>
    </row>
    <row r="38897" spans="20:20" s="566" customFormat="1">
      <c r="T38897" s="41"/>
    </row>
    <row r="38898" spans="20:20" s="566" customFormat="1">
      <c r="T38898" s="41"/>
    </row>
    <row r="38899" spans="20:20" s="566" customFormat="1">
      <c r="T38899" s="41"/>
    </row>
    <row r="38900" spans="20:20" s="566" customFormat="1">
      <c r="T38900" s="41"/>
    </row>
    <row r="38901" spans="20:20" s="566" customFormat="1">
      <c r="T38901" s="41"/>
    </row>
    <row r="38902" spans="20:20" s="566" customFormat="1">
      <c r="T38902" s="41"/>
    </row>
    <row r="38903" spans="20:20" s="566" customFormat="1">
      <c r="T38903" s="41"/>
    </row>
    <row r="38904" spans="20:20" s="566" customFormat="1">
      <c r="T38904" s="41"/>
    </row>
    <row r="38905" spans="20:20" s="566" customFormat="1">
      <c r="T38905" s="41"/>
    </row>
    <row r="38906" spans="20:20" s="566" customFormat="1">
      <c r="T38906" s="41"/>
    </row>
    <row r="38907" spans="20:20" s="566" customFormat="1">
      <c r="T38907" s="41"/>
    </row>
    <row r="38908" spans="20:20" s="566" customFormat="1">
      <c r="T38908" s="41"/>
    </row>
    <row r="38909" spans="20:20" s="566" customFormat="1">
      <c r="T38909" s="41"/>
    </row>
    <row r="38910" spans="20:20" s="566" customFormat="1">
      <c r="T38910" s="41"/>
    </row>
    <row r="38911" spans="20:20" s="566" customFormat="1">
      <c r="T38911" s="41"/>
    </row>
    <row r="38912" spans="20:20" s="566" customFormat="1">
      <c r="T38912" s="41"/>
    </row>
    <row r="38913" spans="20:20" s="566" customFormat="1">
      <c r="T38913" s="41"/>
    </row>
    <row r="38914" spans="20:20" s="566" customFormat="1">
      <c r="T38914" s="41"/>
    </row>
    <row r="38915" spans="20:20" s="566" customFormat="1">
      <c r="T38915" s="41"/>
    </row>
    <row r="38916" spans="20:20" s="566" customFormat="1">
      <c r="T38916" s="41"/>
    </row>
    <row r="38917" spans="20:20" s="566" customFormat="1">
      <c r="T38917" s="41"/>
    </row>
    <row r="38918" spans="20:20" s="566" customFormat="1">
      <c r="T38918" s="41"/>
    </row>
    <row r="38919" spans="20:20" s="566" customFormat="1">
      <c r="T38919" s="41"/>
    </row>
    <row r="38920" spans="20:20" s="566" customFormat="1">
      <c r="T38920" s="41"/>
    </row>
    <row r="38921" spans="20:20" s="566" customFormat="1">
      <c r="T38921" s="41"/>
    </row>
    <row r="38922" spans="20:20" s="566" customFormat="1">
      <c r="T38922" s="41"/>
    </row>
    <row r="38923" spans="20:20" s="566" customFormat="1">
      <c r="T38923" s="41"/>
    </row>
    <row r="38924" spans="20:20" s="566" customFormat="1">
      <c r="T38924" s="41"/>
    </row>
    <row r="38925" spans="20:20" s="566" customFormat="1">
      <c r="T38925" s="41"/>
    </row>
    <row r="38926" spans="20:20" s="566" customFormat="1">
      <c r="T38926" s="41"/>
    </row>
    <row r="38927" spans="20:20" s="566" customFormat="1">
      <c r="T38927" s="41"/>
    </row>
    <row r="38928" spans="20:20" s="566" customFormat="1">
      <c r="T38928" s="41"/>
    </row>
    <row r="38929" spans="20:20" s="566" customFormat="1">
      <c r="T38929" s="41"/>
    </row>
    <row r="38930" spans="20:20" s="566" customFormat="1">
      <c r="T38930" s="41"/>
    </row>
    <row r="38931" spans="20:20" s="566" customFormat="1">
      <c r="T38931" s="41"/>
    </row>
    <row r="38932" spans="20:20" s="566" customFormat="1">
      <c r="T38932" s="41"/>
    </row>
    <row r="38933" spans="20:20" s="566" customFormat="1">
      <c r="T38933" s="41"/>
    </row>
    <row r="38934" spans="20:20" s="566" customFormat="1">
      <c r="T38934" s="41"/>
    </row>
    <row r="38935" spans="20:20" s="566" customFormat="1">
      <c r="T38935" s="41"/>
    </row>
    <row r="38936" spans="20:20" s="566" customFormat="1">
      <c r="T38936" s="41"/>
    </row>
    <row r="38937" spans="20:20" s="566" customFormat="1">
      <c r="T38937" s="41"/>
    </row>
    <row r="38938" spans="20:20" s="566" customFormat="1">
      <c r="T38938" s="41"/>
    </row>
    <row r="38939" spans="20:20" s="566" customFormat="1">
      <c r="T38939" s="41"/>
    </row>
    <row r="38940" spans="20:20" s="566" customFormat="1">
      <c r="T38940" s="41"/>
    </row>
    <row r="38941" spans="20:20" s="566" customFormat="1">
      <c r="T38941" s="41"/>
    </row>
    <row r="38942" spans="20:20" s="566" customFormat="1">
      <c r="T38942" s="41"/>
    </row>
    <row r="38943" spans="20:20" s="566" customFormat="1">
      <c r="T38943" s="41"/>
    </row>
    <row r="38944" spans="20:20" s="566" customFormat="1">
      <c r="T38944" s="41"/>
    </row>
    <row r="38945" spans="20:20" s="566" customFormat="1">
      <c r="T38945" s="41"/>
    </row>
    <row r="38946" spans="20:20" s="566" customFormat="1">
      <c r="T38946" s="41"/>
    </row>
    <row r="38947" spans="20:20" s="566" customFormat="1">
      <c r="T38947" s="41"/>
    </row>
    <row r="38948" spans="20:20" s="566" customFormat="1">
      <c r="T38948" s="41"/>
    </row>
    <row r="38949" spans="20:20" s="566" customFormat="1">
      <c r="T38949" s="41"/>
    </row>
    <row r="38950" spans="20:20" s="566" customFormat="1">
      <c r="T38950" s="41"/>
    </row>
    <row r="38951" spans="20:20" s="566" customFormat="1">
      <c r="T38951" s="41"/>
    </row>
    <row r="38952" spans="20:20" s="566" customFormat="1">
      <c r="T38952" s="41"/>
    </row>
    <row r="38953" spans="20:20" s="566" customFormat="1">
      <c r="T38953" s="41"/>
    </row>
    <row r="38954" spans="20:20" s="566" customFormat="1">
      <c r="T38954" s="41"/>
    </row>
    <row r="38955" spans="20:20" s="566" customFormat="1">
      <c r="T38955" s="41"/>
    </row>
    <row r="38956" spans="20:20" s="566" customFormat="1">
      <c r="T38956" s="41"/>
    </row>
    <row r="38957" spans="20:20" s="566" customFormat="1">
      <c r="T38957" s="41"/>
    </row>
    <row r="38958" spans="20:20" s="566" customFormat="1">
      <c r="T38958" s="41"/>
    </row>
    <row r="38959" spans="20:20" s="566" customFormat="1">
      <c r="T38959" s="41"/>
    </row>
    <row r="38960" spans="20:20" s="566" customFormat="1">
      <c r="T38960" s="41"/>
    </row>
    <row r="38961" spans="20:20" s="566" customFormat="1">
      <c r="T38961" s="41"/>
    </row>
    <row r="38962" spans="20:20" s="566" customFormat="1">
      <c r="T38962" s="41"/>
    </row>
    <row r="38963" spans="20:20" s="566" customFormat="1">
      <c r="T38963" s="41"/>
    </row>
    <row r="38964" spans="20:20" s="566" customFormat="1">
      <c r="T38964" s="41"/>
    </row>
    <row r="38965" spans="20:20" s="566" customFormat="1">
      <c r="T38965" s="41"/>
    </row>
    <row r="38966" spans="20:20" s="566" customFormat="1">
      <c r="T38966" s="41"/>
    </row>
    <row r="38967" spans="20:20" s="566" customFormat="1">
      <c r="T38967" s="41"/>
    </row>
    <row r="38968" spans="20:20" s="566" customFormat="1">
      <c r="T38968" s="41"/>
    </row>
    <row r="38969" spans="20:20" s="566" customFormat="1">
      <c r="T38969" s="41"/>
    </row>
    <row r="38970" spans="20:20" s="566" customFormat="1">
      <c r="T38970" s="41"/>
    </row>
    <row r="38971" spans="20:20" s="566" customFormat="1">
      <c r="T38971" s="41"/>
    </row>
    <row r="38972" spans="20:20" s="566" customFormat="1">
      <c r="T38972" s="41"/>
    </row>
    <row r="38973" spans="20:20" s="566" customFormat="1">
      <c r="T38973" s="41"/>
    </row>
    <row r="38974" spans="20:20" s="566" customFormat="1">
      <c r="T38974" s="41"/>
    </row>
    <row r="38975" spans="20:20" s="566" customFormat="1">
      <c r="T38975" s="41"/>
    </row>
    <row r="38976" spans="20:20" s="566" customFormat="1">
      <c r="T38976" s="41"/>
    </row>
    <row r="38977" spans="20:20" s="566" customFormat="1">
      <c r="T38977" s="41"/>
    </row>
    <row r="38978" spans="20:20" s="566" customFormat="1">
      <c r="T38978" s="41"/>
    </row>
    <row r="38979" spans="20:20" s="566" customFormat="1">
      <c r="T38979" s="41"/>
    </row>
    <row r="38980" spans="20:20" s="566" customFormat="1">
      <c r="T38980" s="41"/>
    </row>
    <row r="38981" spans="20:20" s="566" customFormat="1">
      <c r="T38981" s="41"/>
    </row>
    <row r="38982" spans="20:20" s="566" customFormat="1">
      <c r="T38982" s="41"/>
    </row>
    <row r="38983" spans="20:20" s="566" customFormat="1">
      <c r="T38983" s="41"/>
    </row>
    <row r="38984" spans="20:20" s="566" customFormat="1">
      <c r="T38984" s="41"/>
    </row>
    <row r="38985" spans="20:20" s="566" customFormat="1">
      <c r="T38985" s="41"/>
    </row>
    <row r="38986" spans="20:20" s="566" customFormat="1">
      <c r="T38986" s="41"/>
    </row>
    <row r="38987" spans="20:20" s="566" customFormat="1">
      <c r="T38987" s="41"/>
    </row>
    <row r="38988" spans="20:20" s="566" customFormat="1">
      <c r="T38988" s="41"/>
    </row>
    <row r="38989" spans="20:20" s="566" customFormat="1">
      <c r="T38989" s="41"/>
    </row>
    <row r="38990" spans="20:20" s="566" customFormat="1">
      <c r="T38990" s="41"/>
    </row>
    <row r="38991" spans="20:20" s="566" customFormat="1">
      <c r="T38991" s="41"/>
    </row>
    <row r="38992" spans="20:20" s="566" customFormat="1">
      <c r="T38992" s="41"/>
    </row>
    <row r="38993" spans="20:20" s="566" customFormat="1">
      <c r="T38993" s="41"/>
    </row>
    <row r="38994" spans="20:20" s="566" customFormat="1">
      <c r="T38994" s="41"/>
    </row>
    <row r="38995" spans="20:20" s="566" customFormat="1">
      <c r="T38995" s="41"/>
    </row>
    <row r="38996" spans="20:20" s="566" customFormat="1">
      <c r="T38996" s="41"/>
    </row>
    <row r="38997" spans="20:20" s="566" customFormat="1">
      <c r="T38997" s="41"/>
    </row>
    <row r="38998" spans="20:20" s="566" customFormat="1">
      <c r="T38998" s="41"/>
    </row>
    <row r="38999" spans="20:20" s="566" customFormat="1">
      <c r="T38999" s="41"/>
    </row>
    <row r="39000" spans="20:20" s="566" customFormat="1">
      <c r="T39000" s="41"/>
    </row>
    <row r="39001" spans="20:20" s="566" customFormat="1">
      <c r="T39001" s="41"/>
    </row>
    <row r="39002" spans="20:20" s="566" customFormat="1">
      <c r="T39002" s="41"/>
    </row>
    <row r="39003" spans="20:20" s="566" customFormat="1">
      <c r="T39003" s="41"/>
    </row>
    <row r="39004" spans="20:20" s="566" customFormat="1">
      <c r="T39004" s="41"/>
    </row>
    <row r="39005" spans="20:20" s="566" customFormat="1">
      <c r="T39005" s="41"/>
    </row>
    <row r="39006" spans="20:20" s="566" customFormat="1">
      <c r="T39006" s="41"/>
    </row>
    <row r="39007" spans="20:20" s="566" customFormat="1">
      <c r="T39007" s="41"/>
    </row>
    <row r="39008" spans="20:20" s="566" customFormat="1">
      <c r="T39008" s="41"/>
    </row>
    <row r="39009" spans="20:20" s="566" customFormat="1">
      <c r="T39009" s="41"/>
    </row>
    <row r="39010" spans="20:20" s="566" customFormat="1">
      <c r="T39010" s="41"/>
    </row>
    <row r="39011" spans="20:20" s="566" customFormat="1">
      <c r="T39011" s="41"/>
    </row>
    <row r="39012" spans="20:20" s="566" customFormat="1">
      <c r="T39012" s="41"/>
    </row>
    <row r="39013" spans="20:20" s="566" customFormat="1">
      <c r="T39013" s="41"/>
    </row>
    <row r="39014" spans="20:20" s="566" customFormat="1">
      <c r="T39014" s="41"/>
    </row>
    <row r="39015" spans="20:20" s="566" customFormat="1">
      <c r="T39015" s="41"/>
    </row>
    <row r="39016" spans="20:20" s="566" customFormat="1">
      <c r="T39016" s="41"/>
    </row>
    <row r="39017" spans="20:20" s="566" customFormat="1">
      <c r="T39017" s="41"/>
    </row>
    <row r="39018" spans="20:20" s="566" customFormat="1">
      <c r="T39018" s="41"/>
    </row>
    <row r="39019" spans="20:20" s="566" customFormat="1">
      <c r="T39019" s="41"/>
    </row>
    <row r="39020" spans="20:20" s="566" customFormat="1">
      <c r="T39020" s="41"/>
    </row>
    <row r="39021" spans="20:20" s="566" customFormat="1">
      <c r="T39021" s="41"/>
    </row>
    <row r="39022" spans="20:20" s="566" customFormat="1">
      <c r="T39022" s="41"/>
    </row>
    <row r="39023" spans="20:20" s="566" customFormat="1">
      <c r="T39023" s="41"/>
    </row>
    <row r="39024" spans="20:20" s="566" customFormat="1">
      <c r="T39024" s="41"/>
    </row>
    <row r="39025" spans="20:20" s="566" customFormat="1">
      <c r="T39025" s="41"/>
    </row>
    <row r="39026" spans="20:20" s="566" customFormat="1">
      <c r="T39026" s="41"/>
    </row>
    <row r="39027" spans="20:20" s="566" customFormat="1">
      <c r="T39027" s="41"/>
    </row>
    <row r="39028" spans="20:20" s="566" customFormat="1">
      <c r="T39028" s="41"/>
    </row>
    <row r="39029" spans="20:20" s="566" customFormat="1">
      <c r="T39029" s="41"/>
    </row>
    <row r="39030" spans="20:20" s="566" customFormat="1">
      <c r="T39030" s="41"/>
    </row>
    <row r="39031" spans="20:20" s="566" customFormat="1">
      <c r="T39031" s="41"/>
    </row>
    <row r="39032" spans="20:20" s="566" customFormat="1">
      <c r="T39032" s="41"/>
    </row>
    <row r="39033" spans="20:20" s="566" customFormat="1">
      <c r="T39033" s="41"/>
    </row>
    <row r="39034" spans="20:20" s="566" customFormat="1">
      <c r="T39034" s="41"/>
    </row>
    <row r="39035" spans="20:20" s="566" customFormat="1">
      <c r="T39035" s="41"/>
    </row>
    <row r="39036" spans="20:20" s="566" customFormat="1">
      <c r="T39036" s="41"/>
    </row>
    <row r="39037" spans="20:20" s="566" customFormat="1">
      <c r="T39037" s="41"/>
    </row>
    <row r="39038" spans="20:20" s="566" customFormat="1">
      <c r="T39038" s="41"/>
    </row>
    <row r="39039" spans="20:20" s="566" customFormat="1">
      <c r="T39039" s="41"/>
    </row>
    <row r="39040" spans="20:20" s="566" customFormat="1">
      <c r="T39040" s="41"/>
    </row>
    <row r="39041" spans="20:20" s="566" customFormat="1">
      <c r="T39041" s="41"/>
    </row>
    <row r="39042" spans="20:20" s="566" customFormat="1">
      <c r="T39042" s="41"/>
    </row>
    <row r="39043" spans="20:20" s="566" customFormat="1">
      <c r="T39043" s="41"/>
    </row>
    <row r="39044" spans="20:20" s="566" customFormat="1">
      <c r="T39044" s="41"/>
    </row>
    <row r="39045" spans="20:20" s="566" customFormat="1">
      <c r="T39045" s="41"/>
    </row>
    <row r="39046" spans="20:20" s="566" customFormat="1">
      <c r="T39046" s="41"/>
    </row>
    <row r="39047" spans="20:20" s="566" customFormat="1">
      <c r="T39047" s="41"/>
    </row>
    <row r="39048" spans="20:20" s="566" customFormat="1">
      <c r="T39048" s="41"/>
    </row>
    <row r="39049" spans="20:20" s="566" customFormat="1">
      <c r="T39049" s="41"/>
    </row>
    <row r="39050" spans="20:20" s="566" customFormat="1">
      <c r="T39050" s="41"/>
    </row>
    <row r="39051" spans="20:20" s="566" customFormat="1">
      <c r="T39051" s="41"/>
    </row>
    <row r="39052" spans="20:20" s="566" customFormat="1">
      <c r="T39052" s="41"/>
    </row>
    <row r="39053" spans="20:20" s="566" customFormat="1">
      <c r="T39053" s="41"/>
    </row>
    <row r="39054" spans="20:20" s="566" customFormat="1">
      <c r="T39054" s="41"/>
    </row>
    <row r="39055" spans="20:20" s="566" customFormat="1">
      <c r="T39055" s="41"/>
    </row>
    <row r="39056" spans="20:20" s="566" customFormat="1">
      <c r="T39056" s="41"/>
    </row>
    <row r="39057" spans="20:20" s="566" customFormat="1">
      <c r="T39057" s="41"/>
    </row>
    <row r="39058" spans="20:20" s="566" customFormat="1">
      <c r="T39058" s="41"/>
    </row>
    <row r="39059" spans="20:20" s="566" customFormat="1">
      <c r="T39059" s="41"/>
    </row>
    <row r="39060" spans="20:20" s="566" customFormat="1">
      <c r="T39060" s="41"/>
    </row>
    <row r="39061" spans="20:20" s="566" customFormat="1">
      <c r="T39061" s="41"/>
    </row>
    <row r="39062" spans="20:20" s="566" customFormat="1">
      <c r="T39062" s="41"/>
    </row>
    <row r="39063" spans="20:20" s="566" customFormat="1">
      <c r="T39063" s="41"/>
    </row>
    <row r="39064" spans="20:20" s="566" customFormat="1">
      <c r="T39064" s="41"/>
    </row>
    <row r="39065" spans="20:20" s="566" customFormat="1">
      <c r="T39065" s="41"/>
    </row>
    <row r="39066" spans="20:20" s="566" customFormat="1">
      <c r="T39066" s="41"/>
    </row>
    <row r="39067" spans="20:20" s="566" customFormat="1">
      <c r="T39067" s="41"/>
    </row>
    <row r="39068" spans="20:20" s="566" customFormat="1">
      <c r="T39068" s="41"/>
    </row>
    <row r="39069" spans="20:20" s="566" customFormat="1">
      <c r="T39069" s="41"/>
    </row>
    <row r="39070" spans="20:20" s="566" customFormat="1">
      <c r="T39070" s="41"/>
    </row>
    <row r="39071" spans="20:20" s="566" customFormat="1">
      <c r="T39071" s="41"/>
    </row>
    <row r="39072" spans="20:20" s="566" customFormat="1">
      <c r="T39072" s="41"/>
    </row>
    <row r="39073" spans="20:20" s="566" customFormat="1">
      <c r="T39073" s="41"/>
    </row>
    <row r="39074" spans="20:20" s="566" customFormat="1">
      <c r="T39074" s="41"/>
    </row>
    <row r="39075" spans="20:20" s="566" customFormat="1">
      <c r="T39075" s="41"/>
    </row>
    <row r="39076" spans="20:20" s="566" customFormat="1">
      <c r="T39076" s="41"/>
    </row>
    <row r="39077" spans="20:20" s="566" customFormat="1">
      <c r="T39077" s="41"/>
    </row>
    <row r="39078" spans="20:20" s="566" customFormat="1">
      <c r="T39078" s="41"/>
    </row>
    <row r="39079" spans="20:20" s="566" customFormat="1">
      <c r="T39079" s="41"/>
    </row>
    <row r="39080" spans="20:20" s="566" customFormat="1">
      <c r="T39080" s="41"/>
    </row>
    <row r="39081" spans="20:20" s="566" customFormat="1">
      <c r="T39081" s="41"/>
    </row>
    <row r="39082" spans="20:20" s="566" customFormat="1">
      <c r="T39082" s="41"/>
    </row>
    <row r="39083" spans="20:20" s="566" customFormat="1">
      <c r="T39083" s="41"/>
    </row>
    <row r="39084" spans="20:20" s="566" customFormat="1">
      <c r="T39084" s="41"/>
    </row>
    <row r="39085" spans="20:20" s="566" customFormat="1">
      <c r="T39085" s="41"/>
    </row>
    <row r="39086" spans="20:20" s="566" customFormat="1">
      <c r="T39086" s="41"/>
    </row>
    <row r="39087" spans="20:20" s="566" customFormat="1">
      <c r="T39087" s="41"/>
    </row>
    <row r="39088" spans="20:20" s="566" customFormat="1">
      <c r="T39088" s="41"/>
    </row>
    <row r="39089" spans="20:20" s="566" customFormat="1">
      <c r="T39089" s="41"/>
    </row>
    <row r="39090" spans="20:20" s="566" customFormat="1">
      <c r="T39090" s="41"/>
    </row>
    <row r="39091" spans="20:20" s="566" customFormat="1">
      <c r="T39091" s="41"/>
    </row>
    <row r="39092" spans="20:20" s="566" customFormat="1">
      <c r="T39092" s="41"/>
    </row>
    <row r="39093" spans="20:20" s="566" customFormat="1">
      <c r="T39093" s="41"/>
    </row>
    <row r="39094" spans="20:20" s="566" customFormat="1">
      <c r="T39094" s="41"/>
    </row>
    <row r="39095" spans="20:20" s="566" customFormat="1">
      <c r="T39095" s="41"/>
    </row>
    <row r="39096" spans="20:20" s="566" customFormat="1">
      <c r="T39096" s="41"/>
    </row>
    <row r="39097" spans="20:20" s="566" customFormat="1">
      <c r="T39097" s="41"/>
    </row>
    <row r="39098" spans="20:20" s="566" customFormat="1">
      <c r="T39098" s="41"/>
    </row>
    <row r="39099" spans="20:20" s="566" customFormat="1">
      <c r="T39099" s="41"/>
    </row>
    <row r="39100" spans="20:20" s="566" customFormat="1">
      <c r="T39100" s="41"/>
    </row>
    <row r="39101" spans="20:20" s="566" customFormat="1">
      <c r="T39101" s="41"/>
    </row>
    <row r="39102" spans="20:20" s="566" customFormat="1">
      <c r="T39102" s="41"/>
    </row>
    <row r="39103" spans="20:20" s="566" customFormat="1">
      <c r="T39103" s="41"/>
    </row>
    <row r="39104" spans="20:20" s="566" customFormat="1">
      <c r="T39104" s="41"/>
    </row>
    <row r="39105" spans="20:20" s="566" customFormat="1">
      <c r="T39105" s="41"/>
    </row>
    <row r="39106" spans="20:20" s="566" customFormat="1">
      <c r="T39106" s="41"/>
    </row>
    <row r="39107" spans="20:20" s="566" customFormat="1">
      <c r="T39107" s="41"/>
    </row>
    <row r="39108" spans="20:20" s="566" customFormat="1">
      <c r="T39108" s="41"/>
    </row>
    <row r="39109" spans="20:20" s="566" customFormat="1">
      <c r="T39109" s="41"/>
    </row>
    <row r="39110" spans="20:20" s="566" customFormat="1">
      <c r="T39110" s="41"/>
    </row>
    <row r="39111" spans="20:20" s="566" customFormat="1">
      <c r="T39111" s="41"/>
    </row>
    <row r="39112" spans="20:20" s="566" customFormat="1">
      <c r="T39112" s="41"/>
    </row>
    <row r="39113" spans="20:20" s="566" customFormat="1">
      <c r="T39113" s="41"/>
    </row>
    <row r="39114" spans="20:20" s="566" customFormat="1">
      <c r="T39114" s="41"/>
    </row>
    <row r="39115" spans="20:20" s="566" customFormat="1">
      <c r="T39115" s="41"/>
    </row>
    <row r="39116" spans="20:20" s="566" customFormat="1">
      <c r="T39116" s="41"/>
    </row>
    <row r="39117" spans="20:20" s="566" customFormat="1">
      <c r="T39117" s="41"/>
    </row>
    <row r="39118" spans="20:20" s="566" customFormat="1">
      <c r="T39118" s="41"/>
    </row>
    <row r="39119" spans="20:20" s="566" customFormat="1">
      <c r="T39119" s="41"/>
    </row>
    <row r="39120" spans="20:20" s="566" customFormat="1">
      <c r="T39120" s="41"/>
    </row>
    <row r="39121" spans="20:20" s="566" customFormat="1">
      <c r="T39121" s="41"/>
    </row>
    <row r="39122" spans="20:20" s="566" customFormat="1">
      <c r="T39122" s="41"/>
    </row>
    <row r="39123" spans="20:20" s="566" customFormat="1">
      <c r="T39123" s="41"/>
    </row>
    <row r="39124" spans="20:20" s="566" customFormat="1">
      <c r="T39124" s="41"/>
    </row>
    <row r="39125" spans="20:20" s="566" customFormat="1">
      <c r="T39125" s="41"/>
    </row>
    <row r="39126" spans="20:20" s="566" customFormat="1">
      <c r="T39126" s="41"/>
    </row>
    <row r="39127" spans="20:20" s="566" customFormat="1">
      <c r="T39127" s="41"/>
    </row>
    <row r="39128" spans="20:20" s="566" customFormat="1">
      <c r="T39128" s="41"/>
    </row>
    <row r="39129" spans="20:20" s="566" customFormat="1">
      <c r="T39129" s="41"/>
    </row>
    <row r="39130" spans="20:20" s="566" customFormat="1">
      <c r="T39130" s="41"/>
    </row>
    <row r="39131" spans="20:20" s="566" customFormat="1">
      <c r="T39131" s="41"/>
    </row>
    <row r="39132" spans="20:20" s="566" customFormat="1">
      <c r="T39132" s="41"/>
    </row>
    <row r="39133" spans="20:20" s="566" customFormat="1">
      <c r="T39133" s="41"/>
    </row>
    <row r="39134" spans="20:20" s="566" customFormat="1">
      <c r="T39134" s="41"/>
    </row>
    <row r="39135" spans="20:20" s="566" customFormat="1">
      <c r="T39135" s="41"/>
    </row>
    <row r="39136" spans="20:20" s="566" customFormat="1">
      <c r="T39136" s="41"/>
    </row>
    <row r="39137" spans="20:20" s="566" customFormat="1">
      <c r="T39137" s="41"/>
    </row>
    <row r="39138" spans="20:20" s="566" customFormat="1">
      <c r="T39138" s="41"/>
    </row>
    <row r="39139" spans="20:20" s="566" customFormat="1">
      <c r="T39139" s="41"/>
    </row>
    <row r="39140" spans="20:20" s="566" customFormat="1">
      <c r="T39140" s="41"/>
    </row>
    <row r="39141" spans="20:20" s="566" customFormat="1">
      <c r="T39141" s="41"/>
    </row>
    <row r="39142" spans="20:20" s="566" customFormat="1">
      <c r="T39142" s="41"/>
    </row>
    <row r="39143" spans="20:20" s="566" customFormat="1">
      <c r="T39143" s="41"/>
    </row>
    <row r="39144" spans="20:20" s="566" customFormat="1">
      <c r="T39144" s="41"/>
    </row>
    <row r="39145" spans="20:20" s="566" customFormat="1">
      <c r="T39145" s="41"/>
    </row>
    <row r="39146" spans="20:20" s="566" customFormat="1">
      <c r="T39146" s="41"/>
    </row>
    <row r="39147" spans="20:20" s="566" customFormat="1">
      <c r="T39147" s="41"/>
    </row>
    <row r="39148" spans="20:20" s="566" customFormat="1">
      <c r="T39148" s="41"/>
    </row>
    <row r="39149" spans="20:20" s="566" customFormat="1">
      <c r="T39149" s="41"/>
    </row>
    <row r="39150" spans="20:20" s="566" customFormat="1">
      <c r="T39150" s="41"/>
    </row>
    <row r="39151" spans="20:20" s="566" customFormat="1">
      <c r="T39151" s="41"/>
    </row>
    <row r="39152" spans="20:20" s="566" customFormat="1">
      <c r="T39152" s="41"/>
    </row>
    <row r="39153" spans="20:20" s="566" customFormat="1">
      <c r="T39153" s="41"/>
    </row>
    <row r="39154" spans="20:20" s="566" customFormat="1">
      <c r="T39154" s="41"/>
    </row>
    <row r="39155" spans="20:20" s="566" customFormat="1">
      <c r="T39155" s="41"/>
    </row>
    <row r="39156" spans="20:20" s="566" customFormat="1">
      <c r="T39156" s="41"/>
    </row>
    <row r="39157" spans="20:20" s="566" customFormat="1">
      <c r="T39157" s="41"/>
    </row>
    <row r="39158" spans="20:20" s="566" customFormat="1">
      <c r="T39158" s="41"/>
    </row>
    <row r="39159" spans="20:20" s="566" customFormat="1">
      <c r="T39159" s="41"/>
    </row>
    <row r="39160" spans="20:20" s="566" customFormat="1">
      <c r="T39160" s="41"/>
    </row>
    <row r="39161" spans="20:20" s="566" customFormat="1">
      <c r="T39161" s="41"/>
    </row>
    <row r="39162" spans="20:20" s="566" customFormat="1">
      <c r="T39162" s="41"/>
    </row>
    <row r="39163" spans="20:20" s="566" customFormat="1">
      <c r="T39163" s="41"/>
    </row>
    <row r="39164" spans="20:20" s="566" customFormat="1">
      <c r="T39164" s="41"/>
    </row>
    <row r="39165" spans="20:20" s="566" customFormat="1">
      <c r="T39165" s="41"/>
    </row>
    <row r="39166" spans="20:20" s="566" customFormat="1">
      <c r="T39166" s="41"/>
    </row>
    <row r="39167" spans="20:20" s="566" customFormat="1">
      <c r="T39167" s="41"/>
    </row>
    <row r="39168" spans="20:20" s="566" customFormat="1">
      <c r="T39168" s="41"/>
    </row>
    <row r="39169" spans="20:20" s="566" customFormat="1">
      <c r="T39169" s="41"/>
    </row>
    <row r="39170" spans="20:20" s="566" customFormat="1">
      <c r="T39170" s="41"/>
    </row>
    <row r="39171" spans="20:20" s="566" customFormat="1">
      <c r="T39171" s="41"/>
    </row>
    <row r="39172" spans="20:20" s="566" customFormat="1">
      <c r="T39172" s="41"/>
    </row>
    <row r="39173" spans="20:20" s="566" customFormat="1">
      <c r="T39173" s="41"/>
    </row>
    <row r="39174" spans="20:20" s="566" customFormat="1">
      <c r="T39174" s="41"/>
    </row>
    <row r="39175" spans="20:20" s="566" customFormat="1">
      <c r="T39175" s="41"/>
    </row>
    <row r="39176" spans="20:20" s="566" customFormat="1">
      <c r="T39176" s="41"/>
    </row>
    <row r="39177" spans="20:20" s="566" customFormat="1">
      <c r="T39177" s="41"/>
    </row>
    <row r="39178" spans="20:20" s="566" customFormat="1">
      <c r="T39178" s="41"/>
    </row>
    <row r="39179" spans="20:20" s="566" customFormat="1">
      <c r="T39179" s="41"/>
    </row>
    <row r="39180" spans="20:20" s="566" customFormat="1">
      <c r="T39180" s="41"/>
    </row>
    <row r="39181" spans="20:20" s="566" customFormat="1">
      <c r="T39181" s="41"/>
    </row>
    <row r="39182" spans="20:20" s="566" customFormat="1">
      <c r="T39182" s="41"/>
    </row>
    <row r="39183" spans="20:20" s="566" customFormat="1">
      <c r="T39183" s="41"/>
    </row>
    <row r="39184" spans="20:20" s="566" customFormat="1">
      <c r="T39184" s="41"/>
    </row>
    <row r="39185" spans="20:20" s="566" customFormat="1">
      <c r="T39185" s="41"/>
    </row>
    <row r="39186" spans="20:20" s="566" customFormat="1">
      <c r="T39186" s="41"/>
    </row>
    <row r="39187" spans="20:20" s="566" customFormat="1">
      <c r="T39187" s="41"/>
    </row>
    <row r="39188" spans="20:20" s="566" customFormat="1">
      <c r="T39188" s="41"/>
    </row>
    <row r="39189" spans="20:20" s="566" customFormat="1">
      <c r="T39189" s="41"/>
    </row>
    <row r="39190" spans="20:20" s="566" customFormat="1">
      <c r="T39190" s="41"/>
    </row>
    <row r="39191" spans="20:20" s="566" customFormat="1">
      <c r="T39191" s="41"/>
    </row>
    <row r="39192" spans="20:20" s="566" customFormat="1">
      <c r="T39192" s="41"/>
    </row>
    <row r="39193" spans="20:20" s="566" customFormat="1">
      <c r="T39193" s="41"/>
    </row>
    <row r="39194" spans="20:20" s="566" customFormat="1">
      <c r="T39194" s="41"/>
    </row>
    <row r="39195" spans="20:20" s="566" customFormat="1">
      <c r="T39195" s="41"/>
    </row>
    <row r="39196" spans="20:20" s="566" customFormat="1">
      <c r="T39196" s="41"/>
    </row>
    <row r="39197" spans="20:20" s="566" customFormat="1">
      <c r="T39197" s="41"/>
    </row>
    <row r="39198" spans="20:20" s="566" customFormat="1">
      <c r="T39198" s="41"/>
    </row>
    <row r="39199" spans="20:20" s="566" customFormat="1">
      <c r="T39199" s="41"/>
    </row>
    <row r="39200" spans="20:20" s="566" customFormat="1">
      <c r="T39200" s="41"/>
    </row>
    <row r="39201" spans="20:20" s="566" customFormat="1">
      <c r="T39201" s="41"/>
    </row>
    <row r="39202" spans="20:20" s="566" customFormat="1">
      <c r="T39202" s="41"/>
    </row>
    <row r="39203" spans="20:20" s="566" customFormat="1">
      <c r="T39203" s="41"/>
    </row>
    <row r="39204" spans="20:20" s="566" customFormat="1">
      <c r="T39204" s="41"/>
    </row>
    <row r="39205" spans="20:20" s="566" customFormat="1">
      <c r="T39205" s="41"/>
    </row>
    <row r="39206" spans="20:20" s="566" customFormat="1">
      <c r="T39206" s="41"/>
    </row>
    <row r="39207" spans="20:20" s="566" customFormat="1">
      <c r="T39207" s="41"/>
    </row>
    <row r="39208" spans="20:20" s="566" customFormat="1">
      <c r="T39208" s="41"/>
    </row>
    <row r="39209" spans="20:20" s="566" customFormat="1">
      <c r="T39209" s="41"/>
    </row>
    <row r="39210" spans="20:20" s="566" customFormat="1">
      <c r="T39210" s="41"/>
    </row>
    <row r="39211" spans="20:20" s="566" customFormat="1">
      <c r="T39211" s="41"/>
    </row>
    <row r="39212" spans="20:20" s="566" customFormat="1">
      <c r="T39212" s="41"/>
    </row>
    <row r="39213" spans="20:20" s="566" customFormat="1">
      <c r="T39213" s="41"/>
    </row>
    <row r="39214" spans="20:20" s="566" customFormat="1">
      <c r="T39214" s="41"/>
    </row>
    <row r="39215" spans="20:20" s="566" customFormat="1">
      <c r="T39215" s="41"/>
    </row>
    <row r="39216" spans="20:20" s="566" customFormat="1">
      <c r="T39216" s="41"/>
    </row>
    <row r="39217" spans="20:20" s="566" customFormat="1">
      <c r="T39217" s="41"/>
    </row>
    <row r="39218" spans="20:20" s="566" customFormat="1">
      <c r="T39218" s="41"/>
    </row>
    <row r="39219" spans="20:20" s="566" customFormat="1">
      <c r="T39219" s="41"/>
    </row>
    <row r="39220" spans="20:20" s="566" customFormat="1">
      <c r="T39220" s="41"/>
    </row>
    <row r="39221" spans="20:20" s="566" customFormat="1">
      <c r="T39221" s="41"/>
    </row>
    <row r="39222" spans="20:20" s="566" customFormat="1">
      <c r="T39222" s="41"/>
    </row>
    <row r="39223" spans="20:20" s="566" customFormat="1">
      <c r="T39223" s="41"/>
    </row>
    <row r="39224" spans="20:20" s="566" customFormat="1">
      <c r="T39224" s="41"/>
    </row>
    <row r="39225" spans="20:20" s="566" customFormat="1">
      <c r="T39225" s="41"/>
    </row>
    <row r="39226" spans="20:20" s="566" customFormat="1">
      <c r="T39226" s="41"/>
    </row>
    <row r="39227" spans="20:20" s="566" customFormat="1">
      <c r="T39227" s="41"/>
    </row>
    <row r="39228" spans="20:20" s="566" customFormat="1">
      <c r="T39228" s="41"/>
    </row>
    <row r="39229" spans="20:20" s="566" customFormat="1">
      <c r="T39229" s="41"/>
    </row>
    <row r="39230" spans="20:20" s="566" customFormat="1">
      <c r="T39230" s="41"/>
    </row>
    <row r="39231" spans="20:20" s="566" customFormat="1">
      <c r="T39231" s="41"/>
    </row>
    <row r="39232" spans="20:20" s="566" customFormat="1">
      <c r="T39232" s="41"/>
    </row>
    <row r="39233" spans="20:20" s="566" customFormat="1">
      <c r="T39233" s="41"/>
    </row>
    <row r="39234" spans="20:20" s="566" customFormat="1">
      <c r="T39234" s="41"/>
    </row>
    <row r="39235" spans="20:20" s="566" customFormat="1">
      <c r="T39235" s="41"/>
    </row>
    <row r="39236" spans="20:20" s="566" customFormat="1">
      <c r="T39236" s="41"/>
    </row>
    <row r="39237" spans="20:20" s="566" customFormat="1">
      <c r="T39237" s="41"/>
    </row>
    <row r="39238" spans="20:20" s="566" customFormat="1">
      <c r="T39238" s="41"/>
    </row>
    <row r="39239" spans="20:20" s="566" customFormat="1">
      <c r="T39239" s="41"/>
    </row>
    <row r="39240" spans="20:20" s="566" customFormat="1">
      <c r="T39240" s="41"/>
    </row>
    <row r="39241" spans="20:20" s="566" customFormat="1">
      <c r="T39241" s="41"/>
    </row>
    <row r="39242" spans="20:20" s="566" customFormat="1">
      <c r="T39242" s="41"/>
    </row>
    <row r="39243" spans="20:20" s="566" customFormat="1">
      <c r="T39243" s="41"/>
    </row>
    <row r="39244" spans="20:20" s="566" customFormat="1">
      <c r="T39244" s="41"/>
    </row>
    <row r="39245" spans="20:20" s="566" customFormat="1">
      <c r="T39245" s="41"/>
    </row>
    <row r="39246" spans="20:20" s="566" customFormat="1">
      <c r="T39246" s="41"/>
    </row>
    <row r="39247" spans="20:20" s="566" customFormat="1">
      <c r="T39247" s="41"/>
    </row>
    <row r="39248" spans="20:20" s="566" customFormat="1">
      <c r="T39248" s="41"/>
    </row>
    <row r="39249" spans="20:20" s="566" customFormat="1">
      <c r="T39249" s="41"/>
    </row>
    <row r="39250" spans="20:20" s="566" customFormat="1">
      <c r="T39250" s="41"/>
    </row>
    <row r="39251" spans="20:20" s="566" customFormat="1">
      <c r="T39251" s="41"/>
    </row>
    <row r="39252" spans="20:20" s="566" customFormat="1">
      <c r="T39252" s="41"/>
    </row>
    <row r="39253" spans="20:20" s="566" customFormat="1">
      <c r="T39253" s="41"/>
    </row>
    <row r="39254" spans="20:20" s="566" customFormat="1">
      <c r="T39254" s="41"/>
    </row>
    <row r="39255" spans="20:20" s="566" customFormat="1">
      <c r="T39255" s="41"/>
    </row>
    <row r="39256" spans="20:20" s="566" customFormat="1">
      <c r="T39256" s="41"/>
    </row>
    <row r="39257" spans="20:20" s="566" customFormat="1">
      <c r="T39257" s="41"/>
    </row>
    <row r="39258" spans="20:20" s="566" customFormat="1">
      <c r="T39258" s="41"/>
    </row>
    <row r="39259" spans="20:20" s="566" customFormat="1">
      <c r="T39259" s="41"/>
    </row>
    <row r="39260" spans="20:20" s="566" customFormat="1">
      <c r="T39260" s="41"/>
    </row>
    <row r="39261" spans="20:20" s="566" customFormat="1">
      <c r="T39261" s="41"/>
    </row>
    <row r="39262" spans="20:20" s="566" customFormat="1">
      <c r="T39262" s="41"/>
    </row>
    <row r="39263" spans="20:20" s="566" customFormat="1">
      <c r="T39263" s="41"/>
    </row>
    <row r="39264" spans="20:20" s="566" customFormat="1">
      <c r="T39264" s="41"/>
    </row>
    <row r="39265" spans="20:20" s="566" customFormat="1">
      <c r="T39265" s="41"/>
    </row>
    <row r="39266" spans="20:20" s="566" customFormat="1">
      <c r="T39266" s="41"/>
    </row>
    <row r="39267" spans="20:20" s="566" customFormat="1">
      <c r="T39267" s="41"/>
    </row>
    <row r="39268" spans="20:20" s="566" customFormat="1">
      <c r="T39268" s="41"/>
    </row>
    <row r="39269" spans="20:20" s="566" customFormat="1">
      <c r="T39269" s="41"/>
    </row>
    <row r="39270" spans="20:20" s="566" customFormat="1">
      <c r="T39270" s="41"/>
    </row>
    <row r="39271" spans="20:20" s="566" customFormat="1">
      <c r="T39271" s="41"/>
    </row>
    <row r="39272" spans="20:20" s="566" customFormat="1">
      <c r="T39272" s="41"/>
    </row>
    <row r="39273" spans="20:20" s="566" customFormat="1">
      <c r="T39273" s="41"/>
    </row>
    <row r="39274" spans="20:20" s="566" customFormat="1">
      <c r="T39274" s="41"/>
    </row>
    <row r="39275" spans="20:20" s="566" customFormat="1">
      <c r="T39275" s="41"/>
    </row>
    <row r="39276" spans="20:20" s="566" customFormat="1">
      <c r="T39276" s="41"/>
    </row>
    <row r="39277" spans="20:20" s="566" customFormat="1">
      <c r="T39277" s="41"/>
    </row>
    <row r="39278" spans="20:20" s="566" customFormat="1">
      <c r="T39278" s="41"/>
    </row>
    <row r="39279" spans="20:20" s="566" customFormat="1">
      <c r="T39279" s="41"/>
    </row>
    <row r="39280" spans="20:20" s="566" customFormat="1">
      <c r="T39280" s="41"/>
    </row>
    <row r="39281" spans="20:20" s="566" customFormat="1">
      <c r="T39281" s="41"/>
    </row>
    <row r="39282" spans="20:20" s="566" customFormat="1">
      <c r="T39282" s="41"/>
    </row>
    <row r="39283" spans="20:20" s="566" customFormat="1">
      <c r="T39283" s="41"/>
    </row>
    <row r="39284" spans="20:20" s="566" customFormat="1">
      <c r="T39284" s="41"/>
    </row>
    <row r="39285" spans="20:20" s="566" customFormat="1">
      <c r="T39285" s="41"/>
    </row>
    <row r="39286" spans="20:20" s="566" customFormat="1">
      <c r="T39286" s="41"/>
    </row>
    <row r="39287" spans="20:20" s="566" customFormat="1">
      <c r="T39287" s="41"/>
    </row>
    <row r="39288" spans="20:20" s="566" customFormat="1">
      <c r="T39288" s="41"/>
    </row>
    <row r="39289" spans="20:20" s="566" customFormat="1">
      <c r="T39289" s="41"/>
    </row>
    <row r="39290" spans="20:20" s="566" customFormat="1">
      <c r="T39290" s="41"/>
    </row>
    <row r="39291" spans="20:20" s="566" customFormat="1">
      <c r="T39291" s="41"/>
    </row>
    <row r="39292" spans="20:20" s="566" customFormat="1">
      <c r="T39292" s="41"/>
    </row>
    <row r="39293" spans="20:20" s="566" customFormat="1">
      <c r="T39293" s="41"/>
    </row>
    <row r="39294" spans="20:20" s="566" customFormat="1">
      <c r="T39294" s="41"/>
    </row>
    <row r="39295" spans="20:20" s="566" customFormat="1">
      <c r="T39295" s="41"/>
    </row>
    <row r="39296" spans="20:20" s="566" customFormat="1">
      <c r="T39296" s="41"/>
    </row>
    <row r="39297" spans="20:20" s="566" customFormat="1">
      <c r="T39297" s="41"/>
    </row>
    <row r="39298" spans="20:20" s="566" customFormat="1">
      <c r="T39298" s="41"/>
    </row>
    <row r="39299" spans="20:20" s="566" customFormat="1">
      <c r="T39299" s="41"/>
    </row>
    <row r="39300" spans="20:20" s="566" customFormat="1">
      <c r="T39300" s="41"/>
    </row>
    <row r="39301" spans="20:20" s="566" customFormat="1">
      <c r="T39301" s="41"/>
    </row>
    <row r="39302" spans="20:20" s="566" customFormat="1">
      <c r="T39302" s="41"/>
    </row>
    <row r="39303" spans="20:20" s="566" customFormat="1">
      <c r="T39303" s="41"/>
    </row>
    <row r="39304" spans="20:20" s="566" customFormat="1">
      <c r="T39304" s="41"/>
    </row>
    <row r="39305" spans="20:20" s="566" customFormat="1">
      <c r="T39305" s="41"/>
    </row>
    <row r="39306" spans="20:20" s="566" customFormat="1">
      <c r="T39306" s="41"/>
    </row>
    <row r="39307" spans="20:20" s="566" customFormat="1">
      <c r="T39307" s="41"/>
    </row>
    <row r="39308" spans="20:20" s="566" customFormat="1">
      <c r="T39308" s="41"/>
    </row>
    <row r="39309" spans="20:20" s="566" customFormat="1">
      <c r="T39309" s="41"/>
    </row>
    <row r="39310" spans="20:20" s="566" customFormat="1">
      <c r="T39310" s="41"/>
    </row>
    <row r="39311" spans="20:20" s="566" customFormat="1">
      <c r="T39311" s="41"/>
    </row>
    <row r="39312" spans="20:20" s="566" customFormat="1">
      <c r="T39312" s="41"/>
    </row>
    <row r="39313" spans="20:20" s="566" customFormat="1">
      <c r="T39313" s="41"/>
    </row>
    <row r="39314" spans="20:20" s="566" customFormat="1">
      <c r="T39314" s="41"/>
    </row>
    <row r="39315" spans="20:20" s="566" customFormat="1">
      <c r="T39315" s="41"/>
    </row>
    <row r="39316" spans="20:20" s="566" customFormat="1">
      <c r="T39316" s="41"/>
    </row>
    <row r="39317" spans="20:20" s="566" customFormat="1">
      <c r="T39317" s="41"/>
    </row>
    <row r="39318" spans="20:20" s="566" customFormat="1">
      <c r="T39318" s="41"/>
    </row>
    <row r="39319" spans="20:20" s="566" customFormat="1">
      <c r="T39319" s="41"/>
    </row>
    <row r="39320" spans="20:20" s="566" customFormat="1">
      <c r="T39320" s="41"/>
    </row>
    <row r="39321" spans="20:20" s="566" customFormat="1">
      <c r="T39321" s="41"/>
    </row>
    <row r="39322" spans="20:20" s="566" customFormat="1">
      <c r="T39322" s="41"/>
    </row>
    <row r="39323" spans="20:20" s="566" customFormat="1">
      <c r="T39323" s="41"/>
    </row>
    <row r="39324" spans="20:20" s="566" customFormat="1">
      <c r="T39324" s="41"/>
    </row>
    <row r="39325" spans="20:20" s="566" customFormat="1">
      <c r="T39325" s="41"/>
    </row>
    <row r="39326" spans="20:20" s="566" customFormat="1">
      <c r="T39326" s="41"/>
    </row>
    <row r="39327" spans="20:20" s="566" customFormat="1">
      <c r="T39327" s="41"/>
    </row>
    <row r="39328" spans="20:20" s="566" customFormat="1">
      <c r="T39328" s="41"/>
    </row>
    <row r="39329" spans="20:20" s="566" customFormat="1">
      <c r="T39329" s="41"/>
    </row>
    <row r="39330" spans="20:20" s="566" customFormat="1">
      <c r="T39330" s="41"/>
    </row>
    <row r="39331" spans="20:20" s="566" customFormat="1">
      <c r="T39331" s="41"/>
    </row>
    <row r="39332" spans="20:20" s="566" customFormat="1">
      <c r="T39332" s="41"/>
    </row>
    <row r="39333" spans="20:20" s="566" customFormat="1">
      <c r="T39333" s="41"/>
    </row>
    <row r="39334" spans="20:20" s="566" customFormat="1">
      <c r="T39334" s="41"/>
    </row>
    <row r="39335" spans="20:20" s="566" customFormat="1">
      <c r="T39335" s="41"/>
    </row>
    <row r="39336" spans="20:20" s="566" customFormat="1">
      <c r="T39336" s="41"/>
    </row>
    <row r="39337" spans="20:20" s="566" customFormat="1">
      <c r="T39337" s="41"/>
    </row>
    <row r="39338" spans="20:20" s="566" customFormat="1">
      <c r="T39338" s="41"/>
    </row>
    <row r="39339" spans="20:20" s="566" customFormat="1">
      <c r="T39339" s="41"/>
    </row>
    <row r="39340" spans="20:20" s="566" customFormat="1">
      <c r="T39340" s="41"/>
    </row>
    <row r="39341" spans="20:20" s="566" customFormat="1">
      <c r="T39341" s="41"/>
    </row>
    <row r="39342" spans="20:20" s="566" customFormat="1">
      <c r="T39342" s="41"/>
    </row>
    <row r="39343" spans="20:20" s="566" customFormat="1">
      <c r="T39343" s="41"/>
    </row>
    <row r="39344" spans="20:20" s="566" customFormat="1">
      <c r="T39344" s="41"/>
    </row>
    <row r="39345" spans="20:20" s="566" customFormat="1">
      <c r="T39345" s="41"/>
    </row>
    <row r="39346" spans="20:20" s="566" customFormat="1">
      <c r="T39346" s="41"/>
    </row>
    <row r="39347" spans="20:20" s="566" customFormat="1">
      <c r="T39347" s="41"/>
    </row>
    <row r="39348" spans="20:20" s="566" customFormat="1">
      <c r="T39348" s="41"/>
    </row>
    <row r="39349" spans="20:20" s="566" customFormat="1">
      <c r="T39349" s="41"/>
    </row>
    <row r="39350" spans="20:20" s="566" customFormat="1">
      <c r="T39350" s="41"/>
    </row>
    <row r="39351" spans="20:20" s="566" customFormat="1">
      <c r="T39351" s="41"/>
    </row>
    <row r="39352" spans="20:20" s="566" customFormat="1">
      <c r="T39352" s="41"/>
    </row>
    <row r="39353" spans="20:20" s="566" customFormat="1">
      <c r="T39353" s="41"/>
    </row>
    <row r="39354" spans="20:20" s="566" customFormat="1">
      <c r="T39354" s="41"/>
    </row>
    <row r="39355" spans="20:20" s="566" customFormat="1">
      <c r="T39355" s="41"/>
    </row>
    <row r="39356" spans="20:20" s="566" customFormat="1">
      <c r="T39356" s="41"/>
    </row>
    <row r="39357" spans="20:20" s="566" customFormat="1">
      <c r="T39357" s="41"/>
    </row>
    <row r="39358" spans="20:20" s="566" customFormat="1">
      <c r="T39358" s="41"/>
    </row>
    <row r="39359" spans="20:20" s="566" customFormat="1">
      <c r="T39359" s="41"/>
    </row>
    <row r="39360" spans="20:20" s="566" customFormat="1">
      <c r="T39360" s="41"/>
    </row>
    <row r="39361" spans="20:20" s="566" customFormat="1">
      <c r="T39361" s="41"/>
    </row>
    <row r="39362" spans="20:20" s="566" customFormat="1">
      <c r="T39362" s="41"/>
    </row>
    <row r="39363" spans="20:20" s="566" customFormat="1">
      <c r="T39363" s="41"/>
    </row>
    <row r="39364" spans="20:20" s="566" customFormat="1">
      <c r="T39364" s="41"/>
    </row>
    <row r="39365" spans="20:20" s="566" customFormat="1">
      <c r="T39365" s="41"/>
    </row>
    <row r="39366" spans="20:20" s="566" customFormat="1">
      <c r="T39366" s="41"/>
    </row>
    <row r="39367" spans="20:20" s="566" customFormat="1">
      <c r="T39367" s="41"/>
    </row>
    <row r="39368" spans="20:20" s="566" customFormat="1">
      <c r="T39368" s="41"/>
    </row>
    <row r="39369" spans="20:20" s="566" customFormat="1">
      <c r="T39369" s="41"/>
    </row>
    <row r="39370" spans="20:20" s="566" customFormat="1">
      <c r="T39370" s="41"/>
    </row>
    <row r="39371" spans="20:20" s="566" customFormat="1">
      <c r="T39371" s="41"/>
    </row>
    <row r="39372" spans="20:20" s="566" customFormat="1">
      <c r="T39372" s="41"/>
    </row>
    <row r="39373" spans="20:20" s="566" customFormat="1">
      <c r="T39373" s="41"/>
    </row>
    <row r="39374" spans="20:20" s="566" customFormat="1">
      <c r="T39374" s="41"/>
    </row>
    <row r="39375" spans="20:20" s="566" customFormat="1">
      <c r="T39375" s="41"/>
    </row>
    <row r="39376" spans="20:20" s="566" customFormat="1">
      <c r="T39376" s="41"/>
    </row>
    <row r="39377" spans="20:20" s="566" customFormat="1">
      <c r="T39377" s="41"/>
    </row>
    <row r="39378" spans="20:20" s="566" customFormat="1">
      <c r="T39378" s="41"/>
    </row>
    <row r="39379" spans="20:20" s="566" customFormat="1">
      <c r="T39379" s="41"/>
    </row>
    <row r="39380" spans="20:20" s="566" customFormat="1">
      <c r="T39380" s="41"/>
    </row>
    <row r="39381" spans="20:20" s="566" customFormat="1">
      <c r="T39381" s="41"/>
    </row>
    <row r="39382" spans="20:20" s="566" customFormat="1">
      <c r="T39382" s="41"/>
    </row>
    <row r="39383" spans="20:20" s="566" customFormat="1">
      <c r="T39383" s="41"/>
    </row>
    <row r="39384" spans="20:20" s="566" customFormat="1">
      <c r="T39384" s="41"/>
    </row>
    <row r="39385" spans="20:20" s="566" customFormat="1">
      <c r="T39385" s="41"/>
    </row>
    <row r="39386" spans="20:20" s="566" customFormat="1">
      <c r="T39386" s="41"/>
    </row>
    <row r="39387" spans="20:20" s="566" customFormat="1">
      <c r="T39387" s="41"/>
    </row>
    <row r="39388" spans="20:20" s="566" customFormat="1">
      <c r="T39388" s="41"/>
    </row>
    <row r="39389" spans="20:20" s="566" customFormat="1">
      <c r="T39389" s="41"/>
    </row>
    <row r="39390" spans="20:20" s="566" customFormat="1">
      <c r="T39390" s="41"/>
    </row>
    <row r="39391" spans="20:20" s="566" customFormat="1">
      <c r="T39391" s="41"/>
    </row>
    <row r="39392" spans="20:20" s="566" customFormat="1">
      <c r="T39392" s="41"/>
    </row>
    <row r="39393" spans="20:20" s="566" customFormat="1">
      <c r="T39393" s="41"/>
    </row>
    <row r="39394" spans="20:20" s="566" customFormat="1">
      <c r="T39394" s="41"/>
    </row>
    <row r="39395" spans="20:20" s="566" customFormat="1">
      <c r="T39395" s="41"/>
    </row>
    <row r="39396" spans="20:20" s="566" customFormat="1">
      <c r="T39396" s="41"/>
    </row>
    <row r="39397" spans="20:20" s="566" customFormat="1">
      <c r="T39397" s="41"/>
    </row>
    <row r="39398" spans="20:20" s="566" customFormat="1">
      <c r="T39398" s="41"/>
    </row>
    <row r="39399" spans="20:20" s="566" customFormat="1">
      <c r="T39399" s="41"/>
    </row>
    <row r="39400" spans="20:20" s="566" customFormat="1">
      <c r="T39400" s="41"/>
    </row>
    <row r="39401" spans="20:20" s="566" customFormat="1">
      <c r="T39401" s="41"/>
    </row>
    <row r="39402" spans="20:20" s="566" customFormat="1">
      <c r="T39402" s="41"/>
    </row>
    <row r="39403" spans="20:20" s="566" customFormat="1">
      <c r="T39403" s="41"/>
    </row>
    <row r="39404" spans="20:20" s="566" customFormat="1">
      <c r="T39404" s="41"/>
    </row>
    <row r="39405" spans="20:20" s="566" customFormat="1">
      <c r="T39405" s="41"/>
    </row>
    <row r="39406" spans="20:20" s="566" customFormat="1">
      <c r="T39406" s="41"/>
    </row>
    <row r="39407" spans="20:20" s="566" customFormat="1">
      <c r="T39407" s="41"/>
    </row>
    <row r="39408" spans="20:20" s="566" customFormat="1">
      <c r="T39408" s="41"/>
    </row>
    <row r="39409" spans="20:20" s="566" customFormat="1">
      <c r="T39409" s="41"/>
    </row>
    <row r="39410" spans="20:20" s="566" customFormat="1">
      <c r="T39410" s="41"/>
    </row>
    <row r="39411" spans="20:20" s="566" customFormat="1">
      <c r="T39411" s="41"/>
    </row>
    <row r="39412" spans="20:20" s="566" customFormat="1">
      <c r="T39412" s="41"/>
    </row>
    <row r="39413" spans="20:20" s="566" customFormat="1">
      <c r="T39413" s="41"/>
    </row>
    <row r="39414" spans="20:20" s="566" customFormat="1">
      <c r="T39414" s="41"/>
    </row>
    <row r="39415" spans="20:20" s="566" customFormat="1">
      <c r="T39415" s="41"/>
    </row>
    <row r="39416" spans="20:20" s="566" customFormat="1">
      <c r="T39416" s="41"/>
    </row>
    <row r="39417" spans="20:20" s="566" customFormat="1">
      <c r="T39417" s="41"/>
    </row>
    <row r="39418" spans="20:20" s="566" customFormat="1">
      <c r="T39418" s="41"/>
    </row>
    <row r="39419" spans="20:20" s="566" customFormat="1">
      <c r="T39419" s="41"/>
    </row>
    <row r="39420" spans="20:20" s="566" customFormat="1">
      <c r="T39420" s="41"/>
    </row>
    <row r="39421" spans="20:20" s="566" customFormat="1">
      <c r="T39421" s="41"/>
    </row>
    <row r="39422" spans="20:20" s="566" customFormat="1">
      <c r="T39422" s="41"/>
    </row>
    <row r="39423" spans="20:20" s="566" customFormat="1">
      <c r="T39423" s="41"/>
    </row>
    <row r="39424" spans="20:20" s="566" customFormat="1">
      <c r="T39424" s="41"/>
    </row>
    <row r="39425" spans="20:20" s="566" customFormat="1">
      <c r="T39425" s="41"/>
    </row>
    <row r="39426" spans="20:20" s="566" customFormat="1">
      <c r="T39426" s="41"/>
    </row>
    <row r="39427" spans="20:20" s="566" customFormat="1">
      <c r="T39427" s="41"/>
    </row>
    <row r="39428" spans="20:20" s="566" customFormat="1">
      <c r="T39428" s="41"/>
    </row>
    <row r="39429" spans="20:20" s="566" customFormat="1">
      <c r="T39429" s="41"/>
    </row>
    <row r="39430" spans="20:20" s="566" customFormat="1">
      <c r="T39430" s="41"/>
    </row>
    <row r="39431" spans="20:20" s="566" customFormat="1">
      <c r="T39431" s="41"/>
    </row>
    <row r="39432" spans="20:20" s="566" customFormat="1">
      <c r="T39432" s="41"/>
    </row>
    <row r="39433" spans="20:20" s="566" customFormat="1">
      <c r="T39433" s="41"/>
    </row>
    <row r="39434" spans="20:20" s="566" customFormat="1">
      <c r="T39434" s="41"/>
    </row>
    <row r="39435" spans="20:20" s="566" customFormat="1">
      <c r="T39435" s="41"/>
    </row>
    <row r="39436" spans="20:20" s="566" customFormat="1">
      <c r="T39436" s="41"/>
    </row>
    <row r="39437" spans="20:20" s="566" customFormat="1">
      <c r="T39437" s="41"/>
    </row>
    <row r="39438" spans="20:20" s="566" customFormat="1">
      <c r="T39438" s="41"/>
    </row>
    <row r="39439" spans="20:20" s="566" customFormat="1">
      <c r="T39439" s="41"/>
    </row>
    <row r="39440" spans="20:20" s="566" customFormat="1">
      <c r="T39440" s="41"/>
    </row>
    <row r="39441" spans="20:20" s="566" customFormat="1">
      <c r="T39441" s="41"/>
    </row>
    <row r="39442" spans="20:20" s="566" customFormat="1">
      <c r="T39442" s="41"/>
    </row>
    <row r="39443" spans="20:20" s="566" customFormat="1">
      <c r="T39443" s="41"/>
    </row>
    <row r="39444" spans="20:20" s="566" customFormat="1">
      <c r="T39444" s="41"/>
    </row>
    <row r="39445" spans="20:20" s="566" customFormat="1">
      <c r="T39445" s="41"/>
    </row>
    <row r="39446" spans="20:20" s="566" customFormat="1">
      <c r="T39446" s="41"/>
    </row>
    <row r="39447" spans="20:20" s="566" customFormat="1">
      <c r="T39447" s="41"/>
    </row>
    <row r="39448" spans="20:20" s="566" customFormat="1">
      <c r="T39448" s="41"/>
    </row>
    <row r="39449" spans="20:20" s="566" customFormat="1">
      <c r="T39449" s="41"/>
    </row>
    <row r="39450" spans="20:20" s="566" customFormat="1">
      <c r="T39450" s="41"/>
    </row>
    <row r="39451" spans="20:20" s="566" customFormat="1">
      <c r="T39451" s="41"/>
    </row>
    <row r="39452" spans="20:20" s="566" customFormat="1">
      <c r="T39452" s="41"/>
    </row>
    <row r="39453" spans="20:20" s="566" customFormat="1">
      <c r="T39453" s="41"/>
    </row>
    <row r="39454" spans="20:20" s="566" customFormat="1">
      <c r="T39454" s="41"/>
    </row>
    <row r="39455" spans="20:20" s="566" customFormat="1">
      <c r="T39455" s="41"/>
    </row>
    <row r="39456" spans="20:20" s="566" customFormat="1">
      <c r="T39456" s="41"/>
    </row>
    <row r="39457" spans="20:20" s="566" customFormat="1">
      <c r="T39457" s="41"/>
    </row>
    <row r="39458" spans="20:20" s="566" customFormat="1">
      <c r="T39458" s="41"/>
    </row>
    <row r="39459" spans="20:20" s="566" customFormat="1">
      <c r="T39459" s="41"/>
    </row>
    <row r="39460" spans="20:20" s="566" customFormat="1">
      <c r="T39460" s="41"/>
    </row>
    <row r="39461" spans="20:20" s="566" customFormat="1">
      <c r="T39461" s="41"/>
    </row>
    <row r="39462" spans="20:20" s="566" customFormat="1">
      <c r="T39462" s="41"/>
    </row>
    <row r="39463" spans="20:20" s="566" customFormat="1">
      <c r="T39463" s="41"/>
    </row>
    <row r="39464" spans="20:20" s="566" customFormat="1">
      <c r="T39464" s="41"/>
    </row>
    <row r="39465" spans="20:20" s="566" customFormat="1">
      <c r="T39465" s="41"/>
    </row>
    <row r="39466" spans="20:20" s="566" customFormat="1">
      <c r="T39466" s="41"/>
    </row>
    <row r="39467" spans="20:20" s="566" customFormat="1">
      <c r="T39467" s="41"/>
    </row>
    <row r="39468" spans="20:20" s="566" customFormat="1">
      <c r="T39468" s="41"/>
    </row>
    <row r="39469" spans="20:20" s="566" customFormat="1">
      <c r="T39469" s="41"/>
    </row>
    <row r="39470" spans="20:20" s="566" customFormat="1">
      <c r="T39470" s="41"/>
    </row>
    <row r="39471" spans="20:20" s="566" customFormat="1">
      <c r="T39471" s="41"/>
    </row>
    <row r="39472" spans="20:20" s="566" customFormat="1">
      <c r="T39472" s="41"/>
    </row>
    <row r="39473" spans="20:20" s="566" customFormat="1">
      <c r="T39473" s="41"/>
    </row>
    <row r="39474" spans="20:20" s="566" customFormat="1">
      <c r="T39474" s="41"/>
    </row>
    <row r="39475" spans="20:20" s="566" customFormat="1">
      <c r="T39475" s="41"/>
    </row>
    <row r="39476" spans="20:20" s="566" customFormat="1">
      <c r="T39476" s="41"/>
    </row>
    <row r="39477" spans="20:20" s="566" customFormat="1">
      <c r="T39477" s="41"/>
    </row>
    <row r="39478" spans="20:20" s="566" customFormat="1">
      <c r="T39478" s="41"/>
    </row>
    <row r="39479" spans="20:20" s="566" customFormat="1">
      <c r="T39479" s="41"/>
    </row>
    <row r="39480" spans="20:20" s="566" customFormat="1">
      <c r="T39480" s="41"/>
    </row>
    <row r="39481" spans="20:20" s="566" customFormat="1">
      <c r="T39481" s="41"/>
    </row>
    <row r="39482" spans="20:20" s="566" customFormat="1">
      <c r="T39482" s="41"/>
    </row>
    <row r="39483" spans="20:20" s="566" customFormat="1">
      <c r="T39483" s="41"/>
    </row>
    <row r="39484" spans="20:20" s="566" customFormat="1">
      <c r="T39484" s="41"/>
    </row>
    <row r="39485" spans="20:20" s="566" customFormat="1">
      <c r="T39485" s="41"/>
    </row>
    <row r="39486" spans="20:20" s="566" customFormat="1">
      <c r="T39486" s="41"/>
    </row>
    <row r="39487" spans="20:20" s="566" customFormat="1">
      <c r="T39487" s="41"/>
    </row>
    <row r="39488" spans="20:20" s="566" customFormat="1">
      <c r="T39488" s="41"/>
    </row>
    <row r="39489" spans="20:20" s="566" customFormat="1">
      <c r="T39489" s="41"/>
    </row>
    <row r="39490" spans="20:20" s="566" customFormat="1">
      <c r="T39490" s="41"/>
    </row>
    <row r="39491" spans="20:20" s="566" customFormat="1">
      <c r="T39491" s="41"/>
    </row>
    <row r="39492" spans="20:20" s="566" customFormat="1">
      <c r="T39492" s="41"/>
    </row>
    <row r="39493" spans="20:20" s="566" customFormat="1">
      <c r="T39493" s="41"/>
    </row>
    <row r="39494" spans="20:20" s="566" customFormat="1">
      <c r="T39494" s="41"/>
    </row>
    <row r="39495" spans="20:20" s="566" customFormat="1">
      <c r="T39495" s="41"/>
    </row>
    <row r="39496" spans="20:20" s="566" customFormat="1">
      <c r="T39496" s="41"/>
    </row>
    <row r="39497" spans="20:20" s="566" customFormat="1">
      <c r="T39497" s="41"/>
    </row>
    <row r="39498" spans="20:20" s="566" customFormat="1">
      <c r="T39498" s="41"/>
    </row>
    <row r="39499" spans="20:20" s="566" customFormat="1">
      <c r="T39499" s="41"/>
    </row>
    <row r="39500" spans="20:20" s="566" customFormat="1">
      <c r="T39500" s="41"/>
    </row>
    <row r="39501" spans="20:20" s="566" customFormat="1">
      <c r="T39501" s="41"/>
    </row>
    <row r="39502" spans="20:20" s="566" customFormat="1">
      <c r="T39502" s="41"/>
    </row>
    <row r="39503" spans="20:20" s="566" customFormat="1">
      <c r="T39503" s="41"/>
    </row>
    <row r="39504" spans="20:20" s="566" customFormat="1">
      <c r="T39504" s="41"/>
    </row>
    <row r="39505" spans="20:20" s="566" customFormat="1">
      <c r="T39505" s="41"/>
    </row>
    <row r="39506" spans="20:20" s="566" customFormat="1">
      <c r="T39506" s="41"/>
    </row>
    <row r="39507" spans="20:20" s="566" customFormat="1">
      <c r="T39507" s="41"/>
    </row>
    <row r="39508" spans="20:20" s="566" customFormat="1">
      <c r="T39508" s="41"/>
    </row>
    <row r="39509" spans="20:20" s="566" customFormat="1">
      <c r="T39509" s="41"/>
    </row>
    <row r="39510" spans="20:20" s="566" customFormat="1">
      <c r="T39510" s="41"/>
    </row>
    <row r="39511" spans="20:20" s="566" customFormat="1">
      <c r="T39511" s="41"/>
    </row>
    <row r="39512" spans="20:20" s="566" customFormat="1">
      <c r="T39512" s="41"/>
    </row>
    <row r="39513" spans="20:20" s="566" customFormat="1">
      <c r="T39513" s="41"/>
    </row>
    <row r="39514" spans="20:20" s="566" customFormat="1">
      <c r="T39514" s="41"/>
    </row>
    <row r="39515" spans="20:20" s="566" customFormat="1">
      <c r="T39515" s="41"/>
    </row>
    <row r="39516" spans="20:20" s="566" customFormat="1">
      <c r="T39516" s="41"/>
    </row>
    <row r="39517" spans="20:20" s="566" customFormat="1">
      <c r="T39517" s="41"/>
    </row>
    <row r="39518" spans="20:20" s="566" customFormat="1">
      <c r="T39518" s="41"/>
    </row>
    <row r="39519" spans="20:20" s="566" customFormat="1">
      <c r="T39519" s="41"/>
    </row>
    <row r="39520" spans="20:20" s="566" customFormat="1">
      <c r="T39520" s="41"/>
    </row>
    <row r="39521" spans="20:20" s="566" customFormat="1">
      <c r="T39521" s="41"/>
    </row>
    <row r="39522" spans="20:20" s="566" customFormat="1">
      <c r="T39522" s="41"/>
    </row>
    <row r="39523" spans="20:20" s="566" customFormat="1">
      <c r="T39523" s="41"/>
    </row>
    <row r="39524" spans="20:20" s="566" customFormat="1">
      <c r="T39524" s="41"/>
    </row>
    <row r="39525" spans="20:20" s="566" customFormat="1">
      <c r="T39525" s="41"/>
    </row>
    <row r="39526" spans="20:20" s="566" customFormat="1">
      <c r="T39526" s="41"/>
    </row>
    <row r="39527" spans="20:20" s="566" customFormat="1">
      <c r="T39527" s="41"/>
    </row>
    <row r="39528" spans="20:20" s="566" customFormat="1">
      <c r="T39528" s="41"/>
    </row>
    <row r="39529" spans="20:20" s="566" customFormat="1">
      <c r="T39529" s="41"/>
    </row>
    <row r="39530" spans="20:20" s="566" customFormat="1">
      <c r="T39530" s="41"/>
    </row>
    <row r="39531" spans="20:20" s="566" customFormat="1">
      <c r="T39531" s="41"/>
    </row>
    <row r="39532" spans="20:20" s="566" customFormat="1">
      <c r="T39532" s="41"/>
    </row>
    <row r="39533" spans="20:20" s="566" customFormat="1">
      <c r="T39533" s="41"/>
    </row>
    <row r="39534" spans="20:20" s="566" customFormat="1">
      <c r="T39534" s="41"/>
    </row>
    <row r="39535" spans="20:20" s="566" customFormat="1">
      <c r="T39535" s="41"/>
    </row>
    <row r="39536" spans="20:20" s="566" customFormat="1">
      <c r="T39536" s="41"/>
    </row>
    <row r="39537" spans="20:20" s="566" customFormat="1">
      <c r="T39537" s="41"/>
    </row>
    <row r="39538" spans="20:20" s="566" customFormat="1">
      <c r="T39538" s="41"/>
    </row>
    <row r="39539" spans="20:20" s="566" customFormat="1">
      <c r="T39539" s="41"/>
    </row>
    <row r="39540" spans="20:20" s="566" customFormat="1">
      <c r="T39540" s="41"/>
    </row>
    <row r="39541" spans="20:20" s="566" customFormat="1">
      <c r="T39541" s="41"/>
    </row>
    <row r="39542" spans="20:20" s="566" customFormat="1">
      <c r="T39542" s="41"/>
    </row>
    <row r="39543" spans="20:20" s="566" customFormat="1">
      <c r="T39543" s="41"/>
    </row>
    <row r="39544" spans="20:20" s="566" customFormat="1">
      <c r="T39544" s="41"/>
    </row>
    <row r="39545" spans="20:20" s="566" customFormat="1">
      <c r="T39545" s="41"/>
    </row>
    <row r="39546" spans="20:20" s="566" customFormat="1">
      <c r="T39546" s="41"/>
    </row>
    <row r="39547" spans="20:20" s="566" customFormat="1">
      <c r="T39547" s="41"/>
    </row>
    <row r="39548" spans="20:20" s="566" customFormat="1">
      <c r="T39548" s="41"/>
    </row>
    <row r="39549" spans="20:20" s="566" customFormat="1">
      <c r="T39549" s="41"/>
    </row>
    <row r="39550" spans="20:20" s="566" customFormat="1">
      <c r="T39550" s="41"/>
    </row>
    <row r="39551" spans="20:20" s="566" customFormat="1">
      <c r="T39551" s="41"/>
    </row>
    <row r="39552" spans="20:20" s="566" customFormat="1">
      <c r="T39552" s="41"/>
    </row>
    <row r="39553" spans="20:20" s="566" customFormat="1">
      <c r="T39553" s="41"/>
    </row>
    <row r="39554" spans="20:20" s="566" customFormat="1">
      <c r="T39554" s="41"/>
    </row>
    <row r="39555" spans="20:20" s="566" customFormat="1">
      <c r="T39555" s="41"/>
    </row>
    <row r="39556" spans="20:20" s="566" customFormat="1">
      <c r="T39556" s="41"/>
    </row>
    <row r="39557" spans="20:20" s="566" customFormat="1">
      <c r="T39557" s="41"/>
    </row>
    <row r="39558" spans="20:20" s="566" customFormat="1">
      <c r="T39558" s="41"/>
    </row>
    <row r="39559" spans="20:20" s="566" customFormat="1">
      <c r="T39559" s="41"/>
    </row>
    <row r="39560" spans="20:20" s="566" customFormat="1">
      <c r="T39560" s="41"/>
    </row>
    <row r="39561" spans="20:20" s="566" customFormat="1">
      <c r="T39561" s="41"/>
    </row>
    <row r="39562" spans="20:20" s="566" customFormat="1">
      <c r="T39562" s="41"/>
    </row>
    <row r="39563" spans="20:20" s="566" customFormat="1">
      <c r="T39563" s="41"/>
    </row>
    <row r="39564" spans="20:20" s="566" customFormat="1">
      <c r="T39564" s="41"/>
    </row>
    <row r="39565" spans="20:20" s="566" customFormat="1">
      <c r="T39565" s="41"/>
    </row>
    <row r="39566" spans="20:20" s="566" customFormat="1">
      <c r="T39566" s="41"/>
    </row>
    <row r="39567" spans="20:20" s="566" customFormat="1">
      <c r="T39567" s="41"/>
    </row>
    <row r="39568" spans="20:20" s="566" customFormat="1">
      <c r="T39568" s="41"/>
    </row>
    <row r="39569" spans="20:20" s="566" customFormat="1">
      <c r="T39569" s="41"/>
    </row>
    <row r="39570" spans="20:20" s="566" customFormat="1">
      <c r="T39570" s="41"/>
    </row>
    <row r="39571" spans="20:20" s="566" customFormat="1">
      <c r="T39571" s="41"/>
    </row>
    <row r="39572" spans="20:20" s="566" customFormat="1">
      <c r="T39572" s="41"/>
    </row>
    <row r="39573" spans="20:20" s="566" customFormat="1">
      <c r="T39573" s="41"/>
    </row>
    <row r="39574" spans="20:20" s="566" customFormat="1">
      <c r="T39574" s="41"/>
    </row>
    <row r="39575" spans="20:20" s="566" customFormat="1">
      <c r="T39575" s="41"/>
    </row>
    <row r="39576" spans="20:20" s="566" customFormat="1">
      <c r="T39576" s="41"/>
    </row>
    <row r="39577" spans="20:20" s="566" customFormat="1">
      <c r="T39577" s="41"/>
    </row>
    <row r="39578" spans="20:20" s="566" customFormat="1">
      <c r="T39578" s="41"/>
    </row>
    <row r="39579" spans="20:20" s="566" customFormat="1">
      <c r="T39579" s="41"/>
    </row>
    <row r="39580" spans="20:20" s="566" customFormat="1">
      <c r="T39580" s="41"/>
    </row>
    <row r="39581" spans="20:20" s="566" customFormat="1">
      <c r="T39581" s="41"/>
    </row>
    <row r="39582" spans="20:20" s="566" customFormat="1">
      <c r="T39582" s="41"/>
    </row>
    <row r="39583" spans="20:20" s="566" customFormat="1">
      <c r="T39583" s="41"/>
    </row>
    <row r="39584" spans="20:20" s="566" customFormat="1">
      <c r="T39584" s="41"/>
    </row>
    <row r="39585" spans="20:20" s="566" customFormat="1">
      <c r="T39585" s="41"/>
    </row>
    <row r="39586" spans="20:20" s="566" customFormat="1">
      <c r="T39586" s="41"/>
    </row>
    <row r="39587" spans="20:20" s="566" customFormat="1">
      <c r="T39587" s="41"/>
    </row>
    <row r="39588" spans="20:20" s="566" customFormat="1">
      <c r="T39588" s="41"/>
    </row>
    <row r="39589" spans="20:20" s="566" customFormat="1">
      <c r="T39589" s="41"/>
    </row>
    <row r="39590" spans="20:20" s="566" customFormat="1">
      <c r="T39590" s="41"/>
    </row>
    <row r="39591" spans="20:20" s="566" customFormat="1">
      <c r="T39591" s="41"/>
    </row>
    <row r="39592" spans="20:20" s="566" customFormat="1">
      <c r="T39592" s="41"/>
    </row>
    <row r="39593" spans="20:20" s="566" customFormat="1">
      <c r="T39593" s="41"/>
    </row>
    <row r="39594" spans="20:20" s="566" customFormat="1">
      <c r="T39594" s="41"/>
    </row>
    <row r="39595" spans="20:20" s="566" customFormat="1">
      <c r="T39595" s="41"/>
    </row>
    <row r="39596" spans="20:20" s="566" customFormat="1">
      <c r="T39596" s="41"/>
    </row>
    <row r="39597" spans="20:20" s="566" customFormat="1">
      <c r="T39597" s="41"/>
    </row>
    <row r="39598" spans="20:20" s="566" customFormat="1">
      <c r="T39598" s="41"/>
    </row>
    <row r="39599" spans="20:20" s="566" customFormat="1">
      <c r="T39599" s="41"/>
    </row>
    <row r="39600" spans="20:20" s="566" customFormat="1">
      <c r="T39600" s="41"/>
    </row>
    <row r="39601" spans="20:20" s="566" customFormat="1">
      <c r="T39601" s="41"/>
    </row>
    <row r="39602" spans="20:20" s="566" customFormat="1">
      <c r="T39602" s="41"/>
    </row>
    <row r="39603" spans="20:20" s="566" customFormat="1">
      <c r="T39603" s="41"/>
    </row>
    <row r="39604" spans="20:20" s="566" customFormat="1">
      <c r="T39604" s="41"/>
    </row>
    <row r="39605" spans="20:20" s="566" customFormat="1">
      <c r="T39605" s="41"/>
    </row>
    <row r="39606" spans="20:20" s="566" customFormat="1">
      <c r="T39606" s="41"/>
    </row>
    <row r="39607" spans="20:20" s="566" customFormat="1">
      <c r="T39607" s="41"/>
    </row>
    <row r="39608" spans="20:20" s="566" customFormat="1">
      <c r="T39608" s="41"/>
    </row>
    <row r="39609" spans="20:20" s="566" customFormat="1">
      <c r="T39609" s="41"/>
    </row>
    <row r="39610" spans="20:20" s="566" customFormat="1">
      <c r="T39610" s="41"/>
    </row>
    <row r="39611" spans="20:20" s="566" customFormat="1">
      <c r="T39611" s="41"/>
    </row>
    <row r="39612" spans="20:20" s="566" customFormat="1">
      <c r="T39612" s="41"/>
    </row>
    <row r="39613" spans="20:20" s="566" customFormat="1">
      <c r="T39613" s="41"/>
    </row>
    <row r="39614" spans="20:20" s="566" customFormat="1">
      <c r="T39614" s="41"/>
    </row>
    <row r="39615" spans="20:20" s="566" customFormat="1">
      <c r="T39615" s="41"/>
    </row>
    <row r="39616" spans="20:20" s="566" customFormat="1">
      <c r="T39616" s="41"/>
    </row>
    <row r="39617" spans="20:20" s="566" customFormat="1">
      <c r="T39617" s="41"/>
    </row>
    <row r="39618" spans="20:20" s="566" customFormat="1">
      <c r="T39618" s="41"/>
    </row>
    <row r="39619" spans="20:20" s="566" customFormat="1">
      <c r="T39619" s="41"/>
    </row>
    <row r="39620" spans="20:20" s="566" customFormat="1">
      <c r="T39620" s="41"/>
    </row>
    <row r="39621" spans="20:20" s="566" customFormat="1">
      <c r="T39621" s="41"/>
    </row>
    <row r="39622" spans="20:20" s="566" customFormat="1">
      <c r="T39622" s="41"/>
    </row>
    <row r="39623" spans="20:20" s="566" customFormat="1">
      <c r="T39623" s="41"/>
    </row>
    <row r="39624" spans="20:20" s="566" customFormat="1">
      <c r="T39624" s="41"/>
    </row>
    <row r="39625" spans="20:20" s="566" customFormat="1">
      <c r="T39625" s="41"/>
    </row>
    <row r="39626" spans="20:20" s="566" customFormat="1">
      <c r="T39626" s="41"/>
    </row>
    <row r="39627" spans="20:20" s="566" customFormat="1">
      <c r="T39627" s="41"/>
    </row>
    <row r="39628" spans="20:20" s="566" customFormat="1">
      <c r="T39628" s="41"/>
    </row>
    <row r="39629" spans="20:20" s="566" customFormat="1">
      <c r="T39629" s="41"/>
    </row>
    <row r="39630" spans="20:20" s="566" customFormat="1">
      <c r="T39630" s="41"/>
    </row>
    <row r="39631" spans="20:20" s="566" customFormat="1">
      <c r="T39631" s="41"/>
    </row>
    <row r="39632" spans="20:20" s="566" customFormat="1">
      <c r="T39632" s="41"/>
    </row>
    <row r="39633" spans="20:20" s="566" customFormat="1">
      <c r="T39633" s="41"/>
    </row>
    <row r="39634" spans="20:20" s="566" customFormat="1">
      <c r="T39634" s="41"/>
    </row>
    <row r="39635" spans="20:20" s="566" customFormat="1">
      <c r="T39635" s="41"/>
    </row>
    <row r="39636" spans="20:20" s="566" customFormat="1">
      <c r="T39636" s="41"/>
    </row>
    <row r="39637" spans="20:20" s="566" customFormat="1">
      <c r="T39637" s="41"/>
    </row>
    <row r="39638" spans="20:20" s="566" customFormat="1">
      <c r="T39638" s="41"/>
    </row>
    <row r="39639" spans="20:20" s="566" customFormat="1">
      <c r="T39639" s="41"/>
    </row>
    <row r="39640" spans="20:20" s="566" customFormat="1">
      <c r="T39640" s="41"/>
    </row>
    <row r="39641" spans="20:20" s="566" customFormat="1">
      <c r="T39641" s="41"/>
    </row>
    <row r="39642" spans="20:20" s="566" customFormat="1">
      <c r="T39642" s="41"/>
    </row>
    <row r="39643" spans="20:20" s="566" customFormat="1">
      <c r="T39643" s="41"/>
    </row>
    <row r="39644" spans="20:20" s="566" customFormat="1">
      <c r="T39644" s="41"/>
    </row>
    <row r="39645" spans="20:20" s="566" customFormat="1">
      <c r="T39645" s="41"/>
    </row>
    <row r="39646" spans="20:20" s="566" customFormat="1">
      <c r="T39646" s="41"/>
    </row>
    <row r="39647" spans="20:20" s="566" customFormat="1">
      <c r="T39647" s="41"/>
    </row>
    <row r="39648" spans="20:20" s="566" customFormat="1">
      <c r="T39648" s="41"/>
    </row>
    <row r="39649" spans="20:20" s="566" customFormat="1">
      <c r="T39649" s="41"/>
    </row>
    <row r="39650" spans="20:20" s="566" customFormat="1">
      <c r="T39650" s="41"/>
    </row>
    <row r="39651" spans="20:20" s="566" customFormat="1">
      <c r="T39651" s="41"/>
    </row>
    <row r="39652" spans="20:20" s="566" customFormat="1">
      <c r="T39652" s="41"/>
    </row>
    <row r="39653" spans="20:20" s="566" customFormat="1">
      <c r="T39653" s="41"/>
    </row>
    <row r="39654" spans="20:20" s="566" customFormat="1">
      <c r="T39654" s="41"/>
    </row>
    <row r="39655" spans="20:20" s="566" customFormat="1">
      <c r="T39655" s="41"/>
    </row>
    <row r="39656" spans="20:20" s="566" customFormat="1">
      <c r="T39656" s="41"/>
    </row>
    <row r="39657" spans="20:20" s="566" customFormat="1">
      <c r="T39657" s="41"/>
    </row>
    <row r="39658" spans="20:20" s="566" customFormat="1">
      <c r="T39658" s="41"/>
    </row>
    <row r="39659" spans="20:20" s="566" customFormat="1">
      <c r="T39659" s="41"/>
    </row>
    <row r="39660" spans="20:20" s="566" customFormat="1">
      <c r="T39660" s="41"/>
    </row>
    <row r="39661" spans="20:20" s="566" customFormat="1">
      <c r="T39661" s="41"/>
    </row>
    <row r="39662" spans="20:20" s="566" customFormat="1">
      <c r="T39662" s="41"/>
    </row>
    <row r="39663" spans="20:20" s="566" customFormat="1">
      <c r="T39663" s="41"/>
    </row>
    <row r="39664" spans="20:20" s="566" customFormat="1">
      <c r="T39664" s="41"/>
    </row>
    <row r="39665" spans="20:20" s="566" customFormat="1">
      <c r="T39665" s="41"/>
    </row>
    <row r="39666" spans="20:20" s="566" customFormat="1">
      <c r="T39666" s="41"/>
    </row>
    <row r="39667" spans="20:20" s="566" customFormat="1">
      <c r="T39667" s="41"/>
    </row>
    <row r="39668" spans="20:20" s="566" customFormat="1">
      <c r="T39668" s="41"/>
    </row>
    <row r="39669" spans="20:20" s="566" customFormat="1">
      <c r="T39669" s="41"/>
    </row>
    <row r="39670" spans="20:20" s="566" customFormat="1">
      <c r="T39670" s="41"/>
    </row>
    <row r="39671" spans="20:20" s="566" customFormat="1">
      <c r="T39671" s="41"/>
    </row>
    <row r="39672" spans="20:20" s="566" customFormat="1">
      <c r="T39672" s="41"/>
    </row>
    <row r="39673" spans="20:20" s="566" customFormat="1">
      <c r="T39673" s="41"/>
    </row>
    <row r="39674" spans="20:20" s="566" customFormat="1">
      <c r="T39674" s="41"/>
    </row>
    <row r="39675" spans="20:20" s="566" customFormat="1">
      <c r="T39675" s="41"/>
    </row>
    <row r="39676" spans="20:20" s="566" customFormat="1">
      <c r="T39676" s="41"/>
    </row>
    <row r="39677" spans="20:20" s="566" customFormat="1">
      <c r="T39677" s="41"/>
    </row>
    <row r="39678" spans="20:20" s="566" customFormat="1">
      <c r="T39678" s="41"/>
    </row>
    <row r="39679" spans="20:20" s="566" customFormat="1">
      <c r="T39679" s="41"/>
    </row>
    <row r="39680" spans="20:20" s="566" customFormat="1">
      <c r="T39680" s="41"/>
    </row>
    <row r="39681" spans="20:20" s="566" customFormat="1">
      <c r="T39681" s="41"/>
    </row>
    <row r="39682" spans="20:20" s="566" customFormat="1">
      <c r="T39682" s="41"/>
    </row>
    <row r="39683" spans="20:20" s="566" customFormat="1">
      <c r="T39683" s="41"/>
    </row>
    <row r="39684" spans="20:20" s="566" customFormat="1">
      <c r="T39684" s="41"/>
    </row>
    <row r="39685" spans="20:20" s="566" customFormat="1">
      <c r="T39685" s="41"/>
    </row>
    <row r="39686" spans="20:20" s="566" customFormat="1">
      <c r="T39686" s="41"/>
    </row>
    <row r="39687" spans="20:20" s="566" customFormat="1">
      <c r="T39687" s="41"/>
    </row>
    <row r="39688" spans="20:20" s="566" customFormat="1">
      <c r="T39688" s="41"/>
    </row>
    <row r="39689" spans="20:20" s="566" customFormat="1">
      <c r="T39689" s="41"/>
    </row>
    <row r="39690" spans="20:20" s="566" customFormat="1">
      <c r="T39690" s="41"/>
    </row>
    <row r="39691" spans="20:20" s="566" customFormat="1">
      <c r="T39691" s="41"/>
    </row>
    <row r="39692" spans="20:20" s="566" customFormat="1">
      <c r="T39692" s="41"/>
    </row>
    <row r="39693" spans="20:20" s="566" customFormat="1">
      <c r="T39693" s="41"/>
    </row>
    <row r="39694" spans="20:20" s="566" customFormat="1">
      <c r="T39694" s="41"/>
    </row>
    <row r="39695" spans="20:20" s="566" customFormat="1">
      <c r="T39695" s="41"/>
    </row>
    <row r="39696" spans="20:20" s="566" customFormat="1">
      <c r="T39696" s="41"/>
    </row>
    <row r="39697" spans="20:20" s="566" customFormat="1">
      <c r="T39697" s="41"/>
    </row>
    <row r="39698" spans="20:20" s="566" customFormat="1">
      <c r="T39698" s="41"/>
    </row>
    <row r="39699" spans="20:20" s="566" customFormat="1">
      <c r="T39699" s="41"/>
    </row>
    <row r="39700" spans="20:20" s="566" customFormat="1">
      <c r="T39700" s="41"/>
    </row>
    <row r="39701" spans="20:20" s="566" customFormat="1">
      <c r="T39701" s="41"/>
    </row>
    <row r="39702" spans="20:20" s="566" customFormat="1">
      <c r="T39702" s="41"/>
    </row>
    <row r="39703" spans="20:20" s="566" customFormat="1">
      <c r="T39703" s="41"/>
    </row>
    <row r="39704" spans="20:20" s="566" customFormat="1">
      <c r="T39704" s="41"/>
    </row>
    <row r="39705" spans="20:20" s="566" customFormat="1">
      <c r="T39705" s="41"/>
    </row>
    <row r="39706" spans="20:20" s="566" customFormat="1">
      <c r="T39706" s="41"/>
    </row>
    <row r="39707" spans="20:20" s="566" customFormat="1">
      <c r="T39707" s="41"/>
    </row>
    <row r="39708" spans="20:20" s="566" customFormat="1">
      <c r="T39708" s="41"/>
    </row>
    <row r="39709" spans="20:20" s="566" customFormat="1">
      <c r="T39709" s="41"/>
    </row>
    <row r="39710" spans="20:20" s="566" customFormat="1">
      <c r="T39710" s="41"/>
    </row>
    <row r="39711" spans="20:20" s="566" customFormat="1">
      <c r="T39711" s="41"/>
    </row>
    <row r="39712" spans="20:20" s="566" customFormat="1">
      <c r="T39712" s="41"/>
    </row>
    <row r="39713" spans="20:20" s="566" customFormat="1">
      <c r="T39713" s="41"/>
    </row>
    <row r="39714" spans="20:20" s="566" customFormat="1">
      <c r="T39714" s="41"/>
    </row>
    <row r="39715" spans="20:20" s="566" customFormat="1">
      <c r="T39715" s="41"/>
    </row>
    <row r="39716" spans="20:20" s="566" customFormat="1">
      <c r="T39716" s="41"/>
    </row>
    <row r="39717" spans="20:20" s="566" customFormat="1">
      <c r="T39717" s="41"/>
    </row>
    <row r="39718" spans="20:20" s="566" customFormat="1">
      <c r="T39718" s="41"/>
    </row>
    <row r="39719" spans="20:20" s="566" customFormat="1">
      <c r="T39719" s="41"/>
    </row>
    <row r="39720" spans="20:20" s="566" customFormat="1">
      <c r="T39720" s="41"/>
    </row>
    <row r="39721" spans="20:20" s="566" customFormat="1">
      <c r="T39721" s="41"/>
    </row>
    <row r="39722" spans="20:20" s="566" customFormat="1">
      <c r="T39722" s="41"/>
    </row>
    <row r="39723" spans="20:20" s="566" customFormat="1">
      <c r="T39723" s="41"/>
    </row>
    <row r="39724" spans="20:20" s="566" customFormat="1">
      <c r="T39724" s="41"/>
    </row>
    <row r="39725" spans="20:20" s="566" customFormat="1">
      <c r="T39725" s="41"/>
    </row>
    <row r="39726" spans="20:20" s="566" customFormat="1">
      <c r="T39726" s="41"/>
    </row>
    <row r="39727" spans="20:20" s="566" customFormat="1">
      <c r="T39727" s="41"/>
    </row>
    <row r="39728" spans="20:20" s="566" customFormat="1">
      <c r="T39728" s="41"/>
    </row>
    <row r="39729" spans="20:20" s="566" customFormat="1">
      <c r="T39729" s="41"/>
    </row>
    <row r="39730" spans="20:20" s="566" customFormat="1">
      <c r="T39730" s="41"/>
    </row>
    <row r="39731" spans="20:20" s="566" customFormat="1">
      <c r="T39731" s="41"/>
    </row>
    <row r="39732" spans="20:20" s="566" customFormat="1">
      <c r="T39732" s="41"/>
    </row>
    <row r="39733" spans="20:20" s="566" customFormat="1">
      <c r="T39733" s="41"/>
    </row>
    <row r="39734" spans="20:20" s="566" customFormat="1">
      <c r="T39734" s="41"/>
    </row>
    <row r="39735" spans="20:20" s="566" customFormat="1">
      <c r="T39735" s="41"/>
    </row>
    <row r="39736" spans="20:20" s="566" customFormat="1">
      <c r="T39736" s="41"/>
    </row>
    <row r="39737" spans="20:20" s="566" customFormat="1">
      <c r="T39737" s="41"/>
    </row>
    <row r="39738" spans="20:20" s="566" customFormat="1">
      <c r="T39738" s="41"/>
    </row>
    <row r="39739" spans="20:20" s="566" customFormat="1">
      <c r="T39739" s="41"/>
    </row>
    <row r="39740" spans="20:20" s="566" customFormat="1">
      <c r="T39740" s="41"/>
    </row>
    <row r="39741" spans="20:20" s="566" customFormat="1">
      <c r="T39741" s="41"/>
    </row>
    <row r="39742" spans="20:20" s="566" customFormat="1">
      <c r="T39742" s="41"/>
    </row>
    <row r="39743" spans="20:20" s="566" customFormat="1">
      <c r="T39743" s="41"/>
    </row>
    <row r="39744" spans="20:20" s="566" customFormat="1">
      <c r="T39744" s="41"/>
    </row>
    <row r="39745" spans="20:20" s="566" customFormat="1">
      <c r="T39745" s="41"/>
    </row>
    <row r="39746" spans="20:20" s="566" customFormat="1">
      <c r="T39746" s="41"/>
    </row>
    <row r="39747" spans="20:20" s="566" customFormat="1">
      <c r="T39747" s="41"/>
    </row>
    <row r="39748" spans="20:20" s="566" customFormat="1">
      <c r="T39748" s="41"/>
    </row>
    <row r="39749" spans="20:20" s="566" customFormat="1">
      <c r="T39749" s="41"/>
    </row>
    <row r="39750" spans="20:20" s="566" customFormat="1">
      <c r="T39750" s="41"/>
    </row>
    <row r="39751" spans="20:20" s="566" customFormat="1">
      <c r="T39751" s="41"/>
    </row>
    <row r="39752" spans="20:20" s="566" customFormat="1">
      <c r="T39752" s="41"/>
    </row>
    <row r="39753" spans="20:20" s="566" customFormat="1">
      <c r="T39753" s="41"/>
    </row>
    <row r="39754" spans="20:20" s="566" customFormat="1">
      <c r="T39754" s="41"/>
    </row>
    <row r="39755" spans="20:20" s="566" customFormat="1">
      <c r="T39755" s="41"/>
    </row>
    <row r="39756" spans="20:20" s="566" customFormat="1">
      <c r="T39756" s="41"/>
    </row>
    <row r="39757" spans="20:20" s="566" customFormat="1">
      <c r="T39757" s="41"/>
    </row>
    <row r="39758" spans="20:20" s="566" customFormat="1">
      <c r="T39758" s="41"/>
    </row>
    <row r="39759" spans="20:20" s="566" customFormat="1">
      <c r="T39759" s="41"/>
    </row>
    <row r="39760" spans="20:20" s="566" customFormat="1">
      <c r="T39760" s="41"/>
    </row>
    <row r="39761" spans="20:20" s="566" customFormat="1">
      <c r="T39761" s="41"/>
    </row>
    <row r="39762" spans="20:20" s="566" customFormat="1">
      <c r="T39762" s="41"/>
    </row>
    <row r="39763" spans="20:20" s="566" customFormat="1">
      <c r="T39763" s="41"/>
    </row>
    <row r="39764" spans="20:20" s="566" customFormat="1">
      <c r="T39764" s="41"/>
    </row>
    <row r="39765" spans="20:20" s="566" customFormat="1">
      <c r="T39765" s="41"/>
    </row>
    <row r="39766" spans="20:20" s="566" customFormat="1">
      <c r="T39766" s="41"/>
    </row>
    <row r="39767" spans="20:20" s="566" customFormat="1">
      <c r="T39767" s="41"/>
    </row>
    <row r="39768" spans="20:20" s="566" customFormat="1">
      <c r="T39768" s="41"/>
    </row>
    <row r="39769" spans="20:20" s="566" customFormat="1">
      <c r="T39769" s="41"/>
    </row>
    <row r="39770" spans="20:20" s="566" customFormat="1">
      <c r="T39770" s="41"/>
    </row>
    <row r="39771" spans="20:20" s="566" customFormat="1">
      <c r="T39771" s="41"/>
    </row>
    <row r="39772" spans="20:20" s="566" customFormat="1">
      <c r="T39772" s="41"/>
    </row>
    <row r="39773" spans="20:20" s="566" customFormat="1">
      <c r="T39773" s="41"/>
    </row>
    <row r="39774" spans="20:20" s="566" customFormat="1">
      <c r="T39774" s="41"/>
    </row>
    <row r="39775" spans="20:20" s="566" customFormat="1">
      <c r="T39775" s="41"/>
    </row>
    <row r="39776" spans="20:20" s="566" customFormat="1">
      <c r="T39776" s="41"/>
    </row>
    <row r="39777" spans="20:20" s="566" customFormat="1">
      <c r="T39777" s="41"/>
    </row>
    <row r="39778" spans="20:20" s="566" customFormat="1">
      <c r="T39778" s="41"/>
    </row>
    <row r="39779" spans="20:20" s="566" customFormat="1">
      <c r="T39779" s="41"/>
    </row>
    <row r="39780" spans="20:20" s="566" customFormat="1">
      <c r="T39780" s="41"/>
    </row>
    <row r="39781" spans="20:20" s="566" customFormat="1">
      <c r="T39781" s="41"/>
    </row>
    <row r="39782" spans="20:20" s="566" customFormat="1">
      <c r="T39782" s="41"/>
    </row>
    <row r="39783" spans="20:20" s="566" customFormat="1">
      <c r="T39783" s="41"/>
    </row>
    <row r="39784" spans="20:20" s="566" customFormat="1">
      <c r="T39784" s="41"/>
    </row>
    <row r="39785" spans="20:20" s="566" customFormat="1">
      <c r="T39785" s="41"/>
    </row>
    <row r="39786" spans="20:20" s="566" customFormat="1">
      <c r="T39786" s="41"/>
    </row>
    <row r="39787" spans="20:20" s="566" customFormat="1">
      <c r="T39787" s="41"/>
    </row>
    <row r="39788" spans="20:20" s="566" customFormat="1">
      <c r="T39788" s="41"/>
    </row>
    <row r="39789" spans="20:20" s="566" customFormat="1">
      <c r="T39789" s="41"/>
    </row>
    <row r="39790" spans="20:20" s="566" customFormat="1">
      <c r="T39790" s="41"/>
    </row>
    <row r="39791" spans="20:20" s="566" customFormat="1">
      <c r="T39791" s="41"/>
    </row>
    <row r="39792" spans="20:20" s="566" customFormat="1">
      <c r="T39792" s="41"/>
    </row>
    <row r="39793" spans="20:20" s="566" customFormat="1">
      <c r="T39793" s="41"/>
    </row>
    <row r="39794" spans="20:20" s="566" customFormat="1">
      <c r="T39794" s="41"/>
    </row>
    <row r="39795" spans="20:20" s="566" customFormat="1">
      <c r="T39795" s="41"/>
    </row>
    <row r="39796" spans="20:20" s="566" customFormat="1">
      <c r="T39796" s="41"/>
    </row>
    <row r="39797" spans="20:20" s="566" customFormat="1">
      <c r="T39797" s="41"/>
    </row>
    <row r="39798" spans="20:20" s="566" customFormat="1">
      <c r="T39798" s="41"/>
    </row>
    <row r="39799" spans="20:20" s="566" customFormat="1">
      <c r="T39799" s="41"/>
    </row>
    <row r="39800" spans="20:20" s="566" customFormat="1">
      <c r="T39800" s="41"/>
    </row>
    <row r="39801" spans="20:20" s="566" customFormat="1">
      <c r="T39801" s="41"/>
    </row>
    <row r="39802" spans="20:20" s="566" customFormat="1">
      <c r="T39802" s="41"/>
    </row>
    <row r="39803" spans="20:20" s="566" customFormat="1">
      <c r="T39803" s="41"/>
    </row>
    <row r="39804" spans="20:20" s="566" customFormat="1">
      <c r="T39804" s="41"/>
    </row>
    <row r="39805" spans="20:20" s="566" customFormat="1">
      <c r="T39805" s="41"/>
    </row>
    <row r="39806" spans="20:20" s="566" customFormat="1">
      <c r="T39806" s="41"/>
    </row>
    <row r="39807" spans="20:20" s="566" customFormat="1">
      <c r="T39807" s="41"/>
    </row>
    <row r="39808" spans="20:20" s="566" customFormat="1">
      <c r="T39808" s="41"/>
    </row>
    <row r="39809" spans="20:20" s="566" customFormat="1">
      <c r="T39809" s="41"/>
    </row>
    <row r="39810" spans="20:20" s="566" customFormat="1">
      <c r="T39810" s="41"/>
    </row>
    <row r="39811" spans="20:20" s="566" customFormat="1">
      <c r="T39811" s="41"/>
    </row>
    <row r="39812" spans="20:20" s="566" customFormat="1">
      <c r="T39812" s="41"/>
    </row>
    <row r="39813" spans="20:20" s="566" customFormat="1">
      <c r="T39813" s="41"/>
    </row>
    <row r="39814" spans="20:20" s="566" customFormat="1">
      <c r="T39814" s="41"/>
    </row>
    <row r="39815" spans="20:20" s="566" customFormat="1">
      <c r="T39815" s="41"/>
    </row>
    <row r="39816" spans="20:20" s="566" customFormat="1">
      <c r="T39816" s="41"/>
    </row>
    <row r="39817" spans="20:20" s="566" customFormat="1">
      <c r="T39817" s="41"/>
    </row>
    <row r="39818" spans="20:20" s="566" customFormat="1">
      <c r="T39818" s="41"/>
    </row>
    <row r="39819" spans="20:20" s="566" customFormat="1">
      <c r="T39819" s="41"/>
    </row>
    <row r="39820" spans="20:20" s="566" customFormat="1">
      <c r="T39820" s="41"/>
    </row>
    <row r="39821" spans="20:20" s="566" customFormat="1">
      <c r="T39821" s="41"/>
    </row>
    <row r="39822" spans="20:20" s="566" customFormat="1">
      <c r="T39822" s="41"/>
    </row>
    <row r="39823" spans="20:20" s="566" customFormat="1">
      <c r="T39823" s="41"/>
    </row>
    <row r="39824" spans="20:20" s="566" customFormat="1">
      <c r="T39824" s="41"/>
    </row>
    <row r="39825" spans="20:20" s="566" customFormat="1">
      <c r="T39825" s="41"/>
    </row>
    <row r="39826" spans="20:20" s="566" customFormat="1">
      <c r="T39826" s="41"/>
    </row>
    <row r="39827" spans="20:20" s="566" customFormat="1">
      <c r="T39827" s="41"/>
    </row>
    <row r="39828" spans="20:20" s="566" customFormat="1">
      <c r="T39828" s="41"/>
    </row>
    <row r="39829" spans="20:20" s="566" customFormat="1">
      <c r="T39829" s="41"/>
    </row>
    <row r="39830" spans="20:20" s="566" customFormat="1">
      <c r="T39830" s="41"/>
    </row>
    <row r="39831" spans="20:20" s="566" customFormat="1">
      <c r="T39831" s="41"/>
    </row>
    <row r="39832" spans="20:20" s="566" customFormat="1">
      <c r="T39832" s="41"/>
    </row>
    <row r="39833" spans="20:20" s="566" customFormat="1">
      <c r="T39833" s="41"/>
    </row>
    <row r="39834" spans="20:20" s="566" customFormat="1">
      <c r="T39834" s="41"/>
    </row>
    <row r="39835" spans="20:20" s="566" customFormat="1">
      <c r="T39835" s="41"/>
    </row>
    <row r="39836" spans="20:20" s="566" customFormat="1">
      <c r="T39836" s="41"/>
    </row>
    <row r="39837" spans="20:20" s="566" customFormat="1">
      <c r="T39837" s="41"/>
    </row>
    <row r="39838" spans="20:20" s="566" customFormat="1">
      <c r="T39838" s="41"/>
    </row>
    <row r="39839" spans="20:20" s="566" customFormat="1">
      <c r="T39839" s="41"/>
    </row>
    <row r="39840" spans="20:20" s="566" customFormat="1">
      <c r="T39840" s="41"/>
    </row>
    <row r="39841" spans="20:20" s="566" customFormat="1">
      <c r="T39841" s="41"/>
    </row>
    <row r="39842" spans="20:20" s="566" customFormat="1">
      <c r="T39842" s="41"/>
    </row>
    <row r="39843" spans="20:20" s="566" customFormat="1">
      <c r="T39843" s="41"/>
    </row>
    <row r="39844" spans="20:20" s="566" customFormat="1">
      <c r="T39844" s="41"/>
    </row>
    <row r="39845" spans="20:20" s="566" customFormat="1">
      <c r="T39845" s="41"/>
    </row>
    <row r="39846" spans="20:20" s="566" customFormat="1">
      <c r="T39846" s="41"/>
    </row>
    <row r="39847" spans="20:20" s="566" customFormat="1">
      <c r="T39847" s="41"/>
    </row>
    <row r="39848" spans="20:20" s="566" customFormat="1">
      <c r="T39848" s="41"/>
    </row>
    <row r="39849" spans="20:20" s="566" customFormat="1">
      <c r="T39849" s="41"/>
    </row>
    <row r="39850" spans="20:20" s="566" customFormat="1">
      <c r="T39850" s="41"/>
    </row>
    <row r="39851" spans="20:20" s="566" customFormat="1">
      <c r="T39851" s="41"/>
    </row>
    <row r="39852" spans="20:20" s="566" customFormat="1">
      <c r="T39852" s="41"/>
    </row>
    <row r="39853" spans="20:20" s="566" customFormat="1">
      <c r="T39853" s="41"/>
    </row>
    <row r="39854" spans="20:20" s="566" customFormat="1">
      <c r="T39854" s="41"/>
    </row>
    <row r="39855" spans="20:20" s="566" customFormat="1">
      <c r="T39855" s="41"/>
    </row>
    <row r="39856" spans="20:20" s="566" customFormat="1">
      <c r="T39856" s="41"/>
    </row>
    <row r="39857" spans="20:20" s="566" customFormat="1">
      <c r="T39857" s="41"/>
    </row>
    <row r="39858" spans="20:20" s="566" customFormat="1">
      <c r="T39858" s="41"/>
    </row>
    <row r="39859" spans="20:20" s="566" customFormat="1">
      <c r="T39859" s="41"/>
    </row>
    <row r="39860" spans="20:20" s="566" customFormat="1">
      <c r="T39860" s="41"/>
    </row>
    <row r="39861" spans="20:20" s="566" customFormat="1">
      <c r="T39861" s="41"/>
    </row>
    <row r="39862" spans="20:20" s="566" customFormat="1">
      <c r="T39862" s="41"/>
    </row>
    <row r="39863" spans="20:20" s="566" customFormat="1">
      <c r="T39863" s="41"/>
    </row>
    <row r="39864" spans="20:20" s="566" customFormat="1">
      <c r="T39864" s="41"/>
    </row>
    <row r="39865" spans="20:20" s="566" customFormat="1">
      <c r="T39865" s="41"/>
    </row>
    <row r="39866" spans="20:20" s="566" customFormat="1">
      <c r="T39866" s="41"/>
    </row>
    <row r="39867" spans="20:20" s="566" customFormat="1">
      <c r="T39867" s="41"/>
    </row>
    <row r="39868" spans="20:20" s="566" customFormat="1">
      <c r="T39868" s="41"/>
    </row>
    <row r="39869" spans="20:20" s="566" customFormat="1">
      <c r="T39869" s="41"/>
    </row>
    <row r="39870" spans="20:20" s="566" customFormat="1">
      <c r="T39870" s="41"/>
    </row>
    <row r="39871" spans="20:20" s="566" customFormat="1">
      <c r="T39871" s="41"/>
    </row>
    <row r="39872" spans="20:20" s="566" customFormat="1">
      <c r="T39872" s="41"/>
    </row>
    <row r="39873" spans="20:20" s="566" customFormat="1">
      <c r="T39873" s="41"/>
    </row>
    <row r="39874" spans="20:20" s="566" customFormat="1">
      <c r="T39874" s="41"/>
    </row>
    <row r="39875" spans="20:20" s="566" customFormat="1">
      <c r="T39875" s="41"/>
    </row>
    <row r="39876" spans="20:20" s="566" customFormat="1">
      <c r="T39876" s="41"/>
    </row>
    <row r="39877" spans="20:20" s="566" customFormat="1">
      <c r="T39877" s="41"/>
    </row>
    <row r="39878" spans="20:20" s="566" customFormat="1">
      <c r="T39878" s="41"/>
    </row>
    <row r="39879" spans="20:20" s="566" customFormat="1">
      <c r="T39879" s="41"/>
    </row>
    <row r="39880" spans="20:20" s="566" customFormat="1">
      <c r="T39880" s="41"/>
    </row>
    <row r="39881" spans="20:20" s="566" customFormat="1">
      <c r="T39881" s="41"/>
    </row>
    <row r="39882" spans="20:20" s="566" customFormat="1">
      <c r="T39882" s="41"/>
    </row>
    <row r="39883" spans="20:20" s="566" customFormat="1">
      <c r="T39883" s="41"/>
    </row>
    <row r="39884" spans="20:20" s="566" customFormat="1">
      <c r="T39884" s="41"/>
    </row>
    <row r="39885" spans="20:20" s="566" customFormat="1">
      <c r="T39885" s="41"/>
    </row>
    <row r="39886" spans="20:20" s="566" customFormat="1">
      <c r="T39886" s="41"/>
    </row>
    <row r="39887" spans="20:20" s="566" customFormat="1">
      <c r="T39887" s="41"/>
    </row>
    <row r="39888" spans="20:20" s="566" customFormat="1">
      <c r="T39888" s="41"/>
    </row>
    <row r="39889" spans="20:20" s="566" customFormat="1">
      <c r="T39889" s="41"/>
    </row>
    <row r="39890" spans="20:20" s="566" customFormat="1">
      <c r="T39890" s="41"/>
    </row>
    <row r="39891" spans="20:20" s="566" customFormat="1">
      <c r="T39891" s="41"/>
    </row>
    <row r="39892" spans="20:20" s="566" customFormat="1">
      <c r="T39892" s="41"/>
    </row>
    <row r="39893" spans="20:20" s="566" customFormat="1">
      <c r="T39893" s="41"/>
    </row>
    <row r="39894" spans="20:20" s="566" customFormat="1">
      <c r="T39894" s="41"/>
    </row>
    <row r="39895" spans="20:20" s="566" customFormat="1">
      <c r="T39895" s="41"/>
    </row>
    <row r="39896" spans="20:20" s="566" customFormat="1">
      <c r="T39896" s="41"/>
    </row>
    <row r="39897" spans="20:20" s="566" customFormat="1">
      <c r="T39897" s="41"/>
    </row>
    <row r="39898" spans="20:20" s="566" customFormat="1">
      <c r="T39898" s="41"/>
    </row>
    <row r="39899" spans="20:20" s="566" customFormat="1">
      <c r="T39899" s="41"/>
    </row>
    <row r="39900" spans="20:20" s="566" customFormat="1">
      <c r="T39900" s="41"/>
    </row>
    <row r="39901" spans="20:20" s="566" customFormat="1">
      <c r="T39901" s="41"/>
    </row>
    <row r="39902" spans="20:20" s="566" customFormat="1">
      <c r="T39902" s="41"/>
    </row>
    <row r="39903" spans="20:20" s="566" customFormat="1">
      <c r="T39903" s="41"/>
    </row>
    <row r="39904" spans="20:20" s="566" customFormat="1">
      <c r="T39904" s="41"/>
    </row>
    <row r="39905" spans="20:20" s="566" customFormat="1">
      <c r="T39905" s="41"/>
    </row>
    <row r="39906" spans="20:20" s="566" customFormat="1">
      <c r="T39906" s="41"/>
    </row>
    <row r="39907" spans="20:20" s="566" customFormat="1">
      <c r="T39907" s="41"/>
    </row>
    <row r="39908" spans="20:20" s="566" customFormat="1">
      <c r="T39908" s="41"/>
    </row>
    <row r="39909" spans="20:20" s="566" customFormat="1">
      <c r="T39909" s="41"/>
    </row>
    <row r="39910" spans="20:20" s="566" customFormat="1">
      <c r="T39910" s="41"/>
    </row>
    <row r="39911" spans="20:20" s="566" customFormat="1">
      <c r="T39911" s="41"/>
    </row>
    <row r="39912" spans="20:20" s="566" customFormat="1">
      <c r="T39912" s="41"/>
    </row>
    <row r="39913" spans="20:20" s="566" customFormat="1">
      <c r="T39913" s="41"/>
    </row>
    <row r="39914" spans="20:20" s="566" customFormat="1">
      <c r="T39914" s="41"/>
    </row>
    <row r="39915" spans="20:20" s="566" customFormat="1">
      <c r="T39915" s="41"/>
    </row>
    <row r="39916" spans="20:20" s="566" customFormat="1">
      <c r="T39916" s="41"/>
    </row>
    <row r="39917" spans="20:20" s="566" customFormat="1">
      <c r="T39917" s="41"/>
    </row>
    <row r="39918" spans="20:20" s="566" customFormat="1">
      <c r="T39918" s="41"/>
    </row>
    <row r="39919" spans="20:20" s="566" customFormat="1">
      <c r="T39919" s="41"/>
    </row>
    <row r="39920" spans="20:20" s="566" customFormat="1">
      <c r="T39920" s="41"/>
    </row>
    <row r="39921" spans="20:20" s="566" customFormat="1">
      <c r="T39921" s="41"/>
    </row>
    <row r="39922" spans="20:20" s="566" customFormat="1">
      <c r="T39922" s="41"/>
    </row>
    <row r="39923" spans="20:20" s="566" customFormat="1">
      <c r="T39923" s="41"/>
    </row>
    <row r="39924" spans="20:20" s="566" customFormat="1">
      <c r="T39924" s="41"/>
    </row>
    <row r="39925" spans="20:20" s="566" customFormat="1">
      <c r="T39925" s="41"/>
    </row>
    <row r="39926" spans="20:20" s="566" customFormat="1">
      <c r="T39926" s="41"/>
    </row>
    <row r="39927" spans="20:20" s="566" customFormat="1">
      <c r="T39927" s="41"/>
    </row>
    <row r="39928" spans="20:20" s="566" customFormat="1">
      <c r="T39928" s="41"/>
    </row>
    <row r="39929" spans="20:20" s="566" customFormat="1">
      <c r="T39929" s="41"/>
    </row>
    <row r="39930" spans="20:20" s="566" customFormat="1">
      <c r="T39930" s="41"/>
    </row>
    <row r="39931" spans="20:20" s="566" customFormat="1">
      <c r="T39931" s="41"/>
    </row>
    <row r="39932" spans="20:20" s="566" customFormat="1">
      <c r="T39932" s="41"/>
    </row>
    <row r="39933" spans="20:20" s="566" customFormat="1">
      <c r="T39933" s="41"/>
    </row>
    <row r="39934" spans="20:20" s="566" customFormat="1">
      <c r="T39934" s="41"/>
    </row>
    <row r="39935" spans="20:20" s="566" customFormat="1">
      <c r="T39935" s="41"/>
    </row>
    <row r="39936" spans="20:20" s="566" customFormat="1">
      <c r="T39936" s="41"/>
    </row>
    <row r="39937" spans="20:20" s="566" customFormat="1">
      <c r="T39937" s="41"/>
    </row>
    <row r="39938" spans="20:20" s="566" customFormat="1">
      <c r="T39938" s="41"/>
    </row>
    <row r="39939" spans="20:20" s="566" customFormat="1">
      <c r="T39939" s="41"/>
    </row>
    <row r="39940" spans="20:20" s="566" customFormat="1">
      <c r="T39940" s="41"/>
    </row>
    <row r="39941" spans="20:20" s="566" customFormat="1">
      <c r="T39941" s="41"/>
    </row>
    <row r="39942" spans="20:20" s="566" customFormat="1">
      <c r="T39942" s="41"/>
    </row>
    <row r="39943" spans="20:20" s="566" customFormat="1">
      <c r="T39943" s="41"/>
    </row>
    <row r="39944" spans="20:20" s="566" customFormat="1">
      <c r="T39944" s="41"/>
    </row>
    <row r="39945" spans="20:20" s="566" customFormat="1">
      <c r="T39945" s="41"/>
    </row>
    <row r="39946" spans="20:20" s="566" customFormat="1">
      <c r="T39946" s="41"/>
    </row>
    <row r="39947" spans="20:20" s="566" customFormat="1">
      <c r="T39947" s="41"/>
    </row>
    <row r="39948" spans="20:20" s="566" customFormat="1">
      <c r="T39948" s="41"/>
    </row>
    <row r="39949" spans="20:20" s="566" customFormat="1">
      <c r="T39949" s="41"/>
    </row>
    <row r="39950" spans="20:20" s="566" customFormat="1">
      <c r="T39950" s="41"/>
    </row>
    <row r="39951" spans="20:20" s="566" customFormat="1">
      <c r="T39951" s="41"/>
    </row>
    <row r="39952" spans="20:20" s="566" customFormat="1">
      <c r="T39952" s="41"/>
    </row>
    <row r="39953" spans="20:20" s="566" customFormat="1">
      <c r="T39953" s="41"/>
    </row>
    <row r="39954" spans="20:20" s="566" customFormat="1">
      <c r="T39954" s="41"/>
    </row>
    <row r="39955" spans="20:20" s="566" customFormat="1">
      <c r="T39955" s="41"/>
    </row>
    <row r="39956" spans="20:20" s="566" customFormat="1">
      <c r="T39956" s="41"/>
    </row>
    <row r="39957" spans="20:20" s="566" customFormat="1">
      <c r="T39957" s="41"/>
    </row>
    <row r="39958" spans="20:20" s="566" customFormat="1">
      <c r="T39958" s="41"/>
    </row>
    <row r="39959" spans="20:20" s="566" customFormat="1">
      <c r="T39959" s="41"/>
    </row>
    <row r="39960" spans="20:20" s="566" customFormat="1">
      <c r="T39960" s="41"/>
    </row>
    <row r="39961" spans="20:20" s="566" customFormat="1">
      <c r="T39961" s="41"/>
    </row>
    <row r="39962" spans="20:20" s="566" customFormat="1">
      <c r="T39962" s="41"/>
    </row>
    <row r="39963" spans="20:20" s="566" customFormat="1">
      <c r="T39963" s="41"/>
    </row>
    <row r="39964" spans="20:20" s="566" customFormat="1">
      <c r="T39964" s="41"/>
    </row>
    <row r="39965" spans="20:20" s="566" customFormat="1">
      <c r="T39965" s="41"/>
    </row>
    <row r="39966" spans="20:20" s="566" customFormat="1">
      <c r="T39966" s="41"/>
    </row>
    <row r="39967" spans="20:20" s="566" customFormat="1">
      <c r="T39967" s="41"/>
    </row>
    <row r="39968" spans="20:20" s="566" customFormat="1">
      <c r="T39968" s="41"/>
    </row>
    <row r="39969" spans="20:20" s="566" customFormat="1">
      <c r="T39969" s="41"/>
    </row>
    <row r="39970" spans="20:20" s="566" customFormat="1">
      <c r="T39970" s="41"/>
    </row>
    <row r="39971" spans="20:20" s="566" customFormat="1">
      <c r="T39971" s="41"/>
    </row>
    <row r="39972" spans="20:20" s="566" customFormat="1">
      <c r="T39972" s="41"/>
    </row>
    <row r="39973" spans="20:20" s="566" customFormat="1">
      <c r="T39973" s="41"/>
    </row>
    <row r="39974" spans="20:20" s="566" customFormat="1">
      <c r="T39974" s="41"/>
    </row>
    <row r="39975" spans="20:20" s="566" customFormat="1">
      <c r="T39975" s="41"/>
    </row>
    <row r="39976" spans="20:20" s="566" customFormat="1">
      <c r="T39976" s="41"/>
    </row>
    <row r="39977" spans="20:20" s="566" customFormat="1">
      <c r="T39977" s="41"/>
    </row>
    <row r="39978" spans="20:20" s="566" customFormat="1">
      <c r="T39978" s="41"/>
    </row>
    <row r="39979" spans="20:20" s="566" customFormat="1">
      <c r="T39979" s="41"/>
    </row>
    <row r="39980" spans="20:20" s="566" customFormat="1">
      <c r="T39980" s="41"/>
    </row>
    <row r="39981" spans="20:20" s="566" customFormat="1">
      <c r="T39981" s="41"/>
    </row>
    <row r="39982" spans="20:20" s="566" customFormat="1">
      <c r="T39982" s="41"/>
    </row>
    <row r="39983" spans="20:20" s="566" customFormat="1">
      <c r="T39983" s="41"/>
    </row>
    <row r="39984" spans="20:20" s="566" customFormat="1">
      <c r="T39984" s="41"/>
    </row>
    <row r="39985" spans="20:20" s="566" customFormat="1">
      <c r="T39985" s="41"/>
    </row>
    <row r="39986" spans="20:20" s="566" customFormat="1">
      <c r="T39986" s="41"/>
    </row>
    <row r="39987" spans="20:20" s="566" customFormat="1">
      <c r="T39987" s="41"/>
    </row>
    <row r="39988" spans="20:20" s="566" customFormat="1">
      <c r="T39988" s="41"/>
    </row>
    <row r="39989" spans="20:20" s="566" customFormat="1">
      <c r="T39989" s="41"/>
    </row>
    <row r="39990" spans="20:20" s="566" customFormat="1">
      <c r="T39990" s="41"/>
    </row>
    <row r="39991" spans="20:20" s="566" customFormat="1">
      <c r="T39991" s="41"/>
    </row>
    <row r="39992" spans="20:20" s="566" customFormat="1">
      <c r="T39992" s="41"/>
    </row>
    <row r="39993" spans="20:20" s="566" customFormat="1">
      <c r="T39993" s="41"/>
    </row>
    <row r="39994" spans="20:20" s="566" customFormat="1">
      <c r="T39994" s="41"/>
    </row>
    <row r="39995" spans="20:20" s="566" customFormat="1">
      <c r="T39995" s="41"/>
    </row>
    <row r="39996" spans="20:20" s="566" customFormat="1">
      <c r="T39996" s="41"/>
    </row>
    <row r="39997" spans="20:20" s="566" customFormat="1">
      <c r="T39997" s="41"/>
    </row>
    <row r="39998" spans="20:20" s="566" customFormat="1">
      <c r="T39998" s="41"/>
    </row>
    <row r="39999" spans="20:20" s="566" customFormat="1">
      <c r="T39999" s="41"/>
    </row>
    <row r="40000" spans="20:20" s="566" customFormat="1">
      <c r="T40000" s="41"/>
    </row>
    <row r="40001" spans="20:20" s="566" customFormat="1">
      <c r="T40001" s="41"/>
    </row>
    <row r="40002" spans="20:20" s="566" customFormat="1">
      <c r="T40002" s="41"/>
    </row>
    <row r="40003" spans="20:20" s="566" customFormat="1">
      <c r="T40003" s="41"/>
    </row>
    <row r="40004" spans="20:20" s="566" customFormat="1">
      <c r="T40004" s="41"/>
    </row>
    <row r="40005" spans="20:20" s="566" customFormat="1">
      <c r="T40005" s="41"/>
    </row>
    <row r="40006" spans="20:20" s="566" customFormat="1">
      <c r="T40006" s="41"/>
    </row>
    <row r="40007" spans="20:20" s="566" customFormat="1">
      <c r="T40007" s="41"/>
    </row>
    <row r="40008" spans="20:20" s="566" customFormat="1">
      <c r="T40008" s="41"/>
    </row>
    <row r="40009" spans="20:20" s="566" customFormat="1">
      <c r="T40009" s="41"/>
    </row>
    <row r="40010" spans="20:20" s="566" customFormat="1">
      <c r="T40010" s="41"/>
    </row>
    <row r="40011" spans="20:20" s="566" customFormat="1">
      <c r="T40011" s="41"/>
    </row>
    <row r="40012" spans="20:20" s="566" customFormat="1">
      <c r="T40012" s="41"/>
    </row>
    <row r="40013" spans="20:20" s="566" customFormat="1">
      <c r="T40013" s="41"/>
    </row>
    <row r="40014" spans="20:20" s="566" customFormat="1">
      <c r="T40014" s="41"/>
    </row>
    <row r="40015" spans="20:20" s="566" customFormat="1">
      <c r="T40015" s="41"/>
    </row>
    <row r="40016" spans="20:20" s="566" customFormat="1">
      <c r="T40016" s="41"/>
    </row>
    <row r="40017" spans="20:20" s="566" customFormat="1">
      <c r="T40017" s="41"/>
    </row>
    <row r="40018" spans="20:20" s="566" customFormat="1">
      <c r="T40018" s="41"/>
    </row>
    <row r="40019" spans="20:20" s="566" customFormat="1">
      <c r="T40019" s="41"/>
    </row>
    <row r="40020" spans="20:20" s="566" customFormat="1">
      <c r="T40020" s="41"/>
    </row>
    <row r="40021" spans="20:20" s="566" customFormat="1">
      <c r="T40021" s="41"/>
    </row>
    <row r="40022" spans="20:20" s="566" customFormat="1">
      <c r="T40022" s="41"/>
    </row>
    <row r="40023" spans="20:20" s="566" customFormat="1">
      <c r="T40023" s="41"/>
    </row>
    <row r="40024" spans="20:20" s="566" customFormat="1">
      <c r="T40024" s="41"/>
    </row>
    <row r="40025" spans="20:20" s="566" customFormat="1">
      <c r="T40025" s="41"/>
    </row>
    <row r="40026" spans="20:20" s="566" customFormat="1">
      <c r="T40026" s="41"/>
    </row>
    <row r="40027" spans="20:20" s="566" customFormat="1">
      <c r="T40027" s="41"/>
    </row>
    <row r="40028" spans="20:20" s="566" customFormat="1">
      <c r="T40028" s="41"/>
    </row>
    <row r="40029" spans="20:20" s="566" customFormat="1">
      <c r="T40029" s="41"/>
    </row>
    <row r="40030" spans="20:20" s="566" customFormat="1">
      <c r="T40030" s="41"/>
    </row>
    <row r="40031" spans="20:20" s="566" customFormat="1">
      <c r="T40031" s="41"/>
    </row>
    <row r="40032" spans="20:20" s="566" customFormat="1">
      <c r="T40032" s="41"/>
    </row>
    <row r="40033" spans="20:20" s="566" customFormat="1">
      <c r="T40033" s="41"/>
    </row>
    <row r="40034" spans="20:20" s="566" customFormat="1">
      <c r="T40034" s="41"/>
    </row>
    <row r="40035" spans="20:20" s="566" customFormat="1">
      <c r="T40035" s="41"/>
    </row>
    <row r="40036" spans="20:20" s="566" customFormat="1">
      <c r="T40036" s="41"/>
    </row>
    <row r="40037" spans="20:20" s="566" customFormat="1">
      <c r="T40037" s="41"/>
    </row>
    <row r="40038" spans="20:20" s="566" customFormat="1">
      <c r="T40038" s="41"/>
    </row>
    <row r="40039" spans="20:20" s="566" customFormat="1">
      <c r="T40039" s="41"/>
    </row>
    <row r="40040" spans="20:20" s="566" customFormat="1">
      <c r="T40040" s="41"/>
    </row>
    <row r="40041" spans="20:20" s="566" customFormat="1">
      <c r="T40041" s="41"/>
    </row>
    <row r="40042" spans="20:20" s="566" customFormat="1">
      <c r="T40042" s="41"/>
    </row>
    <row r="40043" spans="20:20" s="566" customFormat="1">
      <c r="T40043" s="41"/>
    </row>
    <row r="40044" spans="20:20" s="566" customFormat="1">
      <c r="T40044" s="41"/>
    </row>
    <row r="40045" spans="20:20" s="566" customFormat="1">
      <c r="T40045" s="41"/>
    </row>
    <row r="40046" spans="20:20" s="566" customFormat="1">
      <c r="T40046" s="41"/>
    </row>
    <row r="40047" spans="20:20" s="566" customFormat="1">
      <c r="T40047" s="41"/>
    </row>
    <row r="40048" spans="20:20" s="566" customFormat="1">
      <c r="T40048" s="41"/>
    </row>
    <row r="40049" spans="20:20" s="566" customFormat="1">
      <c r="T40049" s="41"/>
    </row>
    <row r="40050" spans="20:20" s="566" customFormat="1">
      <c r="T40050" s="41"/>
    </row>
    <row r="40051" spans="20:20" s="566" customFormat="1">
      <c r="T40051" s="41"/>
    </row>
    <row r="40052" spans="20:20" s="566" customFormat="1">
      <c r="T40052" s="41"/>
    </row>
    <row r="40053" spans="20:20" s="566" customFormat="1">
      <c r="T40053" s="41"/>
    </row>
    <row r="40054" spans="20:20" s="566" customFormat="1">
      <c r="T40054" s="41"/>
    </row>
    <row r="40055" spans="20:20" s="566" customFormat="1">
      <c r="T40055" s="41"/>
    </row>
    <row r="40056" spans="20:20" s="566" customFormat="1">
      <c r="T40056" s="41"/>
    </row>
    <row r="40057" spans="20:20" s="566" customFormat="1">
      <c r="T40057" s="41"/>
    </row>
    <row r="40058" spans="20:20" s="566" customFormat="1">
      <c r="T40058" s="41"/>
    </row>
    <row r="40059" spans="20:20" s="566" customFormat="1">
      <c r="T40059" s="41"/>
    </row>
    <row r="40060" spans="20:20" s="566" customFormat="1">
      <c r="T40060" s="41"/>
    </row>
    <row r="40061" spans="20:20" s="566" customFormat="1">
      <c r="T40061" s="41"/>
    </row>
    <row r="40062" spans="20:20" s="566" customFormat="1">
      <c r="T40062" s="41"/>
    </row>
    <row r="40063" spans="20:20" s="566" customFormat="1">
      <c r="T40063" s="41"/>
    </row>
    <row r="40064" spans="20:20" s="566" customFormat="1">
      <c r="T40064" s="41"/>
    </row>
    <row r="40065" spans="20:20" s="566" customFormat="1">
      <c r="T40065" s="41"/>
    </row>
    <row r="40066" spans="20:20" s="566" customFormat="1">
      <c r="T40066" s="41"/>
    </row>
    <row r="40067" spans="20:20" s="566" customFormat="1">
      <c r="T40067" s="41"/>
    </row>
    <row r="40068" spans="20:20" s="566" customFormat="1">
      <c r="T40068" s="41"/>
    </row>
    <row r="40069" spans="20:20" s="566" customFormat="1">
      <c r="T40069" s="41"/>
    </row>
    <row r="40070" spans="20:20" s="566" customFormat="1">
      <c r="T40070" s="41"/>
    </row>
    <row r="40071" spans="20:20" s="566" customFormat="1">
      <c r="T40071" s="41"/>
    </row>
    <row r="40072" spans="20:20" s="566" customFormat="1">
      <c r="T40072" s="41"/>
    </row>
    <row r="40073" spans="20:20" s="566" customFormat="1">
      <c r="T40073" s="41"/>
    </row>
    <row r="40074" spans="20:20" s="566" customFormat="1">
      <c r="T40074" s="41"/>
    </row>
    <row r="40075" spans="20:20" s="566" customFormat="1">
      <c r="T40075" s="41"/>
    </row>
    <row r="40076" spans="20:20" s="566" customFormat="1">
      <c r="T40076" s="41"/>
    </row>
    <row r="40077" spans="20:20" s="566" customFormat="1">
      <c r="T40077" s="41"/>
    </row>
    <row r="40078" spans="20:20" s="566" customFormat="1">
      <c r="T40078" s="41"/>
    </row>
    <row r="40079" spans="20:20" s="566" customFormat="1">
      <c r="T40079" s="41"/>
    </row>
    <row r="40080" spans="20:20" s="566" customFormat="1">
      <c r="T40080" s="41"/>
    </row>
    <row r="40081" spans="20:20" s="566" customFormat="1">
      <c r="T40081" s="41"/>
    </row>
    <row r="40082" spans="20:20" s="566" customFormat="1">
      <c r="T40082" s="41"/>
    </row>
    <row r="40083" spans="20:20" s="566" customFormat="1">
      <c r="T40083" s="41"/>
    </row>
    <row r="40084" spans="20:20" s="566" customFormat="1">
      <c r="T40084" s="41"/>
    </row>
    <row r="40085" spans="20:20" s="566" customFormat="1">
      <c r="T40085" s="41"/>
    </row>
    <row r="40086" spans="20:20" s="566" customFormat="1">
      <c r="T40086" s="41"/>
    </row>
    <row r="40087" spans="20:20" s="566" customFormat="1">
      <c r="T40087" s="41"/>
    </row>
    <row r="40088" spans="20:20" s="566" customFormat="1">
      <c r="T40088" s="41"/>
    </row>
    <row r="40089" spans="20:20" s="566" customFormat="1">
      <c r="T40089" s="41"/>
    </row>
    <row r="40090" spans="20:20" s="566" customFormat="1">
      <c r="T40090" s="41"/>
    </row>
    <row r="40091" spans="20:20" s="566" customFormat="1">
      <c r="T40091" s="41"/>
    </row>
    <row r="40092" spans="20:20" s="566" customFormat="1">
      <c r="T40092" s="41"/>
    </row>
    <row r="40093" spans="20:20" s="566" customFormat="1">
      <c r="T40093" s="41"/>
    </row>
    <row r="40094" spans="20:20" s="566" customFormat="1">
      <c r="T40094" s="41"/>
    </row>
    <row r="40095" spans="20:20" s="566" customFormat="1">
      <c r="T40095" s="41"/>
    </row>
    <row r="40096" spans="20:20" s="566" customFormat="1">
      <c r="T40096" s="41"/>
    </row>
    <row r="40097" spans="20:20" s="566" customFormat="1">
      <c r="T40097" s="41"/>
    </row>
    <row r="40098" spans="20:20" s="566" customFormat="1">
      <c r="T40098" s="41"/>
    </row>
    <row r="40099" spans="20:20" s="566" customFormat="1">
      <c r="T40099" s="41"/>
    </row>
    <row r="40100" spans="20:20" s="566" customFormat="1">
      <c r="T40100" s="41"/>
    </row>
    <row r="40101" spans="20:20" s="566" customFormat="1">
      <c r="T40101" s="41"/>
    </row>
    <row r="40102" spans="20:20" s="566" customFormat="1">
      <c r="T40102" s="41"/>
    </row>
    <row r="40103" spans="20:20" s="566" customFormat="1">
      <c r="T40103" s="41"/>
    </row>
    <row r="40104" spans="20:20" s="566" customFormat="1">
      <c r="T40104" s="41"/>
    </row>
    <row r="40105" spans="20:20" s="566" customFormat="1">
      <c r="T40105" s="41"/>
    </row>
    <row r="40106" spans="20:20" s="566" customFormat="1">
      <c r="T40106" s="41"/>
    </row>
    <row r="40107" spans="20:20" s="566" customFormat="1">
      <c r="T40107" s="41"/>
    </row>
    <row r="40108" spans="20:20" s="566" customFormat="1">
      <c r="T40108" s="41"/>
    </row>
    <row r="40109" spans="20:20" s="566" customFormat="1">
      <c r="T40109" s="41"/>
    </row>
    <row r="40110" spans="20:20" s="566" customFormat="1">
      <c r="T40110" s="41"/>
    </row>
    <row r="40111" spans="20:20" s="566" customFormat="1">
      <c r="T40111" s="41"/>
    </row>
    <row r="40112" spans="20:20" s="566" customFormat="1">
      <c r="T40112" s="41"/>
    </row>
    <row r="40113" spans="20:20" s="566" customFormat="1">
      <c r="T40113" s="41"/>
    </row>
    <row r="40114" spans="20:20" s="566" customFormat="1">
      <c r="T40114" s="41"/>
    </row>
    <row r="40115" spans="20:20" s="566" customFormat="1">
      <c r="T40115" s="41"/>
    </row>
    <row r="40116" spans="20:20" s="566" customFormat="1">
      <c r="T40116" s="41"/>
    </row>
    <row r="40117" spans="20:20" s="566" customFormat="1">
      <c r="T40117" s="41"/>
    </row>
    <row r="40118" spans="20:20" s="566" customFormat="1">
      <c r="T40118" s="41"/>
    </row>
    <row r="40119" spans="20:20" s="566" customFormat="1">
      <c r="T40119" s="41"/>
    </row>
    <row r="40120" spans="20:20" s="566" customFormat="1">
      <c r="T40120" s="41"/>
    </row>
    <row r="40121" spans="20:20" s="566" customFormat="1">
      <c r="T40121" s="41"/>
    </row>
    <row r="40122" spans="20:20" s="566" customFormat="1">
      <c r="T40122" s="41"/>
    </row>
    <row r="40123" spans="20:20" s="566" customFormat="1">
      <c r="T40123" s="41"/>
    </row>
    <row r="40124" spans="20:20" s="566" customFormat="1">
      <c r="T40124" s="41"/>
    </row>
    <row r="40125" spans="20:20" s="566" customFormat="1">
      <c r="T40125" s="41"/>
    </row>
    <row r="40126" spans="20:20" s="566" customFormat="1">
      <c r="T40126" s="41"/>
    </row>
    <row r="40127" spans="20:20" s="566" customFormat="1">
      <c r="T40127" s="41"/>
    </row>
    <row r="40128" spans="20:20" s="566" customFormat="1">
      <c r="T40128" s="41"/>
    </row>
    <row r="40129" spans="20:20" s="566" customFormat="1">
      <c r="T40129" s="41"/>
    </row>
    <row r="40130" spans="20:20" s="566" customFormat="1">
      <c r="T40130" s="41"/>
    </row>
    <row r="40131" spans="20:20" s="566" customFormat="1">
      <c r="T40131" s="41"/>
    </row>
    <row r="40132" spans="20:20" s="566" customFormat="1">
      <c r="T40132" s="41"/>
    </row>
    <row r="40133" spans="20:20" s="566" customFormat="1">
      <c r="T40133" s="41"/>
    </row>
    <row r="40134" spans="20:20" s="566" customFormat="1">
      <c r="T40134" s="41"/>
    </row>
    <row r="40135" spans="20:20" s="566" customFormat="1">
      <c r="T40135" s="41"/>
    </row>
    <row r="40136" spans="20:20" s="566" customFormat="1">
      <c r="T40136" s="41"/>
    </row>
    <row r="40137" spans="20:20" s="566" customFormat="1">
      <c r="T40137" s="41"/>
    </row>
    <row r="40138" spans="20:20" s="566" customFormat="1">
      <c r="T40138" s="41"/>
    </row>
    <row r="40139" spans="20:20" s="566" customFormat="1">
      <c r="T40139" s="41"/>
    </row>
    <row r="40140" spans="20:20" s="566" customFormat="1">
      <c r="T40140" s="41"/>
    </row>
    <row r="40141" spans="20:20" s="566" customFormat="1">
      <c r="T40141" s="41"/>
    </row>
    <row r="40142" spans="20:20" s="566" customFormat="1">
      <c r="T40142" s="41"/>
    </row>
    <row r="40143" spans="20:20" s="566" customFormat="1">
      <c r="T40143" s="41"/>
    </row>
    <row r="40144" spans="20:20" s="566" customFormat="1">
      <c r="T40144" s="41"/>
    </row>
    <row r="40145" spans="20:20" s="566" customFormat="1">
      <c r="T40145" s="41"/>
    </row>
    <row r="40146" spans="20:20" s="566" customFormat="1">
      <c r="T40146" s="41"/>
    </row>
    <row r="40147" spans="20:20" s="566" customFormat="1">
      <c r="T40147" s="41"/>
    </row>
    <row r="40148" spans="20:20" s="566" customFormat="1">
      <c r="T40148" s="41"/>
    </row>
    <row r="40149" spans="20:20" s="566" customFormat="1">
      <c r="T40149" s="41"/>
    </row>
    <row r="40150" spans="20:20" s="566" customFormat="1">
      <c r="T40150" s="41"/>
    </row>
    <row r="40151" spans="20:20" s="566" customFormat="1">
      <c r="T40151" s="41"/>
    </row>
    <row r="40152" spans="20:20" s="566" customFormat="1">
      <c r="T40152" s="41"/>
    </row>
    <row r="40153" spans="20:20" s="566" customFormat="1">
      <c r="T40153" s="41"/>
    </row>
    <row r="40154" spans="20:20" s="566" customFormat="1">
      <c r="T40154" s="41"/>
    </row>
    <row r="40155" spans="20:20" s="566" customFormat="1">
      <c r="T40155" s="41"/>
    </row>
    <row r="40156" spans="20:20" s="566" customFormat="1">
      <c r="T40156" s="41"/>
    </row>
    <row r="40157" spans="20:20" s="566" customFormat="1">
      <c r="T40157" s="41"/>
    </row>
    <row r="40158" spans="20:20" s="566" customFormat="1">
      <c r="T40158" s="41"/>
    </row>
    <row r="40159" spans="20:20" s="566" customFormat="1">
      <c r="T40159" s="41"/>
    </row>
    <row r="40160" spans="20:20" s="566" customFormat="1">
      <c r="T40160" s="41"/>
    </row>
    <row r="40161" spans="20:20" s="566" customFormat="1">
      <c r="T40161" s="41"/>
    </row>
    <row r="40162" spans="20:20" s="566" customFormat="1">
      <c r="T40162" s="41"/>
    </row>
    <row r="40163" spans="20:20" s="566" customFormat="1">
      <c r="T40163" s="41"/>
    </row>
    <row r="40164" spans="20:20" s="566" customFormat="1">
      <c r="T40164" s="41"/>
    </row>
    <row r="40165" spans="20:20" s="566" customFormat="1">
      <c r="T40165" s="41"/>
    </row>
    <row r="40166" spans="20:20" s="566" customFormat="1">
      <c r="T40166" s="41"/>
    </row>
    <row r="40167" spans="20:20" s="566" customFormat="1">
      <c r="T40167" s="41"/>
    </row>
    <row r="40168" spans="20:20" s="566" customFormat="1">
      <c r="T40168" s="41"/>
    </row>
    <row r="40169" spans="20:20" s="566" customFormat="1">
      <c r="T40169" s="41"/>
    </row>
    <row r="40170" spans="20:20" s="566" customFormat="1">
      <c r="T40170" s="41"/>
    </row>
    <row r="40171" spans="20:20" s="566" customFormat="1">
      <c r="T40171" s="41"/>
    </row>
    <row r="40172" spans="20:20" s="566" customFormat="1">
      <c r="T40172" s="41"/>
    </row>
    <row r="40173" spans="20:20" s="566" customFormat="1">
      <c r="T40173" s="41"/>
    </row>
    <row r="40174" spans="20:20" s="566" customFormat="1">
      <c r="T40174" s="41"/>
    </row>
    <row r="40175" spans="20:20" s="566" customFormat="1">
      <c r="T40175" s="41"/>
    </row>
    <row r="40176" spans="20:20" s="566" customFormat="1">
      <c r="T40176" s="41"/>
    </row>
    <row r="40177" spans="20:20" s="566" customFormat="1">
      <c r="T40177" s="41"/>
    </row>
    <row r="40178" spans="20:20" s="566" customFormat="1">
      <c r="T40178" s="41"/>
    </row>
    <row r="40179" spans="20:20" s="566" customFormat="1">
      <c r="T40179" s="41"/>
    </row>
    <row r="40180" spans="20:20" s="566" customFormat="1">
      <c r="T40180" s="41"/>
    </row>
    <row r="40181" spans="20:20" s="566" customFormat="1">
      <c r="T40181" s="41"/>
    </row>
    <row r="40182" spans="20:20" s="566" customFormat="1">
      <c r="T40182" s="41"/>
    </row>
    <row r="40183" spans="20:20" s="566" customFormat="1">
      <c r="T40183" s="41"/>
    </row>
    <row r="40184" spans="20:20" s="566" customFormat="1">
      <c r="T40184" s="41"/>
    </row>
    <row r="40185" spans="20:20" s="566" customFormat="1">
      <c r="T40185" s="41"/>
    </row>
    <row r="40186" spans="20:20" s="566" customFormat="1">
      <c r="T40186" s="41"/>
    </row>
    <row r="40187" spans="20:20" s="566" customFormat="1">
      <c r="T40187" s="41"/>
    </row>
    <row r="40188" spans="20:20" s="566" customFormat="1">
      <c r="T40188" s="41"/>
    </row>
    <row r="40189" spans="20:20" s="566" customFormat="1">
      <c r="T40189" s="41"/>
    </row>
    <row r="40190" spans="20:20" s="566" customFormat="1">
      <c r="T40190" s="41"/>
    </row>
    <row r="40191" spans="20:20" s="566" customFormat="1">
      <c r="T40191" s="41"/>
    </row>
    <row r="40192" spans="20:20" s="566" customFormat="1">
      <c r="T40192" s="41"/>
    </row>
    <row r="40193" spans="20:20" s="566" customFormat="1">
      <c r="T40193" s="41"/>
    </row>
    <row r="40194" spans="20:20" s="566" customFormat="1">
      <c r="T40194" s="41"/>
    </row>
    <row r="40195" spans="20:20" s="566" customFormat="1">
      <c r="T40195" s="41"/>
    </row>
    <row r="40196" spans="20:20" s="566" customFormat="1">
      <c r="T40196" s="41"/>
    </row>
    <row r="40197" spans="20:20" s="566" customFormat="1">
      <c r="T40197" s="41"/>
    </row>
    <row r="40198" spans="20:20" s="566" customFormat="1">
      <c r="T40198" s="41"/>
    </row>
    <row r="40199" spans="20:20" s="566" customFormat="1">
      <c r="T40199" s="41"/>
    </row>
    <row r="40200" spans="20:20" s="566" customFormat="1">
      <c r="T40200" s="41"/>
    </row>
    <row r="40201" spans="20:20" s="566" customFormat="1">
      <c r="T40201" s="41"/>
    </row>
    <row r="40202" spans="20:20" s="566" customFormat="1">
      <c r="T40202" s="41"/>
    </row>
    <row r="40203" spans="20:20" s="566" customFormat="1">
      <c r="T40203" s="41"/>
    </row>
    <row r="40204" spans="20:20" s="566" customFormat="1">
      <c r="T40204" s="41"/>
    </row>
    <row r="40205" spans="20:20" s="566" customFormat="1">
      <c r="T40205" s="41"/>
    </row>
    <row r="40206" spans="20:20" s="566" customFormat="1">
      <c r="T40206" s="41"/>
    </row>
    <row r="40207" spans="20:20" s="566" customFormat="1">
      <c r="T40207" s="41"/>
    </row>
    <row r="40208" spans="20:20" s="566" customFormat="1">
      <c r="T40208" s="41"/>
    </row>
    <row r="40209" spans="20:20" s="566" customFormat="1">
      <c r="T40209" s="41"/>
    </row>
    <row r="40210" spans="20:20" s="566" customFormat="1">
      <c r="T40210" s="41"/>
    </row>
    <row r="40211" spans="20:20" s="566" customFormat="1">
      <c r="T40211" s="41"/>
    </row>
    <row r="40212" spans="20:20" s="566" customFormat="1">
      <c r="T40212" s="41"/>
    </row>
    <row r="40213" spans="20:20" s="566" customFormat="1">
      <c r="T40213" s="41"/>
    </row>
    <row r="40214" spans="20:20" s="566" customFormat="1">
      <c r="T40214" s="41"/>
    </row>
    <row r="40215" spans="20:20" s="566" customFormat="1">
      <c r="T40215" s="41"/>
    </row>
    <row r="40216" spans="20:20" s="566" customFormat="1">
      <c r="T40216" s="41"/>
    </row>
    <row r="40217" spans="20:20" s="566" customFormat="1">
      <c r="T40217" s="41"/>
    </row>
    <row r="40218" spans="20:20" s="566" customFormat="1">
      <c r="T40218" s="41"/>
    </row>
    <row r="40219" spans="20:20" s="566" customFormat="1">
      <c r="T40219" s="41"/>
    </row>
    <row r="40220" spans="20:20" s="566" customFormat="1">
      <c r="T40220" s="41"/>
    </row>
    <row r="40221" spans="20:20" s="566" customFormat="1">
      <c r="T40221" s="41"/>
    </row>
    <row r="40222" spans="20:20" s="566" customFormat="1">
      <c r="T40222" s="41"/>
    </row>
    <row r="40223" spans="20:20" s="566" customFormat="1">
      <c r="T40223" s="41"/>
    </row>
    <row r="40224" spans="20:20" s="566" customFormat="1">
      <c r="T40224" s="41"/>
    </row>
    <row r="40225" spans="20:20" s="566" customFormat="1">
      <c r="T40225" s="41"/>
    </row>
    <row r="40226" spans="20:20" s="566" customFormat="1">
      <c r="T40226" s="41"/>
    </row>
    <row r="40227" spans="20:20" s="566" customFormat="1">
      <c r="T40227" s="41"/>
    </row>
    <row r="40228" spans="20:20" s="566" customFormat="1">
      <c r="T40228" s="41"/>
    </row>
    <row r="40229" spans="20:20" s="566" customFormat="1">
      <c r="T40229" s="41"/>
    </row>
    <row r="40230" spans="20:20" s="566" customFormat="1">
      <c r="T40230" s="41"/>
    </row>
    <row r="40231" spans="20:20" s="566" customFormat="1">
      <c r="T40231" s="41"/>
    </row>
    <row r="40232" spans="20:20" s="566" customFormat="1">
      <c r="T40232" s="41"/>
    </row>
    <row r="40233" spans="20:20" s="566" customFormat="1">
      <c r="T40233" s="41"/>
    </row>
    <row r="40234" spans="20:20" s="566" customFormat="1">
      <c r="T40234" s="41"/>
    </row>
    <row r="40235" spans="20:20" s="566" customFormat="1">
      <c r="T40235" s="41"/>
    </row>
    <row r="40236" spans="20:20" s="566" customFormat="1">
      <c r="T40236" s="41"/>
    </row>
    <row r="40237" spans="20:20" s="566" customFormat="1">
      <c r="T40237" s="41"/>
    </row>
    <row r="40238" spans="20:20" s="566" customFormat="1">
      <c r="T40238" s="41"/>
    </row>
    <row r="40239" spans="20:20" s="566" customFormat="1">
      <c r="T40239" s="41"/>
    </row>
    <row r="40240" spans="20:20" s="566" customFormat="1">
      <c r="T40240" s="41"/>
    </row>
    <row r="40241" spans="20:20" s="566" customFormat="1">
      <c r="T40241" s="41"/>
    </row>
    <row r="40242" spans="20:20" s="566" customFormat="1">
      <c r="T40242" s="41"/>
    </row>
    <row r="40243" spans="20:20" s="566" customFormat="1">
      <c r="T40243" s="41"/>
    </row>
    <row r="40244" spans="20:20" s="566" customFormat="1">
      <c r="T40244" s="41"/>
    </row>
    <row r="40245" spans="20:20" s="566" customFormat="1">
      <c r="T40245" s="41"/>
    </row>
    <row r="40246" spans="20:20" s="566" customFormat="1">
      <c r="T40246" s="41"/>
    </row>
    <row r="40247" spans="20:20" s="566" customFormat="1">
      <c r="T40247" s="41"/>
    </row>
    <row r="40248" spans="20:20" s="566" customFormat="1">
      <c r="T40248" s="41"/>
    </row>
    <row r="40249" spans="20:20" s="566" customFormat="1">
      <c r="T40249" s="41"/>
    </row>
    <row r="40250" spans="20:20" s="566" customFormat="1">
      <c r="T40250" s="41"/>
    </row>
    <row r="40251" spans="20:20" s="566" customFormat="1">
      <c r="T40251" s="41"/>
    </row>
    <row r="40252" spans="20:20" s="566" customFormat="1">
      <c r="T40252" s="41"/>
    </row>
    <row r="40253" spans="20:20" s="566" customFormat="1">
      <c r="T40253" s="41"/>
    </row>
    <row r="40254" spans="20:20" s="566" customFormat="1">
      <c r="T40254" s="41"/>
    </row>
    <row r="40255" spans="20:20" s="566" customFormat="1">
      <c r="T40255" s="41"/>
    </row>
    <row r="40256" spans="20:20" s="566" customFormat="1">
      <c r="T40256" s="41"/>
    </row>
    <row r="40257" spans="20:20" s="566" customFormat="1">
      <c r="T40257" s="41"/>
    </row>
    <row r="40258" spans="20:20" s="566" customFormat="1">
      <c r="T40258" s="41"/>
    </row>
    <row r="40259" spans="20:20" s="566" customFormat="1">
      <c r="T40259" s="41"/>
    </row>
    <row r="40260" spans="20:20" s="566" customFormat="1">
      <c r="T40260" s="41"/>
    </row>
    <row r="40261" spans="20:20" s="566" customFormat="1">
      <c r="T40261" s="41"/>
    </row>
    <row r="40262" spans="20:20" s="566" customFormat="1">
      <c r="T40262" s="41"/>
    </row>
    <row r="40263" spans="20:20" s="566" customFormat="1">
      <c r="T40263" s="41"/>
    </row>
    <row r="40264" spans="20:20" s="566" customFormat="1">
      <c r="T40264" s="41"/>
    </row>
    <row r="40265" spans="20:20" s="566" customFormat="1">
      <c r="T40265" s="41"/>
    </row>
    <row r="40266" spans="20:20" s="566" customFormat="1">
      <c r="T40266" s="41"/>
    </row>
    <row r="40267" spans="20:20" s="566" customFormat="1">
      <c r="T40267" s="41"/>
    </row>
    <row r="40268" spans="20:20" s="566" customFormat="1">
      <c r="T40268" s="41"/>
    </row>
    <row r="40269" spans="20:20" s="566" customFormat="1">
      <c r="T40269" s="41"/>
    </row>
    <row r="40270" spans="20:20" s="566" customFormat="1">
      <c r="T40270" s="41"/>
    </row>
    <row r="40271" spans="20:20" s="566" customFormat="1">
      <c r="T40271" s="41"/>
    </row>
    <row r="40272" spans="20:20" s="566" customFormat="1">
      <c r="T40272" s="41"/>
    </row>
    <row r="40273" spans="20:20" s="566" customFormat="1">
      <c r="T40273" s="41"/>
    </row>
    <row r="40274" spans="20:20" s="566" customFormat="1">
      <c r="T40274" s="41"/>
    </row>
    <row r="40275" spans="20:20" s="566" customFormat="1">
      <c r="T40275" s="41"/>
    </row>
    <row r="40276" spans="20:20" s="566" customFormat="1">
      <c r="T40276" s="41"/>
    </row>
    <row r="40277" spans="20:20" s="566" customFormat="1">
      <c r="T40277" s="41"/>
    </row>
    <row r="40278" spans="20:20" s="566" customFormat="1">
      <c r="T40278" s="41"/>
    </row>
    <row r="40279" spans="20:20" s="566" customFormat="1">
      <c r="T40279" s="41"/>
    </row>
    <row r="40280" spans="20:20" s="566" customFormat="1">
      <c r="T40280" s="41"/>
    </row>
    <row r="40281" spans="20:20" s="566" customFormat="1">
      <c r="T40281" s="41"/>
    </row>
    <row r="40282" spans="20:20" s="566" customFormat="1">
      <c r="T40282" s="41"/>
    </row>
    <row r="40283" spans="20:20" s="566" customFormat="1">
      <c r="T40283" s="41"/>
    </row>
    <row r="40284" spans="20:20" s="566" customFormat="1">
      <c r="T40284" s="41"/>
    </row>
    <row r="40285" spans="20:20" s="566" customFormat="1">
      <c r="T40285" s="41"/>
    </row>
    <row r="40286" spans="20:20" s="566" customFormat="1">
      <c r="T40286" s="41"/>
    </row>
    <row r="40287" spans="20:20" s="566" customFormat="1">
      <c r="T40287" s="41"/>
    </row>
    <row r="40288" spans="20:20" s="566" customFormat="1">
      <c r="T40288" s="41"/>
    </row>
    <row r="40289" spans="20:20" s="566" customFormat="1">
      <c r="T40289" s="41"/>
    </row>
    <row r="40290" spans="20:20" s="566" customFormat="1">
      <c r="T40290" s="41"/>
    </row>
    <row r="40291" spans="20:20" s="566" customFormat="1">
      <c r="T40291" s="41"/>
    </row>
    <row r="40292" spans="20:20" s="566" customFormat="1">
      <c r="T40292" s="41"/>
    </row>
    <row r="40293" spans="20:20" s="566" customFormat="1">
      <c r="T40293" s="41"/>
    </row>
    <row r="40294" spans="20:20" s="566" customFormat="1">
      <c r="T40294" s="41"/>
    </row>
    <row r="40295" spans="20:20" s="566" customFormat="1">
      <c r="T40295" s="41"/>
    </row>
    <row r="40296" spans="20:20" s="566" customFormat="1">
      <c r="T40296" s="41"/>
    </row>
    <row r="40297" spans="20:20" s="566" customFormat="1">
      <c r="T40297" s="41"/>
    </row>
    <row r="40298" spans="20:20" s="566" customFormat="1">
      <c r="T40298" s="41"/>
    </row>
    <row r="40299" spans="20:20" s="566" customFormat="1">
      <c r="T40299" s="41"/>
    </row>
    <row r="40300" spans="20:20" s="566" customFormat="1">
      <c r="T40300" s="41"/>
    </row>
    <row r="40301" spans="20:20" s="566" customFormat="1">
      <c r="T40301" s="41"/>
    </row>
    <row r="40302" spans="20:20" s="566" customFormat="1">
      <c r="T40302" s="41"/>
    </row>
    <row r="40303" spans="20:20" s="566" customFormat="1">
      <c r="T40303" s="41"/>
    </row>
    <row r="40304" spans="20:20" s="566" customFormat="1">
      <c r="T40304" s="41"/>
    </row>
    <row r="40305" spans="20:20" s="566" customFormat="1">
      <c r="T40305" s="41"/>
    </row>
    <row r="40306" spans="20:20" s="566" customFormat="1">
      <c r="T40306" s="41"/>
    </row>
    <row r="40307" spans="20:20" s="566" customFormat="1">
      <c r="T40307" s="41"/>
    </row>
    <row r="40308" spans="20:20" s="566" customFormat="1">
      <c r="T40308" s="41"/>
    </row>
    <row r="40309" spans="20:20" s="566" customFormat="1">
      <c r="T40309" s="41"/>
    </row>
    <row r="40310" spans="20:20" s="566" customFormat="1">
      <c r="T40310" s="41"/>
    </row>
    <row r="40311" spans="20:20" s="566" customFormat="1">
      <c r="T40311" s="41"/>
    </row>
    <row r="40312" spans="20:20" s="566" customFormat="1">
      <c r="T40312" s="41"/>
    </row>
    <row r="40313" spans="20:20" s="566" customFormat="1">
      <c r="T40313" s="41"/>
    </row>
    <row r="40314" spans="20:20" s="566" customFormat="1">
      <c r="T40314" s="41"/>
    </row>
    <row r="40315" spans="20:20" s="566" customFormat="1">
      <c r="T40315" s="41"/>
    </row>
    <row r="40316" spans="20:20" s="566" customFormat="1">
      <c r="T40316" s="41"/>
    </row>
    <row r="40317" spans="20:20" s="566" customFormat="1">
      <c r="T40317" s="41"/>
    </row>
    <row r="40318" spans="20:20" s="566" customFormat="1">
      <c r="T40318" s="41"/>
    </row>
    <row r="40319" spans="20:20" s="566" customFormat="1">
      <c r="T40319" s="41"/>
    </row>
    <row r="40320" spans="20:20" s="566" customFormat="1">
      <c r="T40320" s="41"/>
    </row>
    <row r="40321" spans="20:20" s="566" customFormat="1">
      <c r="T40321" s="41"/>
    </row>
    <row r="40322" spans="20:20" s="566" customFormat="1">
      <c r="T40322" s="41"/>
    </row>
    <row r="40323" spans="20:20" s="566" customFormat="1">
      <c r="T40323" s="41"/>
    </row>
    <row r="40324" spans="20:20" s="566" customFormat="1">
      <c r="T40324" s="41"/>
    </row>
    <row r="40325" spans="20:20" s="566" customFormat="1">
      <c r="T40325" s="41"/>
    </row>
    <row r="40326" spans="20:20" s="566" customFormat="1">
      <c r="T40326" s="41"/>
    </row>
    <row r="40327" spans="20:20" s="566" customFormat="1">
      <c r="T40327" s="41"/>
    </row>
    <row r="40328" spans="20:20" s="566" customFormat="1">
      <c r="T40328" s="41"/>
    </row>
    <row r="40329" spans="20:20" s="566" customFormat="1">
      <c r="T40329" s="41"/>
    </row>
    <row r="40330" spans="20:20" s="566" customFormat="1">
      <c r="T40330" s="41"/>
    </row>
    <row r="40331" spans="20:20" s="566" customFormat="1">
      <c r="T40331" s="41"/>
    </row>
    <row r="40332" spans="20:20" s="566" customFormat="1">
      <c r="T40332" s="41"/>
    </row>
    <row r="40333" spans="20:20" s="566" customFormat="1">
      <c r="T40333" s="41"/>
    </row>
    <row r="40334" spans="20:20" s="566" customFormat="1">
      <c r="T40334" s="41"/>
    </row>
    <row r="40335" spans="20:20" s="566" customFormat="1">
      <c r="T40335" s="41"/>
    </row>
    <row r="40336" spans="20:20" s="566" customFormat="1">
      <c r="T40336" s="41"/>
    </row>
    <row r="40337" spans="20:20" s="566" customFormat="1">
      <c r="T40337" s="41"/>
    </row>
    <row r="40338" spans="20:20" s="566" customFormat="1">
      <c r="T40338" s="41"/>
    </row>
    <row r="40339" spans="20:20" s="566" customFormat="1">
      <c r="T40339" s="41"/>
    </row>
    <row r="40340" spans="20:20" s="566" customFormat="1">
      <c r="T40340" s="41"/>
    </row>
    <row r="40341" spans="20:20" s="566" customFormat="1">
      <c r="T40341" s="41"/>
    </row>
    <row r="40342" spans="20:20" s="566" customFormat="1">
      <c r="T40342" s="41"/>
    </row>
    <row r="40343" spans="20:20" s="566" customFormat="1">
      <c r="T40343" s="41"/>
    </row>
    <row r="40344" spans="20:20" s="566" customFormat="1">
      <c r="T40344" s="41"/>
    </row>
    <row r="40345" spans="20:20" s="566" customFormat="1">
      <c r="T40345" s="41"/>
    </row>
    <row r="40346" spans="20:20" s="566" customFormat="1">
      <c r="T40346" s="41"/>
    </row>
    <row r="40347" spans="20:20" s="566" customFormat="1">
      <c r="T40347" s="41"/>
    </row>
    <row r="40348" spans="20:20" s="566" customFormat="1">
      <c r="T40348" s="41"/>
    </row>
    <row r="40349" spans="20:20" s="566" customFormat="1">
      <c r="T40349" s="41"/>
    </row>
    <row r="40350" spans="20:20" s="566" customFormat="1">
      <c r="T40350" s="41"/>
    </row>
    <row r="40351" spans="20:20" s="566" customFormat="1">
      <c r="T40351" s="41"/>
    </row>
    <row r="40352" spans="20:20" s="566" customFormat="1">
      <c r="T40352" s="41"/>
    </row>
    <row r="40353" spans="20:20" s="566" customFormat="1">
      <c r="T40353" s="41"/>
    </row>
    <row r="40354" spans="20:20" s="566" customFormat="1">
      <c r="T40354" s="41"/>
    </row>
    <row r="40355" spans="20:20" s="566" customFormat="1">
      <c r="T40355" s="41"/>
    </row>
    <row r="40356" spans="20:20" s="566" customFormat="1">
      <c r="T40356" s="41"/>
    </row>
    <row r="40357" spans="20:20" s="566" customFormat="1">
      <c r="T40357" s="41"/>
    </row>
    <row r="40358" spans="20:20" s="566" customFormat="1">
      <c r="T40358" s="41"/>
    </row>
    <row r="40359" spans="20:20" s="566" customFormat="1">
      <c r="T40359" s="41"/>
    </row>
    <row r="40360" spans="20:20" s="566" customFormat="1">
      <c r="T40360" s="41"/>
    </row>
    <row r="40361" spans="20:20" s="566" customFormat="1">
      <c r="T40361" s="41"/>
    </row>
    <row r="40362" spans="20:20" s="566" customFormat="1">
      <c r="T40362" s="41"/>
    </row>
    <row r="40363" spans="20:20" s="566" customFormat="1">
      <c r="T40363" s="41"/>
    </row>
    <row r="40364" spans="20:20" s="566" customFormat="1">
      <c r="T40364" s="41"/>
    </row>
    <row r="40365" spans="20:20" s="566" customFormat="1">
      <c r="T40365" s="41"/>
    </row>
    <row r="40366" spans="20:20" s="566" customFormat="1">
      <c r="T40366" s="41"/>
    </row>
    <row r="40367" spans="20:20" s="566" customFormat="1">
      <c r="T40367" s="41"/>
    </row>
    <row r="40368" spans="20:20" s="566" customFormat="1">
      <c r="T40368" s="41"/>
    </row>
    <row r="40369" spans="20:20" s="566" customFormat="1">
      <c r="T40369" s="41"/>
    </row>
    <row r="40370" spans="20:20" s="566" customFormat="1">
      <c r="T40370" s="41"/>
    </row>
    <row r="40371" spans="20:20" s="566" customFormat="1">
      <c r="T40371" s="41"/>
    </row>
    <row r="40372" spans="20:20" s="566" customFormat="1">
      <c r="T40372" s="41"/>
    </row>
    <row r="40373" spans="20:20" s="566" customFormat="1">
      <c r="T40373" s="41"/>
    </row>
    <row r="40374" spans="20:20" s="566" customFormat="1">
      <c r="T40374" s="41"/>
    </row>
    <row r="40375" spans="20:20" s="566" customFormat="1">
      <c r="T40375" s="41"/>
    </row>
    <row r="40376" spans="20:20" s="566" customFormat="1">
      <c r="T40376" s="41"/>
    </row>
    <row r="40377" spans="20:20" s="566" customFormat="1">
      <c r="T40377" s="41"/>
    </row>
    <row r="40378" spans="20:20" s="566" customFormat="1">
      <c r="T40378" s="41"/>
    </row>
    <row r="40379" spans="20:20" s="566" customFormat="1">
      <c r="T40379" s="41"/>
    </row>
    <row r="40380" spans="20:20" s="566" customFormat="1">
      <c r="T40380" s="41"/>
    </row>
    <row r="40381" spans="20:20" s="566" customFormat="1">
      <c r="T40381" s="41"/>
    </row>
    <row r="40382" spans="20:20" s="566" customFormat="1">
      <c r="T40382" s="41"/>
    </row>
    <row r="40383" spans="20:20" s="566" customFormat="1">
      <c r="T40383" s="41"/>
    </row>
    <row r="40384" spans="20:20" s="566" customFormat="1">
      <c r="T40384" s="41"/>
    </row>
    <row r="40385" spans="20:20" s="566" customFormat="1">
      <c r="T40385" s="41"/>
    </row>
    <row r="40386" spans="20:20" s="566" customFormat="1">
      <c r="T40386" s="41"/>
    </row>
    <row r="40387" spans="20:20" s="566" customFormat="1">
      <c r="T40387" s="41"/>
    </row>
    <row r="40388" spans="20:20" s="566" customFormat="1">
      <c r="T40388" s="41"/>
    </row>
    <row r="40389" spans="20:20" s="566" customFormat="1">
      <c r="T40389" s="41"/>
    </row>
    <row r="40390" spans="20:20" s="566" customFormat="1">
      <c r="T40390" s="41"/>
    </row>
    <row r="40391" spans="20:20" s="566" customFormat="1">
      <c r="T40391" s="41"/>
    </row>
    <row r="40392" spans="20:20" s="566" customFormat="1">
      <c r="T40392" s="41"/>
    </row>
    <row r="40393" spans="20:20" s="566" customFormat="1">
      <c r="T40393" s="41"/>
    </row>
    <row r="40394" spans="20:20" s="566" customFormat="1">
      <c r="T40394" s="41"/>
    </row>
    <row r="40395" spans="20:20" s="566" customFormat="1">
      <c r="T40395" s="41"/>
    </row>
    <row r="40396" spans="20:20" s="566" customFormat="1">
      <c r="T40396" s="41"/>
    </row>
    <row r="40397" spans="20:20" s="566" customFormat="1">
      <c r="T40397" s="41"/>
    </row>
    <row r="40398" spans="20:20" s="566" customFormat="1">
      <c r="T40398" s="41"/>
    </row>
    <row r="40399" spans="20:20" s="566" customFormat="1">
      <c r="T40399" s="41"/>
    </row>
    <row r="40400" spans="20:20" s="566" customFormat="1">
      <c r="T40400" s="41"/>
    </row>
    <row r="40401" spans="20:20" s="566" customFormat="1">
      <c r="T40401" s="41"/>
    </row>
    <row r="40402" spans="20:20" s="566" customFormat="1">
      <c r="T40402" s="41"/>
    </row>
    <row r="40403" spans="20:20" s="566" customFormat="1">
      <c r="T40403" s="41"/>
    </row>
    <row r="40404" spans="20:20" s="566" customFormat="1">
      <c r="T40404" s="41"/>
    </row>
    <row r="40405" spans="20:20" s="566" customFormat="1">
      <c r="T40405" s="41"/>
    </row>
    <row r="40406" spans="20:20" s="566" customFormat="1">
      <c r="T40406" s="41"/>
    </row>
    <row r="40407" spans="20:20" s="566" customFormat="1">
      <c r="T40407" s="41"/>
    </row>
    <row r="40408" spans="20:20" s="566" customFormat="1">
      <c r="T40408" s="41"/>
    </row>
    <row r="40409" spans="20:20" s="566" customFormat="1">
      <c r="T40409" s="41"/>
    </row>
    <row r="40410" spans="20:20" s="566" customFormat="1">
      <c r="T40410" s="41"/>
    </row>
    <row r="40411" spans="20:20" s="566" customFormat="1">
      <c r="T40411" s="41"/>
    </row>
    <row r="40412" spans="20:20" s="566" customFormat="1">
      <c r="T40412" s="41"/>
    </row>
    <row r="40413" spans="20:20" s="566" customFormat="1">
      <c r="T40413" s="41"/>
    </row>
    <row r="40414" spans="20:20" s="566" customFormat="1">
      <c r="T40414" s="41"/>
    </row>
    <row r="40415" spans="20:20" s="566" customFormat="1">
      <c r="T40415" s="41"/>
    </row>
    <row r="40416" spans="20:20" s="566" customFormat="1">
      <c r="T40416" s="41"/>
    </row>
    <row r="40417" spans="20:20" s="566" customFormat="1">
      <c r="T40417" s="41"/>
    </row>
    <row r="40418" spans="20:20" s="566" customFormat="1">
      <c r="T40418" s="41"/>
    </row>
    <row r="40419" spans="20:20" s="566" customFormat="1">
      <c r="T40419" s="41"/>
    </row>
    <row r="40420" spans="20:20" s="566" customFormat="1">
      <c r="T40420" s="41"/>
    </row>
    <row r="40421" spans="20:20" s="566" customFormat="1">
      <c r="T40421" s="41"/>
    </row>
    <row r="40422" spans="20:20" s="566" customFormat="1">
      <c r="T40422" s="41"/>
    </row>
    <row r="40423" spans="20:20" s="566" customFormat="1">
      <c r="T40423" s="41"/>
    </row>
    <row r="40424" spans="20:20" s="566" customFormat="1">
      <c r="T40424" s="41"/>
    </row>
    <row r="40425" spans="20:20" s="566" customFormat="1">
      <c r="T40425" s="41"/>
    </row>
    <row r="40426" spans="20:20" s="566" customFormat="1">
      <c r="T40426" s="41"/>
    </row>
    <row r="40427" spans="20:20" s="566" customFormat="1">
      <c r="T40427" s="41"/>
    </row>
    <row r="40428" spans="20:20" s="566" customFormat="1">
      <c r="T40428" s="41"/>
    </row>
    <row r="40429" spans="20:20" s="566" customFormat="1">
      <c r="T40429" s="41"/>
    </row>
    <row r="40430" spans="20:20" s="566" customFormat="1">
      <c r="T40430" s="41"/>
    </row>
    <row r="40431" spans="20:20" s="566" customFormat="1">
      <c r="T40431" s="41"/>
    </row>
    <row r="40432" spans="20:20" s="566" customFormat="1">
      <c r="T40432" s="41"/>
    </row>
    <row r="40433" spans="20:20" s="566" customFormat="1">
      <c r="T40433" s="41"/>
    </row>
    <row r="40434" spans="20:20" s="566" customFormat="1">
      <c r="T40434" s="41"/>
    </row>
    <row r="40435" spans="20:20" s="566" customFormat="1">
      <c r="T40435" s="41"/>
    </row>
    <row r="40436" spans="20:20" s="566" customFormat="1">
      <c r="T40436" s="41"/>
    </row>
    <row r="40437" spans="20:20" s="566" customFormat="1">
      <c r="T40437" s="41"/>
    </row>
    <row r="40438" spans="20:20" s="566" customFormat="1">
      <c r="T40438" s="41"/>
    </row>
    <row r="40439" spans="20:20" s="566" customFormat="1">
      <c r="T40439" s="41"/>
    </row>
    <row r="40440" spans="20:20" s="566" customFormat="1">
      <c r="T40440" s="41"/>
    </row>
    <row r="40441" spans="20:20" s="566" customFormat="1">
      <c r="T40441" s="41"/>
    </row>
    <row r="40442" spans="20:20" s="566" customFormat="1">
      <c r="T40442" s="41"/>
    </row>
    <row r="40443" spans="20:20" s="566" customFormat="1">
      <c r="T40443" s="41"/>
    </row>
    <row r="40444" spans="20:20" s="566" customFormat="1">
      <c r="T40444" s="41"/>
    </row>
    <row r="40445" spans="20:20" s="566" customFormat="1">
      <c r="T40445" s="41"/>
    </row>
    <row r="40446" spans="20:20" s="566" customFormat="1">
      <c r="T40446" s="41"/>
    </row>
    <row r="40447" spans="20:20" s="566" customFormat="1">
      <c r="T40447" s="41"/>
    </row>
    <row r="40448" spans="20:20" s="566" customFormat="1">
      <c r="T40448" s="41"/>
    </row>
    <row r="40449" spans="20:20" s="566" customFormat="1">
      <c r="T40449" s="41"/>
    </row>
    <row r="40450" spans="20:20" s="566" customFormat="1">
      <c r="T40450" s="41"/>
    </row>
    <row r="40451" spans="20:20" s="566" customFormat="1">
      <c r="T40451" s="41"/>
    </row>
    <row r="40452" spans="20:20" s="566" customFormat="1">
      <c r="T40452" s="41"/>
    </row>
    <row r="40453" spans="20:20" s="566" customFormat="1">
      <c r="T40453" s="41"/>
    </row>
    <row r="40454" spans="20:20" s="566" customFormat="1">
      <c r="T40454" s="41"/>
    </row>
    <row r="40455" spans="20:20" s="566" customFormat="1">
      <c r="T40455" s="41"/>
    </row>
    <row r="40456" spans="20:20" s="566" customFormat="1">
      <c r="T40456" s="41"/>
    </row>
    <row r="40457" spans="20:20" s="566" customFormat="1">
      <c r="T40457" s="41"/>
    </row>
    <row r="40458" spans="20:20" s="566" customFormat="1">
      <c r="T40458" s="41"/>
    </row>
    <row r="40459" spans="20:20" s="566" customFormat="1">
      <c r="T40459" s="41"/>
    </row>
    <row r="40460" spans="20:20" s="566" customFormat="1">
      <c r="T40460" s="41"/>
    </row>
    <row r="40461" spans="20:20" s="566" customFormat="1">
      <c r="T40461" s="41"/>
    </row>
    <row r="40462" spans="20:20" s="566" customFormat="1">
      <c r="T40462" s="41"/>
    </row>
    <row r="40463" spans="20:20" s="566" customFormat="1">
      <c r="T40463" s="41"/>
    </row>
    <row r="40464" spans="20:20" s="566" customFormat="1">
      <c r="T40464" s="41"/>
    </row>
    <row r="40465" spans="20:20" s="566" customFormat="1">
      <c r="T40465" s="41"/>
    </row>
    <row r="40466" spans="20:20" s="566" customFormat="1">
      <c r="T40466" s="41"/>
    </row>
    <row r="40467" spans="20:20" s="566" customFormat="1">
      <c r="T40467" s="41"/>
    </row>
    <row r="40468" spans="20:20" s="566" customFormat="1">
      <c r="T40468" s="41"/>
    </row>
    <row r="40469" spans="20:20" s="566" customFormat="1">
      <c r="T40469" s="41"/>
    </row>
    <row r="40470" spans="20:20" s="566" customFormat="1">
      <c r="T40470" s="41"/>
    </row>
    <row r="40471" spans="20:20" s="566" customFormat="1">
      <c r="T40471" s="41"/>
    </row>
    <row r="40472" spans="20:20" s="566" customFormat="1">
      <c r="T40472" s="41"/>
    </row>
    <row r="40473" spans="20:20" s="566" customFormat="1">
      <c r="T40473" s="41"/>
    </row>
    <row r="40474" spans="20:20" s="566" customFormat="1">
      <c r="T40474" s="41"/>
    </row>
    <row r="40475" spans="20:20" s="566" customFormat="1">
      <c r="T40475" s="41"/>
    </row>
    <row r="40476" spans="20:20" s="566" customFormat="1">
      <c r="T40476" s="41"/>
    </row>
    <row r="40477" spans="20:20" s="566" customFormat="1">
      <c r="T40477" s="41"/>
    </row>
    <row r="40478" spans="20:20" s="566" customFormat="1">
      <c r="T40478" s="41"/>
    </row>
    <row r="40479" spans="20:20" s="566" customFormat="1">
      <c r="T40479" s="41"/>
    </row>
    <row r="40480" spans="20:20" s="566" customFormat="1">
      <c r="T40480" s="41"/>
    </row>
    <row r="40481" spans="20:20" s="566" customFormat="1">
      <c r="T40481" s="41"/>
    </row>
    <row r="40482" spans="20:20" s="566" customFormat="1">
      <c r="T40482" s="41"/>
    </row>
    <row r="40483" spans="20:20" s="566" customFormat="1">
      <c r="T40483" s="41"/>
    </row>
    <row r="40484" spans="20:20" s="566" customFormat="1">
      <c r="T40484" s="41"/>
    </row>
    <row r="40485" spans="20:20" s="566" customFormat="1">
      <c r="T40485" s="41"/>
    </row>
    <row r="40486" spans="20:20" s="566" customFormat="1">
      <c r="T40486" s="41"/>
    </row>
    <row r="40487" spans="20:20" s="566" customFormat="1">
      <c r="T40487" s="41"/>
    </row>
    <row r="40488" spans="20:20" s="566" customFormat="1">
      <c r="T40488" s="41"/>
    </row>
    <row r="40489" spans="20:20" s="566" customFormat="1">
      <c r="T40489" s="41"/>
    </row>
    <row r="40490" spans="20:20" s="566" customFormat="1">
      <c r="T40490" s="41"/>
    </row>
    <row r="40491" spans="20:20" s="566" customFormat="1">
      <c r="T40491" s="41"/>
    </row>
    <row r="40492" spans="20:20" s="566" customFormat="1">
      <c r="T40492" s="41"/>
    </row>
    <row r="40493" spans="20:20" s="566" customFormat="1">
      <c r="T40493" s="41"/>
    </row>
    <row r="40494" spans="20:20" s="566" customFormat="1">
      <c r="T40494" s="41"/>
    </row>
    <row r="40495" spans="20:20" s="566" customFormat="1">
      <c r="T40495" s="41"/>
    </row>
    <row r="40496" spans="20:20" s="566" customFormat="1">
      <c r="T40496" s="41"/>
    </row>
    <row r="40497" spans="20:20" s="566" customFormat="1">
      <c r="T40497" s="41"/>
    </row>
    <row r="40498" spans="20:20" s="566" customFormat="1">
      <c r="T40498" s="41"/>
    </row>
    <row r="40499" spans="20:20" s="566" customFormat="1">
      <c r="T40499" s="41"/>
    </row>
    <row r="40500" spans="20:20" s="566" customFormat="1">
      <c r="T40500" s="41"/>
    </row>
    <row r="40501" spans="20:20" s="566" customFormat="1">
      <c r="T40501" s="41"/>
    </row>
    <row r="40502" spans="20:20" s="566" customFormat="1">
      <c r="T40502" s="41"/>
    </row>
    <row r="40503" spans="20:20" s="566" customFormat="1">
      <c r="T40503" s="41"/>
    </row>
    <row r="40504" spans="20:20" s="566" customFormat="1">
      <c r="T40504" s="41"/>
    </row>
    <row r="40505" spans="20:20" s="566" customFormat="1">
      <c r="T40505" s="41"/>
    </row>
    <row r="40506" spans="20:20" s="566" customFormat="1">
      <c r="T40506" s="41"/>
    </row>
    <row r="40507" spans="20:20" s="566" customFormat="1">
      <c r="T40507" s="41"/>
    </row>
    <row r="40508" spans="20:20" s="566" customFormat="1">
      <c r="T40508" s="41"/>
    </row>
    <row r="40509" spans="20:20" s="566" customFormat="1">
      <c r="T40509" s="41"/>
    </row>
    <row r="40510" spans="20:20" s="566" customFormat="1">
      <c r="T40510" s="41"/>
    </row>
    <row r="40511" spans="20:20" s="566" customFormat="1">
      <c r="T40511" s="41"/>
    </row>
    <row r="40512" spans="20:20" s="566" customFormat="1">
      <c r="T40512" s="41"/>
    </row>
    <row r="40513" spans="20:20" s="566" customFormat="1">
      <c r="T40513" s="41"/>
    </row>
    <row r="40514" spans="20:20" s="566" customFormat="1">
      <c r="T40514" s="41"/>
    </row>
    <row r="40515" spans="20:20" s="566" customFormat="1">
      <c r="T40515" s="41"/>
    </row>
    <row r="40516" spans="20:20" s="566" customFormat="1">
      <c r="T40516" s="41"/>
    </row>
    <row r="40517" spans="20:20" s="566" customFormat="1">
      <c r="T40517" s="41"/>
    </row>
    <row r="40518" spans="20:20" s="566" customFormat="1">
      <c r="T40518" s="41"/>
    </row>
    <row r="40519" spans="20:20" s="566" customFormat="1">
      <c r="T40519" s="41"/>
    </row>
    <row r="40520" spans="20:20" s="566" customFormat="1">
      <c r="T40520" s="41"/>
    </row>
    <row r="40521" spans="20:20" s="566" customFormat="1">
      <c r="T40521" s="41"/>
    </row>
    <row r="40522" spans="20:20" s="566" customFormat="1">
      <c r="T40522" s="41"/>
    </row>
    <row r="40523" spans="20:20" s="566" customFormat="1">
      <c r="T40523" s="41"/>
    </row>
    <row r="40524" spans="20:20" s="566" customFormat="1">
      <c r="T40524" s="41"/>
    </row>
    <row r="40525" spans="20:20" s="566" customFormat="1">
      <c r="T40525" s="41"/>
    </row>
    <row r="40526" spans="20:20" s="566" customFormat="1">
      <c r="T40526" s="41"/>
    </row>
    <row r="40527" spans="20:20" s="566" customFormat="1">
      <c r="T40527" s="41"/>
    </row>
    <row r="40528" spans="20:20" s="566" customFormat="1">
      <c r="T40528" s="41"/>
    </row>
    <row r="40529" spans="20:20" s="566" customFormat="1">
      <c r="T40529" s="41"/>
    </row>
    <row r="40530" spans="20:20" s="566" customFormat="1">
      <c r="T40530" s="41"/>
    </row>
    <row r="40531" spans="20:20" s="566" customFormat="1">
      <c r="T40531" s="41"/>
    </row>
    <row r="40532" spans="20:20" s="566" customFormat="1">
      <c r="T40532" s="41"/>
    </row>
    <row r="40533" spans="20:20" s="566" customFormat="1">
      <c r="T40533" s="41"/>
    </row>
    <row r="40534" spans="20:20" s="566" customFormat="1">
      <c r="T40534" s="41"/>
    </row>
    <row r="40535" spans="20:20" s="566" customFormat="1">
      <c r="T40535" s="41"/>
    </row>
    <row r="40536" spans="20:20" s="566" customFormat="1">
      <c r="T40536" s="41"/>
    </row>
    <row r="40537" spans="20:20" s="566" customFormat="1">
      <c r="T40537" s="41"/>
    </row>
    <row r="40538" spans="20:20" s="566" customFormat="1">
      <c r="T40538" s="41"/>
    </row>
    <row r="40539" spans="20:20" s="566" customFormat="1">
      <c r="T40539" s="41"/>
    </row>
    <row r="40540" spans="20:20" s="566" customFormat="1">
      <c r="T40540" s="41"/>
    </row>
    <row r="40541" spans="20:20" s="566" customFormat="1">
      <c r="T40541" s="41"/>
    </row>
    <row r="40542" spans="20:20" s="566" customFormat="1">
      <c r="T40542" s="41"/>
    </row>
    <row r="40543" spans="20:20" s="566" customFormat="1">
      <c r="T40543" s="41"/>
    </row>
    <row r="40544" spans="20:20" s="566" customFormat="1">
      <c r="T40544" s="41"/>
    </row>
    <row r="40545" spans="20:20" s="566" customFormat="1">
      <c r="T40545" s="41"/>
    </row>
    <row r="40546" spans="20:20" s="566" customFormat="1">
      <c r="T40546" s="41"/>
    </row>
    <row r="40547" spans="20:20" s="566" customFormat="1">
      <c r="T40547" s="41"/>
    </row>
    <row r="40548" spans="20:20" s="566" customFormat="1">
      <c r="T40548" s="41"/>
    </row>
    <row r="40549" spans="20:20" s="566" customFormat="1">
      <c r="T40549" s="41"/>
    </row>
    <row r="40550" spans="20:20" s="566" customFormat="1">
      <c r="T40550" s="41"/>
    </row>
    <row r="40551" spans="20:20" s="566" customFormat="1">
      <c r="T40551" s="41"/>
    </row>
    <row r="40552" spans="20:20" s="566" customFormat="1">
      <c r="T40552" s="41"/>
    </row>
    <row r="40553" spans="20:20" s="566" customFormat="1">
      <c r="T40553" s="41"/>
    </row>
    <row r="40554" spans="20:20" s="566" customFormat="1">
      <c r="T40554" s="41"/>
    </row>
    <row r="40555" spans="20:20" s="566" customFormat="1">
      <c r="T40555" s="41"/>
    </row>
    <row r="40556" spans="20:20" s="566" customFormat="1">
      <c r="T40556" s="41"/>
    </row>
    <row r="40557" spans="20:20" s="566" customFormat="1">
      <c r="T40557" s="41"/>
    </row>
    <row r="40558" spans="20:20" s="566" customFormat="1">
      <c r="T40558" s="41"/>
    </row>
    <row r="40559" spans="20:20" s="566" customFormat="1">
      <c r="T40559" s="41"/>
    </row>
    <row r="40560" spans="20:20" s="566" customFormat="1">
      <c r="T40560" s="41"/>
    </row>
    <row r="40561" spans="20:20" s="566" customFormat="1">
      <c r="T40561" s="41"/>
    </row>
    <row r="40562" spans="20:20" s="566" customFormat="1">
      <c r="T40562" s="41"/>
    </row>
    <row r="40563" spans="20:20" s="566" customFormat="1">
      <c r="T40563" s="41"/>
    </row>
    <row r="40564" spans="20:20" s="566" customFormat="1">
      <c r="T40564" s="41"/>
    </row>
    <row r="40565" spans="20:20" s="566" customFormat="1">
      <c r="T40565" s="41"/>
    </row>
    <row r="40566" spans="20:20" s="566" customFormat="1">
      <c r="T40566" s="41"/>
    </row>
    <row r="40567" spans="20:20" s="566" customFormat="1">
      <c r="T40567" s="41"/>
    </row>
    <row r="40568" spans="20:20" s="566" customFormat="1">
      <c r="T40568" s="41"/>
    </row>
    <row r="40569" spans="20:20" s="566" customFormat="1">
      <c r="T40569" s="41"/>
    </row>
    <row r="40570" spans="20:20" s="566" customFormat="1">
      <c r="T40570" s="41"/>
    </row>
    <row r="40571" spans="20:20" s="566" customFormat="1">
      <c r="T40571" s="41"/>
    </row>
    <row r="40572" spans="20:20" s="566" customFormat="1">
      <c r="T40572" s="41"/>
    </row>
    <row r="40573" spans="20:20" s="566" customFormat="1">
      <c r="T40573" s="41"/>
    </row>
    <row r="40574" spans="20:20" s="566" customFormat="1">
      <c r="T40574" s="41"/>
    </row>
    <row r="40575" spans="20:20" s="566" customFormat="1">
      <c r="T40575" s="41"/>
    </row>
    <row r="40576" spans="20:20" s="566" customFormat="1">
      <c r="T40576" s="41"/>
    </row>
    <row r="40577" spans="20:20" s="566" customFormat="1">
      <c r="T40577" s="41"/>
    </row>
    <row r="40578" spans="20:20" s="566" customFormat="1">
      <c r="T40578" s="41"/>
    </row>
    <row r="40579" spans="20:20" s="566" customFormat="1">
      <c r="T40579" s="41"/>
    </row>
    <row r="40580" spans="20:20" s="566" customFormat="1">
      <c r="T40580" s="41"/>
    </row>
    <row r="40581" spans="20:20" s="566" customFormat="1">
      <c r="T40581" s="41"/>
    </row>
    <row r="40582" spans="20:20" s="566" customFormat="1">
      <c r="T40582" s="41"/>
    </row>
    <row r="40583" spans="20:20" s="566" customFormat="1">
      <c r="T40583" s="41"/>
    </row>
    <row r="40584" spans="20:20" s="566" customFormat="1">
      <c r="T40584" s="41"/>
    </row>
    <row r="40585" spans="20:20" s="566" customFormat="1">
      <c r="T40585" s="41"/>
    </row>
    <row r="40586" spans="20:20" s="566" customFormat="1">
      <c r="T40586" s="41"/>
    </row>
    <row r="40587" spans="20:20" s="566" customFormat="1">
      <c r="T40587" s="41"/>
    </row>
    <row r="40588" spans="20:20" s="566" customFormat="1">
      <c r="T40588" s="41"/>
    </row>
    <row r="40589" spans="20:20" s="566" customFormat="1">
      <c r="T40589" s="41"/>
    </row>
    <row r="40590" spans="20:20" s="566" customFormat="1">
      <c r="T40590" s="41"/>
    </row>
    <row r="40591" spans="20:20" s="566" customFormat="1">
      <c r="T40591" s="41"/>
    </row>
    <row r="40592" spans="20:20" s="566" customFormat="1">
      <c r="T40592" s="41"/>
    </row>
    <row r="40593" spans="20:20" s="566" customFormat="1">
      <c r="T40593" s="41"/>
    </row>
    <row r="40594" spans="20:20" s="566" customFormat="1">
      <c r="T40594" s="41"/>
    </row>
    <row r="40595" spans="20:20" s="566" customFormat="1">
      <c r="T40595" s="41"/>
    </row>
    <row r="40596" spans="20:20" s="566" customFormat="1">
      <c r="T40596" s="41"/>
    </row>
    <row r="40597" spans="20:20" s="566" customFormat="1">
      <c r="T40597" s="41"/>
    </row>
    <row r="40598" spans="20:20" s="566" customFormat="1">
      <c r="T40598" s="41"/>
    </row>
    <row r="40599" spans="20:20" s="566" customFormat="1">
      <c r="T40599" s="41"/>
    </row>
    <row r="40600" spans="20:20" s="566" customFormat="1">
      <c r="T40600" s="41"/>
    </row>
    <row r="40601" spans="20:20" s="566" customFormat="1">
      <c r="T40601" s="41"/>
    </row>
    <row r="40602" spans="20:20" s="566" customFormat="1">
      <c r="T40602" s="41"/>
    </row>
    <row r="40603" spans="20:20" s="566" customFormat="1">
      <c r="T40603" s="41"/>
    </row>
    <row r="40604" spans="20:20" s="566" customFormat="1">
      <c r="T40604" s="41"/>
    </row>
    <row r="40605" spans="20:20" s="566" customFormat="1">
      <c r="T40605" s="41"/>
    </row>
    <row r="40606" spans="20:20" s="566" customFormat="1">
      <c r="T40606" s="41"/>
    </row>
    <row r="40607" spans="20:20" s="566" customFormat="1">
      <c r="T40607" s="41"/>
    </row>
    <row r="40608" spans="20:20" s="566" customFormat="1">
      <c r="T40608" s="41"/>
    </row>
    <row r="40609" spans="20:20" s="566" customFormat="1">
      <c r="T40609" s="41"/>
    </row>
    <row r="40610" spans="20:20" s="566" customFormat="1">
      <c r="T40610" s="41"/>
    </row>
    <row r="40611" spans="20:20" s="566" customFormat="1">
      <c r="T40611" s="41"/>
    </row>
    <row r="40612" spans="20:20" s="566" customFormat="1">
      <c r="T40612" s="41"/>
    </row>
    <row r="40613" spans="20:20" s="566" customFormat="1">
      <c r="T40613" s="41"/>
    </row>
    <row r="40614" spans="20:20" s="566" customFormat="1">
      <c r="T40614" s="41"/>
    </row>
    <row r="40615" spans="20:20" s="566" customFormat="1">
      <c r="T40615" s="41"/>
    </row>
    <row r="40616" spans="20:20" s="566" customFormat="1">
      <c r="T40616" s="41"/>
    </row>
    <row r="40617" spans="20:20" s="566" customFormat="1">
      <c r="T40617" s="41"/>
    </row>
    <row r="40618" spans="20:20" s="566" customFormat="1">
      <c r="T40618" s="41"/>
    </row>
    <row r="40619" spans="20:20" s="566" customFormat="1">
      <c r="T40619" s="41"/>
    </row>
    <row r="40620" spans="20:20" s="566" customFormat="1">
      <c r="T40620" s="41"/>
    </row>
    <row r="40621" spans="20:20" s="566" customFormat="1">
      <c r="T40621" s="41"/>
    </row>
    <row r="40622" spans="20:20" s="566" customFormat="1">
      <c r="T40622" s="41"/>
    </row>
    <row r="40623" spans="20:20" s="566" customFormat="1">
      <c r="T40623" s="41"/>
    </row>
    <row r="40624" spans="20:20" s="566" customFormat="1">
      <c r="T40624" s="41"/>
    </row>
    <row r="40625" spans="20:20" s="566" customFormat="1">
      <c r="T40625" s="41"/>
    </row>
    <row r="40626" spans="20:20" s="566" customFormat="1">
      <c r="T40626" s="41"/>
    </row>
    <row r="40627" spans="20:20" s="566" customFormat="1">
      <c r="T40627" s="41"/>
    </row>
    <row r="40628" spans="20:20" s="566" customFormat="1">
      <c r="T40628" s="41"/>
    </row>
    <row r="40629" spans="20:20" s="566" customFormat="1">
      <c r="T40629" s="41"/>
    </row>
    <row r="40630" spans="20:20" s="566" customFormat="1">
      <c r="T40630" s="41"/>
    </row>
    <row r="40631" spans="20:20" s="566" customFormat="1">
      <c r="T40631" s="41"/>
    </row>
    <row r="40632" spans="20:20" s="566" customFormat="1">
      <c r="T40632" s="41"/>
    </row>
    <row r="40633" spans="20:20" s="566" customFormat="1">
      <c r="T40633" s="41"/>
    </row>
    <row r="40634" spans="20:20" s="566" customFormat="1">
      <c r="T40634" s="41"/>
    </row>
    <row r="40635" spans="20:20" s="566" customFormat="1">
      <c r="T40635" s="41"/>
    </row>
    <row r="40636" spans="20:20" s="566" customFormat="1">
      <c r="T40636" s="41"/>
    </row>
    <row r="40637" spans="20:20" s="566" customFormat="1">
      <c r="T40637" s="41"/>
    </row>
    <row r="40638" spans="20:20" s="566" customFormat="1">
      <c r="T40638" s="41"/>
    </row>
    <row r="40639" spans="20:20" s="566" customFormat="1">
      <c r="T40639" s="41"/>
    </row>
    <row r="40640" spans="20:20" s="566" customFormat="1">
      <c r="T40640" s="41"/>
    </row>
    <row r="40641" spans="20:20" s="566" customFormat="1">
      <c r="T40641" s="41"/>
    </row>
    <row r="40642" spans="20:20" s="566" customFormat="1">
      <c r="T40642" s="41"/>
    </row>
    <row r="40643" spans="20:20" s="566" customFormat="1">
      <c r="T40643" s="41"/>
    </row>
    <row r="40644" spans="20:20" s="566" customFormat="1">
      <c r="T40644" s="41"/>
    </row>
    <row r="40645" spans="20:20" s="566" customFormat="1">
      <c r="T40645" s="41"/>
    </row>
    <row r="40646" spans="20:20" s="566" customFormat="1">
      <c r="T40646" s="41"/>
    </row>
    <row r="40647" spans="20:20" s="566" customFormat="1">
      <c r="T40647" s="41"/>
    </row>
    <row r="40648" spans="20:20" s="566" customFormat="1">
      <c r="T40648" s="41"/>
    </row>
    <row r="40649" spans="20:20" s="566" customFormat="1">
      <c r="T40649" s="41"/>
    </row>
    <row r="40650" spans="20:20" s="566" customFormat="1">
      <c r="T40650" s="41"/>
    </row>
    <row r="40651" spans="20:20" s="566" customFormat="1">
      <c r="T40651" s="41"/>
    </row>
    <row r="40652" spans="20:20" s="566" customFormat="1">
      <c r="T40652" s="41"/>
    </row>
    <row r="40653" spans="20:20" s="566" customFormat="1">
      <c r="T40653" s="41"/>
    </row>
    <row r="40654" spans="20:20" s="566" customFormat="1">
      <c r="T40654" s="41"/>
    </row>
    <row r="40655" spans="20:20" s="566" customFormat="1">
      <c r="T40655" s="41"/>
    </row>
    <row r="40656" spans="20:20" s="566" customFormat="1">
      <c r="T40656" s="41"/>
    </row>
    <row r="40657" spans="20:20" s="566" customFormat="1">
      <c r="T40657" s="41"/>
    </row>
    <row r="40658" spans="20:20" s="566" customFormat="1">
      <c r="T40658" s="41"/>
    </row>
    <row r="40659" spans="20:20" s="566" customFormat="1">
      <c r="T40659" s="41"/>
    </row>
    <row r="40660" spans="20:20" s="566" customFormat="1">
      <c r="T40660" s="41"/>
    </row>
    <row r="40661" spans="20:20" s="566" customFormat="1">
      <c r="T40661" s="41"/>
    </row>
    <row r="40662" spans="20:20" s="566" customFormat="1">
      <c r="T40662" s="41"/>
    </row>
    <row r="40663" spans="20:20" s="566" customFormat="1">
      <c r="T40663" s="41"/>
    </row>
    <row r="40664" spans="20:20" s="566" customFormat="1">
      <c r="T40664" s="41"/>
    </row>
    <row r="40665" spans="20:20" s="566" customFormat="1">
      <c r="T40665" s="41"/>
    </row>
    <row r="40666" spans="20:20" s="566" customFormat="1">
      <c r="T40666" s="41"/>
    </row>
    <row r="40667" spans="20:20" s="566" customFormat="1">
      <c r="T40667" s="41"/>
    </row>
    <row r="40668" spans="20:20" s="566" customFormat="1">
      <c r="T40668" s="41"/>
    </row>
    <row r="40669" spans="20:20" s="566" customFormat="1">
      <c r="T40669" s="41"/>
    </row>
    <row r="40670" spans="20:20" s="566" customFormat="1">
      <c r="T40670" s="41"/>
    </row>
    <row r="40671" spans="20:20" s="566" customFormat="1">
      <c r="T40671" s="41"/>
    </row>
    <row r="40672" spans="20:20" s="566" customFormat="1">
      <c r="T40672" s="41"/>
    </row>
    <row r="40673" spans="20:20" s="566" customFormat="1">
      <c r="T40673" s="41"/>
    </row>
    <row r="40674" spans="20:20" s="566" customFormat="1">
      <c r="T40674" s="41"/>
    </row>
    <row r="40675" spans="20:20" s="566" customFormat="1">
      <c r="T40675" s="41"/>
    </row>
    <row r="40676" spans="20:20" s="566" customFormat="1">
      <c r="T40676" s="41"/>
    </row>
    <row r="40677" spans="20:20" s="566" customFormat="1">
      <c r="T40677" s="41"/>
    </row>
    <row r="40678" spans="20:20" s="566" customFormat="1">
      <c r="T40678" s="41"/>
    </row>
    <row r="40679" spans="20:20" s="566" customFormat="1">
      <c r="T40679" s="41"/>
    </row>
    <row r="40680" spans="20:20" s="566" customFormat="1">
      <c r="T40680" s="41"/>
    </row>
    <row r="40681" spans="20:20" s="566" customFormat="1">
      <c r="T40681" s="41"/>
    </row>
    <row r="40682" spans="20:20" s="566" customFormat="1">
      <c r="T40682" s="41"/>
    </row>
    <row r="40683" spans="20:20" s="566" customFormat="1">
      <c r="T40683" s="41"/>
    </row>
    <row r="40684" spans="20:20" s="566" customFormat="1">
      <c r="T40684" s="41"/>
    </row>
    <row r="40685" spans="20:20" s="566" customFormat="1">
      <c r="T40685" s="41"/>
    </row>
    <row r="40686" spans="20:20" s="566" customFormat="1">
      <c r="T40686" s="41"/>
    </row>
    <row r="40687" spans="20:20" s="566" customFormat="1">
      <c r="T40687" s="41"/>
    </row>
    <row r="40688" spans="20:20" s="566" customFormat="1">
      <c r="T40688" s="41"/>
    </row>
    <row r="40689" spans="20:20" s="566" customFormat="1">
      <c r="T40689" s="41"/>
    </row>
    <row r="40690" spans="20:20" s="566" customFormat="1">
      <c r="T40690" s="41"/>
    </row>
    <row r="40691" spans="20:20" s="566" customFormat="1">
      <c r="T40691" s="41"/>
    </row>
    <row r="40692" spans="20:20" s="566" customFormat="1">
      <c r="T40692" s="41"/>
    </row>
    <row r="40693" spans="20:20" s="566" customFormat="1">
      <c r="T40693" s="41"/>
    </row>
    <row r="40694" spans="20:20" s="566" customFormat="1">
      <c r="T40694" s="41"/>
    </row>
    <row r="40695" spans="20:20" s="566" customFormat="1">
      <c r="T40695" s="41"/>
    </row>
    <row r="40696" spans="20:20" s="566" customFormat="1">
      <c r="T40696" s="41"/>
    </row>
    <row r="40697" spans="20:20" s="566" customFormat="1">
      <c r="T40697" s="41"/>
    </row>
    <row r="40698" spans="20:20" s="566" customFormat="1">
      <c r="T40698" s="41"/>
    </row>
    <row r="40699" spans="20:20" s="566" customFormat="1">
      <c r="T40699" s="41"/>
    </row>
    <row r="40700" spans="20:20" s="566" customFormat="1">
      <c r="T40700" s="41"/>
    </row>
    <row r="40701" spans="20:20" s="566" customFormat="1">
      <c r="T40701" s="41"/>
    </row>
    <row r="40702" spans="20:20" s="566" customFormat="1">
      <c r="T40702" s="41"/>
    </row>
    <row r="40703" spans="20:20" s="566" customFormat="1">
      <c r="T40703" s="41"/>
    </row>
    <row r="40704" spans="20:20" s="566" customFormat="1">
      <c r="T40704" s="41"/>
    </row>
    <row r="40705" spans="20:20" s="566" customFormat="1">
      <c r="T40705" s="41"/>
    </row>
    <row r="40706" spans="20:20" s="566" customFormat="1">
      <c r="T40706" s="41"/>
    </row>
    <row r="40707" spans="20:20" s="566" customFormat="1">
      <c r="T40707" s="41"/>
    </row>
    <row r="40708" spans="20:20" s="566" customFormat="1">
      <c r="T40708" s="41"/>
    </row>
    <row r="40709" spans="20:20" s="566" customFormat="1">
      <c r="T40709" s="41"/>
    </row>
    <row r="40710" spans="20:20" s="566" customFormat="1">
      <c r="T40710" s="41"/>
    </row>
    <row r="40711" spans="20:20" s="566" customFormat="1">
      <c r="T40711" s="41"/>
    </row>
    <row r="40712" spans="20:20" s="566" customFormat="1">
      <c r="T40712" s="41"/>
    </row>
    <row r="40713" spans="20:20" s="566" customFormat="1">
      <c r="T40713" s="41"/>
    </row>
    <row r="40714" spans="20:20" s="566" customFormat="1">
      <c r="T40714" s="41"/>
    </row>
    <row r="40715" spans="20:20" s="566" customFormat="1">
      <c r="T40715" s="41"/>
    </row>
    <row r="40716" spans="20:20" s="566" customFormat="1">
      <c r="T40716" s="41"/>
    </row>
    <row r="40717" spans="20:20" s="566" customFormat="1">
      <c r="T40717" s="41"/>
    </row>
    <row r="40718" spans="20:20" s="566" customFormat="1">
      <c r="T40718" s="41"/>
    </row>
    <row r="40719" spans="20:20" s="566" customFormat="1">
      <c r="T40719" s="41"/>
    </row>
    <row r="40720" spans="20:20" s="566" customFormat="1">
      <c r="T40720" s="41"/>
    </row>
    <row r="40721" spans="20:20" s="566" customFormat="1">
      <c r="T40721" s="41"/>
    </row>
    <row r="40722" spans="20:20" s="566" customFormat="1">
      <c r="T40722" s="41"/>
    </row>
    <row r="40723" spans="20:20" s="566" customFormat="1">
      <c r="T40723" s="41"/>
    </row>
    <row r="40724" spans="20:20" s="566" customFormat="1">
      <c r="T40724" s="41"/>
    </row>
    <row r="40725" spans="20:20" s="566" customFormat="1">
      <c r="T40725" s="41"/>
    </row>
    <row r="40726" spans="20:20" s="566" customFormat="1">
      <c r="T40726" s="41"/>
    </row>
    <row r="40727" spans="20:20" s="566" customFormat="1">
      <c r="T40727" s="41"/>
    </row>
    <row r="40728" spans="20:20" s="566" customFormat="1">
      <c r="T40728" s="41"/>
    </row>
    <row r="40729" spans="20:20" s="566" customFormat="1">
      <c r="T40729" s="41"/>
    </row>
    <row r="40730" spans="20:20" s="566" customFormat="1">
      <c r="T40730" s="41"/>
    </row>
    <row r="40731" spans="20:20" s="566" customFormat="1">
      <c r="T40731" s="41"/>
    </row>
    <row r="40732" spans="20:20" s="566" customFormat="1">
      <c r="T40732" s="41"/>
    </row>
    <row r="40733" spans="20:20" s="566" customFormat="1">
      <c r="T40733" s="41"/>
    </row>
    <row r="40734" spans="20:20" s="566" customFormat="1">
      <c r="T40734" s="41"/>
    </row>
    <row r="40735" spans="20:20" s="566" customFormat="1">
      <c r="T40735" s="41"/>
    </row>
    <row r="40736" spans="20:20" s="566" customFormat="1">
      <c r="T40736" s="41"/>
    </row>
    <row r="40737" spans="20:20" s="566" customFormat="1">
      <c r="T40737" s="41"/>
    </row>
    <row r="40738" spans="20:20" s="566" customFormat="1">
      <c r="T40738" s="41"/>
    </row>
    <row r="40739" spans="20:20" s="566" customFormat="1">
      <c r="T40739" s="41"/>
    </row>
    <row r="40740" spans="20:20" s="566" customFormat="1">
      <c r="T40740" s="41"/>
    </row>
    <row r="40741" spans="20:20" s="566" customFormat="1">
      <c r="T40741" s="41"/>
    </row>
    <row r="40742" spans="20:20" s="566" customFormat="1">
      <c r="T40742" s="41"/>
    </row>
    <row r="40743" spans="20:20" s="566" customFormat="1">
      <c r="T40743" s="41"/>
    </row>
    <row r="40744" spans="20:20" s="566" customFormat="1">
      <c r="T40744" s="41"/>
    </row>
    <row r="40745" spans="20:20" s="566" customFormat="1">
      <c r="T40745" s="41"/>
    </row>
    <row r="40746" spans="20:20" s="566" customFormat="1">
      <c r="T40746" s="41"/>
    </row>
    <row r="40747" spans="20:20" s="566" customFormat="1">
      <c r="T40747" s="41"/>
    </row>
    <row r="40748" spans="20:20" s="566" customFormat="1">
      <c r="T40748" s="41"/>
    </row>
    <row r="40749" spans="20:20" s="566" customFormat="1">
      <c r="T40749" s="41"/>
    </row>
    <row r="40750" spans="20:20" s="566" customFormat="1">
      <c r="T40750" s="41"/>
    </row>
    <row r="40751" spans="20:20" s="566" customFormat="1">
      <c r="T40751" s="41"/>
    </row>
    <row r="40752" spans="20:20" s="566" customFormat="1">
      <c r="T40752" s="41"/>
    </row>
    <row r="40753" spans="20:20" s="566" customFormat="1">
      <c r="T40753" s="41"/>
    </row>
    <row r="40754" spans="20:20" s="566" customFormat="1">
      <c r="T40754" s="41"/>
    </row>
    <row r="40755" spans="20:20" s="566" customFormat="1">
      <c r="T40755" s="41"/>
    </row>
    <row r="40756" spans="20:20" s="566" customFormat="1">
      <c r="T40756" s="41"/>
    </row>
    <row r="40757" spans="20:20" s="566" customFormat="1">
      <c r="T40757" s="41"/>
    </row>
    <row r="40758" spans="20:20" s="566" customFormat="1">
      <c r="T40758" s="41"/>
    </row>
    <row r="40759" spans="20:20" s="566" customFormat="1">
      <c r="T40759" s="41"/>
    </row>
    <row r="40760" spans="20:20" s="566" customFormat="1">
      <c r="T40760" s="41"/>
    </row>
    <row r="40761" spans="20:20" s="566" customFormat="1">
      <c r="T40761" s="41"/>
    </row>
    <row r="40762" spans="20:20" s="566" customFormat="1">
      <c r="T40762" s="41"/>
    </row>
    <row r="40763" spans="20:20" s="566" customFormat="1">
      <c r="T40763" s="41"/>
    </row>
    <row r="40764" spans="20:20" s="566" customFormat="1">
      <c r="T40764" s="41"/>
    </row>
    <row r="40765" spans="20:20" s="566" customFormat="1">
      <c r="T40765" s="41"/>
    </row>
    <row r="40766" spans="20:20" s="566" customFormat="1">
      <c r="T40766" s="41"/>
    </row>
    <row r="40767" spans="20:20" s="566" customFormat="1">
      <c r="T40767" s="41"/>
    </row>
    <row r="40768" spans="20:20" s="566" customFormat="1">
      <c r="T40768" s="41"/>
    </row>
    <row r="40769" spans="20:20" s="566" customFormat="1">
      <c r="T40769" s="41"/>
    </row>
    <row r="40770" spans="20:20" s="566" customFormat="1">
      <c r="T40770" s="41"/>
    </row>
    <row r="40771" spans="20:20" s="566" customFormat="1">
      <c r="T40771" s="41"/>
    </row>
    <row r="40772" spans="20:20" s="566" customFormat="1">
      <c r="T40772" s="41"/>
    </row>
    <row r="40773" spans="20:20" s="566" customFormat="1">
      <c r="T40773" s="41"/>
    </row>
    <row r="40774" spans="20:20" s="566" customFormat="1">
      <c r="T40774" s="41"/>
    </row>
    <row r="40775" spans="20:20" s="566" customFormat="1">
      <c r="T40775" s="41"/>
    </row>
    <row r="40776" spans="20:20" s="566" customFormat="1">
      <c r="T40776" s="41"/>
    </row>
    <row r="40777" spans="20:20" s="566" customFormat="1">
      <c r="T40777" s="41"/>
    </row>
    <row r="40778" spans="20:20" s="566" customFormat="1">
      <c r="T40778" s="41"/>
    </row>
    <row r="40779" spans="20:20" s="566" customFormat="1">
      <c r="T40779" s="41"/>
    </row>
    <row r="40780" spans="20:20" s="566" customFormat="1">
      <c r="T40780" s="41"/>
    </row>
    <row r="40781" spans="20:20" s="566" customFormat="1">
      <c r="T40781" s="41"/>
    </row>
    <row r="40782" spans="20:20" s="566" customFormat="1">
      <c r="T40782" s="41"/>
    </row>
    <row r="40783" spans="20:20" s="566" customFormat="1">
      <c r="T40783" s="41"/>
    </row>
    <row r="40784" spans="20:20" s="566" customFormat="1">
      <c r="T40784" s="41"/>
    </row>
    <row r="40785" spans="20:20" s="566" customFormat="1">
      <c r="T40785" s="41"/>
    </row>
    <row r="40786" spans="20:20" s="566" customFormat="1">
      <c r="T40786" s="41"/>
    </row>
    <row r="40787" spans="20:20" s="566" customFormat="1">
      <c r="T40787" s="41"/>
    </row>
    <row r="40788" spans="20:20" s="566" customFormat="1">
      <c r="T40788" s="41"/>
    </row>
    <row r="40789" spans="20:20" s="566" customFormat="1">
      <c r="T40789" s="41"/>
    </row>
    <row r="40790" spans="20:20" s="566" customFormat="1">
      <c r="T40790" s="41"/>
    </row>
    <row r="40791" spans="20:20" s="566" customFormat="1">
      <c r="T40791" s="41"/>
    </row>
    <row r="40792" spans="20:20" s="566" customFormat="1">
      <c r="T40792" s="41"/>
    </row>
    <row r="40793" spans="20:20" s="566" customFormat="1">
      <c r="T40793" s="41"/>
    </row>
    <row r="40794" spans="20:20" s="566" customFormat="1">
      <c r="T40794" s="41"/>
    </row>
    <row r="40795" spans="20:20" s="566" customFormat="1">
      <c r="T40795" s="41"/>
    </row>
    <row r="40796" spans="20:20" s="566" customFormat="1">
      <c r="T40796" s="41"/>
    </row>
    <row r="40797" spans="20:20" s="566" customFormat="1">
      <c r="T40797" s="41"/>
    </row>
    <row r="40798" spans="20:20" s="566" customFormat="1">
      <c r="T40798" s="41"/>
    </row>
    <row r="40799" spans="20:20" s="566" customFormat="1">
      <c r="T40799" s="41"/>
    </row>
    <row r="40800" spans="20:20" s="566" customFormat="1">
      <c r="T40800" s="41"/>
    </row>
    <row r="40801" spans="20:20" s="566" customFormat="1">
      <c r="T40801" s="41"/>
    </row>
    <row r="40802" spans="20:20" s="566" customFormat="1">
      <c r="T40802" s="41"/>
    </row>
    <row r="40803" spans="20:20" s="566" customFormat="1">
      <c r="T40803" s="41"/>
    </row>
    <row r="40804" spans="20:20" s="566" customFormat="1">
      <c r="T40804" s="41"/>
    </row>
    <row r="40805" spans="20:20" s="566" customFormat="1">
      <c r="T40805" s="41"/>
    </row>
    <row r="40806" spans="20:20" s="566" customFormat="1">
      <c r="T40806" s="41"/>
    </row>
    <row r="40807" spans="20:20" s="566" customFormat="1">
      <c r="T40807" s="41"/>
    </row>
    <row r="40808" spans="20:20" s="566" customFormat="1">
      <c r="T40808" s="41"/>
    </row>
    <row r="40809" spans="20:20" s="566" customFormat="1">
      <c r="T40809" s="41"/>
    </row>
    <row r="40810" spans="20:20" s="566" customFormat="1">
      <c r="T40810" s="41"/>
    </row>
    <row r="40811" spans="20:20" s="566" customFormat="1">
      <c r="T40811" s="41"/>
    </row>
    <row r="40812" spans="20:20" s="566" customFormat="1">
      <c r="T40812" s="41"/>
    </row>
    <row r="40813" spans="20:20" s="566" customFormat="1">
      <c r="T40813" s="41"/>
    </row>
    <row r="40814" spans="20:20" s="566" customFormat="1">
      <c r="T40814" s="41"/>
    </row>
    <row r="40815" spans="20:20" s="566" customFormat="1">
      <c r="T40815" s="41"/>
    </row>
    <row r="40816" spans="20:20" s="566" customFormat="1">
      <c r="T40816" s="41"/>
    </row>
    <row r="40817" spans="20:20" s="566" customFormat="1">
      <c r="T40817" s="41"/>
    </row>
    <row r="40818" spans="20:20" s="566" customFormat="1">
      <c r="T40818" s="41"/>
    </row>
    <row r="40819" spans="20:20" s="566" customFormat="1">
      <c r="T40819" s="41"/>
    </row>
    <row r="40820" spans="20:20" s="566" customFormat="1">
      <c r="T40820" s="41"/>
    </row>
    <row r="40821" spans="20:20" s="566" customFormat="1">
      <c r="T40821" s="41"/>
    </row>
    <row r="40822" spans="20:20" s="566" customFormat="1">
      <c r="T40822" s="41"/>
    </row>
    <row r="40823" spans="20:20" s="566" customFormat="1">
      <c r="T40823" s="41"/>
    </row>
    <row r="40824" spans="20:20" s="566" customFormat="1">
      <c r="T40824" s="41"/>
    </row>
    <row r="40825" spans="20:20" s="566" customFormat="1">
      <c r="T40825" s="41"/>
    </row>
    <row r="40826" spans="20:20" s="566" customFormat="1">
      <c r="T40826" s="41"/>
    </row>
    <row r="40827" spans="20:20" s="566" customFormat="1">
      <c r="T40827" s="41"/>
    </row>
    <row r="40828" spans="20:20" s="566" customFormat="1">
      <c r="T40828" s="41"/>
    </row>
    <row r="40829" spans="20:20" s="566" customFormat="1">
      <c r="T40829" s="41"/>
    </row>
    <row r="40830" spans="20:20" s="566" customFormat="1">
      <c r="T40830" s="41"/>
    </row>
    <row r="40831" spans="20:20" s="566" customFormat="1">
      <c r="T40831" s="41"/>
    </row>
    <row r="40832" spans="20:20" s="566" customFormat="1">
      <c r="T40832" s="41"/>
    </row>
    <row r="40833" spans="20:20" s="566" customFormat="1">
      <c r="T40833" s="41"/>
    </row>
    <row r="40834" spans="20:20" s="566" customFormat="1">
      <c r="T40834" s="41"/>
    </row>
    <row r="40835" spans="20:20" s="566" customFormat="1">
      <c r="T40835" s="41"/>
    </row>
    <row r="40836" spans="20:20" s="566" customFormat="1">
      <c r="T40836" s="41"/>
    </row>
    <row r="40837" spans="20:20" s="566" customFormat="1">
      <c r="T40837" s="41"/>
    </row>
    <row r="40838" spans="20:20" s="566" customFormat="1">
      <c r="T40838" s="41"/>
    </row>
    <row r="40839" spans="20:20" s="566" customFormat="1">
      <c r="T40839" s="41"/>
    </row>
    <row r="40840" spans="20:20" s="566" customFormat="1">
      <c r="T40840" s="41"/>
    </row>
    <row r="40841" spans="20:20" s="566" customFormat="1">
      <c r="T40841" s="41"/>
    </row>
    <row r="40842" spans="20:20" s="566" customFormat="1">
      <c r="T40842" s="41"/>
    </row>
    <row r="40843" spans="20:20" s="566" customFormat="1">
      <c r="T40843" s="41"/>
    </row>
    <row r="40844" spans="20:20" s="566" customFormat="1">
      <c r="T40844" s="41"/>
    </row>
    <row r="40845" spans="20:20" s="566" customFormat="1">
      <c r="T40845" s="41"/>
    </row>
    <row r="40846" spans="20:20" s="566" customFormat="1">
      <c r="T40846" s="41"/>
    </row>
    <row r="40847" spans="20:20" s="566" customFormat="1">
      <c r="T40847" s="41"/>
    </row>
    <row r="40848" spans="20:20" s="566" customFormat="1">
      <c r="T40848" s="41"/>
    </row>
    <row r="40849" spans="20:20" s="566" customFormat="1">
      <c r="T40849" s="41"/>
    </row>
    <row r="40850" spans="20:20" s="566" customFormat="1">
      <c r="T40850" s="41"/>
    </row>
    <row r="40851" spans="20:20" s="566" customFormat="1">
      <c r="T40851" s="41"/>
    </row>
    <row r="40852" spans="20:20" s="566" customFormat="1">
      <c r="T40852" s="41"/>
    </row>
    <row r="40853" spans="20:20" s="566" customFormat="1">
      <c r="T40853" s="41"/>
    </row>
    <row r="40854" spans="20:20" s="566" customFormat="1">
      <c r="T40854" s="41"/>
    </row>
    <row r="40855" spans="20:20" s="566" customFormat="1">
      <c r="T40855" s="41"/>
    </row>
    <row r="40856" spans="20:20" s="566" customFormat="1">
      <c r="T40856" s="41"/>
    </row>
    <row r="40857" spans="20:20" s="566" customFormat="1">
      <c r="T40857" s="41"/>
    </row>
    <row r="40858" spans="20:20" s="566" customFormat="1">
      <c r="T40858" s="41"/>
    </row>
    <row r="40859" spans="20:20" s="566" customFormat="1">
      <c r="T40859" s="41"/>
    </row>
    <row r="40860" spans="20:20" s="566" customFormat="1">
      <c r="T40860" s="41"/>
    </row>
    <row r="40861" spans="20:20" s="566" customFormat="1">
      <c r="T40861" s="41"/>
    </row>
    <row r="40862" spans="20:20" s="566" customFormat="1">
      <c r="T40862" s="41"/>
    </row>
    <row r="40863" spans="20:20" s="566" customFormat="1">
      <c r="T40863" s="41"/>
    </row>
    <row r="40864" spans="20:20" s="566" customFormat="1">
      <c r="T40864" s="41"/>
    </row>
    <row r="40865" spans="20:20" s="566" customFormat="1">
      <c r="T40865" s="41"/>
    </row>
    <row r="40866" spans="20:20" s="566" customFormat="1">
      <c r="T40866" s="41"/>
    </row>
    <row r="40867" spans="20:20" s="566" customFormat="1">
      <c r="T40867" s="41"/>
    </row>
    <row r="40868" spans="20:20" s="566" customFormat="1">
      <c r="T40868" s="41"/>
    </row>
    <row r="40869" spans="20:20" s="566" customFormat="1">
      <c r="T40869" s="41"/>
    </row>
    <row r="40870" spans="20:20" s="566" customFormat="1">
      <c r="T40870" s="41"/>
    </row>
    <row r="40871" spans="20:20" s="566" customFormat="1">
      <c r="T40871" s="41"/>
    </row>
    <row r="40872" spans="20:20" s="566" customFormat="1">
      <c r="T40872" s="41"/>
    </row>
    <row r="40873" spans="20:20" s="566" customFormat="1">
      <c r="T40873" s="41"/>
    </row>
    <row r="40874" spans="20:20" s="566" customFormat="1">
      <c r="T40874" s="41"/>
    </row>
    <row r="40875" spans="20:20" s="566" customFormat="1">
      <c r="T40875" s="41"/>
    </row>
    <row r="40876" spans="20:20" s="566" customFormat="1">
      <c r="T40876" s="41"/>
    </row>
    <row r="40877" spans="20:20" s="566" customFormat="1">
      <c r="T40877" s="41"/>
    </row>
    <row r="40878" spans="20:20" s="566" customFormat="1">
      <c r="T40878" s="41"/>
    </row>
    <row r="40879" spans="20:20" s="566" customFormat="1">
      <c r="T40879" s="41"/>
    </row>
    <row r="40880" spans="20:20" s="566" customFormat="1">
      <c r="T40880" s="41"/>
    </row>
    <row r="40881" spans="20:20" s="566" customFormat="1">
      <c r="T40881" s="41"/>
    </row>
    <row r="40882" spans="20:20" s="566" customFormat="1">
      <c r="T40882" s="41"/>
    </row>
    <row r="40883" spans="20:20" s="566" customFormat="1">
      <c r="T40883" s="41"/>
    </row>
    <row r="40884" spans="20:20" s="566" customFormat="1">
      <c r="T40884" s="41"/>
    </row>
    <row r="40885" spans="20:20" s="566" customFormat="1">
      <c r="T40885" s="41"/>
    </row>
    <row r="40886" spans="20:20" s="566" customFormat="1">
      <c r="T40886" s="41"/>
    </row>
    <row r="40887" spans="20:20" s="566" customFormat="1">
      <c r="T40887" s="41"/>
    </row>
    <row r="40888" spans="20:20" s="566" customFormat="1">
      <c r="T40888" s="41"/>
    </row>
    <row r="40889" spans="20:20" s="566" customFormat="1">
      <c r="T40889" s="41"/>
    </row>
    <row r="40890" spans="20:20" s="566" customFormat="1">
      <c r="T40890" s="41"/>
    </row>
    <row r="40891" spans="20:20" s="566" customFormat="1">
      <c r="T40891" s="41"/>
    </row>
    <row r="40892" spans="20:20" s="566" customFormat="1">
      <c r="T40892" s="41"/>
    </row>
    <row r="40893" spans="20:20" s="566" customFormat="1">
      <c r="T40893" s="41"/>
    </row>
    <row r="40894" spans="20:20" s="566" customFormat="1">
      <c r="T40894" s="41"/>
    </row>
    <row r="40895" spans="20:20" s="566" customFormat="1">
      <c r="T40895" s="41"/>
    </row>
    <row r="40896" spans="20:20" s="566" customFormat="1">
      <c r="T40896" s="41"/>
    </row>
    <row r="40897" spans="20:20" s="566" customFormat="1">
      <c r="T40897" s="41"/>
    </row>
    <row r="40898" spans="20:20" s="566" customFormat="1">
      <c r="T40898" s="41"/>
    </row>
    <row r="40899" spans="20:20" s="566" customFormat="1">
      <c r="T40899" s="41"/>
    </row>
    <row r="40900" spans="20:20" s="566" customFormat="1">
      <c r="T40900" s="41"/>
    </row>
    <row r="40901" spans="20:20" s="566" customFormat="1">
      <c r="T40901" s="41"/>
    </row>
    <row r="40902" spans="20:20" s="566" customFormat="1">
      <c r="T40902" s="41"/>
    </row>
    <row r="40903" spans="20:20" s="566" customFormat="1">
      <c r="T40903" s="41"/>
    </row>
    <row r="40904" spans="20:20" s="566" customFormat="1">
      <c r="T40904" s="41"/>
    </row>
    <row r="40905" spans="20:20" s="566" customFormat="1">
      <c r="T40905" s="41"/>
    </row>
    <row r="40906" spans="20:20" s="566" customFormat="1">
      <c r="T40906" s="41"/>
    </row>
    <row r="40907" spans="20:20" s="566" customFormat="1">
      <c r="T40907" s="41"/>
    </row>
    <row r="40908" spans="20:20" s="566" customFormat="1">
      <c r="T40908" s="41"/>
    </row>
    <row r="40909" spans="20:20" s="566" customFormat="1">
      <c r="T40909" s="41"/>
    </row>
    <row r="40910" spans="20:20" s="566" customFormat="1">
      <c r="T40910" s="41"/>
    </row>
    <row r="40911" spans="20:20" s="566" customFormat="1">
      <c r="T40911" s="41"/>
    </row>
    <row r="40912" spans="20:20" s="566" customFormat="1">
      <c r="T40912" s="41"/>
    </row>
    <row r="40913" spans="20:20" s="566" customFormat="1">
      <c r="T40913" s="41"/>
    </row>
    <row r="40914" spans="20:20" s="566" customFormat="1">
      <c r="T40914" s="41"/>
    </row>
    <row r="40915" spans="20:20" s="566" customFormat="1">
      <c r="T40915" s="41"/>
    </row>
    <row r="40916" spans="20:20" s="566" customFormat="1">
      <c r="T40916" s="41"/>
    </row>
    <row r="40917" spans="20:20" s="566" customFormat="1">
      <c r="T40917" s="41"/>
    </row>
    <row r="40918" spans="20:20" s="566" customFormat="1">
      <c r="T40918" s="41"/>
    </row>
    <row r="40919" spans="20:20" s="566" customFormat="1">
      <c r="T40919" s="41"/>
    </row>
    <row r="40920" spans="20:20" s="566" customFormat="1">
      <c r="T40920" s="41"/>
    </row>
    <row r="40921" spans="20:20" s="566" customFormat="1">
      <c r="T40921" s="41"/>
    </row>
    <row r="40922" spans="20:20" s="566" customFormat="1">
      <c r="T40922" s="41"/>
    </row>
    <row r="40923" spans="20:20" s="566" customFormat="1">
      <c r="T40923" s="41"/>
    </row>
    <row r="40924" spans="20:20" s="566" customFormat="1">
      <c r="T40924" s="41"/>
    </row>
    <row r="40925" spans="20:20" s="566" customFormat="1">
      <c r="T40925" s="41"/>
    </row>
    <row r="40926" spans="20:20" s="566" customFormat="1">
      <c r="T40926" s="41"/>
    </row>
    <row r="40927" spans="20:20" s="566" customFormat="1">
      <c r="T40927" s="41"/>
    </row>
    <row r="40928" spans="20:20" s="566" customFormat="1">
      <c r="T40928" s="41"/>
    </row>
    <row r="40929" spans="20:20" s="566" customFormat="1">
      <c r="T40929" s="41"/>
    </row>
    <row r="40930" spans="20:20" s="566" customFormat="1">
      <c r="T40930" s="41"/>
    </row>
    <row r="40931" spans="20:20" s="566" customFormat="1">
      <c r="T40931" s="41"/>
    </row>
    <row r="40932" spans="20:20" s="566" customFormat="1">
      <c r="T40932" s="41"/>
    </row>
    <row r="40933" spans="20:20" s="566" customFormat="1">
      <c r="T40933" s="41"/>
    </row>
    <row r="40934" spans="20:20" s="566" customFormat="1">
      <c r="T40934" s="41"/>
    </row>
    <row r="40935" spans="20:20" s="566" customFormat="1">
      <c r="T40935" s="41"/>
    </row>
    <row r="40936" spans="20:20" s="566" customFormat="1">
      <c r="T40936" s="41"/>
    </row>
    <row r="40937" spans="20:20" s="566" customFormat="1">
      <c r="T40937" s="41"/>
    </row>
    <row r="40938" spans="20:20" s="566" customFormat="1">
      <c r="T40938" s="41"/>
    </row>
    <row r="40939" spans="20:20" s="566" customFormat="1">
      <c r="T40939" s="41"/>
    </row>
    <row r="40940" spans="20:20" s="566" customFormat="1">
      <c r="T40940" s="41"/>
    </row>
    <row r="40941" spans="20:20" s="566" customFormat="1">
      <c r="T40941" s="41"/>
    </row>
    <row r="40942" spans="20:20" s="566" customFormat="1">
      <c r="T40942" s="41"/>
    </row>
    <row r="40943" spans="20:20" s="566" customFormat="1">
      <c r="T40943" s="41"/>
    </row>
    <row r="40944" spans="20:20" s="566" customFormat="1">
      <c r="T40944" s="41"/>
    </row>
    <row r="40945" spans="20:20" s="566" customFormat="1">
      <c r="T40945" s="41"/>
    </row>
    <row r="40946" spans="20:20" s="566" customFormat="1">
      <c r="T40946" s="41"/>
    </row>
    <row r="40947" spans="20:20" s="566" customFormat="1">
      <c r="T40947" s="41"/>
    </row>
    <row r="40948" spans="20:20" s="566" customFormat="1">
      <c r="T40948" s="41"/>
    </row>
    <row r="40949" spans="20:20" s="566" customFormat="1">
      <c r="T40949" s="41"/>
    </row>
    <row r="40950" spans="20:20" s="566" customFormat="1">
      <c r="T40950" s="41"/>
    </row>
    <row r="40951" spans="20:20" s="566" customFormat="1">
      <c r="T40951" s="41"/>
    </row>
    <row r="40952" spans="20:20" s="566" customFormat="1">
      <c r="T40952" s="41"/>
    </row>
    <row r="40953" spans="20:20" s="566" customFormat="1">
      <c r="T40953" s="41"/>
    </row>
    <row r="40954" spans="20:20" s="566" customFormat="1">
      <c r="T40954" s="41"/>
    </row>
    <row r="40955" spans="20:20" s="566" customFormat="1">
      <c r="T40955" s="41"/>
    </row>
    <row r="40956" spans="20:20" s="566" customFormat="1">
      <c r="T40956" s="41"/>
    </row>
    <row r="40957" spans="20:20" s="566" customFormat="1">
      <c r="T40957" s="41"/>
    </row>
    <row r="40958" spans="20:20" s="566" customFormat="1">
      <c r="T40958" s="41"/>
    </row>
    <row r="40959" spans="20:20" s="566" customFormat="1">
      <c r="T40959" s="41"/>
    </row>
    <row r="40960" spans="20:20" s="566" customFormat="1">
      <c r="T40960" s="41"/>
    </row>
    <row r="40961" spans="20:20" s="566" customFormat="1">
      <c r="T40961" s="41"/>
    </row>
    <row r="40962" spans="20:20" s="566" customFormat="1">
      <c r="T40962" s="41"/>
    </row>
    <row r="40963" spans="20:20" s="566" customFormat="1">
      <c r="T40963" s="41"/>
    </row>
    <row r="40964" spans="20:20" s="566" customFormat="1">
      <c r="T40964" s="41"/>
    </row>
    <row r="40965" spans="20:20" s="566" customFormat="1">
      <c r="T40965" s="41"/>
    </row>
    <row r="40966" spans="20:20" s="566" customFormat="1">
      <c r="T40966" s="41"/>
    </row>
    <row r="40967" spans="20:20" s="566" customFormat="1">
      <c r="T40967" s="41"/>
    </row>
    <row r="40968" spans="20:20" s="566" customFormat="1">
      <c r="T40968" s="41"/>
    </row>
    <row r="40969" spans="20:20" s="566" customFormat="1">
      <c r="T40969" s="41"/>
    </row>
    <row r="40970" spans="20:20" s="566" customFormat="1">
      <c r="T40970" s="41"/>
    </row>
    <row r="40971" spans="20:20" s="566" customFormat="1">
      <c r="T40971" s="41"/>
    </row>
    <row r="40972" spans="20:20" s="566" customFormat="1">
      <c r="T40972" s="41"/>
    </row>
    <row r="40973" spans="20:20" s="566" customFormat="1">
      <c r="T40973" s="41"/>
    </row>
    <row r="40974" spans="20:20" s="566" customFormat="1">
      <c r="T40974" s="41"/>
    </row>
    <row r="40975" spans="20:20" s="566" customFormat="1">
      <c r="T40975" s="41"/>
    </row>
    <row r="40976" spans="20:20" s="566" customFormat="1">
      <c r="T40976" s="41"/>
    </row>
    <row r="40977" spans="20:20" s="566" customFormat="1">
      <c r="T40977" s="41"/>
    </row>
    <row r="40978" spans="20:20" s="566" customFormat="1">
      <c r="T40978" s="41"/>
    </row>
    <row r="40979" spans="20:20" s="566" customFormat="1">
      <c r="T40979" s="41"/>
    </row>
    <row r="40980" spans="20:20" s="566" customFormat="1">
      <c r="T40980" s="41"/>
    </row>
    <row r="40981" spans="20:20" s="566" customFormat="1">
      <c r="T40981" s="41"/>
    </row>
    <row r="40982" spans="20:20" s="566" customFormat="1">
      <c r="T40982" s="41"/>
    </row>
    <row r="40983" spans="20:20" s="566" customFormat="1">
      <c r="T40983" s="41"/>
    </row>
    <row r="40984" spans="20:20" s="566" customFormat="1">
      <c r="T40984" s="41"/>
    </row>
    <row r="40985" spans="20:20" s="566" customFormat="1">
      <c r="T40985" s="41"/>
    </row>
    <row r="40986" spans="20:20" s="566" customFormat="1">
      <c r="T40986" s="41"/>
    </row>
    <row r="40987" spans="20:20" s="566" customFormat="1">
      <c r="T40987" s="41"/>
    </row>
    <row r="40988" spans="20:20" s="566" customFormat="1">
      <c r="T40988" s="41"/>
    </row>
    <row r="40989" spans="20:20" s="566" customFormat="1">
      <c r="T40989" s="41"/>
    </row>
    <row r="40990" spans="20:20" s="566" customFormat="1">
      <c r="T40990" s="41"/>
    </row>
    <row r="40991" spans="20:20" s="566" customFormat="1">
      <c r="T40991" s="41"/>
    </row>
    <row r="40992" spans="20:20" s="566" customFormat="1">
      <c r="T40992" s="41"/>
    </row>
    <row r="40993" spans="20:20" s="566" customFormat="1">
      <c r="T40993" s="41"/>
    </row>
    <row r="40994" spans="20:20" s="566" customFormat="1">
      <c r="T40994" s="41"/>
    </row>
    <row r="40995" spans="20:20" s="566" customFormat="1">
      <c r="T40995" s="41"/>
    </row>
    <row r="40996" spans="20:20" s="566" customFormat="1">
      <c r="T40996" s="41"/>
    </row>
    <row r="40997" spans="20:20" s="566" customFormat="1">
      <c r="T40997" s="41"/>
    </row>
    <row r="40998" spans="20:20" s="566" customFormat="1">
      <c r="T40998" s="41"/>
    </row>
    <row r="40999" spans="20:20" s="566" customFormat="1">
      <c r="T40999" s="41"/>
    </row>
    <row r="41000" spans="20:20" s="566" customFormat="1">
      <c r="T41000" s="41"/>
    </row>
    <row r="41001" spans="20:20" s="566" customFormat="1">
      <c r="T41001" s="41"/>
    </row>
    <row r="41002" spans="20:20" s="566" customFormat="1">
      <c r="T41002" s="41"/>
    </row>
    <row r="41003" spans="20:20" s="566" customFormat="1">
      <c r="T41003" s="41"/>
    </row>
    <row r="41004" spans="20:20" s="566" customFormat="1">
      <c r="T41004" s="41"/>
    </row>
    <row r="41005" spans="20:20" s="566" customFormat="1">
      <c r="T41005" s="41"/>
    </row>
    <row r="41006" spans="20:20" s="566" customFormat="1">
      <c r="T41006" s="41"/>
    </row>
    <row r="41007" spans="20:20" s="566" customFormat="1">
      <c r="T41007" s="41"/>
    </row>
    <row r="41008" spans="20:20" s="566" customFormat="1">
      <c r="T41008" s="41"/>
    </row>
    <row r="41009" spans="20:20" s="566" customFormat="1">
      <c r="T41009" s="41"/>
    </row>
    <row r="41010" spans="20:20" s="566" customFormat="1">
      <c r="T41010" s="41"/>
    </row>
    <row r="41011" spans="20:20" s="566" customFormat="1">
      <c r="T41011" s="41"/>
    </row>
    <row r="41012" spans="20:20" s="566" customFormat="1">
      <c r="T41012" s="41"/>
    </row>
    <row r="41013" spans="20:20" s="566" customFormat="1">
      <c r="T41013" s="41"/>
    </row>
    <row r="41014" spans="20:20" s="566" customFormat="1">
      <c r="T41014" s="41"/>
    </row>
    <row r="41015" spans="20:20" s="566" customFormat="1">
      <c r="T41015" s="41"/>
    </row>
    <row r="41016" spans="20:20" s="566" customFormat="1">
      <c r="T41016" s="41"/>
    </row>
    <row r="41017" spans="20:20" s="566" customFormat="1">
      <c r="T41017" s="41"/>
    </row>
    <row r="41018" spans="20:20" s="566" customFormat="1">
      <c r="T41018" s="41"/>
    </row>
    <row r="41019" spans="20:20" s="566" customFormat="1">
      <c r="T41019" s="41"/>
    </row>
    <row r="41020" spans="20:20" s="566" customFormat="1">
      <c r="T41020" s="41"/>
    </row>
    <row r="41021" spans="20:20" s="566" customFormat="1">
      <c r="T41021" s="41"/>
    </row>
    <row r="41022" spans="20:20" s="566" customFormat="1">
      <c r="T41022" s="41"/>
    </row>
    <row r="41023" spans="20:20" s="566" customFormat="1">
      <c r="T41023" s="41"/>
    </row>
    <row r="41024" spans="20:20" s="566" customFormat="1">
      <c r="T41024" s="41"/>
    </row>
    <row r="41025" spans="20:20" s="566" customFormat="1">
      <c r="T41025" s="41"/>
    </row>
    <row r="41026" spans="20:20" s="566" customFormat="1">
      <c r="T41026" s="41"/>
    </row>
    <row r="41027" spans="20:20" s="566" customFormat="1">
      <c r="T41027" s="41"/>
    </row>
    <row r="41028" spans="20:20" s="566" customFormat="1">
      <c r="T41028" s="41"/>
    </row>
    <row r="41029" spans="20:20" s="566" customFormat="1">
      <c r="T41029" s="41"/>
    </row>
    <row r="41030" spans="20:20" s="566" customFormat="1">
      <c r="T41030" s="41"/>
    </row>
    <row r="41031" spans="20:20" s="566" customFormat="1">
      <c r="T41031" s="41"/>
    </row>
    <row r="41032" spans="20:20" s="566" customFormat="1">
      <c r="T41032" s="41"/>
    </row>
    <row r="41033" spans="20:20" s="566" customFormat="1">
      <c r="T41033" s="41"/>
    </row>
    <row r="41034" spans="20:20" s="566" customFormat="1">
      <c r="T41034" s="41"/>
    </row>
    <row r="41035" spans="20:20" s="566" customFormat="1">
      <c r="T41035" s="41"/>
    </row>
    <row r="41036" spans="20:20" s="566" customFormat="1">
      <c r="T41036" s="41"/>
    </row>
    <row r="41037" spans="20:20" s="566" customFormat="1">
      <c r="T41037" s="41"/>
    </row>
    <row r="41038" spans="20:20" s="566" customFormat="1">
      <c r="T41038" s="41"/>
    </row>
    <row r="41039" spans="20:20" s="566" customFormat="1">
      <c r="T41039" s="41"/>
    </row>
    <row r="41040" spans="20:20" s="566" customFormat="1">
      <c r="T41040" s="41"/>
    </row>
    <row r="41041" spans="20:20" s="566" customFormat="1">
      <c r="T41041" s="41"/>
    </row>
    <row r="41042" spans="20:20" s="566" customFormat="1">
      <c r="T41042" s="41"/>
    </row>
    <row r="41043" spans="20:20" s="566" customFormat="1">
      <c r="T41043" s="41"/>
    </row>
    <row r="41044" spans="20:20" s="566" customFormat="1">
      <c r="T41044" s="41"/>
    </row>
    <row r="41045" spans="20:20" s="566" customFormat="1">
      <c r="T41045" s="41"/>
    </row>
    <row r="41046" spans="20:20" s="566" customFormat="1">
      <c r="T41046" s="41"/>
    </row>
    <row r="41047" spans="20:20" s="566" customFormat="1">
      <c r="T41047" s="41"/>
    </row>
    <row r="41048" spans="20:20" s="566" customFormat="1">
      <c r="T41048" s="41"/>
    </row>
    <row r="41049" spans="20:20" s="566" customFormat="1">
      <c r="T41049" s="41"/>
    </row>
    <row r="41050" spans="20:20" s="566" customFormat="1">
      <c r="T41050" s="41"/>
    </row>
    <row r="41051" spans="20:20" s="566" customFormat="1">
      <c r="T41051" s="41"/>
    </row>
    <row r="41052" spans="20:20" s="566" customFormat="1">
      <c r="T41052" s="41"/>
    </row>
    <row r="41053" spans="20:20" s="566" customFormat="1">
      <c r="T41053" s="41"/>
    </row>
    <row r="41054" spans="20:20" s="566" customFormat="1">
      <c r="T41054" s="41"/>
    </row>
    <row r="41055" spans="20:20" s="566" customFormat="1">
      <c r="T41055" s="41"/>
    </row>
    <row r="41056" spans="20:20" s="566" customFormat="1">
      <c r="T41056" s="41"/>
    </row>
    <row r="41057" spans="20:20" s="566" customFormat="1">
      <c r="T41057" s="41"/>
    </row>
    <row r="41058" spans="20:20" s="566" customFormat="1">
      <c r="T41058" s="41"/>
    </row>
    <row r="41059" spans="20:20" s="566" customFormat="1">
      <c r="T41059" s="41"/>
    </row>
    <row r="41060" spans="20:20" s="566" customFormat="1">
      <c r="T41060" s="41"/>
    </row>
    <row r="41061" spans="20:20" s="566" customFormat="1">
      <c r="T41061" s="41"/>
    </row>
    <row r="41062" spans="20:20" s="566" customFormat="1">
      <c r="T41062" s="41"/>
    </row>
    <row r="41063" spans="20:20" s="566" customFormat="1">
      <c r="T41063" s="41"/>
    </row>
    <row r="41064" spans="20:20" s="566" customFormat="1">
      <c r="T41064" s="41"/>
    </row>
    <row r="41065" spans="20:20" s="566" customFormat="1">
      <c r="T41065" s="41"/>
    </row>
    <row r="41066" spans="20:20" s="566" customFormat="1">
      <c r="T41066" s="41"/>
    </row>
    <row r="41067" spans="20:20" s="566" customFormat="1">
      <c r="T41067" s="41"/>
    </row>
    <row r="41068" spans="20:20" s="566" customFormat="1">
      <c r="T41068" s="41"/>
    </row>
    <row r="41069" spans="20:20" s="566" customFormat="1">
      <c r="T41069" s="41"/>
    </row>
    <row r="41070" spans="20:20" s="566" customFormat="1">
      <c r="T41070" s="41"/>
    </row>
    <row r="41071" spans="20:20" s="566" customFormat="1">
      <c r="T41071" s="41"/>
    </row>
    <row r="41072" spans="20:20" s="566" customFormat="1">
      <c r="T41072" s="41"/>
    </row>
    <row r="41073" spans="20:20" s="566" customFormat="1">
      <c r="T41073" s="41"/>
    </row>
    <row r="41074" spans="20:20" s="566" customFormat="1">
      <c r="T41074" s="41"/>
    </row>
    <row r="41075" spans="20:20" s="566" customFormat="1">
      <c r="T41075" s="41"/>
    </row>
    <row r="41076" spans="20:20" s="566" customFormat="1">
      <c r="T41076" s="41"/>
    </row>
    <row r="41077" spans="20:20" s="566" customFormat="1">
      <c r="T41077" s="41"/>
    </row>
    <row r="41078" spans="20:20" s="566" customFormat="1">
      <c r="T41078" s="41"/>
    </row>
    <row r="41079" spans="20:20" s="566" customFormat="1">
      <c r="T41079" s="41"/>
    </row>
    <row r="41080" spans="20:20" s="566" customFormat="1">
      <c r="T41080" s="41"/>
    </row>
    <row r="41081" spans="20:20" s="566" customFormat="1">
      <c r="T41081" s="41"/>
    </row>
    <row r="41082" spans="20:20" s="566" customFormat="1">
      <c r="T41082" s="41"/>
    </row>
    <row r="41083" spans="20:20" s="566" customFormat="1">
      <c r="T41083" s="41"/>
    </row>
    <row r="41084" spans="20:20" s="566" customFormat="1">
      <c r="T41084" s="41"/>
    </row>
    <row r="41085" spans="20:20" s="566" customFormat="1">
      <c r="T41085" s="41"/>
    </row>
    <row r="41086" spans="20:20" s="566" customFormat="1">
      <c r="T41086" s="41"/>
    </row>
    <row r="41087" spans="20:20" s="566" customFormat="1">
      <c r="T41087" s="41"/>
    </row>
    <row r="41088" spans="20:20" s="566" customFormat="1">
      <c r="T41088" s="41"/>
    </row>
    <row r="41089" spans="20:20" s="566" customFormat="1">
      <c r="T41089" s="41"/>
    </row>
    <row r="41090" spans="20:20" s="566" customFormat="1">
      <c r="T41090" s="41"/>
    </row>
    <row r="41091" spans="20:20" s="566" customFormat="1">
      <c r="T41091" s="41"/>
    </row>
    <row r="41092" spans="20:20" s="566" customFormat="1">
      <c r="T41092" s="41"/>
    </row>
    <row r="41093" spans="20:20" s="566" customFormat="1">
      <c r="T41093" s="41"/>
    </row>
    <row r="41094" spans="20:20" s="566" customFormat="1">
      <c r="T41094" s="41"/>
    </row>
    <row r="41095" spans="20:20" s="566" customFormat="1">
      <c r="T41095" s="41"/>
    </row>
    <row r="41096" spans="20:20" s="566" customFormat="1">
      <c r="T41096" s="41"/>
    </row>
    <row r="41097" spans="20:20" s="566" customFormat="1">
      <c r="T41097" s="41"/>
    </row>
    <row r="41098" spans="20:20" s="566" customFormat="1">
      <c r="T41098" s="41"/>
    </row>
    <row r="41099" spans="20:20" s="566" customFormat="1">
      <c r="T41099" s="41"/>
    </row>
    <row r="41100" spans="20:20" s="566" customFormat="1">
      <c r="T41100" s="41"/>
    </row>
    <row r="41101" spans="20:20" s="566" customFormat="1">
      <c r="T41101" s="41"/>
    </row>
    <row r="41102" spans="20:20" s="566" customFormat="1">
      <c r="T41102" s="41"/>
    </row>
    <row r="41103" spans="20:20" s="566" customFormat="1">
      <c r="T41103" s="41"/>
    </row>
    <row r="41104" spans="20:20" s="566" customFormat="1">
      <c r="T41104" s="41"/>
    </row>
    <row r="41105" spans="20:20" s="566" customFormat="1">
      <c r="T41105" s="41"/>
    </row>
    <row r="41106" spans="20:20" s="566" customFormat="1">
      <c r="T41106" s="41"/>
    </row>
    <row r="41107" spans="20:20" s="566" customFormat="1">
      <c r="T41107" s="41"/>
    </row>
    <row r="41108" spans="20:20" s="566" customFormat="1">
      <c r="T41108" s="41"/>
    </row>
    <row r="41109" spans="20:20" s="566" customFormat="1">
      <c r="T41109" s="41"/>
    </row>
    <row r="41110" spans="20:20" s="566" customFormat="1">
      <c r="T41110" s="41"/>
    </row>
    <row r="41111" spans="20:20" s="566" customFormat="1">
      <c r="T41111" s="41"/>
    </row>
    <row r="41112" spans="20:20" s="566" customFormat="1">
      <c r="T41112" s="41"/>
    </row>
    <row r="41113" spans="20:20" s="566" customFormat="1">
      <c r="T41113" s="41"/>
    </row>
    <row r="41114" spans="20:20" s="566" customFormat="1">
      <c r="T41114" s="41"/>
    </row>
    <row r="41115" spans="20:20" s="566" customFormat="1">
      <c r="T41115" s="41"/>
    </row>
    <row r="41116" spans="20:20" s="566" customFormat="1">
      <c r="T41116" s="41"/>
    </row>
    <row r="41117" spans="20:20" s="566" customFormat="1">
      <c r="T41117" s="41"/>
    </row>
    <row r="41118" spans="20:20" s="566" customFormat="1">
      <c r="T41118" s="41"/>
    </row>
    <row r="41119" spans="20:20" s="566" customFormat="1">
      <c r="T41119" s="41"/>
    </row>
    <row r="41120" spans="20:20" s="566" customFormat="1">
      <c r="T41120" s="41"/>
    </row>
    <row r="41121" spans="20:20" s="566" customFormat="1">
      <c r="T41121" s="41"/>
    </row>
    <row r="41122" spans="20:20" s="566" customFormat="1">
      <c r="T41122" s="41"/>
    </row>
    <row r="41123" spans="20:20" s="566" customFormat="1">
      <c r="T41123" s="41"/>
    </row>
    <row r="41124" spans="20:20" s="566" customFormat="1">
      <c r="T41124" s="41"/>
    </row>
    <row r="41125" spans="20:20" s="566" customFormat="1">
      <c r="T41125" s="41"/>
    </row>
    <row r="41126" spans="20:20" s="566" customFormat="1">
      <c r="T41126" s="41"/>
    </row>
    <row r="41127" spans="20:20" s="566" customFormat="1">
      <c r="T41127" s="41"/>
    </row>
    <row r="41128" spans="20:20" s="566" customFormat="1">
      <c r="T41128" s="41"/>
    </row>
    <row r="41129" spans="20:20" s="566" customFormat="1">
      <c r="T41129" s="41"/>
    </row>
    <row r="41130" spans="20:20" s="566" customFormat="1">
      <c r="T41130" s="41"/>
    </row>
    <row r="41131" spans="20:20" s="566" customFormat="1">
      <c r="T41131" s="41"/>
    </row>
    <row r="41132" spans="20:20" s="566" customFormat="1">
      <c r="T41132" s="41"/>
    </row>
    <row r="41133" spans="20:20" s="566" customFormat="1">
      <c r="T41133" s="41"/>
    </row>
    <row r="41134" spans="20:20" s="566" customFormat="1">
      <c r="T41134" s="41"/>
    </row>
    <row r="41135" spans="20:20" s="566" customFormat="1">
      <c r="T41135" s="41"/>
    </row>
    <row r="41136" spans="20:20" s="566" customFormat="1">
      <c r="T41136" s="41"/>
    </row>
    <row r="41137" spans="20:20" s="566" customFormat="1">
      <c r="T41137" s="41"/>
    </row>
    <row r="41138" spans="20:20" s="566" customFormat="1">
      <c r="T41138" s="41"/>
    </row>
    <row r="41139" spans="20:20" s="566" customFormat="1">
      <c r="T41139" s="41"/>
    </row>
    <row r="41140" spans="20:20" s="566" customFormat="1">
      <c r="T41140" s="41"/>
    </row>
    <row r="41141" spans="20:20" s="566" customFormat="1">
      <c r="T41141" s="41"/>
    </row>
    <row r="41142" spans="20:20" s="566" customFormat="1">
      <c r="T41142" s="41"/>
    </row>
    <row r="41143" spans="20:20" s="566" customFormat="1">
      <c r="T41143" s="41"/>
    </row>
    <row r="41144" spans="20:20" s="566" customFormat="1">
      <c r="T41144" s="41"/>
    </row>
    <row r="41145" spans="20:20" s="566" customFormat="1">
      <c r="T41145" s="41"/>
    </row>
    <row r="41146" spans="20:20" s="566" customFormat="1">
      <c r="T41146" s="41"/>
    </row>
    <row r="41147" spans="20:20" s="566" customFormat="1">
      <c r="T41147" s="41"/>
    </row>
    <row r="41148" spans="20:20" s="566" customFormat="1">
      <c r="T41148" s="41"/>
    </row>
    <row r="41149" spans="20:20" s="566" customFormat="1">
      <c r="T41149" s="41"/>
    </row>
    <row r="41150" spans="20:20" s="566" customFormat="1">
      <c r="T41150" s="41"/>
    </row>
    <row r="41151" spans="20:20" s="566" customFormat="1">
      <c r="T41151" s="41"/>
    </row>
    <row r="41152" spans="20:20" s="566" customFormat="1">
      <c r="T41152" s="41"/>
    </row>
    <row r="41153" spans="20:20" s="566" customFormat="1">
      <c r="T41153" s="41"/>
    </row>
    <row r="41154" spans="20:20" s="566" customFormat="1">
      <c r="T41154" s="41"/>
    </row>
    <row r="41155" spans="20:20" s="566" customFormat="1">
      <c r="T41155" s="41"/>
    </row>
    <row r="41156" spans="20:20" s="566" customFormat="1">
      <c r="T41156" s="41"/>
    </row>
    <row r="41157" spans="20:20" s="566" customFormat="1">
      <c r="T41157" s="41"/>
    </row>
    <row r="41158" spans="20:20" s="566" customFormat="1">
      <c r="T41158" s="41"/>
    </row>
    <row r="41159" spans="20:20" s="566" customFormat="1">
      <c r="T41159" s="41"/>
    </row>
    <row r="41160" spans="20:20" s="566" customFormat="1">
      <c r="T41160" s="41"/>
    </row>
    <row r="41161" spans="20:20" s="566" customFormat="1">
      <c r="T41161" s="41"/>
    </row>
    <row r="41162" spans="20:20" s="566" customFormat="1">
      <c r="T41162" s="41"/>
    </row>
    <row r="41163" spans="20:20" s="566" customFormat="1">
      <c r="T41163" s="41"/>
    </row>
    <row r="41164" spans="20:20" s="566" customFormat="1">
      <c r="T41164" s="41"/>
    </row>
    <row r="41165" spans="20:20" s="566" customFormat="1">
      <c r="T41165" s="41"/>
    </row>
    <row r="41166" spans="20:20" s="566" customFormat="1">
      <c r="T41166" s="41"/>
    </row>
    <row r="41167" spans="20:20" s="566" customFormat="1">
      <c r="T41167" s="41"/>
    </row>
    <row r="41168" spans="20:20" s="566" customFormat="1">
      <c r="T41168" s="41"/>
    </row>
    <row r="41169" spans="20:20" s="566" customFormat="1">
      <c r="T41169" s="41"/>
    </row>
    <row r="41170" spans="20:20" s="566" customFormat="1">
      <c r="T41170" s="41"/>
    </row>
    <row r="41171" spans="20:20" s="566" customFormat="1">
      <c r="T41171" s="41"/>
    </row>
    <row r="41172" spans="20:20" s="566" customFormat="1">
      <c r="T41172" s="41"/>
    </row>
    <row r="41173" spans="20:20" s="566" customFormat="1">
      <c r="T41173" s="41"/>
    </row>
    <row r="41174" spans="20:20" s="566" customFormat="1">
      <c r="T41174" s="41"/>
    </row>
    <row r="41175" spans="20:20" s="566" customFormat="1">
      <c r="T41175" s="41"/>
    </row>
    <row r="41176" spans="20:20" s="566" customFormat="1">
      <c r="T41176" s="41"/>
    </row>
    <row r="41177" spans="20:20" s="566" customFormat="1">
      <c r="T41177" s="41"/>
    </row>
    <row r="41178" spans="20:20" s="566" customFormat="1">
      <c r="T41178" s="41"/>
    </row>
    <row r="41179" spans="20:20" s="566" customFormat="1">
      <c r="T41179" s="41"/>
    </row>
    <row r="41180" spans="20:20" s="566" customFormat="1">
      <c r="T41180" s="41"/>
    </row>
    <row r="41181" spans="20:20" s="566" customFormat="1">
      <c r="T41181" s="41"/>
    </row>
    <row r="41182" spans="20:20" s="566" customFormat="1">
      <c r="T41182" s="41"/>
    </row>
    <row r="41183" spans="20:20" s="566" customFormat="1">
      <c r="T41183" s="41"/>
    </row>
    <row r="41184" spans="20:20" s="566" customFormat="1">
      <c r="T41184" s="41"/>
    </row>
    <row r="41185" spans="20:20" s="566" customFormat="1">
      <c r="T41185" s="41"/>
    </row>
    <row r="41186" spans="20:20" s="566" customFormat="1">
      <c r="T41186" s="41"/>
    </row>
    <row r="41187" spans="20:20" s="566" customFormat="1">
      <c r="T41187" s="41"/>
    </row>
    <row r="41188" spans="20:20" s="566" customFormat="1">
      <c r="T41188" s="41"/>
    </row>
    <row r="41189" spans="20:20" s="566" customFormat="1">
      <c r="T41189" s="41"/>
    </row>
    <row r="41190" spans="20:20" s="566" customFormat="1">
      <c r="T41190" s="41"/>
    </row>
    <row r="41191" spans="20:20" s="566" customFormat="1">
      <c r="T41191" s="41"/>
    </row>
    <row r="41192" spans="20:20" s="566" customFormat="1">
      <c r="T41192" s="41"/>
    </row>
    <row r="41193" spans="20:20" s="566" customFormat="1">
      <c r="T41193" s="41"/>
    </row>
    <row r="41194" spans="20:20" s="566" customFormat="1">
      <c r="T41194" s="41"/>
    </row>
    <row r="41195" spans="20:20" s="566" customFormat="1">
      <c r="T41195" s="41"/>
    </row>
    <row r="41196" spans="20:20" s="566" customFormat="1">
      <c r="T41196" s="41"/>
    </row>
    <row r="41197" spans="20:20" s="566" customFormat="1">
      <c r="T41197" s="41"/>
    </row>
    <row r="41198" spans="20:20" s="566" customFormat="1">
      <c r="T41198" s="41"/>
    </row>
    <row r="41199" spans="20:20" s="566" customFormat="1">
      <c r="T41199" s="41"/>
    </row>
    <row r="41200" spans="20:20" s="566" customFormat="1">
      <c r="T41200" s="41"/>
    </row>
    <row r="41201" spans="20:20" s="566" customFormat="1">
      <c r="T41201" s="41"/>
    </row>
    <row r="41202" spans="20:20" s="566" customFormat="1">
      <c r="T41202" s="41"/>
    </row>
    <row r="41203" spans="20:20" s="566" customFormat="1">
      <c r="T41203" s="41"/>
    </row>
    <row r="41204" spans="20:20" s="566" customFormat="1">
      <c r="T41204" s="41"/>
    </row>
    <row r="41205" spans="20:20" s="566" customFormat="1">
      <c r="T41205" s="41"/>
    </row>
    <row r="41206" spans="20:20" s="566" customFormat="1">
      <c r="T41206" s="41"/>
    </row>
    <row r="41207" spans="20:20" s="566" customFormat="1">
      <c r="T41207" s="41"/>
    </row>
    <row r="41208" spans="20:20" s="566" customFormat="1">
      <c r="T41208" s="41"/>
    </row>
    <row r="41209" spans="20:20" s="566" customFormat="1">
      <c r="T41209" s="41"/>
    </row>
    <row r="41210" spans="20:20" s="566" customFormat="1">
      <c r="T41210" s="41"/>
    </row>
    <row r="41211" spans="20:20" s="566" customFormat="1">
      <c r="T41211" s="41"/>
    </row>
    <row r="41212" spans="20:20" s="566" customFormat="1">
      <c r="T41212" s="41"/>
    </row>
    <row r="41213" spans="20:20" s="566" customFormat="1">
      <c r="T41213" s="41"/>
    </row>
    <row r="41214" spans="20:20" s="566" customFormat="1">
      <c r="T41214" s="41"/>
    </row>
    <row r="41215" spans="20:20" s="566" customFormat="1">
      <c r="T41215" s="41"/>
    </row>
    <row r="41216" spans="20:20" s="566" customFormat="1">
      <c r="T41216" s="41"/>
    </row>
    <row r="41217" spans="20:20" s="566" customFormat="1">
      <c r="T41217" s="41"/>
    </row>
    <row r="41218" spans="20:20" s="566" customFormat="1">
      <c r="T41218" s="41"/>
    </row>
    <row r="41219" spans="20:20" s="566" customFormat="1">
      <c r="T41219" s="41"/>
    </row>
    <row r="41220" spans="20:20" s="566" customFormat="1">
      <c r="T41220" s="41"/>
    </row>
    <row r="41221" spans="20:20" s="566" customFormat="1">
      <c r="T41221" s="41"/>
    </row>
    <row r="41222" spans="20:20" s="566" customFormat="1">
      <c r="T41222" s="41"/>
    </row>
    <row r="41223" spans="20:20" s="566" customFormat="1">
      <c r="T41223" s="41"/>
    </row>
    <row r="41224" spans="20:20" s="566" customFormat="1">
      <c r="T41224" s="41"/>
    </row>
    <row r="41225" spans="20:20" s="566" customFormat="1">
      <c r="T41225" s="41"/>
    </row>
    <row r="41226" spans="20:20" s="566" customFormat="1">
      <c r="T41226" s="41"/>
    </row>
    <row r="41227" spans="20:20" s="566" customFormat="1">
      <c r="T41227" s="41"/>
    </row>
    <row r="41228" spans="20:20" s="566" customFormat="1">
      <c r="T41228" s="41"/>
    </row>
    <row r="41229" spans="20:20" s="566" customFormat="1">
      <c r="T41229" s="41"/>
    </row>
    <row r="41230" spans="20:20" s="566" customFormat="1">
      <c r="T41230" s="41"/>
    </row>
    <row r="41231" spans="20:20" s="566" customFormat="1">
      <c r="T41231" s="41"/>
    </row>
    <row r="41232" spans="20:20" s="566" customFormat="1">
      <c r="T41232" s="41"/>
    </row>
    <row r="41233" spans="20:20" s="566" customFormat="1">
      <c r="T41233" s="41"/>
    </row>
    <row r="41234" spans="20:20" s="566" customFormat="1">
      <c r="T41234" s="41"/>
    </row>
    <row r="41235" spans="20:20" s="566" customFormat="1">
      <c r="T41235" s="41"/>
    </row>
    <row r="41236" spans="20:20" s="566" customFormat="1">
      <c r="T41236" s="41"/>
    </row>
    <row r="41237" spans="20:20" s="566" customFormat="1">
      <c r="T41237" s="41"/>
    </row>
    <row r="41238" spans="20:20" s="566" customFormat="1">
      <c r="T41238" s="41"/>
    </row>
    <row r="41239" spans="20:20" s="566" customFormat="1">
      <c r="T41239" s="41"/>
    </row>
    <row r="41240" spans="20:20" s="566" customFormat="1">
      <c r="T41240" s="41"/>
    </row>
    <row r="41241" spans="20:20" s="566" customFormat="1">
      <c r="T41241" s="41"/>
    </row>
    <row r="41242" spans="20:20" s="566" customFormat="1">
      <c r="T41242" s="41"/>
    </row>
    <row r="41243" spans="20:20" s="566" customFormat="1">
      <c r="T41243" s="41"/>
    </row>
    <row r="41244" spans="20:20" s="566" customFormat="1">
      <c r="T41244" s="41"/>
    </row>
    <row r="41245" spans="20:20" s="566" customFormat="1">
      <c r="T41245" s="41"/>
    </row>
    <row r="41246" spans="20:20" s="566" customFormat="1">
      <c r="T41246" s="41"/>
    </row>
    <row r="41247" spans="20:20" s="566" customFormat="1">
      <c r="T41247" s="41"/>
    </row>
    <row r="41248" spans="20:20" s="566" customFormat="1">
      <c r="T41248" s="41"/>
    </row>
    <row r="41249" spans="20:20" s="566" customFormat="1">
      <c r="T41249" s="41"/>
    </row>
    <row r="41250" spans="20:20" s="566" customFormat="1">
      <c r="T41250" s="41"/>
    </row>
    <row r="41251" spans="20:20" s="566" customFormat="1">
      <c r="T41251" s="41"/>
    </row>
    <row r="41252" spans="20:20" s="566" customFormat="1">
      <c r="T41252" s="41"/>
    </row>
    <row r="41253" spans="20:20" s="566" customFormat="1">
      <c r="T41253" s="41"/>
    </row>
    <row r="41254" spans="20:20" s="566" customFormat="1">
      <c r="T41254" s="41"/>
    </row>
    <row r="41255" spans="20:20" s="566" customFormat="1">
      <c r="T41255" s="41"/>
    </row>
    <row r="41256" spans="20:20" s="566" customFormat="1">
      <c r="T41256" s="41"/>
    </row>
    <row r="41257" spans="20:20" s="566" customFormat="1">
      <c r="T41257" s="41"/>
    </row>
    <row r="41258" spans="20:20" s="566" customFormat="1">
      <c r="T41258" s="41"/>
    </row>
    <row r="41259" spans="20:20" s="566" customFormat="1">
      <c r="T41259" s="41"/>
    </row>
    <row r="41260" spans="20:20" s="566" customFormat="1">
      <c r="T41260" s="41"/>
    </row>
    <row r="41261" spans="20:20" s="566" customFormat="1">
      <c r="T41261" s="41"/>
    </row>
    <row r="41262" spans="20:20" s="566" customFormat="1">
      <c r="T41262" s="41"/>
    </row>
    <row r="41263" spans="20:20" s="566" customFormat="1">
      <c r="T41263" s="41"/>
    </row>
    <row r="41264" spans="20:20" s="566" customFormat="1">
      <c r="T41264" s="41"/>
    </row>
    <row r="41265" spans="20:20" s="566" customFormat="1">
      <c r="T41265" s="41"/>
    </row>
    <row r="41266" spans="20:20" s="566" customFormat="1">
      <c r="T41266" s="41"/>
    </row>
    <row r="41267" spans="20:20" s="566" customFormat="1">
      <c r="T41267" s="41"/>
    </row>
    <row r="41268" spans="20:20" s="566" customFormat="1">
      <c r="T41268" s="41"/>
    </row>
    <row r="41269" spans="20:20" s="566" customFormat="1">
      <c r="T41269" s="41"/>
    </row>
    <row r="41270" spans="20:20" s="566" customFormat="1">
      <c r="T41270" s="41"/>
    </row>
    <row r="41271" spans="20:20" s="566" customFormat="1">
      <c r="T41271" s="41"/>
    </row>
    <row r="41272" spans="20:20" s="566" customFormat="1">
      <c r="T41272" s="41"/>
    </row>
    <row r="41273" spans="20:20" s="566" customFormat="1">
      <c r="T41273" s="41"/>
    </row>
    <row r="41274" spans="20:20" s="566" customFormat="1">
      <c r="T41274" s="41"/>
    </row>
    <row r="41275" spans="20:20" s="566" customFormat="1">
      <c r="T41275" s="41"/>
    </row>
    <row r="41276" spans="20:20" s="566" customFormat="1">
      <c r="T41276" s="41"/>
    </row>
    <row r="41277" spans="20:20" s="566" customFormat="1">
      <c r="T41277" s="41"/>
    </row>
    <row r="41278" spans="20:20" s="566" customFormat="1">
      <c r="T41278" s="41"/>
    </row>
    <row r="41279" spans="20:20" s="566" customFormat="1">
      <c r="T41279" s="41"/>
    </row>
    <row r="41280" spans="20:20" s="566" customFormat="1">
      <c r="T41280" s="41"/>
    </row>
    <row r="41281" spans="20:20" s="566" customFormat="1">
      <c r="T41281" s="41"/>
    </row>
    <row r="41282" spans="20:20" s="566" customFormat="1">
      <c r="T41282" s="41"/>
    </row>
    <row r="41283" spans="20:20" s="566" customFormat="1">
      <c r="T41283" s="41"/>
    </row>
    <row r="41284" spans="20:20" s="566" customFormat="1">
      <c r="T41284" s="41"/>
    </row>
    <row r="41285" spans="20:20" s="566" customFormat="1">
      <c r="T41285" s="41"/>
    </row>
    <row r="41286" spans="20:20" s="566" customFormat="1">
      <c r="T41286" s="41"/>
    </row>
    <row r="41287" spans="20:20" s="566" customFormat="1">
      <c r="T41287" s="41"/>
    </row>
    <row r="41288" spans="20:20" s="566" customFormat="1">
      <c r="T41288" s="41"/>
    </row>
    <row r="41289" spans="20:20" s="566" customFormat="1">
      <c r="T41289" s="41"/>
    </row>
    <row r="41290" spans="20:20" s="566" customFormat="1">
      <c r="T41290" s="41"/>
    </row>
    <row r="41291" spans="20:20" s="566" customFormat="1">
      <c r="T41291" s="41"/>
    </row>
    <row r="41292" spans="20:20" s="566" customFormat="1">
      <c r="T41292" s="41"/>
    </row>
    <row r="41293" spans="20:20" s="566" customFormat="1">
      <c r="T41293" s="41"/>
    </row>
    <row r="41294" spans="20:20" s="566" customFormat="1">
      <c r="T41294" s="41"/>
    </row>
    <row r="41295" spans="20:20" s="566" customFormat="1">
      <c r="T41295" s="41"/>
    </row>
    <row r="41296" spans="20:20" s="566" customFormat="1">
      <c r="T41296" s="41"/>
    </row>
    <row r="41297" spans="20:20" s="566" customFormat="1">
      <c r="T41297" s="41"/>
    </row>
    <row r="41298" spans="20:20" s="566" customFormat="1">
      <c r="T41298" s="41"/>
    </row>
    <row r="41299" spans="20:20" s="566" customFormat="1">
      <c r="T41299" s="41"/>
    </row>
    <row r="41300" spans="20:20" s="566" customFormat="1">
      <c r="T41300" s="41"/>
    </row>
    <row r="41301" spans="20:20" s="566" customFormat="1">
      <c r="T41301" s="41"/>
    </row>
    <row r="41302" spans="20:20" s="566" customFormat="1">
      <c r="T41302" s="41"/>
    </row>
    <row r="41303" spans="20:20" s="566" customFormat="1">
      <c r="T41303" s="41"/>
    </row>
    <row r="41304" spans="20:20" s="566" customFormat="1">
      <c r="T41304" s="41"/>
    </row>
    <row r="41305" spans="20:20" s="566" customFormat="1">
      <c r="T41305" s="41"/>
    </row>
    <row r="41306" spans="20:20" s="566" customFormat="1">
      <c r="T41306" s="41"/>
    </row>
    <row r="41307" spans="20:20" s="566" customFormat="1">
      <c r="T41307" s="41"/>
    </row>
    <row r="41308" spans="20:20" s="566" customFormat="1">
      <c r="T41308" s="41"/>
    </row>
    <row r="41309" spans="20:20" s="566" customFormat="1">
      <c r="T41309" s="41"/>
    </row>
    <row r="41310" spans="20:20" s="566" customFormat="1">
      <c r="T41310" s="41"/>
    </row>
    <row r="41311" spans="20:20" s="566" customFormat="1">
      <c r="T41311" s="41"/>
    </row>
    <row r="41312" spans="20:20" s="566" customFormat="1">
      <c r="T41312" s="41"/>
    </row>
    <row r="41313" spans="20:20" s="566" customFormat="1">
      <c r="T41313" s="41"/>
    </row>
    <row r="41314" spans="20:20" s="566" customFormat="1">
      <c r="T41314" s="41"/>
    </row>
    <row r="41315" spans="20:20" s="566" customFormat="1">
      <c r="T41315" s="41"/>
    </row>
    <row r="41316" spans="20:20" s="566" customFormat="1">
      <c r="T41316" s="41"/>
    </row>
    <row r="41317" spans="20:20" s="566" customFormat="1">
      <c r="T41317" s="41"/>
    </row>
    <row r="41318" spans="20:20" s="566" customFormat="1">
      <c r="T41318" s="41"/>
    </row>
    <row r="41319" spans="20:20" s="566" customFormat="1">
      <c r="T41319" s="41"/>
    </row>
    <row r="41320" spans="20:20" s="566" customFormat="1">
      <c r="T41320" s="41"/>
    </row>
    <row r="41321" spans="20:20" s="566" customFormat="1">
      <c r="T41321" s="41"/>
    </row>
    <row r="41322" spans="20:20" s="566" customFormat="1">
      <c r="T41322" s="41"/>
    </row>
    <row r="41323" spans="20:20" s="566" customFormat="1">
      <c r="T41323" s="41"/>
    </row>
    <row r="41324" spans="20:20" s="566" customFormat="1">
      <c r="T41324" s="41"/>
    </row>
    <row r="41325" spans="20:20" s="566" customFormat="1">
      <c r="T41325" s="41"/>
    </row>
    <row r="41326" spans="20:20" s="566" customFormat="1">
      <c r="T41326" s="41"/>
    </row>
    <row r="41327" spans="20:20" s="566" customFormat="1">
      <c r="T41327" s="41"/>
    </row>
    <row r="41328" spans="20:20" s="566" customFormat="1">
      <c r="T41328" s="41"/>
    </row>
    <row r="41329" spans="20:20" s="566" customFormat="1">
      <c r="T41329" s="41"/>
    </row>
    <row r="41330" spans="20:20" s="566" customFormat="1">
      <c r="T41330" s="41"/>
    </row>
    <row r="41331" spans="20:20" s="566" customFormat="1">
      <c r="T41331" s="41"/>
    </row>
    <row r="41332" spans="20:20" s="566" customFormat="1">
      <c r="T41332" s="41"/>
    </row>
    <row r="41333" spans="20:20" s="566" customFormat="1">
      <c r="T41333" s="41"/>
    </row>
    <row r="41334" spans="20:20" s="566" customFormat="1">
      <c r="T41334" s="41"/>
    </row>
    <row r="41335" spans="20:20" s="566" customFormat="1">
      <c r="T41335" s="41"/>
    </row>
    <row r="41336" spans="20:20" s="566" customFormat="1">
      <c r="T41336" s="41"/>
    </row>
    <row r="41337" spans="20:20" s="566" customFormat="1">
      <c r="T41337" s="41"/>
    </row>
    <row r="41338" spans="20:20" s="566" customFormat="1">
      <c r="T41338" s="41"/>
    </row>
    <row r="41339" spans="20:20" s="566" customFormat="1">
      <c r="T41339" s="41"/>
    </row>
    <row r="41340" spans="20:20" s="566" customFormat="1">
      <c r="T41340" s="41"/>
    </row>
    <row r="41341" spans="20:20" s="566" customFormat="1">
      <c r="T41341" s="41"/>
    </row>
    <row r="41342" spans="20:20" s="566" customFormat="1">
      <c r="T41342" s="41"/>
    </row>
    <row r="41343" spans="20:20" s="566" customFormat="1">
      <c r="T41343" s="41"/>
    </row>
    <row r="41344" spans="20:20" s="566" customFormat="1">
      <c r="T41344" s="41"/>
    </row>
    <row r="41345" spans="20:20" s="566" customFormat="1">
      <c r="T41345" s="41"/>
    </row>
    <row r="41346" spans="20:20" s="566" customFormat="1">
      <c r="T41346" s="41"/>
    </row>
    <row r="41347" spans="20:20" s="566" customFormat="1">
      <c r="T41347" s="41"/>
    </row>
    <row r="41348" spans="20:20" s="566" customFormat="1">
      <c r="T41348" s="41"/>
    </row>
    <row r="41349" spans="20:20" s="566" customFormat="1">
      <c r="T41349" s="41"/>
    </row>
    <row r="41350" spans="20:20" s="566" customFormat="1">
      <c r="T41350" s="41"/>
    </row>
    <row r="41351" spans="20:20" s="566" customFormat="1">
      <c r="T41351" s="41"/>
    </row>
    <row r="41352" spans="20:20" s="566" customFormat="1">
      <c r="T41352" s="41"/>
    </row>
    <row r="41353" spans="20:20" s="566" customFormat="1">
      <c r="T41353" s="41"/>
    </row>
    <row r="41354" spans="20:20" s="566" customFormat="1">
      <c r="T41354" s="41"/>
    </row>
    <row r="41355" spans="20:20" s="566" customFormat="1">
      <c r="T41355" s="41"/>
    </row>
    <row r="41356" spans="20:20" s="566" customFormat="1">
      <c r="T41356" s="41"/>
    </row>
    <row r="41357" spans="20:20" s="566" customFormat="1">
      <c r="T41357" s="41"/>
    </row>
    <row r="41358" spans="20:20" s="566" customFormat="1">
      <c r="T41358" s="41"/>
    </row>
    <row r="41359" spans="20:20" s="566" customFormat="1">
      <c r="T41359" s="41"/>
    </row>
    <row r="41360" spans="20:20" s="566" customFormat="1">
      <c r="T41360" s="41"/>
    </row>
    <row r="41361" spans="20:20" s="566" customFormat="1">
      <c r="T41361" s="41"/>
    </row>
    <row r="41362" spans="20:20" s="566" customFormat="1">
      <c r="T41362" s="41"/>
    </row>
    <row r="41363" spans="20:20" s="566" customFormat="1">
      <c r="T41363" s="41"/>
    </row>
    <row r="41364" spans="20:20" s="566" customFormat="1">
      <c r="T41364" s="41"/>
    </row>
    <row r="41365" spans="20:20" s="566" customFormat="1">
      <c r="T41365" s="41"/>
    </row>
    <row r="41366" spans="20:20" s="566" customFormat="1">
      <c r="T41366" s="41"/>
    </row>
    <row r="41367" spans="20:20" s="566" customFormat="1">
      <c r="T41367" s="41"/>
    </row>
    <row r="41368" spans="20:20" s="566" customFormat="1">
      <c r="T41368" s="41"/>
    </row>
    <row r="41369" spans="20:20" s="566" customFormat="1">
      <c r="T41369" s="41"/>
    </row>
    <row r="41370" spans="20:20" s="566" customFormat="1">
      <c r="T41370" s="41"/>
    </row>
    <row r="41371" spans="20:20" s="566" customFormat="1">
      <c r="T41371" s="41"/>
    </row>
    <row r="41372" spans="20:20" s="566" customFormat="1">
      <c r="T41372" s="41"/>
    </row>
    <row r="41373" spans="20:20" s="566" customFormat="1">
      <c r="T41373" s="41"/>
    </row>
    <row r="41374" spans="20:20" s="566" customFormat="1">
      <c r="T41374" s="41"/>
    </row>
    <row r="41375" spans="20:20" s="566" customFormat="1">
      <c r="T41375" s="41"/>
    </row>
    <row r="41376" spans="20:20" s="566" customFormat="1">
      <c r="T41376" s="41"/>
    </row>
    <row r="41377" spans="20:20" s="566" customFormat="1">
      <c r="T41377" s="41"/>
    </row>
    <row r="41378" spans="20:20" s="566" customFormat="1">
      <c r="T41378" s="41"/>
    </row>
    <row r="41379" spans="20:20" s="566" customFormat="1">
      <c r="T41379" s="41"/>
    </row>
    <row r="41380" spans="20:20" s="566" customFormat="1">
      <c r="T41380" s="41"/>
    </row>
    <row r="41381" spans="20:20" s="566" customFormat="1">
      <c r="T41381" s="41"/>
    </row>
    <row r="41382" spans="20:20" s="566" customFormat="1">
      <c r="T41382" s="41"/>
    </row>
    <row r="41383" spans="20:20" s="566" customFormat="1">
      <c r="T41383" s="41"/>
    </row>
    <row r="41384" spans="20:20" s="566" customFormat="1">
      <c r="T41384" s="41"/>
    </row>
    <row r="41385" spans="20:20" s="566" customFormat="1">
      <c r="T41385" s="41"/>
    </row>
    <row r="41386" spans="20:20" s="566" customFormat="1">
      <c r="T41386" s="41"/>
    </row>
    <row r="41387" spans="20:20" s="566" customFormat="1">
      <c r="T41387" s="41"/>
    </row>
    <row r="41388" spans="20:20" s="566" customFormat="1">
      <c r="T41388" s="41"/>
    </row>
    <row r="41389" spans="20:20" s="566" customFormat="1">
      <c r="T41389" s="41"/>
    </row>
    <row r="41390" spans="20:20" s="566" customFormat="1">
      <c r="T41390" s="41"/>
    </row>
    <row r="41391" spans="20:20" s="566" customFormat="1">
      <c r="T41391" s="41"/>
    </row>
    <row r="41392" spans="20:20" s="566" customFormat="1">
      <c r="T41392" s="41"/>
    </row>
    <row r="41393" spans="20:20" s="566" customFormat="1">
      <c r="T41393" s="41"/>
    </row>
    <row r="41394" spans="20:20" s="566" customFormat="1">
      <c r="T41394" s="41"/>
    </row>
    <row r="41395" spans="20:20" s="566" customFormat="1">
      <c r="T41395" s="41"/>
    </row>
    <row r="41396" spans="20:20" s="566" customFormat="1">
      <c r="T41396" s="41"/>
    </row>
    <row r="41397" spans="20:20" s="566" customFormat="1">
      <c r="T41397" s="41"/>
    </row>
    <row r="41398" spans="20:20" s="566" customFormat="1">
      <c r="T41398" s="41"/>
    </row>
    <row r="41399" spans="20:20" s="566" customFormat="1">
      <c r="T41399" s="41"/>
    </row>
    <row r="41400" spans="20:20" s="566" customFormat="1">
      <c r="T41400" s="41"/>
    </row>
    <row r="41401" spans="20:20" s="566" customFormat="1">
      <c r="T41401" s="41"/>
    </row>
    <row r="41402" spans="20:20" s="566" customFormat="1">
      <c r="T41402" s="41"/>
    </row>
    <row r="41403" spans="20:20" s="566" customFormat="1">
      <c r="T41403" s="41"/>
    </row>
    <row r="41404" spans="20:20" s="566" customFormat="1">
      <c r="T41404" s="41"/>
    </row>
    <row r="41405" spans="20:20" s="566" customFormat="1">
      <c r="T41405" s="41"/>
    </row>
    <row r="41406" spans="20:20" s="566" customFormat="1">
      <c r="T41406" s="41"/>
    </row>
    <row r="41407" spans="20:20" s="566" customFormat="1">
      <c r="T41407" s="41"/>
    </row>
    <row r="41408" spans="20:20" s="566" customFormat="1">
      <c r="T41408" s="41"/>
    </row>
    <row r="41409" spans="20:20" s="566" customFormat="1">
      <c r="T41409" s="41"/>
    </row>
    <row r="41410" spans="20:20" s="566" customFormat="1">
      <c r="T41410" s="41"/>
    </row>
    <row r="41411" spans="20:20" s="566" customFormat="1">
      <c r="T41411" s="41"/>
    </row>
    <row r="41412" spans="20:20" s="566" customFormat="1">
      <c r="T41412" s="41"/>
    </row>
    <row r="41413" spans="20:20" s="566" customFormat="1">
      <c r="T41413" s="41"/>
    </row>
    <row r="41414" spans="20:20" s="566" customFormat="1">
      <c r="T41414" s="41"/>
    </row>
    <row r="41415" spans="20:20" s="566" customFormat="1">
      <c r="T41415" s="41"/>
    </row>
    <row r="41416" spans="20:20" s="566" customFormat="1">
      <c r="T41416" s="41"/>
    </row>
    <row r="41417" spans="20:20" s="566" customFormat="1">
      <c r="T41417" s="41"/>
    </row>
    <row r="41418" spans="20:20" s="566" customFormat="1">
      <c r="T41418" s="41"/>
    </row>
    <row r="41419" spans="20:20" s="566" customFormat="1">
      <c r="T41419" s="41"/>
    </row>
    <row r="41420" spans="20:20" s="566" customFormat="1">
      <c r="T41420" s="41"/>
    </row>
    <row r="41421" spans="20:20" s="566" customFormat="1">
      <c r="T41421" s="41"/>
    </row>
    <row r="41422" spans="20:20" s="566" customFormat="1">
      <c r="T41422" s="41"/>
    </row>
    <row r="41423" spans="20:20" s="566" customFormat="1">
      <c r="T41423" s="41"/>
    </row>
    <row r="41424" spans="20:20" s="566" customFormat="1">
      <c r="T41424" s="41"/>
    </row>
    <row r="41425" spans="20:20" s="566" customFormat="1">
      <c r="T41425" s="41"/>
    </row>
    <row r="41426" spans="20:20" s="566" customFormat="1">
      <c r="T41426" s="41"/>
    </row>
    <row r="41427" spans="20:20" s="566" customFormat="1">
      <c r="T41427" s="41"/>
    </row>
    <row r="41428" spans="20:20" s="566" customFormat="1">
      <c r="T41428" s="41"/>
    </row>
    <row r="41429" spans="20:20" s="566" customFormat="1">
      <c r="T41429" s="41"/>
    </row>
    <row r="41430" spans="20:20" s="566" customFormat="1">
      <c r="T41430" s="41"/>
    </row>
    <row r="41431" spans="20:20" s="566" customFormat="1">
      <c r="T41431" s="41"/>
    </row>
    <row r="41432" spans="20:20" s="566" customFormat="1">
      <c r="T41432" s="41"/>
    </row>
    <row r="41433" spans="20:20" s="566" customFormat="1">
      <c r="T41433" s="41"/>
    </row>
    <row r="41434" spans="20:20" s="566" customFormat="1">
      <c r="T41434" s="41"/>
    </row>
    <row r="41435" spans="20:20" s="566" customFormat="1">
      <c r="T41435" s="41"/>
    </row>
    <row r="41436" spans="20:20" s="566" customFormat="1">
      <c r="T41436" s="41"/>
    </row>
    <row r="41437" spans="20:20" s="566" customFormat="1">
      <c r="T41437" s="41"/>
    </row>
    <row r="41438" spans="20:20" s="566" customFormat="1">
      <c r="T41438" s="41"/>
    </row>
    <row r="41439" spans="20:20" s="566" customFormat="1">
      <c r="T41439" s="41"/>
    </row>
    <row r="41440" spans="20:20" s="566" customFormat="1">
      <c r="T41440" s="41"/>
    </row>
    <row r="41441" spans="20:20" s="566" customFormat="1">
      <c r="T41441" s="41"/>
    </row>
    <row r="41442" spans="20:20" s="566" customFormat="1">
      <c r="T41442" s="41"/>
    </row>
    <row r="41443" spans="20:20" s="566" customFormat="1">
      <c r="T41443" s="41"/>
    </row>
    <row r="41444" spans="20:20" s="566" customFormat="1">
      <c r="T41444" s="41"/>
    </row>
    <row r="41445" spans="20:20" s="566" customFormat="1">
      <c r="T41445" s="41"/>
    </row>
    <row r="41446" spans="20:20" s="566" customFormat="1">
      <c r="T41446" s="41"/>
    </row>
    <row r="41447" spans="20:20" s="566" customFormat="1">
      <c r="T41447" s="41"/>
    </row>
    <row r="41448" spans="20:20" s="566" customFormat="1">
      <c r="T41448" s="41"/>
    </row>
    <row r="41449" spans="20:20" s="566" customFormat="1">
      <c r="T41449" s="41"/>
    </row>
    <row r="41450" spans="20:20" s="566" customFormat="1">
      <c r="T41450" s="41"/>
    </row>
    <row r="41451" spans="20:20" s="566" customFormat="1">
      <c r="T41451" s="41"/>
    </row>
    <row r="41452" spans="20:20" s="566" customFormat="1">
      <c r="T41452" s="41"/>
    </row>
    <row r="41453" spans="20:20" s="566" customFormat="1">
      <c r="T41453" s="41"/>
    </row>
    <row r="41454" spans="20:20" s="566" customFormat="1">
      <c r="T41454" s="41"/>
    </row>
    <row r="41455" spans="20:20" s="566" customFormat="1">
      <c r="T41455" s="41"/>
    </row>
    <row r="41456" spans="20:20" s="566" customFormat="1">
      <c r="T41456" s="41"/>
    </row>
    <row r="41457" spans="20:20" s="566" customFormat="1">
      <c r="T41457" s="41"/>
    </row>
    <row r="41458" spans="20:20" s="566" customFormat="1">
      <c r="T41458" s="41"/>
    </row>
    <row r="41459" spans="20:20" s="566" customFormat="1">
      <c r="T41459" s="41"/>
    </row>
    <row r="41460" spans="20:20" s="566" customFormat="1">
      <c r="T41460" s="41"/>
    </row>
    <row r="41461" spans="20:20" s="566" customFormat="1">
      <c r="T41461" s="41"/>
    </row>
    <row r="41462" spans="20:20" s="566" customFormat="1">
      <c r="T41462" s="41"/>
    </row>
    <row r="41463" spans="20:20" s="566" customFormat="1">
      <c r="T41463" s="41"/>
    </row>
    <row r="41464" spans="20:20" s="566" customFormat="1">
      <c r="T41464" s="41"/>
    </row>
    <row r="41465" spans="20:20" s="566" customFormat="1">
      <c r="T41465" s="41"/>
    </row>
    <row r="41466" spans="20:20" s="566" customFormat="1">
      <c r="T41466" s="41"/>
    </row>
    <row r="41467" spans="20:20" s="566" customFormat="1">
      <c r="T41467" s="41"/>
    </row>
    <row r="41468" spans="20:20" s="566" customFormat="1">
      <c r="T41468" s="41"/>
    </row>
    <row r="41469" spans="20:20" s="566" customFormat="1">
      <c r="T41469" s="41"/>
    </row>
    <row r="41470" spans="20:20" s="566" customFormat="1">
      <c r="T41470" s="41"/>
    </row>
    <row r="41471" spans="20:20" s="566" customFormat="1">
      <c r="T41471" s="41"/>
    </row>
    <row r="41472" spans="20:20" s="566" customFormat="1">
      <c r="T41472" s="41"/>
    </row>
    <row r="41473" spans="20:20" s="566" customFormat="1">
      <c r="T41473" s="41"/>
    </row>
    <row r="41474" spans="20:20" s="566" customFormat="1">
      <c r="T41474" s="41"/>
    </row>
    <row r="41475" spans="20:20" s="566" customFormat="1">
      <c r="T41475" s="41"/>
    </row>
    <row r="41476" spans="20:20" s="566" customFormat="1">
      <c r="T41476" s="41"/>
    </row>
    <row r="41477" spans="20:20" s="566" customFormat="1">
      <c r="T41477" s="41"/>
    </row>
    <row r="41478" spans="20:20" s="566" customFormat="1">
      <c r="T41478" s="41"/>
    </row>
    <row r="41479" spans="20:20" s="566" customFormat="1">
      <c r="T41479" s="41"/>
    </row>
    <row r="41480" spans="20:20" s="566" customFormat="1">
      <c r="T41480" s="41"/>
    </row>
    <row r="41481" spans="20:20" s="566" customFormat="1">
      <c r="T41481" s="41"/>
    </row>
    <row r="41482" spans="20:20" s="566" customFormat="1">
      <c r="T41482" s="41"/>
    </row>
    <row r="41483" spans="20:20" s="566" customFormat="1">
      <c r="T41483" s="41"/>
    </row>
    <row r="41484" spans="20:20" s="566" customFormat="1">
      <c r="T41484" s="41"/>
    </row>
    <row r="41485" spans="20:20" s="566" customFormat="1">
      <c r="T41485" s="41"/>
    </row>
    <row r="41486" spans="20:20" s="566" customFormat="1">
      <c r="T41486" s="41"/>
    </row>
    <row r="41487" spans="20:20" s="566" customFormat="1">
      <c r="T41487" s="41"/>
    </row>
    <row r="41488" spans="20:20" s="566" customFormat="1">
      <c r="T41488" s="41"/>
    </row>
    <row r="41489" spans="20:20" s="566" customFormat="1">
      <c r="T41489" s="41"/>
    </row>
    <row r="41490" spans="20:20" s="566" customFormat="1">
      <c r="T41490" s="41"/>
    </row>
    <row r="41491" spans="20:20" s="566" customFormat="1">
      <c r="T41491" s="41"/>
    </row>
    <row r="41492" spans="20:20" s="566" customFormat="1">
      <c r="T41492" s="41"/>
    </row>
    <row r="41493" spans="20:20" s="566" customFormat="1">
      <c r="T41493" s="41"/>
    </row>
    <row r="41494" spans="20:20" s="566" customFormat="1">
      <c r="T41494" s="41"/>
    </row>
    <row r="41495" spans="20:20" s="566" customFormat="1">
      <c r="T41495" s="41"/>
    </row>
    <row r="41496" spans="20:20" s="566" customFormat="1">
      <c r="T41496" s="41"/>
    </row>
    <row r="41497" spans="20:20" s="566" customFormat="1">
      <c r="T41497" s="41"/>
    </row>
    <row r="41498" spans="20:20" s="566" customFormat="1">
      <c r="T41498" s="41"/>
    </row>
    <row r="41499" spans="20:20" s="566" customFormat="1">
      <c r="T41499" s="41"/>
    </row>
    <row r="41500" spans="20:20" s="566" customFormat="1">
      <c r="T41500" s="41"/>
    </row>
    <row r="41501" spans="20:20" s="566" customFormat="1">
      <c r="T41501" s="41"/>
    </row>
    <row r="41502" spans="20:20" s="566" customFormat="1">
      <c r="T41502" s="41"/>
    </row>
    <row r="41503" spans="20:20" s="566" customFormat="1">
      <c r="T41503" s="41"/>
    </row>
    <row r="41504" spans="20:20" s="566" customFormat="1">
      <c r="T41504" s="41"/>
    </row>
    <row r="41505" spans="20:20" s="566" customFormat="1">
      <c r="T41505" s="41"/>
    </row>
    <row r="41506" spans="20:20" s="566" customFormat="1">
      <c r="T41506" s="41"/>
    </row>
    <row r="41507" spans="20:20" s="566" customFormat="1">
      <c r="T41507" s="41"/>
    </row>
    <row r="41508" spans="20:20" s="566" customFormat="1">
      <c r="T41508" s="41"/>
    </row>
    <row r="41509" spans="20:20" s="566" customFormat="1">
      <c r="T41509" s="41"/>
    </row>
    <row r="41510" spans="20:20" s="566" customFormat="1">
      <c r="T41510" s="41"/>
    </row>
    <row r="41511" spans="20:20" s="566" customFormat="1">
      <c r="T41511" s="41"/>
    </row>
    <row r="41512" spans="20:20" s="566" customFormat="1">
      <c r="T41512" s="41"/>
    </row>
    <row r="41513" spans="20:20" s="566" customFormat="1">
      <c r="T41513" s="41"/>
    </row>
    <row r="41514" spans="20:20" s="566" customFormat="1">
      <c r="T41514" s="41"/>
    </row>
    <row r="41515" spans="20:20" s="566" customFormat="1">
      <c r="T41515" s="41"/>
    </row>
    <row r="41516" spans="20:20" s="566" customFormat="1">
      <c r="T41516" s="41"/>
    </row>
    <row r="41517" spans="20:20" s="566" customFormat="1">
      <c r="T41517" s="41"/>
    </row>
    <row r="41518" spans="20:20" s="566" customFormat="1">
      <c r="T41518" s="41"/>
    </row>
    <row r="41519" spans="20:20" s="566" customFormat="1">
      <c r="T41519" s="41"/>
    </row>
    <row r="41520" spans="20:20" s="566" customFormat="1">
      <c r="T41520" s="41"/>
    </row>
    <row r="41521" spans="20:20" s="566" customFormat="1">
      <c r="T41521" s="41"/>
    </row>
    <row r="41522" spans="20:20" s="566" customFormat="1">
      <c r="T41522" s="41"/>
    </row>
    <row r="41523" spans="20:20" s="566" customFormat="1">
      <c r="T41523" s="41"/>
    </row>
    <row r="41524" spans="20:20" s="566" customFormat="1">
      <c r="T41524" s="41"/>
    </row>
    <row r="41525" spans="20:20" s="566" customFormat="1">
      <c r="T41525" s="41"/>
    </row>
    <row r="41526" spans="20:20" s="566" customFormat="1">
      <c r="T41526" s="41"/>
    </row>
    <row r="41527" spans="20:20" s="566" customFormat="1">
      <c r="T41527" s="41"/>
    </row>
    <row r="41528" spans="20:20" s="566" customFormat="1">
      <c r="T41528" s="41"/>
    </row>
    <row r="41529" spans="20:20" s="566" customFormat="1">
      <c r="T41529" s="41"/>
    </row>
    <row r="41530" spans="20:20" s="566" customFormat="1">
      <c r="T41530" s="41"/>
    </row>
    <row r="41531" spans="20:20" s="566" customFormat="1">
      <c r="T41531" s="41"/>
    </row>
    <row r="41532" spans="20:20" s="566" customFormat="1">
      <c r="T41532" s="41"/>
    </row>
    <row r="41533" spans="20:20" s="566" customFormat="1">
      <c r="T41533" s="41"/>
    </row>
    <row r="41534" spans="20:20" s="566" customFormat="1">
      <c r="T41534" s="41"/>
    </row>
    <row r="41535" spans="20:20" s="566" customFormat="1">
      <c r="T41535" s="41"/>
    </row>
    <row r="41536" spans="20:20" s="566" customFormat="1">
      <c r="T41536" s="41"/>
    </row>
    <row r="41537" spans="20:20" s="566" customFormat="1">
      <c r="T41537" s="41"/>
    </row>
    <row r="41538" spans="20:20" s="566" customFormat="1">
      <c r="T41538" s="41"/>
    </row>
    <row r="41539" spans="20:20" s="566" customFormat="1">
      <c r="T41539" s="41"/>
    </row>
    <row r="41540" spans="20:20" s="566" customFormat="1">
      <c r="T41540" s="41"/>
    </row>
    <row r="41541" spans="20:20" s="566" customFormat="1">
      <c r="T41541" s="41"/>
    </row>
    <row r="41542" spans="20:20" s="566" customFormat="1">
      <c r="T41542" s="41"/>
    </row>
    <row r="41543" spans="20:20" s="566" customFormat="1">
      <c r="T41543" s="41"/>
    </row>
    <row r="41544" spans="20:20" s="566" customFormat="1">
      <c r="T41544" s="41"/>
    </row>
    <row r="41545" spans="20:20" s="566" customFormat="1">
      <c r="T41545" s="41"/>
    </row>
    <row r="41546" spans="20:20" s="566" customFormat="1">
      <c r="T41546" s="41"/>
    </row>
    <row r="41547" spans="20:20" s="566" customFormat="1">
      <c r="T41547" s="41"/>
    </row>
    <row r="41548" spans="20:20" s="566" customFormat="1">
      <c r="T41548" s="41"/>
    </row>
    <row r="41549" spans="20:20" s="566" customFormat="1">
      <c r="T41549" s="41"/>
    </row>
    <row r="41550" spans="20:20" s="566" customFormat="1">
      <c r="T41550" s="41"/>
    </row>
    <row r="41551" spans="20:20" s="566" customFormat="1">
      <c r="T41551" s="41"/>
    </row>
    <row r="41552" spans="20:20" s="566" customFormat="1">
      <c r="T41552" s="41"/>
    </row>
    <row r="41553" spans="20:20" s="566" customFormat="1">
      <c r="T41553" s="41"/>
    </row>
    <row r="41554" spans="20:20" s="566" customFormat="1">
      <c r="T41554" s="41"/>
    </row>
    <row r="41555" spans="20:20" s="566" customFormat="1">
      <c r="T41555" s="41"/>
    </row>
    <row r="41556" spans="20:20" s="566" customFormat="1">
      <c r="T41556" s="41"/>
    </row>
    <row r="41557" spans="20:20" s="566" customFormat="1">
      <c r="T41557" s="41"/>
    </row>
    <row r="41558" spans="20:20" s="566" customFormat="1">
      <c r="T41558" s="41"/>
    </row>
    <row r="41559" spans="20:20" s="566" customFormat="1">
      <c r="T41559" s="41"/>
    </row>
    <row r="41560" spans="20:20" s="566" customFormat="1">
      <c r="T41560" s="41"/>
    </row>
    <row r="41561" spans="20:20" s="566" customFormat="1">
      <c r="T41561" s="41"/>
    </row>
    <row r="41562" spans="20:20" s="566" customFormat="1">
      <c r="T41562" s="41"/>
    </row>
    <row r="41563" spans="20:20" s="566" customFormat="1">
      <c r="T41563" s="41"/>
    </row>
    <row r="41564" spans="20:20" s="566" customFormat="1">
      <c r="T41564" s="41"/>
    </row>
    <row r="41565" spans="20:20" s="566" customFormat="1">
      <c r="T41565" s="41"/>
    </row>
    <row r="41566" spans="20:20" s="566" customFormat="1">
      <c r="T41566" s="41"/>
    </row>
    <row r="41567" spans="20:20" s="566" customFormat="1">
      <c r="T41567" s="41"/>
    </row>
    <row r="41568" spans="20:20" s="566" customFormat="1">
      <c r="T41568" s="41"/>
    </row>
    <row r="41569" spans="20:20" s="566" customFormat="1">
      <c r="T41569" s="41"/>
    </row>
    <row r="41570" spans="20:20" s="566" customFormat="1">
      <c r="T41570" s="41"/>
    </row>
    <row r="41571" spans="20:20" s="566" customFormat="1">
      <c r="T41571" s="41"/>
    </row>
    <row r="41572" spans="20:20" s="566" customFormat="1">
      <c r="T41572" s="41"/>
    </row>
    <row r="41573" spans="20:20" s="566" customFormat="1">
      <c r="T41573" s="41"/>
    </row>
    <row r="41574" spans="20:20" s="566" customFormat="1">
      <c r="T41574" s="41"/>
    </row>
    <row r="41575" spans="20:20" s="566" customFormat="1">
      <c r="T41575" s="41"/>
    </row>
    <row r="41576" spans="20:20" s="566" customFormat="1">
      <c r="T41576" s="41"/>
    </row>
    <row r="41577" spans="20:20" s="566" customFormat="1">
      <c r="T41577" s="41"/>
    </row>
    <row r="41578" spans="20:20" s="566" customFormat="1">
      <c r="T41578" s="41"/>
    </row>
    <row r="41579" spans="20:20" s="566" customFormat="1">
      <c r="T41579" s="41"/>
    </row>
    <row r="41580" spans="20:20" s="566" customFormat="1">
      <c r="T41580" s="41"/>
    </row>
    <row r="41581" spans="20:20" s="566" customFormat="1">
      <c r="T41581" s="41"/>
    </row>
    <row r="41582" spans="20:20" s="566" customFormat="1">
      <c r="T41582" s="41"/>
    </row>
    <row r="41583" spans="20:20" s="566" customFormat="1">
      <c r="T41583" s="41"/>
    </row>
    <row r="41584" spans="20:20" s="566" customFormat="1">
      <c r="T41584" s="41"/>
    </row>
    <row r="41585" spans="20:20" s="566" customFormat="1">
      <c r="T41585" s="41"/>
    </row>
    <row r="41586" spans="20:20" s="566" customFormat="1">
      <c r="T41586" s="41"/>
    </row>
    <row r="41587" spans="20:20" s="566" customFormat="1">
      <c r="T41587" s="41"/>
    </row>
    <row r="41588" spans="20:20" s="566" customFormat="1">
      <c r="T41588" s="41"/>
    </row>
    <row r="41589" spans="20:20" s="566" customFormat="1">
      <c r="T41589" s="41"/>
    </row>
    <row r="41590" spans="20:20" s="566" customFormat="1">
      <c r="T41590" s="41"/>
    </row>
    <row r="41591" spans="20:20" s="566" customFormat="1">
      <c r="T41591" s="41"/>
    </row>
    <row r="41592" spans="20:20" s="566" customFormat="1">
      <c r="T41592" s="41"/>
    </row>
    <row r="41593" spans="20:20" s="566" customFormat="1">
      <c r="T41593" s="41"/>
    </row>
    <row r="41594" spans="20:20" s="566" customFormat="1">
      <c r="T41594" s="41"/>
    </row>
    <row r="41595" spans="20:20" s="566" customFormat="1">
      <c r="T41595" s="41"/>
    </row>
    <row r="41596" spans="20:20" s="566" customFormat="1">
      <c r="T41596" s="41"/>
    </row>
    <row r="41597" spans="20:20" s="566" customFormat="1">
      <c r="T41597" s="41"/>
    </row>
    <row r="41598" spans="20:20" s="566" customFormat="1">
      <c r="T41598" s="41"/>
    </row>
    <row r="41599" spans="20:20" s="566" customFormat="1">
      <c r="T41599" s="41"/>
    </row>
    <row r="41600" spans="20:20" s="566" customFormat="1">
      <c r="T41600" s="41"/>
    </row>
    <row r="41601" spans="20:20" s="566" customFormat="1">
      <c r="T41601" s="41"/>
    </row>
    <row r="41602" spans="20:20" s="566" customFormat="1">
      <c r="T41602" s="41"/>
    </row>
    <row r="41603" spans="20:20" s="566" customFormat="1">
      <c r="T41603" s="41"/>
    </row>
    <row r="41604" spans="20:20" s="566" customFormat="1">
      <c r="T41604" s="41"/>
    </row>
    <row r="41605" spans="20:20" s="566" customFormat="1">
      <c r="T41605" s="41"/>
    </row>
    <row r="41606" spans="20:20" s="566" customFormat="1">
      <c r="T41606" s="41"/>
    </row>
    <row r="41607" spans="20:20" s="566" customFormat="1">
      <c r="T41607" s="41"/>
    </row>
    <row r="41608" spans="20:20" s="566" customFormat="1">
      <c r="T41608" s="41"/>
    </row>
    <row r="41609" spans="20:20" s="566" customFormat="1">
      <c r="T41609" s="41"/>
    </row>
    <row r="41610" spans="20:20" s="566" customFormat="1">
      <c r="T41610" s="41"/>
    </row>
    <row r="41611" spans="20:20" s="566" customFormat="1">
      <c r="T41611" s="41"/>
    </row>
    <row r="41612" spans="20:20" s="566" customFormat="1">
      <c r="T41612" s="41"/>
    </row>
    <row r="41613" spans="20:20" s="566" customFormat="1">
      <c r="T41613" s="41"/>
    </row>
    <row r="41614" spans="20:20" s="566" customFormat="1">
      <c r="T41614" s="41"/>
    </row>
    <row r="41615" spans="20:20" s="566" customFormat="1">
      <c r="T41615" s="41"/>
    </row>
    <row r="41616" spans="20:20" s="566" customFormat="1">
      <c r="T41616" s="41"/>
    </row>
    <row r="41617" spans="20:20" s="566" customFormat="1">
      <c r="T41617" s="41"/>
    </row>
    <row r="41618" spans="20:20" s="566" customFormat="1">
      <c r="T41618" s="41"/>
    </row>
    <row r="41619" spans="20:20" s="566" customFormat="1">
      <c r="T41619" s="41"/>
    </row>
    <row r="41620" spans="20:20" s="566" customFormat="1">
      <c r="T41620" s="41"/>
    </row>
    <row r="41621" spans="20:20" s="566" customFormat="1">
      <c r="T41621" s="41"/>
    </row>
    <row r="41622" spans="20:20" s="566" customFormat="1">
      <c r="T41622" s="41"/>
    </row>
    <row r="41623" spans="20:20" s="566" customFormat="1">
      <c r="T41623" s="41"/>
    </row>
    <row r="41624" spans="20:20" s="566" customFormat="1">
      <c r="T41624" s="41"/>
    </row>
    <row r="41625" spans="20:20" s="566" customFormat="1">
      <c r="T41625" s="41"/>
    </row>
    <row r="41626" spans="20:20" s="566" customFormat="1">
      <c r="T41626" s="41"/>
    </row>
    <row r="41627" spans="20:20" s="566" customFormat="1">
      <c r="T41627" s="41"/>
    </row>
    <row r="41628" spans="20:20" s="566" customFormat="1">
      <c r="T41628" s="41"/>
    </row>
    <row r="41629" spans="20:20" s="566" customFormat="1">
      <c r="T41629" s="41"/>
    </row>
    <row r="41630" spans="20:20" s="566" customFormat="1">
      <c r="T41630" s="41"/>
    </row>
    <row r="41631" spans="20:20" s="566" customFormat="1">
      <c r="T41631" s="41"/>
    </row>
    <row r="41632" spans="20:20" s="566" customFormat="1">
      <c r="T41632" s="41"/>
    </row>
    <row r="41633" spans="20:20" s="566" customFormat="1">
      <c r="T41633" s="41"/>
    </row>
    <row r="41634" spans="20:20" s="566" customFormat="1">
      <c r="T41634" s="41"/>
    </row>
    <row r="41635" spans="20:20" s="566" customFormat="1">
      <c r="T41635" s="41"/>
    </row>
    <row r="41636" spans="20:20" s="566" customFormat="1">
      <c r="T41636" s="41"/>
    </row>
    <row r="41637" spans="20:20" s="566" customFormat="1">
      <c r="T41637" s="41"/>
    </row>
    <row r="41638" spans="20:20" s="566" customFormat="1">
      <c r="T41638" s="41"/>
    </row>
    <row r="41639" spans="20:20" s="566" customFormat="1">
      <c r="T41639" s="41"/>
    </row>
    <row r="41640" spans="20:20" s="566" customFormat="1">
      <c r="T41640" s="41"/>
    </row>
    <row r="41641" spans="20:20" s="566" customFormat="1">
      <c r="T41641" s="41"/>
    </row>
    <row r="41642" spans="20:20" s="566" customFormat="1">
      <c r="T41642" s="41"/>
    </row>
    <row r="41643" spans="20:20" s="566" customFormat="1">
      <c r="T41643" s="41"/>
    </row>
    <row r="41644" spans="20:20" s="566" customFormat="1">
      <c r="T41644" s="41"/>
    </row>
    <row r="41645" spans="20:20" s="566" customFormat="1">
      <c r="T41645" s="41"/>
    </row>
    <row r="41646" spans="20:20" s="566" customFormat="1">
      <c r="T41646" s="41"/>
    </row>
    <row r="41647" spans="20:20" s="566" customFormat="1">
      <c r="T41647" s="41"/>
    </row>
    <row r="41648" spans="20:20" s="566" customFormat="1">
      <c r="T41648" s="41"/>
    </row>
    <row r="41649" spans="20:20" s="566" customFormat="1">
      <c r="T41649" s="41"/>
    </row>
    <row r="41650" spans="20:20" s="566" customFormat="1">
      <c r="T41650" s="41"/>
    </row>
    <row r="41651" spans="20:20" s="566" customFormat="1">
      <c r="T41651" s="41"/>
    </row>
    <row r="41652" spans="20:20" s="566" customFormat="1">
      <c r="T41652" s="41"/>
    </row>
    <row r="41653" spans="20:20" s="566" customFormat="1">
      <c r="T41653" s="41"/>
    </row>
    <row r="41654" spans="20:20" s="566" customFormat="1">
      <c r="T41654" s="41"/>
    </row>
    <row r="41655" spans="20:20" s="566" customFormat="1">
      <c r="T41655" s="41"/>
    </row>
    <row r="41656" spans="20:20" s="566" customFormat="1">
      <c r="T41656" s="41"/>
    </row>
    <row r="41657" spans="20:20" s="566" customFormat="1">
      <c r="T41657" s="41"/>
    </row>
    <row r="41658" spans="20:20" s="566" customFormat="1">
      <c r="T41658" s="41"/>
    </row>
    <row r="41659" spans="20:20" s="566" customFormat="1">
      <c r="T41659" s="41"/>
    </row>
    <row r="41660" spans="20:20" s="566" customFormat="1">
      <c r="T41660" s="41"/>
    </row>
    <row r="41661" spans="20:20" s="566" customFormat="1">
      <c r="T41661" s="41"/>
    </row>
    <row r="41662" spans="20:20" s="566" customFormat="1">
      <c r="T41662" s="41"/>
    </row>
    <row r="41663" spans="20:20" s="566" customFormat="1">
      <c r="T41663" s="41"/>
    </row>
    <row r="41664" spans="20:20" s="566" customFormat="1">
      <c r="T41664" s="41"/>
    </row>
    <row r="41665" spans="20:20" s="566" customFormat="1">
      <c r="T41665" s="41"/>
    </row>
    <row r="41666" spans="20:20" s="566" customFormat="1">
      <c r="T41666" s="41"/>
    </row>
    <row r="41667" spans="20:20" s="566" customFormat="1">
      <c r="T41667" s="41"/>
    </row>
    <row r="41668" spans="20:20" s="566" customFormat="1">
      <c r="T41668" s="41"/>
    </row>
    <row r="41669" spans="20:20" s="566" customFormat="1">
      <c r="T41669" s="41"/>
    </row>
    <row r="41670" spans="20:20" s="566" customFormat="1">
      <c r="T41670" s="41"/>
    </row>
    <row r="41671" spans="20:20" s="566" customFormat="1">
      <c r="T41671" s="41"/>
    </row>
    <row r="41672" spans="20:20" s="566" customFormat="1">
      <c r="T41672" s="41"/>
    </row>
    <row r="41673" spans="20:20" s="566" customFormat="1">
      <c r="T41673" s="41"/>
    </row>
    <row r="41674" spans="20:20" s="566" customFormat="1">
      <c r="T41674" s="41"/>
    </row>
    <row r="41675" spans="20:20" s="566" customFormat="1">
      <c r="T41675" s="41"/>
    </row>
    <row r="41676" spans="20:20" s="566" customFormat="1">
      <c r="T41676" s="41"/>
    </row>
    <row r="41677" spans="20:20" s="566" customFormat="1">
      <c r="T41677" s="41"/>
    </row>
    <row r="41678" spans="20:20" s="566" customFormat="1">
      <c r="T41678" s="41"/>
    </row>
    <row r="41679" spans="20:20" s="566" customFormat="1">
      <c r="T41679" s="41"/>
    </row>
    <row r="41680" spans="20:20" s="566" customFormat="1">
      <c r="T41680" s="41"/>
    </row>
    <row r="41681" spans="20:20" s="566" customFormat="1">
      <c r="T41681" s="41"/>
    </row>
    <row r="41682" spans="20:20" s="566" customFormat="1">
      <c r="T41682" s="41"/>
    </row>
    <row r="41683" spans="20:20" s="566" customFormat="1">
      <c r="T41683" s="41"/>
    </row>
    <row r="41684" spans="20:20" s="566" customFormat="1">
      <c r="T41684" s="41"/>
    </row>
    <row r="41685" spans="20:20" s="566" customFormat="1">
      <c r="T41685" s="41"/>
    </row>
    <row r="41686" spans="20:20" s="566" customFormat="1">
      <c r="T41686" s="41"/>
    </row>
    <row r="41687" spans="20:20" s="566" customFormat="1">
      <c r="T41687" s="41"/>
    </row>
    <row r="41688" spans="20:20" s="566" customFormat="1">
      <c r="T41688" s="41"/>
    </row>
    <row r="41689" spans="20:20" s="566" customFormat="1">
      <c r="T41689" s="41"/>
    </row>
    <row r="41690" spans="20:20" s="566" customFormat="1">
      <c r="T41690" s="41"/>
    </row>
    <row r="41691" spans="20:20" s="566" customFormat="1">
      <c r="T41691" s="41"/>
    </row>
    <row r="41692" spans="20:20" s="566" customFormat="1">
      <c r="T41692" s="41"/>
    </row>
    <row r="41693" spans="20:20" s="566" customFormat="1">
      <c r="T41693" s="41"/>
    </row>
    <row r="41694" spans="20:20" s="566" customFormat="1">
      <c r="T41694" s="41"/>
    </row>
    <row r="41695" spans="20:20" s="566" customFormat="1">
      <c r="T41695" s="41"/>
    </row>
    <row r="41696" spans="20:20" s="566" customFormat="1">
      <c r="T41696" s="41"/>
    </row>
    <row r="41697" spans="20:20" s="566" customFormat="1">
      <c r="T41697" s="41"/>
    </row>
    <row r="41698" spans="20:20" s="566" customFormat="1">
      <c r="T41698" s="41"/>
    </row>
    <row r="41699" spans="20:20" s="566" customFormat="1">
      <c r="T41699" s="41"/>
    </row>
    <row r="41700" spans="20:20" s="566" customFormat="1">
      <c r="T41700" s="41"/>
    </row>
    <row r="41701" spans="20:20" s="566" customFormat="1">
      <c r="T41701" s="41"/>
    </row>
    <row r="41702" spans="20:20" s="566" customFormat="1">
      <c r="T41702" s="41"/>
    </row>
    <row r="41703" spans="20:20" s="566" customFormat="1">
      <c r="T41703" s="41"/>
    </row>
    <row r="41704" spans="20:20" s="566" customFormat="1">
      <c r="T41704" s="41"/>
    </row>
    <row r="41705" spans="20:20" s="566" customFormat="1">
      <c r="T41705" s="41"/>
    </row>
    <row r="41706" spans="20:20" s="566" customFormat="1">
      <c r="T41706" s="41"/>
    </row>
    <row r="41707" spans="20:20" s="566" customFormat="1">
      <c r="T41707" s="41"/>
    </row>
    <row r="41708" spans="20:20" s="566" customFormat="1">
      <c r="T41708" s="41"/>
    </row>
    <row r="41709" spans="20:20" s="566" customFormat="1">
      <c r="T41709" s="41"/>
    </row>
    <row r="41710" spans="20:20" s="566" customFormat="1">
      <c r="T41710" s="41"/>
    </row>
    <row r="41711" spans="20:20" s="566" customFormat="1">
      <c r="T41711" s="41"/>
    </row>
    <row r="41712" spans="20:20" s="566" customFormat="1">
      <c r="T41712" s="41"/>
    </row>
    <row r="41713" spans="20:20" s="566" customFormat="1">
      <c r="T41713" s="41"/>
    </row>
    <row r="41714" spans="20:20" s="566" customFormat="1">
      <c r="T41714" s="41"/>
    </row>
    <row r="41715" spans="20:20" s="566" customFormat="1">
      <c r="T41715" s="41"/>
    </row>
    <row r="41716" spans="20:20" s="566" customFormat="1">
      <c r="T41716" s="41"/>
    </row>
    <row r="41717" spans="20:20" s="566" customFormat="1">
      <c r="T41717" s="41"/>
    </row>
    <row r="41718" spans="20:20" s="566" customFormat="1">
      <c r="T41718" s="41"/>
    </row>
    <row r="41719" spans="20:20" s="566" customFormat="1">
      <c r="T41719" s="41"/>
    </row>
    <row r="41720" spans="20:20" s="566" customFormat="1">
      <c r="T41720" s="41"/>
    </row>
    <row r="41721" spans="20:20" s="566" customFormat="1">
      <c r="T41721" s="41"/>
    </row>
    <row r="41722" spans="20:20" s="566" customFormat="1">
      <c r="T41722" s="41"/>
    </row>
    <row r="41723" spans="20:20" s="566" customFormat="1">
      <c r="T41723" s="41"/>
    </row>
    <row r="41724" spans="20:20" s="566" customFormat="1">
      <c r="T41724" s="41"/>
    </row>
    <row r="41725" spans="20:20" s="566" customFormat="1">
      <c r="T41725" s="41"/>
    </row>
    <row r="41726" spans="20:20" s="566" customFormat="1">
      <c r="T41726" s="41"/>
    </row>
    <row r="41727" spans="20:20" s="566" customFormat="1">
      <c r="T41727" s="41"/>
    </row>
    <row r="41728" spans="20:20" s="566" customFormat="1">
      <c r="T41728" s="41"/>
    </row>
    <row r="41729" spans="20:20" s="566" customFormat="1">
      <c r="T41729" s="41"/>
    </row>
    <row r="41730" spans="20:20" s="566" customFormat="1">
      <c r="T41730" s="41"/>
    </row>
    <row r="41731" spans="20:20" s="566" customFormat="1">
      <c r="T41731" s="41"/>
    </row>
    <row r="41732" spans="20:20" s="566" customFormat="1">
      <c r="T41732" s="41"/>
    </row>
    <row r="41733" spans="20:20" s="566" customFormat="1">
      <c r="T41733" s="41"/>
    </row>
    <row r="41734" spans="20:20" s="566" customFormat="1">
      <c r="T41734" s="41"/>
    </row>
    <row r="41735" spans="20:20" s="566" customFormat="1">
      <c r="T41735" s="41"/>
    </row>
    <row r="41736" spans="20:20" s="566" customFormat="1">
      <c r="T41736" s="41"/>
    </row>
    <row r="41737" spans="20:20" s="566" customFormat="1">
      <c r="T41737" s="41"/>
    </row>
    <row r="41738" spans="20:20" s="566" customFormat="1">
      <c r="T41738" s="41"/>
    </row>
    <row r="41739" spans="20:20" s="566" customFormat="1">
      <c r="T41739" s="41"/>
    </row>
    <row r="41740" spans="20:20" s="566" customFormat="1">
      <c r="T41740" s="41"/>
    </row>
    <row r="41741" spans="20:20" s="566" customFormat="1">
      <c r="T41741" s="41"/>
    </row>
    <row r="41742" spans="20:20" s="566" customFormat="1">
      <c r="T41742" s="41"/>
    </row>
    <row r="41743" spans="20:20" s="566" customFormat="1">
      <c r="T41743" s="41"/>
    </row>
    <row r="41744" spans="20:20" s="566" customFormat="1">
      <c r="T41744" s="41"/>
    </row>
    <row r="41745" spans="20:20" s="566" customFormat="1">
      <c r="T41745" s="41"/>
    </row>
    <row r="41746" spans="20:20" s="566" customFormat="1">
      <c r="T41746" s="41"/>
    </row>
    <row r="41747" spans="20:20" s="566" customFormat="1">
      <c r="T41747" s="41"/>
    </row>
    <row r="41748" spans="20:20" s="566" customFormat="1">
      <c r="T41748" s="41"/>
    </row>
    <row r="41749" spans="20:20" s="566" customFormat="1">
      <c r="T41749" s="41"/>
    </row>
    <row r="41750" spans="20:20" s="566" customFormat="1">
      <c r="T41750" s="41"/>
    </row>
    <row r="41751" spans="20:20" s="566" customFormat="1">
      <c r="T41751" s="41"/>
    </row>
    <row r="41752" spans="20:20" s="566" customFormat="1">
      <c r="T41752" s="41"/>
    </row>
    <row r="41753" spans="20:20" s="566" customFormat="1">
      <c r="T41753" s="41"/>
    </row>
    <row r="41754" spans="20:20" s="566" customFormat="1">
      <c r="T41754" s="41"/>
    </row>
    <row r="41755" spans="20:20" s="566" customFormat="1">
      <c r="T41755" s="41"/>
    </row>
    <row r="41756" spans="20:20" s="566" customFormat="1">
      <c r="T41756" s="41"/>
    </row>
    <row r="41757" spans="20:20" s="566" customFormat="1">
      <c r="T41757" s="41"/>
    </row>
    <row r="41758" spans="20:20" s="566" customFormat="1">
      <c r="T41758" s="41"/>
    </row>
    <row r="41759" spans="20:20" s="566" customFormat="1">
      <c r="T41759" s="41"/>
    </row>
    <row r="41760" spans="20:20" s="566" customFormat="1">
      <c r="T41760" s="41"/>
    </row>
    <row r="41761" spans="20:20" s="566" customFormat="1">
      <c r="T41761" s="41"/>
    </row>
    <row r="41762" spans="20:20" s="566" customFormat="1">
      <c r="T41762" s="41"/>
    </row>
    <row r="41763" spans="20:20" s="566" customFormat="1">
      <c r="T41763" s="41"/>
    </row>
    <row r="41764" spans="20:20" s="566" customFormat="1">
      <c r="T41764" s="41"/>
    </row>
    <row r="41765" spans="20:20" s="566" customFormat="1">
      <c r="T41765" s="41"/>
    </row>
    <row r="41766" spans="20:20" s="566" customFormat="1">
      <c r="T41766" s="41"/>
    </row>
    <row r="41767" spans="20:20" s="566" customFormat="1">
      <c r="T41767" s="41"/>
    </row>
    <row r="41768" spans="20:20" s="566" customFormat="1">
      <c r="T41768" s="41"/>
    </row>
    <row r="41769" spans="20:20" s="566" customFormat="1">
      <c r="T41769" s="41"/>
    </row>
    <row r="41770" spans="20:20" s="566" customFormat="1">
      <c r="T41770" s="41"/>
    </row>
    <row r="41771" spans="20:20" s="566" customFormat="1">
      <c r="T41771" s="41"/>
    </row>
    <row r="41772" spans="20:20" s="566" customFormat="1">
      <c r="T41772" s="41"/>
    </row>
    <row r="41773" spans="20:20" s="566" customFormat="1">
      <c r="T41773" s="41"/>
    </row>
    <row r="41774" spans="20:20" s="566" customFormat="1">
      <c r="T41774" s="41"/>
    </row>
    <row r="41775" spans="20:20" s="566" customFormat="1">
      <c r="T41775" s="41"/>
    </row>
    <row r="41776" spans="20:20" s="566" customFormat="1">
      <c r="T41776" s="41"/>
    </row>
    <row r="41777" spans="20:20" s="566" customFormat="1">
      <c r="T41777" s="41"/>
    </row>
    <row r="41778" spans="20:20" s="566" customFormat="1">
      <c r="T41778" s="41"/>
    </row>
    <row r="41779" spans="20:20" s="566" customFormat="1">
      <c r="T41779" s="41"/>
    </row>
    <row r="41780" spans="20:20" s="566" customFormat="1">
      <c r="T41780" s="41"/>
    </row>
    <row r="41781" spans="20:20" s="566" customFormat="1">
      <c r="T41781" s="41"/>
    </row>
    <row r="41782" spans="20:20" s="566" customFormat="1">
      <c r="T41782" s="41"/>
    </row>
    <row r="41783" spans="20:20" s="566" customFormat="1">
      <c r="T41783" s="41"/>
    </row>
    <row r="41784" spans="20:20" s="566" customFormat="1">
      <c r="T41784" s="41"/>
    </row>
    <row r="41785" spans="20:20" s="566" customFormat="1">
      <c r="T41785" s="41"/>
    </row>
    <row r="41786" spans="20:20" s="566" customFormat="1">
      <c r="T41786" s="41"/>
    </row>
    <row r="41787" spans="20:20" s="566" customFormat="1">
      <c r="T41787" s="41"/>
    </row>
    <row r="41788" spans="20:20" s="566" customFormat="1">
      <c r="T41788" s="41"/>
    </row>
    <row r="41789" spans="20:20" s="566" customFormat="1">
      <c r="T41789" s="41"/>
    </row>
    <row r="41790" spans="20:20" s="566" customFormat="1">
      <c r="T41790" s="41"/>
    </row>
    <row r="41791" spans="20:20" s="566" customFormat="1">
      <c r="T41791" s="41"/>
    </row>
    <row r="41792" spans="20:20" s="566" customFormat="1">
      <c r="T41792" s="41"/>
    </row>
    <row r="41793" spans="20:20" s="566" customFormat="1">
      <c r="T41793" s="41"/>
    </row>
    <row r="41794" spans="20:20" s="566" customFormat="1">
      <c r="T41794" s="41"/>
    </row>
    <row r="41795" spans="20:20" s="566" customFormat="1">
      <c r="T41795" s="41"/>
    </row>
    <row r="41796" spans="20:20" s="566" customFormat="1">
      <c r="T41796" s="41"/>
    </row>
    <row r="41797" spans="20:20" s="566" customFormat="1">
      <c r="T41797" s="41"/>
    </row>
    <row r="41798" spans="20:20" s="566" customFormat="1">
      <c r="T41798" s="41"/>
    </row>
    <row r="41799" spans="20:20" s="566" customFormat="1">
      <c r="T41799" s="41"/>
    </row>
    <row r="41800" spans="20:20" s="566" customFormat="1">
      <c r="T41800" s="41"/>
    </row>
    <row r="41801" spans="20:20" s="566" customFormat="1">
      <c r="T41801" s="41"/>
    </row>
    <row r="41802" spans="20:20" s="566" customFormat="1">
      <c r="T41802" s="41"/>
    </row>
    <row r="41803" spans="20:20" s="566" customFormat="1">
      <c r="T41803" s="41"/>
    </row>
    <row r="41804" spans="20:20" s="566" customFormat="1">
      <c r="T41804" s="41"/>
    </row>
    <row r="41805" spans="20:20" s="566" customFormat="1">
      <c r="T41805" s="41"/>
    </row>
    <row r="41806" spans="20:20" s="566" customFormat="1">
      <c r="T41806" s="41"/>
    </row>
    <row r="41807" spans="20:20" s="566" customFormat="1">
      <c r="T41807" s="41"/>
    </row>
    <row r="41808" spans="20:20" s="566" customFormat="1">
      <c r="T41808" s="41"/>
    </row>
    <row r="41809" spans="20:20" s="566" customFormat="1">
      <c r="T41809" s="41"/>
    </row>
    <row r="41810" spans="20:20" s="566" customFormat="1">
      <c r="T41810" s="41"/>
    </row>
    <row r="41811" spans="20:20" s="566" customFormat="1">
      <c r="T41811" s="41"/>
    </row>
    <row r="41812" spans="20:20" s="566" customFormat="1">
      <c r="T41812" s="41"/>
    </row>
    <row r="41813" spans="20:20" s="566" customFormat="1">
      <c r="T41813" s="41"/>
    </row>
    <row r="41814" spans="20:20" s="566" customFormat="1">
      <c r="T41814" s="41"/>
    </row>
    <row r="41815" spans="20:20" s="566" customFormat="1">
      <c r="T41815" s="41"/>
    </row>
    <row r="41816" spans="20:20" s="566" customFormat="1">
      <c r="T41816" s="41"/>
    </row>
    <row r="41817" spans="20:20" s="566" customFormat="1">
      <c r="T41817" s="41"/>
    </row>
    <row r="41818" spans="20:20" s="566" customFormat="1">
      <c r="T41818" s="41"/>
    </row>
    <row r="41819" spans="20:20" s="566" customFormat="1">
      <c r="T41819" s="41"/>
    </row>
    <row r="41820" spans="20:20" s="566" customFormat="1">
      <c r="T41820" s="41"/>
    </row>
    <row r="41821" spans="20:20" s="566" customFormat="1">
      <c r="T41821" s="41"/>
    </row>
    <row r="41822" spans="20:20" s="566" customFormat="1">
      <c r="T41822" s="41"/>
    </row>
    <row r="41823" spans="20:20" s="566" customFormat="1">
      <c r="T41823" s="41"/>
    </row>
    <row r="41824" spans="20:20" s="566" customFormat="1">
      <c r="T41824" s="41"/>
    </row>
    <row r="41825" spans="20:20" s="566" customFormat="1">
      <c r="T41825" s="41"/>
    </row>
    <row r="41826" spans="20:20" s="566" customFormat="1">
      <c r="T41826" s="41"/>
    </row>
    <row r="41827" spans="20:20" s="566" customFormat="1">
      <c r="T41827" s="41"/>
    </row>
    <row r="41828" spans="20:20" s="566" customFormat="1">
      <c r="T41828" s="41"/>
    </row>
    <row r="41829" spans="20:20" s="566" customFormat="1">
      <c r="T41829" s="41"/>
    </row>
    <row r="41830" spans="20:20" s="566" customFormat="1">
      <c r="T41830" s="41"/>
    </row>
    <row r="41831" spans="20:20" s="566" customFormat="1">
      <c r="T41831" s="41"/>
    </row>
    <row r="41832" spans="20:20" s="566" customFormat="1">
      <c r="T41832" s="41"/>
    </row>
    <row r="41833" spans="20:20" s="566" customFormat="1">
      <c r="T41833" s="41"/>
    </row>
    <row r="41834" spans="20:20" s="566" customFormat="1">
      <c r="T41834" s="41"/>
    </row>
    <row r="41835" spans="20:20" s="566" customFormat="1">
      <c r="T41835" s="41"/>
    </row>
    <row r="41836" spans="20:20" s="566" customFormat="1">
      <c r="T41836" s="41"/>
    </row>
    <row r="41837" spans="20:20" s="566" customFormat="1">
      <c r="T41837" s="41"/>
    </row>
    <row r="41838" spans="20:20" s="566" customFormat="1">
      <c r="T41838" s="41"/>
    </row>
    <row r="41839" spans="20:20" s="566" customFormat="1">
      <c r="T41839" s="41"/>
    </row>
    <row r="41840" spans="20:20" s="566" customFormat="1">
      <c r="T41840" s="41"/>
    </row>
    <row r="41841" spans="20:20" s="566" customFormat="1">
      <c r="T41841" s="41"/>
    </row>
    <row r="41842" spans="20:20" s="566" customFormat="1">
      <c r="T41842" s="41"/>
    </row>
    <row r="41843" spans="20:20" s="566" customFormat="1">
      <c r="T41843" s="41"/>
    </row>
    <row r="41844" spans="20:20" s="566" customFormat="1">
      <c r="T41844" s="41"/>
    </row>
    <row r="41845" spans="20:20" s="566" customFormat="1">
      <c r="T41845" s="41"/>
    </row>
    <row r="41846" spans="20:20" s="566" customFormat="1">
      <c r="T41846" s="41"/>
    </row>
    <row r="41847" spans="20:20" s="566" customFormat="1">
      <c r="T41847" s="41"/>
    </row>
    <row r="41848" spans="20:20" s="566" customFormat="1">
      <c r="T41848" s="41"/>
    </row>
    <row r="41849" spans="20:20" s="566" customFormat="1">
      <c r="T41849" s="41"/>
    </row>
    <row r="41850" spans="20:20" s="566" customFormat="1">
      <c r="T41850" s="41"/>
    </row>
    <row r="41851" spans="20:20" s="566" customFormat="1">
      <c r="T41851" s="41"/>
    </row>
    <row r="41852" spans="20:20" s="566" customFormat="1">
      <c r="T41852" s="41"/>
    </row>
    <row r="41853" spans="20:20" s="566" customFormat="1">
      <c r="T41853" s="41"/>
    </row>
    <row r="41854" spans="20:20" s="566" customFormat="1">
      <c r="T41854" s="41"/>
    </row>
    <row r="41855" spans="20:20" s="566" customFormat="1">
      <c r="T41855" s="41"/>
    </row>
    <row r="41856" spans="20:20" s="566" customFormat="1">
      <c r="T41856" s="41"/>
    </row>
    <row r="41857" spans="20:20" s="566" customFormat="1">
      <c r="T41857" s="41"/>
    </row>
    <row r="41858" spans="20:20" s="566" customFormat="1">
      <c r="T41858" s="41"/>
    </row>
    <row r="41859" spans="20:20" s="566" customFormat="1">
      <c r="T41859" s="41"/>
    </row>
    <row r="41860" spans="20:20" s="566" customFormat="1">
      <c r="T41860" s="41"/>
    </row>
    <row r="41861" spans="20:20" s="566" customFormat="1">
      <c r="T41861" s="41"/>
    </row>
    <row r="41862" spans="20:20" s="566" customFormat="1">
      <c r="T41862" s="41"/>
    </row>
    <row r="41863" spans="20:20" s="566" customFormat="1">
      <c r="T41863" s="41"/>
    </row>
    <row r="41864" spans="20:20" s="566" customFormat="1">
      <c r="T41864" s="41"/>
    </row>
    <row r="41865" spans="20:20" s="566" customFormat="1">
      <c r="T41865" s="41"/>
    </row>
    <row r="41866" spans="20:20" s="566" customFormat="1">
      <c r="T41866" s="41"/>
    </row>
    <row r="41867" spans="20:20" s="566" customFormat="1">
      <c r="T41867" s="41"/>
    </row>
    <row r="41868" spans="20:20" s="566" customFormat="1">
      <c r="T41868" s="41"/>
    </row>
    <row r="41869" spans="20:20" s="566" customFormat="1">
      <c r="T41869" s="41"/>
    </row>
    <row r="41870" spans="20:20" s="566" customFormat="1">
      <c r="T41870" s="41"/>
    </row>
    <row r="41871" spans="20:20" s="566" customFormat="1">
      <c r="T41871" s="41"/>
    </row>
    <row r="41872" spans="20:20" s="566" customFormat="1">
      <c r="T41872" s="41"/>
    </row>
    <row r="41873" spans="20:20" s="566" customFormat="1">
      <c r="T41873" s="41"/>
    </row>
    <row r="41874" spans="20:20" s="566" customFormat="1">
      <c r="T41874" s="41"/>
    </row>
    <row r="41875" spans="20:20" s="566" customFormat="1">
      <c r="T41875" s="41"/>
    </row>
    <row r="41876" spans="20:20" s="566" customFormat="1">
      <c r="T41876" s="41"/>
    </row>
    <row r="41877" spans="20:20" s="566" customFormat="1">
      <c r="T41877" s="41"/>
    </row>
    <row r="41878" spans="20:20" s="566" customFormat="1">
      <c r="T41878" s="41"/>
    </row>
    <row r="41879" spans="20:20" s="566" customFormat="1">
      <c r="T41879" s="41"/>
    </row>
    <row r="41880" spans="20:20" s="566" customFormat="1">
      <c r="T41880" s="41"/>
    </row>
    <row r="41881" spans="20:20" s="566" customFormat="1">
      <c r="T41881" s="41"/>
    </row>
    <row r="41882" spans="20:20" s="566" customFormat="1">
      <c r="T41882" s="41"/>
    </row>
    <row r="41883" spans="20:20" s="566" customFormat="1">
      <c r="T41883" s="41"/>
    </row>
    <row r="41884" spans="20:20" s="566" customFormat="1">
      <c r="T41884" s="41"/>
    </row>
    <row r="41885" spans="20:20" s="566" customFormat="1">
      <c r="T41885" s="41"/>
    </row>
    <row r="41886" spans="20:20" s="566" customFormat="1">
      <c r="T41886" s="41"/>
    </row>
    <row r="41887" spans="20:20" s="566" customFormat="1">
      <c r="T41887" s="41"/>
    </row>
    <row r="41888" spans="20:20" s="566" customFormat="1">
      <c r="T41888" s="41"/>
    </row>
    <row r="41889" spans="20:20" s="566" customFormat="1">
      <c r="T41889" s="41"/>
    </row>
    <row r="41890" spans="20:20" s="566" customFormat="1">
      <c r="T41890" s="41"/>
    </row>
    <row r="41891" spans="20:20" s="566" customFormat="1">
      <c r="T41891" s="41"/>
    </row>
    <row r="41892" spans="20:20" s="566" customFormat="1">
      <c r="T41892" s="41"/>
    </row>
    <row r="41893" spans="20:20" s="566" customFormat="1">
      <c r="T41893" s="41"/>
    </row>
    <row r="41894" spans="20:20" s="566" customFormat="1">
      <c r="T41894" s="41"/>
    </row>
    <row r="41895" spans="20:20" s="566" customFormat="1">
      <c r="T41895" s="41"/>
    </row>
    <row r="41896" spans="20:20" s="566" customFormat="1">
      <c r="T41896" s="41"/>
    </row>
    <row r="41897" spans="20:20" s="566" customFormat="1">
      <c r="T41897" s="41"/>
    </row>
    <row r="41898" spans="20:20" s="566" customFormat="1">
      <c r="T41898" s="41"/>
    </row>
    <row r="41899" spans="20:20" s="566" customFormat="1">
      <c r="T41899" s="41"/>
    </row>
    <row r="41900" spans="20:20" s="566" customFormat="1">
      <c r="T41900" s="41"/>
    </row>
    <row r="41901" spans="20:20" s="566" customFormat="1">
      <c r="T41901" s="41"/>
    </row>
    <row r="41902" spans="20:20" s="566" customFormat="1">
      <c r="T41902" s="41"/>
    </row>
    <row r="41903" spans="20:20" s="566" customFormat="1">
      <c r="T41903" s="41"/>
    </row>
    <row r="41904" spans="20:20" s="566" customFormat="1">
      <c r="T41904" s="41"/>
    </row>
    <row r="41905" spans="20:20" s="566" customFormat="1">
      <c r="T41905" s="41"/>
    </row>
    <row r="41906" spans="20:20" s="566" customFormat="1">
      <c r="T41906" s="41"/>
    </row>
    <row r="41907" spans="20:20" s="566" customFormat="1">
      <c r="T41907" s="41"/>
    </row>
    <row r="41908" spans="20:20" s="566" customFormat="1">
      <c r="T41908" s="41"/>
    </row>
    <row r="41909" spans="20:20" s="566" customFormat="1">
      <c r="T41909" s="41"/>
    </row>
    <row r="41910" spans="20:20" s="566" customFormat="1">
      <c r="T41910" s="41"/>
    </row>
    <row r="41911" spans="20:20" s="566" customFormat="1">
      <c r="T41911" s="41"/>
    </row>
    <row r="41912" spans="20:20" s="566" customFormat="1">
      <c r="T41912" s="41"/>
    </row>
    <row r="41913" spans="20:20" s="566" customFormat="1">
      <c r="T41913" s="41"/>
    </row>
    <row r="41914" spans="20:20" s="566" customFormat="1">
      <c r="T41914" s="41"/>
    </row>
    <row r="41915" spans="20:20" s="566" customFormat="1">
      <c r="T41915" s="41"/>
    </row>
    <row r="41916" spans="20:20" s="566" customFormat="1">
      <c r="T41916" s="41"/>
    </row>
    <row r="41917" spans="20:20" s="566" customFormat="1">
      <c r="T41917" s="41"/>
    </row>
    <row r="41918" spans="20:20" s="566" customFormat="1">
      <c r="T41918" s="41"/>
    </row>
    <row r="41919" spans="20:20" s="566" customFormat="1">
      <c r="T41919" s="41"/>
    </row>
    <row r="41920" spans="20:20" s="566" customFormat="1">
      <c r="T41920" s="41"/>
    </row>
    <row r="41921" spans="20:20" s="566" customFormat="1">
      <c r="T41921" s="41"/>
    </row>
    <row r="41922" spans="20:20" s="566" customFormat="1">
      <c r="T41922" s="41"/>
    </row>
    <row r="41923" spans="20:20" s="566" customFormat="1">
      <c r="T41923" s="41"/>
    </row>
    <row r="41924" spans="20:20" s="566" customFormat="1">
      <c r="T41924" s="41"/>
    </row>
    <row r="41925" spans="20:20" s="566" customFormat="1">
      <c r="T41925" s="41"/>
    </row>
    <row r="41926" spans="20:20" s="566" customFormat="1">
      <c r="T41926" s="41"/>
    </row>
    <row r="41927" spans="20:20" s="566" customFormat="1">
      <c r="T41927" s="41"/>
    </row>
    <row r="41928" spans="20:20" s="566" customFormat="1">
      <c r="T41928" s="41"/>
    </row>
    <row r="41929" spans="20:20" s="566" customFormat="1">
      <c r="T41929" s="41"/>
    </row>
    <row r="41930" spans="20:20" s="566" customFormat="1">
      <c r="T41930" s="41"/>
    </row>
    <row r="41931" spans="20:20" s="566" customFormat="1">
      <c r="T41931" s="41"/>
    </row>
    <row r="41932" spans="20:20" s="566" customFormat="1">
      <c r="T41932" s="41"/>
    </row>
    <row r="41933" spans="20:20" s="566" customFormat="1">
      <c r="T41933" s="41"/>
    </row>
    <row r="41934" spans="20:20" s="566" customFormat="1">
      <c r="T41934" s="41"/>
    </row>
    <row r="41935" spans="20:20" s="566" customFormat="1">
      <c r="T41935" s="41"/>
    </row>
    <row r="41936" spans="20:20" s="566" customFormat="1">
      <c r="T41936" s="41"/>
    </row>
    <row r="41937" spans="20:20" s="566" customFormat="1">
      <c r="T41937" s="41"/>
    </row>
    <row r="41938" spans="20:20" s="566" customFormat="1">
      <c r="T41938" s="41"/>
    </row>
    <row r="41939" spans="20:20" s="566" customFormat="1">
      <c r="T41939" s="41"/>
    </row>
    <row r="41940" spans="20:20" s="566" customFormat="1">
      <c r="T41940" s="41"/>
    </row>
    <row r="41941" spans="20:20" s="566" customFormat="1">
      <c r="T41941" s="41"/>
    </row>
    <row r="41942" spans="20:20" s="566" customFormat="1">
      <c r="T41942" s="41"/>
    </row>
    <row r="41943" spans="20:20" s="566" customFormat="1">
      <c r="T41943" s="41"/>
    </row>
    <row r="41944" spans="20:20" s="566" customFormat="1">
      <c r="T41944" s="41"/>
    </row>
    <row r="41945" spans="20:20" s="566" customFormat="1">
      <c r="T41945" s="41"/>
    </row>
    <row r="41946" spans="20:20" s="566" customFormat="1">
      <c r="T41946" s="41"/>
    </row>
    <row r="41947" spans="20:20" s="566" customFormat="1">
      <c r="T41947" s="41"/>
    </row>
    <row r="41948" spans="20:20" s="566" customFormat="1">
      <c r="T41948" s="41"/>
    </row>
    <row r="41949" spans="20:20" s="566" customFormat="1">
      <c r="T41949" s="41"/>
    </row>
    <row r="41950" spans="20:20" s="566" customFormat="1">
      <c r="T41950" s="41"/>
    </row>
    <row r="41951" spans="20:20" s="566" customFormat="1">
      <c r="T41951" s="41"/>
    </row>
    <row r="41952" spans="20:20" s="566" customFormat="1">
      <c r="T41952" s="41"/>
    </row>
    <row r="41953" spans="20:20" s="566" customFormat="1">
      <c r="T41953" s="41"/>
    </row>
    <row r="41954" spans="20:20" s="566" customFormat="1">
      <c r="T41954" s="41"/>
    </row>
    <row r="41955" spans="20:20" s="566" customFormat="1">
      <c r="T41955" s="41"/>
    </row>
    <row r="41956" spans="20:20" s="566" customFormat="1">
      <c r="T41956" s="41"/>
    </row>
    <row r="41957" spans="20:20" s="566" customFormat="1">
      <c r="T41957" s="41"/>
    </row>
    <row r="41958" spans="20:20" s="566" customFormat="1">
      <c r="T41958" s="41"/>
    </row>
    <row r="41959" spans="20:20" s="566" customFormat="1">
      <c r="T41959" s="41"/>
    </row>
    <row r="41960" spans="20:20" s="566" customFormat="1">
      <c r="T41960" s="41"/>
    </row>
    <row r="41961" spans="20:20" s="566" customFormat="1">
      <c r="T41961" s="41"/>
    </row>
    <row r="41962" spans="20:20" s="566" customFormat="1">
      <c r="T41962" s="41"/>
    </row>
    <row r="41963" spans="20:20" s="566" customFormat="1">
      <c r="T41963" s="41"/>
    </row>
    <row r="41964" spans="20:20" s="566" customFormat="1">
      <c r="T41964" s="41"/>
    </row>
    <row r="41965" spans="20:20" s="566" customFormat="1">
      <c r="T41965" s="41"/>
    </row>
    <row r="41966" spans="20:20" s="566" customFormat="1">
      <c r="T41966" s="41"/>
    </row>
    <row r="41967" spans="20:20" s="566" customFormat="1">
      <c r="T41967" s="41"/>
    </row>
    <row r="41968" spans="20:20" s="566" customFormat="1">
      <c r="T41968" s="41"/>
    </row>
    <row r="41969" spans="20:20" s="566" customFormat="1">
      <c r="T41969" s="41"/>
    </row>
    <row r="41970" spans="20:20" s="566" customFormat="1">
      <c r="T41970" s="41"/>
    </row>
    <row r="41971" spans="20:20" s="566" customFormat="1">
      <c r="T41971" s="41"/>
    </row>
    <row r="41972" spans="20:20" s="566" customFormat="1">
      <c r="T41972" s="41"/>
    </row>
    <row r="41973" spans="20:20" s="566" customFormat="1">
      <c r="T41973" s="41"/>
    </row>
    <row r="41974" spans="20:20" s="566" customFormat="1">
      <c r="T41974" s="41"/>
    </row>
    <row r="41975" spans="20:20" s="566" customFormat="1">
      <c r="T41975" s="41"/>
    </row>
    <row r="41976" spans="20:20" s="566" customFormat="1">
      <c r="T41976" s="41"/>
    </row>
    <row r="41977" spans="20:20" s="566" customFormat="1">
      <c r="T41977" s="41"/>
    </row>
    <row r="41978" spans="20:20" s="566" customFormat="1">
      <c r="T41978" s="41"/>
    </row>
    <row r="41979" spans="20:20" s="566" customFormat="1">
      <c r="T41979" s="41"/>
    </row>
    <row r="41980" spans="20:20" s="566" customFormat="1">
      <c r="T41980" s="41"/>
    </row>
    <row r="41981" spans="20:20" s="566" customFormat="1">
      <c r="T41981" s="41"/>
    </row>
    <row r="41982" spans="20:20" s="566" customFormat="1">
      <c r="T41982" s="41"/>
    </row>
    <row r="41983" spans="20:20" s="566" customFormat="1">
      <c r="T41983" s="41"/>
    </row>
    <row r="41984" spans="20:20" s="566" customFormat="1">
      <c r="T41984" s="41"/>
    </row>
    <row r="41985" spans="20:20" s="566" customFormat="1">
      <c r="T41985" s="41"/>
    </row>
    <row r="41986" spans="20:20" s="566" customFormat="1">
      <c r="T41986" s="41"/>
    </row>
    <row r="41987" spans="20:20" s="566" customFormat="1">
      <c r="T41987" s="41"/>
    </row>
    <row r="41988" spans="20:20" s="566" customFormat="1">
      <c r="T41988" s="41"/>
    </row>
    <row r="41989" spans="20:20" s="566" customFormat="1">
      <c r="T41989" s="41"/>
    </row>
    <row r="41990" spans="20:20" s="566" customFormat="1">
      <c r="T41990" s="41"/>
    </row>
    <row r="41991" spans="20:20" s="566" customFormat="1">
      <c r="T41991" s="41"/>
    </row>
    <row r="41992" spans="20:20" s="566" customFormat="1">
      <c r="T41992" s="41"/>
    </row>
    <row r="41993" spans="20:20" s="566" customFormat="1">
      <c r="T41993" s="41"/>
    </row>
    <row r="41994" spans="20:20" s="566" customFormat="1">
      <c r="T41994" s="41"/>
    </row>
    <row r="41995" spans="20:20" s="566" customFormat="1">
      <c r="T41995" s="41"/>
    </row>
    <row r="41996" spans="20:20" s="566" customFormat="1">
      <c r="T41996" s="41"/>
    </row>
    <row r="41997" spans="20:20" s="566" customFormat="1">
      <c r="T41997" s="41"/>
    </row>
    <row r="41998" spans="20:20" s="566" customFormat="1">
      <c r="T41998" s="41"/>
    </row>
    <row r="41999" spans="20:20" s="566" customFormat="1">
      <c r="T41999" s="41"/>
    </row>
    <row r="42000" spans="20:20" s="566" customFormat="1">
      <c r="T42000" s="41"/>
    </row>
    <row r="42001" spans="20:20" s="566" customFormat="1">
      <c r="T42001" s="41"/>
    </row>
    <row r="42002" spans="20:20" s="566" customFormat="1">
      <c r="T42002" s="41"/>
    </row>
    <row r="42003" spans="20:20" s="566" customFormat="1">
      <c r="T42003" s="41"/>
    </row>
    <row r="42004" spans="20:20" s="566" customFormat="1">
      <c r="T42004" s="41"/>
    </row>
    <row r="42005" spans="20:20" s="566" customFormat="1">
      <c r="T42005" s="41"/>
    </row>
    <row r="42006" spans="20:20" s="566" customFormat="1">
      <c r="T42006" s="41"/>
    </row>
    <row r="42007" spans="20:20" s="566" customFormat="1">
      <c r="T42007" s="41"/>
    </row>
    <row r="42008" spans="20:20" s="566" customFormat="1">
      <c r="T42008" s="41"/>
    </row>
    <row r="42009" spans="20:20" s="566" customFormat="1">
      <c r="T42009" s="41"/>
    </row>
    <row r="42010" spans="20:20" s="566" customFormat="1">
      <c r="T42010" s="41"/>
    </row>
    <row r="42011" spans="20:20" s="566" customFormat="1">
      <c r="T42011" s="41"/>
    </row>
    <row r="42012" spans="20:20" s="566" customFormat="1">
      <c r="T42012" s="41"/>
    </row>
    <row r="42013" spans="20:20" s="566" customFormat="1">
      <c r="T42013" s="41"/>
    </row>
    <row r="42014" spans="20:20" s="566" customFormat="1">
      <c r="T42014" s="41"/>
    </row>
    <row r="42015" spans="20:20" s="566" customFormat="1">
      <c r="T42015" s="41"/>
    </row>
    <row r="42016" spans="20:20" s="566" customFormat="1">
      <c r="T42016" s="41"/>
    </row>
    <row r="42017" spans="20:20" s="566" customFormat="1">
      <c r="T42017" s="41"/>
    </row>
    <row r="42018" spans="20:20" s="566" customFormat="1">
      <c r="T42018" s="41"/>
    </row>
    <row r="42019" spans="20:20" s="566" customFormat="1">
      <c r="T42019" s="41"/>
    </row>
    <row r="42020" spans="20:20" s="566" customFormat="1">
      <c r="T42020" s="41"/>
    </row>
    <row r="42021" spans="20:20" s="566" customFormat="1">
      <c r="T42021" s="41"/>
    </row>
    <row r="42022" spans="20:20" s="566" customFormat="1">
      <c r="T42022" s="41"/>
    </row>
    <row r="42023" spans="20:20" s="566" customFormat="1">
      <c r="T42023" s="41"/>
    </row>
    <row r="42024" spans="20:20" s="566" customFormat="1">
      <c r="T42024" s="41"/>
    </row>
    <row r="42025" spans="20:20" s="566" customFormat="1">
      <c r="T42025" s="41"/>
    </row>
    <row r="42026" spans="20:20" s="566" customFormat="1">
      <c r="T42026" s="41"/>
    </row>
    <row r="42027" spans="20:20" s="566" customFormat="1">
      <c r="T42027" s="41"/>
    </row>
    <row r="42028" spans="20:20" s="566" customFormat="1">
      <c r="T42028" s="41"/>
    </row>
    <row r="42029" spans="20:20" s="566" customFormat="1">
      <c r="T42029" s="41"/>
    </row>
    <row r="42030" spans="20:20" s="566" customFormat="1">
      <c r="T42030" s="41"/>
    </row>
    <row r="42031" spans="20:20" s="566" customFormat="1">
      <c r="T42031" s="41"/>
    </row>
    <row r="42032" spans="20:20" s="566" customFormat="1">
      <c r="T42032" s="41"/>
    </row>
    <row r="42033" spans="20:20" s="566" customFormat="1">
      <c r="T42033" s="41"/>
    </row>
    <row r="42034" spans="20:20" s="566" customFormat="1">
      <c r="T42034" s="41"/>
    </row>
    <row r="42035" spans="20:20" s="566" customFormat="1">
      <c r="T42035" s="41"/>
    </row>
    <row r="42036" spans="20:20" s="566" customFormat="1">
      <c r="T42036" s="41"/>
    </row>
    <row r="42037" spans="20:20" s="566" customFormat="1">
      <c r="T42037" s="41"/>
    </row>
    <row r="42038" spans="20:20" s="566" customFormat="1">
      <c r="T42038" s="41"/>
    </row>
    <row r="42039" spans="20:20" s="566" customFormat="1">
      <c r="T42039" s="41"/>
    </row>
    <row r="42040" spans="20:20" s="566" customFormat="1">
      <c r="T42040" s="41"/>
    </row>
    <row r="42041" spans="20:20" s="566" customFormat="1">
      <c r="T42041" s="41"/>
    </row>
    <row r="42042" spans="20:20" s="566" customFormat="1">
      <c r="T42042" s="41"/>
    </row>
    <row r="42043" spans="20:20" s="566" customFormat="1">
      <c r="T42043" s="41"/>
    </row>
    <row r="42044" spans="20:20" s="566" customFormat="1">
      <c r="T42044" s="41"/>
    </row>
    <row r="42045" spans="20:20" s="566" customFormat="1">
      <c r="T42045" s="41"/>
    </row>
    <row r="42046" spans="20:20" s="566" customFormat="1">
      <c r="T42046" s="41"/>
    </row>
    <row r="42047" spans="20:20" s="566" customFormat="1">
      <c r="T42047" s="41"/>
    </row>
    <row r="42048" spans="20:20" s="566" customFormat="1">
      <c r="T42048" s="41"/>
    </row>
    <row r="42049" spans="20:20" s="566" customFormat="1">
      <c r="T42049" s="41"/>
    </row>
    <row r="42050" spans="20:20" s="566" customFormat="1">
      <c r="T42050" s="41"/>
    </row>
    <row r="42051" spans="20:20" s="566" customFormat="1">
      <c r="T42051" s="41"/>
    </row>
    <row r="42052" spans="20:20" s="566" customFormat="1">
      <c r="T42052" s="41"/>
    </row>
    <row r="42053" spans="20:20" s="566" customFormat="1">
      <c r="T42053" s="41"/>
    </row>
    <row r="42054" spans="20:20" s="566" customFormat="1">
      <c r="T42054" s="41"/>
    </row>
    <row r="42055" spans="20:20" s="566" customFormat="1">
      <c r="T42055" s="41"/>
    </row>
    <row r="42056" spans="20:20" s="566" customFormat="1">
      <c r="T42056" s="41"/>
    </row>
    <row r="42057" spans="20:20" s="566" customFormat="1">
      <c r="T42057" s="41"/>
    </row>
    <row r="42058" spans="20:20" s="566" customFormat="1">
      <c r="T42058" s="41"/>
    </row>
    <row r="42059" spans="20:20" s="566" customFormat="1">
      <c r="T42059" s="41"/>
    </row>
    <row r="42060" spans="20:20" s="566" customFormat="1">
      <c r="T42060" s="41"/>
    </row>
    <row r="42061" spans="20:20" s="566" customFormat="1">
      <c r="T42061" s="41"/>
    </row>
    <row r="42062" spans="20:20" s="566" customFormat="1">
      <c r="T42062" s="41"/>
    </row>
    <row r="42063" spans="20:20" s="566" customFormat="1">
      <c r="T42063" s="41"/>
    </row>
    <row r="42064" spans="20:20" s="566" customFormat="1">
      <c r="T42064" s="41"/>
    </row>
    <row r="42065" spans="20:20" s="566" customFormat="1">
      <c r="T42065" s="41"/>
    </row>
    <row r="42066" spans="20:20" s="566" customFormat="1">
      <c r="T42066" s="41"/>
    </row>
    <row r="42067" spans="20:20" s="566" customFormat="1">
      <c r="T42067" s="41"/>
    </row>
    <row r="42068" spans="20:20" s="566" customFormat="1">
      <c r="T42068" s="41"/>
    </row>
    <row r="42069" spans="20:20" s="566" customFormat="1">
      <c r="T42069" s="41"/>
    </row>
    <row r="42070" spans="20:20" s="566" customFormat="1">
      <c r="T42070" s="41"/>
    </row>
    <row r="42071" spans="20:20" s="566" customFormat="1">
      <c r="T42071" s="41"/>
    </row>
    <row r="42072" spans="20:20" s="566" customFormat="1">
      <c r="T42072" s="41"/>
    </row>
    <row r="42073" spans="20:20" s="566" customFormat="1">
      <c r="T42073" s="41"/>
    </row>
    <row r="42074" spans="20:20" s="566" customFormat="1">
      <c r="T42074" s="41"/>
    </row>
    <row r="42075" spans="20:20" s="566" customFormat="1">
      <c r="T42075" s="41"/>
    </row>
    <row r="42076" spans="20:20" s="566" customFormat="1">
      <c r="T42076" s="41"/>
    </row>
    <row r="42077" spans="20:20" s="566" customFormat="1">
      <c r="T42077" s="41"/>
    </row>
    <row r="42078" spans="20:20" s="566" customFormat="1">
      <c r="T42078" s="41"/>
    </row>
    <row r="42079" spans="20:20" s="566" customFormat="1">
      <c r="T42079" s="41"/>
    </row>
    <row r="42080" spans="20:20" s="566" customFormat="1">
      <c r="T42080" s="41"/>
    </row>
    <row r="42081" spans="20:20" s="566" customFormat="1">
      <c r="T42081" s="41"/>
    </row>
    <row r="42082" spans="20:20" s="566" customFormat="1">
      <c r="T42082" s="41"/>
    </row>
    <row r="42083" spans="20:20" s="566" customFormat="1">
      <c r="T42083" s="41"/>
    </row>
    <row r="42084" spans="20:20" s="566" customFormat="1">
      <c r="T42084" s="41"/>
    </row>
    <row r="42085" spans="20:20" s="566" customFormat="1">
      <c r="T42085" s="41"/>
    </row>
    <row r="42086" spans="20:20" s="566" customFormat="1">
      <c r="T42086" s="41"/>
    </row>
    <row r="42087" spans="20:20" s="566" customFormat="1">
      <c r="T42087" s="41"/>
    </row>
    <row r="42088" spans="20:20" s="566" customFormat="1">
      <c r="T42088" s="41"/>
    </row>
    <row r="42089" spans="20:20" s="566" customFormat="1">
      <c r="T42089" s="41"/>
    </row>
    <row r="42090" spans="20:20" s="566" customFormat="1">
      <c r="T42090" s="41"/>
    </row>
    <row r="42091" spans="20:20" s="566" customFormat="1">
      <c r="T42091" s="41"/>
    </row>
    <row r="42092" spans="20:20" s="566" customFormat="1">
      <c r="T42092" s="41"/>
    </row>
    <row r="42093" spans="20:20" s="566" customFormat="1">
      <c r="T42093" s="41"/>
    </row>
    <row r="42094" spans="20:20" s="566" customFormat="1">
      <c r="T42094" s="41"/>
    </row>
    <row r="42095" spans="20:20" s="566" customFormat="1">
      <c r="T42095" s="41"/>
    </row>
    <row r="42096" spans="20:20" s="566" customFormat="1">
      <c r="T42096" s="41"/>
    </row>
    <row r="42097" spans="20:20" s="566" customFormat="1">
      <c r="T42097" s="41"/>
    </row>
    <row r="42098" spans="20:20" s="566" customFormat="1">
      <c r="T42098" s="41"/>
    </row>
    <row r="42099" spans="20:20" s="566" customFormat="1">
      <c r="T42099" s="41"/>
    </row>
    <row r="42100" spans="20:20" s="566" customFormat="1">
      <c r="T42100" s="41"/>
    </row>
    <row r="42101" spans="20:20" s="566" customFormat="1">
      <c r="T42101" s="41"/>
    </row>
    <row r="42102" spans="20:20" s="566" customFormat="1">
      <c r="T42102" s="41"/>
    </row>
    <row r="42103" spans="20:20" s="566" customFormat="1">
      <c r="T42103" s="41"/>
    </row>
    <row r="42104" spans="20:20" s="566" customFormat="1">
      <c r="T42104" s="41"/>
    </row>
    <row r="42105" spans="20:20" s="566" customFormat="1">
      <c r="T42105" s="41"/>
    </row>
    <row r="42106" spans="20:20" s="566" customFormat="1">
      <c r="T42106" s="41"/>
    </row>
    <row r="42107" spans="20:20" s="566" customFormat="1">
      <c r="T42107" s="41"/>
    </row>
    <row r="42108" spans="20:20" s="566" customFormat="1">
      <c r="T42108" s="41"/>
    </row>
    <row r="42109" spans="20:20" s="566" customFormat="1">
      <c r="T42109" s="41"/>
    </row>
    <row r="42110" spans="20:20" s="566" customFormat="1">
      <c r="T42110" s="41"/>
    </row>
    <row r="42111" spans="20:20" s="566" customFormat="1">
      <c r="T42111" s="41"/>
    </row>
    <row r="42112" spans="20:20" s="566" customFormat="1">
      <c r="T42112" s="41"/>
    </row>
    <row r="42113" spans="20:20" s="566" customFormat="1">
      <c r="T42113" s="41"/>
    </row>
    <row r="42114" spans="20:20" s="566" customFormat="1">
      <c r="T42114" s="41"/>
    </row>
    <row r="42115" spans="20:20" s="566" customFormat="1">
      <c r="T42115" s="41"/>
    </row>
    <row r="42116" spans="20:20" s="566" customFormat="1">
      <c r="T42116" s="41"/>
    </row>
    <row r="42117" spans="20:20" s="566" customFormat="1">
      <c r="T42117" s="41"/>
    </row>
    <row r="42118" spans="20:20" s="566" customFormat="1">
      <c r="T42118" s="41"/>
    </row>
    <row r="42119" spans="20:20" s="566" customFormat="1">
      <c r="T42119" s="41"/>
    </row>
    <row r="42120" spans="20:20" s="566" customFormat="1">
      <c r="T42120" s="41"/>
    </row>
    <row r="42121" spans="20:20" s="566" customFormat="1">
      <c r="T42121" s="41"/>
    </row>
    <row r="42122" spans="20:20" s="566" customFormat="1">
      <c r="T42122" s="41"/>
    </row>
    <row r="42123" spans="20:20" s="566" customFormat="1">
      <c r="T42123" s="41"/>
    </row>
    <row r="42124" spans="20:20" s="566" customFormat="1">
      <c r="T42124" s="41"/>
    </row>
    <row r="42125" spans="20:20" s="566" customFormat="1">
      <c r="T42125" s="41"/>
    </row>
    <row r="42126" spans="20:20" s="566" customFormat="1">
      <c r="T42126" s="41"/>
    </row>
    <row r="42127" spans="20:20" s="566" customFormat="1">
      <c r="T42127" s="41"/>
    </row>
    <row r="42128" spans="20:20" s="566" customFormat="1">
      <c r="T42128" s="41"/>
    </row>
    <row r="42129" spans="20:20" s="566" customFormat="1">
      <c r="T42129" s="41"/>
    </row>
    <row r="42130" spans="20:20" s="566" customFormat="1">
      <c r="T42130" s="41"/>
    </row>
    <row r="42131" spans="20:20" s="566" customFormat="1">
      <c r="T42131" s="41"/>
    </row>
    <row r="42132" spans="20:20" s="566" customFormat="1">
      <c r="T42132" s="41"/>
    </row>
    <row r="42133" spans="20:20" s="566" customFormat="1">
      <c r="T42133" s="41"/>
    </row>
    <row r="42134" spans="20:20" s="566" customFormat="1">
      <c r="T42134" s="41"/>
    </row>
    <row r="42135" spans="20:20" s="566" customFormat="1">
      <c r="T42135" s="41"/>
    </row>
    <row r="42136" spans="20:20" s="566" customFormat="1">
      <c r="T42136" s="41"/>
    </row>
    <row r="42137" spans="20:20" s="566" customFormat="1">
      <c r="T42137" s="41"/>
    </row>
    <row r="42138" spans="20:20" s="566" customFormat="1">
      <c r="T42138" s="41"/>
    </row>
    <row r="42139" spans="20:20" s="566" customFormat="1">
      <c r="T42139" s="41"/>
    </row>
    <row r="42140" spans="20:20" s="566" customFormat="1">
      <c r="T42140" s="41"/>
    </row>
    <row r="42141" spans="20:20" s="566" customFormat="1">
      <c r="T42141" s="41"/>
    </row>
    <row r="42142" spans="20:20" s="566" customFormat="1">
      <c r="T42142" s="41"/>
    </row>
    <row r="42143" spans="20:20" s="566" customFormat="1">
      <c r="T42143" s="41"/>
    </row>
    <row r="42144" spans="20:20" s="566" customFormat="1">
      <c r="T42144" s="41"/>
    </row>
    <row r="42145" spans="20:20" s="566" customFormat="1">
      <c r="T42145" s="41"/>
    </row>
    <row r="42146" spans="20:20" s="566" customFormat="1">
      <c r="T42146" s="41"/>
    </row>
    <row r="42147" spans="20:20" s="566" customFormat="1">
      <c r="T42147" s="41"/>
    </row>
    <row r="42148" spans="20:20" s="566" customFormat="1">
      <c r="T42148" s="41"/>
    </row>
    <row r="42149" spans="20:20" s="566" customFormat="1">
      <c r="T42149" s="41"/>
    </row>
    <row r="42150" spans="20:20" s="566" customFormat="1">
      <c r="T42150" s="41"/>
    </row>
    <row r="42151" spans="20:20" s="566" customFormat="1">
      <c r="T42151" s="41"/>
    </row>
    <row r="42152" spans="20:20" s="566" customFormat="1">
      <c r="T42152" s="41"/>
    </row>
    <row r="42153" spans="20:20" s="566" customFormat="1">
      <c r="T42153" s="41"/>
    </row>
    <row r="42154" spans="20:20" s="566" customFormat="1">
      <c r="T42154" s="41"/>
    </row>
    <row r="42155" spans="20:20" s="566" customFormat="1">
      <c r="T42155" s="41"/>
    </row>
    <row r="42156" spans="20:20" s="566" customFormat="1">
      <c r="T42156" s="41"/>
    </row>
    <row r="42157" spans="20:20" s="566" customFormat="1">
      <c r="T42157" s="41"/>
    </row>
    <row r="42158" spans="20:20" s="566" customFormat="1">
      <c r="T42158" s="41"/>
    </row>
    <row r="42159" spans="20:20" s="566" customFormat="1">
      <c r="T42159" s="41"/>
    </row>
    <row r="42160" spans="20:20" s="566" customFormat="1">
      <c r="T42160" s="41"/>
    </row>
    <row r="42161" spans="20:20" s="566" customFormat="1">
      <c r="T42161" s="41"/>
    </row>
    <row r="42162" spans="20:20" s="566" customFormat="1">
      <c r="T42162" s="41"/>
    </row>
    <row r="42163" spans="20:20" s="566" customFormat="1">
      <c r="T42163" s="41"/>
    </row>
    <row r="42164" spans="20:20" s="566" customFormat="1">
      <c r="T42164" s="41"/>
    </row>
    <row r="42165" spans="20:20" s="566" customFormat="1">
      <c r="T42165" s="41"/>
    </row>
    <row r="42166" spans="20:20" s="566" customFormat="1">
      <c r="T42166" s="41"/>
    </row>
    <row r="42167" spans="20:20" s="566" customFormat="1">
      <c r="T42167" s="41"/>
    </row>
    <row r="42168" spans="20:20" s="566" customFormat="1">
      <c r="T42168" s="41"/>
    </row>
    <row r="42169" spans="20:20" s="566" customFormat="1">
      <c r="T42169" s="41"/>
    </row>
    <row r="42170" spans="20:20" s="566" customFormat="1">
      <c r="T42170" s="41"/>
    </row>
    <row r="42171" spans="20:20" s="566" customFormat="1">
      <c r="T42171" s="41"/>
    </row>
    <row r="42172" spans="20:20" s="566" customFormat="1">
      <c r="T42172" s="41"/>
    </row>
    <row r="42173" spans="20:20" s="566" customFormat="1">
      <c r="T42173" s="41"/>
    </row>
    <row r="42174" spans="20:20" s="566" customFormat="1">
      <c r="T42174" s="41"/>
    </row>
    <row r="42175" spans="20:20" s="566" customFormat="1">
      <c r="T42175" s="41"/>
    </row>
    <row r="42176" spans="20:20" s="566" customFormat="1">
      <c r="T42176" s="41"/>
    </row>
    <row r="42177" spans="20:20" s="566" customFormat="1">
      <c r="T42177" s="41"/>
    </row>
    <row r="42178" spans="20:20" s="566" customFormat="1">
      <c r="T42178" s="41"/>
    </row>
    <row r="42179" spans="20:20" s="566" customFormat="1">
      <c r="T42179" s="41"/>
    </row>
    <row r="42180" spans="20:20" s="566" customFormat="1">
      <c r="T42180" s="41"/>
    </row>
    <row r="42181" spans="20:20" s="566" customFormat="1">
      <c r="T42181" s="41"/>
    </row>
    <row r="42182" spans="20:20" s="566" customFormat="1">
      <c r="T42182" s="41"/>
    </row>
    <row r="42183" spans="20:20" s="566" customFormat="1">
      <c r="T42183" s="41"/>
    </row>
    <row r="42184" spans="20:20" s="566" customFormat="1">
      <c r="T42184" s="41"/>
    </row>
    <row r="42185" spans="20:20" s="566" customFormat="1">
      <c r="T42185" s="41"/>
    </row>
    <row r="42186" spans="20:20" s="566" customFormat="1">
      <c r="T42186" s="41"/>
    </row>
    <row r="42187" spans="20:20" s="566" customFormat="1">
      <c r="T42187" s="41"/>
    </row>
    <row r="42188" spans="20:20" s="566" customFormat="1">
      <c r="T42188" s="41"/>
    </row>
    <row r="42189" spans="20:20" s="566" customFormat="1">
      <c r="T42189" s="41"/>
    </row>
    <row r="42190" spans="20:20" s="566" customFormat="1">
      <c r="T42190" s="41"/>
    </row>
    <row r="42191" spans="20:20" s="566" customFormat="1">
      <c r="T42191" s="41"/>
    </row>
    <row r="42192" spans="20:20" s="566" customFormat="1">
      <c r="T42192" s="41"/>
    </row>
    <row r="42193" spans="20:20" s="566" customFormat="1">
      <c r="T42193" s="41"/>
    </row>
    <row r="42194" spans="20:20" s="566" customFormat="1">
      <c r="T42194" s="41"/>
    </row>
    <row r="42195" spans="20:20" s="566" customFormat="1">
      <c r="T42195" s="41"/>
    </row>
    <row r="42196" spans="20:20" s="566" customFormat="1">
      <c r="T42196" s="41"/>
    </row>
    <row r="42197" spans="20:20" s="566" customFormat="1">
      <c r="T42197" s="41"/>
    </row>
    <row r="42198" spans="20:20" s="566" customFormat="1">
      <c r="T42198" s="41"/>
    </row>
    <row r="42199" spans="20:20" s="566" customFormat="1">
      <c r="T42199" s="41"/>
    </row>
    <row r="42200" spans="20:20" s="566" customFormat="1">
      <c r="T42200" s="41"/>
    </row>
    <row r="42201" spans="20:20" s="566" customFormat="1">
      <c r="T42201" s="41"/>
    </row>
    <row r="42202" spans="20:20" s="566" customFormat="1">
      <c r="T42202" s="41"/>
    </row>
    <row r="42203" spans="20:20" s="566" customFormat="1">
      <c r="T42203" s="41"/>
    </row>
    <row r="42204" spans="20:20" s="566" customFormat="1">
      <c r="T42204" s="41"/>
    </row>
    <row r="42205" spans="20:20" s="566" customFormat="1">
      <c r="T42205" s="41"/>
    </row>
    <row r="42206" spans="20:20" s="566" customFormat="1">
      <c r="T42206" s="41"/>
    </row>
    <row r="42207" spans="20:20" s="566" customFormat="1">
      <c r="T42207" s="41"/>
    </row>
    <row r="42208" spans="20:20" s="566" customFormat="1">
      <c r="T42208" s="41"/>
    </row>
    <row r="42209" spans="20:20" s="566" customFormat="1">
      <c r="T42209" s="41"/>
    </row>
    <row r="42210" spans="20:20" s="566" customFormat="1">
      <c r="T42210" s="41"/>
    </row>
    <row r="42211" spans="20:20" s="566" customFormat="1">
      <c r="T42211" s="41"/>
    </row>
    <row r="42212" spans="20:20" s="566" customFormat="1">
      <c r="T42212" s="41"/>
    </row>
    <row r="42213" spans="20:20" s="566" customFormat="1">
      <c r="T42213" s="41"/>
    </row>
    <row r="42214" spans="20:20" s="566" customFormat="1">
      <c r="T42214" s="41"/>
    </row>
    <row r="42215" spans="20:20" s="566" customFormat="1">
      <c r="T42215" s="41"/>
    </row>
    <row r="42216" spans="20:20" s="566" customFormat="1">
      <c r="T42216" s="41"/>
    </row>
    <row r="42217" spans="20:20" s="566" customFormat="1">
      <c r="T42217" s="41"/>
    </row>
    <row r="42218" spans="20:20" s="566" customFormat="1">
      <c r="T42218" s="41"/>
    </row>
    <row r="42219" spans="20:20" s="566" customFormat="1">
      <c r="T42219" s="41"/>
    </row>
    <row r="42220" spans="20:20" s="566" customFormat="1">
      <c r="T42220" s="41"/>
    </row>
    <row r="42221" spans="20:20" s="566" customFormat="1">
      <c r="T42221" s="41"/>
    </row>
    <row r="42222" spans="20:20" s="566" customFormat="1">
      <c r="T42222" s="41"/>
    </row>
    <row r="42223" spans="20:20" s="566" customFormat="1">
      <c r="T42223" s="41"/>
    </row>
    <row r="42224" spans="20:20" s="566" customFormat="1">
      <c r="T42224" s="41"/>
    </row>
    <row r="42225" spans="20:20" s="566" customFormat="1">
      <c r="T42225" s="41"/>
    </row>
    <row r="42226" spans="20:20" s="566" customFormat="1">
      <c r="T42226" s="41"/>
    </row>
    <row r="42227" spans="20:20" s="566" customFormat="1">
      <c r="T42227" s="41"/>
    </row>
    <row r="42228" spans="20:20" s="566" customFormat="1">
      <c r="T42228" s="41"/>
    </row>
    <row r="42229" spans="20:20" s="566" customFormat="1">
      <c r="T42229" s="41"/>
    </row>
    <row r="42230" spans="20:20" s="566" customFormat="1">
      <c r="T42230" s="41"/>
    </row>
    <row r="42231" spans="20:20" s="566" customFormat="1">
      <c r="T42231" s="41"/>
    </row>
    <row r="42232" spans="20:20" s="566" customFormat="1">
      <c r="T42232" s="41"/>
    </row>
    <row r="42233" spans="20:20" s="566" customFormat="1">
      <c r="T42233" s="41"/>
    </row>
    <row r="42234" spans="20:20" s="566" customFormat="1">
      <c r="T42234" s="41"/>
    </row>
    <row r="42235" spans="20:20" s="566" customFormat="1">
      <c r="T42235" s="41"/>
    </row>
    <row r="42236" spans="20:20" s="566" customFormat="1">
      <c r="T42236" s="41"/>
    </row>
    <row r="42237" spans="20:20" s="566" customFormat="1">
      <c r="T42237" s="41"/>
    </row>
    <row r="42238" spans="20:20" s="566" customFormat="1">
      <c r="T42238" s="41"/>
    </row>
    <row r="42239" spans="20:20" s="566" customFormat="1">
      <c r="T42239" s="41"/>
    </row>
    <row r="42240" spans="20:20" s="566" customFormat="1">
      <c r="T42240" s="41"/>
    </row>
    <row r="42241" spans="20:20" s="566" customFormat="1">
      <c r="T42241" s="41"/>
    </row>
    <row r="42242" spans="20:20" s="566" customFormat="1">
      <c r="T42242" s="41"/>
    </row>
    <row r="42243" spans="20:20" s="566" customFormat="1">
      <c r="T42243" s="41"/>
    </row>
    <row r="42244" spans="20:20" s="566" customFormat="1">
      <c r="T42244" s="41"/>
    </row>
    <row r="42245" spans="20:20" s="566" customFormat="1">
      <c r="T42245" s="41"/>
    </row>
    <row r="42246" spans="20:20" s="566" customFormat="1">
      <c r="T42246" s="41"/>
    </row>
    <row r="42247" spans="20:20" s="566" customFormat="1">
      <c r="T42247" s="41"/>
    </row>
    <row r="42248" spans="20:20" s="566" customFormat="1">
      <c r="T42248" s="41"/>
    </row>
    <row r="42249" spans="20:20" s="566" customFormat="1">
      <c r="T42249" s="41"/>
    </row>
    <row r="42250" spans="20:20" s="566" customFormat="1">
      <c r="T42250" s="41"/>
    </row>
    <row r="42251" spans="20:20" s="566" customFormat="1">
      <c r="T42251" s="41"/>
    </row>
    <row r="42252" spans="20:20" s="566" customFormat="1">
      <c r="T42252" s="41"/>
    </row>
    <row r="42253" spans="20:20" s="566" customFormat="1">
      <c r="T42253" s="41"/>
    </row>
    <row r="42254" spans="20:20" s="566" customFormat="1">
      <c r="T42254" s="41"/>
    </row>
    <row r="42255" spans="20:20" s="566" customFormat="1">
      <c r="T42255" s="41"/>
    </row>
    <row r="42256" spans="20:20" s="566" customFormat="1">
      <c r="T42256" s="41"/>
    </row>
    <row r="42257" spans="20:20" s="566" customFormat="1">
      <c r="T42257" s="41"/>
    </row>
    <row r="42258" spans="20:20" s="566" customFormat="1">
      <c r="T42258" s="41"/>
    </row>
    <row r="42259" spans="20:20" s="566" customFormat="1">
      <c r="T42259" s="41"/>
    </row>
    <row r="42260" spans="20:20" s="566" customFormat="1">
      <c r="T42260" s="41"/>
    </row>
    <row r="42261" spans="20:20" s="566" customFormat="1">
      <c r="T42261" s="41"/>
    </row>
    <row r="42262" spans="20:20" s="566" customFormat="1">
      <c r="T42262" s="41"/>
    </row>
    <row r="42263" spans="20:20" s="566" customFormat="1">
      <c r="T42263" s="41"/>
    </row>
    <row r="42264" spans="20:20" s="566" customFormat="1">
      <c r="T42264" s="41"/>
    </row>
    <row r="42265" spans="20:20" s="566" customFormat="1">
      <c r="T42265" s="41"/>
    </row>
    <row r="42266" spans="20:20" s="566" customFormat="1">
      <c r="T42266" s="41"/>
    </row>
    <row r="42267" spans="20:20" s="566" customFormat="1">
      <c r="T42267" s="41"/>
    </row>
    <row r="42268" spans="20:20" s="566" customFormat="1">
      <c r="T42268" s="41"/>
    </row>
    <row r="42269" spans="20:20" s="566" customFormat="1">
      <c r="T42269" s="41"/>
    </row>
    <row r="42270" spans="20:20" s="566" customFormat="1">
      <c r="T42270" s="41"/>
    </row>
    <row r="42271" spans="20:20" s="566" customFormat="1">
      <c r="T42271" s="41"/>
    </row>
    <row r="42272" spans="20:20" s="566" customFormat="1">
      <c r="T42272" s="41"/>
    </row>
    <row r="42273" spans="20:20" s="566" customFormat="1">
      <c r="T42273" s="41"/>
    </row>
    <row r="42274" spans="20:20" s="566" customFormat="1">
      <c r="T42274" s="41"/>
    </row>
    <row r="42275" spans="20:20" s="566" customFormat="1">
      <c r="T42275" s="41"/>
    </row>
    <row r="42276" spans="20:20" s="566" customFormat="1">
      <c r="T42276" s="41"/>
    </row>
    <row r="42277" spans="20:20" s="566" customFormat="1">
      <c r="T42277" s="41"/>
    </row>
    <row r="42278" spans="20:20" s="566" customFormat="1">
      <c r="T42278" s="41"/>
    </row>
    <row r="42279" spans="20:20" s="566" customFormat="1">
      <c r="T42279" s="41"/>
    </row>
    <row r="42280" spans="20:20" s="566" customFormat="1">
      <c r="T42280" s="41"/>
    </row>
    <row r="42281" spans="20:20" s="566" customFormat="1">
      <c r="T42281" s="41"/>
    </row>
    <row r="42282" spans="20:20" s="566" customFormat="1">
      <c r="T42282" s="41"/>
    </row>
    <row r="42283" spans="20:20" s="566" customFormat="1">
      <c r="T42283" s="41"/>
    </row>
    <row r="42284" spans="20:20" s="566" customFormat="1">
      <c r="T42284" s="41"/>
    </row>
    <row r="42285" spans="20:20" s="566" customFormat="1">
      <c r="T42285" s="41"/>
    </row>
    <row r="42286" spans="20:20" s="566" customFormat="1">
      <c r="T42286" s="41"/>
    </row>
    <row r="42287" spans="20:20" s="566" customFormat="1">
      <c r="T42287" s="41"/>
    </row>
    <row r="42288" spans="20:20" s="566" customFormat="1">
      <c r="T42288" s="41"/>
    </row>
    <row r="42289" spans="20:20" s="566" customFormat="1">
      <c r="T42289" s="41"/>
    </row>
    <row r="42290" spans="20:20" s="566" customFormat="1">
      <c r="T42290" s="41"/>
    </row>
    <row r="42291" spans="20:20" s="566" customFormat="1">
      <c r="T42291" s="41"/>
    </row>
    <row r="42292" spans="20:20" s="566" customFormat="1">
      <c r="T42292" s="41"/>
    </row>
    <row r="42293" spans="20:20" s="566" customFormat="1">
      <c r="T42293" s="41"/>
    </row>
    <row r="42294" spans="20:20" s="566" customFormat="1">
      <c r="T42294" s="41"/>
    </row>
    <row r="42295" spans="20:20" s="566" customFormat="1">
      <c r="T42295" s="41"/>
    </row>
    <row r="42296" spans="20:20" s="566" customFormat="1">
      <c r="T42296" s="41"/>
    </row>
    <row r="42297" spans="20:20" s="566" customFormat="1">
      <c r="T42297" s="41"/>
    </row>
    <row r="42298" spans="20:20" s="566" customFormat="1">
      <c r="T42298" s="41"/>
    </row>
    <row r="42299" spans="20:20" s="566" customFormat="1">
      <c r="T42299" s="41"/>
    </row>
    <row r="42300" spans="20:20" s="566" customFormat="1">
      <c r="T42300" s="41"/>
    </row>
    <row r="42301" spans="20:20" s="566" customFormat="1">
      <c r="T42301" s="41"/>
    </row>
    <row r="42302" spans="20:20" s="566" customFormat="1">
      <c r="T42302" s="41"/>
    </row>
    <row r="42303" spans="20:20" s="566" customFormat="1">
      <c r="T42303" s="41"/>
    </row>
    <row r="42304" spans="20:20" s="566" customFormat="1">
      <c r="T42304" s="41"/>
    </row>
    <row r="42305" spans="20:20" s="566" customFormat="1">
      <c r="T42305" s="41"/>
    </row>
    <row r="42306" spans="20:20" s="566" customFormat="1">
      <c r="T42306" s="41"/>
    </row>
    <row r="42307" spans="20:20" s="566" customFormat="1">
      <c r="T42307" s="41"/>
    </row>
    <row r="42308" spans="20:20" s="566" customFormat="1">
      <c r="T42308" s="41"/>
    </row>
    <row r="42309" spans="20:20" s="566" customFormat="1">
      <c r="T42309" s="41"/>
    </row>
    <row r="42310" spans="20:20" s="566" customFormat="1">
      <c r="T42310" s="41"/>
    </row>
    <row r="42311" spans="20:20" s="566" customFormat="1">
      <c r="T42311" s="41"/>
    </row>
    <row r="42312" spans="20:20" s="566" customFormat="1">
      <c r="T42312" s="41"/>
    </row>
    <row r="42313" spans="20:20" s="566" customFormat="1">
      <c r="T42313" s="41"/>
    </row>
    <row r="42314" spans="20:20" s="566" customFormat="1">
      <c r="T42314" s="41"/>
    </row>
    <row r="42315" spans="20:20" s="566" customFormat="1">
      <c r="T42315" s="41"/>
    </row>
    <row r="42316" spans="20:20" s="566" customFormat="1">
      <c r="T42316" s="41"/>
    </row>
    <row r="42317" spans="20:20" s="566" customFormat="1">
      <c r="T42317" s="41"/>
    </row>
    <row r="42318" spans="20:20" s="566" customFormat="1">
      <c r="T42318" s="41"/>
    </row>
    <row r="42319" spans="20:20" s="566" customFormat="1">
      <c r="T42319" s="41"/>
    </row>
    <row r="42320" spans="20:20" s="566" customFormat="1">
      <c r="T42320" s="41"/>
    </row>
    <row r="42321" spans="20:20" s="566" customFormat="1">
      <c r="T42321" s="41"/>
    </row>
    <row r="42322" spans="20:20" s="566" customFormat="1">
      <c r="T42322" s="41"/>
    </row>
    <row r="42323" spans="20:20" s="566" customFormat="1">
      <c r="T42323" s="41"/>
    </row>
    <row r="42324" spans="20:20" s="566" customFormat="1">
      <c r="T42324" s="41"/>
    </row>
    <row r="42325" spans="20:20" s="566" customFormat="1">
      <c r="T42325" s="41"/>
    </row>
    <row r="42326" spans="20:20" s="566" customFormat="1">
      <c r="T42326" s="41"/>
    </row>
    <row r="42327" spans="20:20" s="566" customFormat="1">
      <c r="T42327" s="41"/>
    </row>
    <row r="42328" spans="20:20" s="566" customFormat="1">
      <c r="T42328" s="41"/>
    </row>
    <row r="42329" spans="20:20" s="566" customFormat="1">
      <c r="T42329" s="41"/>
    </row>
    <row r="42330" spans="20:20" s="566" customFormat="1">
      <c r="T42330" s="41"/>
    </row>
    <row r="42331" spans="20:20" s="566" customFormat="1">
      <c r="T42331" s="41"/>
    </row>
    <row r="42332" spans="20:20" s="566" customFormat="1">
      <c r="T42332" s="41"/>
    </row>
    <row r="42333" spans="20:20" s="566" customFormat="1">
      <c r="T42333" s="41"/>
    </row>
    <row r="42334" spans="20:20" s="566" customFormat="1">
      <c r="T42334" s="41"/>
    </row>
    <row r="42335" spans="20:20" s="566" customFormat="1">
      <c r="T42335" s="41"/>
    </row>
    <row r="42336" spans="20:20" s="566" customFormat="1">
      <c r="T42336" s="41"/>
    </row>
    <row r="42337" spans="20:20" s="566" customFormat="1">
      <c r="T42337" s="41"/>
    </row>
    <row r="42338" spans="20:20" s="566" customFormat="1">
      <c r="T42338" s="41"/>
    </row>
    <row r="42339" spans="20:20" s="566" customFormat="1">
      <c r="T42339" s="41"/>
    </row>
    <row r="42340" spans="20:20" s="566" customFormat="1">
      <c r="T42340" s="41"/>
    </row>
    <row r="42341" spans="20:20" s="566" customFormat="1">
      <c r="T42341" s="41"/>
    </row>
    <row r="42342" spans="20:20" s="566" customFormat="1">
      <c r="T42342" s="41"/>
    </row>
    <row r="42343" spans="20:20" s="566" customFormat="1">
      <c r="T42343" s="41"/>
    </row>
    <row r="42344" spans="20:20" s="566" customFormat="1">
      <c r="T42344" s="41"/>
    </row>
    <row r="42345" spans="20:20" s="566" customFormat="1">
      <c r="T42345" s="41"/>
    </row>
    <row r="42346" spans="20:20" s="566" customFormat="1">
      <c r="T42346" s="41"/>
    </row>
    <row r="42347" spans="20:20" s="566" customFormat="1">
      <c r="T42347" s="41"/>
    </row>
    <row r="42348" spans="20:20" s="566" customFormat="1">
      <c r="T42348" s="41"/>
    </row>
    <row r="42349" spans="20:20" s="566" customFormat="1">
      <c r="T42349" s="41"/>
    </row>
    <row r="42350" spans="20:20" s="566" customFormat="1">
      <c r="T42350" s="41"/>
    </row>
    <row r="42351" spans="20:20" s="566" customFormat="1">
      <c r="T42351" s="41"/>
    </row>
    <row r="42352" spans="20:20" s="566" customFormat="1">
      <c r="T42352" s="41"/>
    </row>
    <row r="42353" spans="20:20" s="566" customFormat="1">
      <c r="T42353" s="41"/>
    </row>
    <row r="42354" spans="20:20" s="566" customFormat="1">
      <c r="T42354" s="41"/>
    </row>
    <row r="42355" spans="20:20" s="566" customFormat="1">
      <c r="T42355" s="41"/>
    </row>
    <row r="42356" spans="20:20" s="566" customFormat="1">
      <c r="T42356" s="41"/>
    </row>
    <row r="42357" spans="20:20" s="566" customFormat="1">
      <c r="T42357" s="41"/>
    </row>
    <row r="42358" spans="20:20" s="566" customFormat="1">
      <c r="T42358" s="41"/>
    </row>
    <row r="42359" spans="20:20" s="566" customFormat="1">
      <c r="T42359" s="41"/>
    </row>
    <row r="42360" spans="20:20" s="566" customFormat="1">
      <c r="T42360" s="41"/>
    </row>
    <row r="42361" spans="20:20" s="566" customFormat="1">
      <c r="T42361" s="41"/>
    </row>
    <row r="42362" spans="20:20" s="566" customFormat="1">
      <c r="T42362" s="41"/>
    </row>
    <row r="42363" spans="20:20" s="566" customFormat="1">
      <c r="T42363" s="41"/>
    </row>
    <row r="42364" spans="20:20" s="566" customFormat="1">
      <c r="T42364" s="41"/>
    </row>
    <row r="42365" spans="20:20" s="566" customFormat="1">
      <c r="T42365" s="41"/>
    </row>
    <row r="42366" spans="20:20" s="566" customFormat="1">
      <c r="T42366" s="41"/>
    </row>
    <row r="42367" spans="20:20" s="566" customFormat="1">
      <c r="T42367" s="41"/>
    </row>
    <row r="42368" spans="20:20" s="566" customFormat="1">
      <c r="T42368" s="41"/>
    </row>
    <row r="42369" spans="20:20" s="566" customFormat="1">
      <c r="T42369" s="41"/>
    </row>
    <row r="42370" spans="20:20" s="566" customFormat="1">
      <c r="T42370" s="41"/>
    </row>
    <row r="42371" spans="20:20" s="566" customFormat="1">
      <c r="T42371" s="41"/>
    </row>
    <row r="42372" spans="20:20" s="566" customFormat="1">
      <c r="T42372" s="41"/>
    </row>
    <row r="42373" spans="20:20" s="566" customFormat="1">
      <c r="T42373" s="41"/>
    </row>
    <row r="42374" spans="20:20" s="566" customFormat="1">
      <c r="T42374" s="41"/>
    </row>
    <row r="42375" spans="20:20" s="566" customFormat="1">
      <c r="T42375" s="41"/>
    </row>
    <row r="42376" spans="20:20" s="566" customFormat="1">
      <c r="T42376" s="41"/>
    </row>
    <row r="42377" spans="20:20" s="566" customFormat="1">
      <c r="T42377" s="41"/>
    </row>
    <row r="42378" spans="20:20" s="566" customFormat="1">
      <c r="T42378" s="41"/>
    </row>
    <row r="42379" spans="20:20" s="566" customFormat="1">
      <c r="T42379" s="41"/>
    </row>
    <row r="42380" spans="20:20" s="566" customFormat="1">
      <c r="T42380" s="41"/>
    </row>
    <row r="42381" spans="20:20" s="566" customFormat="1">
      <c r="T42381" s="41"/>
    </row>
    <row r="42382" spans="20:20" s="566" customFormat="1">
      <c r="T42382" s="41"/>
    </row>
    <row r="42383" spans="20:20" s="566" customFormat="1">
      <c r="T42383" s="41"/>
    </row>
    <row r="42384" spans="20:20" s="566" customFormat="1">
      <c r="T42384" s="41"/>
    </row>
    <row r="42385" spans="20:20" s="566" customFormat="1">
      <c r="T42385" s="41"/>
    </row>
    <row r="42386" spans="20:20" s="566" customFormat="1">
      <c r="T42386" s="41"/>
    </row>
    <row r="42387" spans="20:20" s="566" customFormat="1">
      <c r="T42387" s="41"/>
    </row>
    <row r="42388" spans="20:20" s="566" customFormat="1">
      <c r="T42388" s="41"/>
    </row>
    <row r="42389" spans="20:20" s="566" customFormat="1">
      <c r="T42389" s="41"/>
    </row>
    <row r="42390" spans="20:20" s="566" customFormat="1">
      <c r="T42390" s="41"/>
    </row>
    <row r="42391" spans="20:20" s="566" customFormat="1">
      <c r="T42391" s="41"/>
    </row>
    <row r="42392" spans="20:20" s="566" customFormat="1">
      <c r="T42392" s="41"/>
    </row>
    <row r="42393" spans="20:20" s="566" customFormat="1">
      <c r="T42393" s="41"/>
    </row>
    <row r="42394" spans="20:20" s="566" customFormat="1">
      <c r="T42394" s="41"/>
    </row>
    <row r="42395" spans="20:20" s="566" customFormat="1">
      <c r="T42395" s="41"/>
    </row>
    <row r="42396" spans="20:20" s="566" customFormat="1">
      <c r="T42396" s="41"/>
    </row>
    <row r="42397" spans="20:20" s="566" customFormat="1">
      <c r="T42397" s="41"/>
    </row>
    <row r="42398" spans="20:20" s="566" customFormat="1">
      <c r="T42398" s="41"/>
    </row>
    <row r="42399" spans="20:20" s="566" customFormat="1">
      <c r="T42399" s="41"/>
    </row>
    <row r="42400" spans="20:20" s="566" customFormat="1">
      <c r="T42400" s="41"/>
    </row>
    <row r="42401" spans="20:20" s="566" customFormat="1">
      <c r="T42401" s="41"/>
    </row>
    <row r="42402" spans="20:20" s="566" customFormat="1">
      <c r="T42402" s="41"/>
    </row>
    <row r="42403" spans="20:20" s="566" customFormat="1">
      <c r="T42403" s="41"/>
    </row>
    <row r="42404" spans="20:20" s="566" customFormat="1">
      <c r="T42404" s="41"/>
    </row>
    <row r="42405" spans="20:20" s="566" customFormat="1">
      <c r="T42405" s="41"/>
    </row>
    <row r="42406" spans="20:20" s="566" customFormat="1">
      <c r="T42406" s="41"/>
    </row>
    <row r="42407" spans="20:20" s="566" customFormat="1">
      <c r="T42407" s="41"/>
    </row>
    <row r="42408" spans="20:20" s="566" customFormat="1">
      <c r="T42408" s="41"/>
    </row>
    <row r="42409" spans="20:20" s="566" customFormat="1">
      <c r="T42409" s="41"/>
    </row>
    <row r="42410" spans="20:20" s="566" customFormat="1">
      <c r="T42410" s="41"/>
    </row>
    <row r="42411" spans="20:20" s="566" customFormat="1">
      <c r="T42411" s="41"/>
    </row>
    <row r="42412" spans="20:20" s="566" customFormat="1">
      <c r="T42412" s="41"/>
    </row>
    <row r="42413" spans="20:20" s="566" customFormat="1">
      <c r="T42413" s="41"/>
    </row>
    <row r="42414" spans="20:20" s="566" customFormat="1">
      <c r="T42414" s="41"/>
    </row>
    <row r="42415" spans="20:20" s="566" customFormat="1">
      <c r="T42415" s="41"/>
    </row>
    <row r="42416" spans="20:20" s="566" customFormat="1">
      <c r="T42416" s="41"/>
    </row>
    <row r="42417" spans="20:20" s="566" customFormat="1">
      <c r="T42417" s="41"/>
    </row>
    <row r="42418" spans="20:20" s="566" customFormat="1">
      <c r="T42418" s="41"/>
    </row>
    <row r="42419" spans="20:20" s="566" customFormat="1">
      <c r="T42419" s="41"/>
    </row>
    <row r="42420" spans="20:20" s="566" customFormat="1">
      <c r="T42420" s="41"/>
    </row>
    <row r="42421" spans="20:20" s="566" customFormat="1">
      <c r="T42421" s="41"/>
    </row>
    <row r="42422" spans="20:20" s="566" customFormat="1">
      <c r="T42422" s="41"/>
    </row>
    <row r="42423" spans="20:20" s="566" customFormat="1">
      <c r="T42423" s="41"/>
    </row>
    <row r="42424" spans="20:20" s="566" customFormat="1">
      <c r="T42424" s="41"/>
    </row>
    <row r="42425" spans="20:20" s="566" customFormat="1">
      <c r="T42425" s="41"/>
    </row>
    <row r="42426" spans="20:20" s="566" customFormat="1">
      <c r="T42426" s="41"/>
    </row>
    <row r="42427" spans="20:20" s="566" customFormat="1">
      <c r="T42427" s="41"/>
    </row>
    <row r="42428" spans="20:20" s="566" customFormat="1">
      <c r="T42428" s="41"/>
    </row>
    <row r="42429" spans="20:20" s="566" customFormat="1">
      <c r="T42429" s="41"/>
    </row>
    <row r="42430" spans="20:20" s="566" customFormat="1">
      <c r="T42430" s="41"/>
    </row>
    <row r="42431" spans="20:20" s="566" customFormat="1">
      <c r="T42431" s="41"/>
    </row>
    <row r="42432" spans="20:20" s="566" customFormat="1">
      <c r="T42432" s="41"/>
    </row>
    <row r="42433" spans="20:20" s="566" customFormat="1">
      <c r="T42433" s="41"/>
    </row>
    <row r="42434" spans="20:20" s="566" customFormat="1">
      <c r="T42434" s="41"/>
    </row>
    <row r="42435" spans="20:20" s="566" customFormat="1">
      <c r="T42435" s="41"/>
    </row>
    <row r="42436" spans="20:20" s="566" customFormat="1">
      <c r="T42436" s="41"/>
    </row>
    <row r="42437" spans="20:20" s="566" customFormat="1">
      <c r="T42437" s="41"/>
    </row>
    <row r="42438" spans="20:20" s="566" customFormat="1">
      <c r="T42438" s="41"/>
    </row>
    <row r="42439" spans="20:20" s="566" customFormat="1">
      <c r="T42439" s="41"/>
    </row>
    <row r="42440" spans="20:20" s="566" customFormat="1">
      <c r="T42440" s="41"/>
    </row>
    <row r="42441" spans="20:20" s="566" customFormat="1">
      <c r="T42441" s="41"/>
    </row>
    <row r="42442" spans="20:20" s="566" customFormat="1">
      <c r="T42442" s="41"/>
    </row>
    <row r="42443" spans="20:20" s="566" customFormat="1">
      <c r="T42443" s="41"/>
    </row>
    <row r="42444" spans="20:20" s="566" customFormat="1">
      <c r="T42444" s="41"/>
    </row>
    <row r="42445" spans="20:20" s="566" customFormat="1">
      <c r="T42445" s="41"/>
    </row>
    <row r="42446" spans="20:20" s="566" customFormat="1">
      <c r="T42446" s="41"/>
    </row>
    <row r="42447" spans="20:20" s="566" customFormat="1">
      <c r="T42447" s="41"/>
    </row>
    <row r="42448" spans="20:20" s="566" customFormat="1">
      <c r="T42448" s="41"/>
    </row>
    <row r="42449" spans="20:20" s="566" customFormat="1">
      <c r="T42449" s="41"/>
    </row>
    <row r="42450" spans="20:20" s="566" customFormat="1">
      <c r="T42450" s="41"/>
    </row>
    <row r="42451" spans="20:20" s="566" customFormat="1">
      <c r="T42451" s="41"/>
    </row>
    <row r="42452" spans="20:20" s="566" customFormat="1">
      <c r="T42452" s="41"/>
    </row>
    <row r="42453" spans="20:20" s="566" customFormat="1">
      <c r="T42453" s="41"/>
    </row>
    <row r="42454" spans="20:20" s="566" customFormat="1">
      <c r="T42454" s="41"/>
    </row>
    <row r="42455" spans="20:20" s="566" customFormat="1">
      <c r="T42455" s="41"/>
    </row>
    <row r="42456" spans="20:20" s="566" customFormat="1">
      <c r="T42456" s="41"/>
    </row>
    <row r="42457" spans="20:20" s="566" customFormat="1">
      <c r="T42457" s="41"/>
    </row>
    <row r="42458" spans="20:20" s="566" customFormat="1">
      <c r="T42458" s="41"/>
    </row>
    <row r="42459" spans="20:20" s="566" customFormat="1">
      <c r="T42459" s="41"/>
    </row>
    <row r="42460" spans="20:20" s="566" customFormat="1">
      <c r="T42460" s="41"/>
    </row>
    <row r="42461" spans="20:20" s="566" customFormat="1">
      <c r="T42461" s="41"/>
    </row>
    <row r="42462" spans="20:20" s="566" customFormat="1">
      <c r="T42462" s="41"/>
    </row>
    <row r="42463" spans="20:20" s="566" customFormat="1">
      <c r="T42463" s="41"/>
    </row>
    <row r="42464" spans="20:20" s="566" customFormat="1">
      <c r="T42464" s="41"/>
    </row>
    <row r="42465" spans="20:20" s="566" customFormat="1">
      <c r="T42465" s="41"/>
    </row>
    <row r="42466" spans="20:20" s="566" customFormat="1">
      <c r="T42466" s="41"/>
    </row>
    <row r="42467" spans="20:20" s="566" customFormat="1">
      <c r="T42467" s="41"/>
    </row>
    <row r="42468" spans="20:20" s="566" customFormat="1">
      <c r="T42468" s="41"/>
    </row>
    <row r="42469" spans="20:20" s="566" customFormat="1">
      <c r="T42469" s="41"/>
    </row>
    <row r="42470" spans="20:20" s="566" customFormat="1">
      <c r="T42470" s="41"/>
    </row>
    <row r="42471" spans="20:20" s="566" customFormat="1">
      <c r="T42471" s="41"/>
    </row>
    <row r="42472" spans="20:20" s="566" customFormat="1">
      <c r="T42472" s="41"/>
    </row>
    <row r="42473" spans="20:20" s="566" customFormat="1">
      <c r="T42473" s="41"/>
    </row>
    <row r="42474" spans="20:20" s="566" customFormat="1">
      <c r="T42474" s="41"/>
    </row>
    <row r="42475" spans="20:20" s="566" customFormat="1">
      <c r="T42475" s="41"/>
    </row>
    <row r="42476" spans="20:20" s="566" customFormat="1">
      <c r="T42476" s="41"/>
    </row>
    <row r="42477" spans="20:20" s="566" customFormat="1">
      <c r="T42477" s="41"/>
    </row>
    <row r="42478" spans="20:20" s="566" customFormat="1">
      <c r="T42478" s="41"/>
    </row>
    <row r="42479" spans="20:20" s="566" customFormat="1">
      <c r="T42479" s="41"/>
    </row>
    <row r="42480" spans="20:20" s="566" customFormat="1">
      <c r="T42480" s="41"/>
    </row>
    <row r="42481" spans="20:20" s="566" customFormat="1">
      <c r="T42481" s="41"/>
    </row>
    <row r="42482" spans="20:20" s="566" customFormat="1">
      <c r="T42482" s="41"/>
    </row>
    <row r="42483" spans="20:20" s="566" customFormat="1">
      <c r="T42483" s="41"/>
    </row>
    <row r="42484" spans="20:20" s="566" customFormat="1">
      <c r="T42484" s="41"/>
    </row>
    <row r="42485" spans="20:20" s="566" customFormat="1">
      <c r="T42485" s="41"/>
    </row>
    <row r="42486" spans="20:20" s="566" customFormat="1">
      <c r="T42486" s="41"/>
    </row>
    <row r="42487" spans="20:20" s="566" customFormat="1">
      <c r="T42487" s="41"/>
    </row>
    <row r="42488" spans="20:20" s="566" customFormat="1">
      <c r="T42488" s="41"/>
    </row>
    <row r="42489" spans="20:20" s="566" customFormat="1">
      <c r="T42489" s="41"/>
    </row>
    <row r="42490" spans="20:20" s="566" customFormat="1">
      <c r="T42490" s="41"/>
    </row>
    <row r="42491" spans="20:20" s="566" customFormat="1">
      <c r="T42491" s="41"/>
    </row>
    <row r="42492" spans="20:20" s="566" customFormat="1">
      <c r="T42492" s="41"/>
    </row>
    <row r="42493" spans="20:20" s="566" customFormat="1">
      <c r="T42493" s="41"/>
    </row>
    <row r="42494" spans="20:20" s="566" customFormat="1">
      <c r="T42494" s="41"/>
    </row>
    <row r="42495" spans="20:20" s="566" customFormat="1">
      <c r="T42495" s="41"/>
    </row>
    <row r="42496" spans="20:20" s="566" customFormat="1">
      <c r="T42496" s="41"/>
    </row>
    <row r="42497" spans="20:20" s="566" customFormat="1">
      <c r="T42497" s="41"/>
    </row>
    <row r="42498" spans="20:20" s="566" customFormat="1">
      <c r="T42498" s="41"/>
    </row>
    <row r="42499" spans="20:20" s="566" customFormat="1">
      <c r="T42499" s="41"/>
    </row>
    <row r="42500" spans="20:20" s="566" customFormat="1">
      <c r="T42500" s="41"/>
    </row>
    <row r="42501" spans="20:20" s="566" customFormat="1">
      <c r="T42501" s="41"/>
    </row>
    <row r="42502" spans="20:20" s="566" customFormat="1">
      <c r="T42502" s="41"/>
    </row>
    <row r="42503" spans="20:20" s="566" customFormat="1">
      <c r="T42503" s="41"/>
    </row>
    <row r="42504" spans="20:20" s="566" customFormat="1">
      <c r="T42504" s="41"/>
    </row>
    <row r="42505" spans="20:20" s="566" customFormat="1">
      <c r="T42505" s="41"/>
    </row>
    <row r="42506" spans="20:20" s="566" customFormat="1">
      <c r="T42506" s="41"/>
    </row>
    <row r="42507" spans="20:20" s="566" customFormat="1">
      <c r="T42507" s="41"/>
    </row>
    <row r="42508" spans="20:20" s="566" customFormat="1">
      <c r="T42508" s="41"/>
    </row>
    <row r="42509" spans="20:20" s="566" customFormat="1">
      <c r="T42509" s="41"/>
    </row>
    <row r="42510" spans="20:20" s="566" customFormat="1">
      <c r="T42510" s="41"/>
    </row>
    <row r="42511" spans="20:20" s="566" customFormat="1">
      <c r="T42511" s="41"/>
    </row>
    <row r="42512" spans="20:20" s="566" customFormat="1">
      <c r="T42512" s="41"/>
    </row>
    <row r="42513" spans="20:20" s="566" customFormat="1">
      <c r="T42513" s="41"/>
    </row>
    <row r="42514" spans="20:20" s="566" customFormat="1">
      <c r="T42514" s="41"/>
    </row>
    <row r="42515" spans="20:20" s="566" customFormat="1">
      <c r="T42515" s="41"/>
    </row>
    <row r="42516" spans="20:20" s="566" customFormat="1">
      <c r="T42516" s="41"/>
    </row>
    <row r="42517" spans="20:20" s="566" customFormat="1">
      <c r="T42517" s="41"/>
    </row>
    <row r="42518" spans="20:20" s="566" customFormat="1">
      <c r="T42518" s="41"/>
    </row>
    <row r="42519" spans="20:20" s="566" customFormat="1">
      <c r="T42519" s="41"/>
    </row>
    <row r="42520" spans="20:20" s="566" customFormat="1">
      <c r="T42520" s="41"/>
    </row>
    <row r="42521" spans="20:20" s="566" customFormat="1">
      <c r="T42521" s="41"/>
    </row>
    <row r="42522" spans="20:20" s="566" customFormat="1">
      <c r="T42522" s="41"/>
    </row>
    <row r="42523" spans="20:20" s="566" customFormat="1">
      <c r="T42523" s="41"/>
    </row>
    <row r="42524" spans="20:20" s="566" customFormat="1">
      <c r="T42524" s="41"/>
    </row>
    <row r="42525" spans="20:20" s="566" customFormat="1">
      <c r="T42525" s="41"/>
    </row>
    <row r="42526" spans="20:20" s="566" customFormat="1">
      <c r="T42526" s="41"/>
    </row>
    <row r="42527" spans="20:20" s="566" customFormat="1">
      <c r="T42527" s="41"/>
    </row>
    <row r="42528" spans="20:20" s="566" customFormat="1">
      <c r="T42528" s="41"/>
    </row>
    <row r="42529" spans="20:20" s="566" customFormat="1">
      <c r="T42529" s="41"/>
    </row>
    <row r="42530" spans="20:20" s="566" customFormat="1">
      <c r="T42530" s="41"/>
    </row>
    <row r="42531" spans="20:20" s="566" customFormat="1">
      <c r="T42531" s="41"/>
    </row>
    <row r="42532" spans="20:20" s="566" customFormat="1">
      <c r="T42532" s="41"/>
    </row>
    <row r="42533" spans="20:20" s="566" customFormat="1">
      <c r="T42533" s="41"/>
    </row>
    <row r="42534" spans="20:20" s="566" customFormat="1">
      <c r="T42534" s="41"/>
    </row>
    <row r="42535" spans="20:20" s="566" customFormat="1">
      <c r="T42535" s="41"/>
    </row>
    <row r="42536" spans="20:20" s="566" customFormat="1">
      <c r="T42536" s="41"/>
    </row>
    <row r="42537" spans="20:20" s="566" customFormat="1">
      <c r="T42537" s="41"/>
    </row>
    <row r="42538" spans="20:20" s="566" customFormat="1">
      <c r="T42538" s="41"/>
    </row>
    <row r="42539" spans="20:20" s="566" customFormat="1">
      <c r="T42539" s="41"/>
    </row>
    <row r="42540" spans="20:20" s="566" customFormat="1">
      <c r="T42540" s="41"/>
    </row>
    <row r="42541" spans="20:20" s="566" customFormat="1">
      <c r="T42541" s="41"/>
    </row>
    <row r="42542" spans="20:20" s="566" customFormat="1">
      <c r="T42542" s="41"/>
    </row>
    <row r="42543" spans="20:20" s="566" customFormat="1">
      <c r="T42543" s="41"/>
    </row>
    <row r="42544" spans="20:20" s="566" customFormat="1">
      <c r="T42544" s="41"/>
    </row>
    <row r="42545" spans="20:20" s="566" customFormat="1">
      <c r="T42545" s="41"/>
    </row>
    <row r="42546" spans="20:20" s="566" customFormat="1">
      <c r="T42546" s="41"/>
    </row>
    <row r="42547" spans="20:20" s="566" customFormat="1">
      <c r="T42547" s="41"/>
    </row>
    <row r="42548" spans="20:20" s="566" customFormat="1">
      <c r="T42548" s="41"/>
    </row>
    <row r="42549" spans="20:20" s="566" customFormat="1">
      <c r="T42549" s="41"/>
    </row>
    <row r="42550" spans="20:20" s="566" customFormat="1">
      <c r="T42550" s="41"/>
    </row>
    <row r="42551" spans="20:20" s="566" customFormat="1">
      <c r="T42551" s="41"/>
    </row>
    <row r="42552" spans="20:20" s="566" customFormat="1">
      <c r="T42552" s="41"/>
    </row>
    <row r="42553" spans="20:20" s="566" customFormat="1">
      <c r="T42553" s="41"/>
    </row>
    <row r="42554" spans="20:20" s="566" customFormat="1">
      <c r="T42554" s="41"/>
    </row>
    <row r="42555" spans="20:20" s="566" customFormat="1">
      <c r="T42555" s="41"/>
    </row>
    <row r="42556" spans="20:20" s="566" customFormat="1">
      <c r="T42556" s="41"/>
    </row>
    <row r="42557" spans="20:20" s="566" customFormat="1">
      <c r="T42557" s="41"/>
    </row>
    <row r="42558" spans="20:20" s="566" customFormat="1">
      <c r="T42558" s="41"/>
    </row>
    <row r="42559" spans="20:20" s="566" customFormat="1">
      <c r="T42559" s="41"/>
    </row>
    <row r="42560" spans="20:20" s="566" customFormat="1">
      <c r="T42560" s="41"/>
    </row>
    <row r="42561" spans="20:20" s="566" customFormat="1">
      <c r="T42561" s="41"/>
    </row>
    <row r="42562" spans="20:20" s="566" customFormat="1">
      <c r="T42562" s="41"/>
    </row>
    <row r="42563" spans="20:20" s="566" customFormat="1">
      <c r="T42563" s="41"/>
    </row>
    <row r="42564" spans="20:20" s="566" customFormat="1">
      <c r="T42564" s="41"/>
    </row>
    <row r="42565" spans="20:20" s="566" customFormat="1">
      <c r="T42565" s="41"/>
    </row>
    <row r="42566" spans="20:20" s="566" customFormat="1">
      <c r="T42566" s="41"/>
    </row>
    <row r="42567" spans="20:20" s="566" customFormat="1">
      <c r="T42567" s="41"/>
    </row>
    <row r="42568" spans="20:20" s="566" customFormat="1">
      <c r="T42568" s="41"/>
    </row>
    <row r="42569" spans="20:20" s="566" customFormat="1">
      <c r="T42569" s="41"/>
    </row>
    <row r="42570" spans="20:20" s="566" customFormat="1">
      <c r="T42570" s="41"/>
    </row>
    <row r="42571" spans="20:20" s="566" customFormat="1">
      <c r="T42571" s="41"/>
    </row>
    <row r="42572" spans="20:20" s="566" customFormat="1">
      <c r="T42572" s="41"/>
    </row>
    <row r="42573" spans="20:20" s="566" customFormat="1">
      <c r="T42573" s="41"/>
    </row>
    <row r="42574" spans="20:20" s="566" customFormat="1">
      <c r="T42574" s="41"/>
    </row>
    <row r="42575" spans="20:20" s="566" customFormat="1">
      <c r="T42575" s="41"/>
    </row>
    <row r="42576" spans="20:20" s="566" customFormat="1">
      <c r="T42576" s="41"/>
    </row>
    <row r="42577" spans="20:20" s="566" customFormat="1">
      <c r="T42577" s="41"/>
    </row>
    <row r="42578" spans="20:20" s="566" customFormat="1">
      <c r="T42578" s="41"/>
    </row>
    <row r="42579" spans="20:20" s="566" customFormat="1">
      <c r="T42579" s="41"/>
    </row>
    <row r="42580" spans="20:20" s="566" customFormat="1">
      <c r="T42580" s="41"/>
    </row>
    <row r="42581" spans="20:20" s="566" customFormat="1">
      <c r="T42581" s="41"/>
    </row>
    <row r="42582" spans="20:20" s="566" customFormat="1">
      <c r="T42582" s="41"/>
    </row>
    <row r="42583" spans="20:20" s="566" customFormat="1">
      <c r="T42583" s="41"/>
    </row>
    <row r="42584" spans="20:20" s="566" customFormat="1">
      <c r="T42584" s="41"/>
    </row>
    <row r="42585" spans="20:20" s="566" customFormat="1">
      <c r="T42585" s="41"/>
    </row>
    <row r="42586" spans="20:20" s="566" customFormat="1">
      <c r="T42586" s="41"/>
    </row>
    <row r="42587" spans="20:20" s="566" customFormat="1">
      <c r="T42587" s="41"/>
    </row>
    <row r="42588" spans="20:20" s="566" customFormat="1">
      <c r="T42588" s="41"/>
    </row>
    <row r="42589" spans="20:20" s="566" customFormat="1">
      <c r="T42589" s="41"/>
    </row>
    <row r="42590" spans="20:20" s="566" customFormat="1">
      <c r="T42590" s="41"/>
    </row>
    <row r="42591" spans="20:20" s="566" customFormat="1">
      <c r="T42591" s="41"/>
    </row>
    <row r="42592" spans="20:20" s="566" customFormat="1">
      <c r="T42592" s="41"/>
    </row>
    <row r="42593" spans="20:20" s="566" customFormat="1">
      <c r="T42593" s="41"/>
    </row>
    <row r="42594" spans="20:20" s="566" customFormat="1">
      <c r="T42594" s="41"/>
    </row>
    <row r="42595" spans="20:20" s="566" customFormat="1">
      <c r="T42595" s="41"/>
    </row>
    <row r="42596" spans="20:20" s="566" customFormat="1">
      <c r="T42596" s="41"/>
    </row>
    <row r="42597" spans="20:20" s="566" customFormat="1">
      <c r="T42597" s="41"/>
    </row>
    <row r="42598" spans="20:20" s="566" customFormat="1">
      <c r="T42598" s="41"/>
    </row>
    <row r="42599" spans="20:20" s="566" customFormat="1">
      <c r="T42599" s="41"/>
    </row>
    <row r="42600" spans="20:20" s="566" customFormat="1">
      <c r="T42600" s="41"/>
    </row>
    <row r="42601" spans="20:20" s="566" customFormat="1">
      <c r="T42601" s="41"/>
    </row>
    <row r="42602" spans="20:20" s="566" customFormat="1">
      <c r="T42602" s="41"/>
    </row>
    <row r="42603" spans="20:20" s="566" customFormat="1">
      <c r="T42603" s="41"/>
    </row>
    <row r="42604" spans="20:20" s="566" customFormat="1">
      <c r="T42604" s="41"/>
    </row>
    <row r="42605" spans="20:20" s="566" customFormat="1">
      <c r="T42605" s="41"/>
    </row>
    <row r="42606" spans="20:20" s="566" customFormat="1">
      <c r="T42606" s="41"/>
    </row>
    <row r="42607" spans="20:20" s="566" customFormat="1">
      <c r="T42607" s="41"/>
    </row>
    <row r="42608" spans="20:20" s="566" customFormat="1">
      <c r="T42608" s="41"/>
    </row>
    <row r="42609" spans="20:20" s="566" customFormat="1">
      <c r="T42609" s="41"/>
    </row>
    <row r="42610" spans="20:20" s="566" customFormat="1">
      <c r="T42610" s="41"/>
    </row>
    <row r="42611" spans="20:20" s="566" customFormat="1">
      <c r="T42611" s="41"/>
    </row>
    <row r="42612" spans="20:20" s="566" customFormat="1">
      <c r="T42612" s="41"/>
    </row>
    <row r="42613" spans="20:20" s="566" customFormat="1">
      <c r="T42613" s="41"/>
    </row>
    <row r="42614" spans="20:20" s="566" customFormat="1">
      <c r="T42614" s="41"/>
    </row>
    <row r="42615" spans="20:20" s="566" customFormat="1">
      <c r="T42615" s="41"/>
    </row>
    <row r="42616" spans="20:20" s="566" customFormat="1">
      <c r="T42616" s="41"/>
    </row>
    <row r="42617" spans="20:20" s="566" customFormat="1">
      <c r="T42617" s="41"/>
    </row>
    <row r="42618" spans="20:20" s="566" customFormat="1">
      <c r="T42618" s="41"/>
    </row>
    <row r="42619" spans="20:20" s="566" customFormat="1">
      <c r="T42619" s="41"/>
    </row>
    <row r="42620" spans="20:20" s="566" customFormat="1">
      <c r="T42620" s="41"/>
    </row>
    <row r="42621" spans="20:20" s="566" customFormat="1">
      <c r="T42621" s="41"/>
    </row>
    <row r="42622" spans="20:20" s="566" customFormat="1">
      <c r="T42622" s="41"/>
    </row>
    <row r="42623" spans="20:20" s="566" customFormat="1">
      <c r="T42623" s="41"/>
    </row>
    <row r="42624" spans="20:20" s="566" customFormat="1">
      <c r="T42624" s="41"/>
    </row>
    <row r="42625" spans="20:20" s="566" customFormat="1">
      <c r="T42625" s="41"/>
    </row>
    <row r="42626" spans="20:20" s="566" customFormat="1">
      <c r="T42626" s="41"/>
    </row>
    <row r="42627" spans="20:20" s="566" customFormat="1">
      <c r="T42627" s="41"/>
    </row>
    <row r="42628" spans="20:20" s="566" customFormat="1">
      <c r="T42628" s="41"/>
    </row>
    <row r="42629" spans="20:20" s="566" customFormat="1">
      <c r="T42629" s="41"/>
    </row>
    <row r="42630" spans="20:20" s="566" customFormat="1">
      <c r="T42630" s="41"/>
    </row>
    <row r="42631" spans="20:20" s="566" customFormat="1">
      <c r="T42631" s="41"/>
    </row>
    <row r="42632" spans="20:20" s="566" customFormat="1">
      <c r="T42632" s="41"/>
    </row>
    <row r="42633" spans="20:20" s="566" customFormat="1">
      <c r="T42633" s="41"/>
    </row>
    <row r="42634" spans="20:20" s="566" customFormat="1">
      <c r="T42634" s="41"/>
    </row>
    <row r="42635" spans="20:20" s="566" customFormat="1">
      <c r="T42635" s="41"/>
    </row>
    <row r="42636" spans="20:20" s="566" customFormat="1">
      <c r="T42636" s="41"/>
    </row>
    <row r="42637" spans="20:20" s="566" customFormat="1">
      <c r="T42637" s="41"/>
    </row>
    <row r="42638" spans="20:20" s="566" customFormat="1">
      <c r="T42638" s="41"/>
    </row>
    <row r="42639" spans="20:20" s="566" customFormat="1">
      <c r="T42639" s="41"/>
    </row>
    <row r="42640" spans="20:20" s="566" customFormat="1">
      <c r="T42640" s="41"/>
    </row>
    <row r="42641" spans="20:20" s="566" customFormat="1">
      <c r="T42641" s="41"/>
    </row>
    <row r="42642" spans="20:20" s="566" customFormat="1">
      <c r="T42642" s="41"/>
    </row>
    <row r="42643" spans="20:20" s="566" customFormat="1">
      <c r="T42643" s="41"/>
    </row>
    <row r="42644" spans="20:20" s="566" customFormat="1">
      <c r="T42644" s="41"/>
    </row>
    <row r="42645" spans="20:20" s="566" customFormat="1">
      <c r="T42645" s="41"/>
    </row>
    <row r="42646" spans="20:20" s="566" customFormat="1">
      <c r="T42646" s="41"/>
    </row>
    <row r="42647" spans="20:20" s="566" customFormat="1">
      <c r="T42647" s="41"/>
    </row>
    <row r="42648" spans="20:20" s="566" customFormat="1">
      <c r="T42648" s="41"/>
    </row>
    <row r="42649" spans="20:20" s="566" customFormat="1">
      <c r="T42649" s="41"/>
    </row>
    <row r="42650" spans="20:20" s="566" customFormat="1">
      <c r="T42650" s="41"/>
    </row>
    <row r="42651" spans="20:20" s="566" customFormat="1">
      <c r="T42651" s="41"/>
    </row>
    <row r="42652" spans="20:20" s="566" customFormat="1">
      <c r="T42652" s="41"/>
    </row>
    <row r="42653" spans="20:20" s="566" customFormat="1">
      <c r="T42653" s="41"/>
    </row>
    <row r="42654" spans="20:20" s="566" customFormat="1">
      <c r="T42654" s="41"/>
    </row>
    <row r="42655" spans="20:20" s="566" customFormat="1">
      <c r="T42655" s="41"/>
    </row>
    <row r="42656" spans="20:20" s="566" customFormat="1">
      <c r="T42656" s="41"/>
    </row>
    <row r="42657" spans="20:20" s="566" customFormat="1">
      <c r="T42657" s="41"/>
    </row>
    <row r="42658" spans="20:20" s="566" customFormat="1">
      <c r="T42658" s="41"/>
    </row>
    <row r="42659" spans="20:20" s="566" customFormat="1">
      <c r="T42659" s="41"/>
    </row>
    <row r="42660" spans="20:20" s="566" customFormat="1">
      <c r="T42660" s="41"/>
    </row>
    <row r="42661" spans="20:20" s="566" customFormat="1">
      <c r="T42661" s="41"/>
    </row>
    <row r="42662" spans="20:20" s="566" customFormat="1">
      <c r="T42662" s="41"/>
    </row>
    <row r="42663" spans="20:20" s="566" customFormat="1">
      <c r="T42663" s="41"/>
    </row>
    <row r="42664" spans="20:20" s="566" customFormat="1">
      <c r="T42664" s="41"/>
    </row>
    <row r="42665" spans="20:20" s="566" customFormat="1">
      <c r="T42665" s="41"/>
    </row>
    <row r="42666" spans="20:20" s="566" customFormat="1">
      <c r="T42666" s="41"/>
    </row>
    <row r="42667" spans="20:20" s="566" customFormat="1">
      <c r="T42667" s="41"/>
    </row>
    <row r="42668" spans="20:20" s="566" customFormat="1">
      <c r="T42668" s="41"/>
    </row>
    <row r="42669" spans="20:20" s="566" customFormat="1">
      <c r="T42669" s="41"/>
    </row>
    <row r="42670" spans="20:20" s="566" customFormat="1">
      <c r="T42670" s="41"/>
    </row>
    <row r="42671" spans="20:20" s="566" customFormat="1">
      <c r="T42671" s="41"/>
    </row>
    <row r="42672" spans="20:20" s="566" customFormat="1">
      <c r="T42672" s="41"/>
    </row>
    <row r="42673" spans="20:20" s="566" customFormat="1">
      <c r="T42673" s="41"/>
    </row>
    <row r="42674" spans="20:20" s="566" customFormat="1">
      <c r="T42674" s="41"/>
    </row>
    <row r="42675" spans="20:20" s="566" customFormat="1">
      <c r="T42675" s="41"/>
    </row>
    <row r="42676" spans="20:20" s="566" customFormat="1">
      <c r="T42676" s="41"/>
    </row>
    <row r="42677" spans="20:20" s="566" customFormat="1">
      <c r="T42677" s="41"/>
    </row>
    <row r="42678" spans="20:20" s="566" customFormat="1">
      <c r="T42678" s="41"/>
    </row>
    <row r="42679" spans="20:20" s="566" customFormat="1">
      <c r="T42679" s="41"/>
    </row>
    <row r="42680" spans="20:20" s="566" customFormat="1">
      <c r="T42680" s="41"/>
    </row>
    <row r="42681" spans="20:20" s="566" customFormat="1">
      <c r="T42681" s="41"/>
    </row>
    <row r="42682" spans="20:20" s="566" customFormat="1">
      <c r="T42682" s="41"/>
    </row>
    <row r="42683" spans="20:20" s="566" customFormat="1">
      <c r="T42683" s="41"/>
    </row>
    <row r="42684" spans="20:20" s="566" customFormat="1">
      <c r="T42684" s="41"/>
    </row>
    <row r="42685" spans="20:20" s="566" customFormat="1">
      <c r="T42685" s="41"/>
    </row>
    <row r="42686" spans="20:20" s="566" customFormat="1">
      <c r="T42686" s="41"/>
    </row>
    <row r="42687" spans="20:20" s="566" customFormat="1">
      <c r="T42687" s="41"/>
    </row>
    <row r="42688" spans="20:20" s="566" customFormat="1">
      <c r="T42688" s="41"/>
    </row>
    <row r="42689" spans="20:20" s="566" customFormat="1">
      <c r="T42689" s="41"/>
    </row>
    <row r="42690" spans="20:20" s="566" customFormat="1">
      <c r="T42690" s="41"/>
    </row>
    <row r="42691" spans="20:20" s="566" customFormat="1">
      <c r="T42691" s="41"/>
    </row>
    <row r="42692" spans="20:20" s="566" customFormat="1">
      <c r="T42692" s="41"/>
    </row>
    <row r="42693" spans="20:20" s="566" customFormat="1">
      <c r="T42693" s="41"/>
    </row>
    <row r="42694" spans="20:20" s="566" customFormat="1">
      <c r="T42694" s="41"/>
    </row>
    <row r="42695" spans="20:20" s="566" customFormat="1">
      <c r="T42695" s="41"/>
    </row>
    <row r="42696" spans="20:20" s="566" customFormat="1">
      <c r="T42696" s="41"/>
    </row>
    <row r="42697" spans="20:20" s="566" customFormat="1">
      <c r="T42697" s="41"/>
    </row>
    <row r="42698" spans="20:20" s="566" customFormat="1">
      <c r="T42698" s="41"/>
    </row>
    <row r="42699" spans="20:20" s="566" customFormat="1">
      <c r="T42699" s="41"/>
    </row>
    <row r="42700" spans="20:20" s="566" customFormat="1">
      <c r="T42700" s="41"/>
    </row>
    <row r="42701" spans="20:20" s="566" customFormat="1">
      <c r="T42701" s="41"/>
    </row>
    <row r="42702" spans="20:20" s="566" customFormat="1">
      <c r="T42702" s="41"/>
    </row>
    <row r="42703" spans="20:20" s="566" customFormat="1">
      <c r="T42703" s="41"/>
    </row>
    <row r="42704" spans="20:20" s="566" customFormat="1">
      <c r="T42704" s="41"/>
    </row>
    <row r="42705" spans="20:20" s="566" customFormat="1">
      <c r="T42705" s="41"/>
    </row>
    <row r="42706" spans="20:20" s="566" customFormat="1">
      <c r="T42706" s="41"/>
    </row>
    <row r="42707" spans="20:20" s="566" customFormat="1">
      <c r="T42707" s="41"/>
    </row>
    <row r="42708" spans="20:20" s="566" customFormat="1">
      <c r="T42708" s="41"/>
    </row>
    <row r="42709" spans="20:20" s="566" customFormat="1">
      <c r="T42709" s="41"/>
    </row>
    <row r="42710" spans="20:20" s="566" customFormat="1">
      <c r="T42710" s="41"/>
    </row>
    <row r="42711" spans="20:20" s="566" customFormat="1">
      <c r="T42711" s="41"/>
    </row>
    <row r="42712" spans="20:20" s="566" customFormat="1">
      <c r="T42712" s="41"/>
    </row>
    <row r="42713" spans="20:20" s="566" customFormat="1">
      <c r="T42713" s="41"/>
    </row>
    <row r="42714" spans="20:20" s="566" customFormat="1">
      <c r="T42714" s="41"/>
    </row>
    <row r="42715" spans="20:20" s="566" customFormat="1">
      <c r="T42715" s="41"/>
    </row>
    <row r="42716" spans="20:20" s="566" customFormat="1">
      <c r="T42716" s="41"/>
    </row>
    <row r="42717" spans="20:20" s="566" customFormat="1">
      <c r="T42717" s="41"/>
    </row>
    <row r="42718" spans="20:20" s="566" customFormat="1">
      <c r="T42718" s="41"/>
    </row>
    <row r="42719" spans="20:20" s="566" customFormat="1">
      <c r="T42719" s="41"/>
    </row>
    <row r="42720" spans="20:20" s="566" customFormat="1">
      <c r="T42720" s="41"/>
    </row>
    <row r="42721" spans="20:20" s="566" customFormat="1">
      <c r="T42721" s="41"/>
    </row>
    <row r="42722" spans="20:20" s="566" customFormat="1">
      <c r="T42722" s="41"/>
    </row>
    <row r="42723" spans="20:20" s="566" customFormat="1">
      <c r="T42723" s="41"/>
    </row>
    <row r="42724" spans="20:20" s="566" customFormat="1">
      <c r="T42724" s="41"/>
    </row>
    <row r="42725" spans="20:20" s="566" customFormat="1">
      <c r="T42725" s="41"/>
    </row>
    <row r="42726" spans="20:20" s="566" customFormat="1">
      <c r="T42726" s="41"/>
    </row>
    <row r="42727" spans="20:20" s="566" customFormat="1">
      <c r="T42727" s="41"/>
    </row>
    <row r="42728" spans="20:20" s="566" customFormat="1">
      <c r="T42728" s="41"/>
    </row>
    <row r="42729" spans="20:20" s="566" customFormat="1">
      <c r="T42729" s="41"/>
    </row>
    <row r="42730" spans="20:20" s="566" customFormat="1">
      <c r="T42730" s="41"/>
    </row>
    <row r="42731" spans="20:20" s="566" customFormat="1">
      <c r="T42731" s="41"/>
    </row>
    <row r="42732" spans="20:20" s="566" customFormat="1">
      <c r="T42732" s="41"/>
    </row>
    <row r="42733" spans="20:20" s="566" customFormat="1">
      <c r="T42733" s="41"/>
    </row>
    <row r="42734" spans="20:20" s="566" customFormat="1">
      <c r="T42734" s="41"/>
    </row>
    <row r="42735" spans="20:20" s="566" customFormat="1">
      <c r="T42735" s="41"/>
    </row>
    <row r="42736" spans="20:20" s="566" customFormat="1">
      <c r="T42736" s="41"/>
    </row>
    <row r="42737" spans="20:20" s="566" customFormat="1">
      <c r="T42737" s="41"/>
    </row>
    <row r="42738" spans="20:20" s="566" customFormat="1">
      <c r="T42738" s="41"/>
    </row>
    <row r="42739" spans="20:20" s="566" customFormat="1">
      <c r="T42739" s="41"/>
    </row>
    <row r="42740" spans="20:20" s="566" customFormat="1">
      <c r="T42740" s="41"/>
    </row>
    <row r="42741" spans="20:20" s="566" customFormat="1">
      <c r="T42741" s="41"/>
    </row>
    <row r="42742" spans="20:20" s="566" customFormat="1">
      <c r="T42742" s="41"/>
    </row>
    <row r="42743" spans="20:20" s="566" customFormat="1">
      <c r="T42743" s="41"/>
    </row>
    <row r="42744" spans="20:20" s="566" customFormat="1">
      <c r="T42744" s="41"/>
    </row>
    <row r="42745" spans="20:20" s="566" customFormat="1">
      <c r="T42745" s="41"/>
    </row>
    <row r="42746" spans="20:20" s="566" customFormat="1">
      <c r="T42746" s="41"/>
    </row>
    <row r="42747" spans="20:20" s="566" customFormat="1">
      <c r="T42747" s="41"/>
    </row>
    <row r="42748" spans="20:20" s="566" customFormat="1">
      <c r="T42748" s="41"/>
    </row>
    <row r="42749" spans="20:20" s="566" customFormat="1">
      <c r="T42749" s="41"/>
    </row>
    <row r="42750" spans="20:20" s="566" customFormat="1">
      <c r="T42750" s="41"/>
    </row>
    <row r="42751" spans="20:20" s="566" customFormat="1">
      <c r="T42751" s="41"/>
    </row>
    <row r="42752" spans="20:20" s="566" customFormat="1">
      <c r="T42752" s="41"/>
    </row>
    <row r="42753" spans="20:20" s="566" customFormat="1">
      <c r="T42753" s="41"/>
    </row>
    <row r="42754" spans="20:20" s="566" customFormat="1">
      <c r="T42754" s="41"/>
    </row>
    <row r="42755" spans="20:20" s="566" customFormat="1">
      <c r="T42755" s="41"/>
    </row>
    <row r="42756" spans="20:20" s="566" customFormat="1">
      <c r="T42756" s="41"/>
    </row>
    <row r="42757" spans="20:20" s="566" customFormat="1">
      <c r="T42757" s="41"/>
    </row>
    <row r="42758" spans="20:20" s="566" customFormat="1">
      <c r="T42758" s="41"/>
    </row>
    <row r="42759" spans="20:20" s="566" customFormat="1">
      <c r="T42759" s="41"/>
    </row>
    <row r="42760" spans="20:20" s="566" customFormat="1">
      <c r="T42760" s="41"/>
    </row>
    <row r="42761" spans="20:20" s="566" customFormat="1">
      <c r="T42761" s="41"/>
    </row>
    <row r="42762" spans="20:20" s="566" customFormat="1">
      <c r="T42762" s="41"/>
    </row>
    <row r="42763" spans="20:20" s="566" customFormat="1">
      <c r="T42763" s="41"/>
    </row>
    <row r="42764" spans="20:20" s="566" customFormat="1">
      <c r="T42764" s="41"/>
    </row>
    <row r="42765" spans="20:20" s="566" customFormat="1">
      <c r="T42765" s="41"/>
    </row>
    <row r="42766" spans="20:20" s="566" customFormat="1">
      <c r="T42766" s="41"/>
    </row>
    <row r="42767" spans="20:20" s="566" customFormat="1">
      <c r="T42767" s="41"/>
    </row>
    <row r="42768" spans="20:20" s="566" customFormat="1">
      <c r="T42768" s="41"/>
    </row>
    <row r="42769" spans="20:20" s="566" customFormat="1">
      <c r="T42769" s="41"/>
    </row>
    <row r="42770" spans="20:20" s="566" customFormat="1">
      <c r="T42770" s="41"/>
    </row>
    <row r="42771" spans="20:20" s="566" customFormat="1">
      <c r="T42771" s="41"/>
    </row>
    <row r="42772" spans="20:20" s="566" customFormat="1">
      <c r="T42772" s="41"/>
    </row>
    <row r="42773" spans="20:20" s="566" customFormat="1">
      <c r="T42773" s="41"/>
    </row>
    <row r="42774" spans="20:20" s="566" customFormat="1">
      <c r="T42774" s="41"/>
    </row>
    <row r="42775" spans="20:20" s="566" customFormat="1">
      <c r="T42775" s="41"/>
    </row>
    <row r="42776" spans="20:20" s="566" customFormat="1">
      <c r="T42776" s="41"/>
    </row>
    <row r="42777" spans="20:20" s="566" customFormat="1">
      <c r="T42777" s="41"/>
    </row>
    <row r="42778" spans="20:20" s="566" customFormat="1">
      <c r="T42778" s="41"/>
    </row>
    <row r="42779" spans="20:20" s="566" customFormat="1">
      <c r="T42779" s="41"/>
    </row>
    <row r="42780" spans="20:20" s="566" customFormat="1">
      <c r="T42780" s="41"/>
    </row>
    <row r="42781" spans="20:20" s="566" customFormat="1">
      <c r="T42781" s="41"/>
    </row>
    <row r="42782" spans="20:20" s="566" customFormat="1">
      <c r="T42782" s="41"/>
    </row>
    <row r="42783" spans="20:20" s="566" customFormat="1">
      <c r="T42783" s="41"/>
    </row>
    <row r="42784" spans="20:20" s="566" customFormat="1">
      <c r="T42784" s="41"/>
    </row>
    <row r="42785" spans="20:20" s="566" customFormat="1">
      <c r="T42785" s="41"/>
    </row>
    <row r="42786" spans="20:20" s="566" customFormat="1">
      <c r="T42786" s="41"/>
    </row>
    <row r="42787" spans="20:20" s="566" customFormat="1">
      <c r="T42787" s="41"/>
    </row>
    <row r="42788" spans="20:20" s="566" customFormat="1">
      <c r="T42788" s="41"/>
    </row>
    <row r="42789" spans="20:20" s="566" customFormat="1">
      <c r="T42789" s="41"/>
    </row>
    <row r="42790" spans="20:20" s="566" customFormat="1">
      <c r="T42790" s="41"/>
    </row>
    <row r="42791" spans="20:20" s="566" customFormat="1">
      <c r="T42791" s="41"/>
    </row>
    <row r="42792" spans="20:20" s="566" customFormat="1">
      <c r="T42792" s="41"/>
    </row>
    <row r="42793" spans="20:20" s="566" customFormat="1">
      <c r="T42793" s="41"/>
    </row>
    <row r="42794" spans="20:20" s="566" customFormat="1">
      <c r="T42794" s="41"/>
    </row>
    <row r="42795" spans="20:20" s="566" customFormat="1">
      <c r="T42795" s="41"/>
    </row>
    <row r="42796" spans="20:20" s="566" customFormat="1">
      <c r="T42796" s="41"/>
    </row>
    <row r="42797" spans="20:20" s="566" customFormat="1">
      <c r="T42797" s="41"/>
    </row>
    <row r="42798" spans="20:20" s="566" customFormat="1">
      <c r="T42798" s="41"/>
    </row>
    <row r="42799" spans="20:20" s="566" customFormat="1">
      <c r="T42799" s="41"/>
    </row>
    <row r="42800" spans="20:20" s="566" customFormat="1">
      <c r="T42800" s="41"/>
    </row>
    <row r="42801" spans="20:20" s="566" customFormat="1">
      <c r="T42801" s="41"/>
    </row>
    <row r="42802" spans="20:20" s="566" customFormat="1">
      <c r="T42802" s="41"/>
    </row>
    <row r="42803" spans="20:20" s="566" customFormat="1">
      <c r="T42803" s="41"/>
    </row>
    <row r="42804" spans="20:20" s="566" customFormat="1">
      <c r="T42804" s="41"/>
    </row>
    <row r="42805" spans="20:20" s="566" customFormat="1">
      <c r="T42805" s="41"/>
    </row>
    <row r="42806" spans="20:20" s="566" customFormat="1">
      <c r="T42806" s="41"/>
    </row>
    <row r="42807" spans="20:20" s="566" customFormat="1">
      <c r="T42807" s="41"/>
    </row>
    <row r="42808" spans="20:20" s="566" customFormat="1">
      <c r="T42808" s="41"/>
    </row>
    <row r="42809" spans="20:20" s="566" customFormat="1">
      <c r="T42809" s="41"/>
    </row>
    <row r="42810" spans="20:20" s="566" customFormat="1">
      <c r="T42810" s="41"/>
    </row>
    <row r="42811" spans="20:20" s="566" customFormat="1">
      <c r="T42811" s="41"/>
    </row>
    <row r="42812" spans="20:20" s="566" customFormat="1">
      <c r="T42812" s="41"/>
    </row>
    <row r="42813" spans="20:20" s="566" customFormat="1">
      <c r="T42813" s="41"/>
    </row>
    <row r="42814" spans="20:20" s="566" customFormat="1">
      <c r="T42814" s="41"/>
    </row>
    <row r="42815" spans="20:20" s="566" customFormat="1">
      <c r="T42815" s="41"/>
    </row>
    <row r="42816" spans="20:20" s="566" customFormat="1">
      <c r="T42816" s="41"/>
    </row>
    <row r="42817" spans="20:20" s="566" customFormat="1">
      <c r="T42817" s="41"/>
    </row>
    <row r="42818" spans="20:20" s="566" customFormat="1">
      <c r="T42818" s="41"/>
    </row>
    <row r="42819" spans="20:20" s="566" customFormat="1">
      <c r="T42819" s="41"/>
    </row>
    <row r="42820" spans="20:20" s="566" customFormat="1">
      <c r="T42820" s="41"/>
    </row>
    <row r="42821" spans="20:20" s="566" customFormat="1">
      <c r="T42821" s="41"/>
    </row>
    <row r="42822" spans="20:20" s="566" customFormat="1">
      <c r="T42822" s="41"/>
    </row>
    <row r="42823" spans="20:20" s="566" customFormat="1">
      <c r="T42823" s="41"/>
    </row>
    <row r="42824" spans="20:20" s="566" customFormat="1">
      <c r="T42824" s="41"/>
    </row>
    <row r="42825" spans="20:20" s="566" customFormat="1">
      <c r="T42825" s="41"/>
    </row>
    <row r="42826" spans="20:20" s="566" customFormat="1">
      <c r="T42826" s="41"/>
    </row>
    <row r="42827" spans="20:20" s="566" customFormat="1">
      <c r="T42827" s="41"/>
    </row>
    <row r="42828" spans="20:20" s="566" customFormat="1">
      <c r="T42828" s="41"/>
    </row>
    <row r="42829" spans="20:20" s="566" customFormat="1">
      <c r="T42829" s="41"/>
    </row>
    <row r="42830" spans="20:20" s="566" customFormat="1">
      <c r="T42830" s="41"/>
    </row>
    <row r="42831" spans="20:20" s="566" customFormat="1">
      <c r="T42831" s="41"/>
    </row>
    <row r="42832" spans="20:20" s="566" customFormat="1">
      <c r="T42832" s="41"/>
    </row>
    <row r="42833" spans="20:20" s="566" customFormat="1">
      <c r="T42833" s="41"/>
    </row>
    <row r="42834" spans="20:20" s="566" customFormat="1">
      <c r="T42834" s="41"/>
    </row>
    <row r="42835" spans="20:20" s="566" customFormat="1">
      <c r="T42835" s="41"/>
    </row>
    <row r="42836" spans="20:20" s="566" customFormat="1">
      <c r="T42836" s="41"/>
    </row>
    <row r="42837" spans="20:20" s="566" customFormat="1">
      <c r="T42837" s="41"/>
    </row>
    <row r="42838" spans="20:20" s="566" customFormat="1">
      <c r="T42838" s="41"/>
    </row>
    <row r="42839" spans="20:20" s="566" customFormat="1">
      <c r="T42839" s="41"/>
    </row>
    <row r="42840" spans="20:20" s="566" customFormat="1">
      <c r="T42840" s="41"/>
    </row>
    <row r="42841" spans="20:20" s="566" customFormat="1">
      <c r="T42841" s="41"/>
    </row>
    <row r="42842" spans="20:20" s="566" customFormat="1">
      <c r="T42842" s="41"/>
    </row>
    <row r="42843" spans="20:20" s="566" customFormat="1">
      <c r="T42843" s="41"/>
    </row>
    <row r="42844" spans="20:20" s="566" customFormat="1">
      <c r="T42844" s="41"/>
    </row>
    <row r="42845" spans="20:20" s="566" customFormat="1">
      <c r="T42845" s="41"/>
    </row>
    <row r="42846" spans="20:20" s="566" customFormat="1">
      <c r="T42846" s="41"/>
    </row>
    <row r="42847" spans="20:20" s="566" customFormat="1">
      <c r="T42847" s="41"/>
    </row>
    <row r="42848" spans="20:20" s="566" customFormat="1">
      <c r="T42848" s="41"/>
    </row>
    <row r="42849" spans="20:20" s="566" customFormat="1">
      <c r="T42849" s="41"/>
    </row>
    <row r="42850" spans="20:20" s="566" customFormat="1">
      <c r="T42850" s="41"/>
    </row>
    <row r="42851" spans="20:20" s="566" customFormat="1">
      <c r="T42851" s="41"/>
    </row>
    <row r="42852" spans="20:20" s="566" customFormat="1">
      <c r="T42852" s="41"/>
    </row>
    <row r="42853" spans="20:20" s="566" customFormat="1">
      <c r="T42853" s="41"/>
    </row>
    <row r="42854" spans="20:20" s="566" customFormat="1">
      <c r="T42854" s="41"/>
    </row>
    <row r="42855" spans="20:20" s="566" customFormat="1">
      <c r="T42855" s="41"/>
    </row>
    <row r="42856" spans="20:20" s="566" customFormat="1">
      <c r="T42856" s="41"/>
    </row>
    <row r="42857" spans="20:20" s="566" customFormat="1">
      <c r="T42857" s="41"/>
    </row>
    <row r="42858" spans="20:20" s="566" customFormat="1">
      <c r="T42858" s="41"/>
    </row>
    <row r="42859" spans="20:20" s="566" customFormat="1">
      <c r="T42859" s="41"/>
    </row>
    <row r="42860" spans="20:20" s="566" customFormat="1">
      <c r="T42860" s="41"/>
    </row>
    <row r="42861" spans="20:20" s="566" customFormat="1">
      <c r="T42861" s="41"/>
    </row>
    <row r="42862" spans="20:20" s="566" customFormat="1">
      <c r="T42862" s="41"/>
    </row>
    <row r="42863" spans="20:20" s="566" customFormat="1">
      <c r="T42863" s="41"/>
    </row>
    <row r="42864" spans="20:20" s="566" customFormat="1">
      <c r="T42864" s="41"/>
    </row>
    <row r="42865" spans="20:20" s="566" customFormat="1">
      <c r="T42865" s="41"/>
    </row>
    <row r="42866" spans="20:20" s="566" customFormat="1">
      <c r="T42866" s="41"/>
    </row>
    <row r="42867" spans="20:20" s="566" customFormat="1">
      <c r="T42867" s="41"/>
    </row>
    <row r="42868" spans="20:20" s="566" customFormat="1">
      <c r="T42868" s="41"/>
    </row>
    <row r="42869" spans="20:20" s="566" customFormat="1">
      <c r="T42869" s="41"/>
    </row>
    <row r="42870" spans="20:20" s="566" customFormat="1">
      <c r="T42870" s="41"/>
    </row>
    <row r="42871" spans="20:20" s="566" customFormat="1">
      <c r="T42871" s="41"/>
    </row>
    <row r="42872" spans="20:20" s="566" customFormat="1">
      <c r="T42872" s="41"/>
    </row>
    <row r="42873" spans="20:20" s="566" customFormat="1">
      <c r="T42873" s="41"/>
    </row>
    <row r="42874" spans="20:20" s="566" customFormat="1">
      <c r="T42874" s="41"/>
    </row>
    <row r="42875" spans="20:20" s="566" customFormat="1">
      <c r="T42875" s="41"/>
    </row>
    <row r="42876" spans="20:20" s="566" customFormat="1">
      <c r="T42876" s="41"/>
    </row>
    <row r="42877" spans="20:20" s="566" customFormat="1">
      <c r="T42877" s="41"/>
    </row>
    <row r="42878" spans="20:20" s="566" customFormat="1">
      <c r="T42878" s="41"/>
    </row>
    <row r="42879" spans="20:20" s="566" customFormat="1">
      <c r="T42879" s="41"/>
    </row>
    <row r="42880" spans="20:20" s="566" customFormat="1">
      <c r="T42880" s="41"/>
    </row>
    <row r="42881" spans="20:20" s="566" customFormat="1">
      <c r="T42881" s="41"/>
    </row>
    <row r="42882" spans="20:20" s="566" customFormat="1">
      <c r="T42882" s="41"/>
    </row>
    <row r="42883" spans="20:20" s="566" customFormat="1">
      <c r="T42883" s="41"/>
    </row>
    <row r="42884" spans="20:20" s="566" customFormat="1">
      <c r="T42884" s="41"/>
    </row>
    <row r="42885" spans="20:20" s="566" customFormat="1">
      <c r="T42885" s="41"/>
    </row>
    <row r="42886" spans="20:20" s="566" customFormat="1">
      <c r="T42886" s="41"/>
    </row>
    <row r="42887" spans="20:20" s="566" customFormat="1">
      <c r="T42887" s="41"/>
    </row>
    <row r="42888" spans="20:20" s="566" customFormat="1">
      <c r="T42888" s="41"/>
    </row>
    <row r="42889" spans="20:20" s="566" customFormat="1">
      <c r="T42889" s="41"/>
    </row>
    <row r="42890" spans="20:20" s="566" customFormat="1">
      <c r="T42890" s="41"/>
    </row>
    <row r="42891" spans="20:20" s="566" customFormat="1">
      <c r="T42891" s="41"/>
    </row>
    <row r="42892" spans="20:20" s="566" customFormat="1">
      <c r="T42892" s="41"/>
    </row>
    <row r="42893" spans="20:20" s="566" customFormat="1">
      <c r="T42893" s="41"/>
    </row>
    <row r="42894" spans="20:20" s="566" customFormat="1">
      <c r="T42894" s="41"/>
    </row>
    <row r="42895" spans="20:20" s="566" customFormat="1">
      <c r="T42895" s="41"/>
    </row>
    <row r="42896" spans="20:20" s="566" customFormat="1">
      <c r="T42896" s="41"/>
    </row>
    <row r="42897" spans="20:20" s="566" customFormat="1">
      <c r="T42897" s="41"/>
    </row>
    <row r="42898" spans="20:20" s="566" customFormat="1">
      <c r="T42898" s="41"/>
    </row>
    <row r="42899" spans="20:20" s="566" customFormat="1">
      <c r="T42899" s="41"/>
    </row>
    <row r="42900" spans="20:20" s="566" customFormat="1">
      <c r="T42900" s="41"/>
    </row>
    <row r="42901" spans="20:20" s="566" customFormat="1">
      <c r="T42901" s="41"/>
    </row>
    <row r="42902" spans="20:20" s="566" customFormat="1">
      <c r="T42902" s="41"/>
    </row>
    <row r="42903" spans="20:20" s="566" customFormat="1">
      <c r="T42903" s="41"/>
    </row>
    <row r="42904" spans="20:20" s="566" customFormat="1">
      <c r="T42904" s="41"/>
    </row>
    <row r="42905" spans="20:20" s="566" customFormat="1">
      <c r="T42905" s="41"/>
    </row>
    <row r="42906" spans="20:20" s="566" customFormat="1">
      <c r="T42906" s="41"/>
    </row>
    <row r="42907" spans="20:20" s="566" customFormat="1">
      <c r="T42907" s="41"/>
    </row>
    <row r="42908" spans="20:20" s="566" customFormat="1">
      <c r="T42908" s="41"/>
    </row>
    <row r="42909" spans="20:20" s="566" customFormat="1">
      <c r="T42909" s="41"/>
    </row>
    <row r="42910" spans="20:20" s="566" customFormat="1">
      <c r="T42910" s="41"/>
    </row>
    <row r="42911" spans="20:20" s="566" customFormat="1">
      <c r="T42911" s="41"/>
    </row>
    <row r="42912" spans="20:20" s="566" customFormat="1">
      <c r="T42912" s="41"/>
    </row>
    <row r="42913" spans="20:20" s="566" customFormat="1">
      <c r="T42913" s="41"/>
    </row>
    <row r="42914" spans="20:20" s="566" customFormat="1">
      <c r="T42914" s="41"/>
    </row>
    <row r="42915" spans="20:20" s="566" customFormat="1">
      <c r="T42915" s="41"/>
    </row>
    <row r="42916" spans="20:20" s="566" customFormat="1">
      <c r="T42916" s="41"/>
    </row>
    <row r="42917" spans="20:20" s="566" customFormat="1">
      <c r="T42917" s="41"/>
    </row>
    <row r="42918" spans="20:20" s="566" customFormat="1">
      <c r="T42918" s="41"/>
    </row>
    <row r="42919" spans="20:20" s="566" customFormat="1">
      <c r="T42919" s="41"/>
    </row>
    <row r="42920" spans="20:20" s="566" customFormat="1">
      <c r="T42920" s="41"/>
    </row>
    <row r="42921" spans="20:20" s="566" customFormat="1">
      <c r="T42921" s="41"/>
    </row>
    <row r="42922" spans="20:20" s="566" customFormat="1">
      <c r="T42922" s="41"/>
    </row>
    <row r="42923" spans="20:20" s="566" customFormat="1">
      <c r="T42923" s="41"/>
    </row>
    <row r="42924" spans="20:20" s="566" customFormat="1">
      <c r="T42924" s="41"/>
    </row>
    <row r="42925" spans="20:20" s="566" customFormat="1">
      <c r="T42925" s="41"/>
    </row>
    <row r="42926" spans="20:20" s="566" customFormat="1">
      <c r="T42926" s="41"/>
    </row>
    <row r="42927" spans="20:20" s="566" customFormat="1">
      <c r="T42927" s="41"/>
    </row>
    <row r="42928" spans="20:20" s="566" customFormat="1">
      <c r="T42928" s="41"/>
    </row>
    <row r="42929" spans="20:20" s="566" customFormat="1">
      <c r="T42929" s="41"/>
    </row>
    <row r="42930" spans="20:20" s="566" customFormat="1">
      <c r="T42930" s="41"/>
    </row>
    <row r="42931" spans="20:20" s="566" customFormat="1">
      <c r="T42931" s="41"/>
    </row>
    <row r="42932" spans="20:20" s="566" customFormat="1">
      <c r="T42932" s="41"/>
    </row>
    <row r="42933" spans="20:20" s="566" customFormat="1">
      <c r="T42933" s="41"/>
    </row>
    <row r="42934" spans="20:20" s="566" customFormat="1">
      <c r="T42934" s="41"/>
    </row>
    <row r="42935" spans="20:20" s="566" customFormat="1">
      <c r="T42935" s="41"/>
    </row>
    <row r="42936" spans="20:20" s="566" customFormat="1">
      <c r="T42936" s="41"/>
    </row>
    <row r="42937" spans="20:20" s="566" customFormat="1">
      <c r="T42937" s="41"/>
    </row>
    <row r="42938" spans="20:20" s="566" customFormat="1">
      <c r="T42938" s="41"/>
    </row>
    <row r="42939" spans="20:20" s="566" customFormat="1">
      <c r="T42939" s="41"/>
    </row>
    <row r="42940" spans="20:20" s="566" customFormat="1">
      <c r="T42940" s="41"/>
    </row>
    <row r="42941" spans="20:20" s="566" customFormat="1">
      <c r="T42941" s="41"/>
    </row>
    <row r="42942" spans="20:20" s="566" customFormat="1">
      <c r="T42942" s="41"/>
    </row>
    <row r="42943" spans="20:20" s="566" customFormat="1">
      <c r="T42943" s="41"/>
    </row>
    <row r="42944" spans="20:20" s="566" customFormat="1">
      <c r="T42944" s="41"/>
    </row>
    <row r="42945" spans="20:20" s="566" customFormat="1">
      <c r="T42945" s="41"/>
    </row>
    <row r="42946" spans="20:20" s="566" customFormat="1">
      <c r="T42946" s="41"/>
    </row>
    <row r="42947" spans="20:20" s="566" customFormat="1">
      <c r="T42947" s="41"/>
    </row>
    <row r="42948" spans="20:20" s="566" customFormat="1">
      <c r="T42948" s="41"/>
    </row>
    <row r="42949" spans="20:20" s="566" customFormat="1">
      <c r="T42949" s="41"/>
    </row>
    <row r="42950" spans="20:20" s="566" customFormat="1">
      <c r="T42950" s="41"/>
    </row>
    <row r="42951" spans="20:20" s="566" customFormat="1">
      <c r="T42951" s="41"/>
    </row>
    <row r="42952" spans="20:20" s="566" customFormat="1">
      <c r="T42952" s="41"/>
    </row>
    <row r="42953" spans="20:20" s="566" customFormat="1">
      <c r="T42953" s="41"/>
    </row>
    <row r="42954" spans="20:20" s="566" customFormat="1">
      <c r="T42954" s="41"/>
    </row>
    <row r="42955" spans="20:20" s="566" customFormat="1">
      <c r="T42955" s="41"/>
    </row>
    <row r="42956" spans="20:20" s="566" customFormat="1">
      <c r="T42956" s="41"/>
    </row>
    <row r="42957" spans="20:20" s="566" customFormat="1">
      <c r="T42957" s="41"/>
    </row>
    <row r="42958" spans="20:20" s="566" customFormat="1">
      <c r="T42958" s="41"/>
    </row>
    <row r="42959" spans="20:20" s="566" customFormat="1">
      <c r="T42959" s="41"/>
    </row>
    <row r="42960" spans="20:20" s="566" customFormat="1">
      <c r="T42960" s="41"/>
    </row>
    <row r="42961" spans="20:20" s="566" customFormat="1">
      <c r="T42961" s="41"/>
    </row>
    <row r="42962" spans="20:20" s="566" customFormat="1">
      <c r="T42962" s="41"/>
    </row>
    <row r="42963" spans="20:20" s="566" customFormat="1">
      <c r="T42963" s="41"/>
    </row>
    <row r="42964" spans="20:20" s="566" customFormat="1">
      <c r="T42964" s="41"/>
    </row>
    <row r="42965" spans="20:20" s="566" customFormat="1">
      <c r="T42965" s="41"/>
    </row>
    <row r="42966" spans="20:20" s="566" customFormat="1">
      <c r="T42966" s="41"/>
    </row>
    <row r="42967" spans="20:20" s="566" customFormat="1">
      <c r="T42967" s="41"/>
    </row>
    <row r="42968" spans="20:20" s="566" customFormat="1">
      <c r="T42968" s="41"/>
    </row>
    <row r="42969" spans="20:20" s="566" customFormat="1">
      <c r="T42969" s="41"/>
    </row>
    <row r="42970" spans="20:20" s="566" customFormat="1">
      <c r="T42970" s="41"/>
    </row>
    <row r="42971" spans="20:20" s="566" customFormat="1">
      <c r="T42971" s="41"/>
    </row>
    <row r="42972" spans="20:20" s="566" customFormat="1">
      <c r="T42972" s="41"/>
    </row>
    <row r="42973" spans="20:20" s="566" customFormat="1">
      <c r="T42973" s="41"/>
    </row>
    <row r="42974" spans="20:20" s="566" customFormat="1">
      <c r="T42974" s="41"/>
    </row>
    <row r="42975" spans="20:20" s="566" customFormat="1">
      <c r="T42975" s="41"/>
    </row>
    <row r="42976" spans="20:20" s="566" customFormat="1">
      <c r="T42976" s="41"/>
    </row>
    <row r="42977" spans="20:20" s="566" customFormat="1">
      <c r="T42977" s="41"/>
    </row>
    <row r="42978" spans="20:20" s="566" customFormat="1">
      <c r="T42978" s="41"/>
    </row>
    <row r="42979" spans="20:20" s="566" customFormat="1">
      <c r="T42979" s="41"/>
    </row>
    <row r="42980" spans="20:20" s="566" customFormat="1">
      <c r="T42980" s="41"/>
    </row>
    <row r="42981" spans="20:20" s="566" customFormat="1">
      <c r="T42981" s="41"/>
    </row>
    <row r="42982" spans="20:20" s="566" customFormat="1">
      <c r="T42982" s="41"/>
    </row>
    <row r="42983" spans="20:20" s="566" customFormat="1">
      <c r="T42983" s="41"/>
    </row>
    <row r="42984" spans="20:20" s="566" customFormat="1">
      <c r="T42984" s="41"/>
    </row>
    <row r="42985" spans="20:20" s="566" customFormat="1">
      <c r="T42985" s="41"/>
    </row>
    <row r="42986" spans="20:20" s="566" customFormat="1">
      <c r="T42986" s="41"/>
    </row>
    <row r="42987" spans="20:20" s="566" customFormat="1">
      <c r="T42987" s="41"/>
    </row>
    <row r="42988" spans="20:20" s="566" customFormat="1">
      <c r="T42988" s="41"/>
    </row>
    <row r="42989" spans="20:20" s="566" customFormat="1">
      <c r="T42989" s="41"/>
    </row>
    <row r="42990" spans="20:20" s="566" customFormat="1">
      <c r="T42990" s="41"/>
    </row>
    <row r="42991" spans="20:20" s="566" customFormat="1">
      <c r="T42991" s="41"/>
    </row>
    <row r="42992" spans="20:20" s="566" customFormat="1">
      <c r="T42992" s="41"/>
    </row>
    <row r="42993" spans="20:20" s="566" customFormat="1">
      <c r="T42993" s="41"/>
    </row>
    <row r="42994" spans="20:20" s="566" customFormat="1">
      <c r="T42994" s="41"/>
    </row>
    <row r="42995" spans="20:20" s="566" customFormat="1">
      <c r="T42995" s="41"/>
    </row>
    <row r="42996" spans="20:20" s="566" customFormat="1">
      <c r="T42996" s="41"/>
    </row>
    <row r="42997" spans="20:20" s="566" customFormat="1">
      <c r="T42997" s="41"/>
    </row>
    <row r="42998" spans="20:20" s="566" customFormat="1">
      <c r="T42998" s="41"/>
    </row>
    <row r="42999" spans="20:20" s="566" customFormat="1">
      <c r="T42999" s="41"/>
    </row>
    <row r="43000" spans="20:20" s="566" customFormat="1">
      <c r="T43000" s="41"/>
    </row>
    <row r="43001" spans="20:20" s="566" customFormat="1">
      <c r="T43001" s="41"/>
    </row>
    <row r="43002" spans="20:20" s="566" customFormat="1">
      <c r="T43002" s="41"/>
    </row>
    <row r="43003" spans="20:20" s="566" customFormat="1">
      <c r="T43003" s="41"/>
    </row>
    <row r="43004" spans="20:20" s="566" customFormat="1">
      <c r="T43004" s="41"/>
    </row>
    <row r="43005" spans="20:20" s="566" customFormat="1">
      <c r="T43005" s="41"/>
    </row>
    <row r="43006" spans="20:20" s="566" customFormat="1">
      <c r="T43006" s="41"/>
    </row>
    <row r="43007" spans="20:20" s="566" customFormat="1">
      <c r="T43007" s="41"/>
    </row>
    <row r="43008" spans="20:20" s="566" customFormat="1">
      <c r="T43008" s="41"/>
    </row>
    <row r="43009" spans="20:20" s="566" customFormat="1">
      <c r="T43009" s="41"/>
    </row>
    <row r="43010" spans="20:20" s="566" customFormat="1">
      <c r="T43010" s="41"/>
    </row>
    <row r="43011" spans="20:20" s="566" customFormat="1">
      <c r="T43011" s="41"/>
    </row>
    <row r="43012" spans="20:20" s="566" customFormat="1">
      <c r="T43012" s="41"/>
    </row>
    <row r="43013" spans="20:20" s="566" customFormat="1">
      <c r="T43013" s="41"/>
    </row>
    <row r="43014" spans="20:20" s="566" customFormat="1">
      <c r="T43014" s="41"/>
    </row>
    <row r="43015" spans="20:20" s="566" customFormat="1">
      <c r="T43015" s="41"/>
    </row>
    <row r="43016" spans="20:20" s="566" customFormat="1">
      <c r="T43016" s="41"/>
    </row>
    <row r="43017" spans="20:20" s="566" customFormat="1">
      <c r="T43017" s="41"/>
    </row>
    <row r="43018" spans="20:20" s="566" customFormat="1">
      <c r="T43018" s="41"/>
    </row>
    <row r="43019" spans="20:20" s="566" customFormat="1">
      <c r="T43019" s="41"/>
    </row>
    <row r="43020" spans="20:20" s="566" customFormat="1">
      <c r="T43020" s="41"/>
    </row>
    <row r="43021" spans="20:20" s="566" customFormat="1">
      <c r="T43021" s="41"/>
    </row>
    <row r="43022" spans="20:20" s="566" customFormat="1">
      <c r="T43022" s="41"/>
    </row>
    <row r="43023" spans="20:20" s="566" customFormat="1">
      <c r="T43023" s="41"/>
    </row>
    <row r="43024" spans="20:20" s="566" customFormat="1">
      <c r="T43024" s="41"/>
    </row>
    <row r="43025" spans="20:20" s="566" customFormat="1">
      <c r="T43025" s="41"/>
    </row>
    <row r="43026" spans="20:20" s="566" customFormat="1">
      <c r="T43026" s="41"/>
    </row>
    <row r="43027" spans="20:20" s="566" customFormat="1">
      <c r="T43027" s="41"/>
    </row>
    <row r="43028" spans="20:20" s="566" customFormat="1">
      <c r="T43028" s="41"/>
    </row>
    <row r="43029" spans="20:20" s="566" customFormat="1">
      <c r="T43029" s="41"/>
    </row>
    <row r="43030" spans="20:20" s="566" customFormat="1">
      <c r="T43030" s="41"/>
    </row>
    <row r="43031" spans="20:20" s="566" customFormat="1">
      <c r="T43031" s="41"/>
    </row>
    <row r="43032" spans="20:20" s="566" customFormat="1">
      <c r="T43032" s="41"/>
    </row>
    <row r="43033" spans="20:20" s="566" customFormat="1">
      <c r="T43033" s="41"/>
    </row>
    <row r="43034" spans="20:20" s="566" customFormat="1">
      <c r="T43034" s="41"/>
    </row>
    <row r="43035" spans="20:20" s="566" customFormat="1">
      <c r="T43035" s="41"/>
    </row>
    <row r="43036" spans="20:20" s="566" customFormat="1">
      <c r="T43036" s="41"/>
    </row>
    <row r="43037" spans="20:20" s="566" customFormat="1">
      <c r="T43037" s="41"/>
    </row>
    <row r="43038" spans="20:20" s="566" customFormat="1">
      <c r="T43038" s="41"/>
    </row>
    <row r="43039" spans="20:20" s="566" customFormat="1">
      <c r="T43039" s="41"/>
    </row>
    <row r="43040" spans="20:20" s="566" customFormat="1">
      <c r="T43040" s="41"/>
    </row>
    <row r="43041" spans="20:20" s="566" customFormat="1">
      <c r="T43041" s="41"/>
    </row>
    <row r="43042" spans="20:20" s="566" customFormat="1">
      <c r="T43042" s="41"/>
    </row>
    <row r="43043" spans="20:20" s="566" customFormat="1">
      <c r="T43043" s="41"/>
    </row>
    <row r="43044" spans="20:20" s="566" customFormat="1">
      <c r="T43044" s="41"/>
    </row>
    <row r="43045" spans="20:20" s="566" customFormat="1">
      <c r="T43045" s="41"/>
    </row>
    <row r="43046" spans="20:20" s="566" customFormat="1">
      <c r="T43046" s="41"/>
    </row>
    <row r="43047" spans="20:20" s="566" customFormat="1">
      <c r="T43047" s="41"/>
    </row>
    <row r="43048" spans="20:20" s="566" customFormat="1">
      <c r="T43048" s="41"/>
    </row>
    <row r="43049" spans="20:20" s="566" customFormat="1">
      <c r="T43049" s="41"/>
    </row>
    <row r="43050" spans="20:20" s="566" customFormat="1">
      <c r="T43050" s="41"/>
    </row>
    <row r="43051" spans="20:20" s="566" customFormat="1">
      <c r="T43051" s="41"/>
    </row>
    <row r="43052" spans="20:20" s="566" customFormat="1">
      <c r="T43052" s="41"/>
    </row>
    <row r="43053" spans="20:20" s="566" customFormat="1">
      <c r="T43053" s="41"/>
    </row>
    <row r="43054" spans="20:20" s="566" customFormat="1">
      <c r="T43054" s="41"/>
    </row>
    <row r="43055" spans="20:20" s="566" customFormat="1">
      <c r="T43055" s="41"/>
    </row>
    <row r="43056" spans="20:20" s="566" customFormat="1">
      <c r="T43056" s="41"/>
    </row>
    <row r="43057" spans="20:20" s="566" customFormat="1">
      <c r="T43057" s="41"/>
    </row>
    <row r="43058" spans="20:20" s="566" customFormat="1">
      <c r="T43058" s="41"/>
    </row>
    <row r="43059" spans="20:20" s="566" customFormat="1">
      <c r="T43059" s="41"/>
    </row>
    <row r="43060" spans="20:20" s="566" customFormat="1">
      <c r="T43060" s="41"/>
    </row>
    <row r="43061" spans="20:20" s="566" customFormat="1">
      <c r="T43061" s="41"/>
    </row>
    <row r="43062" spans="20:20" s="566" customFormat="1">
      <c r="T43062" s="41"/>
    </row>
    <row r="43063" spans="20:20" s="566" customFormat="1">
      <c r="T43063" s="41"/>
    </row>
    <row r="43064" spans="20:20" s="566" customFormat="1">
      <c r="T43064" s="41"/>
    </row>
    <row r="43065" spans="20:20" s="566" customFormat="1">
      <c r="T43065" s="41"/>
    </row>
    <row r="43066" spans="20:20" s="566" customFormat="1">
      <c r="T43066" s="41"/>
    </row>
    <row r="43067" spans="20:20" s="566" customFormat="1">
      <c r="T43067" s="41"/>
    </row>
    <row r="43068" spans="20:20" s="566" customFormat="1">
      <c r="T43068" s="41"/>
    </row>
    <row r="43069" spans="20:20" s="566" customFormat="1">
      <c r="T43069" s="41"/>
    </row>
    <row r="43070" spans="20:20" s="566" customFormat="1">
      <c r="T43070" s="41"/>
    </row>
    <row r="43071" spans="20:20" s="566" customFormat="1">
      <c r="T43071" s="41"/>
    </row>
    <row r="43072" spans="20:20" s="566" customFormat="1">
      <c r="T43072" s="41"/>
    </row>
    <row r="43073" spans="20:20" s="566" customFormat="1">
      <c r="T43073" s="41"/>
    </row>
    <row r="43074" spans="20:20" s="566" customFormat="1">
      <c r="T43074" s="41"/>
    </row>
    <row r="43075" spans="20:20" s="566" customFormat="1">
      <c r="T43075" s="41"/>
    </row>
    <row r="43076" spans="20:20" s="566" customFormat="1">
      <c r="T43076" s="41"/>
    </row>
    <row r="43077" spans="20:20" s="566" customFormat="1">
      <c r="T43077" s="41"/>
    </row>
    <row r="43078" spans="20:20" s="566" customFormat="1">
      <c r="T43078" s="41"/>
    </row>
    <row r="43079" spans="20:20" s="566" customFormat="1">
      <c r="T43079" s="41"/>
    </row>
    <row r="43080" spans="20:20" s="566" customFormat="1">
      <c r="T43080" s="41"/>
    </row>
    <row r="43081" spans="20:20" s="566" customFormat="1">
      <c r="T43081" s="41"/>
    </row>
    <row r="43082" spans="20:20" s="566" customFormat="1">
      <c r="T43082" s="41"/>
    </row>
    <row r="43083" spans="20:20" s="566" customFormat="1">
      <c r="T43083" s="41"/>
    </row>
    <row r="43084" spans="20:20" s="566" customFormat="1">
      <c r="T43084" s="41"/>
    </row>
    <row r="43085" spans="20:20" s="566" customFormat="1">
      <c r="T43085" s="41"/>
    </row>
    <row r="43086" spans="20:20" s="566" customFormat="1">
      <c r="T43086" s="41"/>
    </row>
    <row r="43087" spans="20:20" s="566" customFormat="1">
      <c r="T43087" s="41"/>
    </row>
    <row r="43088" spans="20:20" s="566" customFormat="1">
      <c r="T43088" s="41"/>
    </row>
    <row r="43089" spans="20:20" s="566" customFormat="1">
      <c r="T43089" s="41"/>
    </row>
    <row r="43090" spans="20:20" s="566" customFormat="1">
      <c r="T43090" s="41"/>
    </row>
    <row r="43091" spans="20:20" s="566" customFormat="1">
      <c r="T43091" s="41"/>
    </row>
    <row r="43092" spans="20:20" s="566" customFormat="1">
      <c r="T43092" s="41"/>
    </row>
    <row r="43093" spans="20:20" s="566" customFormat="1">
      <c r="T43093" s="41"/>
    </row>
    <row r="43094" spans="20:20" s="566" customFormat="1">
      <c r="T43094" s="41"/>
    </row>
    <row r="43095" spans="20:20" s="566" customFormat="1">
      <c r="T43095" s="41"/>
    </row>
    <row r="43096" spans="20:20" s="566" customFormat="1">
      <c r="T43096" s="41"/>
    </row>
    <row r="43097" spans="20:20" s="566" customFormat="1">
      <c r="T43097" s="41"/>
    </row>
    <row r="43098" spans="20:20" s="566" customFormat="1">
      <c r="T43098" s="41"/>
    </row>
    <row r="43099" spans="20:20" s="566" customFormat="1">
      <c r="T43099" s="41"/>
    </row>
    <row r="43100" spans="20:20" s="566" customFormat="1">
      <c r="T43100" s="41"/>
    </row>
    <row r="43101" spans="20:20" s="566" customFormat="1">
      <c r="T43101" s="41"/>
    </row>
    <row r="43102" spans="20:20" s="566" customFormat="1">
      <c r="T43102" s="41"/>
    </row>
    <row r="43103" spans="20:20" s="566" customFormat="1">
      <c r="T43103" s="41"/>
    </row>
    <row r="43104" spans="20:20" s="566" customFormat="1">
      <c r="T43104" s="41"/>
    </row>
    <row r="43105" spans="20:20" s="566" customFormat="1">
      <c r="T43105" s="41"/>
    </row>
    <row r="43106" spans="20:20" s="566" customFormat="1">
      <c r="T43106" s="41"/>
    </row>
    <row r="43107" spans="20:20" s="566" customFormat="1">
      <c r="T43107" s="41"/>
    </row>
    <row r="43108" spans="20:20" s="566" customFormat="1">
      <c r="T43108" s="41"/>
    </row>
    <row r="43109" spans="20:20" s="566" customFormat="1">
      <c r="T43109" s="41"/>
    </row>
    <row r="43110" spans="20:20" s="566" customFormat="1">
      <c r="T43110" s="41"/>
    </row>
    <row r="43111" spans="20:20" s="566" customFormat="1">
      <c r="T43111" s="41"/>
    </row>
    <row r="43112" spans="20:20" s="566" customFormat="1">
      <c r="T43112" s="41"/>
    </row>
    <row r="43113" spans="20:20" s="566" customFormat="1">
      <c r="T43113" s="41"/>
    </row>
    <row r="43114" spans="20:20" s="566" customFormat="1">
      <c r="T43114" s="41"/>
    </row>
    <row r="43115" spans="20:20" s="566" customFormat="1">
      <c r="T43115" s="41"/>
    </row>
    <row r="43116" spans="20:20" s="566" customFormat="1">
      <c r="T43116" s="41"/>
    </row>
    <row r="43117" spans="20:20" s="566" customFormat="1">
      <c r="T43117" s="41"/>
    </row>
    <row r="43118" spans="20:20" s="566" customFormat="1">
      <c r="T43118" s="41"/>
    </row>
    <row r="43119" spans="20:20" s="566" customFormat="1">
      <c r="T43119" s="41"/>
    </row>
    <row r="43120" spans="20:20" s="566" customFormat="1">
      <c r="T43120" s="41"/>
    </row>
    <row r="43121" spans="20:20" s="566" customFormat="1">
      <c r="T43121" s="41"/>
    </row>
    <row r="43122" spans="20:20" s="566" customFormat="1">
      <c r="T43122" s="41"/>
    </row>
    <row r="43123" spans="20:20" s="566" customFormat="1">
      <c r="T43123" s="41"/>
    </row>
    <row r="43124" spans="20:20" s="566" customFormat="1">
      <c r="T43124" s="41"/>
    </row>
    <row r="43125" spans="20:20" s="566" customFormat="1">
      <c r="T43125" s="41"/>
    </row>
    <row r="43126" spans="20:20" s="566" customFormat="1">
      <c r="T43126" s="41"/>
    </row>
    <row r="43127" spans="20:20" s="566" customFormat="1">
      <c r="T43127" s="41"/>
    </row>
    <row r="43128" spans="20:20" s="566" customFormat="1">
      <c r="T43128" s="41"/>
    </row>
    <row r="43129" spans="20:20" s="566" customFormat="1">
      <c r="T43129" s="41"/>
    </row>
    <row r="43130" spans="20:20" s="566" customFormat="1">
      <c r="T43130" s="41"/>
    </row>
    <row r="43131" spans="20:20" s="566" customFormat="1">
      <c r="T43131" s="41"/>
    </row>
    <row r="43132" spans="20:20" s="566" customFormat="1">
      <c r="T43132" s="41"/>
    </row>
    <row r="43133" spans="20:20" s="566" customFormat="1">
      <c r="T43133" s="41"/>
    </row>
    <row r="43134" spans="20:20" s="566" customFormat="1">
      <c r="T43134" s="41"/>
    </row>
    <row r="43135" spans="20:20" s="566" customFormat="1">
      <c r="T43135" s="41"/>
    </row>
    <row r="43136" spans="20:20" s="566" customFormat="1">
      <c r="T43136" s="41"/>
    </row>
    <row r="43137" spans="20:20" s="566" customFormat="1">
      <c r="T43137" s="41"/>
    </row>
    <row r="43138" spans="20:20" s="566" customFormat="1">
      <c r="T43138" s="41"/>
    </row>
    <row r="43139" spans="20:20" s="566" customFormat="1">
      <c r="T43139" s="41"/>
    </row>
    <row r="43140" spans="20:20" s="566" customFormat="1">
      <c r="T43140" s="41"/>
    </row>
    <row r="43141" spans="20:20" s="566" customFormat="1">
      <c r="T43141" s="41"/>
    </row>
    <row r="43142" spans="20:20" s="566" customFormat="1">
      <c r="T43142" s="41"/>
    </row>
    <row r="43143" spans="20:20" s="566" customFormat="1">
      <c r="T43143" s="41"/>
    </row>
    <row r="43144" spans="20:20" s="566" customFormat="1">
      <c r="T43144" s="41"/>
    </row>
    <row r="43145" spans="20:20" s="566" customFormat="1">
      <c r="T43145" s="41"/>
    </row>
    <row r="43146" spans="20:20" s="566" customFormat="1">
      <c r="T43146" s="41"/>
    </row>
    <row r="43147" spans="20:20" s="566" customFormat="1">
      <c r="T43147" s="41"/>
    </row>
    <row r="43148" spans="20:20" s="566" customFormat="1">
      <c r="T43148" s="41"/>
    </row>
    <row r="43149" spans="20:20" s="566" customFormat="1">
      <c r="T43149" s="41"/>
    </row>
    <row r="43150" spans="20:20" s="566" customFormat="1">
      <c r="T43150" s="41"/>
    </row>
    <row r="43151" spans="20:20" s="566" customFormat="1">
      <c r="T43151" s="41"/>
    </row>
    <row r="43152" spans="20:20" s="566" customFormat="1">
      <c r="T43152" s="41"/>
    </row>
    <row r="43153" spans="20:20" s="566" customFormat="1">
      <c r="T43153" s="41"/>
    </row>
    <row r="43154" spans="20:20" s="566" customFormat="1">
      <c r="T43154" s="41"/>
    </row>
    <row r="43155" spans="20:20" s="566" customFormat="1">
      <c r="T43155" s="41"/>
    </row>
    <row r="43156" spans="20:20" s="566" customFormat="1">
      <c r="T43156" s="41"/>
    </row>
    <row r="43157" spans="20:20" s="566" customFormat="1">
      <c r="T43157" s="41"/>
    </row>
    <row r="43158" spans="20:20" s="566" customFormat="1">
      <c r="T43158" s="41"/>
    </row>
    <row r="43159" spans="20:20" s="566" customFormat="1">
      <c r="T43159" s="41"/>
    </row>
    <row r="43160" spans="20:20" s="566" customFormat="1">
      <c r="T43160" s="41"/>
    </row>
    <row r="43161" spans="20:20" s="566" customFormat="1">
      <c r="T43161" s="41"/>
    </row>
    <row r="43162" spans="20:20" s="566" customFormat="1">
      <c r="T43162" s="41"/>
    </row>
    <row r="43163" spans="20:20" s="566" customFormat="1">
      <c r="T43163" s="41"/>
    </row>
    <row r="43164" spans="20:20" s="566" customFormat="1">
      <c r="T43164" s="41"/>
    </row>
    <row r="43165" spans="20:20" s="566" customFormat="1">
      <c r="T43165" s="41"/>
    </row>
    <row r="43166" spans="20:20" s="566" customFormat="1">
      <c r="T43166" s="41"/>
    </row>
    <row r="43167" spans="20:20" s="566" customFormat="1">
      <c r="T43167" s="41"/>
    </row>
    <row r="43168" spans="20:20" s="566" customFormat="1">
      <c r="T43168" s="41"/>
    </row>
    <row r="43169" spans="20:20" s="566" customFormat="1">
      <c r="T43169" s="41"/>
    </row>
    <row r="43170" spans="20:20" s="566" customFormat="1">
      <c r="T43170" s="41"/>
    </row>
    <row r="43171" spans="20:20" s="566" customFormat="1">
      <c r="T43171" s="41"/>
    </row>
    <row r="43172" spans="20:20" s="566" customFormat="1">
      <c r="T43172" s="41"/>
    </row>
    <row r="43173" spans="20:20" s="566" customFormat="1">
      <c r="T43173" s="41"/>
    </row>
    <row r="43174" spans="20:20" s="566" customFormat="1">
      <c r="T43174" s="41"/>
    </row>
    <row r="43175" spans="20:20" s="566" customFormat="1">
      <c r="T43175" s="41"/>
    </row>
    <row r="43176" spans="20:20" s="566" customFormat="1">
      <c r="T43176" s="41"/>
    </row>
    <row r="43177" spans="20:20" s="566" customFormat="1">
      <c r="T43177" s="41"/>
    </row>
    <row r="43178" spans="20:20" s="566" customFormat="1">
      <c r="T43178" s="41"/>
    </row>
    <row r="43179" spans="20:20" s="566" customFormat="1">
      <c r="T43179" s="41"/>
    </row>
    <row r="43180" spans="20:20" s="566" customFormat="1">
      <c r="T43180" s="41"/>
    </row>
    <row r="43181" spans="20:20" s="566" customFormat="1">
      <c r="T43181" s="41"/>
    </row>
    <row r="43182" spans="20:20" s="566" customFormat="1">
      <c r="T43182" s="41"/>
    </row>
    <row r="43183" spans="20:20" s="566" customFormat="1">
      <c r="T43183" s="41"/>
    </row>
    <row r="43184" spans="20:20" s="566" customFormat="1">
      <c r="T43184" s="41"/>
    </row>
    <row r="43185" spans="20:20" s="566" customFormat="1">
      <c r="T43185" s="41"/>
    </row>
    <row r="43186" spans="20:20" s="566" customFormat="1">
      <c r="T43186" s="41"/>
    </row>
    <row r="43187" spans="20:20" s="566" customFormat="1">
      <c r="T43187" s="41"/>
    </row>
    <row r="43188" spans="20:20" s="566" customFormat="1">
      <c r="T43188" s="41"/>
    </row>
    <row r="43189" spans="20:20" s="566" customFormat="1">
      <c r="T43189" s="41"/>
    </row>
    <row r="43190" spans="20:20" s="566" customFormat="1">
      <c r="T43190" s="41"/>
    </row>
    <row r="43191" spans="20:20" s="566" customFormat="1">
      <c r="T43191" s="41"/>
    </row>
    <row r="43192" spans="20:20" s="566" customFormat="1">
      <c r="T43192" s="41"/>
    </row>
    <row r="43193" spans="20:20" s="566" customFormat="1">
      <c r="T43193" s="41"/>
    </row>
    <row r="43194" spans="20:20" s="566" customFormat="1">
      <c r="T43194" s="41"/>
    </row>
    <row r="43195" spans="20:20" s="566" customFormat="1">
      <c r="T43195" s="41"/>
    </row>
    <row r="43196" spans="20:20" s="566" customFormat="1">
      <c r="T43196" s="41"/>
    </row>
    <row r="43197" spans="20:20" s="566" customFormat="1">
      <c r="T43197" s="41"/>
    </row>
    <row r="43198" spans="20:20" s="566" customFormat="1">
      <c r="T43198" s="41"/>
    </row>
    <row r="43199" spans="20:20" s="566" customFormat="1">
      <c r="T43199" s="41"/>
    </row>
    <row r="43200" spans="20:20" s="566" customFormat="1">
      <c r="T43200" s="41"/>
    </row>
    <row r="43201" spans="20:20" s="566" customFormat="1">
      <c r="T43201" s="41"/>
    </row>
    <row r="43202" spans="20:20" s="566" customFormat="1">
      <c r="T43202" s="41"/>
    </row>
    <row r="43203" spans="20:20" s="566" customFormat="1">
      <c r="T43203" s="41"/>
    </row>
    <row r="43204" spans="20:20" s="566" customFormat="1">
      <c r="T43204" s="41"/>
    </row>
    <row r="43205" spans="20:20" s="566" customFormat="1">
      <c r="T43205" s="41"/>
    </row>
    <row r="43206" spans="20:20" s="566" customFormat="1">
      <c r="T43206" s="41"/>
    </row>
    <row r="43207" spans="20:20" s="566" customFormat="1">
      <c r="T43207" s="41"/>
    </row>
    <row r="43208" spans="20:20" s="566" customFormat="1">
      <c r="T43208" s="41"/>
    </row>
    <row r="43209" spans="20:20" s="566" customFormat="1">
      <c r="T43209" s="41"/>
    </row>
    <row r="43210" spans="20:20" s="566" customFormat="1">
      <c r="T43210" s="41"/>
    </row>
    <row r="43211" spans="20:20" s="566" customFormat="1">
      <c r="T43211" s="41"/>
    </row>
    <row r="43212" spans="20:20" s="566" customFormat="1">
      <c r="T43212" s="41"/>
    </row>
    <row r="43213" spans="20:20" s="566" customFormat="1">
      <c r="T43213" s="41"/>
    </row>
    <row r="43214" spans="20:20" s="566" customFormat="1">
      <c r="T43214" s="41"/>
    </row>
    <row r="43215" spans="20:20" s="566" customFormat="1">
      <c r="T43215" s="41"/>
    </row>
    <row r="43216" spans="20:20" s="566" customFormat="1">
      <c r="T43216" s="41"/>
    </row>
    <row r="43217" spans="20:20" s="566" customFormat="1">
      <c r="T43217" s="41"/>
    </row>
    <row r="43218" spans="20:20" s="566" customFormat="1">
      <c r="T43218" s="41"/>
    </row>
    <row r="43219" spans="20:20" s="566" customFormat="1">
      <c r="T43219" s="41"/>
    </row>
    <row r="43220" spans="20:20" s="566" customFormat="1">
      <c r="T43220" s="41"/>
    </row>
    <row r="43221" spans="20:20" s="566" customFormat="1">
      <c r="T43221" s="41"/>
    </row>
    <row r="43222" spans="20:20" s="566" customFormat="1">
      <c r="T43222" s="41"/>
    </row>
    <row r="43223" spans="20:20" s="566" customFormat="1">
      <c r="T43223" s="41"/>
    </row>
    <row r="43224" spans="20:20" s="566" customFormat="1">
      <c r="T43224" s="41"/>
    </row>
    <row r="43225" spans="20:20" s="566" customFormat="1">
      <c r="T43225" s="41"/>
    </row>
    <row r="43226" spans="20:20" s="566" customFormat="1">
      <c r="T43226" s="41"/>
    </row>
    <row r="43227" spans="20:20" s="566" customFormat="1">
      <c r="T43227" s="41"/>
    </row>
    <row r="43228" spans="20:20" s="566" customFormat="1">
      <c r="T43228" s="41"/>
    </row>
    <row r="43229" spans="20:20" s="566" customFormat="1">
      <c r="T43229" s="41"/>
    </row>
    <row r="43230" spans="20:20" s="566" customFormat="1">
      <c r="T43230" s="41"/>
    </row>
    <row r="43231" spans="20:20" s="566" customFormat="1">
      <c r="T43231" s="41"/>
    </row>
    <row r="43232" spans="20:20" s="566" customFormat="1">
      <c r="T43232" s="41"/>
    </row>
    <row r="43233" spans="20:20" s="566" customFormat="1">
      <c r="T43233" s="41"/>
    </row>
    <row r="43234" spans="20:20" s="566" customFormat="1">
      <c r="T43234" s="41"/>
    </row>
    <row r="43235" spans="20:20" s="566" customFormat="1">
      <c r="T43235" s="41"/>
    </row>
    <row r="43236" spans="20:20" s="566" customFormat="1">
      <c r="T43236" s="41"/>
    </row>
    <row r="43237" spans="20:20" s="566" customFormat="1">
      <c r="T43237" s="41"/>
    </row>
    <row r="43238" spans="20:20" s="566" customFormat="1">
      <c r="T43238" s="41"/>
    </row>
    <row r="43239" spans="20:20" s="566" customFormat="1">
      <c r="T43239" s="41"/>
    </row>
    <row r="43240" spans="20:20" s="566" customFormat="1">
      <c r="T43240" s="41"/>
    </row>
    <row r="43241" spans="20:20" s="566" customFormat="1">
      <c r="T43241" s="41"/>
    </row>
    <row r="43242" spans="20:20" s="566" customFormat="1">
      <c r="T43242" s="41"/>
    </row>
    <row r="43243" spans="20:20" s="566" customFormat="1">
      <c r="T43243" s="41"/>
    </row>
    <row r="43244" spans="20:20" s="566" customFormat="1">
      <c r="T43244" s="41"/>
    </row>
    <row r="43245" spans="20:20" s="566" customFormat="1">
      <c r="T43245" s="41"/>
    </row>
    <row r="43246" spans="20:20" s="566" customFormat="1">
      <c r="T43246" s="41"/>
    </row>
    <row r="43247" spans="20:20" s="566" customFormat="1">
      <c r="T43247" s="41"/>
    </row>
    <row r="43248" spans="20:20" s="566" customFormat="1">
      <c r="T43248" s="41"/>
    </row>
    <row r="43249" spans="20:20" s="566" customFormat="1">
      <c r="T43249" s="41"/>
    </row>
    <row r="43250" spans="20:20" s="566" customFormat="1">
      <c r="T43250" s="41"/>
    </row>
    <row r="43251" spans="20:20" s="566" customFormat="1">
      <c r="T43251" s="41"/>
    </row>
    <row r="43252" spans="20:20" s="566" customFormat="1">
      <c r="T43252" s="41"/>
    </row>
    <row r="43253" spans="20:20" s="566" customFormat="1">
      <c r="T43253" s="41"/>
    </row>
    <row r="43254" spans="20:20" s="566" customFormat="1">
      <c r="T43254" s="41"/>
    </row>
    <row r="43255" spans="20:20" s="566" customFormat="1">
      <c r="T43255" s="41"/>
    </row>
    <row r="43256" spans="20:20" s="566" customFormat="1">
      <c r="T43256" s="41"/>
    </row>
    <row r="43257" spans="20:20" s="566" customFormat="1">
      <c r="T43257" s="41"/>
    </row>
    <row r="43258" spans="20:20" s="566" customFormat="1">
      <c r="T43258" s="41"/>
    </row>
    <row r="43259" spans="20:20" s="566" customFormat="1">
      <c r="T43259" s="41"/>
    </row>
    <row r="43260" spans="20:20" s="566" customFormat="1">
      <c r="T43260" s="41"/>
    </row>
    <row r="43261" spans="20:20" s="566" customFormat="1">
      <c r="T43261" s="41"/>
    </row>
    <row r="43262" spans="20:20" s="566" customFormat="1">
      <c r="T43262" s="41"/>
    </row>
    <row r="43263" spans="20:20" s="566" customFormat="1">
      <c r="T43263" s="41"/>
    </row>
    <row r="43264" spans="20:20" s="566" customFormat="1">
      <c r="T43264" s="41"/>
    </row>
    <row r="43265" spans="20:20" s="566" customFormat="1">
      <c r="T43265" s="41"/>
    </row>
    <row r="43266" spans="20:20" s="566" customFormat="1">
      <c r="T43266" s="41"/>
    </row>
    <row r="43267" spans="20:20" s="566" customFormat="1">
      <c r="T43267" s="41"/>
    </row>
    <row r="43268" spans="20:20" s="566" customFormat="1">
      <c r="T43268" s="41"/>
    </row>
    <row r="43269" spans="20:20" s="566" customFormat="1">
      <c r="T43269" s="41"/>
    </row>
    <row r="43270" spans="20:20" s="566" customFormat="1">
      <c r="T43270" s="41"/>
    </row>
    <row r="43271" spans="20:20" s="566" customFormat="1">
      <c r="T43271" s="41"/>
    </row>
    <row r="43272" spans="20:20" s="566" customFormat="1">
      <c r="T43272" s="41"/>
    </row>
    <row r="43273" spans="20:20" s="566" customFormat="1">
      <c r="T43273" s="41"/>
    </row>
    <row r="43274" spans="20:20" s="566" customFormat="1">
      <c r="T43274" s="41"/>
    </row>
    <row r="43275" spans="20:20" s="566" customFormat="1">
      <c r="T43275" s="41"/>
    </row>
    <row r="43276" spans="20:20" s="566" customFormat="1">
      <c r="T43276" s="41"/>
    </row>
    <row r="43277" spans="20:20" s="566" customFormat="1">
      <c r="T43277" s="41"/>
    </row>
    <row r="43278" spans="20:20" s="566" customFormat="1">
      <c r="T43278" s="41"/>
    </row>
    <row r="43279" spans="20:20" s="566" customFormat="1">
      <c r="T43279" s="41"/>
    </row>
    <row r="43280" spans="20:20" s="566" customFormat="1">
      <c r="T43280" s="41"/>
    </row>
    <row r="43281" spans="20:20" s="566" customFormat="1">
      <c r="T43281" s="41"/>
    </row>
    <row r="43282" spans="20:20" s="566" customFormat="1">
      <c r="T43282" s="41"/>
    </row>
    <row r="43283" spans="20:20" s="566" customFormat="1">
      <c r="T43283" s="41"/>
    </row>
    <row r="43284" spans="20:20" s="566" customFormat="1">
      <c r="T43284" s="41"/>
    </row>
    <row r="43285" spans="20:20" s="566" customFormat="1">
      <c r="T43285" s="41"/>
    </row>
    <row r="43286" spans="20:20" s="566" customFormat="1">
      <c r="T43286" s="41"/>
    </row>
    <row r="43287" spans="20:20" s="566" customFormat="1">
      <c r="T43287" s="41"/>
    </row>
    <row r="43288" spans="20:20" s="566" customFormat="1">
      <c r="T43288" s="41"/>
    </row>
    <row r="43289" spans="20:20" s="566" customFormat="1">
      <c r="T43289" s="41"/>
    </row>
    <row r="43290" spans="20:20" s="566" customFormat="1">
      <c r="T43290" s="41"/>
    </row>
    <row r="43291" spans="20:20" s="566" customFormat="1">
      <c r="T43291" s="41"/>
    </row>
    <row r="43292" spans="20:20" s="566" customFormat="1">
      <c r="T43292" s="41"/>
    </row>
    <row r="43293" spans="20:20" s="566" customFormat="1">
      <c r="T43293" s="41"/>
    </row>
    <row r="43294" spans="20:20" s="566" customFormat="1">
      <c r="T43294" s="41"/>
    </row>
    <row r="43295" spans="20:20" s="566" customFormat="1">
      <c r="T43295" s="41"/>
    </row>
    <row r="43296" spans="20:20" s="566" customFormat="1">
      <c r="T43296" s="41"/>
    </row>
    <row r="43297" spans="20:20" s="566" customFormat="1">
      <c r="T43297" s="41"/>
    </row>
    <row r="43298" spans="20:20" s="566" customFormat="1">
      <c r="T43298" s="41"/>
    </row>
    <row r="43299" spans="20:20" s="566" customFormat="1">
      <c r="T43299" s="41"/>
    </row>
    <row r="43300" spans="20:20" s="566" customFormat="1">
      <c r="T43300" s="41"/>
    </row>
    <row r="43301" spans="20:20" s="566" customFormat="1">
      <c r="T43301" s="41"/>
    </row>
    <row r="43302" spans="20:20" s="566" customFormat="1">
      <c r="T43302" s="41"/>
    </row>
    <row r="43303" spans="20:20" s="566" customFormat="1">
      <c r="T43303" s="41"/>
    </row>
    <row r="43304" spans="20:20" s="566" customFormat="1">
      <c r="T43304" s="41"/>
    </row>
    <row r="43305" spans="20:20" s="566" customFormat="1">
      <c r="T43305" s="41"/>
    </row>
    <row r="43306" spans="20:20" s="566" customFormat="1">
      <c r="T43306" s="41"/>
    </row>
    <row r="43307" spans="20:20" s="566" customFormat="1">
      <c r="T43307" s="41"/>
    </row>
    <row r="43308" spans="20:20" s="566" customFormat="1">
      <c r="T43308" s="41"/>
    </row>
    <row r="43309" spans="20:20" s="566" customFormat="1">
      <c r="T43309" s="41"/>
    </row>
    <row r="43310" spans="20:20" s="566" customFormat="1">
      <c r="T43310" s="41"/>
    </row>
    <row r="43311" spans="20:20" s="566" customFormat="1">
      <c r="T43311" s="41"/>
    </row>
    <row r="43312" spans="20:20" s="566" customFormat="1">
      <c r="T43312" s="41"/>
    </row>
    <row r="43313" spans="20:20" s="566" customFormat="1">
      <c r="T43313" s="41"/>
    </row>
    <row r="43314" spans="20:20" s="566" customFormat="1">
      <c r="T43314" s="41"/>
    </row>
    <row r="43315" spans="20:20" s="566" customFormat="1">
      <c r="T43315" s="41"/>
    </row>
    <row r="43316" spans="20:20" s="566" customFormat="1">
      <c r="T43316" s="41"/>
    </row>
    <row r="43317" spans="20:20" s="566" customFormat="1">
      <c r="T43317" s="41"/>
    </row>
    <row r="43318" spans="20:20" s="566" customFormat="1">
      <c r="T43318" s="41"/>
    </row>
    <row r="43319" spans="20:20" s="566" customFormat="1">
      <c r="T43319" s="41"/>
    </row>
    <row r="43320" spans="20:20" s="566" customFormat="1">
      <c r="T43320" s="41"/>
    </row>
    <row r="43321" spans="20:20" s="566" customFormat="1">
      <c r="T43321" s="41"/>
    </row>
    <row r="43322" spans="20:20" s="566" customFormat="1">
      <c r="T43322" s="41"/>
    </row>
    <row r="43323" spans="20:20" s="566" customFormat="1">
      <c r="T43323" s="41"/>
    </row>
    <row r="43324" spans="20:20" s="566" customFormat="1">
      <c r="T43324" s="41"/>
    </row>
    <row r="43325" spans="20:20" s="566" customFormat="1">
      <c r="T43325" s="41"/>
    </row>
    <row r="43326" spans="20:20" s="566" customFormat="1">
      <c r="T43326" s="41"/>
    </row>
    <row r="43327" spans="20:20" s="566" customFormat="1">
      <c r="T43327" s="41"/>
    </row>
    <row r="43328" spans="20:20" s="566" customFormat="1">
      <c r="T43328" s="41"/>
    </row>
    <row r="43329" spans="20:20" s="566" customFormat="1">
      <c r="T43329" s="41"/>
    </row>
    <row r="43330" spans="20:20" s="566" customFormat="1">
      <c r="T43330" s="41"/>
    </row>
    <row r="43331" spans="20:20" s="566" customFormat="1">
      <c r="T43331" s="41"/>
    </row>
    <row r="43332" spans="20:20" s="566" customFormat="1">
      <c r="T43332" s="41"/>
    </row>
    <row r="43333" spans="20:20" s="566" customFormat="1">
      <c r="T43333" s="41"/>
    </row>
    <row r="43334" spans="20:20" s="566" customFormat="1">
      <c r="T43334" s="41"/>
    </row>
    <row r="43335" spans="20:20" s="566" customFormat="1">
      <c r="T43335" s="41"/>
    </row>
    <row r="43336" spans="20:20" s="566" customFormat="1">
      <c r="T43336" s="41"/>
    </row>
    <row r="43337" spans="20:20" s="566" customFormat="1">
      <c r="T43337" s="41"/>
    </row>
    <row r="43338" spans="20:20" s="566" customFormat="1">
      <c r="T43338" s="41"/>
    </row>
    <row r="43339" spans="20:20" s="566" customFormat="1">
      <c r="T43339" s="41"/>
    </row>
    <row r="43340" spans="20:20" s="566" customFormat="1">
      <c r="T43340" s="41"/>
    </row>
    <row r="43341" spans="20:20" s="566" customFormat="1">
      <c r="T43341" s="41"/>
    </row>
    <row r="43342" spans="20:20" s="566" customFormat="1">
      <c r="T43342" s="41"/>
    </row>
    <row r="43343" spans="20:20" s="566" customFormat="1">
      <c r="T43343" s="41"/>
    </row>
    <row r="43344" spans="20:20" s="566" customFormat="1">
      <c r="T43344" s="41"/>
    </row>
    <row r="43345" spans="20:20" s="566" customFormat="1">
      <c r="T43345" s="41"/>
    </row>
    <row r="43346" spans="20:20" s="566" customFormat="1">
      <c r="T43346" s="41"/>
    </row>
    <row r="43347" spans="20:20" s="566" customFormat="1">
      <c r="T43347" s="41"/>
    </row>
    <row r="43348" spans="20:20" s="566" customFormat="1">
      <c r="T43348" s="41"/>
    </row>
    <row r="43349" spans="20:20" s="566" customFormat="1">
      <c r="T43349" s="41"/>
    </row>
    <row r="43350" spans="20:20" s="566" customFormat="1">
      <c r="T43350" s="41"/>
    </row>
    <row r="43351" spans="20:20" s="566" customFormat="1">
      <c r="T43351" s="41"/>
    </row>
    <row r="43352" spans="20:20" s="566" customFormat="1">
      <c r="T43352" s="41"/>
    </row>
    <row r="43353" spans="20:20" s="566" customFormat="1">
      <c r="T43353" s="41"/>
    </row>
    <row r="43354" spans="20:20" s="566" customFormat="1">
      <c r="T43354" s="41"/>
    </row>
    <row r="43355" spans="20:20" s="566" customFormat="1">
      <c r="T43355" s="41"/>
    </row>
    <row r="43356" spans="20:20" s="566" customFormat="1">
      <c r="T43356" s="41"/>
    </row>
    <row r="43357" spans="20:20" s="566" customFormat="1">
      <c r="T43357" s="41"/>
    </row>
    <row r="43358" spans="20:20" s="566" customFormat="1">
      <c r="T43358" s="41"/>
    </row>
    <row r="43359" spans="20:20" s="566" customFormat="1">
      <c r="T43359" s="41"/>
    </row>
    <row r="43360" spans="20:20" s="566" customFormat="1">
      <c r="T43360" s="41"/>
    </row>
    <row r="43361" spans="20:20" s="566" customFormat="1">
      <c r="T43361" s="41"/>
    </row>
    <row r="43362" spans="20:20" s="566" customFormat="1">
      <c r="T43362" s="41"/>
    </row>
    <row r="43363" spans="20:20" s="566" customFormat="1">
      <c r="T43363" s="41"/>
    </row>
    <row r="43364" spans="20:20" s="566" customFormat="1">
      <c r="T43364" s="41"/>
    </row>
    <row r="43365" spans="20:20" s="566" customFormat="1">
      <c r="T43365" s="41"/>
    </row>
    <row r="43366" spans="20:20" s="566" customFormat="1">
      <c r="T43366" s="41"/>
    </row>
    <row r="43367" spans="20:20" s="566" customFormat="1">
      <c r="T43367" s="41"/>
    </row>
    <row r="43368" spans="20:20" s="566" customFormat="1">
      <c r="T43368" s="41"/>
    </row>
    <row r="43369" spans="20:20" s="566" customFormat="1">
      <c r="T43369" s="41"/>
    </row>
    <row r="43370" spans="20:20" s="566" customFormat="1">
      <c r="T43370" s="41"/>
    </row>
    <row r="43371" spans="20:20" s="566" customFormat="1">
      <c r="T43371" s="41"/>
    </row>
    <row r="43372" spans="20:20" s="566" customFormat="1">
      <c r="T43372" s="41"/>
    </row>
    <row r="43373" spans="20:20" s="566" customFormat="1">
      <c r="T43373" s="41"/>
    </row>
    <row r="43374" spans="20:20" s="566" customFormat="1">
      <c r="T43374" s="41"/>
    </row>
    <row r="43375" spans="20:20" s="566" customFormat="1">
      <c r="T43375" s="41"/>
    </row>
    <row r="43376" spans="20:20" s="566" customFormat="1">
      <c r="T43376" s="41"/>
    </row>
    <row r="43377" spans="20:20" s="566" customFormat="1">
      <c r="T43377" s="41"/>
    </row>
    <row r="43378" spans="20:20" s="566" customFormat="1">
      <c r="T43378" s="41"/>
    </row>
    <row r="43379" spans="20:20" s="566" customFormat="1">
      <c r="T43379" s="41"/>
    </row>
    <row r="43380" spans="20:20" s="566" customFormat="1">
      <c r="T43380" s="41"/>
    </row>
    <row r="43381" spans="20:20" s="566" customFormat="1">
      <c r="T43381" s="41"/>
    </row>
    <row r="43382" spans="20:20" s="566" customFormat="1">
      <c r="T43382" s="41"/>
    </row>
    <row r="43383" spans="20:20" s="566" customFormat="1">
      <c r="T43383" s="41"/>
    </row>
    <row r="43384" spans="20:20" s="566" customFormat="1">
      <c r="T43384" s="41"/>
    </row>
    <row r="43385" spans="20:20" s="566" customFormat="1">
      <c r="T43385" s="41"/>
    </row>
    <row r="43386" spans="20:20" s="566" customFormat="1">
      <c r="T43386" s="41"/>
    </row>
    <row r="43387" spans="20:20" s="566" customFormat="1">
      <c r="T43387" s="41"/>
    </row>
    <row r="43388" spans="20:20" s="566" customFormat="1">
      <c r="T43388" s="41"/>
    </row>
    <row r="43389" spans="20:20" s="566" customFormat="1">
      <c r="T43389" s="41"/>
    </row>
    <row r="43390" spans="20:20" s="566" customFormat="1">
      <c r="T43390" s="41"/>
    </row>
    <row r="43391" spans="20:20" s="566" customFormat="1">
      <c r="T43391" s="41"/>
    </row>
    <row r="43392" spans="20:20" s="566" customFormat="1">
      <c r="T43392" s="41"/>
    </row>
    <row r="43393" spans="20:20" s="566" customFormat="1">
      <c r="T43393" s="41"/>
    </row>
    <row r="43394" spans="20:20" s="566" customFormat="1">
      <c r="T43394" s="41"/>
    </row>
    <row r="43395" spans="20:20" s="566" customFormat="1">
      <c r="T43395" s="41"/>
    </row>
    <row r="43396" spans="20:20" s="566" customFormat="1">
      <c r="T43396" s="41"/>
    </row>
    <row r="43397" spans="20:20" s="566" customFormat="1">
      <c r="T43397" s="41"/>
    </row>
    <row r="43398" spans="20:20" s="566" customFormat="1">
      <c r="T43398" s="41"/>
    </row>
    <row r="43399" spans="20:20" s="566" customFormat="1">
      <c r="T43399" s="41"/>
    </row>
    <row r="43400" spans="20:20" s="566" customFormat="1">
      <c r="T43400" s="41"/>
    </row>
    <row r="43401" spans="20:20" s="566" customFormat="1">
      <c r="T43401" s="41"/>
    </row>
    <row r="43402" spans="20:20" s="566" customFormat="1">
      <c r="T43402" s="41"/>
    </row>
    <row r="43403" spans="20:20" s="566" customFormat="1">
      <c r="T43403" s="41"/>
    </row>
    <row r="43404" spans="20:20" s="566" customFormat="1">
      <c r="T43404" s="41"/>
    </row>
    <row r="43405" spans="20:20" s="566" customFormat="1">
      <c r="T43405" s="41"/>
    </row>
    <row r="43406" spans="20:20" s="566" customFormat="1">
      <c r="T43406" s="41"/>
    </row>
    <row r="43407" spans="20:20" s="566" customFormat="1">
      <c r="T43407" s="41"/>
    </row>
    <row r="43408" spans="20:20" s="566" customFormat="1">
      <c r="T43408" s="41"/>
    </row>
    <row r="43409" spans="20:20" s="566" customFormat="1">
      <c r="T43409" s="41"/>
    </row>
    <row r="43410" spans="20:20" s="566" customFormat="1">
      <c r="T43410" s="41"/>
    </row>
    <row r="43411" spans="20:20" s="566" customFormat="1">
      <c r="T43411" s="41"/>
    </row>
    <row r="43412" spans="20:20" s="566" customFormat="1">
      <c r="T43412" s="41"/>
    </row>
    <row r="43413" spans="20:20" s="566" customFormat="1">
      <c r="T43413" s="41"/>
    </row>
    <row r="43414" spans="20:20" s="566" customFormat="1">
      <c r="T43414" s="41"/>
    </row>
    <row r="43415" spans="20:20" s="566" customFormat="1">
      <c r="T43415" s="41"/>
    </row>
    <row r="43416" spans="20:20" s="566" customFormat="1">
      <c r="T43416" s="41"/>
    </row>
    <row r="43417" spans="20:20" s="566" customFormat="1">
      <c r="T43417" s="41"/>
    </row>
    <row r="43418" spans="20:20" s="566" customFormat="1">
      <c r="T43418" s="41"/>
    </row>
    <row r="43419" spans="20:20" s="566" customFormat="1">
      <c r="T43419" s="41"/>
    </row>
    <row r="43420" spans="20:20" s="566" customFormat="1">
      <c r="T43420" s="41"/>
    </row>
    <row r="43421" spans="20:20" s="566" customFormat="1">
      <c r="T43421" s="41"/>
    </row>
    <row r="43422" spans="20:20" s="566" customFormat="1">
      <c r="T43422" s="41"/>
    </row>
    <row r="43423" spans="20:20" s="566" customFormat="1">
      <c r="T43423" s="41"/>
    </row>
    <row r="43424" spans="20:20" s="566" customFormat="1">
      <c r="T43424" s="41"/>
    </row>
    <row r="43425" spans="20:20" s="566" customFormat="1">
      <c r="T43425" s="41"/>
    </row>
    <row r="43426" spans="20:20" s="566" customFormat="1">
      <c r="T43426" s="41"/>
    </row>
    <row r="43427" spans="20:20" s="566" customFormat="1">
      <c r="T43427" s="41"/>
    </row>
    <row r="43428" spans="20:20" s="566" customFormat="1">
      <c r="T43428" s="41"/>
    </row>
    <row r="43429" spans="20:20" s="566" customFormat="1">
      <c r="T43429" s="41"/>
    </row>
    <row r="43430" spans="20:20" s="566" customFormat="1">
      <c r="T43430" s="41"/>
    </row>
    <row r="43431" spans="20:20" s="566" customFormat="1">
      <c r="T43431" s="41"/>
    </row>
    <row r="43432" spans="20:20" s="566" customFormat="1">
      <c r="T43432" s="41"/>
    </row>
    <row r="43433" spans="20:20" s="566" customFormat="1">
      <c r="T43433" s="41"/>
    </row>
    <row r="43434" spans="20:20" s="566" customFormat="1">
      <c r="T43434" s="41"/>
    </row>
    <row r="43435" spans="20:20" s="566" customFormat="1">
      <c r="T43435" s="41"/>
    </row>
    <row r="43436" spans="20:20" s="566" customFormat="1">
      <c r="T43436" s="41"/>
    </row>
    <row r="43437" spans="20:20" s="566" customFormat="1">
      <c r="T43437" s="41"/>
    </row>
    <row r="43438" spans="20:20" s="566" customFormat="1">
      <c r="T43438" s="41"/>
    </row>
    <row r="43439" spans="20:20" s="566" customFormat="1">
      <c r="T43439" s="41"/>
    </row>
    <row r="43440" spans="20:20" s="566" customFormat="1">
      <c r="T43440" s="41"/>
    </row>
    <row r="43441" spans="20:20" s="566" customFormat="1">
      <c r="T43441" s="41"/>
    </row>
    <row r="43442" spans="20:20" s="566" customFormat="1">
      <c r="T43442" s="41"/>
    </row>
    <row r="43443" spans="20:20" s="566" customFormat="1">
      <c r="T43443" s="41"/>
    </row>
    <row r="43444" spans="20:20" s="566" customFormat="1">
      <c r="T43444" s="41"/>
    </row>
    <row r="43445" spans="20:20" s="566" customFormat="1">
      <c r="T43445" s="41"/>
    </row>
    <row r="43446" spans="20:20" s="566" customFormat="1">
      <c r="T43446" s="41"/>
    </row>
    <row r="43447" spans="20:20" s="566" customFormat="1">
      <c r="T43447" s="41"/>
    </row>
    <row r="43448" spans="20:20" s="566" customFormat="1">
      <c r="T43448" s="41"/>
    </row>
    <row r="43449" spans="20:20" s="566" customFormat="1">
      <c r="T43449" s="41"/>
    </row>
    <row r="43450" spans="20:20" s="566" customFormat="1">
      <c r="T43450" s="41"/>
    </row>
    <row r="43451" spans="20:20" s="566" customFormat="1">
      <c r="T43451" s="41"/>
    </row>
    <row r="43452" spans="20:20" s="566" customFormat="1">
      <c r="T43452" s="41"/>
    </row>
    <row r="43453" spans="20:20" s="566" customFormat="1">
      <c r="T43453" s="41"/>
    </row>
    <row r="43454" spans="20:20" s="566" customFormat="1">
      <c r="T43454" s="41"/>
    </row>
    <row r="43455" spans="20:20" s="566" customFormat="1">
      <c r="T43455" s="41"/>
    </row>
    <row r="43456" spans="20:20" s="566" customFormat="1">
      <c r="T43456" s="41"/>
    </row>
    <row r="43457" spans="20:20" s="566" customFormat="1">
      <c r="T43457" s="41"/>
    </row>
    <row r="43458" spans="20:20" s="566" customFormat="1">
      <c r="T43458" s="41"/>
    </row>
    <row r="43459" spans="20:20" s="566" customFormat="1">
      <c r="T43459" s="41"/>
    </row>
    <row r="43460" spans="20:20" s="566" customFormat="1">
      <c r="T43460" s="41"/>
    </row>
    <row r="43461" spans="20:20" s="566" customFormat="1">
      <c r="T43461" s="41"/>
    </row>
    <row r="43462" spans="20:20" s="566" customFormat="1">
      <c r="T43462" s="41"/>
    </row>
    <row r="43463" spans="20:20" s="566" customFormat="1">
      <c r="T43463" s="41"/>
    </row>
    <row r="43464" spans="20:20" s="566" customFormat="1">
      <c r="T43464" s="41"/>
    </row>
    <row r="43465" spans="20:20" s="566" customFormat="1">
      <c r="T43465" s="41"/>
    </row>
    <row r="43466" spans="20:20" s="566" customFormat="1">
      <c r="T43466" s="41"/>
    </row>
    <row r="43467" spans="20:20" s="566" customFormat="1">
      <c r="T43467" s="41"/>
    </row>
    <row r="43468" spans="20:20" s="566" customFormat="1">
      <c r="T43468" s="41"/>
    </row>
    <row r="43469" spans="20:20" s="566" customFormat="1">
      <c r="T43469" s="41"/>
    </row>
    <row r="43470" spans="20:20" s="566" customFormat="1">
      <c r="T43470" s="41"/>
    </row>
    <row r="43471" spans="20:20" s="566" customFormat="1">
      <c r="T43471" s="41"/>
    </row>
    <row r="43472" spans="20:20" s="566" customFormat="1">
      <c r="T43472" s="41"/>
    </row>
    <row r="43473" spans="20:20" s="566" customFormat="1">
      <c r="T43473" s="41"/>
    </row>
    <row r="43474" spans="20:20" s="566" customFormat="1">
      <c r="T43474" s="41"/>
    </row>
    <row r="43475" spans="20:20" s="566" customFormat="1">
      <c r="T43475" s="41"/>
    </row>
    <row r="43476" spans="20:20" s="566" customFormat="1">
      <c r="T43476" s="41"/>
    </row>
    <row r="43477" spans="20:20" s="566" customFormat="1">
      <c r="T43477" s="41"/>
    </row>
    <row r="43478" spans="20:20" s="566" customFormat="1">
      <c r="T43478" s="41"/>
    </row>
    <row r="43479" spans="20:20" s="566" customFormat="1">
      <c r="T43479" s="41"/>
    </row>
    <row r="43480" spans="20:20" s="566" customFormat="1">
      <c r="T43480" s="41"/>
    </row>
    <row r="43481" spans="20:20" s="566" customFormat="1">
      <c r="T43481" s="41"/>
    </row>
    <row r="43482" spans="20:20" s="566" customFormat="1">
      <c r="T43482" s="41"/>
    </row>
    <row r="43483" spans="20:20" s="566" customFormat="1">
      <c r="T43483" s="41"/>
    </row>
    <row r="43484" spans="20:20" s="566" customFormat="1">
      <c r="T43484" s="41"/>
    </row>
    <row r="43485" spans="20:20" s="566" customFormat="1">
      <c r="T43485" s="41"/>
    </row>
    <row r="43486" spans="20:20" s="566" customFormat="1">
      <c r="T43486" s="41"/>
    </row>
    <row r="43487" spans="20:20" s="566" customFormat="1">
      <c r="T43487" s="41"/>
    </row>
    <row r="43488" spans="20:20" s="566" customFormat="1">
      <c r="T43488" s="41"/>
    </row>
    <row r="43489" spans="20:20" s="566" customFormat="1">
      <c r="T43489" s="41"/>
    </row>
    <row r="43490" spans="20:20" s="566" customFormat="1">
      <c r="T43490" s="41"/>
    </row>
    <row r="43491" spans="20:20" s="566" customFormat="1">
      <c r="T43491" s="41"/>
    </row>
    <row r="43492" spans="20:20" s="566" customFormat="1">
      <c r="T43492" s="41"/>
    </row>
    <row r="43493" spans="20:20" s="566" customFormat="1">
      <c r="T43493" s="41"/>
    </row>
    <row r="43494" spans="20:20" s="566" customFormat="1">
      <c r="T43494" s="41"/>
    </row>
    <row r="43495" spans="20:20" s="566" customFormat="1">
      <c r="T43495" s="41"/>
    </row>
    <row r="43496" spans="20:20" s="566" customFormat="1">
      <c r="T43496" s="41"/>
    </row>
    <row r="43497" spans="20:20" s="566" customFormat="1">
      <c r="T43497" s="41"/>
    </row>
    <row r="43498" spans="20:20" s="566" customFormat="1">
      <c r="T43498" s="41"/>
    </row>
    <row r="43499" spans="20:20" s="566" customFormat="1">
      <c r="T43499" s="41"/>
    </row>
    <row r="43500" spans="20:20" s="566" customFormat="1">
      <c r="T43500" s="41"/>
    </row>
    <row r="43501" spans="20:20" s="566" customFormat="1">
      <c r="T43501" s="41"/>
    </row>
    <row r="43502" spans="20:20" s="566" customFormat="1">
      <c r="T43502" s="41"/>
    </row>
    <row r="43503" spans="20:20" s="566" customFormat="1">
      <c r="T43503" s="41"/>
    </row>
    <row r="43504" spans="20:20" s="566" customFormat="1">
      <c r="T43504" s="41"/>
    </row>
    <row r="43505" spans="20:20" s="566" customFormat="1">
      <c r="T43505" s="41"/>
    </row>
    <row r="43506" spans="20:20" s="566" customFormat="1">
      <c r="T43506" s="41"/>
    </row>
    <row r="43507" spans="20:20" s="566" customFormat="1">
      <c r="T43507" s="41"/>
    </row>
    <row r="43508" spans="20:20" s="566" customFormat="1">
      <c r="T43508" s="41"/>
    </row>
    <row r="43509" spans="20:20" s="566" customFormat="1">
      <c r="T43509" s="41"/>
    </row>
    <row r="43510" spans="20:20" s="566" customFormat="1">
      <c r="T43510" s="41"/>
    </row>
    <row r="43511" spans="20:20" s="566" customFormat="1">
      <c r="T43511" s="41"/>
    </row>
    <row r="43512" spans="20:20" s="566" customFormat="1">
      <c r="T43512" s="41"/>
    </row>
    <row r="43513" spans="20:20" s="566" customFormat="1">
      <c r="T43513" s="41"/>
    </row>
    <row r="43514" spans="20:20" s="566" customFormat="1">
      <c r="T43514" s="41"/>
    </row>
    <row r="43515" spans="20:20" s="566" customFormat="1">
      <c r="T43515" s="41"/>
    </row>
    <row r="43516" spans="20:20" s="566" customFormat="1">
      <c r="T43516" s="41"/>
    </row>
    <row r="43517" spans="20:20" s="566" customFormat="1">
      <c r="T43517" s="41"/>
    </row>
    <row r="43518" spans="20:20" s="566" customFormat="1">
      <c r="T43518" s="41"/>
    </row>
    <row r="43519" spans="20:20" s="566" customFormat="1">
      <c r="T43519" s="41"/>
    </row>
    <row r="43520" spans="20:20" s="566" customFormat="1">
      <c r="T43520" s="41"/>
    </row>
    <row r="43521" spans="20:20" s="566" customFormat="1">
      <c r="T43521" s="41"/>
    </row>
    <row r="43522" spans="20:20" s="566" customFormat="1">
      <c r="T43522" s="41"/>
    </row>
    <row r="43523" spans="20:20" s="566" customFormat="1">
      <c r="T43523" s="41"/>
    </row>
    <row r="43524" spans="20:20" s="566" customFormat="1">
      <c r="T43524" s="41"/>
    </row>
    <row r="43525" spans="20:20" s="566" customFormat="1">
      <c r="T43525" s="41"/>
    </row>
    <row r="43526" spans="20:20" s="566" customFormat="1">
      <c r="T43526" s="41"/>
    </row>
    <row r="43527" spans="20:20" s="566" customFormat="1">
      <c r="T43527" s="41"/>
    </row>
    <row r="43528" spans="20:20" s="566" customFormat="1">
      <c r="T43528" s="41"/>
    </row>
    <row r="43529" spans="20:20" s="566" customFormat="1">
      <c r="T43529" s="41"/>
    </row>
    <row r="43530" spans="20:20" s="566" customFormat="1">
      <c r="T43530" s="41"/>
    </row>
    <row r="43531" spans="20:20" s="566" customFormat="1">
      <c r="T43531" s="41"/>
    </row>
    <row r="43532" spans="20:20" s="566" customFormat="1">
      <c r="T43532" s="41"/>
    </row>
    <row r="43533" spans="20:20" s="566" customFormat="1">
      <c r="T43533" s="41"/>
    </row>
    <row r="43534" spans="20:20" s="566" customFormat="1">
      <c r="T43534" s="41"/>
    </row>
    <row r="43535" spans="20:20" s="566" customFormat="1">
      <c r="T43535" s="41"/>
    </row>
    <row r="43536" spans="20:20" s="566" customFormat="1">
      <c r="T43536" s="41"/>
    </row>
    <row r="43537" spans="20:20" s="566" customFormat="1">
      <c r="T43537" s="41"/>
    </row>
    <row r="43538" spans="20:20" s="566" customFormat="1">
      <c r="T43538" s="41"/>
    </row>
    <row r="43539" spans="20:20" s="566" customFormat="1">
      <c r="T43539" s="41"/>
    </row>
    <row r="43540" spans="20:20" s="566" customFormat="1">
      <c r="T43540" s="41"/>
    </row>
    <row r="43541" spans="20:20" s="566" customFormat="1">
      <c r="T43541" s="41"/>
    </row>
    <row r="43542" spans="20:20" s="566" customFormat="1">
      <c r="T43542" s="41"/>
    </row>
    <row r="43543" spans="20:20" s="566" customFormat="1">
      <c r="T43543" s="41"/>
    </row>
    <row r="43544" spans="20:20" s="566" customFormat="1">
      <c r="T43544" s="41"/>
    </row>
    <row r="43545" spans="20:20" s="566" customFormat="1">
      <c r="T43545" s="41"/>
    </row>
    <row r="43546" spans="20:20" s="566" customFormat="1">
      <c r="T43546" s="41"/>
    </row>
    <row r="43547" spans="20:20" s="566" customFormat="1">
      <c r="T43547" s="41"/>
    </row>
    <row r="43548" spans="20:20" s="566" customFormat="1">
      <c r="T43548" s="41"/>
    </row>
    <row r="43549" spans="20:20" s="566" customFormat="1">
      <c r="T43549" s="41"/>
    </row>
    <row r="43550" spans="20:20" s="566" customFormat="1">
      <c r="T43550" s="41"/>
    </row>
    <row r="43551" spans="20:20" s="566" customFormat="1">
      <c r="T43551" s="41"/>
    </row>
    <row r="43552" spans="20:20" s="566" customFormat="1">
      <c r="T43552" s="41"/>
    </row>
    <row r="43553" spans="20:20" s="566" customFormat="1">
      <c r="T43553" s="41"/>
    </row>
    <row r="43554" spans="20:20" s="566" customFormat="1">
      <c r="T43554" s="41"/>
    </row>
    <row r="43555" spans="20:20" s="566" customFormat="1">
      <c r="T43555" s="41"/>
    </row>
    <row r="43556" spans="20:20" s="566" customFormat="1">
      <c r="T43556" s="41"/>
    </row>
    <row r="43557" spans="20:20" s="566" customFormat="1">
      <c r="T43557" s="41"/>
    </row>
    <row r="43558" spans="20:20" s="566" customFormat="1">
      <c r="T43558" s="41"/>
    </row>
    <row r="43559" spans="20:20" s="566" customFormat="1">
      <c r="T43559" s="41"/>
    </row>
    <row r="43560" spans="20:20" s="566" customFormat="1">
      <c r="T43560" s="41"/>
    </row>
    <row r="43561" spans="20:20" s="566" customFormat="1">
      <c r="T43561" s="41"/>
    </row>
    <row r="43562" spans="20:20" s="566" customFormat="1">
      <c r="T43562" s="41"/>
    </row>
    <row r="43563" spans="20:20" s="566" customFormat="1">
      <c r="T43563" s="41"/>
    </row>
    <row r="43564" spans="20:20" s="566" customFormat="1">
      <c r="T43564" s="41"/>
    </row>
    <row r="43565" spans="20:20" s="566" customFormat="1">
      <c r="T43565" s="41"/>
    </row>
    <row r="43566" spans="20:20" s="566" customFormat="1">
      <c r="T43566" s="41"/>
    </row>
    <row r="43567" spans="20:20" s="566" customFormat="1">
      <c r="T43567" s="41"/>
    </row>
    <row r="43568" spans="20:20" s="566" customFormat="1">
      <c r="T43568" s="41"/>
    </row>
    <row r="43569" spans="20:20" s="566" customFormat="1">
      <c r="T43569" s="41"/>
    </row>
    <row r="43570" spans="20:20" s="566" customFormat="1">
      <c r="T43570" s="41"/>
    </row>
    <row r="43571" spans="20:20" s="566" customFormat="1">
      <c r="T43571" s="41"/>
    </row>
    <row r="43572" spans="20:20" s="566" customFormat="1">
      <c r="T43572" s="41"/>
    </row>
    <row r="43573" spans="20:20" s="566" customFormat="1">
      <c r="T43573" s="41"/>
    </row>
    <row r="43574" spans="20:20" s="566" customFormat="1">
      <c r="T43574" s="41"/>
    </row>
    <row r="43575" spans="20:20" s="566" customFormat="1">
      <c r="T43575" s="41"/>
    </row>
    <row r="43576" spans="20:20" s="566" customFormat="1">
      <c r="T43576" s="41"/>
    </row>
    <row r="43577" spans="20:20" s="566" customFormat="1">
      <c r="T43577" s="41"/>
    </row>
    <row r="43578" spans="20:20" s="566" customFormat="1">
      <c r="T43578" s="41"/>
    </row>
    <row r="43579" spans="20:20" s="566" customFormat="1">
      <c r="T43579" s="41"/>
    </row>
    <row r="43580" spans="20:20" s="566" customFormat="1">
      <c r="T43580" s="41"/>
    </row>
    <row r="43581" spans="20:20" s="566" customFormat="1">
      <c r="T43581" s="41"/>
    </row>
    <row r="43582" spans="20:20" s="566" customFormat="1">
      <c r="T43582" s="41"/>
    </row>
    <row r="43583" spans="20:20" s="566" customFormat="1">
      <c r="T43583" s="41"/>
    </row>
    <row r="43584" spans="20:20" s="566" customFormat="1">
      <c r="T43584" s="41"/>
    </row>
    <row r="43585" spans="20:20" s="566" customFormat="1">
      <c r="T43585" s="41"/>
    </row>
    <row r="43586" spans="20:20" s="566" customFormat="1">
      <c r="T43586" s="41"/>
    </row>
    <row r="43587" spans="20:20" s="566" customFormat="1">
      <c r="T43587" s="41"/>
    </row>
    <row r="43588" spans="20:20" s="566" customFormat="1">
      <c r="T43588" s="41"/>
    </row>
    <row r="43589" spans="20:20" s="566" customFormat="1">
      <c r="T43589" s="41"/>
    </row>
    <row r="43590" spans="20:20" s="566" customFormat="1">
      <c r="T43590" s="41"/>
    </row>
    <row r="43591" spans="20:20" s="566" customFormat="1">
      <c r="T43591" s="41"/>
    </row>
    <row r="43592" spans="20:20" s="566" customFormat="1">
      <c r="T43592" s="41"/>
    </row>
    <row r="43593" spans="20:20" s="566" customFormat="1">
      <c r="T43593" s="41"/>
    </row>
    <row r="43594" spans="20:20" s="566" customFormat="1">
      <c r="T43594" s="41"/>
    </row>
    <row r="43595" spans="20:20" s="566" customFormat="1">
      <c r="T43595" s="41"/>
    </row>
    <row r="43596" spans="20:20" s="566" customFormat="1">
      <c r="T43596" s="41"/>
    </row>
    <row r="43597" spans="20:20" s="566" customFormat="1">
      <c r="T43597" s="41"/>
    </row>
    <row r="43598" spans="20:20" s="566" customFormat="1">
      <c r="T43598" s="41"/>
    </row>
    <row r="43599" spans="20:20" s="566" customFormat="1">
      <c r="T43599" s="41"/>
    </row>
    <row r="43600" spans="20:20" s="566" customFormat="1">
      <c r="T43600" s="41"/>
    </row>
    <row r="43601" spans="20:20" s="566" customFormat="1">
      <c r="T43601" s="41"/>
    </row>
    <row r="43602" spans="20:20" s="566" customFormat="1">
      <c r="T43602" s="41"/>
    </row>
    <row r="43603" spans="20:20" s="566" customFormat="1">
      <c r="T43603" s="41"/>
    </row>
    <row r="43604" spans="20:20" s="566" customFormat="1">
      <c r="T43604" s="41"/>
    </row>
    <row r="43605" spans="20:20" s="566" customFormat="1">
      <c r="T43605" s="41"/>
    </row>
    <row r="43606" spans="20:20" s="566" customFormat="1">
      <c r="T43606" s="41"/>
    </row>
    <row r="43607" spans="20:20" s="566" customFormat="1">
      <c r="T43607" s="41"/>
    </row>
    <row r="43608" spans="20:20" s="566" customFormat="1">
      <c r="T43608" s="41"/>
    </row>
    <row r="43609" spans="20:20" s="566" customFormat="1">
      <c r="T43609" s="41"/>
    </row>
    <row r="43610" spans="20:20" s="566" customFormat="1">
      <c r="T43610" s="41"/>
    </row>
    <row r="43611" spans="20:20" s="566" customFormat="1">
      <c r="T43611" s="41"/>
    </row>
    <row r="43612" spans="20:20" s="566" customFormat="1">
      <c r="T43612" s="41"/>
    </row>
    <row r="43613" spans="20:20" s="566" customFormat="1">
      <c r="T43613" s="41"/>
    </row>
    <row r="43614" spans="20:20" s="566" customFormat="1">
      <c r="T43614" s="41"/>
    </row>
    <row r="43615" spans="20:20" s="566" customFormat="1">
      <c r="T43615" s="41"/>
    </row>
    <row r="43616" spans="20:20" s="566" customFormat="1">
      <c r="T43616" s="41"/>
    </row>
    <row r="43617" spans="20:20" s="566" customFormat="1">
      <c r="T43617" s="41"/>
    </row>
    <row r="43618" spans="20:20" s="566" customFormat="1">
      <c r="T43618" s="41"/>
    </row>
    <row r="43619" spans="20:20" s="566" customFormat="1">
      <c r="T43619" s="41"/>
    </row>
    <row r="43620" spans="20:20" s="566" customFormat="1">
      <c r="T43620" s="41"/>
    </row>
    <row r="43621" spans="20:20" s="566" customFormat="1">
      <c r="T43621" s="41"/>
    </row>
    <row r="43622" spans="20:20" s="566" customFormat="1">
      <c r="T43622" s="41"/>
    </row>
    <row r="43623" spans="20:20" s="566" customFormat="1">
      <c r="T43623" s="41"/>
    </row>
    <row r="43624" spans="20:20" s="566" customFormat="1">
      <c r="T43624" s="41"/>
    </row>
    <row r="43625" spans="20:20" s="566" customFormat="1">
      <c r="T43625" s="41"/>
    </row>
    <row r="43626" spans="20:20" s="566" customFormat="1">
      <c r="T43626" s="41"/>
    </row>
    <row r="43627" spans="20:20" s="566" customFormat="1">
      <c r="T43627" s="41"/>
    </row>
    <row r="43628" spans="20:20" s="566" customFormat="1">
      <c r="T43628" s="41"/>
    </row>
    <row r="43629" spans="20:20" s="566" customFormat="1">
      <c r="T43629" s="41"/>
    </row>
    <row r="43630" spans="20:20" s="566" customFormat="1">
      <c r="T43630" s="41"/>
    </row>
    <row r="43631" spans="20:20" s="566" customFormat="1">
      <c r="T43631" s="41"/>
    </row>
    <row r="43632" spans="20:20" s="566" customFormat="1">
      <c r="T43632" s="41"/>
    </row>
    <row r="43633" spans="20:20" s="566" customFormat="1">
      <c r="T43633" s="41"/>
    </row>
    <row r="43634" spans="20:20" s="566" customFormat="1">
      <c r="T43634" s="41"/>
    </row>
    <row r="43635" spans="20:20" s="566" customFormat="1">
      <c r="T43635" s="41"/>
    </row>
    <row r="43636" spans="20:20" s="566" customFormat="1">
      <c r="T43636" s="41"/>
    </row>
    <row r="43637" spans="20:20" s="566" customFormat="1">
      <c r="T43637" s="41"/>
    </row>
    <row r="43638" spans="20:20" s="566" customFormat="1">
      <c r="T43638" s="41"/>
    </row>
    <row r="43639" spans="20:20" s="566" customFormat="1">
      <c r="T43639" s="41"/>
    </row>
    <row r="43640" spans="20:20" s="566" customFormat="1">
      <c r="T43640" s="41"/>
    </row>
    <row r="43641" spans="20:20" s="566" customFormat="1">
      <c r="T43641" s="41"/>
    </row>
    <row r="43642" spans="20:20" s="566" customFormat="1">
      <c r="T43642" s="41"/>
    </row>
    <row r="43643" spans="20:20" s="566" customFormat="1">
      <c r="T43643" s="41"/>
    </row>
    <row r="43644" spans="20:20" s="566" customFormat="1">
      <c r="T43644" s="41"/>
    </row>
    <row r="43645" spans="20:20" s="566" customFormat="1">
      <c r="T43645" s="41"/>
    </row>
    <row r="43646" spans="20:20" s="566" customFormat="1">
      <c r="T43646" s="41"/>
    </row>
    <row r="43647" spans="20:20" s="566" customFormat="1">
      <c r="T43647" s="41"/>
    </row>
    <row r="43648" spans="20:20" s="566" customFormat="1">
      <c r="T43648" s="41"/>
    </row>
    <row r="43649" spans="20:20" s="566" customFormat="1">
      <c r="T43649" s="41"/>
    </row>
    <row r="43650" spans="20:20" s="566" customFormat="1">
      <c r="T43650" s="41"/>
    </row>
    <row r="43651" spans="20:20" s="566" customFormat="1">
      <c r="T43651" s="41"/>
    </row>
    <row r="43652" spans="20:20" s="566" customFormat="1">
      <c r="T43652" s="41"/>
    </row>
    <row r="43653" spans="20:20" s="566" customFormat="1">
      <c r="T43653" s="41"/>
    </row>
    <row r="43654" spans="20:20" s="566" customFormat="1">
      <c r="T43654" s="41"/>
    </row>
    <row r="43655" spans="20:20" s="566" customFormat="1">
      <c r="T43655" s="41"/>
    </row>
    <row r="43656" spans="20:20" s="566" customFormat="1">
      <c r="T43656" s="41"/>
    </row>
    <row r="43657" spans="20:20" s="566" customFormat="1">
      <c r="T43657" s="41"/>
    </row>
    <row r="43658" spans="20:20" s="566" customFormat="1">
      <c r="T43658" s="41"/>
    </row>
    <row r="43659" spans="20:20" s="566" customFormat="1">
      <c r="T43659" s="41"/>
    </row>
    <row r="43660" spans="20:20" s="566" customFormat="1">
      <c r="T43660" s="41"/>
    </row>
    <row r="43661" spans="20:20" s="566" customFormat="1">
      <c r="T43661" s="41"/>
    </row>
    <row r="43662" spans="20:20" s="566" customFormat="1">
      <c r="T43662" s="41"/>
    </row>
    <row r="43663" spans="20:20" s="566" customFormat="1">
      <c r="T43663" s="41"/>
    </row>
    <row r="43664" spans="20:20" s="566" customFormat="1">
      <c r="T43664" s="41"/>
    </row>
    <row r="43665" spans="20:20" s="566" customFormat="1">
      <c r="T43665" s="41"/>
    </row>
    <row r="43666" spans="20:20" s="566" customFormat="1">
      <c r="T43666" s="41"/>
    </row>
    <row r="43667" spans="20:20" s="566" customFormat="1">
      <c r="T43667" s="41"/>
    </row>
    <row r="43668" spans="20:20" s="566" customFormat="1">
      <c r="T43668" s="41"/>
    </row>
    <row r="43669" spans="20:20" s="566" customFormat="1">
      <c r="T43669" s="41"/>
    </row>
    <row r="43670" spans="20:20" s="566" customFormat="1">
      <c r="T43670" s="41"/>
    </row>
    <row r="43671" spans="20:20" s="566" customFormat="1">
      <c r="T43671" s="41"/>
    </row>
    <row r="43672" spans="20:20" s="566" customFormat="1">
      <c r="T43672" s="41"/>
    </row>
    <row r="43673" spans="20:20" s="566" customFormat="1">
      <c r="T43673" s="41"/>
    </row>
    <row r="43674" spans="20:20" s="566" customFormat="1">
      <c r="T43674" s="41"/>
    </row>
    <row r="43675" spans="20:20" s="566" customFormat="1">
      <c r="T43675" s="41"/>
    </row>
    <row r="43676" spans="20:20" s="566" customFormat="1">
      <c r="T43676" s="41"/>
    </row>
    <row r="43677" spans="20:20" s="566" customFormat="1">
      <c r="T43677" s="41"/>
    </row>
    <row r="43678" spans="20:20" s="566" customFormat="1">
      <c r="T43678" s="41"/>
    </row>
    <row r="43679" spans="20:20" s="566" customFormat="1">
      <c r="T43679" s="41"/>
    </row>
    <row r="43680" spans="20:20" s="566" customFormat="1">
      <c r="T43680" s="41"/>
    </row>
    <row r="43681" spans="20:20" s="566" customFormat="1">
      <c r="T43681" s="41"/>
    </row>
    <row r="43682" spans="20:20" s="566" customFormat="1">
      <c r="T43682" s="41"/>
    </row>
    <row r="43683" spans="20:20" s="566" customFormat="1">
      <c r="T43683" s="41"/>
    </row>
    <row r="43684" spans="20:20" s="566" customFormat="1">
      <c r="T43684" s="41"/>
    </row>
    <row r="43685" spans="20:20" s="566" customFormat="1">
      <c r="T43685" s="41"/>
    </row>
    <row r="43686" spans="20:20" s="566" customFormat="1">
      <c r="T43686" s="41"/>
    </row>
    <row r="43687" spans="20:20" s="566" customFormat="1">
      <c r="T43687" s="41"/>
    </row>
    <row r="43688" spans="20:20" s="566" customFormat="1">
      <c r="T43688" s="41"/>
    </row>
    <row r="43689" spans="20:20" s="566" customFormat="1">
      <c r="T43689" s="41"/>
    </row>
    <row r="43690" spans="20:20" s="566" customFormat="1">
      <c r="T43690" s="41"/>
    </row>
    <row r="43691" spans="20:20" s="566" customFormat="1">
      <c r="T43691" s="41"/>
    </row>
    <row r="43692" spans="20:20" s="566" customFormat="1">
      <c r="T43692" s="41"/>
    </row>
    <row r="43693" spans="20:20" s="566" customFormat="1">
      <c r="T43693" s="41"/>
    </row>
    <row r="43694" spans="20:20" s="566" customFormat="1">
      <c r="T43694" s="41"/>
    </row>
    <row r="43695" spans="20:20" s="566" customFormat="1">
      <c r="T43695" s="41"/>
    </row>
    <row r="43696" spans="20:20" s="566" customFormat="1">
      <c r="T43696" s="41"/>
    </row>
    <row r="43697" spans="20:20" s="566" customFormat="1">
      <c r="T43697" s="41"/>
    </row>
    <row r="43698" spans="20:20" s="566" customFormat="1">
      <c r="T43698" s="41"/>
    </row>
    <row r="43699" spans="20:20" s="566" customFormat="1">
      <c r="T43699" s="41"/>
    </row>
    <row r="43700" spans="20:20" s="566" customFormat="1">
      <c r="T43700" s="41"/>
    </row>
    <row r="43701" spans="20:20" s="566" customFormat="1">
      <c r="T43701" s="41"/>
    </row>
    <row r="43702" spans="20:20" s="566" customFormat="1">
      <c r="T43702" s="41"/>
    </row>
    <row r="43703" spans="20:20" s="566" customFormat="1">
      <c r="T43703" s="41"/>
    </row>
    <row r="43704" spans="20:20" s="566" customFormat="1">
      <c r="T43704" s="41"/>
    </row>
    <row r="43705" spans="20:20" s="566" customFormat="1">
      <c r="T43705" s="41"/>
    </row>
    <row r="43706" spans="20:20" s="566" customFormat="1">
      <c r="T43706" s="41"/>
    </row>
    <row r="43707" spans="20:20" s="566" customFormat="1">
      <c r="T43707" s="41"/>
    </row>
    <row r="43708" spans="20:20" s="566" customFormat="1">
      <c r="T43708" s="41"/>
    </row>
    <row r="43709" spans="20:20" s="566" customFormat="1">
      <c r="T43709" s="41"/>
    </row>
    <row r="43710" spans="20:20" s="566" customFormat="1">
      <c r="T43710" s="41"/>
    </row>
    <row r="43711" spans="20:20" s="566" customFormat="1">
      <c r="T43711" s="41"/>
    </row>
    <row r="43712" spans="20:20" s="566" customFormat="1">
      <c r="T43712" s="41"/>
    </row>
    <row r="43713" spans="20:20" s="566" customFormat="1">
      <c r="T43713" s="41"/>
    </row>
    <row r="43714" spans="20:20" s="566" customFormat="1">
      <c r="T43714" s="41"/>
    </row>
    <row r="43715" spans="20:20" s="566" customFormat="1">
      <c r="T43715" s="41"/>
    </row>
    <row r="43716" spans="20:20" s="566" customFormat="1">
      <c r="T43716" s="41"/>
    </row>
    <row r="43717" spans="20:20" s="566" customFormat="1">
      <c r="T43717" s="41"/>
    </row>
    <row r="43718" spans="20:20" s="566" customFormat="1">
      <c r="T43718" s="41"/>
    </row>
    <row r="43719" spans="20:20" s="566" customFormat="1">
      <c r="T43719" s="41"/>
    </row>
    <row r="43720" spans="20:20" s="566" customFormat="1">
      <c r="T43720" s="41"/>
    </row>
    <row r="43721" spans="20:20" s="566" customFormat="1">
      <c r="T43721" s="41"/>
    </row>
    <row r="43722" spans="20:20" s="566" customFormat="1">
      <c r="T43722" s="41"/>
    </row>
    <row r="43723" spans="20:20" s="566" customFormat="1">
      <c r="T43723" s="41"/>
    </row>
    <row r="43724" spans="20:20" s="566" customFormat="1">
      <c r="T43724" s="41"/>
    </row>
    <row r="43725" spans="20:20" s="566" customFormat="1">
      <c r="T43725" s="41"/>
    </row>
    <row r="43726" spans="20:20" s="566" customFormat="1">
      <c r="T43726" s="41"/>
    </row>
    <row r="43727" spans="20:20" s="566" customFormat="1">
      <c r="T43727" s="41"/>
    </row>
    <row r="43728" spans="20:20" s="566" customFormat="1">
      <c r="T43728" s="41"/>
    </row>
    <row r="43729" spans="20:20" s="566" customFormat="1">
      <c r="T43729" s="41"/>
    </row>
    <row r="43730" spans="20:20" s="566" customFormat="1">
      <c r="T43730" s="41"/>
    </row>
    <row r="43731" spans="20:20" s="566" customFormat="1">
      <c r="T43731" s="41"/>
    </row>
    <row r="43732" spans="20:20" s="566" customFormat="1">
      <c r="T43732" s="41"/>
    </row>
    <row r="43733" spans="20:20" s="566" customFormat="1">
      <c r="T43733" s="41"/>
    </row>
    <row r="43734" spans="20:20" s="566" customFormat="1">
      <c r="T43734" s="41"/>
    </row>
    <row r="43735" spans="20:20" s="566" customFormat="1">
      <c r="T43735" s="41"/>
    </row>
    <row r="43736" spans="20:20" s="566" customFormat="1">
      <c r="T43736" s="41"/>
    </row>
    <row r="43737" spans="20:20" s="566" customFormat="1">
      <c r="T43737" s="41"/>
    </row>
    <row r="43738" spans="20:20" s="566" customFormat="1">
      <c r="T43738" s="41"/>
    </row>
    <row r="43739" spans="20:20" s="566" customFormat="1">
      <c r="T43739" s="41"/>
    </row>
    <row r="43740" spans="20:20" s="566" customFormat="1">
      <c r="T43740" s="41"/>
    </row>
    <row r="43741" spans="20:20" s="566" customFormat="1">
      <c r="T43741" s="41"/>
    </row>
    <row r="43742" spans="20:20" s="566" customFormat="1">
      <c r="T43742" s="41"/>
    </row>
    <row r="43743" spans="20:20" s="566" customFormat="1">
      <c r="T43743" s="41"/>
    </row>
    <row r="43744" spans="20:20" s="566" customFormat="1">
      <c r="T43744" s="41"/>
    </row>
    <row r="43745" spans="20:20" s="566" customFormat="1">
      <c r="T43745" s="41"/>
    </row>
    <row r="43746" spans="20:20" s="566" customFormat="1">
      <c r="T43746" s="41"/>
    </row>
    <row r="43747" spans="20:20" s="566" customFormat="1">
      <c r="T43747" s="41"/>
    </row>
    <row r="43748" spans="20:20" s="566" customFormat="1">
      <c r="T43748" s="41"/>
    </row>
    <row r="43749" spans="20:20" s="566" customFormat="1">
      <c r="T43749" s="41"/>
    </row>
    <row r="43750" spans="20:20" s="566" customFormat="1">
      <c r="T43750" s="41"/>
    </row>
    <row r="43751" spans="20:20" s="566" customFormat="1">
      <c r="T43751" s="41"/>
    </row>
    <row r="43752" spans="20:20" s="566" customFormat="1">
      <c r="T43752" s="41"/>
    </row>
    <row r="43753" spans="20:20" s="566" customFormat="1">
      <c r="T43753" s="41"/>
    </row>
    <row r="43754" spans="20:20" s="566" customFormat="1">
      <c r="T43754" s="41"/>
    </row>
    <row r="43755" spans="20:20" s="566" customFormat="1">
      <c r="T43755" s="41"/>
    </row>
    <row r="43756" spans="20:20" s="566" customFormat="1">
      <c r="T43756" s="41"/>
    </row>
    <row r="43757" spans="20:20" s="566" customFormat="1">
      <c r="T43757" s="41"/>
    </row>
    <row r="43758" spans="20:20" s="566" customFormat="1">
      <c r="T43758" s="41"/>
    </row>
    <row r="43759" spans="20:20" s="566" customFormat="1">
      <c r="T43759" s="41"/>
    </row>
    <row r="43760" spans="20:20" s="566" customFormat="1">
      <c r="T43760" s="41"/>
    </row>
    <row r="43761" spans="20:20" s="566" customFormat="1">
      <c r="T43761" s="41"/>
    </row>
    <row r="43762" spans="20:20" s="566" customFormat="1">
      <c r="T43762" s="41"/>
    </row>
    <row r="43763" spans="20:20" s="566" customFormat="1">
      <c r="T43763" s="41"/>
    </row>
    <row r="43764" spans="20:20" s="566" customFormat="1">
      <c r="T43764" s="41"/>
    </row>
    <row r="43765" spans="20:20" s="566" customFormat="1">
      <c r="T43765" s="41"/>
    </row>
    <row r="43766" spans="20:20" s="566" customFormat="1">
      <c r="T43766" s="41"/>
    </row>
    <row r="43767" spans="20:20" s="566" customFormat="1">
      <c r="T43767" s="41"/>
    </row>
    <row r="43768" spans="20:20" s="566" customFormat="1">
      <c r="T43768" s="41"/>
    </row>
    <row r="43769" spans="20:20" s="566" customFormat="1">
      <c r="T43769" s="41"/>
    </row>
    <row r="43770" spans="20:20" s="566" customFormat="1">
      <c r="T43770" s="41"/>
    </row>
    <row r="43771" spans="20:20" s="566" customFormat="1">
      <c r="T43771" s="41"/>
    </row>
    <row r="43772" spans="20:20" s="566" customFormat="1">
      <c r="T43772" s="41"/>
    </row>
    <row r="43773" spans="20:20" s="566" customFormat="1">
      <c r="T43773" s="41"/>
    </row>
    <row r="43774" spans="20:20" s="566" customFormat="1">
      <c r="T43774" s="41"/>
    </row>
    <row r="43775" spans="20:20" s="566" customFormat="1">
      <c r="T43775" s="41"/>
    </row>
    <row r="43776" spans="20:20" s="566" customFormat="1">
      <c r="T43776" s="41"/>
    </row>
    <row r="43777" spans="20:20" s="566" customFormat="1">
      <c r="T43777" s="41"/>
    </row>
    <row r="43778" spans="20:20" s="566" customFormat="1">
      <c r="T43778" s="41"/>
    </row>
    <row r="43779" spans="20:20" s="566" customFormat="1">
      <c r="T43779" s="41"/>
    </row>
    <row r="43780" spans="20:20" s="566" customFormat="1">
      <c r="T43780" s="41"/>
    </row>
    <row r="43781" spans="20:20" s="566" customFormat="1">
      <c r="T43781" s="41"/>
    </row>
    <row r="43782" spans="20:20" s="566" customFormat="1">
      <c r="T43782" s="41"/>
    </row>
    <row r="43783" spans="20:20" s="566" customFormat="1">
      <c r="T43783" s="41"/>
    </row>
    <row r="43784" spans="20:20" s="566" customFormat="1">
      <c r="T43784" s="41"/>
    </row>
    <row r="43785" spans="20:20" s="566" customFormat="1">
      <c r="T43785" s="41"/>
    </row>
    <row r="43786" spans="20:20" s="566" customFormat="1">
      <c r="T43786" s="41"/>
    </row>
    <row r="43787" spans="20:20" s="566" customFormat="1">
      <c r="T43787" s="41"/>
    </row>
    <row r="43788" spans="20:20" s="566" customFormat="1">
      <c r="T43788" s="41"/>
    </row>
    <row r="43789" spans="20:20" s="566" customFormat="1">
      <c r="T43789" s="41"/>
    </row>
    <row r="43790" spans="20:20" s="566" customFormat="1">
      <c r="T43790" s="41"/>
    </row>
    <row r="43791" spans="20:20" s="566" customFormat="1">
      <c r="T43791" s="41"/>
    </row>
    <row r="43792" spans="20:20" s="566" customFormat="1">
      <c r="T43792" s="41"/>
    </row>
    <row r="43793" spans="20:20" s="566" customFormat="1">
      <c r="T43793" s="41"/>
    </row>
    <row r="43794" spans="20:20" s="566" customFormat="1">
      <c r="T43794" s="41"/>
    </row>
    <row r="43795" spans="20:20" s="566" customFormat="1">
      <c r="T43795" s="41"/>
    </row>
    <row r="43796" spans="20:20" s="566" customFormat="1">
      <c r="T43796" s="41"/>
    </row>
    <row r="43797" spans="20:20" s="566" customFormat="1">
      <c r="T43797" s="41"/>
    </row>
    <row r="43798" spans="20:20" s="566" customFormat="1">
      <c r="T43798" s="41"/>
    </row>
    <row r="43799" spans="20:20" s="566" customFormat="1">
      <c r="T43799" s="41"/>
    </row>
    <row r="43800" spans="20:20" s="566" customFormat="1">
      <c r="T43800" s="41"/>
    </row>
    <row r="43801" spans="20:20" s="566" customFormat="1">
      <c r="T43801" s="41"/>
    </row>
    <row r="43802" spans="20:20" s="566" customFormat="1">
      <c r="T43802" s="41"/>
    </row>
    <row r="43803" spans="20:20" s="566" customFormat="1">
      <c r="T43803" s="41"/>
    </row>
    <row r="43804" spans="20:20" s="566" customFormat="1">
      <c r="T43804" s="41"/>
    </row>
    <row r="43805" spans="20:20" s="566" customFormat="1">
      <c r="T43805" s="41"/>
    </row>
    <row r="43806" spans="20:20" s="566" customFormat="1">
      <c r="T43806" s="41"/>
    </row>
    <row r="43807" spans="20:20" s="566" customFormat="1">
      <c r="T43807" s="41"/>
    </row>
    <row r="43808" spans="20:20" s="566" customFormat="1">
      <c r="T43808" s="41"/>
    </row>
    <row r="43809" spans="20:20" s="566" customFormat="1">
      <c r="T43809" s="41"/>
    </row>
    <row r="43810" spans="20:20" s="566" customFormat="1">
      <c r="T43810" s="41"/>
    </row>
    <row r="43811" spans="20:20" s="566" customFormat="1">
      <c r="T43811" s="41"/>
    </row>
    <row r="43812" spans="20:20" s="566" customFormat="1">
      <c r="T43812" s="41"/>
    </row>
    <row r="43813" spans="20:20" s="566" customFormat="1">
      <c r="T43813" s="41"/>
    </row>
    <row r="43814" spans="20:20" s="566" customFormat="1">
      <c r="T43814" s="41"/>
    </row>
    <row r="43815" spans="20:20" s="566" customFormat="1">
      <c r="T43815" s="41"/>
    </row>
    <row r="43816" spans="20:20" s="566" customFormat="1">
      <c r="T43816" s="41"/>
    </row>
    <row r="43817" spans="20:20" s="566" customFormat="1">
      <c r="T43817" s="41"/>
    </row>
    <row r="43818" spans="20:20" s="566" customFormat="1">
      <c r="T43818" s="41"/>
    </row>
    <row r="43819" spans="20:20" s="566" customFormat="1">
      <c r="T43819" s="41"/>
    </row>
    <row r="43820" spans="20:20" s="566" customFormat="1">
      <c r="T43820" s="41"/>
    </row>
    <row r="43821" spans="20:20" s="566" customFormat="1">
      <c r="T43821" s="41"/>
    </row>
    <row r="43822" spans="20:20" s="566" customFormat="1">
      <c r="T43822" s="41"/>
    </row>
    <row r="43823" spans="20:20" s="566" customFormat="1">
      <c r="T43823" s="41"/>
    </row>
    <row r="43824" spans="20:20" s="566" customFormat="1">
      <c r="T43824" s="41"/>
    </row>
    <row r="43825" spans="20:20" s="566" customFormat="1">
      <c r="T43825" s="41"/>
    </row>
    <row r="43826" spans="20:20" s="566" customFormat="1">
      <c r="T43826" s="41"/>
    </row>
    <row r="43827" spans="20:20" s="566" customFormat="1">
      <c r="T43827" s="41"/>
    </row>
    <row r="43828" spans="20:20" s="566" customFormat="1">
      <c r="T43828" s="41"/>
    </row>
    <row r="43829" spans="20:20" s="566" customFormat="1">
      <c r="T43829" s="41"/>
    </row>
    <row r="43830" spans="20:20" s="566" customFormat="1">
      <c r="T43830" s="41"/>
    </row>
    <row r="43831" spans="20:20" s="566" customFormat="1">
      <c r="T43831" s="41"/>
    </row>
    <row r="43832" spans="20:20" s="566" customFormat="1">
      <c r="T43832" s="41"/>
    </row>
    <row r="43833" spans="20:20" s="566" customFormat="1">
      <c r="T43833" s="41"/>
    </row>
    <row r="43834" spans="20:20" s="566" customFormat="1">
      <c r="T43834" s="41"/>
    </row>
    <row r="43835" spans="20:20" s="566" customFormat="1">
      <c r="T43835" s="41"/>
    </row>
    <row r="43836" spans="20:20" s="566" customFormat="1">
      <c r="T43836" s="41"/>
    </row>
    <row r="43837" spans="20:20" s="566" customFormat="1">
      <c r="T43837" s="41"/>
    </row>
    <row r="43838" spans="20:20" s="566" customFormat="1">
      <c r="T43838" s="41"/>
    </row>
    <row r="43839" spans="20:20" s="566" customFormat="1">
      <c r="T43839" s="41"/>
    </row>
    <row r="43840" spans="20:20" s="566" customFormat="1">
      <c r="T43840" s="41"/>
    </row>
    <row r="43841" spans="20:20" s="566" customFormat="1">
      <c r="T43841" s="41"/>
    </row>
    <row r="43842" spans="20:20" s="566" customFormat="1">
      <c r="T43842" s="41"/>
    </row>
    <row r="43843" spans="20:20" s="566" customFormat="1">
      <c r="T43843" s="41"/>
    </row>
    <row r="43844" spans="20:20" s="566" customFormat="1">
      <c r="T43844" s="41"/>
    </row>
    <row r="43845" spans="20:20" s="566" customFormat="1">
      <c r="T43845" s="41"/>
    </row>
    <row r="43846" spans="20:20" s="566" customFormat="1">
      <c r="T43846" s="41"/>
    </row>
    <row r="43847" spans="20:20" s="566" customFormat="1">
      <c r="T43847" s="41"/>
    </row>
    <row r="43848" spans="20:20" s="566" customFormat="1">
      <c r="T43848" s="41"/>
    </row>
    <row r="43849" spans="20:20" s="566" customFormat="1">
      <c r="T43849" s="41"/>
    </row>
    <row r="43850" spans="20:20" s="566" customFormat="1">
      <c r="T43850" s="41"/>
    </row>
    <row r="43851" spans="20:20" s="566" customFormat="1">
      <c r="T43851" s="41"/>
    </row>
    <row r="43852" spans="20:20" s="566" customFormat="1">
      <c r="T43852" s="41"/>
    </row>
    <row r="43853" spans="20:20" s="566" customFormat="1">
      <c r="T43853" s="41"/>
    </row>
    <row r="43854" spans="20:20" s="566" customFormat="1">
      <c r="T43854" s="41"/>
    </row>
    <row r="43855" spans="20:20" s="566" customFormat="1">
      <c r="T43855" s="41"/>
    </row>
    <row r="43856" spans="20:20" s="566" customFormat="1">
      <c r="T43856" s="41"/>
    </row>
    <row r="43857" spans="20:20" s="566" customFormat="1">
      <c r="T43857" s="41"/>
    </row>
    <row r="43858" spans="20:20" s="566" customFormat="1">
      <c r="T43858" s="41"/>
    </row>
    <row r="43859" spans="20:20" s="566" customFormat="1">
      <c r="T43859" s="41"/>
    </row>
    <row r="43860" spans="20:20" s="566" customFormat="1">
      <c r="T43860" s="41"/>
    </row>
    <row r="43861" spans="20:20" s="566" customFormat="1">
      <c r="T43861" s="41"/>
    </row>
    <row r="43862" spans="20:20" s="566" customFormat="1">
      <c r="T43862" s="41"/>
    </row>
    <row r="43863" spans="20:20" s="566" customFormat="1">
      <c r="T43863" s="41"/>
    </row>
    <row r="43864" spans="20:20" s="566" customFormat="1">
      <c r="T43864" s="41"/>
    </row>
    <row r="43865" spans="20:20" s="566" customFormat="1">
      <c r="T43865" s="41"/>
    </row>
    <row r="43866" spans="20:20" s="566" customFormat="1">
      <c r="T43866" s="41"/>
    </row>
    <row r="43867" spans="20:20" s="566" customFormat="1">
      <c r="T43867" s="41"/>
    </row>
    <row r="43868" spans="20:20" s="566" customFormat="1">
      <c r="T43868" s="41"/>
    </row>
    <row r="43869" spans="20:20" s="566" customFormat="1">
      <c r="T43869" s="41"/>
    </row>
    <row r="43870" spans="20:20" s="566" customFormat="1">
      <c r="T43870" s="41"/>
    </row>
    <row r="43871" spans="20:20" s="566" customFormat="1">
      <c r="T43871" s="41"/>
    </row>
    <row r="43872" spans="20:20" s="566" customFormat="1">
      <c r="T43872" s="41"/>
    </row>
    <row r="43873" spans="20:20" s="566" customFormat="1">
      <c r="T43873" s="41"/>
    </row>
    <row r="43874" spans="20:20" s="566" customFormat="1">
      <c r="T43874" s="41"/>
    </row>
    <row r="43875" spans="20:20" s="566" customFormat="1">
      <c r="T43875" s="41"/>
    </row>
    <row r="43876" spans="20:20" s="566" customFormat="1">
      <c r="T43876" s="41"/>
    </row>
    <row r="43877" spans="20:20" s="566" customFormat="1">
      <c r="T43877" s="41"/>
    </row>
    <row r="43878" spans="20:20" s="566" customFormat="1">
      <c r="T43878" s="41"/>
    </row>
    <row r="43879" spans="20:20" s="566" customFormat="1">
      <c r="T43879" s="41"/>
    </row>
    <row r="43880" spans="20:20" s="566" customFormat="1">
      <c r="T43880" s="41"/>
    </row>
    <row r="43881" spans="20:20" s="566" customFormat="1">
      <c r="T43881" s="41"/>
    </row>
    <row r="43882" spans="20:20" s="566" customFormat="1">
      <c r="T43882" s="41"/>
    </row>
    <row r="43883" spans="20:20" s="566" customFormat="1">
      <c r="T43883" s="41"/>
    </row>
    <row r="43884" spans="20:20" s="566" customFormat="1">
      <c r="T43884" s="41"/>
    </row>
    <row r="43885" spans="20:20" s="566" customFormat="1">
      <c r="T43885" s="41"/>
    </row>
    <row r="43886" spans="20:20" s="566" customFormat="1">
      <c r="T43886" s="41"/>
    </row>
    <row r="43887" spans="20:20" s="566" customFormat="1">
      <c r="T43887" s="41"/>
    </row>
    <row r="43888" spans="20:20" s="566" customFormat="1">
      <c r="T43888" s="41"/>
    </row>
    <row r="43889" spans="20:20" s="566" customFormat="1">
      <c r="T43889" s="41"/>
    </row>
    <row r="43890" spans="20:20" s="566" customFormat="1">
      <c r="T43890" s="41"/>
    </row>
    <row r="43891" spans="20:20" s="566" customFormat="1">
      <c r="T43891" s="41"/>
    </row>
    <row r="43892" spans="20:20" s="566" customFormat="1">
      <c r="T43892" s="41"/>
    </row>
    <row r="43893" spans="20:20" s="566" customFormat="1">
      <c r="T43893" s="41"/>
    </row>
    <row r="43894" spans="20:20" s="566" customFormat="1">
      <c r="T43894" s="41"/>
    </row>
    <row r="43895" spans="20:20" s="566" customFormat="1">
      <c r="T43895" s="41"/>
    </row>
    <row r="43896" spans="20:20" s="566" customFormat="1">
      <c r="T43896" s="41"/>
    </row>
    <row r="43897" spans="20:20" s="566" customFormat="1">
      <c r="T43897" s="41"/>
    </row>
    <row r="43898" spans="20:20" s="566" customFormat="1">
      <c r="T43898" s="41"/>
    </row>
    <row r="43899" spans="20:20" s="566" customFormat="1">
      <c r="T43899" s="41"/>
    </row>
    <row r="43900" spans="20:20" s="566" customFormat="1">
      <c r="T43900" s="41"/>
    </row>
    <row r="43901" spans="20:20" s="566" customFormat="1">
      <c r="T43901" s="41"/>
    </row>
    <row r="43902" spans="20:20" s="566" customFormat="1">
      <c r="T43902" s="41"/>
    </row>
    <row r="43903" spans="20:20" s="566" customFormat="1">
      <c r="T43903" s="41"/>
    </row>
    <row r="43904" spans="20:20" s="566" customFormat="1">
      <c r="T43904" s="41"/>
    </row>
    <row r="43905" spans="20:20" s="566" customFormat="1">
      <c r="T43905" s="41"/>
    </row>
    <row r="43906" spans="20:20" s="566" customFormat="1">
      <c r="T43906" s="41"/>
    </row>
    <row r="43907" spans="20:20" s="566" customFormat="1">
      <c r="T43907" s="41"/>
    </row>
    <row r="43908" spans="20:20" s="566" customFormat="1">
      <c r="T43908" s="41"/>
    </row>
    <row r="43909" spans="20:20" s="566" customFormat="1">
      <c r="T43909" s="41"/>
    </row>
    <row r="43910" spans="20:20" s="566" customFormat="1">
      <c r="T43910" s="41"/>
    </row>
    <row r="43911" spans="20:20" s="566" customFormat="1">
      <c r="T43911" s="41"/>
    </row>
    <row r="43912" spans="20:20" s="566" customFormat="1">
      <c r="T43912" s="41"/>
    </row>
    <row r="43913" spans="20:20" s="566" customFormat="1">
      <c r="T43913" s="41"/>
    </row>
    <row r="43914" spans="20:20" s="566" customFormat="1">
      <c r="T43914" s="41"/>
    </row>
    <row r="43915" spans="20:20" s="566" customFormat="1">
      <c r="T43915" s="41"/>
    </row>
    <row r="43916" spans="20:20" s="566" customFormat="1">
      <c r="T43916" s="41"/>
    </row>
    <row r="43917" spans="20:20" s="566" customFormat="1">
      <c r="T43917" s="41"/>
    </row>
    <row r="43918" spans="20:20" s="566" customFormat="1">
      <c r="T43918" s="41"/>
    </row>
    <row r="43919" spans="20:20" s="566" customFormat="1">
      <c r="T43919" s="41"/>
    </row>
    <row r="43920" spans="20:20" s="566" customFormat="1">
      <c r="T43920" s="41"/>
    </row>
    <row r="43921" spans="20:20" s="566" customFormat="1">
      <c r="T43921" s="41"/>
    </row>
    <row r="43922" spans="20:20" s="566" customFormat="1">
      <c r="T43922" s="41"/>
    </row>
    <row r="43923" spans="20:20" s="566" customFormat="1">
      <c r="T43923" s="41"/>
    </row>
    <row r="43924" spans="20:20" s="566" customFormat="1">
      <c r="T43924" s="41"/>
    </row>
    <row r="43925" spans="20:20" s="566" customFormat="1">
      <c r="T43925" s="41"/>
    </row>
    <row r="43926" spans="20:20" s="566" customFormat="1">
      <c r="T43926" s="41"/>
    </row>
    <row r="43927" spans="20:20" s="566" customFormat="1">
      <c r="T43927" s="41"/>
    </row>
    <row r="43928" spans="20:20" s="566" customFormat="1">
      <c r="T43928" s="41"/>
    </row>
    <row r="43929" spans="20:20" s="566" customFormat="1">
      <c r="T43929" s="41"/>
    </row>
    <row r="43930" spans="20:20" s="566" customFormat="1">
      <c r="T43930" s="41"/>
    </row>
    <row r="43931" spans="20:20" s="566" customFormat="1">
      <c r="T43931" s="41"/>
    </row>
    <row r="43932" spans="20:20" s="566" customFormat="1">
      <c r="T43932" s="41"/>
    </row>
    <row r="43933" spans="20:20" s="566" customFormat="1">
      <c r="T43933" s="41"/>
    </row>
    <row r="43934" spans="20:20" s="566" customFormat="1">
      <c r="T43934" s="41"/>
    </row>
    <row r="43935" spans="20:20" s="566" customFormat="1">
      <c r="T43935" s="41"/>
    </row>
    <row r="43936" spans="20:20" s="566" customFormat="1">
      <c r="T43936" s="41"/>
    </row>
    <row r="43937" spans="20:20" s="566" customFormat="1">
      <c r="T43937" s="41"/>
    </row>
    <row r="43938" spans="20:20" s="566" customFormat="1">
      <c r="T43938" s="41"/>
    </row>
    <row r="43939" spans="20:20" s="566" customFormat="1">
      <c r="T43939" s="41"/>
    </row>
    <row r="43940" spans="20:20" s="566" customFormat="1">
      <c r="T43940" s="41"/>
    </row>
    <row r="43941" spans="20:20" s="566" customFormat="1">
      <c r="T43941" s="41"/>
    </row>
    <row r="43942" spans="20:20" s="566" customFormat="1">
      <c r="T43942" s="41"/>
    </row>
    <row r="43943" spans="20:20" s="566" customFormat="1">
      <c r="T43943" s="41"/>
    </row>
    <row r="43944" spans="20:20" s="566" customFormat="1">
      <c r="T43944" s="41"/>
    </row>
    <row r="43945" spans="20:20" s="566" customFormat="1">
      <c r="T43945" s="41"/>
    </row>
    <row r="43946" spans="20:20" s="566" customFormat="1">
      <c r="T43946" s="41"/>
    </row>
    <row r="43947" spans="20:20" s="566" customFormat="1">
      <c r="T43947" s="41"/>
    </row>
    <row r="43948" spans="20:20" s="566" customFormat="1">
      <c r="T43948" s="41"/>
    </row>
    <row r="43949" spans="20:20" s="566" customFormat="1">
      <c r="T43949" s="41"/>
    </row>
    <row r="43950" spans="20:20" s="566" customFormat="1">
      <c r="T43950" s="41"/>
    </row>
    <row r="43951" spans="20:20" s="566" customFormat="1">
      <c r="T43951" s="41"/>
    </row>
    <row r="43952" spans="20:20" s="566" customFormat="1">
      <c r="T43952" s="41"/>
    </row>
    <row r="43953" spans="20:20" s="566" customFormat="1">
      <c r="T43953" s="41"/>
    </row>
    <row r="43954" spans="20:20" s="566" customFormat="1">
      <c r="T43954" s="41"/>
    </row>
    <row r="43955" spans="20:20" s="566" customFormat="1">
      <c r="T43955" s="41"/>
    </row>
    <row r="43956" spans="20:20" s="566" customFormat="1">
      <c r="T43956" s="41"/>
    </row>
    <row r="43957" spans="20:20" s="566" customFormat="1">
      <c r="T43957" s="41"/>
    </row>
    <row r="43958" spans="20:20" s="566" customFormat="1">
      <c r="T43958" s="41"/>
    </row>
    <row r="43959" spans="20:20" s="566" customFormat="1">
      <c r="T43959" s="41"/>
    </row>
    <row r="43960" spans="20:20" s="566" customFormat="1">
      <c r="T43960" s="41"/>
    </row>
    <row r="43961" spans="20:20" s="566" customFormat="1">
      <c r="T43961" s="41"/>
    </row>
    <row r="43962" spans="20:20" s="566" customFormat="1">
      <c r="T43962" s="41"/>
    </row>
    <row r="43963" spans="20:20" s="566" customFormat="1">
      <c r="T43963" s="41"/>
    </row>
    <row r="43964" spans="20:20" s="566" customFormat="1">
      <c r="T43964" s="41"/>
    </row>
    <row r="43965" spans="20:20" s="566" customFormat="1">
      <c r="T43965" s="41"/>
    </row>
    <row r="43966" spans="20:20" s="566" customFormat="1">
      <c r="T43966" s="41"/>
    </row>
    <row r="43967" spans="20:20" s="566" customFormat="1">
      <c r="T43967" s="41"/>
    </row>
    <row r="43968" spans="20:20" s="566" customFormat="1">
      <c r="T43968" s="41"/>
    </row>
    <row r="43969" spans="20:20" s="566" customFormat="1">
      <c r="T43969" s="41"/>
    </row>
    <row r="43970" spans="20:20" s="566" customFormat="1">
      <c r="T43970" s="41"/>
    </row>
    <row r="43971" spans="20:20" s="566" customFormat="1">
      <c r="T43971" s="41"/>
    </row>
    <row r="43972" spans="20:20" s="566" customFormat="1">
      <c r="T43972" s="41"/>
    </row>
    <row r="43973" spans="20:20" s="566" customFormat="1">
      <c r="T43973" s="41"/>
    </row>
    <row r="43974" spans="20:20" s="566" customFormat="1">
      <c r="T43974" s="41"/>
    </row>
    <row r="43975" spans="20:20" s="566" customFormat="1">
      <c r="T43975" s="41"/>
    </row>
    <row r="43976" spans="20:20" s="566" customFormat="1">
      <c r="T43976" s="41"/>
    </row>
    <row r="43977" spans="20:20" s="566" customFormat="1">
      <c r="T43977" s="41"/>
    </row>
    <row r="43978" spans="20:20" s="566" customFormat="1">
      <c r="T43978" s="41"/>
    </row>
    <row r="43979" spans="20:20" s="566" customFormat="1">
      <c r="T43979" s="41"/>
    </row>
    <row r="43980" spans="20:20" s="566" customFormat="1">
      <c r="T43980" s="41"/>
    </row>
    <row r="43981" spans="20:20" s="566" customFormat="1">
      <c r="T43981" s="41"/>
    </row>
    <row r="43982" spans="20:20" s="566" customFormat="1">
      <c r="T43982" s="41"/>
    </row>
    <row r="43983" spans="20:20" s="566" customFormat="1">
      <c r="T43983" s="41"/>
    </row>
    <row r="43984" spans="20:20" s="566" customFormat="1">
      <c r="T43984" s="41"/>
    </row>
    <row r="43985" spans="20:20" s="566" customFormat="1">
      <c r="T43985" s="41"/>
    </row>
    <row r="43986" spans="20:20" s="566" customFormat="1">
      <c r="T43986" s="41"/>
    </row>
    <row r="43987" spans="20:20" s="566" customFormat="1">
      <c r="T43987" s="41"/>
    </row>
    <row r="43988" spans="20:20" s="566" customFormat="1">
      <c r="T43988" s="41"/>
    </row>
    <row r="43989" spans="20:20" s="566" customFormat="1">
      <c r="T43989" s="41"/>
    </row>
    <row r="43990" spans="20:20" s="566" customFormat="1">
      <c r="T43990" s="41"/>
    </row>
    <row r="43991" spans="20:20" s="566" customFormat="1">
      <c r="T43991" s="41"/>
    </row>
    <row r="43992" spans="20:20" s="566" customFormat="1">
      <c r="T43992" s="41"/>
    </row>
    <row r="43993" spans="20:20" s="566" customFormat="1">
      <c r="T43993" s="41"/>
    </row>
    <row r="43994" spans="20:20" s="566" customFormat="1">
      <c r="T43994" s="41"/>
    </row>
    <row r="43995" spans="20:20" s="566" customFormat="1">
      <c r="T43995" s="41"/>
    </row>
    <row r="43996" spans="20:20" s="566" customFormat="1">
      <c r="T43996" s="41"/>
    </row>
    <row r="43997" spans="20:20" s="566" customFormat="1">
      <c r="T43997" s="41"/>
    </row>
    <row r="43998" spans="20:20" s="566" customFormat="1">
      <c r="T43998" s="41"/>
    </row>
    <row r="43999" spans="20:20" s="566" customFormat="1">
      <c r="T43999" s="41"/>
    </row>
    <row r="44000" spans="20:20" s="566" customFormat="1">
      <c r="T44000" s="41"/>
    </row>
    <row r="44001" spans="20:20" s="566" customFormat="1">
      <c r="T44001" s="41"/>
    </row>
    <row r="44002" spans="20:20" s="566" customFormat="1">
      <c r="T44002" s="41"/>
    </row>
    <row r="44003" spans="20:20" s="566" customFormat="1">
      <c r="T44003" s="41"/>
    </row>
    <row r="44004" spans="20:20" s="566" customFormat="1">
      <c r="T44004" s="41"/>
    </row>
    <row r="44005" spans="20:20" s="566" customFormat="1">
      <c r="T44005" s="41"/>
    </row>
    <row r="44006" spans="20:20" s="566" customFormat="1">
      <c r="T44006" s="41"/>
    </row>
    <row r="44007" spans="20:20" s="566" customFormat="1">
      <c r="T44007" s="41"/>
    </row>
    <row r="44008" spans="20:20" s="566" customFormat="1">
      <c r="T44008" s="41"/>
    </row>
    <row r="44009" spans="20:20" s="566" customFormat="1">
      <c r="T44009" s="41"/>
    </row>
    <row r="44010" spans="20:20" s="566" customFormat="1">
      <c r="T44010" s="41"/>
    </row>
    <row r="44011" spans="20:20" s="566" customFormat="1">
      <c r="T44011" s="41"/>
    </row>
    <row r="44012" spans="20:20" s="566" customFormat="1">
      <c r="T44012" s="41"/>
    </row>
    <row r="44013" spans="20:20" s="566" customFormat="1">
      <c r="T44013" s="41"/>
    </row>
    <row r="44014" spans="20:20" s="566" customFormat="1">
      <c r="T44014" s="41"/>
    </row>
    <row r="44015" spans="20:20" s="566" customFormat="1">
      <c r="T44015" s="41"/>
    </row>
    <row r="44016" spans="20:20" s="566" customFormat="1">
      <c r="T44016" s="41"/>
    </row>
    <row r="44017" spans="20:20" s="566" customFormat="1">
      <c r="T44017" s="41"/>
    </row>
    <row r="44018" spans="20:20" s="566" customFormat="1">
      <c r="T44018" s="41"/>
    </row>
    <row r="44019" spans="20:20" s="566" customFormat="1">
      <c r="T44019" s="41"/>
    </row>
    <row r="44020" spans="20:20" s="566" customFormat="1">
      <c r="T44020" s="41"/>
    </row>
    <row r="44021" spans="20:20" s="566" customFormat="1">
      <c r="T44021" s="41"/>
    </row>
    <row r="44022" spans="20:20" s="566" customFormat="1">
      <c r="T44022" s="41"/>
    </row>
    <row r="44023" spans="20:20" s="566" customFormat="1">
      <c r="T44023" s="41"/>
    </row>
    <row r="44024" spans="20:20" s="566" customFormat="1">
      <c r="T44024" s="41"/>
    </row>
    <row r="44025" spans="20:20" s="566" customFormat="1">
      <c r="T44025" s="41"/>
    </row>
    <row r="44026" spans="20:20" s="566" customFormat="1">
      <c r="T44026" s="41"/>
    </row>
    <row r="44027" spans="20:20" s="566" customFormat="1">
      <c r="T44027" s="41"/>
    </row>
    <row r="44028" spans="20:20" s="566" customFormat="1">
      <c r="T44028" s="41"/>
    </row>
    <row r="44029" spans="20:20" s="566" customFormat="1">
      <c r="T44029" s="41"/>
    </row>
    <row r="44030" spans="20:20" s="566" customFormat="1">
      <c r="T44030" s="41"/>
    </row>
    <row r="44031" spans="20:20" s="566" customFormat="1">
      <c r="T44031" s="41"/>
    </row>
    <row r="44032" spans="20:20" s="566" customFormat="1">
      <c r="T44032" s="41"/>
    </row>
    <row r="44033" spans="20:20" s="566" customFormat="1">
      <c r="T44033" s="41"/>
    </row>
    <row r="44034" spans="20:20" s="566" customFormat="1">
      <c r="T44034" s="41"/>
    </row>
    <row r="44035" spans="20:20" s="566" customFormat="1">
      <c r="T44035" s="41"/>
    </row>
    <row r="44036" spans="20:20" s="566" customFormat="1">
      <c r="T44036" s="41"/>
    </row>
    <row r="44037" spans="20:20" s="566" customFormat="1">
      <c r="T44037" s="41"/>
    </row>
    <row r="44038" spans="20:20" s="566" customFormat="1">
      <c r="T44038" s="41"/>
    </row>
    <row r="44039" spans="20:20" s="566" customFormat="1">
      <c r="T44039" s="41"/>
    </row>
    <row r="44040" spans="20:20" s="566" customFormat="1">
      <c r="T44040" s="41"/>
    </row>
    <row r="44041" spans="20:20" s="566" customFormat="1">
      <c r="T44041" s="41"/>
    </row>
    <row r="44042" spans="20:20" s="566" customFormat="1">
      <c r="T44042" s="41"/>
    </row>
    <row r="44043" spans="20:20" s="566" customFormat="1">
      <c r="T44043" s="41"/>
    </row>
    <row r="44044" spans="20:20" s="566" customFormat="1">
      <c r="T44044" s="41"/>
    </row>
    <row r="44045" spans="20:20" s="566" customFormat="1">
      <c r="T44045" s="41"/>
    </row>
    <row r="44046" spans="20:20" s="566" customFormat="1">
      <c r="T44046" s="41"/>
    </row>
    <row r="44047" spans="20:20" s="566" customFormat="1">
      <c r="T44047" s="41"/>
    </row>
    <row r="44048" spans="20:20" s="566" customFormat="1">
      <c r="T44048" s="41"/>
    </row>
    <row r="44049" spans="20:20" s="566" customFormat="1">
      <c r="T44049" s="41"/>
    </row>
    <row r="44050" spans="20:20" s="566" customFormat="1">
      <c r="T44050" s="41"/>
    </row>
    <row r="44051" spans="20:20" s="566" customFormat="1">
      <c r="T44051" s="41"/>
    </row>
    <row r="44052" spans="20:20" s="566" customFormat="1">
      <c r="T44052" s="41"/>
    </row>
    <row r="44053" spans="20:20" s="566" customFormat="1">
      <c r="T44053" s="41"/>
    </row>
    <row r="44054" spans="20:20" s="566" customFormat="1">
      <c r="T44054" s="41"/>
    </row>
    <row r="44055" spans="20:20" s="566" customFormat="1">
      <c r="T44055" s="41"/>
    </row>
    <row r="44056" spans="20:20" s="566" customFormat="1">
      <c r="T44056" s="41"/>
    </row>
    <row r="44057" spans="20:20" s="566" customFormat="1">
      <c r="T44057" s="41"/>
    </row>
    <row r="44058" spans="20:20" s="566" customFormat="1">
      <c r="T44058" s="41"/>
    </row>
    <row r="44059" spans="20:20" s="566" customFormat="1">
      <c r="T44059" s="41"/>
    </row>
    <row r="44060" spans="20:20" s="566" customFormat="1">
      <c r="T44060" s="41"/>
    </row>
    <row r="44061" spans="20:20" s="566" customFormat="1">
      <c r="T44061" s="41"/>
    </row>
    <row r="44062" spans="20:20" s="566" customFormat="1">
      <c r="T44062" s="41"/>
    </row>
    <row r="44063" spans="20:20" s="566" customFormat="1">
      <c r="T44063" s="41"/>
    </row>
    <row r="44064" spans="20:20" s="566" customFormat="1">
      <c r="T44064" s="41"/>
    </row>
    <row r="44065" spans="20:20" s="566" customFormat="1">
      <c r="T44065" s="41"/>
    </row>
    <row r="44066" spans="20:20" s="566" customFormat="1">
      <c r="T44066" s="41"/>
    </row>
    <row r="44067" spans="20:20" s="566" customFormat="1">
      <c r="T44067" s="41"/>
    </row>
    <row r="44068" spans="20:20" s="566" customFormat="1">
      <c r="T44068" s="41"/>
    </row>
    <row r="44069" spans="20:20" s="566" customFormat="1">
      <c r="T44069" s="41"/>
    </row>
    <row r="44070" spans="20:20" s="566" customFormat="1">
      <c r="T44070" s="41"/>
    </row>
    <row r="44071" spans="20:20" s="566" customFormat="1">
      <c r="T44071" s="41"/>
    </row>
    <row r="44072" spans="20:20" s="566" customFormat="1">
      <c r="T44072" s="41"/>
    </row>
    <row r="44073" spans="20:20" s="566" customFormat="1">
      <c r="T44073" s="41"/>
    </row>
    <row r="44074" spans="20:20" s="566" customFormat="1">
      <c r="T44074" s="41"/>
    </row>
    <row r="44075" spans="20:20" s="566" customFormat="1">
      <c r="T44075" s="41"/>
    </row>
    <row r="44076" spans="20:20" s="566" customFormat="1">
      <c r="T44076" s="41"/>
    </row>
    <row r="44077" spans="20:20" s="566" customFormat="1">
      <c r="T44077" s="41"/>
    </row>
    <row r="44078" spans="20:20" s="566" customFormat="1">
      <c r="T44078" s="41"/>
    </row>
    <row r="44079" spans="20:20" s="566" customFormat="1">
      <c r="T44079" s="41"/>
    </row>
    <row r="44080" spans="20:20" s="566" customFormat="1">
      <c r="T44080" s="41"/>
    </row>
    <row r="44081" spans="20:20" s="566" customFormat="1">
      <c r="T44081" s="41"/>
    </row>
    <row r="44082" spans="20:20" s="566" customFormat="1">
      <c r="T44082" s="41"/>
    </row>
    <row r="44083" spans="20:20" s="566" customFormat="1">
      <c r="T44083" s="41"/>
    </row>
    <row r="44084" spans="20:20" s="566" customFormat="1">
      <c r="T44084" s="41"/>
    </row>
    <row r="44085" spans="20:20" s="566" customFormat="1">
      <c r="T44085" s="41"/>
    </row>
    <row r="44086" spans="20:20" s="566" customFormat="1">
      <c r="T44086" s="41"/>
    </row>
    <row r="44087" spans="20:20" s="566" customFormat="1">
      <c r="T44087" s="41"/>
    </row>
    <row r="44088" spans="20:20" s="566" customFormat="1">
      <c r="T44088" s="41"/>
    </row>
    <row r="44089" spans="20:20" s="566" customFormat="1">
      <c r="T44089" s="41"/>
    </row>
    <row r="44090" spans="20:20" s="566" customFormat="1">
      <c r="T44090" s="41"/>
    </row>
    <row r="44091" spans="20:20" s="566" customFormat="1">
      <c r="T44091" s="41"/>
    </row>
    <row r="44092" spans="20:20" s="566" customFormat="1">
      <c r="T44092" s="41"/>
    </row>
    <row r="44093" spans="20:20" s="566" customFormat="1">
      <c r="T44093" s="41"/>
    </row>
    <row r="44094" spans="20:20" s="566" customFormat="1">
      <c r="T44094" s="41"/>
    </row>
    <row r="44095" spans="20:20" s="566" customFormat="1">
      <c r="T44095" s="41"/>
    </row>
    <row r="44096" spans="20:20" s="566" customFormat="1">
      <c r="T44096" s="41"/>
    </row>
    <row r="44097" spans="20:20" s="566" customFormat="1">
      <c r="T44097" s="41"/>
    </row>
    <row r="44098" spans="20:20" s="566" customFormat="1">
      <c r="T44098" s="41"/>
    </row>
    <row r="44099" spans="20:20" s="566" customFormat="1">
      <c r="T44099" s="41"/>
    </row>
    <row r="44100" spans="20:20" s="566" customFormat="1">
      <c r="T44100" s="41"/>
    </row>
    <row r="44101" spans="20:20" s="566" customFormat="1">
      <c r="T44101" s="41"/>
    </row>
    <row r="44102" spans="20:20" s="566" customFormat="1">
      <c r="T44102" s="41"/>
    </row>
    <row r="44103" spans="20:20" s="566" customFormat="1">
      <c r="T44103" s="41"/>
    </row>
    <row r="44104" spans="20:20" s="566" customFormat="1">
      <c r="T44104" s="41"/>
    </row>
    <row r="44105" spans="20:20" s="566" customFormat="1">
      <c r="T44105" s="41"/>
    </row>
    <row r="44106" spans="20:20" s="566" customFormat="1">
      <c r="T44106" s="41"/>
    </row>
    <row r="44107" spans="20:20" s="566" customFormat="1">
      <c r="T44107" s="41"/>
    </row>
    <row r="44108" spans="20:20" s="566" customFormat="1">
      <c r="T44108" s="41"/>
    </row>
    <row r="44109" spans="20:20" s="566" customFormat="1">
      <c r="T44109" s="41"/>
    </row>
    <row r="44110" spans="20:20" s="566" customFormat="1">
      <c r="T44110" s="41"/>
    </row>
    <row r="44111" spans="20:20" s="566" customFormat="1">
      <c r="T44111" s="41"/>
    </row>
    <row r="44112" spans="20:20" s="566" customFormat="1">
      <c r="T44112" s="41"/>
    </row>
    <row r="44113" spans="20:20" s="566" customFormat="1">
      <c r="T44113" s="41"/>
    </row>
    <row r="44114" spans="20:20" s="566" customFormat="1">
      <c r="T44114" s="41"/>
    </row>
    <row r="44115" spans="20:20" s="566" customFormat="1">
      <c r="T44115" s="41"/>
    </row>
    <row r="44116" spans="20:20" s="566" customFormat="1">
      <c r="T44116" s="41"/>
    </row>
    <row r="44117" spans="20:20" s="566" customFormat="1">
      <c r="T44117" s="41"/>
    </row>
    <row r="44118" spans="20:20" s="566" customFormat="1">
      <c r="T44118" s="41"/>
    </row>
    <row r="44119" spans="20:20" s="566" customFormat="1">
      <c r="T44119" s="41"/>
    </row>
    <row r="44120" spans="20:20" s="566" customFormat="1">
      <c r="T44120" s="41"/>
    </row>
    <row r="44121" spans="20:20" s="566" customFormat="1">
      <c r="T44121" s="41"/>
    </row>
    <row r="44122" spans="20:20" s="566" customFormat="1">
      <c r="T44122" s="41"/>
    </row>
    <row r="44123" spans="20:20" s="566" customFormat="1">
      <c r="T44123" s="41"/>
    </row>
    <row r="44124" spans="20:20" s="566" customFormat="1">
      <c r="T44124" s="41"/>
    </row>
    <row r="44125" spans="20:20" s="566" customFormat="1">
      <c r="T44125" s="41"/>
    </row>
    <row r="44126" spans="20:20" s="566" customFormat="1">
      <c r="T44126" s="41"/>
    </row>
    <row r="44127" spans="20:20" s="566" customFormat="1">
      <c r="T44127" s="41"/>
    </row>
    <row r="44128" spans="20:20" s="566" customFormat="1">
      <c r="T44128" s="41"/>
    </row>
    <row r="44129" spans="20:20" s="566" customFormat="1">
      <c r="T44129" s="41"/>
    </row>
    <row r="44130" spans="20:20" s="566" customFormat="1">
      <c r="T44130" s="41"/>
    </row>
    <row r="44131" spans="20:20" s="566" customFormat="1">
      <c r="T44131" s="41"/>
    </row>
    <row r="44132" spans="20:20" s="566" customFormat="1">
      <c r="T44132" s="41"/>
    </row>
    <row r="44133" spans="20:20" s="566" customFormat="1">
      <c r="T44133" s="41"/>
    </row>
    <row r="44134" spans="20:20" s="566" customFormat="1">
      <c r="T44134" s="41"/>
    </row>
    <row r="44135" spans="20:20" s="566" customFormat="1">
      <c r="T44135" s="41"/>
    </row>
    <row r="44136" spans="20:20" s="566" customFormat="1">
      <c r="T44136" s="41"/>
    </row>
    <row r="44137" spans="20:20" s="566" customFormat="1">
      <c r="T44137" s="41"/>
    </row>
    <row r="44138" spans="20:20" s="566" customFormat="1">
      <c r="T44138" s="41"/>
    </row>
    <row r="44139" spans="20:20" s="566" customFormat="1">
      <c r="T44139" s="41"/>
    </row>
    <row r="44140" spans="20:20" s="566" customFormat="1">
      <c r="T44140" s="41"/>
    </row>
    <row r="44141" spans="20:20" s="566" customFormat="1">
      <c r="T44141" s="41"/>
    </row>
    <row r="44142" spans="20:20" s="566" customFormat="1">
      <c r="T44142" s="41"/>
    </row>
    <row r="44143" spans="20:20" s="566" customFormat="1">
      <c r="T44143" s="41"/>
    </row>
    <row r="44144" spans="20:20" s="566" customFormat="1">
      <c r="T44144" s="41"/>
    </row>
    <row r="44145" spans="20:20" s="566" customFormat="1">
      <c r="T44145" s="41"/>
    </row>
    <row r="44146" spans="20:20" s="566" customFormat="1">
      <c r="T44146" s="41"/>
    </row>
    <row r="44147" spans="20:20" s="566" customFormat="1">
      <c r="T44147" s="41"/>
    </row>
    <row r="44148" spans="20:20" s="566" customFormat="1">
      <c r="T44148" s="41"/>
    </row>
    <row r="44149" spans="20:20" s="566" customFormat="1">
      <c r="T44149" s="41"/>
    </row>
    <row r="44150" spans="20:20" s="566" customFormat="1">
      <c r="T44150" s="41"/>
    </row>
    <row r="44151" spans="20:20" s="566" customFormat="1">
      <c r="T44151" s="41"/>
    </row>
    <row r="44152" spans="20:20" s="566" customFormat="1">
      <c r="T44152" s="41"/>
    </row>
    <row r="44153" spans="20:20" s="566" customFormat="1">
      <c r="T44153" s="41"/>
    </row>
    <row r="44154" spans="20:20" s="566" customFormat="1">
      <c r="T44154" s="41"/>
    </row>
    <row r="44155" spans="20:20" s="566" customFormat="1">
      <c r="T44155" s="41"/>
    </row>
    <row r="44156" spans="20:20" s="566" customFormat="1">
      <c r="T44156" s="41"/>
    </row>
    <row r="44157" spans="20:20" s="566" customFormat="1">
      <c r="T44157" s="41"/>
    </row>
    <row r="44158" spans="20:20" s="566" customFormat="1">
      <c r="T44158" s="41"/>
    </row>
    <row r="44159" spans="20:20" s="566" customFormat="1">
      <c r="T44159" s="41"/>
    </row>
    <row r="44160" spans="20:20" s="566" customFormat="1">
      <c r="T44160" s="41"/>
    </row>
    <row r="44161" spans="20:20" s="566" customFormat="1">
      <c r="T44161" s="41"/>
    </row>
    <row r="44162" spans="20:20" s="566" customFormat="1">
      <c r="T44162" s="41"/>
    </row>
    <row r="44163" spans="20:20" s="566" customFormat="1">
      <c r="T44163" s="41"/>
    </row>
    <row r="44164" spans="20:20" s="566" customFormat="1">
      <c r="T44164" s="41"/>
    </row>
    <row r="44165" spans="20:20" s="566" customFormat="1">
      <c r="T44165" s="41"/>
    </row>
    <row r="44166" spans="20:20" s="566" customFormat="1">
      <c r="T44166" s="41"/>
    </row>
    <row r="44167" spans="20:20" s="566" customFormat="1">
      <c r="T44167" s="41"/>
    </row>
    <row r="44168" spans="20:20" s="566" customFormat="1">
      <c r="T44168" s="41"/>
    </row>
    <row r="44169" spans="20:20" s="566" customFormat="1">
      <c r="T44169" s="41"/>
    </row>
    <row r="44170" spans="20:20" s="566" customFormat="1">
      <c r="T44170" s="41"/>
    </row>
    <row r="44171" spans="20:20" s="566" customFormat="1">
      <c r="T44171" s="41"/>
    </row>
    <row r="44172" spans="20:20" s="566" customFormat="1">
      <c r="T44172" s="41"/>
    </row>
    <row r="44173" spans="20:20" s="566" customFormat="1">
      <c r="T44173" s="41"/>
    </row>
    <row r="44174" spans="20:20" s="566" customFormat="1">
      <c r="T44174" s="41"/>
    </row>
    <row r="44175" spans="20:20" s="566" customFormat="1">
      <c r="T44175" s="41"/>
    </row>
    <row r="44176" spans="20:20" s="566" customFormat="1">
      <c r="T44176" s="41"/>
    </row>
    <row r="44177" spans="20:20" s="566" customFormat="1">
      <c r="T44177" s="41"/>
    </row>
    <row r="44178" spans="20:20" s="566" customFormat="1">
      <c r="T44178" s="41"/>
    </row>
    <row r="44179" spans="20:20" s="566" customFormat="1">
      <c r="T44179" s="41"/>
    </row>
    <row r="44180" spans="20:20" s="566" customFormat="1">
      <c r="T44180" s="41"/>
    </row>
    <row r="44181" spans="20:20" s="566" customFormat="1">
      <c r="T44181" s="41"/>
    </row>
    <row r="44182" spans="20:20" s="566" customFormat="1">
      <c r="T44182" s="41"/>
    </row>
    <row r="44183" spans="20:20" s="566" customFormat="1">
      <c r="T44183" s="41"/>
    </row>
    <row r="44184" spans="20:20" s="566" customFormat="1">
      <c r="T44184" s="41"/>
    </row>
    <row r="44185" spans="20:20" s="566" customFormat="1">
      <c r="T44185" s="41"/>
    </row>
    <row r="44186" spans="20:20" s="566" customFormat="1">
      <c r="T44186" s="41"/>
    </row>
    <row r="44187" spans="20:20" s="566" customFormat="1">
      <c r="T44187" s="41"/>
    </row>
    <row r="44188" spans="20:20" s="566" customFormat="1">
      <c r="T44188" s="41"/>
    </row>
    <row r="44189" spans="20:20" s="566" customFormat="1">
      <c r="T44189" s="41"/>
    </row>
    <row r="44190" spans="20:20" s="566" customFormat="1">
      <c r="T44190" s="41"/>
    </row>
    <row r="44191" spans="20:20" s="566" customFormat="1">
      <c r="T44191" s="41"/>
    </row>
    <row r="44192" spans="20:20" s="566" customFormat="1">
      <c r="T44192" s="41"/>
    </row>
    <row r="44193" spans="20:20" s="566" customFormat="1">
      <c r="T44193" s="41"/>
    </row>
    <row r="44194" spans="20:20" s="566" customFormat="1">
      <c r="T44194" s="41"/>
    </row>
    <row r="44195" spans="20:20" s="566" customFormat="1">
      <c r="T44195" s="41"/>
    </row>
    <row r="44196" spans="20:20" s="566" customFormat="1">
      <c r="T44196" s="41"/>
    </row>
    <row r="44197" spans="20:20" s="566" customFormat="1">
      <c r="T44197" s="41"/>
    </row>
    <row r="44198" spans="20:20" s="566" customFormat="1">
      <c r="T44198" s="41"/>
    </row>
    <row r="44199" spans="20:20" s="566" customFormat="1">
      <c r="T44199" s="41"/>
    </row>
    <row r="44200" spans="20:20" s="566" customFormat="1">
      <c r="T44200" s="41"/>
    </row>
    <row r="44201" spans="20:20" s="566" customFormat="1">
      <c r="T44201" s="41"/>
    </row>
    <row r="44202" spans="20:20" s="566" customFormat="1">
      <c r="T44202" s="41"/>
    </row>
    <row r="44203" spans="20:20" s="566" customFormat="1">
      <c r="T44203" s="41"/>
    </row>
    <row r="44204" spans="20:20" s="566" customFormat="1">
      <c r="T44204" s="41"/>
    </row>
    <row r="44205" spans="20:20" s="566" customFormat="1">
      <c r="T44205" s="41"/>
    </row>
    <row r="44206" spans="20:20" s="566" customFormat="1">
      <c r="T44206" s="41"/>
    </row>
    <row r="44207" spans="20:20" s="566" customFormat="1">
      <c r="T44207" s="41"/>
    </row>
    <row r="44208" spans="20:20" s="566" customFormat="1">
      <c r="T44208" s="41"/>
    </row>
    <row r="44209" spans="20:20" s="566" customFormat="1">
      <c r="T44209" s="41"/>
    </row>
    <row r="44210" spans="20:20" s="566" customFormat="1">
      <c r="T44210" s="41"/>
    </row>
    <row r="44211" spans="20:20" s="566" customFormat="1">
      <c r="T44211" s="41"/>
    </row>
    <row r="44212" spans="20:20" s="566" customFormat="1">
      <c r="T44212" s="41"/>
    </row>
    <row r="44213" spans="20:20" s="566" customFormat="1">
      <c r="T44213" s="41"/>
    </row>
    <row r="44214" spans="20:20" s="566" customFormat="1">
      <c r="T44214" s="41"/>
    </row>
    <row r="44215" spans="20:20" s="566" customFormat="1">
      <c r="T44215" s="41"/>
    </row>
    <row r="44216" spans="20:20" s="566" customFormat="1">
      <c r="T44216" s="41"/>
    </row>
    <row r="44217" spans="20:20" s="566" customFormat="1">
      <c r="T44217" s="41"/>
    </row>
    <row r="44218" spans="20:20" s="566" customFormat="1">
      <c r="T44218" s="41"/>
    </row>
    <row r="44219" spans="20:20" s="566" customFormat="1">
      <c r="T44219" s="41"/>
    </row>
    <row r="44220" spans="20:20" s="566" customFormat="1">
      <c r="T44220" s="41"/>
    </row>
    <row r="44221" spans="20:20" s="566" customFormat="1">
      <c r="T44221" s="41"/>
    </row>
    <row r="44222" spans="20:20" s="566" customFormat="1">
      <c r="T44222" s="41"/>
    </row>
    <row r="44223" spans="20:20" s="566" customFormat="1">
      <c r="T44223" s="41"/>
    </row>
    <row r="44224" spans="20:20" s="566" customFormat="1">
      <c r="T44224" s="41"/>
    </row>
    <row r="44225" spans="20:20" s="566" customFormat="1">
      <c r="T44225" s="41"/>
    </row>
    <row r="44226" spans="20:20" s="566" customFormat="1">
      <c r="T44226" s="41"/>
    </row>
    <row r="44227" spans="20:20" s="566" customFormat="1">
      <c r="T44227" s="41"/>
    </row>
    <row r="44228" spans="20:20" s="566" customFormat="1">
      <c r="T44228" s="41"/>
    </row>
    <row r="44229" spans="20:20" s="566" customFormat="1">
      <c r="T44229" s="41"/>
    </row>
    <row r="44230" spans="20:20" s="566" customFormat="1">
      <c r="T44230" s="41"/>
    </row>
    <row r="44231" spans="20:20" s="566" customFormat="1">
      <c r="T44231" s="41"/>
    </row>
    <row r="44232" spans="20:20" s="566" customFormat="1">
      <c r="T44232" s="41"/>
    </row>
    <row r="44233" spans="20:20" s="566" customFormat="1">
      <c r="T44233" s="41"/>
    </row>
    <row r="44234" spans="20:20" s="566" customFormat="1">
      <c r="T44234" s="41"/>
    </row>
    <row r="44235" spans="20:20" s="566" customFormat="1">
      <c r="T44235" s="41"/>
    </row>
    <row r="44236" spans="20:20" s="566" customFormat="1">
      <c r="T44236" s="41"/>
    </row>
    <row r="44237" spans="20:20" s="566" customFormat="1">
      <c r="T44237" s="41"/>
    </row>
    <row r="44238" spans="20:20" s="566" customFormat="1">
      <c r="T44238" s="41"/>
    </row>
    <row r="44239" spans="20:20" s="566" customFormat="1">
      <c r="T44239" s="41"/>
    </row>
    <row r="44240" spans="20:20" s="566" customFormat="1">
      <c r="T44240" s="41"/>
    </row>
    <row r="44241" spans="20:20" s="566" customFormat="1">
      <c r="T44241" s="41"/>
    </row>
    <row r="44242" spans="20:20" s="566" customFormat="1">
      <c r="T44242" s="41"/>
    </row>
    <row r="44243" spans="20:20" s="566" customFormat="1">
      <c r="T44243" s="41"/>
    </row>
    <row r="44244" spans="20:20" s="566" customFormat="1">
      <c r="T44244" s="41"/>
    </row>
    <row r="44245" spans="20:20" s="566" customFormat="1">
      <c r="T44245" s="41"/>
    </row>
    <row r="44246" spans="20:20" s="566" customFormat="1">
      <c r="T44246" s="41"/>
    </row>
    <row r="44247" spans="20:20" s="566" customFormat="1">
      <c r="T44247" s="41"/>
    </row>
    <row r="44248" spans="20:20" s="566" customFormat="1">
      <c r="T44248" s="41"/>
    </row>
    <row r="44249" spans="20:20" s="566" customFormat="1">
      <c r="T44249" s="41"/>
    </row>
    <row r="44250" spans="20:20" s="566" customFormat="1">
      <c r="T44250" s="41"/>
    </row>
    <row r="44251" spans="20:20" s="566" customFormat="1">
      <c r="T44251" s="41"/>
    </row>
    <row r="44252" spans="20:20" s="566" customFormat="1">
      <c r="T44252" s="41"/>
    </row>
    <row r="44253" spans="20:20" s="566" customFormat="1">
      <c r="T44253" s="41"/>
    </row>
    <row r="44254" spans="20:20" s="566" customFormat="1">
      <c r="T44254" s="41"/>
    </row>
    <row r="44255" spans="20:20" s="566" customFormat="1">
      <c r="T44255" s="41"/>
    </row>
    <row r="44256" spans="20:20" s="566" customFormat="1">
      <c r="T44256" s="41"/>
    </row>
    <row r="44257" spans="20:20" s="566" customFormat="1">
      <c r="T44257" s="41"/>
    </row>
    <row r="44258" spans="20:20" s="566" customFormat="1">
      <c r="T44258" s="41"/>
    </row>
    <row r="44259" spans="20:20" s="566" customFormat="1">
      <c r="T44259" s="41"/>
    </row>
    <row r="44260" spans="20:20" s="566" customFormat="1">
      <c r="T44260" s="41"/>
    </row>
    <row r="44261" spans="20:20" s="566" customFormat="1">
      <c r="T44261" s="41"/>
    </row>
    <row r="44262" spans="20:20" s="566" customFormat="1">
      <c r="T44262" s="41"/>
    </row>
    <row r="44263" spans="20:20" s="566" customFormat="1">
      <c r="T44263" s="41"/>
    </row>
    <row r="44264" spans="20:20" s="566" customFormat="1">
      <c r="T44264" s="41"/>
    </row>
    <row r="44265" spans="20:20" s="566" customFormat="1">
      <c r="T44265" s="41"/>
    </row>
    <row r="44266" spans="20:20" s="566" customFormat="1">
      <c r="T44266" s="41"/>
    </row>
    <row r="44267" spans="20:20" s="566" customFormat="1">
      <c r="T44267" s="41"/>
    </row>
    <row r="44268" spans="20:20" s="566" customFormat="1">
      <c r="T44268" s="41"/>
    </row>
    <row r="44269" spans="20:20" s="566" customFormat="1">
      <c r="T44269" s="41"/>
    </row>
    <row r="44270" spans="20:20" s="566" customFormat="1">
      <c r="T44270" s="41"/>
    </row>
    <row r="44271" spans="20:20" s="566" customFormat="1">
      <c r="T44271" s="41"/>
    </row>
    <row r="44272" spans="20:20" s="566" customFormat="1">
      <c r="T44272" s="41"/>
    </row>
    <row r="44273" spans="20:20" s="566" customFormat="1">
      <c r="T44273" s="41"/>
    </row>
    <row r="44274" spans="20:20" s="566" customFormat="1">
      <c r="T44274" s="41"/>
    </row>
    <row r="44275" spans="20:20" s="566" customFormat="1">
      <c r="T44275" s="41"/>
    </row>
    <row r="44276" spans="20:20" s="566" customFormat="1">
      <c r="T44276" s="41"/>
    </row>
    <row r="44277" spans="20:20" s="566" customFormat="1">
      <c r="T44277" s="41"/>
    </row>
    <row r="44278" spans="20:20" s="566" customFormat="1">
      <c r="T44278" s="41"/>
    </row>
    <row r="44279" spans="20:20" s="566" customFormat="1">
      <c r="T44279" s="41"/>
    </row>
    <row r="44280" spans="20:20" s="566" customFormat="1">
      <c r="T44280" s="41"/>
    </row>
    <row r="44281" spans="20:20" s="566" customFormat="1">
      <c r="T44281" s="41"/>
    </row>
    <row r="44282" spans="20:20" s="566" customFormat="1">
      <c r="T44282" s="41"/>
    </row>
    <row r="44283" spans="20:20" s="566" customFormat="1">
      <c r="T44283" s="41"/>
    </row>
    <row r="44284" spans="20:20" s="566" customFormat="1">
      <c r="T44284" s="41"/>
    </row>
    <row r="44285" spans="20:20" s="566" customFormat="1">
      <c r="T44285" s="41"/>
    </row>
    <row r="44286" spans="20:20" s="566" customFormat="1">
      <c r="T44286" s="41"/>
    </row>
    <row r="44287" spans="20:20" s="566" customFormat="1">
      <c r="T44287" s="41"/>
    </row>
    <row r="44288" spans="20:20" s="566" customFormat="1">
      <c r="T44288" s="41"/>
    </row>
    <row r="44289" spans="20:20" s="566" customFormat="1">
      <c r="T44289" s="41"/>
    </row>
    <row r="44290" spans="20:20" s="566" customFormat="1">
      <c r="T44290" s="41"/>
    </row>
    <row r="44291" spans="20:20" s="566" customFormat="1">
      <c r="T44291" s="41"/>
    </row>
    <row r="44292" spans="20:20" s="566" customFormat="1">
      <c r="T44292" s="41"/>
    </row>
    <row r="44293" spans="20:20" s="566" customFormat="1">
      <c r="T44293" s="41"/>
    </row>
    <row r="44294" spans="20:20" s="566" customFormat="1">
      <c r="T44294" s="41"/>
    </row>
    <row r="44295" spans="20:20" s="566" customFormat="1">
      <c r="T44295" s="41"/>
    </row>
    <row r="44296" spans="20:20" s="566" customFormat="1">
      <c r="T44296" s="41"/>
    </row>
    <row r="44297" spans="20:20" s="566" customFormat="1">
      <c r="T44297" s="41"/>
    </row>
    <row r="44298" spans="20:20" s="566" customFormat="1">
      <c r="T44298" s="41"/>
    </row>
    <row r="44299" spans="20:20" s="566" customFormat="1">
      <c r="T44299" s="41"/>
    </row>
    <row r="44300" spans="20:20" s="566" customFormat="1">
      <c r="T44300" s="41"/>
    </row>
    <row r="44301" spans="20:20" s="566" customFormat="1">
      <c r="T44301" s="41"/>
    </row>
    <row r="44302" spans="20:20" s="566" customFormat="1">
      <c r="T44302" s="41"/>
    </row>
    <row r="44303" spans="20:20" s="566" customFormat="1">
      <c r="T44303" s="41"/>
    </row>
    <row r="44304" spans="20:20" s="566" customFormat="1">
      <c r="T44304" s="41"/>
    </row>
    <row r="44305" spans="20:20" s="566" customFormat="1">
      <c r="T44305" s="41"/>
    </row>
    <row r="44306" spans="20:20" s="566" customFormat="1">
      <c r="T44306" s="41"/>
    </row>
    <row r="44307" spans="20:20" s="566" customFormat="1">
      <c r="T44307" s="41"/>
    </row>
    <row r="44308" spans="20:20" s="566" customFormat="1">
      <c r="T44308" s="41"/>
    </row>
    <row r="44309" spans="20:20" s="566" customFormat="1">
      <c r="T44309" s="41"/>
    </row>
    <row r="44310" spans="20:20" s="566" customFormat="1">
      <c r="T44310" s="41"/>
    </row>
    <row r="44311" spans="20:20" s="566" customFormat="1">
      <c r="T44311" s="41"/>
    </row>
    <row r="44312" spans="20:20" s="566" customFormat="1">
      <c r="T44312" s="41"/>
    </row>
    <row r="44313" spans="20:20" s="566" customFormat="1">
      <c r="T44313" s="41"/>
    </row>
    <row r="44314" spans="20:20" s="566" customFormat="1">
      <c r="T44314" s="41"/>
    </row>
    <row r="44315" spans="20:20" s="566" customFormat="1">
      <c r="T44315" s="41"/>
    </row>
    <row r="44316" spans="20:20" s="566" customFormat="1">
      <c r="T44316" s="41"/>
    </row>
    <row r="44317" spans="20:20" s="566" customFormat="1">
      <c r="T44317" s="41"/>
    </row>
    <row r="44318" spans="20:20" s="566" customFormat="1">
      <c r="T44318" s="41"/>
    </row>
    <row r="44319" spans="20:20" s="566" customFormat="1">
      <c r="T44319" s="41"/>
    </row>
    <row r="44320" spans="20:20" s="566" customFormat="1">
      <c r="T44320" s="41"/>
    </row>
    <row r="44321" spans="20:20" s="566" customFormat="1">
      <c r="T44321" s="41"/>
    </row>
    <row r="44322" spans="20:20" s="566" customFormat="1">
      <c r="T44322" s="41"/>
    </row>
    <row r="44323" spans="20:20" s="566" customFormat="1">
      <c r="T44323" s="41"/>
    </row>
    <row r="44324" spans="20:20" s="566" customFormat="1">
      <c r="T44324" s="41"/>
    </row>
    <row r="44325" spans="20:20" s="566" customFormat="1">
      <c r="T44325" s="41"/>
    </row>
    <row r="44326" spans="20:20" s="566" customFormat="1">
      <c r="T44326" s="41"/>
    </row>
    <row r="44327" spans="20:20" s="566" customFormat="1">
      <c r="T44327" s="41"/>
    </row>
    <row r="44328" spans="20:20" s="566" customFormat="1">
      <c r="T44328" s="41"/>
    </row>
    <row r="44329" spans="20:20" s="566" customFormat="1">
      <c r="T44329" s="41"/>
    </row>
    <row r="44330" spans="20:20" s="566" customFormat="1">
      <c r="T44330" s="41"/>
    </row>
    <row r="44331" spans="20:20" s="566" customFormat="1">
      <c r="T44331" s="41"/>
    </row>
    <row r="44332" spans="20:20" s="566" customFormat="1">
      <c r="T44332" s="41"/>
    </row>
    <row r="44333" spans="20:20" s="566" customFormat="1">
      <c r="T44333" s="41"/>
    </row>
    <row r="44334" spans="20:20" s="566" customFormat="1">
      <c r="T44334" s="41"/>
    </row>
    <row r="44335" spans="20:20" s="566" customFormat="1">
      <c r="T44335" s="41"/>
    </row>
    <row r="44336" spans="20:20" s="566" customFormat="1">
      <c r="T44336" s="41"/>
    </row>
    <row r="44337" spans="20:20" s="566" customFormat="1">
      <c r="T44337" s="41"/>
    </row>
    <row r="44338" spans="20:20" s="566" customFormat="1">
      <c r="T44338" s="41"/>
    </row>
    <row r="44339" spans="20:20" s="566" customFormat="1">
      <c r="T44339" s="41"/>
    </row>
    <row r="44340" spans="20:20" s="566" customFormat="1">
      <c r="T44340" s="41"/>
    </row>
    <row r="44341" spans="20:20" s="566" customFormat="1">
      <c r="T44341" s="41"/>
    </row>
    <row r="44342" spans="20:20" s="566" customFormat="1">
      <c r="T44342" s="41"/>
    </row>
    <row r="44343" spans="20:20" s="566" customFormat="1">
      <c r="T44343" s="41"/>
    </row>
    <row r="44344" spans="20:20" s="566" customFormat="1">
      <c r="T44344" s="41"/>
    </row>
    <row r="44345" spans="20:20" s="566" customFormat="1">
      <c r="T44345" s="41"/>
    </row>
    <row r="44346" spans="20:20" s="566" customFormat="1">
      <c r="T44346" s="41"/>
    </row>
    <row r="44347" spans="20:20" s="566" customFormat="1">
      <c r="T44347" s="41"/>
    </row>
    <row r="44348" spans="20:20" s="566" customFormat="1">
      <c r="T44348" s="41"/>
    </row>
    <row r="44349" spans="20:20" s="566" customFormat="1">
      <c r="T44349" s="41"/>
    </row>
    <row r="44350" spans="20:20" s="566" customFormat="1">
      <c r="T44350" s="41"/>
    </row>
    <row r="44351" spans="20:20" s="566" customFormat="1">
      <c r="T44351" s="41"/>
    </row>
    <row r="44352" spans="20:20" s="566" customFormat="1">
      <c r="T44352" s="41"/>
    </row>
    <row r="44353" spans="20:20" s="566" customFormat="1">
      <c r="T44353" s="41"/>
    </row>
    <row r="44354" spans="20:20" s="566" customFormat="1">
      <c r="T44354" s="41"/>
    </row>
    <row r="44355" spans="20:20" s="566" customFormat="1">
      <c r="T44355" s="41"/>
    </row>
    <row r="44356" spans="20:20" s="566" customFormat="1">
      <c r="T44356" s="41"/>
    </row>
    <row r="44357" spans="20:20" s="566" customFormat="1">
      <c r="T44357" s="41"/>
    </row>
    <row r="44358" spans="20:20" s="566" customFormat="1">
      <c r="T44358" s="41"/>
    </row>
    <row r="44359" spans="20:20" s="566" customFormat="1">
      <c r="T44359" s="41"/>
    </row>
    <row r="44360" spans="20:20" s="566" customFormat="1">
      <c r="T44360" s="41"/>
    </row>
    <row r="44361" spans="20:20" s="566" customFormat="1">
      <c r="T44361" s="41"/>
    </row>
    <row r="44362" spans="20:20" s="566" customFormat="1">
      <c r="T44362" s="41"/>
    </row>
    <row r="44363" spans="20:20" s="566" customFormat="1">
      <c r="T44363" s="41"/>
    </row>
    <row r="44364" spans="20:20" s="566" customFormat="1">
      <c r="T44364" s="41"/>
    </row>
    <row r="44365" spans="20:20" s="566" customFormat="1">
      <c r="T44365" s="41"/>
    </row>
    <row r="44366" spans="20:20" s="566" customFormat="1">
      <c r="T44366" s="41"/>
    </row>
    <row r="44367" spans="20:20" s="566" customFormat="1">
      <c r="T44367" s="41"/>
    </row>
    <row r="44368" spans="20:20" s="566" customFormat="1">
      <c r="T44368" s="41"/>
    </row>
    <row r="44369" spans="20:20" s="566" customFormat="1">
      <c r="T44369" s="41"/>
    </row>
    <row r="44370" spans="20:20" s="566" customFormat="1">
      <c r="T44370" s="41"/>
    </row>
    <row r="44371" spans="20:20" s="566" customFormat="1">
      <c r="T44371" s="41"/>
    </row>
    <row r="44372" spans="20:20" s="566" customFormat="1">
      <c r="T44372" s="41"/>
    </row>
    <row r="44373" spans="20:20" s="566" customFormat="1">
      <c r="T44373" s="41"/>
    </row>
    <row r="44374" spans="20:20" s="566" customFormat="1">
      <c r="T44374" s="41"/>
    </row>
    <row r="44375" spans="20:20" s="566" customFormat="1">
      <c r="T44375" s="41"/>
    </row>
    <row r="44376" spans="20:20" s="566" customFormat="1">
      <c r="T44376" s="41"/>
    </row>
    <row r="44377" spans="20:20" s="566" customFormat="1">
      <c r="T44377" s="41"/>
    </row>
    <row r="44378" spans="20:20" s="566" customFormat="1">
      <c r="T44378" s="41"/>
    </row>
    <row r="44379" spans="20:20" s="566" customFormat="1">
      <c r="T44379" s="41"/>
    </row>
    <row r="44380" spans="20:20" s="566" customFormat="1">
      <c r="T44380" s="41"/>
    </row>
    <row r="44381" spans="20:20" s="566" customFormat="1">
      <c r="T44381" s="41"/>
    </row>
    <row r="44382" spans="20:20" s="566" customFormat="1">
      <c r="T44382" s="41"/>
    </row>
    <row r="44383" spans="20:20" s="566" customFormat="1">
      <c r="T44383" s="41"/>
    </row>
    <row r="44384" spans="20:20" s="566" customFormat="1">
      <c r="T44384" s="41"/>
    </row>
    <row r="44385" spans="20:20" s="566" customFormat="1">
      <c r="T44385" s="41"/>
    </row>
    <row r="44386" spans="20:20" s="566" customFormat="1">
      <c r="T44386" s="41"/>
    </row>
    <row r="44387" spans="20:20" s="566" customFormat="1">
      <c r="T44387" s="41"/>
    </row>
    <row r="44388" spans="20:20" s="566" customFormat="1">
      <c r="T44388" s="41"/>
    </row>
    <row r="44389" spans="20:20" s="566" customFormat="1">
      <c r="T44389" s="41"/>
    </row>
    <row r="44390" spans="20:20" s="566" customFormat="1">
      <c r="T44390" s="41"/>
    </row>
    <row r="44391" spans="20:20" s="566" customFormat="1">
      <c r="T44391" s="41"/>
    </row>
    <row r="44392" spans="20:20" s="566" customFormat="1">
      <c r="T44392" s="41"/>
    </row>
    <row r="44393" spans="20:20" s="566" customFormat="1">
      <c r="T44393" s="41"/>
    </row>
    <row r="44394" spans="20:20" s="566" customFormat="1">
      <c r="T44394" s="41"/>
    </row>
    <row r="44395" spans="20:20" s="566" customFormat="1">
      <c r="T44395" s="41"/>
    </row>
    <row r="44396" spans="20:20" s="566" customFormat="1">
      <c r="T44396" s="41"/>
    </row>
    <row r="44397" spans="20:20" s="566" customFormat="1">
      <c r="T44397" s="41"/>
    </row>
    <row r="44398" spans="20:20" s="566" customFormat="1">
      <c r="T44398" s="41"/>
    </row>
    <row r="44399" spans="20:20" s="566" customFormat="1">
      <c r="T44399" s="41"/>
    </row>
    <row r="44400" spans="20:20" s="566" customFormat="1">
      <c r="T44400" s="41"/>
    </row>
    <row r="44401" spans="20:20" s="566" customFormat="1">
      <c r="T44401" s="41"/>
    </row>
    <row r="44402" spans="20:20" s="566" customFormat="1">
      <c r="T44402" s="41"/>
    </row>
    <row r="44403" spans="20:20" s="566" customFormat="1">
      <c r="T44403" s="41"/>
    </row>
    <row r="44404" spans="20:20" s="566" customFormat="1">
      <c r="T44404" s="41"/>
    </row>
    <row r="44405" spans="20:20" s="566" customFormat="1">
      <c r="T44405" s="41"/>
    </row>
    <row r="44406" spans="20:20" s="566" customFormat="1">
      <c r="T44406" s="41"/>
    </row>
    <row r="44407" spans="20:20" s="566" customFormat="1">
      <c r="T44407" s="41"/>
    </row>
    <row r="44408" spans="20:20" s="566" customFormat="1">
      <c r="T44408" s="41"/>
    </row>
    <row r="44409" spans="20:20" s="566" customFormat="1">
      <c r="T44409" s="41"/>
    </row>
    <row r="44410" spans="20:20" s="566" customFormat="1">
      <c r="T44410" s="41"/>
    </row>
    <row r="44411" spans="20:20" s="566" customFormat="1">
      <c r="T44411" s="41"/>
    </row>
    <row r="44412" spans="20:20" s="566" customFormat="1">
      <c r="T44412" s="41"/>
    </row>
    <row r="44413" spans="20:20" s="566" customFormat="1">
      <c r="T44413" s="41"/>
    </row>
    <row r="44414" spans="20:20" s="566" customFormat="1">
      <c r="T44414" s="41"/>
    </row>
    <row r="44415" spans="20:20" s="566" customFormat="1">
      <c r="T44415" s="41"/>
    </row>
    <row r="44416" spans="20:20" s="566" customFormat="1">
      <c r="T44416" s="41"/>
    </row>
    <row r="44417" spans="20:20" s="566" customFormat="1">
      <c r="T44417" s="41"/>
    </row>
    <row r="44418" spans="20:20" s="566" customFormat="1">
      <c r="T44418" s="41"/>
    </row>
    <row r="44419" spans="20:20" s="566" customFormat="1">
      <c r="T44419" s="41"/>
    </row>
    <row r="44420" spans="20:20" s="566" customFormat="1">
      <c r="T44420" s="41"/>
    </row>
    <row r="44421" spans="20:20" s="566" customFormat="1">
      <c r="T44421" s="41"/>
    </row>
    <row r="44422" spans="20:20" s="566" customFormat="1">
      <c r="T44422" s="41"/>
    </row>
    <row r="44423" spans="20:20" s="566" customFormat="1">
      <c r="T44423" s="41"/>
    </row>
    <row r="44424" spans="20:20" s="566" customFormat="1">
      <c r="T44424" s="41"/>
    </row>
    <row r="44425" spans="20:20" s="566" customFormat="1">
      <c r="T44425" s="41"/>
    </row>
    <row r="44426" spans="20:20" s="566" customFormat="1">
      <c r="T44426" s="41"/>
    </row>
    <row r="44427" spans="20:20" s="566" customFormat="1">
      <c r="T44427" s="41"/>
    </row>
    <row r="44428" spans="20:20" s="566" customFormat="1">
      <c r="T44428" s="41"/>
    </row>
    <row r="44429" spans="20:20" s="566" customFormat="1">
      <c r="T44429" s="41"/>
    </row>
    <row r="44430" spans="20:20" s="566" customFormat="1">
      <c r="T44430" s="41"/>
    </row>
    <row r="44431" spans="20:20" s="566" customFormat="1">
      <c r="T44431" s="41"/>
    </row>
    <row r="44432" spans="20:20" s="566" customFormat="1">
      <c r="T44432" s="41"/>
    </row>
    <row r="44433" spans="20:20" s="566" customFormat="1">
      <c r="T44433" s="41"/>
    </row>
    <row r="44434" spans="20:20" s="566" customFormat="1">
      <c r="T44434" s="41"/>
    </row>
    <row r="44435" spans="20:20" s="566" customFormat="1">
      <c r="T44435" s="41"/>
    </row>
    <row r="44436" spans="20:20" s="566" customFormat="1">
      <c r="T44436" s="41"/>
    </row>
    <row r="44437" spans="20:20" s="566" customFormat="1">
      <c r="T44437" s="41"/>
    </row>
    <row r="44438" spans="20:20" s="566" customFormat="1">
      <c r="T44438" s="41"/>
    </row>
    <row r="44439" spans="20:20" s="566" customFormat="1">
      <c r="T44439" s="41"/>
    </row>
    <row r="44440" spans="20:20" s="566" customFormat="1">
      <c r="T44440" s="41"/>
    </row>
    <row r="44441" spans="20:20" s="566" customFormat="1">
      <c r="T44441" s="41"/>
    </row>
    <row r="44442" spans="20:20" s="566" customFormat="1">
      <c r="T44442" s="41"/>
    </row>
    <row r="44443" spans="20:20" s="566" customFormat="1">
      <c r="T44443" s="41"/>
    </row>
    <row r="44444" spans="20:20" s="566" customFormat="1">
      <c r="T44444" s="41"/>
    </row>
    <row r="44445" spans="20:20" s="566" customFormat="1">
      <c r="T44445" s="41"/>
    </row>
    <row r="44446" spans="20:20" s="566" customFormat="1">
      <c r="T44446" s="41"/>
    </row>
    <row r="44447" spans="20:20" s="566" customFormat="1">
      <c r="T44447" s="41"/>
    </row>
    <row r="44448" spans="20:20" s="566" customFormat="1">
      <c r="T44448" s="41"/>
    </row>
    <row r="44449" spans="20:20" s="566" customFormat="1">
      <c r="T44449" s="41"/>
    </row>
    <row r="44450" spans="20:20" s="566" customFormat="1">
      <c r="T44450" s="41"/>
    </row>
    <row r="44451" spans="20:20" s="566" customFormat="1">
      <c r="T44451" s="41"/>
    </row>
    <row r="44452" spans="20:20" s="566" customFormat="1">
      <c r="T44452" s="41"/>
    </row>
    <row r="44453" spans="20:20" s="566" customFormat="1">
      <c r="T44453" s="41"/>
    </row>
    <row r="44454" spans="20:20" s="566" customFormat="1">
      <c r="T44454" s="41"/>
    </row>
    <row r="44455" spans="20:20" s="566" customFormat="1">
      <c r="T44455" s="41"/>
    </row>
    <row r="44456" spans="20:20" s="566" customFormat="1">
      <c r="T44456" s="41"/>
    </row>
    <row r="44457" spans="20:20" s="566" customFormat="1">
      <c r="T44457" s="41"/>
    </row>
    <row r="44458" spans="20:20" s="566" customFormat="1">
      <c r="T44458" s="41"/>
    </row>
    <row r="44459" spans="20:20" s="566" customFormat="1">
      <c r="T44459" s="41"/>
    </row>
    <row r="44460" spans="20:20" s="566" customFormat="1">
      <c r="T44460" s="41"/>
    </row>
    <row r="44461" spans="20:20" s="566" customFormat="1">
      <c r="T44461" s="41"/>
    </row>
    <row r="44462" spans="20:20" s="566" customFormat="1">
      <c r="T44462" s="41"/>
    </row>
    <row r="44463" spans="20:20" s="566" customFormat="1">
      <c r="T44463" s="41"/>
    </row>
    <row r="44464" spans="20:20" s="566" customFormat="1">
      <c r="T44464" s="41"/>
    </row>
    <row r="44465" spans="20:20" s="566" customFormat="1">
      <c r="T44465" s="41"/>
    </row>
    <row r="44466" spans="20:20" s="566" customFormat="1">
      <c r="T44466" s="41"/>
    </row>
    <row r="44467" spans="20:20" s="566" customFormat="1">
      <c r="T44467" s="41"/>
    </row>
    <row r="44468" spans="20:20" s="566" customFormat="1">
      <c r="T44468" s="41"/>
    </row>
    <row r="44469" spans="20:20" s="566" customFormat="1">
      <c r="T44469" s="41"/>
    </row>
    <row r="44470" spans="20:20" s="566" customFormat="1">
      <c r="T44470" s="41"/>
    </row>
    <row r="44471" spans="20:20" s="566" customFormat="1">
      <c r="T44471" s="41"/>
    </row>
    <row r="44472" spans="20:20" s="566" customFormat="1">
      <c r="T44472" s="41"/>
    </row>
    <row r="44473" spans="20:20" s="566" customFormat="1">
      <c r="T44473" s="41"/>
    </row>
    <row r="44474" spans="20:20" s="566" customFormat="1">
      <c r="T44474" s="41"/>
    </row>
    <row r="44475" spans="20:20" s="566" customFormat="1">
      <c r="T44475" s="41"/>
    </row>
    <row r="44476" spans="20:20" s="566" customFormat="1">
      <c r="T44476" s="41"/>
    </row>
    <row r="44477" spans="20:20" s="566" customFormat="1">
      <c r="T44477" s="41"/>
    </row>
    <row r="44478" spans="20:20" s="566" customFormat="1">
      <c r="T44478" s="41"/>
    </row>
    <row r="44479" spans="20:20" s="566" customFormat="1">
      <c r="T44479" s="41"/>
    </row>
    <row r="44480" spans="20:20" s="566" customFormat="1">
      <c r="T44480" s="41"/>
    </row>
    <row r="44481" spans="20:20" s="566" customFormat="1">
      <c r="T44481" s="41"/>
    </row>
    <row r="44482" spans="20:20" s="566" customFormat="1">
      <c r="T44482" s="41"/>
    </row>
    <row r="44483" spans="20:20" s="566" customFormat="1">
      <c r="T44483" s="41"/>
    </row>
    <row r="44484" spans="20:20" s="566" customFormat="1">
      <c r="T44484" s="41"/>
    </row>
    <row r="44485" spans="20:20" s="566" customFormat="1">
      <c r="T44485" s="41"/>
    </row>
    <row r="44486" spans="20:20" s="566" customFormat="1">
      <c r="T44486" s="41"/>
    </row>
    <row r="44487" spans="20:20" s="566" customFormat="1">
      <c r="T44487" s="41"/>
    </row>
    <row r="44488" spans="20:20" s="566" customFormat="1">
      <c r="T44488" s="41"/>
    </row>
    <row r="44489" spans="20:20" s="566" customFormat="1">
      <c r="T44489" s="41"/>
    </row>
    <row r="44490" spans="20:20" s="566" customFormat="1">
      <c r="T44490" s="41"/>
    </row>
    <row r="44491" spans="20:20" s="566" customFormat="1">
      <c r="T44491" s="41"/>
    </row>
    <row r="44492" spans="20:20" s="566" customFormat="1">
      <c r="T44492" s="41"/>
    </row>
    <row r="44493" spans="20:20" s="566" customFormat="1">
      <c r="T44493" s="41"/>
    </row>
    <row r="44494" spans="20:20" s="566" customFormat="1">
      <c r="T44494" s="41"/>
    </row>
    <row r="44495" spans="20:20" s="566" customFormat="1">
      <c r="T44495" s="41"/>
    </row>
    <row r="44496" spans="20:20" s="566" customFormat="1">
      <c r="T44496" s="41"/>
    </row>
    <row r="44497" spans="20:20" s="566" customFormat="1">
      <c r="T44497" s="41"/>
    </row>
    <row r="44498" spans="20:20" s="566" customFormat="1">
      <c r="T44498" s="41"/>
    </row>
    <row r="44499" spans="20:20" s="566" customFormat="1">
      <c r="T44499" s="41"/>
    </row>
    <row r="44500" spans="20:20" s="566" customFormat="1">
      <c r="T44500" s="41"/>
    </row>
    <row r="44501" spans="20:20" s="566" customFormat="1">
      <c r="T44501" s="41"/>
    </row>
    <row r="44502" spans="20:20" s="566" customFormat="1">
      <c r="T44502" s="41"/>
    </row>
    <row r="44503" spans="20:20" s="566" customFormat="1">
      <c r="T44503" s="41"/>
    </row>
    <row r="44504" spans="20:20" s="566" customFormat="1">
      <c r="T44504" s="41"/>
    </row>
    <row r="44505" spans="20:20" s="566" customFormat="1">
      <c r="T44505" s="41"/>
    </row>
    <row r="44506" spans="20:20" s="566" customFormat="1">
      <c r="T44506" s="41"/>
    </row>
    <row r="44507" spans="20:20" s="566" customFormat="1">
      <c r="T44507" s="41"/>
    </row>
    <row r="44508" spans="20:20" s="566" customFormat="1">
      <c r="T44508" s="41"/>
    </row>
    <row r="44509" spans="20:20" s="566" customFormat="1">
      <c r="T44509" s="41"/>
    </row>
    <row r="44510" spans="20:20" s="566" customFormat="1">
      <c r="T44510" s="41"/>
    </row>
    <row r="44511" spans="20:20" s="566" customFormat="1">
      <c r="T44511" s="41"/>
    </row>
    <row r="44512" spans="20:20" s="566" customFormat="1">
      <c r="T44512" s="41"/>
    </row>
    <row r="44513" spans="20:20" s="566" customFormat="1">
      <c r="T44513" s="41"/>
    </row>
    <row r="44514" spans="20:20" s="566" customFormat="1">
      <c r="T44514" s="41"/>
    </row>
    <row r="44515" spans="20:20" s="566" customFormat="1">
      <c r="T44515" s="41"/>
    </row>
    <row r="44516" spans="20:20" s="566" customFormat="1">
      <c r="T44516" s="41"/>
    </row>
    <row r="44517" spans="20:20" s="566" customFormat="1">
      <c r="T44517" s="41"/>
    </row>
    <row r="44518" spans="20:20" s="566" customFormat="1">
      <c r="T44518" s="41"/>
    </row>
    <row r="44519" spans="20:20" s="566" customFormat="1">
      <c r="T44519" s="41"/>
    </row>
    <row r="44520" spans="20:20" s="566" customFormat="1">
      <c r="T44520" s="41"/>
    </row>
    <row r="44521" spans="20:20" s="566" customFormat="1">
      <c r="T44521" s="41"/>
    </row>
    <row r="44522" spans="20:20" s="566" customFormat="1">
      <c r="T44522" s="41"/>
    </row>
    <row r="44523" spans="20:20" s="566" customFormat="1">
      <c r="T44523" s="41"/>
    </row>
    <row r="44524" spans="20:20" s="566" customFormat="1">
      <c r="T44524" s="41"/>
    </row>
    <row r="44525" spans="20:20" s="566" customFormat="1">
      <c r="T44525" s="41"/>
    </row>
    <row r="44526" spans="20:20" s="566" customFormat="1">
      <c r="T44526" s="41"/>
    </row>
    <row r="44527" spans="20:20" s="566" customFormat="1">
      <c r="T44527" s="41"/>
    </row>
    <row r="44528" spans="20:20" s="566" customFormat="1">
      <c r="T44528" s="41"/>
    </row>
    <row r="44529" spans="20:20" s="566" customFormat="1">
      <c r="T44529" s="41"/>
    </row>
    <row r="44530" spans="20:20" s="566" customFormat="1">
      <c r="T44530" s="41"/>
    </row>
    <row r="44531" spans="20:20" s="566" customFormat="1">
      <c r="T44531" s="41"/>
    </row>
    <row r="44532" spans="20:20" s="566" customFormat="1">
      <c r="T44532" s="41"/>
    </row>
    <row r="44533" spans="20:20" s="566" customFormat="1">
      <c r="T44533" s="41"/>
    </row>
    <row r="44534" spans="20:20" s="566" customFormat="1">
      <c r="T44534" s="41"/>
    </row>
    <row r="44535" spans="20:20" s="566" customFormat="1">
      <c r="T44535" s="41"/>
    </row>
    <row r="44536" spans="20:20" s="566" customFormat="1">
      <c r="T44536" s="41"/>
    </row>
    <row r="44537" spans="20:20" s="566" customFormat="1">
      <c r="T44537" s="41"/>
    </row>
    <row r="44538" spans="20:20" s="566" customFormat="1">
      <c r="T44538" s="41"/>
    </row>
    <row r="44539" spans="20:20" s="566" customFormat="1">
      <c r="T44539" s="41"/>
    </row>
    <row r="44540" spans="20:20" s="566" customFormat="1">
      <c r="T44540" s="41"/>
    </row>
    <row r="44541" spans="20:20" s="566" customFormat="1">
      <c r="T44541" s="41"/>
    </row>
    <row r="44542" spans="20:20" s="566" customFormat="1">
      <c r="T44542" s="41"/>
    </row>
    <row r="44543" spans="20:20" s="566" customFormat="1">
      <c r="T44543" s="41"/>
    </row>
    <row r="44544" spans="20:20" s="566" customFormat="1">
      <c r="T44544" s="41"/>
    </row>
    <row r="44545" spans="20:20" s="566" customFormat="1">
      <c r="T44545" s="41"/>
    </row>
    <row r="44546" spans="20:20" s="566" customFormat="1">
      <c r="T44546" s="41"/>
    </row>
    <row r="44547" spans="20:20" s="566" customFormat="1">
      <c r="T44547" s="41"/>
    </row>
    <row r="44548" spans="20:20" s="566" customFormat="1">
      <c r="T44548" s="41"/>
    </row>
    <row r="44549" spans="20:20" s="566" customFormat="1">
      <c r="T44549" s="41"/>
    </row>
    <row r="44550" spans="20:20" s="566" customFormat="1">
      <c r="T44550" s="41"/>
    </row>
    <row r="44551" spans="20:20" s="566" customFormat="1">
      <c r="T44551" s="41"/>
    </row>
    <row r="44552" spans="20:20" s="566" customFormat="1">
      <c r="T44552" s="41"/>
    </row>
    <row r="44553" spans="20:20" s="566" customFormat="1">
      <c r="T44553" s="41"/>
    </row>
    <row r="44554" spans="20:20" s="566" customFormat="1">
      <c r="T44554" s="41"/>
    </row>
    <row r="44555" spans="20:20" s="566" customFormat="1">
      <c r="T44555" s="41"/>
    </row>
    <row r="44556" spans="20:20" s="566" customFormat="1">
      <c r="T44556" s="41"/>
    </row>
    <row r="44557" spans="20:20" s="566" customFormat="1">
      <c r="T44557" s="41"/>
    </row>
    <row r="44558" spans="20:20" s="566" customFormat="1">
      <c r="T44558" s="41"/>
    </row>
    <row r="44559" spans="20:20" s="566" customFormat="1">
      <c r="T44559" s="41"/>
    </row>
    <row r="44560" spans="20:20" s="566" customFormat="1">
      <c r="T44560" s="41"/>
    </row>
    <row r="44561" spans="20:20" s="566" customFormat="1">
      <c r="T44561" s="41"/>
    </row>
    <row r="44562" spans="20:20" s="566" customFormat="1">
      <c r="T44562" s="41"/>
    </row>
    <row r="44563" spans="20:20" s="566" customFormat="1">
      <c r="T44563" s="41"/>
    </row>
    <row r="44564" spans="20:20" s="566" customFormat="1">
      <c r="T44564" s="41"/>
    </row>
    <row r="44565" spans="20:20" s="566" customFormat="1">
      <c r="T44565" s="41"/>
    </row>
    <row r="44566" spans="20:20" s="566" customFormat="1">
      <c r="T44566" s="41"/>
    </row>
    <row r="44567" spans="20:20" s="566" customFormat="1">
      <c r="T44567" s="41"/>
    </row>
    <row r="44568" spans="20:20" s="566" customFormat="1">
      <c r="T44568" s="41"/>
    </row>
    <row r="44569" spans="20:20" s="566" customFormat="1">
      <c r="T44569" s="41"/>
    </row>
    <row r="44570" spans="20:20" s="566" customFormat="1">
      <c r="T44570" s="41"/>
    </row>
    <row r="44571" spans="20:20" s="566" customFormat="1">
      <c r="T44571" s="41"/>
    </row>
    <row r="44572" spans="20:20" s="566" customFormat="1">
      <c r="T44572" s="41"/>
    </row>
    <row r="44573" spans="20:20" s="566" customFormat="1">
      <c r="T44573" s="41"/>
    </row>
    <row r="44574" spans="20:20" s="566" customFormat="1">
      <c r="T44574" s="41"/>
    </row>
    <row r="44575" spans="20:20" s="566" customFormat="1">
      <c r="T44575" s="41"/>
    </row>
    <row r="44576" spans="20:20" s="566" customFormat="1">
      <c r="T44576" s="41"/>
    </row>
    <row r="44577" spans="20:20" s="566" customFormat="1">
      <c r="T44577" s="41"/>
    </row>
    <row r="44578" spans="20:20" s="566" customFormat="1">
      <c r="T44578" s="41"/>
    </row>
    <row r="44579" spans="20:20" s="566" customFormat="1">
      <c r="T44579" s="41"/>
    </row>
    <row r="44580" spans="20:20" s="566" customFormat="1">
      <c r="T44580" s="41"/>
    </row>
    <row r="44581" spans="20:20" s="566" customFormat="1">
      <c r="T44581" s="41"/>
    </row>
    <row r="44582" spans="20:20" s="566" customFormat="1">
      <c r="T44582" s="41"/>
    </row>
    <row r="44583" spans="20:20" s="566" customFormat="1">
      <c r="T44583" s="41"/>
    </row>
    <row r="44584" spans="20:20" s="566" customFormat="1">
      <c r="T44584" s="41"/>
    </row>
    <row r="44585" spans="20:20" s="566" customFormat="1">
      <c r="T44585" s="41"/>
    </row>
    <row r="44586" spans="20:20" s="566" customFormat="1">
      <c r="T44586" s="41"/>
    </row>
    <row r="44587" spans="20:20" s="566" customFormat="1">
      <c r="T44587" s="41"/>
    </row>
    <row r="44588" spans="20:20" s="566" customFormat="1">
      <c r="T44588" s="41"/>
    </row>
    <row r="44589" spans="20:20" s="566" customFormat="1">
      <c r="T44589" s="41"/>
    </row>
    <row r="44590" spans="20:20" s="566" customFormat="1">
      <c r="T44590" s="41"/>
    </row>
    <row r="44591" spans="20:20" s="566" customFormat="1">
      <c r="T44591" s="41"/>
    </row>
    <row r="44592" spans="20:20" s="566" customFormat="1">
      <c r="T44592" s="41"/>
    </row>
    <row r="44593" spans="20:20" s="566" customFormat="1">
      <c r="T44593" s="41"/>
    </row>
    <row r="44594" spans="20:20" s="566" customFormat="1">
      <c r="T44594" s="41"/>
    </row>
    <row r="44595" spans="20:20" s="566" customFormat="1">
      <c r="T44595" s="41"/>
    </row>
    <row r="44596" spans="20:20" s="566" customFormat="1">
      <c r="T44596" s="41"/>
    </row>
    <row r="44597" spans="20:20" s="566" customFormat="1">
      <c r="T44597" s="41"/>
    </row>
    <row r="44598" spans="20:20" s="566" customFormat="1">
      <c r="T44598" s="41"/>
    </row>
    <row r="44599" spans="20:20" s="566" customFormat="1">
      <c r="T44599" s="41"/>
    </row>
    <row r="44600" spans="20:20" s="566" customFormat="1">
      <c r="T44600" s="41"/>
    </row>
    <row r="44601" spans="20:20" s="566" customFormat="1">
      <c r="T44601" s="41"/>
    </row>
    <row r="44602" spans="20:20" s="566" customFormat="1">
      <c r="T44602" s="41"/>
    </row>
    <row r="44603" spans="20:20" s="566" customFormat="1">
      <c r="T44603" s="41"/>
    </row>
    <row r="44604" spans="20:20" s="566" customFormat="1">
      <c r="T44604" s="41"/>
    </row>
    <row r="44605" spans="20:20" s="566" customFormat="1">
      <c r="T44605" s="41"/>
    </row>
    <row r="44606" spans="20:20" s="566" customFormat="1">
      <c r="T44606" s="41"/>
    </row>
    <row r="44607" spans="20:20" s="566" customFormat="1">
      <c r="T44607" s="41"/>
    </row>
    <row r="44608" spans="20:20" s="566" customFormat="1">
      <c r="T44608" s="41"/>
    </row>
    <row r="44609" spans="20:20" s="566" customFormat="1">
      <c r="T44609" s="41"/>
    </row>
    <row r="44610" spans="20:20" s="566" customFormat="1">
      <c r="T44610" s="41"/>
    </row>
    <row r="44611" spans="20:20" s="566" customFormat="1">
      <c r="T44611" s="41"/>
    </row>
    <row r="44612" spans="20:20" s="566" customFormat="1">
      <c r="T44612" s="41"/>
    </row>
    <row r="44613" spans="20:20" s="566" customFormat="1">
      <c r="T44613" s="41"/>
    </row>
    <row r="44614" spans="20:20" s="566" customFormat="1">
      <c r="T44614" s="41"/>
    </row>
    <row r="44615" spans="20:20" s="566" customFormat="1">
      <c r="T44615" s="41"/>
    </row>
    <row r="44616" spans="20:20" s="566" customFormat="1">
      <c r="T44616" s="41"/>
    </row>
    <row r="44617" spans="20:20" s="566" customFormat="1">
      <c r="T44617" s="41"/>
    </row>
    <row r="44618" spans="20:20" s="566" customFormat="1">
      <c r="T44618" s="41"/>
    </row>
    <row r="44619" spans="20:20" s="566" customFormat="1">
      <c r="T44619" s="41"/>
    </row>
    <row r="44620" spans="20:20" s="566" customFormat="1">
      <c r="T44620" s="41"/>
    </row>
    <row r="44621" spans="20:20" s="566" customFormat="1">
      <c r="T44621" s="41"/>
    </row>
    <row r="44622" spans="20:20" s="566" customFormat="1">
      <c r="T44622" s="41"/>
    </row>
    <row r="44623" spans="20:20" s="566" customFormat="1">
      <c r="T44623" s="41"/>
    </row>
    <row r="44624" spans="20:20" s="566" customFormat="1">
      <c r="T44624" s="41"/>
    </row>
    <row r="44625" spans="20:20" s="566" customFormat="1">
      <c r="T44625" s="41"/>
    </row>
    <row r="44626" spans="20:20" s="566" customFormat="1">
      <c r="T44626" s="41"/>
    </row>
    <row r="44627" spans="20:20" s="566" customFormat="1">
      <c r="T44627" s="41"/>
    </row>
    <row r="44628" spans="20:20" s="566" customFormat="1">
      <c r="T44628" s="41"/>
    </row>
    <row r="44629" spans="20:20" s="566" customFormat="1">
      <c r="T44629" s="41"/>
    </row>
    <row r="44630" spans="20:20" s="566" customFormat="1">
      <c r="T44630" s="41"/>
    </row>
    <row r="44631" spans="20:20" s="566" customFormat="1">
      <c r="T44631" s="41"/>
    </row>
    <row r="44632" spans="20:20" s="566" customFormat="1">
      <c r="T44632" s="41"/>
    </row>
    <row r="44633" spans="20:20" s="566" customFormat="1">
      <c r="T44633" s="41"/>
    </row>
    <row r="44634" spans="20:20" s="566" customFormat="1">
      <c r="T44634" s="41"/>
    </row>
    <row r="44635" spans="20:20" s="566" customFormat="1">
      <c r="T44635" s="41"/>
    </row>
    <row r="44636" spans="20:20" s="566" customFormat="1">
      <c r="T44636" s="41"/>
    </row>
    <row r="44637" spans="20:20" s="566" customFormat="1">
      <c r="T44637" s="41"/>
    </row>
    <row r="44638" spans="20:20" s="566" customFormat="1">
      <c r="T44638" s="41"/>
    </row>
    <row r="44639" spans="20:20" s="566" customFormat="1">
      <c r="T44639" s="41"/>
    </row>
    <row r="44640" spans="20:20" s="566" customFormat="1">
      <c r="T44640" s="41"/>
    </row>
    <row r="44641" spans="20:20" s="566" customFormat="1">
      <c r="T44641" s="41"/>
    </row>
    <row r="44642" spans="20:20" s="566" customFormat="1">
      <c r="T44642" s="41"/>
    </row>
    <row r="44643" spans="20:20" s="566" customFormat="1">
      <c r="T44643" s="41"/>
    </row>
    <row r="44644" spans="20:20" s="566" customFormat="1">
      <c r="T44644" s="41"/>
    </row>
    <row r="44645" spans="20:20" s="566" customFormat="1">
      <c r="T44645" s="41"/>
    </row>
    <row r="44646" spans="20:20" s="566" customFormat="1">
      <c r="T44646" s="41"/>
    </row>
    <row r="44647" spans="20:20" s="566" customFormat="1">
      <c r="T44647" s="41"/>
    </row>
    <row r="44648" spans="20:20" s="566" customFormat="1">
      <c r="T44648" s="41"/>
    </row>
    <row r="44649" spans="20:20" s="566" customFormat="1">
      <c r="T44649" s="41"/>
    </row>
    <row r="44650" spans="20:20" s="566" customFormat="1">
      <c r="T44650" s="41"/>
    </row>
    <row r="44651" spans="20:20" s="566" customFormat="1">
      <c r="T44651" s="41"/>
    </row>
    <row r="44652" spans="20:20" s="566" customFormat="1">
      <c r="T44652" s="41"/>
    </row>
    <row r="44653" spans="20:20" s="566" customFormat="1">
      <c r="T44653" s="41"/>
    </row>
    <row r="44654" spans="20:20" s="566" customFormat="1">
      <c r="T44654" s="41"/>
    </row>
    <row r="44655" spans="20:20" s="566" customFormat="1">
      <c r="T44655" s="41"/>
    </row>
    <row r="44656" spans="20:20" s="566" customFormat="1">
      <c r="T44656" s="41"/>
    </row>
    <row r="44657" spans="20:20" s="566" customFormat="1">
      <c r="T44657" s="41"/>
    </row>
    <row r="44658" spans="20:20" s="566" customFormat="1">
      <c r="T44658" s="41"/>
    </row>
    <row r="44659" spans="20:20" s="566" customFormat="1">
      <c r="T44659" s="41"/>
    </row>
    <row r="44660" spans="20:20" s="566" customFormat="1">
      <c r="T44660" s="41"/>
    </row>
    <row r="44661" spans="20:20" s="566" customFormat="1">
      <c r="T44661" s="41"/>
    </row>
    <row r="44662" spans="20:20" s="566" customFormat="1">
      <c r="T44662" s="41"/>
    </row>
    <row r="44663" spans="20:20" s="566" customFormat="1">
      <c r="T44663" s="41"/>
    </row>
    <row r="44664" spans="20:20" s="566" customFormat="1">
      <c r="T44664" s="41"/>
    </row>
    <row r="44665" spans="20:20" s="566" customFormat="1">
      <c r="T44665" s="41"/>
    </row>
    <row r="44666" spans="20:20" s="566" customFormat="1">
      <c r="T44666" s="41"/>
    </row>
    <row r="44667" spans="20:20" s="566" customFormat="1">
      <c r="T44667" s="41"/>
    </row>
    <row r="44668" spans="20:20" s="566" customFormat="1">
      <c r="T44668" s="41"/>
    </row>
    <row r="44669" spans="20:20" s="566" customFormat="1">
      <c r="T44669" s="41"/>
    </row>
    <row r="44670" spans="20:20" s="566" customFormat="1">
      <c r="T44670" s="41"/>
    </row>
    <row r="44671" spans="20:20" s="566" customFormat="1">
      <c r="T44671" s="41"/>
    </row>
    <row r="44672" spans="20:20" s="566" customFormat="1">
      <c r="T44672" s="41"/>
    </row>
    <row r="44673" spans="20:20" s="566" customFormat="1">
      <c r="T44673" s="41"/>
    </row>
    <row r="44674" spans="20:20" s="566" customFormat="1">
      <c r="T44674" s="41"/>
    </row>
    <row r="44675" spans="20:20" s="566" customFormat="1">
      <c r="T44675" s="41"/>
    </row>
    <row r="44676" spans="20:20" s="566" customFormat="1">
      <c r="T44676" s="41"/>
    </row>
    <row r="44677" spans="20:20" s="566" customFormat="1">
      <c r="T44677" s="41"/>
    </row>
    <row r="44678" spans="20:20" s="566" customFormat="1">
      <c r="T44678" s="41"/>
    </row>
    <row r="44679" spans="20:20" s="566" customFormat="1">
      <c r="T44679" s="41"/>
    </row>
    <row r="44680" spans="20:20" s="566" customFormat="1">
      <c r="T44680" s="41"/>
    </row>
    <row r="44681" spans="20:20" s="566" customFormat="1">
      <c r="T44681" s="41"/>
    </row>
    <row r="44682" spans="20:20" s="566" customFormat="1">
      <c r="T44682" s="41"/>
    </row>
    <row r="44683" spans="20:20" s="566" customFormat="1">
      <c r="T44683" s="41"/>
    </row>
    <row r="44684" spans="20:20" s="566" customFormat="1">
      <c r="T44684" s="41"/>
    </row>
    <row r="44685" spans="20:20" s="566" customFormat="1">
      <c r="T44685" s="41"/>
    </row>
    <row r="44686" spans="20:20" s="566" customFormat="1">
      <c r="T44686" s="41"/>
    </row>
    <row r="44687" spans="20:20" s="566" customFormat="1">
      <c r="T44687" s="41"/>
    </row>
    <row r="44688" spans="20:20" s="566" customFormat="1">
      <c r="T44688" s="41"/>
    </row>
    <row r="44689" spans="20:20" s="566" customFormat="1">
      <c r="T44689" s="41"/>
    </row>
    <row r="44690" spans="20:20" s="566" customFormat="1">
      <c r="T44690" s="41"/>
    </row>
    <row r="44691" spans="20:20" s="566" customFormat="1">
      <c r="T44691" s="41"/>
    </row>
    <row r="44692" spans="20:20" s="566" customFormat="1">
      <c r="T44692" s="41"/>
    </row>
    <row r="44693" spans="20:20" s="566" customFormat="1">
      <c r="T44693" s="41"/>
    </row>
    <row r="44694" spans="20:20" s="566" customFormat="1">
      <c r="T44694" s="41"/>
    </row>
    <row r="44695" spans="20:20" s="566" customFormat="1">
      <c r="T44695" s="41"/>
    </row>
    <row r="44696" spans="20:20" s="566" customFormat="1">
      <c r="T44696" s="41"/>
    </row>
    <row r="44697" spans="20:20" s="566" customFormat="1">
      <c r="T44697" s="41"/>
    </row>
    <row r="44698" spans="20:20" s="566" customFormat="1">
      <c r="T44698" s="41"/>
    </row>
    <row r="44699" spans="20:20" s="566" customFormat="1">
      <c r="T44699" s="41"/>
    </row>
    <row r="44700" spans="20:20" s="566" customFormat="1">
      <c r="T44700" s="41"/>
    </row>
    <row r="44701" spans="20:20" s="566" customFormat="1">
      <c r="T44701" s="41"/>
    </row>
    <row r="44702" spans="20:20" s="566" customFormat="1">
      <c r="T44702" s="41"/>
    </row>
    <row r="44703" spans="20:20" s="566" customFormat="1">
      <c r="T44703" s="41"/>
    </row>
    <row r="44704" spans="20:20" s="566" customFormat="1">
      <c r="T44704" s="41"/>
    </row>
    <row r="44705" spans="20:20" s="566" customFormat="1">
      <c r="T44705" s="41"/>
    </row>
    <row r="44706" spans="20:20" s="566" customFormat="1">
      <c r="T44706" s="41"/>
    </row>
    <row r="44707" spans="20:20" s="566" customFormat="1">
      <c r="T44707" s="41"/>
    </row>
    <row r="44708" spans="20:20" s="566" customFormat="1">
      <c r="T44708" s="41"/>
    </row>
    <row r="44709" spans="20:20" s="566" customFormat="1">
      <c r="T44709" s="41"/>
    </row>
    <row r="44710" spans="20:20" s="566" customFormat="1">
      <c r="T44710" s="41"/>
    </row>
    <row r="44711" spans="20:20" s="566" customFormat="1">
      <c r="T44711" s="41"/>
    </row>
    <row r="44712" spans="20:20" s="566" customFormat="1">
      <c r="T44712" s="41"/>
    </row>
    <row r="44713" spans="20:20" s="566" customFormat="1">
      <c r="T44713" s="41"/>
    </row>
    <row r="44714" spans="20:20" s="566" customFormat="1">
      <c r="T44714" s="41"/>
    </row>
    <row r="44715" spans="20:20" s="566" customFormat="1">
      <c r="T44715" s="41"/>
    </row>
    <row r="44716" spans="20:20" s="566" customFormat="1">
      <c r="T44716" s="41"/>
    </row>
    <row r="44717" spans="20:20" s="566" customFormat="1">
      <c r="T44717" s="41"/>
    </row>
    <row r="44718" spans="20:20" s="566" customFormat="1">
      <c r="T44718" s="41"/>
    </row>
    <row r="44719" spans="20:20" s="566" customFormat="1">
      <c r="T44719" s="41"/>
    </row>
    <row r="44720" spans="20:20" s="566" customFormat="1">
      <c r="T44720" s="41"/>
    </row>
    <row r="44721" spans="20:20" s="566" customFormat="1">
      <c r="T44721" s="41"/>
    </row>
    <row r="44722" spans="20:20" s="566" customFormat="1">
      <c r="T44722" s="41"/>
    </row>
    <row r="44723" spans="20:20" s="566" customFormat="1">
      <c r="T44723" s="41"/>
    </row>
    <row r="44724" spans="20:20" s="566" customFormat="1">
      <c r="T44724" s="41"/>
    </row>
    <row r="44725" spans="20:20" s="566" customFormat="1">
      <c r="T44725" s="41"/>
    </row>
    <row r="44726" spans="20:20" s="566" customFormat="1">
      <c r="T44726" s="41"/>
    </row>
    <row r="44727" spans="20:20" s="566" customFormat="1">
      <c r="T44727" s="41"/>
    </row>
    <row r="44728" spans="20:20" s="566" customFormat="1">
      <c r="T44728" s="41"/>
    </row>
    <row r="44729" spans="20:20" s="566" customFormat="1">
      <c r="T44729" s="41"/>
    </row>
    <row r="44730" spans="20:20" s="566" customFormat="1">
      <c r="T44730" s="41"/>
    </row>
    <row r="44731" spans="20:20" s="566" customFormat="1">
      <c r="T44731" s="41"/>
    </row>
    <row r="44732" spans="20:20" s="566" customFormat="1">
      <c r="T44732" s="41"/>
    </row>
    <row r="44733" spans="20:20" s="566" customFormat="1">
      <c r="T44733" s="41"/>
    </row>
    <row r="44734" spans="20:20" s="566" customFormat="1">
      <c r="T44734" s="41"/>
    </row>
    <row r="44735" spans="20:20" s="566" customFormat="1">
      <c r="T44735" s="41"/>
    </row>
    <row r="44736" spans="20:20" s="566" customFormat="1">
      <c r="T44736" s="41"/>
    </row>
    <row r="44737" spans="20:20" s="566" customFormat="1">
      <c r="T44737" s="41"/>
    </row>
    <row r="44738" spans="20:20" s="566" customFormat="1">
      <c r="T44738" s="41"/>
    </row>
    <row r="44739" spans="20:20" s="566" customFormat="1">
      <c r="T44739" s="41"/>
    </row>
    <row r="44740" spans="20:20" s="566" customFormat="1">
      <c r="T44740" s="41"/>
    </row>
    <row r="44741" spans="20:20" s="566" customFormat="1">
      <c r="T44741" s="41"/>
    </row>
    <row r="44742" spans="20:20" s="566" customFormat="1">
      <c r="T44742" s="41"/>
    </row>
    <row r="44743" spans="20:20" s="566" customFormat="1">
      <c r="T44743" s="41"/>
    </row>
    <row r="44744" spans="20:20" s="566" customFormat="1">
      <c r="T44744" s="41"/>
    </row>
    <row r="44745" spans="20:20" s="566" customFormat="1">
      <c r="T44745" s="41"/>
    </row>
    <row r="44746" spans="20:20" s="566" customFormat="1">
      <c r="T44746" s="41"/>
    </row>
    <row r="44747" spans="20:20" s="566" customFormat="1">
      <c r="T44747" s="41"/>
    </row>
    <row r="44748" spans="20:20" s="566" customFormat="1">
      <c r="T44748" s="41"/>
    </row>
    <row r="44749" spans="20:20" s="566" customFormat="1">
      <c r="T44749" s="41"/>
    </row>
    <row r="44750" spans="20:20" s="566" customFormat="1">
      <c r="T44750" s="41"/>
    </row>
    <row r="44751" spans="20:20" s="566" customFormat="1">
      <c r="T44751" s="41"/>
    </row>
    <row r="44752" spans="20:20" s="566" customFormat="1">
      <c r="T44752" s="41"/>
    </row>
    <row r="44753" spans="20:20" s="566" customFormat="1">
      <c r="T44753" s="41"/>
    </row>
    <row r="44754" spans="20:20" s="566" customFormat="1">
      <c r="T44754" s="41"/>
    </row>
    <row r="44755" spans="20:20" s="566" customFormat="1">
      <c r="T44755" s="41"/>
    </row>
    <row r="44756" spans="20:20" s="566" customFormat="1">
      <c r="T44756" s="41"/>
    </row>
    <row r="44757" spans="20:20" s="566" customFormat="1">
      <c r="T44757" s="41"/>
    </row>
    <row r="44758" spans="20:20" s="566" customFormat="1">
      <c r="T44758" s="41"/>
    </row>
    <row r="44759" spans="20:20" s="566" customFormat="1">
      <c r="T44759" s="41"/>
    </row>
    <row r="44760" spans="20:20" s="566" customFormat="1">
      <c r="T44760" s="41"/>
    </row>
    <row r="44761" spans="20:20" s="566" customFormat="1">
      <c r="T44761" s="41"/>
    </row>
    <row r="44762" spans="20:20" s="566" customFormat="1">
      <c r="T44762" s="41"/>
    </row>
    <row r="44763" spans="20:20" s="566" customFormat="1">
      <c r="T44763" s="41"/>
    </row>
    <row r="44764" spans="20:20" s="566" customFormat="1">
      <c r="T44764" s="41"/>
    </row>
    <row r="44765" spans="20:20" s="566" customFormat="1">
      <c r="T44765" s="41"/>
    </row>
    <row r="44766" spans="20:20" s="566" customFormat="1">
      <c r="T44766" s="41"/>
    </row>
    <row r="44767" spans="20:20" s="566" customFormat="1">
      <c r="T44767" s="41"/>
    </row>
    <row r="44768" spans="20:20" s="566" customFormat="1">
      <c r="T44768" s="41"/>
    </row>
    <row r="44769" spans="20:20" s="566" customFormat="1">
      <c r="T44769" s="41"/>
    </row>
    <row r="44770" spans="20:20" s="566" customFormat="1">
      <c r="T44770" s="41"/>
    </row>
    <row r="44771" spans="20:20" s="566" customFormat="1">
      <c r="T44771" s="41"/>
    </row>
    <row r="44772" spans="20:20" s="566" customFormat="1">
      <c r="T44772" s="41"/>
    </row>
    <row r="44773" spans="20:20" s="566" customFormat="1">
      <c r="T44773" s="41"/>
    </row>
    <row r="44774" spans="20:20" s="566" customFormat="1">
      <c r="T44774" s="41"/>
    </row>
    <row r="44775" spans="20:20" s="566" customFormat="1">
      <c r="T44775" s="41"/>
    </row>
    <row r="44776" spans="20:20" s="566" customFormat="1">
      <c r="T44776" s="41"/>
    </row>
    <row r="44777" spans="20:20" s="566" customFormat="1">
      <c r="T44777" s="41"/>
    </row>
    <row r="44778" spans="20:20" s="566" customFormat="1">
      <c r="T44778" s="41"/>
    </row>
    <row r="44779" spans="20:20" s="566" customFormat="1">
      <c r="T44779" s="41"/>
    </row>
    <row r="44780" spans="20:20" s="566" customFormat="1">
      <c r="T44780" s="41"/>
    </row>
    <row r="44781" spans="20:20" s="566" customFormat="1">
      <c r="T44781" s="41"/>
    </row>
    <row r="44782" spans="20:20" s="566" customFormat="1">
      <c r="T44782" s="41"/>
    </row>
    <row r="44783" spans="20:20" s="566" customFormat="1">
      <c r="T44783" s="41"/>
    </row>
    <row r="44784" spans="20:20" s="566" customFormat="1">
      <c r="T44784" s="41"/>
    </row>
    <row r="44785" spans="20:20" s="566" customFormat="1">
      <c r="T44785" s="41"/>
    </row>
    <row r="44786" spans="20:20" s="566" customFormat="1">
      <c r="T44786" s="41"/>
    </row>
    <row r="44787" spans="20:20" s="566" customFormat="1">
      <c r="T44787" s="41"/>
    </row>
    <row r="44788" spans="20:20" s="566" customFormat="1">
      <c r="T44788" s="41"/>
    </row>
    <row r="44789" spans="20:20" s="566" customFormat="1">
      <c r="T44789" s="41"/>
    </row>
    <row r="44790" spans="20:20" s="566" customFormat="1">
      <c r="T44790" s="41"/>
    </row>
    <row r="44791" spans="20:20" s="566" customFormat="1">
      <c r="T44791" s="41"/>
    </row>
    <row r="44792" spans="20:20" s="566" customFormat="1">
      <c r="T44792" s="41"/>
    </row>
    <row r="44793" spans="20:20" s="566" customFormat="1">
      <c r="T44793" s="41"/>
    </row>
    <row r="44794" spans="20:20" s="566" customFormat="1">
      <c r="T44794" s="41"/>
    </row>
    <row r="44795" spans="20:20" s="566" customFormat="1">
      <c r="T44795" s="41"/>
    </row>
    <row r="44796" spans="20:20" s="566" customFormat="1">
      <c r="T44796" s="41"/>
    </row>
    <row r="44797" spans="20:20" s="566" customFormat="1">
      <c r="T44797" s="41"/>
    </row>
    <row r="44798" spans="20:20" s="566" customFormat="1">
      <c r="T44798" s="41"/>
    </row>
    <row r="44799" spans="20:20" s="566" customFormat="1">
      <c r="T44799" s="41"/>
    </row>
    <row r="44800" spans="20:20" s="566" customFormat="1">
      <c r="T44800" s="41"/>
    </row>
    <row r="44801" spans="20:20" s="566" customFormat="1">
      <c r="T44801" s="41"/>
    </row>
    <row r="44802" spans="20:20" s="566" customFormat="1">
      <c r="T44802" s="41"/>
    </row>
    <row r="44803" spans="20:20" s="566" customFormat="1">
      <c r="T44803" s="41"/>
    </row>
    <row r="44804" spans="20:20" s="566" customFormat="1">
      <c r="T44804" s="41"/>
    </row>
    <row r="44805" spans="20:20" s="566" customFormat="1">
      <c r="T44805" s="41"/>
    </row>
    <row r="44806" spans="20:20" s="566" customFormat="1">
      <c r="T44806" s="41"/>
    </row>
    <row r="44807" spans="20:20" s="566" customFormat="1">
      <c r="T44807" s="41"/>
    </row>
    <row r="44808" spans="20:20" s="566" customFormat="1">
      <c r="T44808" s="41"/>
    </row>
    <row r="44809" spans="20:20" s="566" customFormat="1">
      <c r="T44809" s="41"/>
    </row>
    <row r="44810" spans="20:20" s="566" customFormat="1">
      <c r="T44810" s="41"/>
    </row>
    <row r="44811" spans="20:20" s="566" customFormat="1">
      <c r="T44811" s="41"/>
    </row>
    <row r="44812" spans="20:20" s="566" customFormat="1">
      <c r="T44812" s="41"/>
    </row>
    <row r="44813" spans="20:20" s="566" customFormat="1">
      <c r="T44813" s="41"/>
    </row>
    <row r="44814" spans="20:20" s="566" customFormat="1">
      <c r="T44814" s="41"/>
    </row>
    <row r="44815" spans="20:20" s="566" customFormat="1">
      <c r="T44815" s="41"/>
    </row>
    <row r="44816" spans="20:20" s="566" customFormat="1">
      <c r="T44816" s="41"/>
    </row>
    <row r="44817" spans="20:20" s="566" customFormat="1">
      <c r="T44817" s="41"/>
    </row>
    <row r="44818" spans="20:20" s="566" customFormat="1">
      <c r="T44818" s="41"/>
    </row>
    <row r="44819" spans="20:20" s="566" customFormat="1">
      <c r="T44819" s="41"/>
    </row>
    <row r="44820" spans="20:20" s="566" customFormat="1">
      <c r="T44820" s="41"/>
    </row>
    <row r="44821" spans="20:20" s="566" customFormat="1">
      <c r="T44821" s="41"/>
    </row>
    <row r="44822" spans="20:20" s="566" customFormat="1">
      <c r="T44822" s="41"/>
    </row>
    <row r="44823" spans="20:20" s="566" customFormat="1">
      <c r="T44823" s="41"/>
    </row>
    <row r="44824" spans="20:20" s="566" customFormat="1">
      <c r="T44824" s="41"/>
    </row>
    <row r="44825" spans="20:20" s="566" customFormat="1">
      <c r="T44825" s="41"/>
    </row>
    <row r="44826" spans="20:20" s="566" customFormat="1">
      <c r="T44826" s="41"/>
    </row>
    <row r="44827" spans="20:20" s="566" customFormat="1">
      <c r="T44827" s="41"/>
    </row>
    <row r="44828" spans="20:20" s="566" customFormat="1">
      <c r="T44828" s="41"/>
    </row>
    <row r="44829" spans="20:20" s="566" customFormat="1">
      <c r="T44829" s="41"/>
    </row>
    <row r="44830" spans="20:20" s="566" customFormat="1">
      <c r="T44830" s="41"/>
    </row>
    <row r="44831" spans="20:20" s="566" customFormat="1">
      <c r="T44831" s="41"/>
    </row>
    <row r="44832" spans="20:20" s="566" customFormat="1">
      <c r="T44832" s="41"/>
    </row>
    <row r="44833" spans="20:20" s="566" customFormat="1">
      <c r="T44833" s="41"/>
    </row>
    <row r="44834" spans="20:20" s="566" customFormat="1">
      <c r="T44834" s="41"/>
    </row>
    <row r="44835" spans="20:20" s="566" customFormat="1">
      <c r="T44835" s="41"/>
    </row>
    <row r="44836" spans="20:20" s="566" customFormat="1">
      <c r="T44836" s="41"/>
    </row>
    <row r="44837" spans="20:20" s="566" customFormat="1">
      <c r="T44837" s="41"/>
    </row>
    <row r="44838" spans="20:20" s="566" customFormat="1">
      <c r="T44838" s="41"/>
    </row>
    <row r="44839" spans="20:20" s="566" customFormat="1">
      <c r="T44839" s="41"/>
    </row>
    <row r="44840" spans="20:20" s="566" customFormat="1">
      <c r="T44840" s="41"/>
    </row>
    <row r="44841" spans="20:20" s="566" customFormat="1">
      <c r="T44841" s="41"/>
    </row>
    <row r="44842" spans="20:20" s="566" customFormat="1">
      <c r="T44842" s="41"/>
    </row>
    <row r="44843" spans="20:20" s="566" customFormat="1">
      <c r="T44843" s="41"/>
    </row>
    <row r="44844" spans="20:20" s="566" customFormat="1">
      <c r="T44844" s="41"/>
    </row>
    <row r="44845" spans="20:20" s="566" customFormat="1">
      <c r="T44845" s="41"/>
    </row>
    <row r="44846" spans="20:20" s="566" customFormat="1">
      <c r="T44846" s="41"/>
    </row>
    <row r="44847" spans="20:20" s="566" customFormat="1">
      <c r="T44847" s="41"/>
    </row>
    <row r="44848" spans="20:20" s="566" customFormat="1">
      <c r="T44848" s="41"/>
    </row>
    <row r="44849" spans="20:20" s="566" customFormat="1">
      <c r="T44849" s="41"/>
    </row>
    <row r="44850" spans="20:20" s="566" customFormat="1">
      <c r="T44850" s="41"/>
    </row>
    <row r="44851" spans="20:20" s="566" customFormat="1">
      <c r="T44851" s="41"/>
    </row>
    <row r="44852" spans="20:20" s="566" customFormat="1">
      <c r="T44852" s="41"/>
    </row>
    <row r="44853" spans="20:20" s="566" customFormat="1">
      <c r="T44853" s="41"/>
    </row>
    <row r="44854" spans="20:20" s="566" customFormat="1">
      <c r="T44854" s="41"/>
    </row>
    <row r="44855" spans="20:20" s="566" customFormat="1">
      <c r="T44855" s="41"/>
    </row>
    <row r="44856" spans="20:20" s="566" customFormat="1">
      <c r="T44856" s="41"/>
    </row>
    <row r="44857" spans="20:20" s="566" customFormat="1">
      <c r="T44857" s="41"/>
    </row>
    <row r="44858" spans="20:20" s="566" customFormat="1">
      <c r="T44858" s="41"/>
    </row>
    <row r="44859" spans="20:20" s="566" customFormat="1">
      <c r="T44859" s="41"/>
    </row>
    <row r="44860" spans="20:20" s="566" customFormat="1">
      <c r="T44860" s="41"/>
    </row>
    <row r="44861" spans="20:20" s="566" customFormat="1">
      <c r="T44861" s="41"/>
    </row>
    <row r="44862" spans="20:20" s="566" customFormat="1">
      <c r="T44862" s="41"/>
    </row>
    <row r="44863" spans="20:20" s="566" customFormat="1">
      <c r="T44863" s="41"/>
    </row>
    <row r="44864" spans="20:20" s="566" customFormat="1">
      <c r="T44864" s="41"/>
    </row>
    <row r="44865" spans="20:20" s="566" customFormat="1">
      <c r="T44865" s="41"/>
    </row>
    <row r="44866" spans="20:20" s="566" customFormat="1">
      <c r="T44866" s="41"/>
    </row>
    <row r="44867" spans="20:20" s="566" customFormat="1">
      <c r="T44867" s="41"/>
    </row>
    <row r="44868" spans="20:20" s="566" customFormat="1">
      <c r="T44868" s="41"/>
    </row>
    <row r="44869" spans="20:20" s="566" customFormat="1">
      <c r="T44869" s="41"/>
    </row>
    <row r="44870" spans="20:20" s="566" customFormat="1">
      <c r="T44870" s="41"/>
    </row>
    <row r="44871" spans="20:20" s="566" customFormat="1">
      <c r="T44871" s="41"/>
    </row>
    <row r="44872" spans="20:20" s="566" customFormat="1">
      <c r="T44872" s="41"/>
    </row>
    <row r="44873" spans="20:20" s="566" customFormat="1">
      <c r="T44873" s="41"/>
    </row>
    <row r="44874" spans="20:20" s="566" customFormat="1">
      <c r="T44874" s="41"/>
    </row>
    <row r="44875" spans="20:20" s="566" customFormat="1">
      <c r="T44875" s="41"/>
    </row>
    <row r="44876" spans="20:20" s="566" customFormat="1">
      <c r="T44876" s="41"/>
    </row>
    <row r="44877" spans="20:20" s="566" customFormat="1">
      <c r="T44877" s="41"/>
    </row>
    <row r="44878" spans="20:20" s="566" customFormat="1">
      <c r="T44878" s="41"/>
    </row>
    <row r="44879" spans="20:20" s="566" customFormat="1">
      <c r="T44879" s="41"/>
    </row>
    <row r="44880" spans="20:20" s="566" customFormat="1">
      <c r="T44880" s="41"/>
    </row>
    <row r="44881" spans="20:20" s="566" customFormat="1">
      <c r="T44881" s="41"/>
    </row>
    <row r="44882" spans="20:20" s="566" customFormat="1">
      <c r="T44882" s="41"/>
    </row>
    <row r="44883" spans="20:20" s="566" customFormat="1">
      <c r="T44883" s="41"/>
    </row>
    <row r="44884" spans="20:20" s="566" customFormat="1">
      <c r="T44884" s="41"/>
    </row>
    <row r="44885" spans="20:20" s="566" customFormat="1">
      <c r="T44885" s="41"/>
    </row>
    <row r="44886" spans="20:20" s="566" customFormat="1">
      <c r="T44886" s="41"/>
    </row>
    <row r="44887" spans="20:20" s="566" customFormat="1">
      <c r="T44887" s="41"/>
    </row>
    <row r="44888" spans="20:20" s="566" customFormat="1">
      <c r="T44888" s="41"/>
    </row>
    <row r="44889" spans="20:20" s="566" customFormat="1">
      <c r="T44889" s="41"/>
    </row>
    <row r="44890" spans="20:20" s="566" customFormat="1">
      <c r="T44890" s="41"/>
    </row>
    <row r="44891" spans="20:20" s="566" customFormat="1">
      <c r="T44891" s="41"/>
    </row>
    <row r="44892" spans="20:20" s="566" customFormat="1">
      <c r="T44892" s="41"/>
    </row>
    <row r="44893" spans="20:20" s="566" customFormat="1">
      <c r="T44893" s="41"/>
    </row>
    <row r="44894" spans="20:20" s="566" customFormat="1">
      <c r="T44894" s="41"/>
    </row>
    <row r="44895" spans="20:20" s="566" customFormat="1">
      <c r="T44895" s="41"/>
    </row>
    <row r="44896" spans="20:20" s="566" customFormat="1">
      <c r="T44896" s="41"/>
    </row>
    <row r="44897" spans="20:20" s="566" customFormat="1">
      <c r="T44897" s="41"/>
    </row>
    <row r="44898" spans="20:20" s="566" customFormat="1">
      <c r="T44898" s="41"/>
    </row>
    <row r="44899" spans="20:20" s="566" customFormat="1">
      <c r="T44899" s="41"/>
    </row>
    <row r="44900" spans="20:20" s="566" customFormat="1">
      <c r="T44900" s="41"/>
    </row>
    <row r="44901" spans="20:20" s="566" customFormat="1">
      <c r="T44901" s="41"/>
    </row>
    <row r="44902" spans="20:20" s="566" customFormat="1">
      <c r="T44902" s="41"/>
    </row>
    <row r="44903" spans="20:20" s="566" customFormat="1">
      <c r="T44903" s="41"/>
    </row>
    <row r="44904" spans="20:20" s="566" customFormat="1">
      <c r="T44904" s="41"/>
    </row>
    <row r="44905" spans="20:20" s="566" customFormat="1">
      <c r="T44905" s="41"/>
    </row>
    <row r="44906" spans="20:20" s="566" customFormat="1">
      <c r="T44906" s="41"/>
    </row>
    <row r="44907" spans="20:20" s="566" customFormat="1">
      <c r="T44907" s="41"/>
    </row>
    <row r="44908" spans="20:20" s="566" customFormat="1">
      <c r="T44908" s="41"/>
    </row>
    <row r="44909" spans="20:20" s="566" customFormat="1">
      <c r="T44909" s="41"/>
    </row>
    <row r="44910" spans="20:20" s="566" customFormat="1">
      <c r="T44910" s="41"/>
    </row>
    <row r="44911" spans="20:20" s="566" customFormat="1">
      <c r="T44911" s="41"/>
    </row>
    <row r="44912" spans="20:20" s="566" customFormat="1">
      <c r="T44912" s="41"/>
    </row>
    <row r="44913" spans="20:20" s="566" customFormat="1">
      <c r="T44913" s="41"/>
    </row>
    <row r="44914" spans="20:20" s="566" customFormat="1">
      <c r="T44914" s="41"/>
    </row>
    <row r="44915" spans="20:20" s="566" customFormat="1">
      <c r="T44915" s="41"/>
    </row>
    <row r="44916" spans="20:20" s="566" customFormat="1">
      <c r="T44916" s="41"/>
    </row>
    <row r="44917" spans="20:20" s="566" customFormat="1">
      <c r="T44917" s="41"/>
    </row>
    <row r="44918" spans="20:20" s="566" customFormat="1">
      <c r="T44918" s="41"/>
    </row>
    <row r="44919" spans="20:20" s="566" customFormat="1">
      <c r="T44919" s="41"/>
    </row>
    <row r="44920" spans="20:20" s="566" customFormat="1">
      <c r="T44920" s="41"/>
    </row>
    <row r="44921" spans="20:20" s="566" customFormat="1">
      <c r="T44921" s="41"/>
    </row>
    <row r="44922" spans="20:20" s="566" customFormat="1">
      <c r="T44922" s="41"/>
    </row>
    <row r="44923" spans="20:20" s="566" customFormat="1">
      <c r="T44923" s="41"/>
    </row>
    <row r="44924" spans="20:20" s="566" customFormat="1">
      <c r="T44924" s="41"/>
    </row>
    <row r="44925" spans="20:20" s="566" customFormat="1">
      <c r="T44925" s="41"/>
    </row>
    <row r="44926" spans="20:20" s="566" customFormat="1">
      <c r="T44926" s="41"/>
    </row>
    <row r="44927" spans="20:20" s="566" customFormat="1">
      <c r="T44927" s="41"/>
    </row>
    <row r="44928" spans="20:20" s="566" customFormat="1">
      <c r="T44928" s="41"/>
    </row>
    <row r="44929" spans="20:20" s="566" customFormat="1">
      <c r="T44929" s="41"/>
    </row>
    <row r="44930" spans="20:20" s="566" customFormat="1">
      <c r="T44930" s="41"/>
    </row>
    <row r="44931" spans="20:20" s="566" customFormat="1">
      <c r="T44931" s="41"/>
    </row>
    <row r="44932" spans="20:20" s="566" customFormat="1">
      <c r="T44932" s="41"/>
    </row>
    <row r="44933" spans="20:20" s="566" customFormat="1">
      <c r="T44933" s="41"/>
    </row>
    <row r="44934" spans="20:20" s="566" customFormat="1">
      <c r="T44934" s="41"/>
    </row>
    <row r="44935" spans="20:20" s="566" customFormat="1">
      <c r="T44935" s="41"/>
    </row>
    <row r="44936" spans="20:20" s="566" customFormat="1">
      <c r="T44936" s="41"/>
    </row>
    <row r="44937" spans="20:20" s="566" customFormat="1">
      <c r="T44937" s="41"/>
    </row>
    <row r="44938" spans="20:20" s="566" customFormat="1">
      <c r="T44938" s="41"/>
    </row>
    <row r="44939" spans="20:20" s="566" customFormat="1">
      <c r="T44939" s="41"/>
    </row>
    <row r="44940" spans="20:20" s="566" customFormat="1">
      <c r="T44940" s="41"/>
    </row>
    <row r="44941" spans="20:20" s="566" customFormat="1">
      <c r="T44941" s="41"/>
    </row>
    <row r="44942" spans="20:20" s="566" customFormat="1">
      <c r="T44942" s="41"/>
    </row>
    <row r="44943" spans="20:20" s="566" customFormat="1">
      <c r="T44943" s="41"/>
    </row>
    <row r="44944" spans="20:20" s="566" customFormat="1">
      <c r="T44944" s="41"/>
    </row>
    <row r="44945" spans="20:20" s="566" customFormat="1">
      <c r="T44945" s="41"/>
    </row>
    <row r="44946" spans="20:20" s="566" customFormat="1">
      <c r="T44946" s="41"/>
    </row>
    <row r="44947" spans="20:20" s="566" customFormat="1">
      <c r="T44947" s="41"/>
    </row>
    <row r="44948" spans="20:20" s="566" customFormat="1">
      <c r="T44948" s="41"/>
    </row>
    <row r="44949" spans="20:20" s="566" customFormat="1">
      <c r="T44949" s="41"/>
    </row>
    <row r="44950" spans="20:20" s="566" customFormat="1">
      <c r="T44950" s="41"/>
    </row>
    <row r="44951" spans="20:20" s="566" customFormat="1">
      <c r="T44951" s="41"/>
    </row>
    <row r="44952" spans="20:20" s="566" customFormat="1">
      <c r="T44952" s="41"/>
    </row>
    <row r="44953" spans="20:20" s="566" customFormat="1">
      <c r="T44953" s="41"/>
    </row>
    <row r="44954" spans="20:20" s="566" customFormat="1">
      <c r="T44954" s="41"/>
    </row>
    <row r="44955" spans="20:20" s="566" customFormat="1">
      <c r="T44955" s="41"/>
    </row>
    <row r="44956" spans="20:20" s="566" customFormat="1">
      <c r="T44956" s="41"/>
    </row>
    <row r="44957" spans="20:20" s="566" customFormat="1">
      <c r="T44957" s="41"/>
    </row>
    <row r="44958" spans="20:20" s="566" customFormat="1">
      <c r="T44958" s="41"/>
    </row>
    <row r="44959" spans="20:20" s="566" customFormat="1">
      <c r="T44959" s="41"/>
    </row>
    <row r="44960" spans="20:20" s="566" customFormat="1">
      <c r="T44960" s="41"/>
    </row>
    <row r="44961" spans="20:20" s="566" customFormat="1">
      <c r="T44961" s="41"/>
    </row>
    <row r="44962" spans="20:20" s="566" customFormat="1">
      <c r="T44962" s="41"/>
    </row>
    <row r="44963" spans="20:20" s="566" customFormat="1">
      <c r="T44963" s="41"/>
    </row>
    <row r="44964" spans="20:20" s="566" customFormat="1">
      <c r="T44964" s="41"/>
    </row>
    <row r="44965" spans="20:20" s="566" customFormat="1">
      <c r="T44965" s="41"/>
    </row>
    <row r="44966" spans="20:20" s="566" customFormat="1">
      <c r="T44966" s="41"/>
    </row>
    <row r="44967" spans="20:20" s="566" customFormat="1">
      <c r="T44967" s="41"/>
    </row>
    <row r="44968" spans="20:20" s="566" customFormat="1">
      <c r="T44968" s="41"/>
    </row>
    <row r="44969" spans="20:20" s="566" customFormat="1">
      <c r="T44969" s="41"/>
    </row>
    <row r="44970" spans="20:20" s="566" customFormat="1">
      <c r="T44970" s="41"/>
    </row>
    <row r="44971" spans="20:20" s="566" customFormat="1">
      <c r="T44971" s="41"/>
    </row>
    <row r="44972" spans="20:20" s="566" customFormat="1">
      <c r="T44972" s="41"/>
    </row>
    <row r="44973" spans="20:20" s="566" customFormat="1">
      <c r="T44973" s="41"/>
    </row>
    <row r="44974" spans="20:20" s="566" customFormat="1">
      <c r="T44974" s="41"/>
    </row>
    <row r="44975" spans="20:20" s="566" customFormat="1">
      <c r="T44975" s="41"/>
    </row>
    <row r="44976" spans="20:20" s="566" customFormat="1">
      <c r="T44976" s="41"/>
    </row>
    <row r="44977" spans="20:20" s="566" customFormat="1">
      <c r="T44977" s="41"/>
    </row>
    <row r="44978" spans="20:20" s="566" customFormat="1">
      <c r="T44978" s="41"/>
    </row>
    <row r="44979" spans="20:20" s="566" customFormat="1">
      <c r="T44979" s="41"/>
    </row>
    <row r="44980" spans="20:20" s="566" customFormat="1">
      <c r="T44980" s="41"/>
    </row>
    <row r="44981" spans="20:20" s="566" customFormat="1">
      <c r="T44981" s="41"/>
    </row>
    <row r="44982" spans="20:20" s="566" customFormat="1">
      <c r="T44982" s="41"/>
    </row>
    <row r="44983" spans="20:20" s="566" customFormat="1">
      <c r="T44983" s="41"/>
    </row>
    <row r="44984" spans="20:20" s="566" customFormat="1">
      <c r="T44984" s="41"/>
    </row>
    <row r="44985" spans="20:20" s="566" customFormat="1">
      <c r="T44985" s="41"/>
    </row>
    <row r="44986" spans="20:20" s="566" customFormat="1">
      <c r="T44986" s="41"/>
    </row>
    <row r="44987" spans="20:20" s="566" customFormat="1">
      <c r="T44987" s="41"/>
    </row>
    <row r="44988" spans="20:20" s="566" customFormat="1">
      <c r="T44988" s="41"/>
    </row>
    <row r="44989" spans="20:20" s="566" customFormat="1">
      <c r="T44989" s="41"/>
    </row>
    <row r="44990" spans="20:20" s="566" customFormat="1">
      <c r="T44990" s="41"/>
    </row>
    <row r="44991" spans="20:20" s="566" customFormat="1">
      <c r="T44991" s="41"/>
    </row>
    <row r="44992" spans="20:20" s="566" customFormat="1">
      <c r="T44992" s="41"/>
    </row>
    <row r="44993" spans="20:20" s="566" customFormat="1">
      <c r="T44993" s="41"/>
    </row>
    <row r="44994" spans="20:20" s="566" customFormat="1">
      <c r="T44994" s="41"/>
    </row>
    <row r="44995" spans="20:20" s="566" customFormat="1">
      <c r="T44995" s="41"/>
    </row>
    <row r="44996" spans="20:20" s="566" customFormat="1">
      <c r="T44996" s="41"/>
    </row>
    <row r="44997" spans="20:20" s="566" customFormat="1">
      <c r="T44997" s="41"/>
    </row>
    <row r="44998" spans="20:20" s="566" customFormat="1">
      <c r="T44998" s="41"/>
    </row>
    <row r="44999" spans="20:20" s="566" customFormat="1">
      <c r="T44999" s="41"/>
    </row>
    <row r="45000" spans="20:20" s="566" customFormat="1">
      <c r="T45000" s="41"/>
    </row>
    <row r="45001" spans="20:20" s="566" customFormat="1">
      <c r="T45001" s="41"/>
    </row>
    <row r="45002" spans="20:20" s="566" customFormat="1">
      <c r="T45002" s="41"/>
    </row>
    <row r="45003" spans="20:20" s="566" customFormat="1">
      <c r="T45003" s="41"/>
    </row>
    <row r="45004" spans="20:20" s="566" customFormat="1">
      <c r="T45004" s="41"/>
    </row>
    <row r="45005" spans="20:20" s="566" customFormat="1">
      <c r="T45005" s="41"/>
    </row>
    <row r="45006" spans="20:20" s="566" customFormat="1">
      <c r="T45006" s="41"/>
    </row>
    <row r="45007" spans="20:20" s="566" customFormat="1">
      <c r="T45007" s="41"/>
    </row>
    <row r="45008" spans="20:20" s="566" customFormat="1">
      <c r="T45008" s="41"/>
    </row>
    <row r="45009" spans="20:20" s="566" customFormat="1">
      <c r="T45009" s="41"/>
    </row>
    <row r="45010" spans="20:20" s="566" customFormat="1">
      <c r="T45010" s="41"/>
    </row>
    <row r="45011" spans="20:20" s="566" customFormat="1">
      <c r="T45011" s="41"/>
    </row>
    <row r="45012" spans="20:20" s="566" customFormat="1">
      <c r="T45012" s="41"/>
    </row>
    <row r="45013" spans="20:20" s="566" customFormat="1">
      <c r="T45013" s="41"/>
    </row>
    <row r="45014" spans="20:20" s="566" customFormat="1">
      <c r="T45014" s="41"/>
    </row>
    <row r="45015" spans="20:20" s="566" customFormat="1">
      <c r="T45015" s="41"/>
    </row>
    <row r="45016" spans="20:20" s="566" customFormat="1">
      <c r="T45016" s="41"/>
    </row>
    <row r="45017" spans="20:20" s="566" customFormat="1">
      <c r="T45017" s="41"/>
    </row>
    <row r="45018" spans="20:20" s="566" customFormat="1">
      <c r="T45018" s="41"/>
    </row>
    <row r="45019" spans="20:20" s="566" customFormat="1">
      <c r="T45019" s="41"/>
    </row>
    <row r="45020" spans="20:20" s="566" customFormat="1">
      <c r="T45020" s="41"/>
    </row>
    <row r="45021" spans="20:20" s="566" customFormat="1">
      <c r="T45021" s="41"/>
    </row>
    <row r="45022" spans="20:20" s="566" customFormat="1">
      <c r="T45022" s="41"/>
    </row>
    <row r="45023" spans="20:20" s="566" customFormat="1">
      <c r="T45023" s="41"/>
    </row>
    <row r="45024" spans="20:20" s="566" customFormat="1">
      <c r="T45024" s="41"/>
    </row>
    <row r="45025" spans="20:20" s="566" customFormat="1">
      <c r="T45025" s="41"/>
    </row>
    <row r="45026" spans="20:20" s="566" customFormat="1">
      <c r="T45026" s="41"/>
    </row>
    <row r="45027" spans="20:20" s="566" customFormat="1">
      <c r="T45027" s="41"/>
    </row>
    <row r="45028" spans="20:20" s="566" customFormat="1">
      <c r="T45028" s="41"/>
    </row>
    <row r="45029" spans="20:20" s="566" customFormat="1">
      <c r="T45029" s="41"/>
    </row>
    <row r="45030" spans="20:20" s="566" customFormat="1">
      <c r="T45030" s="41"/>
    </row>
    <row r="45031" spans="20:20" s="566" customFormat="1">
      <c r="T45031" s="41"/>
    </row>
    <row r="45032" spans="20:20" s="566" customFormat="1">
      <c r="T45032" s="41"/>
    </row>
    <row r="45033" spans="20:20" s="566" customFormat="1">
      <c r="T45033" s="41"/>
    </row>
    <row r="45034" spans="20:20" s="566" customFormat="1">
      <c r="T45034" s="41"/>
    </row>
    <row r="45035" spans="20:20" s="566" customFormat="1">
      <c r="T45035" s="41"/>
    </row>
    <row r="45036" spans="20:20" s="566" customFormat="1">
      <c r="T45036" s="41"/>
    </row>
    <row r="45037" spans="20:20" s="566" customFormat="1">
      <c r="T45037" s="41"/>
    </row>
    <row r="45038" spans="20:20" s="566" customFormat="1">
      <c r="T45038" s="41"/>
    </row>
    <row r="45039" spans="20:20" s="566" customFormat="1">
      <c r="T45039" s="41"/>
    </row>
    <row r="45040" spans="20:20" s="566" customFormat="1">
      <c r="T45040" s="41"/>
    </row>
    <row r="45041" spans="20:20" s="566" customFormat="1">
      <c r="T45041" s="41"/>
    </row>
    <row r="45042" spans="20:20" s="566" customFormat="1">
      <c r="T45042" s="41"/>
    </row>
    <row r="45043" spans="20:20" s="566" customFormat="1">
      <c r="T45043" s="41"/>
    </row>
    <row r="45044" spans="20:20" s="566" customFormat="1">
      <c r="T45044" s="41"/>
    </row>
    <row r="45045" spans="20:20" s="566" customFormat="1">
      <c r="T45045" s="41"/>
    </row>
    <row r="45046" spans="20:20" s="566" customFormat="1">
      <c r="T45046" s="41"/>
    </row>
    <row r="45047" spans="20:20" s="566" customFormat="1">
      <c r="T45047" s="41"/>
    </row>
    <row r="45048" spans="20:20" s="566" customFormat="1">
      <c r="T45048" s="41"/>
    </row>
    <row r="45049" spans="20:20" s="566" customFormat="1">
      <c r="T45049" s="41"/>
    </row>
    <row r="45050" spans="20:20" s="566" customFormat="1">
      <c r="T45050" s="41"/>
    </row>
    <row r="45051" spans="20:20" s="566" customFormat="1">
      <c r="T45051" s="41"/>
    </row>
    <row r="45052" spans="20:20" s="566" customFormat="1">
      <c r="T45052" s="41"/>
    </row>
    <row r="45053" spans="20:20" s="566" customFormat="1">
      <c r="T45053" s="41"/>
    </row>
    <row r="45054" spans="20:20" s="566" customFormat="1">
      <c r="T45054" s="41"/>
    </row>
    <row r="45055" spans="20:20" s="566" customFormat="1">
      <c r="T45055" s="41"/>
    </row>
    <row r="45056" spans="20:20" s="566" customFormat="1">
      <c r="T45056" s="41"/>
    </row>
    <row r="45057" spans="20:20" s="566" customFormat="1">
      <c r="T45057" s="41"/>
    </row>
    <row r="45058" spans="20:20" s="566" customFormat="1">
      <c r="T45058" s="41"/>
    </row>
    <row r="45059" spans="20:20" s="566" customFormat="1">
      <c r="T45059" s="41"/>
    </row>
    <row r="45060" spans="20:20" s="566" customFormat="1">
      <c r="T45060" s="41"/>
    </row>
    <row r="45061" spans="20:20" s="566" customFormat="1">
      <c r="T45061" s="41"/>
    </row>
    <row r="45062" spans="20:20" s="566" customFormat="1">
      <c r="T45062" s="41"/>
    </row>
    <row r="45063" spans="20:20" s="566" customFormat="1">
      <c r="T45063" s="41"/>
    </row>
    <row r="45064" spans="20:20" s="566" customFormat="1">
      <c r="T45064" s="41"/>
    </row>
    <row r="45065" spans="20:20" s="566" customFormat="1">
      <c r="T45065" s="41"/>
    </row>
    <row r="45066" spans="20:20" s="566" customFormat="1">
      <c r="T45066" s="41"/>
    </row>
    <row r="45067" spans="20:20" s="566" customFormat="1">
      <c r="T45067" s="41"/>
    </row>
    <row r="45068" spans="20:20" s="566" customFormat="1">
      <c r="T45068" s="41"/>
    </row>
    <row r="45069" spans="20:20" s="566" customFormat="1">
      <c r="T45069" s="41"/>
    </row>
    <row r="45070" spans="20:20" s="566" customFormat="1">
      <c r="T45070" s="41"/>
    </row>
    <row r="45071" spans="20:20" s="566" customFormat="1">
      <c r="T45071" s="41"/>
    </row>
    <row r="45072" spans="20:20" s="566" customFormat="1">
      <c r="T45072" s="41"/>
    </row>
    <row r="45073" spans="20:20" s="566" customFormat="1">
      <c r="T45073" s="41"/>
    </row>
    <row r="45074" spans="20:20" s="566" customFormat="1">
      <c r="T45074" s="41"/>
    </row>
    <row r="45075" spans="20:20" s="566" customFormat="1">
      <c r="T45075" s="41"/>
    </row>
    <row r="45076" spans="20:20" s="566" customFormat="1">
      <c r="T45076" s="41"/>
    </row>
    <row r="45077" spans="20:20" s="566" customFormat="1">
      <c r="T45077" s="41"/>
    </row>
    <row r="45078" spans="20:20" s="566" customFormat="1">
      <c r="T45078" s="41"/>
    </row>
    <row r="45079" spans="20:20" s="566" customFormat="1">
      <c r="T45079" s="41"/>
    </row>
    <row r="45080" spans="20:20" s="566" customFormat="1">
      <c r="T45080" s="41"/>
    </row>
    <row r="45081" spans="20:20" s="566" customFormat="1">
      <c r="T45081" s="41"/>
    </row>
    <row r="45082" spans="20:20" s="566" customFormat="1">
      <c r="T45082" s="41"/>
    </row>
    <row r="45083" spans="20:20" s="566" customFormat="1">
      <c r="T45083" s="41"/>
    </row>
    <row r="45084" spans="20:20" s="566" customFormat="1">
      <c r="T45084" s="41"/>
    </row>
    <row r="45085" spans="20:20" s="566" customFormat="1">
      <c r="T45085" s="41"/>
    </row>
    <row r="45086" spans="20:20" s="566" customFormat="1">
      <c r="T45086" s="41"/>
    </row>
    <row r="45087" spans="20:20" s="566" customFormat="1">
      <c r="T45087" s="41"/>
    </row>
    <row r="45088" spans="20:20" s="566" customFormat="1">
      <c r="T45088" s="41"/>
    </row>
    <row r="45089" spans="20:20" s="566" customFormat="1">
      <c r="T45089" s="41"/>
    </row>
    <row r="45090" spans="20:20" s="566" customFormat="1">
      <c r="T45090" s="41"/>
    </row>
    <row r="45091" spans="20:20" s="566" customFormat="1">
      <c r="T45091" s="41"/>
    </row>
    <row r="45092" spans="20:20" s="566" customFormat="1">
      <c r="T45092" s="41"/>
    </row>
    <row r="45093" spans="20:20" s="566" customFormat="1">
      <c r="T45093" s="41"/>
    </row>
    <row r="45094" spans="20:20" s="566" customFormat="1">
      <c r="T45094" s="41"/>
    </row>
    <row r="45095" spans="20:20" s="566" customFormat="1">
      <c r="T45095" s="41"/>
    </row>
    <row r="45096" spans="20:20" s="566" customFormat="1">
      <c r="T45096" s="41"/>
    </row>
    <row r="45097" spans="20:20" s="566" customFormat="1">
      <c r="T45097" s="41"/>
    </row>
    <row r="45098" spans="20:20" s="566" customFormat="1">
      <c r="T45098" s="41"/>
    </row>
    <row r="45099" spans="20:20" s="566" customFormat="1">
      <c r="T45099" s="41"/>
    </row>
    <row r="45100" spans="20:20" s="566" customFormat="1">
      <c r="T45100" s="41"/>
    </row>
    <row r="45101" spans="20:20" s="566" customFormat="1">
      <c r="T45101" s="41"/>
    </row>
    <row r="45102" spans="20:20" s="566" customFormat="1">
      <c r="T45102" s="41"/>
    </row>
    <row r="45103" spans="20:20" s="566" customFormat="1">
      <c r="T45103" s="41"/>
    </row>
    <row r="45104" spans="20:20" s="566" customFormat="1">
      <c r="T45104" s="41"/>
    </row>
    <row r="45105" spans="20:20" s="566" customFormat="1">
      <c r="T45105" s="41"/>
    </row>
    <row r="45106" spans="20:20" s="566" customFormat="1">
      <c r="T45106" s="41"/>
    </row>
    <row r="45107" spans="20:20" s="566" customFormat="1">
      <c r="T45107" s="41"/>
    </row>
    <row r="45108" spans="20:20" s="566" customFormat="1">
      <c r="T45108" s="41"/>
    </row>
    <row r="45109" spans="20:20" s="566" customFormat="1">
      <c r="T45109" s="41"/>
    </row>
    <row r="45110" spans="20:20" s="566" customFormat="1">
      <c r="T45110" s="41"/>
    </row>
    <row r="45111" spans="20:20" s="566" customFormat="1">
      <c r="T45111" s="41"/>
    </row>
    <row r="45112" spans="20:20" s="566" customFormat="1">
      <c r="T45112" s="41"/>
    </row>
    <row r="45113" spans="20:20" s="566" customFormat="1">
      <c r="T45113" s="41"/>
    </row>
    <row r="45114" spans="20:20" s="566" customFormat="1">
      <c r="T45114" s="41"/>
    </row>
    <row r="45115" spans="20:20" s="566" customFormat="1">
      <c r="T45115" s="41"/>
    </row>
    <row r="45116" spans="20:20" s="566" customFormat="1">
      <c r="T45116" s="41"/>
    </row>
    <row r="45117" spans="20:20" s="566" customFormat="1">
      <c r="T45117" s="41"/>
    </row>
    <row r="45118" spans="20:20" s="566" customFormat="1">
      <c r="T45118" s="41"/>
    </row>
    <row r="45119" spans="20:20" s="566" customFormat="1">
      <c r="T45119" s="41"/>
    </row>
    <row r="45120" spans="20:20" s="566" customFormat="1">
      <c r="T45120" s="41"/>
    </row>
    <row r="45121" spans="20:20" s="566" customFormat="1">
      <c r="T45121" s="41"/>
    </row>
    <row r="45122" spans="20:20" s="566" customFormat="1">
      <c r="T45122" s="41"/>
    </row>
    <row r="45123" spans="20:20" s="566" customFormat="1">
      <c r="T45123" s="41"/>
    </row>
    <row r="45124" spans="20:20" s="566" customFormat="1">
      <c r="T45124" s="41"/>
    </row>
    <row r="45125" spans="20:20" s="566" customFormat="1">
      <c r="T45125" s="41"/>
    </row>
    <row r="45126" spans="20:20" s="566" customFormat="1">
      <c r="T45126" s="41"/>
    </row>
    <row r="45127" spans="20:20" s="566" customFormat="1">
      <c r="T45127" s="41"/>
    </row>
    <row r="45128" spans="20:20" s="566" customFormat="1">
      <c r="T45128" s="41"/>
    </row>
    <row r="45129" spans="20:20" s="566" customFormat="1">
      <c r="T45129" s="41"/>
    </row>
    <row r="45130" spans="20:20" s="566" customFormat="1">
      <c r="T45130" s="41"/>
    </row>
    <row r="45131" spans="20:20" s="566" customFormat="1">
      <c r="T45131" s="41"/>
    </row>
    <row r="45132" spans="20:20" s="566" customFormat="1">
      <c r="T45132" s="41"/>
    </row>
    <row r="45133" spans="20:20" s="566" customFormat="1">
      <c r="T45133" s="41"/>
    </row>
    <row r="45134" spans="20:20" s="566" customFormat="1">
      <c r="T45134" s="41"/>
    </row>
    <row r="45135" spans="20:20" s="566" customFormat="1">
      <c r="T45135" s="41"/>
    </row>
    <row r="45136" spans="20:20" s="566" customFormat="1">
      <c r="T45136" s="41"/>
    </row>
    <row r="45137" spans="20:20" s="566" customFormat="1">
      <c r="T45137" s="41"/>
    </row>
    <row r="45138" spans="20:20" s="566" customFormat="1">
      <c r="T45138" s="41"/>
    </row>
    <row r="45139" spans="20:20" s="566" customFormat="1">
      <c r="T45139" s="41"/>
    </row>
    <row r="45140" spans="20:20" s="566" customFormat="1">
      <c r="T45140" s="41"/>
    </row>
    <row r="45141" spans="20:20" s="566" customFormat="1">
      <c r="T45141" s="41"/>
    </row>
    <row r="45142" spans="20:20" s="566" customFormat="1">
      <c r="T45142" s="41"/>
    </row>
    <row r="45143" spans="20:20" s="566" customFormat="1">
      <c r="T45143" s="41"/>
    </row>
    <row r="45144" spans="20:20" s="566" customFormat="1">
      <c r="T45144" s="41"/>
    </row>
    <row r="45145" spans="20:20" s="566" customFormat="1">
      <c r="T45145" s="41"/>
    </row>
    <row r="45146" spans="20:20" s="566" customFormat="1">
      <c r="T45146" s="41"/>
    </row>
    <row r="45147" spans="20:20" s="566" customFormat="1">
      <c r="T45147" s="41"/>
    </row>
    <row r="45148" spans="20:20" s="566" customFormat="1">
      <c r="T45148" s="41"/>
    </row>
    <row r="45149" spans="20:20" s="566" customFormat="1">
      <c r="T45149" s="41"/>
    </row>
    <row r="45150" spans="20:20" s="566" customFormat="1">
      <c r="T45150" s="41"/>
    </row>
    <row r="45151" spans="20:20" s="566" customFormat="1">
      <c r="T45151" s="41"/>
    </row>
    <row r="45152" spans="20:20" s="566" customFormat="1">
      <c r="T45152" s="41"/>
    </row>
    <row r="45153" spans="20:20" s="566" customFormat="1">
      <c r="T45153" s="41"/>
    </row>
    <row r="45154" spans="20:20" s="566" customFormat="1">
      <c r="T45154" s="41"/>
    </row>
    <row r="45155" spans="20:20" s="566" customFormat="1">
      <c r="T45155" s="41"/>
    </row>
    <row r="45156" spans="20:20" s="566" customFormat="1">
      <c r="T45156" s="41"/>
    </row>
    <row r="45157" spans="20:20" s="566" customFormat="1">
      <c r="T45157" s="41"/>
    </row>
    <row r="45158" spans="20:20" s="566" customFormat="1">
      <c r="T45158" s="41"/>
    </row>
    <row r="45159" spans="20:20" s="566" customFormat="1">
      <c r="T45159" s="41"/>
    </row>
    <row r="45160" spans="20:20" s="566" customFormat="1">
      <c r="T45160" s="41"/>
    </row>
    <row r="45161" spans="20:20" s="566" customFormat="1">
      <c r="T45161" s="41"/>
    </row>
    <row r="45162" spans="20:20" s="566" customFormat="1">
      <c r="T45162" s="41"/>
    </row>
    <row r="45163" spans="20:20" s="566" customFormat="1">
      <c r="T45163" s="41"/>
    </row>
    <row r="45164" spans="20:20" s="566" customFormat="1">
      <c r="T45164" s="41"/>
    </row>
    <row r="45165" spans="20:20" s="566" customFormat="1">
      <c r="T45165" s="41"/>
    </row>
    <row r="45166" spans="20:20" s="566" customFormat="1">
      <c r="T45166" s="41"/>
    </row>
    <row r="45167" spans="20:20" s="566" customFormat="1">
      <c r="T45167" s="41"/>
    </row>
    <row r="45168" spans="20:20" s="566" customFormat="1">
      <c r="T45168" s="41"/>
    </row>
    <row r="45169" spans="20:20" s="566" customFormat="1">
      <c r="T45169" s="41"/>
    </row>
    <row r="45170" spans="20:20" s="566" customFormat="1">
      <c r="T45170" s="41"/>
    </row>
    <row r="45171" spans="20:20" s="566" customFormat="1">
      <c r="T45171" s="41"/>
    </row>
    <row r="45172" spans="20:20" s="566" customFormat="1">
      <c r="T45172" s="41"/>
    </row>
    <row r="45173" spans="20:20" s="566" customFormat="1">
      <c r="T45173" s="41"/>
    </row>
    <row r="45174" spans="20:20" s="566" customFormat="1">
      <c r="T45174" s="41"/>
    </row>
    <row r="45175" spans="20:20" s="566" customFormat="1">
      <c r="T45175" s="41"/>
    </row>
    <row r="45176" spans="20:20" s="566" customFormat="1">
      <c r="T45176" s="41"/>
    </row>
    <row r="45177" spans="20:20" s="566" customFormat="1">
      <c r="T45177" s="41"/>
    </row>
    <row r="45178" spans="20:20" s="566" customFormat="1">
      <c r="T45178" s="41"/>
    </row>
    <row r="45179" spans="20:20" s="566" customFormat="1">
      <c r="T45179" s="41"/>
    </row>
    <row r="45180" spans="20:20" s="566" customFormat="1">
      <c r="T45180" s="41"/>
    </row>
    <row r="45181" spans="20:20" s="566" customFormat="1">
      <c r="T45181" s="41"/>
    </row>
    <row r="45182" spans="20:20" s="566" customFormat="1">
      <c r="T45182" s="41"/>
    </row>
    <row r="45183" spans="20:20" s="566" customFormat="1">
      <c r="T45183" s="41"/>
    </row>
    <row r="45184" spans="20:20" s="566" customFormat="1">
      <c r="T45184" s="41"/>
    </row>
    <row r="45185" spans="20:20" s="566" customFormat="1">
      <c r="T45185" s="41"/>
    </row>
    <row r="45186" spans="20:20" s="566" customFormat="1">
      <c r="T45186" s="41"/>
    </row>
    <row r="45187" spans="20:20" s="566" customFormat="1">
      <c r="T45187" s="41"/>
    </row>
    <row r="45188" spans="20:20" s="566" customFormat="1">
      <c r="T45188" s="41"/>
    </row>
    <row r="45189" spans="20:20" s="566" customFormat="1">
      <c r="T45189" s="41"/>
    </row>
    <row r="45190" spans="20:20" s="566" customFormat="1">
      <c r="T45190" s="41"/>
    </row>
    <row r="45191" spans="20:20" s="566" customFormat="1">
      <c r="T45191" s="41"/>
    </row>
    <row r="45192" spans="20:20" s="566" customFormat="1">
      <c r="T45192" s="41"/>
    </row>
    <row r="45193" spans="20:20" s="566" customFormat="1">
      <c r="T45193" s="41"/>
    </row>
    <row r="45194" spans="20:20" s="566" customFormat="1">
      <c r="T45194" s="41"/>
    </row>
    <row r="45195" spans="20:20" s="566" customFormat="1">
      <c r="T45195" s="41"/>
    </row>
    <row r="45196" spans="20:20" s="566" customFormat="1">
      <c r="T45196" s="41"/>
    </row>
    <row r="45197" spans="20:20" s="566" customFormat="1">
      <c r="T45197" s="41"/>
    </row>
    <row r="45198" spans="20:20" s="566" customFormat="1">
      <c r="T45198" s="41"/>
    </row>
    <row r="45199" spans="20:20" s="566" customFormat="1">
      <c r="T45199" s="41"/>
    </row>
    <row r="45200" spans="20:20" s="566" customFormat="1">
      <c r="T45200" s="41"/>
    </row>
    <row r="45201" spans="20:20" s="566" customFormat="1">
      <c r="T45201" s="41"/>
    </row>
    <row r="45202" spans="20:20" s="566" customFormat="1">
      <c r="T45202" s="41"/>
    </row>
    <row r="45203" spans="20:20" s="566" customFormat="1">
      <c r="T45203" s="41"/>
    </row>
    <row r="45204" spans="20:20" s="566" customFormat="1">
      <c r="T45204" s="41"/>
    </row>
    <row r="45205" spans="20:20" s="566" customFormat="1">
      <c r="T45205" s="41"/>
    </row>
    <row r="45206" spans="20:20" s="566" customFormat="1">
      <c r="T45206" s="41"/>
    </row>
    <row r="45207" spans="20:20" s="566" customFormat="1">
      <c r="T45207" s="41"/>
    </row>
    <row r="45208" spans="20:20" s="566" customFormat="1">
      <c r="T45208" s="41"/>
    </row>
    <row r="45209" spans="20:20" s="566" customFormat="1">
      <c r="T45209" s="41"/>
    </row>
    <row r="45210" spans="20:20" s="566" customFormat="1">
      <c r="T45210" s="41"/>
    </row>
    <row r="45211" spans="20:20" s="566" customFormat="1">
      <c r="T45211" s="41"/>
    </row>
    <row r="45212" spans="20:20" s="566" customFormat="1">
      <c r="T45212" s="41"/>
    </row>
    <row r="45213" spans="20:20" s="566" customFormat="1">
      <c r="T45213" s="41"/>
    </row>
    <row r="45214" spans="20:20" s="566" customFormat="1">
      <c r="T45214" s="41"/>
    </row>
    <row r="45215" spans="20:20" s="566" customFormat="1">
      <c r="T45215" s="41"/>
    </row>
    <row r="45216" spans="20:20" s="566" customFormat="1">
      <c r="T45216" s="41"/>
    </row>
    <row r="45217" spans="20:20" s="566" customFormat="1">
      <c r="T45217" s="41"/>
    </row>
    <row r="45218" spans="20:20" s="566" customFormat="1">
      <c r="T45218" s="41"/>
    </row>
    <row r="45219" spans="20:20" s="566" customFormat="1">
      <c r="T45219" s="41"/>
    </row>
    <row r="45220" spans="20:20" s="566" customFormat="1">
      <c r="T45220" s="41"/>
    </row>
    <row r="45221" spans="20:20" s="566" customFormat="1">
      <c r="T45221" s="41"/>
    </row>
    <row r="45222" spans="20:20" s="566" customFormat="1">
      <c r="T45222" s="41"/>
    </row>
    <row r="45223" spans="20:20" s="566" customFormat="1">
      <c r="T45223" s="41"/>
    </row>
    <row r="45224" spans="20:20" s="566" customFormat="1">
      <c r="T45224" s="41"/>
    </row>
    <row r="45225" spans="20:20" s="566" customFormat="1">
      <c r="T45225" s="41"/>
    </row>
    <row r="45226" spans="20:20" s="566" customFormat="1">
      <c r="T45226" s="41"/>
    </row>
    <row r="45227" spans="20:20" s="566" customFormat="1">
      <c r="T45227" s="41"/>
    </row>
    <row r="45228" spans="20:20" s="566" customFormat="1">
      <c r="T45228" s="41"/>
    </row>
    <row r="45229" spans="20:20" s="566" customFormat="1">
      <c r="T45229" s="41"/>
    </row>
    <row r="45230" spans="20:20" s="566" customFormat="1">
      <c r="T45230" s="41"/>
    </row>
    <row r="45231" spans="20:20" s="566" customFormat="1">
      <c r="T45231" s="41"/>
    </row>
    <row r="45232" spans="20:20" s="566" customFormat="1">
      <c r="T45232" s="41"/>
    </row>
    <row r="45233" spans="20:20" s="566" customFormat="1">
      <c r="T45233" s="41"/>
    </row>
    <row r="45234" spans="20:20" s="566" customFormat="1">
      <c r="T45234" s="41"/>
    </row>
    <row r="45235" spans="20:20" s="566" customFormat="1">
      <c r="T45235" s="41"/>
    </row>
    <row r="45236" spans="20:20" s="566" customFormat="1">
      <c r="T45236" s="41"/>
    </row>
    <row r="45237" spans="20:20" s="566" customFormat="1">
      <c r="T45237" s="41"/>
    </row>
    <row r="45238" spans="20:20" s="566" customFormat="1">
      <c r="T45238" s="41"/>
    </row>
    <row r="45239" spans="20:20" s="566" customFormat="1">
      <c r="T45239" s="41"/>
    </row>
    <row r="45240" spans="20:20" s="566" customFormat="1">
      <c r="T45240" s="41"/>
    </row>
    <row r="45241" spans="20:20" s="566" customFormat="1">
      <c r="T45241" s="41"/>
    </row>
    <row r="45242" spans="20:20" s="566" customFormat="1">
      <c r="T45242" s="41"/>
    </row>
    <row r="45243" spans="20:20" s="566" customFormat="1">
      <c r="T45243" s="41"/>
    </row>
    <row r="45244" spans="20:20" s="566" customFormat="1">
      <c r="T45244" s="41"/>
    </row>
    <row r="45245" spans="20:20" s="566" customFormat="1">
      <c r="T45245" s="41"/>
    </row>
    <row r="45246" spans="20:20" s="566" customFormat="1">
      <c r="T45246" s="41"/>
    </row>
    <row r="45247" spans="20:20" s="566" customFormat="1">
      <c r="T45247" s="41"/>
    </row>
    <row r="45248" spans="20:20" s="566" customFormat="1">
      <c r="T45248" s="41"/>
    </row>
    <row r="45249" spans="20:20" s="566" customFormat="1">
      <c r="T45249" s="41"/>
    </row>
    <row r="45250" spans="20:20" s="566" customFormat="1">
      <c r="T45250" s="41"/>
    </row>
    <row r="45251" spans="20:20" s="566" customFormat="1">
      <c r="T45251" s="41"/>
    </row>
    <row r="45252" spans="20:20" s="566" customFormat="1">
      <c r="T45252" s="41"/>
    </row>
    <row r="45253" spans="20:20" s="566" customFormat="1">
      <c r="T45253" s="41"/>
    </row>
    <row r="45254" spans="20:20" s="566" customFormat="1">
      <c r="T45254" s="41"/>
    </row>
    <row r="45255" spans="20:20" s="566" customFormat="1">
      <c r="T45255" s="41"/>
    </row>
    <row r="45256" spans="20:20" s="566" customFormat="1">
      <c r="T45256" s="41"/>
    </row>
    <row r="45257" spans="20:20" s="566" customFormat="1">
      <c r="T45257" s="41"/>
    </row>
    <row r="45258" spans="20:20" s="566" customFormat="1">
      <c r="T45258" s="41"/>
    </row>
    <row r="45259" spans="20:20" s="566" customFormat="1">
      <c r="T45259" s="41"/>
    </row>
    <row r="45260" spans="20:20" s="566" customFormat="1">
      <c r="T45260" s="41"/>
    </row>
    <row r="45261" spans="20:20" s="566" customFormat="1">
      <c r="T45261" s="41"/>
    </row>
    <row r="45262" spans="20:20" s="566" customFormat="1">
      <c r="T45262" s="41"/>
    </row>
    <row r="45263" spans="20:20" s="566" customFormat="1">
      <c r="T45263" s="41"/>
    </row>
    <row r="45264" spans="20:20" s="566" customFormat="1">
      <c r="T45264" s="41"/>
    </row>
    <row r="45265" spans="20:20" s="566" customFormat="1">
      <c r="T45265" s="41"/>
    </row>
    <row r="45266" spans="20:20" s="566" customFormat="1">
      <c r="T45266" s="41"/>
    </row>
    <row r="45267" spans="20:20" s="566" customFormat="1">
      <c r="T45267" s="41"/>
    </row>
    <row r="45268" spans="20:20" s="566" customFormat="1">
      <c r="T45268" s="41"/>
    </row>
    <row r="45269" spans="20:20" s="566" customFormat="1">
      <c r="T45269" s="41"/>
    </row>
    <row r="45270" spans="20:20" s="566" customFormat="1">
      <c r="T45270" s="41"/>
    </row>
    <row r="45271" spans="20:20" s="566" customFormat="1">
      <c r="T45271" s="41"/>
    </row>
    <row r="45272" spans="20:20" s="566" customFormat="1">
      <c r="T45272" s="41"/>
    </row>
    <row r="45273" spans="20:20" s="566" customFormat="1">
      <c r="T45273" s="41"/>
    </row>
    <row r="45274" spans="20:20" s="566" customFormat="1">
      <c r="T45274" s="41"/>
    </row>
    <row r="45275" spans="20:20" s="566" customFormat="1">
      <c r="T45275" s="41"/>
    </row>
    <row r="45276" spans="20:20" s="566" customFormat="1">
      <c r="T45276" s="41"/>
    </row>
    <row r="45277" spans="20:20" s="566" customFormat="1">
      <c r="T45277" s="41"/>
    </row>
    <row r="45278" spans="20:20" s="566" customFormat="1">
      <c r="T45278" s="41"/>
    </row>
    <row r="45279" spans="20:20" s="566" customFormat="1">
      <c r="T45279" s="41"/>
    </row>
    <row r="45280" spans="20:20" s="566" customFormat="1">
      <c r="T45280" s="41"/>
    </row>
    <row r="45281" spans="20:20" s="566" customFormat="1">
      <c r="T45281" s="41"/>
    </row>
    <row r="45282" spans="20:20" s="566" customFormat="1">
      <c r="T45282" s="41"/>
    </row>
    <row r="45283" spans="20:20" s="566" customFormat="1">
      <c r="T45283" s="41"/>
    </row>
    <row r="45284" spans="20:20" s="566" customFormat="1">
      <c r="T45284" s="41"/>
    </row>
    <row r="45285" spans="20:20" s="566" customFormat="1">
      <c r="T45285" s="41"/>
    </row>
    <row r="45286" spans="20:20" s="566" customFormat="1">
      <c r="T45286" s="41"/>
    </row>
    <row r="45287" spans="20:20" s="566" customFormat="1">
      <c r="T45287" s="41"/>
    </row>
    <row r="45288" spans="20:20" s="566" customFormat="1">
      <c r="T45288" s="41"/>
    </row>
    <row r="45289" spans="20:20" s="566" customFormat="1">
      <c r="T45289" s="41"/>
    </row>
    <row r="45290" spans="20:20" s="566" customFormat="1">
      <c r="T45290" s="41"/>
    </row>
    <row r="45291" spans="20:20" s="566" customFormat="1">
      <c r="T45291" s="41"/>
    </row>
    <row r="45292" spans="20:20" s="566" customFormat="1">
      <c r="T45292" s="41"/>
    </row>
    <row r="45293" spans="20:20" s="566" customFormat="1">
      <c r="T45293" s="41"/>
    </row>
    <row r="45294" spans="20:20" s="566" customFormat="1">
      <c r="T45294" s="41"/>
    </row>
    <row r="45295" spans="20:20" s="566" customFormat="1">
      <c r="T45295" s="41"/>
    </row>
    <row r="45296" spans="20:20" s="566" customFormat="1">
      <c r="T45296" s="41"/>
    </row>
    <row r="45297" spans="20:20" s="566" customFormat="1">
      <c r="T45297" s="41"/>
    </row>
    <row r="45298" spans="20:20" s="566" customFormat="1">
      <c r="T45298" s="41"/>
    </row>
    <row r="45299" spans="20:20" s="566" customFormat="1">
      <c r="T45299" s="41"/>
    </row>
    <row r="45300" spans="20:20" s="566" customFormat="1">
      <c r="T45300" s="41"/>
    </row>
    <row r="45301" spans="20:20" s="566" customFormat="1">
      <c r="T45301" s="41"/>
    </row>
    <row r="45302" spans="20:20" s="566" customFormat="1">
      <c r="T45302" s="41"/>
    </row>
    <row r="45303" spans="20:20" s="566" customFormat="1">
      <c r="T45303" s="41"/>
    </row>
    <row r="45304" spans="20:20" s="566" customFormat="1">
      <c r="T45304" s="41"/>
    </row>
    <row r="45305" spans="20:20" s="566" customFormat="1">
      <c r="T45305" s="41"/>
    </row>
    <row r="45306" spans="20:20" s="566" customFormat="1">
      <c r="T45306" s="41"/>
    </row>
    <row r="45307" spans="20:20" s="566" customFormat="1">
      <c r="T45307" s="41"/>
    </row>
    <row r="45308" spans="20:20" s="566" customFormat="1">
      <c r="T45308" s="41"/>
    </row>
    <row r="45309" spans="20:20" s="566" customFormat="1">
      <c r="T45309" s="41"/>
    </row>
    <row r="45310" spans="20:20" s="566" customFormat="1">
      <c r="T45310" s="41"/>
    </row>
    <row r="45311" spans="20:20" s="566" customFormat="1">
      <c r="T45311" s="41"/>
    </row>
    <row r="45312" spans="20:20" s="566" customFormat="1">
      <c r="T45312" s="41"/>
    </row>
    <row r="45313" spans="20:20" s="566" customFormat="1">
      <c r="T45313" s="41"/>
    </row>
    <row r="45314" spans="20:20" s="566" customFormat="1">
      <c r="T45314" s="41"/>
    </row>
    <row r="45315" spans="20:20" s="566" customFormat="1">
      <c r="T45315" s="41"/>
    </row>
    <row r="45316" spans="20:20" s="566" customFormat="1">
      <c r="T45316" s="41"/>
    </row>
    <row r="45317" spans="20:20" s="566" customFormat="1">
      <c r="T45317" s="41"/>
    </row>
    <row r="45318" spans="20:20" s="566" customFormat="1">
      <c r="T45318" s="41"/>
    </row>
    <row r="45319" spans="20:20" s="566" customFormat="1">
      <c r="T45319" s="41"/>
    </row>
    <row r="45320" spans="20:20" s="566" customFormat="1">
      <c r="T45320" s="41"/>
    </row>
    <row r="45321" spans="20:20" s="566" customFormat="1">
      <c r="T45321" s="41"/>
    </row>
    <row r="45322" spans="20:20" s="566" customFormat="1">
      <c r="T45322" s="41"/>
    </row>
    <row r="45323" spans="20:20" s="566" customFormat="1">
      <c r="T45323" s="41"/>
    </row>
    <row r="45324" spans="20:20" s="566" customFormat="1">
      <c r="T45324" s="41"/>
    </row>
    <row r="45325" spans="20:20" s="566" customFormat="1">
      <c r="T45325" s="41"/>
    </row>
    <row r="45326" spans="20:20" s="566" customFormat="1">
      <c r="T45326" s="41"/>
    </row>
    <row r="45327" spans="20:20" s="566" customFormat="1">
      <c r="T45327" s="41"/>
    </row>
    <row r="45328" spans="20:20" s="566" customFormat="1">
      <c r="T45328" s="41"/>
    </row>
    <row r="45329" spans="20:20" s="566" customFormat="1">
      <c r="T45329" s="41"/>
    </row>
    <row r="45330" spans="20:20" s="566" customFormat="1">
      <c r="T45330" s="41"/>
    </row>
    <row r="45331" spans="20:20" s="566" customFormat="1">
      <c r="T45331" s="41"/>
    </row>
    <row r="45332" spans="20:20" s="566" customFormat="1">
      <c r="T45332" s="41"/>
    </row>
    <row r="45333" spans="20:20" s="566" customFormat="1">
      <c r="T45333" s="41"/>
    </row>
    <row r="45334" spans="20:20" s="566" customFormat="1">
      <c r="T45334" s="41"/>
    </row>
    <row r="45335" spans="20:20" s="566" customFormat="1">
      <c r="T45335" s="41"/>
    </row>
    <row r="45336" spans="20:20" s="566" customFormat="1">
      <c r="T45336" s="41"/>
    </row>
    <row r="45337" spans="20:20" s="566" customFormat="1">
      <c r="T45337" s="41"/>
    </row>
    <row r="45338" spans="20:20" s="566" customFormat="1">
      <c r="T45338" s="41"/>
    </row>
    <row r="45339" spans="20:20" s="566" customFormat="1">
      <c r="T45339" s="41"/>
    </row>
    <row r="45340" spans="20:20" s="566" customFormat="1">
      <c r="T45340" s="41"/>
    </row>
    <row r="45341" spans="20:20" s="566" customFormat="1">
      <c r="T45341" s="41"/>
    </row>
    <row r="45342" spans="20:20" s="566" customFormat="1">
      <c r="T45342" s="41"/>
    </row>
    <row r="45343" spans="20:20" s="566" customFormat="1">
      <c r="T45343" s="41"/>
    </row>
    <row r="45344" spans="20:20" s="566" customFormat="1">
      <c r="T45344" s="41"/>
    </row>
    <row r="45345" spans="20:20" s="566" customFormat="1">
      <c r="T45345" s="41"/>
    </row>
    <row r="45346" spans="20:20" s="566" customFormat="1">
      <c r="T45346" s="41"/>
    </row>
    <row r="45347" spans="20:20" s="566" customFormat="1">
      <c r="T45347" s="41"/>
    </row>
    <row r="45348" spans="20:20" s="566" customFormat="1">
      <c r="T45348" s="41"/>
    </row>
    <row r="45349" spans="20:20" s="566" customFormat="1">
      <c r="T45349" s="41"/>
    </row>
    <row r="45350" spans="20:20" s="566" customFormat="1">
      <c r="T45350" s="41"/>
    </row>
    <row r="45351" spans="20:20" s="566" customFormat="1">
      <c r="T45351" s="41"/>
    </row>
    <row r="45352" spans="20:20" s="566" customFormat="1">
      <c r="T45352" s="41"/>
    </row>
    <row r="45353" spans="20:20" s="566" customFormat="1">
      <c r="T45353" s="41"/>
    </row>
    <row r="45354" spans="20:20" s="566" customFormat="1">
      <c r="T45354" s="41"/>
    </row>
    <row r="45355" spans="20:20" s="566" customFormat="1">
      <c r="T45355" s="41"/>
    </row>
    <row r="45356" spans="20:20" s="566" customFormat="1">
      <c r="T45356" s="41"/>
    </row>
    <row r="45357" spans="20:20" s="566" customFormat="1">
      <c r="T45357" s="41"/>
    </row>
    <row r="45358" spans="20:20" s="566" customFormat="1">
      <c r="T45358" s="41"/>
    </row>
    <row r="45359" spans="20:20" s="566" customFormat="1">
      <c r="T45359" s="41"/>
    </row>
    <row r="45360" spans="20:20" s="566" customFormat="1">
      <c r="T45360" s="41"/>
    </row>
    <row r="45361" spans="20:20" s="566" customFormat="1">
      <c r="T45361" s="41"/>
    </row>
    <row r="45362" spans="20:20" s="566" customFormat="1">
      <c r="T45362" s="41"/>
    </row>
    <row r="45363" spans="20:20" s="566" customFormat="1">
      <c r="T45363" s="41"/>
    </row>
    <row r="45364" spans="20:20" s="566" customFormat="1">
      <c r="T45364" s="41"/>
    </row>
    <row r="45365" spans="20:20" s="566" customFormat="1">
      <c r="T45365" s="41"/>
    </row>
    <row r="45366" spans="20:20" s="566" customFormat="1">
      <c r="T45366" s="41"/>
    </row>
    <row r="45367" spans="20:20" s="566" customFormat="1">
      <c r="T45367" s="41"/>
    </row>
    <row r="45368" spans="20:20" s="566" customFormat="1">
      <c r="T45368" s="41"/>
    </row>
    <row r="45369" spans="20:20" s="566" customFormat="1">
      <c r="T45369" s="41"/>
    </row>
    <row r="45370" spans="20:20" s="566" customFormat="1">
      <c r="T45370" s="41"/>
    </row>
    <row r="45371" spans="20:20" s="566" customFormat="1">
      <c r="T45371" s="41"/>
    </row>
    <row r="45372" spans="20:20" s="566" customFormat="1">
      <c r="T45372" s="41"/>
    </row>
    <row r="45373" spans="20:20" s="566" customFormat="1">
      <c r="T45373" s="41"/>
    </row>
    <row r="45374" spans="20:20" s="566" customFormat="1">
      <c r="T45374" s="41"/>
    </row>
    <row r="45375" spans="20:20" s="566" customFormat="1">
      <c r="T45375" s="41"/>
    </row>
    <row r="45376" spans="20:20" s="566" customFormat="1">
      <c r="T45376" s="41"/>
    </row>
    <row r="45377" spans="20:20" s="566" customFormat="1">
      <c r="T45377" s="41"/>
    </row>
    <row r="45378" spans="20:20" s="566" customFormat="1">
      <c r="T45378" s="41"/>
    </row>
    <row r="45379" spans="20:20" s="566" customFormat="1">
      <c r="T45379" s="41"/>
    </row>
    <row r="45380" spans="20:20" s="566" customFormat="1">
      <c r="T45380" s="41"/>
    </row>
    <row r="45381" spans="20:20" s="566" customFormat="1">
      <c r="T45381" s="41"/>
    </row>
    <row r="45382" spans="20:20" s="566" customFormat="1">
      <c r="T45382" s="41"/>
    </row>
    <row r="45383" spans="20:20" s="566" customFormat="1">
      <c r="T45383" s="41"/>
    </row>
    <row r="45384" spans="20:20" s="566" customFormat="1">
      <c r="T45384" s="41"/>
    </row>
    <row r="45385" spans="20:20" s="566" customFormat="1">
      <c r="T45385" s="41"/>
    </row>
    <row r="45386" spans="20:20" s="566" customFormat="1">
      <c r="T45386" s="41"/>
    </row>
    <row r="45387" spans="20:20" s="566" customFormat="1">
      <c r="T45387" s="41"/>
    </row>
    <row r="45388" spans="20:20" s="566" customFormat="1">
      <c r="T45388" s="41"/>
    </row>
    <row r="45389" spans="20:20" s="566" customFormat="1">
      <c r="T45389" s="41"/>
    </row>
    <row r="45390" spans="20:20" s="566" customFormat="1">
      <c r="T45390" s="41"/>
    </row>
    <row r="45391" spans="20:20" s="566" customFormat="1">
      <c r="T45391" s="41"/>
    </row>
    <row r="45392" spans="20:20" s="566" customFormat="1">
      <c r="T45392" s="41"/>
    </row>
    <row r="45393" spans="20:20" s="566" customFormat="1">
      <c r="T45393" s="41"/>
    </row>
    <row r="45394" spans="20:20" s="566" customFormat="1">
      <c r="T45394" s="41"/>
    </row>
    <row r="45395" spans="20:20" s="566" customFormat="1">
      <c r="T45395" s="41"/>
    </row>
    <row r="45396" spans="20:20" s="566" customFormat="1">
      <c r="T45396" s="41"/>
    </row>
    <row r="45397" spans="20:20" s="566" customFormat="1">
      <c r="T45397" s="41"/>
    </row>
    <row r="45398" spans="20:20" s="566" customFormat="1">
      <c r="T45398" s="41"/>
    </row>
    <row r="45399" spans="20:20" s="566" customFormat="1">
      <c r="T45399" s="41"/>
    </row>
    <row r="45400" spans="20:20" s="566" customFormat="1">
      <c r="T45400" s="41"/>
    </row>
    <row r="45401" spans="20:20" s="566" customFormat="1">
      <c r="T45401" s="41"/>
    </row>
    <row r="45402" spans="20:20" s="566" customFormat="1">
      <c r="T45402" s="41"/>
    </row>
    <row r="45403" spans="20:20" s="566" customFormat="1">
      <c r="T45403" s="41"/>
    </row>
    <row r="45404" spans="20:20" s="566" customFormat="1">
      <c r="T45404" s="41"/>
    </row>
    <row r="45405" spans="20:20" s="566" customFormat="1">
      <c r="T45405" s="41"/>
    </row>
    <row r="45406" spans="20:20" s="566" customFormat="1">
      <c r="T45406" s="41"/>
    </row>
    <row r="45407" spans="20:20" s="566" customFormat="1">
      <c r="T45407" s="41"/>
    </row>
    <row r="45408" spans="20:20" s="566" customFormat="1">
      <c r="T45408" s="41"/>
    </row>
    <row r="45409" spans="20:20" s="566" customFormat="1">
      <c r="T45409" s="41"/>
    </row>
    <row r="45410" spans="20:20" s="566" customFormat="1">
      <c r="T45410" s="41"/>
    </row>
    <row r="45411" spans="20:20" s="566" customFormat="1">
      <c r="T45411" s="41"/>
    </row>
    <row r="45412" spans="20:20" s="566" customFormat="1">
      <c r="T45412" s="41"/>
    </row>
    <row r="45413" spans="20:20" s="566" customFormat="1">
      <c r="T45413" s="41"/>
    </row>
    <row r="45414" spans="20:20" s="566" customFormat="1">
      <c r="T45414" s="41"/>
    </row>
    <row r="45415" spans="20:20" s="566" customFormat="1">
      <c r="T45415" s="41"/>
    </row>
    <row r="45416" spans="20:20" s="566" customFormat="1">
      <c r="T45416" s="41"/>
    </row>
    <row r="45417" spans="20:20" s="566" customFormat="1">
      <c r="T45417" s="41"/>
    </row>
    <row r="45418" spans="20:20" s="566" customFormat="1">
      <c r="T45418" s="41"/>
    </row>
    <row r="45419" spans="20:20" s="566" customFormat="1">
      <c r="T45419" s="41"/>
    </row>
    <row r="45420" spans="20:20" s="566" customFormat="1">
      <c r="T45420" s="41"/>
    </row>
    <row r="45421" spans="20:20" s="566" customFormat="1">
      <c r="T45421" s="41"/>
    </row>
    <row r="45422" spans="20:20" s="566" customFormat="1">
      <c r="T45422" s="41"/>
    </row>
    <row r="45423" spans="20:20" s="566" customFormat="1">
      <c r="T45423" s="41"/>
    </row>
    <row r="45424" spans="20:20" s="566" customFormat="1">
      <c r="T45424" s="41"/>
    </row>
    <row r="45425" spans="20:20" s="566" customFormat="1">
      <c r="T45425" s="41"/>
    </row>
    <row r="45426" spans="20:20" s="566" customFormat="1">
      <c r="T45426" s="41"/>
    </row>
    <row r="45427" spans="20:20" s="566" customFormat="1">
      <c r="T45427" s="41"/>
    </row>
    <row r="45428" spans="20:20" s="566" customFormat="1">
      <c r="T45428" s="41"/>
    </row>
    <row r="45429" spans="20:20" s="566" customFormat="1">
      <c r="T45429" s="41"/>
    </row>
    <row r="45430" spans="20:20" s="566" customFormat="1">
      <c r="T45430" s="41"/>
    </row>
    <row r="45431" spans="20:20" s="566" customFormat="1">
      <c r="T45431" s="41"/>
    </row>
    <row r="45432" spans="20:20" s="566" customFormat="1">
      <c r="T45432" s="41"/>
    </row>
    <row r="45433" spans="20:20" s="566" customFormat="1">
      <c r="T45433" s="41"/>
    </row>
    <row r="45434" spans="20:20" s="566" customFormat="1">
      <c r="T45434" s="41"/>
    </row>
    <row r="45435" spans="20:20" s="566" customFormat="1">
      <c r="T45435" s="41"/>
    </row>
    <row r="45436" spans="20:20" s="566" customFormat="1">
      <c r="T45436" s="41"/>
    </row>
    <row r="45437" spans="20:20" s="566" customFormat="1">
      <c r="T45437" s="41"/>
    </row>
    <row r="45438" spans="20:20" s="566" customFormat="1">
      <c r="T45438" s="41"/>
    </row>
    <row r="45439" spans="20:20" s="566" customFormat="1">
      <c r="T45439" s="41"/>
    </row>
    <row r="45440" spans="20:20" s="566" customFormat="1">
      <c r="T45440" s="41"/>
    </row>
    <row r="45441" spans="20:20" s="566" customFormat="1">
      <c r="T45441" s="41"/>
    </row>
    <row r="45442" spans="20:20" s="566" customFormat="1">
      <c r="T45442" s="41"/>
    </row>
    <row r="45443" spans="20:20" s="566" customFormat="1">
      <c r="T45443" s="41"/>
    </row>
    <row r="45444" spans="20:20" s="566" customFormat="1">
      <c r="T45444" s="41"/>
    </row>
    <row r="45445" spans="20:20" s="566" customFormat="1">
      <c r="T45445" s="41"/>
    </row>
    <row r="45446" spans="20:20" s="566" customFormat="1">
      <c r="T45446" s="41"/>
    </row>
    <row r="45447" spans="20:20" s="566" customFormat="1">
      <c r="T45447" s="41"/>
    </row>
    <row r="45448" spans="20:20" s="566" customFormat="1">
      <c r="T45448" s="41"/>
    </row>
    <row r="45449" spans="20:20" s="566" customFormat="1">
      <c r="T45449" s="41"/>
    </row>
    <row r="45450" spans="20:20" s="566" customFormat="1">
      <c r="T45450" s="41"/>
    </row>
    <row r="45451" spans="20:20" s="566" customFormat="1">
      <c r="T45451" s="41"/>
    </row>
    <row r="45452" spans="20:20" s="566" customFormat="1">
      <c r="T45452" s="41"/>
    </row>
    <row r="45453" spans="20:20" s="566" customFormat="1">
      <c r="T45453" s="41"/>
    </row>
    <row r="45454" spans="20:20" s="566" customFormat="1">
      <c r="T45454" s="41"/>
    </row>
    <row r="45455" spans="20:20" s="566" customFormat="1">
      <c r="T45455" s="41"/>
    </row>
    <row r="45456" spans="20:20" s="566" customFormat="1">
      <c r="T45456" s="41"/>
    </row>
    <row r="45457" spans="20:20" s="566" customFormat="1">
      <c r="T45457" s="41"/>
    </row>
    <row r="45458" spans="20:20" s="566" customFormat="1">
      <c r="T45458" s="41"/>
    </row>
    <row r="45459" spans="20:20" s="566" customFormat="1">
      <c r="T45459" s="41"/>
    </row>
    <row r="45460" spans="20:20" s="566" customFormat="1">
      <c r="T45460" s="41"/>
    </row>
    <row r="45461" spans="20:20" s="566" customFormat="1">
      <c r="T45461" s="41"/>
    </row>
    <row r="45462" spans="20:20" s="566" customFormat="1">
      <c r="T45462" s="41"/>
    </row>
    <row r="45463" spans="20:20" s="566" customFormat="1">
      <c r="T45463" s="41"/>
    </row>
    <row r="45464" spans="20:20" s="566" customFormat="1">
      <c r="T45464" s="41"/>
    </row>
    <row r="45465" spans="20:20" s="566" customFormat="1">
      <c r="T45465" s="41"/>
    </row>
    <row r="45466" spans="20:20" s="566" customFormat="1">
      <c r="T45466" s="41"/>
    </row>
    <row r="45467" spans="20:20" s="566" customFormat="1">
      <c r="T45467" s="41"/>
    </row>
    <row r="45468" spans="20:20" s="566" customFormat="1">
      <c r="T45468" s="41"/>
    </row>
    <row r="45469" spans="20:20" s="566" customFormat="1">
      <c r="T45469" s="41"/>
    </row>
    <row r="45470" spans="20:20" s="566" customFormat="1">
      <c r="T45470" s="41"/>
    </row>
    <row r="45471" spans="20:20" s="566" customFormat="1">
      <c r="T45471" s="41"/>
    </row>
    <row r="45472" spans="20:20" s="566" customFormat="1">
      <c r="T45472" s="41"/>
    </row>
    <row r="45473" spans="20:20" s="566" customFormat="1">
      <c r="T45473" s="41"/>
    </row>
    <row r="45474" spans="20:20" s="566" customFormat="1">
      <c r="T45474" s="41"/>
    </row>
    <row r="45475" spans="20:20" s="566" customFormat="1">
      <c r="T45475" s="41"/>
    </row>
    <row r="45476" spans="20:20" s="566" customFormat="1">
      <c r="T45476" s="41"/>
    </row>
    <row r="45477" spans="20:20" s="566" customFormat="1">
      <c r="T45477" s="41"/>
    </row>
    <row r="45478" spans="20:20" s="566" customFormat="1">
      <c r="T45478" s="41"/>
    </row>
    <row r="45479" spans="20:20" s="566" customFormat="1">
      <c r="T45479" s="41"/>
    </row>
    <row r="45480" spans="20:20" s="566" customFormat="1">
      <c r="T45480" s="41"/>
    </row>
    <row r="45481" spans="20:20" s="566" customFormat="1">
      <c r="T45481" s="41"/>
    </row>
    <row r="45482" spans="20:20" s="566" customFormat="1">
      <c r="T45482" s="41"/>
    </row>
    <row r="45483" spans="20:20" s="566" customFormat="1">
      <c r="T45483" s="41"/>
    </row>
    <row r="45484" spans="20:20" s="566" customFormat="1">
      <c r="T45484" s="41"/>
    </row>
    <row r="45485" spans="20:20" s="566" customFormat="1">
      <c r="T45485" s="41"/>
    </row>
    <row r="45486" spans="20:20" s="566" customFormat="1">
      <c r="T45486" s="41"/>
    </row>
    <row r="45487" spans="20:20" s="566" customFormat="1">
      <c r="T45487" s="41"/>
    </row>
    <row r="45488" spans="20:20" s="566" customFormat="1">
      <c r="T45488" s="41"/>
    </row>
    <row r="45489" spans="20:20" s="566" customFormat="1">
      <c r="T45489" s="41"/>
    </row>
    <row r="45490" spans="20:20" s="566" customFormat="1">
      <c r="T45490" s="41"/>
    </row>
    <row r="45491" spans="20:20" s="566" customFormat="1">
      <c r="T45491" s="41"/>
    </row>
    <row r="45492" spans="20:20" s="566" customFormat="1">
      <c r="T45492" s="41"/>
    </row>
    <row r="45493" spans="20:20" s="566" customFormat="1">
      <c r="T45493" s="41"/>
    </row>
    <row r="45494" spans="20:20" s="566" customFormat="1">
      <c r="T45494" s="41"/>
    </row>
    <row r="45495" spans="20:20" s="566" customFormat="1">
      <c r="T45495" s="41"/>
    </row>
    <row r="45496" spans="20:20" s="566" customFormat="1">
      <c r="T45496" s="41"/>
    </row>
    <row r="45497" spans="20:20" s="566" customFormat="1">
      <c r="T45497" s="41"/>
    </row>
    <row r="45498" spans="20:20" s="566" customFormat="1">
      <c r="T45498" s="41"/>
    </row>
    <row r="45499" spans="20:20" s="566" customFormat="1">
      <c r="T45499" s="41"/>
    </row>
    <row r="45500" spans="20:20" s="566" customFormat="1">
      <c r="T45500" s="41"/>
    </row>
    <row r="45501" spans="20:20" s="566" customFormat="1">
      <c r="T45501" s="41"/>
    </row>
    <row r="45502" spans="20:20" s="566" customFormat="1">
      <c r="T45502" s="41"/>
    </row>
    <row r="45503" spans="20:20" s="566" customFormat="1">
      <c r="T45503" s="41"/>
    </row>
    <row r="45504" spans="20:20" s="566" customFormat="1">
      <c r="T45504" s="41"/>
    </row>
    <row r="45505" spans="20:20" s="566" customFormat="1">
      <c r="T45505" s="41"/>
    </row>
    <row r="45506" spans="20:20" s="566" customFormat="1">
      <c r="T45506" s="41"/>
    </row>
    <row r="45507" spans="20:20" s="566" customFormat="1">
      <c r="T45507" s="41"/>
    </row>
    <row r="45508" spans="20:20" s="566" customFormat="1">
      <c r="T45508" s="41"/>
    </row>
    <row r="45509" spans="20:20" s="566" customFormat="1">
      <c r="T45509" s="41"/>
    </row>
    <row r="45510" spans="20:20" s="566" customFormat="1">
      <c r="T45510" s="41"/>
    </row>
    <row r="45511" spans="20:20" s="566" customFormat="1">
      <c r="T45511" s="41"/>
    </row>
    <row r="45512" spans="20:20" s="566" customFormat="1">
      <c r="T45512" s="41"/>
    </row>
    <row r="45513" spans="20:20" s="566" customFormat="1">
      <c r="T45513" s="41"/>
    </row>
    <row r="45514" spans="20:20" s="566" customFormat="1">
      <c r="T45514" s="41"/>
    </row>
    <row r="45515" spans="20:20" s="566" customFormat="1">
      <c r="T45515" s="41"/>
    </row>
    <row r="45516" spans="20:20" s="566" customFormat="1">
      <c r="T45516" s="41"/>
    </row>
    <row r="45517" spans="20:20" s="566" customFormat="1">
      <c r="T45517" s="41"/>
    </row>
    <row r="45518" spans="20:20" s="566" customFormat="1">
      <c r="T45518" s="41"/>
    </row>
    <row r="45519" spans="20:20" s="566" customFormat="1">
      <c r="T45519" s="41"/>
    </row>
    <row r="45520" spans="20:20" s="566" customFormat="1">
      <c r="T45520" s="41"/>
    </row>
    <row r="45521" spans="20:20" s="566" customFormat="1">
      <c r="T45521" s="41"/>
    </row>
    <row r="45522" spans="20:20" s="566" customFormat="1">
      <c r="T45522" s="41"/>
    </row>
    <row r="45523" spans="20:20" s="566" customFormat="1">
      <c r="T45523" s="41"/>
    </row>
    <row r="45524" spans="20:20" s="566" customFormat="1">
      <c r="T45524" s="41"/>
    </row>
    <row r="45525" spans="20:20" s="566" customFormat="1">
      <c r="T45525" s="41"/>
    </row>
    <row r="45526" spans="20:20" s="566" customFormat="1">
      <c r="T45526" s="41"/>
    </row>
    <row r="45527" spans="20:20" s="566" customFormat="1">
      <c r="T45527" s="41"/>
    </row>
    <row r="45528" spans="20:20" s="566" customFormat="1">
      <c r="T45528" s="41"/>
    </row>
    <row r="45529" spans="20:20" s="566" customFormat="1">
      <c r="T45529" s="41"/>
    </row>
    <row r="45530" spans="20:20" s="566" customFormat="1">
      <c r="T45530" s="41"/>
    </row>
    <row r="45531" spans="20:20" s="566" customFormat="1">
      <c r="T45531" s="41"/>
    </row>
    <row r="45532" spans="20:20" s="566" customFormat="1">
      <c r="T45532" s="41"/>
    </row>
    <row r="45533" spans="20:20" s="566" customFormat="1">
      <c r="T45533" s="41"/>
    </row>
    <row r="45534" spans="20:20" s="566" customFormat="1">
      <c r="T45534" s="41"/>
    </row>
    <row r="45535" spans="20:20" s="566" customFormat="1">
      <c r="T45535" s="41"/>
    </row>
    <row r="45536" spans="20:20" s="566" customFormat="1">
      <c r="T45536" s="41"/>
    </row>
    <row r="45537" spans="20:20" s="566" customFormat="1">
      <c r="T45537" s="41"/>
    </row>
    <row r="45538" spans="20:20" s="566" customFormat="1">
      <c r="T45538" s="41"/>
    </row>
    <row r="45539" spans="20:20" s="566" customFormat="1">
      <c r="T45539" s="41"/>
    </row>
    <row r="45540" spans="20:20" s="566" customFormat="1">
      <c r="T45540" s="41"/>
    </row>
    <row r="45541" spans="20:20" s="566" customFormat="1">
      <c r="T45541" s="41"/>
    </row>
    <row r="45542" spans="20:20" s="566" customFormat="1">
      <c r="T45542" s="41"/>
    </row>
    <row r="45543" spans="20:20" s="566" customFormat="1">
      <c r="T45543" s="41"/>
    </row>
    <row r="45544" spans="20:20" s="566" customFormat="1">
      <c r="T45544" s="41"/>
    </row>
    <row r="45545" spans="20:20" s="566" customFormat="1">
      <c r="T45545" s="41"/>
    </row>
    <row r="45546" spans="20:20" s="566" customFormat="1">
      <c r="T45546" s="41"/>
    </row>
    <row r="45547" spans="20:20" s="566" customFormat="1">
      <c r="T45547" s="41"/>
    </row>
    <row r="45548" spans="20:20" s="566" customFormat="1">
      <c r="T45548" s="41"/>
    </row>
    <row r="45549" spans="20:20" s="566" customFormat="1">
      <c r="T45549" s="41"/>
    </row>
    <row r="45550" spans="20:20" s="566" customFormat="1">
      <c r="T45550" s="41"/>
    </row>
    <row r="45551" spans="20:20" s="566" customFormat="1">
      <c r="T45551" s="41"/>
    </row>
    <row r="45552" spans="20:20" s="566" customFormat="1">
      <c r="T45552" s="41"/>
    </row>
    <row r="45553" spans="20:20" s="566" customFormat="1">
      <c r="T45553" s="41"/>
    </row>
    <row r="45554" spans="20:20" s="566" customFormat="1">
      <c r="T45554" s="41"/>
    </row>
    <row r="45555" spans="20:20" s="566" customFormat="1">
      <c r="T45555" s="41"/>
    </row>
    <row r="45556" spans="20:20" s="566" customFormat="1">
      <c r="T45556" s="41"/>
    </row>
    <row r="45557" spans="20:20" s="566" customFormat="1">
      <c r="T45557" s="41"/>
    </row>
    <row r="45558" spans="20:20" s="566" customFormat="1">
      <c r="T45558" s="41"/>
    </row>
    <row r="45559" spans="20:20" s="566" customFormat="1">
      <c r="T45559" s="41"/>
    </row>
    <row r="45560" spans="20:20" s="566" customFormat="1">
      <c r="T45560" s="41"/>
    </row>
    <row r="45561" spans="20:20" s="566" customFormat="1">
      <c r="T45561" s="41"/>
    </row>
    <row r="45562" spans="20:20" s="566" customFormat="1">
      <c r="T45562" s="41"/>
    </row>
    <row r="45563" spans="20:20" s="566" customFormat="1">
      <c r="T45563" s="41"/>
    </row>
    <row r="45564" spans="20:20" s="566" customFormat="1">
      <c r="T45564" s="41"/>
    </row>
    <row r="45565" spans="20:20" s="566" customFormat="1">
      <c r="T45565" s="41"/>
    </row>
    <row r="45566" spans="20:20" s="566" customFormat="1">
      <c r="T45566" s="41"/>
    </row>
    <row r="45567" spans="20:20" s="566" customFormat="1">
      <c r="T45567" s="41"/>
    </row>
    <row r="45568" spans="20:20" s="566" customFormat="1">
      <c r="T45568" s="41"/>
    </row>
    <row r="45569" spans="20:20" s="566" customFormat="1">
      <c r="T45569" s="41"/>
    </row>
    <row r="45570" spans="20:20" s="566" customFormat="1">
      <c r="T45570" s="41"/>
    </row>
    <row r="45571" spans="20:20" s="566" customFormat="1">
      <c r="T45571" s="41"/>
    </row>
    <row r="45572" spans="20:20" s="566" customFormat="1">
      <c r="T45572" s="41"/>
    </row>
    <row r="45573" spans="20:20" s="566" customFormat="1">
      <c r="T45573" s="41"/>
    </row>
    <row r="45574" spans="20:20" s="566" customFormat="1">
      <c r="T45574" s="41"/>
    </row>
    <row r="45575" spans="20:20" s="566" customFormat="1">
      <c r="T45575" s="41"/>
    </row>
    <row r="45576" spans="20:20" s="566" customFormat="1">
      <c r="T45576" s="41"/>
    </row>
    <row r="45577" spans="20:20" s="566" customFormat="1">
      <c r="T45577" s="41"/>
    </row>
    <row r="45578" spans="20:20" s="566" customFormat="1">
      <c r="T45578" s="41"/>
    </row>
    <row r="45579" spans="20:20" s="566" customFormat="1">
      <c r="T45579" s="41"/>
    </row>
    <row r="45580" spans="20:20" s="566" customFormat="1">
      <c r="T45580" s="41"/>
    </row>
    <row r="45581" spans="20:20" s="566" customFormat="1">
      <c r="T45581" s="41"/>
    </row>
    <row r="45582" spans="20:20" s="566" customFormat="1">
      <c r="T45582" s="41"/>
    </row>
    <row r="45583" spans="20:20" s="566" customFormat="1">
      <c r="T45583" s="41"/>
    </row>
    <row r="45584" spans="20:20" s="566" customFormat="1">
      <c r="T45584" s="41"/>
    </row>
    <row r="45585" spans="20:20" s="566" customFormat="1">
      <c r="T45585" s="41"/>
    </row>
    <row r="45586" spans="20:20" s="566" customFormat="1">
      <c r="T45586" s="41"/>
    </row>
    <row r="45587" spans="20:20" s="566" customFormat="1">
      <c r="T45587" s="41"/>
    </row>
    <row r="45588" spans="20:20" s="566" customFormat="1">
      <c r="T45588" s="41"/>
    </row>
    <row r="45589" spans="20:20" s="566" customFormat="1">
      <c r="T45589" s="41"/>
    </row>
    <row r="45590" spans="20:20" s="566" customFormat="1">
      <c r="T45590" s="41"/>
    </row>
    <row r="45591" spans="20:20" s="566" customFormat="1">
      <c r="T45591" s="41"/>
    </row>
    <row r="45592" spans="20:20" s="566" customFormat="1">
      <c r="T45592" s="41"/>
    </row>
    <row r="45593" spans="20:20" s="566" customFormat="1">
      <c r="T45593" s="41"/>
    </row>
    <row r="45594" spans="20:20" s="566" customFormat="1">
      <c r="T45594" s="41"/>
    </row>
    <row r="45595" spans="20:20" s="566" customFormat="1">
      <c r="T45595" s="41"/>
    </row>
    <row r="45596" spans="20:20" s="566" customFormat="1">
      <c r="T45596" s="41"/>
    </row>
    <row r="45597" spans="20:20" s="566" customFormat="1">
      <c r="T45597" s="41"/>
    </row>
    <row r="45598" spans="20:20" s="566" customFormat="1">
      <c r="T45598" s="41"/>
    </row>
    <row r="45599" spans="20:20" s="566" customFormat="1">
      <c r="T45599" s="41"/>
    </row>
    <row r="45600" spans="20:20" s="566" customFormat="1">
      <c r="T45600" s="41"/>
    </row>
    <row r="45601" spans="20:20" s="566" customFormat="1">
      <c r="T45601" s="41"/>
    </row>
    <row r="45602" spans="20:20" s="566" customFormat="1">
      <c r="T45602" s="41"/>
    </row>
    <row r="45603" spans="20:20" s="566" customFormat="1">
      <c r="T45603" s="41"/>
    </row>
    <row r="45604" spans="20:20" s="566" customFormat="1">
      <c r="T45604" s="41"/>
    </row>
    <row r="45605" spans="20:20" s="566" customFormat="1">
      <c r="T45605" s="41"/>
    </row>
    <row r="45606" spans="20:20" s="566" customFormat="1">
      <c r="T45606" s="41"/>
    </row>
    <row r="45607" spans="20:20" s="566" customFormat="1">
      <c r="T45607" s="41"/>
    </row>
    <row r="45608" spans="20:20" s="566" customFormat="1">
      <c r="T45608" s="41"/>
    </row>
    <row r="45609" spans="20:20" s="566" customFormat="1">
      <c r="T45609" s="41"/>
    </row>
    <row r="45610" spans="20:20" s="566" customFormat="1">
      <c r="T45610" s="41"/>
    </row>
    <row r="45611" spans="20:20" s="566" customFormat="1">
      <c r="T45611" s="41"/>
    </row>
    <row r="45612" spans="20:20" s="566" customFormat="1">
      <c r="T45612" s="41"/>
    </row>
    <row r="45613" spans="20:20" s="566" customFormat="1">
      <c r="T45613" s="41"/>
    </row>
    <row r="45614" spans="20:20" s="566" customFormat="1">
      <c r="T45614" s="41"/>
    </row>
    <row r="45615" spans="20:20" s="566" customFormat="1">
      <c r="T45615" s="41"/>
    </row>
    <row r="45616" spans="20:20" s="566" customFormat="1">
      <c r="T45616" s="41"/>
    </row>
    <row r="45617" spans="20:20" s="566" customFormat="1">
      <c r="T45617" s="41"/>
    </row>
    <row r="45618" spans="20:20" s="566" customFormat="1">
      <c r="T45618" s="41"/>
    </row>
    <row r="45619" spans="20:20" s="566" customFormat="1">
      <c r="T45619" s="41"/>
    </row>
    <row r="45620" spans="20:20" s="566" customFormat="1">
      <c r="T45620" s="41"/>
    </row>
    <row r="45621" spans="20:20" s="566" customFormat="1">
      <c r="T45621" s="41"/>
    </row>
    <row r="45622" spans="20:20" s="566" customFormat="1">
      <c r="T45622" s="41"/>
    </row>
    <row r="45623" spans="20:20" s="566" customFormat="1">
      <c r="T45623" s="41"/>
    </row>
    <row r="45624" spans="20:20" s="566" customFormat="1">
      <c r="T45624" s="41"/>
    </row>
    <row r="45625" spans="20:20" s="566" customFormat="1">
      <c r="T45625" s="41"/>
    </row>
    <row r="45626" spans="20:20" s="566" customFormat="1">
      <c r="T45626" s="41"/>
    </row>
    <row r="45627" spans="20:20" s="566" customFormat="1">
      <c r="T45627" s="41"/>
    </row>
    <row r="45628" spans="20:20" s="566" customFormat="1">
      <c r="T45628" s="41"/>
    </row>
    <row r="45629" spans="20:20" s="566" customFormat="1">
      <c r="T45629" s="41"/>
    </row>
    <row r="45630" spans="20:20" s="566" customFormat="1">
      <c r="T45630" s="41"/>
    </row>
    <row r="45631" spans="20:20" s="566" customFormat="1">
      <c r="T45631" s="41"/>
    </row>
    <row r="45632" spans="20:20" s="566" customFormat="1">
      <c r="T45632" s="41"/>
    </row>
    <row r="45633" spans="20:20" s="566" customFormat="1">
      <c r="T45633" s="41"/>
    </row>
    <row r="45634" spans="20:20" s="566" customFormat="1">
      <c r="T45634" s="41"/>
    </row>
    <row r="45635" spans="20:20" s="566" customFormat="1">
      <c r="T45635" s="41"/>
    </row>
    <row r="45636" spans="20:20" s="566" customFormat="1">
      <c r="T45636" s="41"/>
    </row>
    <row r="45637" spans="20:20" s="566" customFormat="1">
      <c r="T45637" s="41"/>
    </row>
    <row r="45638" spans="20:20" s="566" customFormat="1">
      <c r="T45638" s="41"/>
    </row>
    <row r="45639" spans="20:20" s="566" customFormat="1">
      <c r="T45639" s="41"/>
    </row>
    <row r="45640" spans="20:20" s="566" customFormat="1">
      <c r="T45640" s="41"/>
    </row>
    <row r="45641" spans="20:20" s="566" customFormat="1">
      <c r="T45641" s="41"/>
    </row>
    <row r="45642" spans="20:20" s="566" customFormat="1">
      <c r="T45642" s="41"/>
    </row>
    <row r="45643" spans="20:20" s="566" customFormat="1">
      <c r="T45643" s="41"/>
    </row>
    <row r="45644" spans="20:20" s="566" customFormat="1">
      <c r="T45644" s="41"/>
    </row>
    <row r="45645" spans="20:20" s="566" customFormat="1">
      <c r="T45645" s="41"/>
    </row>
    <row r="45646" spans="20:20" s="566" customFormat="1">
      <c r="T45646" s="41"/>
    </row>
    <row r="45647" spans="20:20" s="566" customFormat="1">
      <c r="T45647" s="41"/>
    </row>
    <row r="45648" spans="20:20" s="566" customFormat="1">
      <c r="T45648" s="41"/>
    </row>
    <row r="45649" spans="20:20" s="566" customFormat="1">
      <c r="T45649" s="41"/>
    </row>
    <row r="45650" spans="20:20" s="566" customFormat="1">
      <c r="T45650" s="41"/>
    </row>
    <row r="45651" spans="20:20" s="566" customFormat="1">
      <c r="T45651" s="41"/>
    </row>
    <row r="45652" spans="20:20" s="566" customFormat="1">
      <c r="T45652" s="41"/>
    </row>
    <row r="45653" spans="20:20" s="566" customFormat="1">
      <c r="T45653" s="41"/>
    </row>
    <row r="45654" spans="20:20" s="566" customFormat="1">
      <c r="T45654" s="41"/>
    </row>
    <row r="45655" spans="20:20" s="566" customFormat="1">
      <c r="T45655" s="41"/>
    </row>
    <row r="45656" spans="20:20" s="566" customFormat="1">
      <c r="T45656" s="41"/>
    </row>
    <row r="45657" spans="20:20" s="566" customFormat="1">
      <c r="T45657" s="41"/>
    </row>
    <row r="45658" spans="20:20" s="566" customFormat="1">
      <c r="T45658" s="41"/>
    </row>
    <row r="45659" spans="20:20" s="566" customFormat="1">
      <c r="T45659" s="41"/>
    </row>
    <row r="45660" spans="20:20" s="566" customFormat="1">
      <c r="T45660" s="41"/>
    </row>
    <row r="45661" spans="20:20" s="566" customFormat="1">
      <c r="T45661" s="41"/>
    </row>
    <row r="45662" spans="20:20" s="566" customFormat="1">
      <c r="T45662" s="41"/>
    </row>
    <row r="45663" spans="20:20" s="566" customFormat="1">
      <c r="T45663" s="41"/>
    </row>
    <row r="45664" spans="20:20" s="566" customFormat="1">
      <c r="T45664" s="41"/>
    </row>
    <row r="45665" spans="20:20" s="566" customFormat="1">
      <c r="T45665" s="41"/>
    </row>
    <row r="45666" spans="20:20" s="566" customFormat="1">
      <c r="T45666" s="41"/>
    </row>
    <row r="45667" spans="20:20" s="566" customFormat="1">
      <c r="T45667" s="41"/>
    </row>
    <row r="45668" spans="20:20" s="566" customFormat="1">
      <c r="T45668" s="41"/>
    </row>
    <row r="45669" spans="20:20" s="566" customFormat="1">
      <c r="T45669" s="41"/>
    </row>
    <row r="45670" spans="20:20" s="566" customFormat="1">
      <c r="T45670" s="41"/>
    </row>
    <row r="45671" spans="20:20" s="566" customFormat="1">
      <c r="T45671" s="41"/>
    </row>
    <row r="45672" spans="20:20" s="566" customFormat="1">
      <c r="T45672" s="41"/>
    </row>
    <row r="45673" spans="20:20" s="566" customFormat="1">
      <c r="T45673" s="41"/>
    </row>
    <row r="45674" spans="20:20" s="566" customFormat="1">
      <c r="T45674" s="41"/>
    </row>
    <row r="45675" spans="20:20" s="566" customFormat="1">
      <c r="T45675" s="41"/>
    </row>
    <row r="45676" spans="20:20" s="566" customFormat="1">
      <c r="T45676" s="41"/>
    </row>
    <row r="45677" spans="20:20" s="566" customFormat="1">
      <c r="T45677" s="41"/>
    </row>
    <row r="45678" spans="20:20" s="566" customFormat="1">
      <c r="T45678" s="41"/>
    </row>
    <row r="45679" spans="20:20" s="566" customFormat="1">
      <c r="T45679" s="41"/>
    </row>
    <row r="45680" spans="20:20" s="566" customFormat="1">
      <c r="T45680" s="41"/>
    </row>
    <row r="45681" spans="20:20" s="566" customFormat="1">
      <c r="T45681" s="41"/>
    </row>
    <row r="45682" spans="20:20" s="566" customFormat="1">
      <c r="T45682" s="41"/>
    </row>
    <row r="45683" spans="20:20" s="566" customFormat="1">
      <c r="T45683" s="41"/>
    </row>
    <row r="45684" spans="20:20" s="566" customFormat="1">
      <c r="T45684" s="41"/>
    </row>
    <row r="45685" spans="20:20" s="566" customFormat="1">
      <c r="T45685" s="41"/>
    </row>
    <row r="45686" spans="20:20" s="566" customFormat="1">
      <c r="T45686" s="41"/>
    </row>
    <row r="45687" spans="20:20" s="566" customFormat="1">
      <c r="T45687" s="41"/>
    </row>
    <row r="45688" spans="20:20" s="566" customFormat="1">
      <c r="T45688" s="41"/>
    </row>
    <row r="45689" spans="20:20" s="566" customFormat="1">
      <c r="T45689" s="41"/>
    </row>
    <row r="45690" spans="20:20" s="566" customFormat="1">
      <c r="T45690" s="41"/>
    </row>
    <row r="45691" spans="20:20" s="566" customFormat="1">
      <c r="T45691" s="41"/>
    </row>
    <row r="45692" spans="20:20" s="566" customFormat="1">
      <c r="T45692" s="41"/>
    </row>
    <row r="45693" spans="20:20" s="566" customFormat="1">
      <c r="T45693" s="41"/>
    </row>
    <row r="45694" spans="20:20" s="566" customFormat="1">
      <c r="T45694" s="41"/>
    </row>
    <row r="45695" spans="20:20" s="566" customFormat="1">
      <c r="T45695" s="41"/>
    </row>
    <row r="45696" spans="20:20" s="566" customFormat="1">
      <c r="T45696" s="41"/>
    </row>
    <row r="45697" spans="20:20" s="566" customFormat="1">
      <c r="T45697" s="41"/>
    </row>
    <row r="45698" spans="20:20" s="566" customFormat="1">
      <c r="T45698" s="41"/>
    </row>
    <row r="45699" spans="20:20" s="566" customFormat="1">
      <c r="T45699" s="41"/>
    </row>
    <row r="45700" spans="20:20" s="566" customFormat="1">
      <c r="T45700" s="41"/>
    </row>
    <row r="45701" spans="20:20" s="566" customFormat="1">
      <c r="T45701" s="41"/>
    </row>
    <row r="45702" spans="20:20" s="566" customFormat="1">
      <c r="T45702" s="41"/>
    </row>
    <row r="45703" spans="20:20" s="566" customFormat="1">
      <c r="T45703" s="41"/>
    </row>
    <row r="45704" spans="20:20" s="566" customFormat="1">
      <c r="T45704" s="41"/>
    </row>
    <row r="45705" spans="20:20" s="566" customFormat="1">
      <c r="T45705" s="41"/>
    </row>
    <row r="45706" spans="20:20" s="566" customFormat="1">
      <c r="T45706" s="41"/>
    </row>
    <row r="45707" spans="20:20" s="566" customFormat="1">
      <c r="T45707" s="41"/>
    </row>
    <row r="45708" spans="20:20" s="566" customFormat="1">
      <c r="T45708" s="41"/>
    </row>
    <row r="45709" spans="20:20" s="566" customFormat="1">
      <c r="T45709" s="41"/>
    </row>
    <row r="45710" spans="20:20" s="566" customFormat="1">
      <c r="T45710" s="41"/>
    </row>
    <row r="45711" spans="20:20" s="566" customFormat="1">
      <c r="T45711" s="41"/>
    </row>
    <row r="45712" spans="20:20" s="566" customFormat="1">
      <c r="T45712" s="41"/>
    </row>
    <row r="45713" spans="20:20" s="566" customFormat="1">
      <c r="T45713" s="41"/>
    </row>
    <row r="45714" spans="20:20" s="566" customFormat="1">
      <c r="T45714" s="41"/>
    </row>
    <row r="45715" spans="20:20" s="566" customFormat="1">
      <c r="T45715" s="41"/>
    </row>
    <row r="45716" spans="20:20" s="566" customFormat="1">
      <c r="T45716" s="41"/>
    </row>
    <row r="45717" spans="20:20" s="566" customFormat="1">
      <c r="T45717" s="41"/>
    </row>
    <row r="45718" spans="20:20" s="566" customFormat="1">
      <c r="T45718" s="41"/>
    </row>
    <row r="45719" spans="20:20" s="566" customFormat="1">
      <c r="T45719" s="41"/>
    </row>
    <row r="45720" spans="20:20" s="566" customFormat="1">
      <c r="T45720" s="41"/>
    </row>
    <row r="45721" spans="20:20" s="566" customFormat="1">
      <c r="T45721" s="41"/>
    </row>
    <row r="45722" spans="20:20" s="566" customFormat="1">
      <c r="T45722" s="41"/>
    </row>
    <row r="45723" spans="20:20" s="566" customFormat="1">
      <c r="T45723" s="41"/>
    </row>
    <row r="45724" spans="20:20" s="566" customFormat="1">
      <c r="T45724" s="41"/>
    </row>
    <row r="45725" spans="20:20" s="566" customFormat="1">
      <c r="T45725" s="41"/>
    </row>
    <row r="45726" spans="20:20" s="566" customFormat="1">
      <c r="T45726" s="41"/>
    </row>
    <row r="45727" spans="20:20" s="566" customFormat="1">
      <c r="T45727" s="41"/>
    </row>
    <row r="45728" spans="20:20" s="566" customFormat="1">
      <c r="T45728" s="41"/>
    </row>
    <row r="45729" spans="20:20" s="566" customFormat="1">
      <c r="T45729" s="41"/>
    </row>
    <row r="45730" spans="20:20" s="566" customFormat="1">
      <c r="T45730" s="41"/>
    </row>
    <row r="45731" spans="20:20" s="566" customFormat="1">
      <c r="T45731" s="41"/>
    </row>
    <row r="45732" spans="20:20" s="566" customFormat="1">
      <c r="T45732" s="41"/>
    </row>
    <row r="45733" spans="20:20" s="566" customFormat="1">
      <c r="T45733" s="41"/>
    </row>
    <row r="45734" spans="20:20" s="566" customFormat="1">
      <c r="T45734" s="41"/>
    </row>
    <row r="45735" spans="20:20" s="566" customFormat="1">
      <c r="T45735" s="41"/>
    </row>
    <row r="45736" spans="20:20" s="566" customFormat="1">
      <c r="T45736" s="41"/>
    </row>
    <row r="45737" spans="20:20" s="566" customFormat="1">
      <c r="T45737" s="41"/>
    </row>
    <row r="45738" spans="20:20" s="566" customFormat="1">
      <c r="T45738" s="41"/>
    </row>
    <row r="45739" spans="20:20" s="566" customFormat="1">
      <c r="T45739" s="41"/>
    </row>
    <row r="45740" spans="20:20" s="566" customFormat="1">
      <c r="T45740" s="41"/>
    </row>
    <row r="45741" spans="20:20" s="566" customFormat="1">
      <c r="T45741" s="41"/>
    </row>
    <row r="45742" spans="20:20" s="566" customFormat="1">
      <c r="T45742" s="41"/>
    </row>
    <row r="45743" spans="20:20" s="566" customFormat="1">
      <c r="T45743" s="41"/>
    </row>
    <row r="45744" spans="20:20" s="566" customFormat="1">
      <c r="T45744" s="41"/>
    </row>
    <row r="45745" spans="20:20" s="566" customFormat="1">
      <c r="T45745" s="41"/>
    </row>
    <row r="45746" spans="20:20" s="566" customFormat="1">
      <c r="T45746" s="41"/>
    </row>
    <row r="45747" spans="20:20" s="566" customFormat="1">
      <c r="T45747" s="41"/>
    </row>
    <row r="45748" spans="20:20" s="566" customFormat="1">
      <c r="T45748" s="41"/>
    </row>
    <row r="45749" spans="20:20" s="566" customFormat="1">
      <c r="T45749" s="41"/>
    </row>
    <row r="45750" spans="20:20" s="566" customFormat="1">
      <c r="T45750" s="41"/>
    </row>
    <row r="45751" spans="20:20" s="566" customFormat="1">
      <c r="T45751" s="41"/>
    </row>
    <row r="45752" spans="20:20" s="566" customFormat="1">
      <c r="T45752" s="41"/>
    </row>
    <row r="45753" spans="20:20" s="566" customFormat="1">
      <c r="T45753" s="41"/>
    </row>
    <row r="45754" spans="20:20" s="566" customFormat="1">
      <c r="T45754" s="41"/>
    </row>
    <row r="45755" spans="20:20" s="566" customFormat="1">
      <c r="T45755" s="41"/>
    </row>
    <row r="45756" spans="20:20" s="566" customFormat="1">
      <c r="T45756" s="41"/>
    </row>
    <row r="45757" spans="20:20" s="566" customFormat="1">
      <c r="T45757" s="41"/>
    </row>
    <row r="45758" spans="20:20" s="566" customFormat="1">
      <c r="T45758" s="41"/>
    </row>
    <row r="45759" spans="20:20" s="566" customFormat="1">
      <c r="T45759" s="41"/>
    </row>
    <row r="45760" spans="20:20" s="566" customFormat="1">
      <c r="T45760" s="41"/>
    </row>
    <row r="45761" spans="20:20" s="566" customFormat="1">
      <c r="T45761" s="41"/>
    </row>
    <row r="45762" spans="20:20" s="566" customFormat="1">
      <c r="T45762" s="41"/>
    </row>
    <row r="45763" spans="20:20" s="566" customFormat="1">
      <c r="T45763" s="41"/>
    </row>
    <row r="45764" spans="20:20" s="566" customFormat="1">
      <c r="T45764" s="41"/>
    </row>
    <row r="45765" spans="20:20" s="566" customFormat="1">
      <c r="T45765" s="41"/>
    </row>
    <row r="45766" spans="20:20" s="566" customFormat="1">
      <c r="T45766" s="41"/>
    </row>
    <row r="45767" spans="20:20" s="566" customFormat="1">
      <c r="T45767" s="41"/>
    </row>
    <row r="45768" spans="20:20" s="566" customFormat="1">
      <c r="T45768" s="41"/>
    </row>
    <row r="45769" spans="20:20" s="566" customFormat="1">
      <c r="T45769" s="41"/>
    </row>
    <row r="45770" spans="20:20" s="566" customFormat="1">
      <c r="T45770" s="41"/>
    </row>
    <row r="45771" spans="20:20" s="566" customFormat="1">
      <c r="T45771" s="41"/>
    </row>
    <row r="45772" spans="20:20" s="566" customFormat="1">
      <c r="T45772" s="41"/>
    </row>
    <row r="45773" spans="20:20" s="566" customFormat="1">
      <c r="T45773" s="41"/>
    </row>
    <row r="45774" spans="20:20" s="566" customFormat="1">
      <c r="T45774" s="41"/>
    </row>
    <row r="45775" spans="20:20" s="566" customFormat="1">
      <c r="T45775" s="41"/>
    </row>
    <row r="45776" spans="20:20" s="566" customFormat="1">
      <c r="T45776" s="41"/>
    </row>
    <row r="45777" spans="20:20" s="566" customFormat="1">
      <c r="T45777" s="41"/>
    </row>
    <row r="45778" spans="20:20" s="566" customFormat="1">
      <c r="T45778" s="41"/>
    </row>
    <row r="45779" spans="20:20" s="566" customFormat="1">
      <c r="T45779" s="41"/>
    </row>
    <row r="45780" spans="20:20" s="566" customFormat="1">
      <c r="T45780" s="41"/>
    </row>
    <row r="45781" spans="20:20" s="566" customFormat="1">
      <c r="T45781" s="41"/>
    </row>
    <row r="45782" spans="20:20" s="566" customFormat="1">
      <c r="T45782" s="41"/>
    </row>
    <row r="45783" spans="20:20" s="566" customFormat="1">
      <c r="T45783" s="41"/>
    </row>
    <row r="45784" spans="20:20" s="566" customFormat="1">
      <c r="T45784" s="41"/>
    </row>
    <row r="45785" spans="20:20" s="566" customFormat="1">
      <c r="T45785" s="41"/>
    </row>
    <row r="45786" spans="20:20" s="566" customFormat="1">
      <c r="T45786" s="41"/>
    </row>
    <row r="45787" spans="20:20" s="566" customFormat="1">
      <c r="T45787" s="41"/>
    </row>
    <row r="45788" spans="20:20" s="566" customFormat="1">
      <c r="T45788" s="41"/>
    </row>
    <row r="45789" spans="20:20" s="566" customFormat="1">
      <c r="T45789" s="41"/>
    </row>
    <row r="45790" spans="20:20" s="566" customFormat="1">
      <c r="T45790" s="41"/>
    </row>
    <row r="45791" spans="20:20" s="566" customFormat="1">
      <c r="T45791" s="41"/>
    </row>
    <row r="45792" spans="20:20" s="566" customFormat="1">
      <c r="T45792" s="41"/>
    </row>
    <row r="45793" spans="20:20" s="566" customFormat="1">
      <c r="T45793" s="41"/>
    </row>
    <row r="45794" spans="20:20" s="566" customFormat="1">
      <c r="T45794" s="41"/>
    </row>
    <row r="45795" spans="20:20" s="566" customFormat="1">
      <c r="T45795" s="41"/>
    </row>
    <row r="45796" spans="20:20" s="566" customFormat="1">
      <c r="T45796" s="41"/>
    </row>
    <row r="45797" spans="20:20" s="566" customFormat="1">
      <c r="T45797" s="41"/>
    </row>
    <row r="45798" spans="20:20" s="566" customFormat="1">
      <c r="T45798" s="41"/>
    </row>
    <row r="45799" spans="20:20" s="566" customFormat="1">
      <c r="T45799" s="41"/>
    </row>
    <row r="45800" spans="20:20" s="566" customFormat="1">
      <c r="T45800" s="41"/>
    </row>
    <row r="45801" spans="20:20" s="566" customFormat="1">
      <c r="T45801" s="41"/>
    </row>
    <row r="45802" spans="20:20" s="566" customFormat="1">
      <c r="T45802" s="41"/>
    </row>
    <row r="45803" spans="20:20" s="566" customFormat="1">
      <c r="T45803" s="41"/>
    </row>
    <row r="45804" spans="20:20" s="566" customFormat="1">
      <c r="T45804" s="41"/>
    </row>
    <row r="45805" spans="20:20" s="566" customFormat="1">
      <c r="T45805" s="41"/>
    </row>
    <row r="45806" spans="20:20" s="566" customFormat="1">
      <c r="T45806" s="41"/>
    </row>
    <row r="45807" spans="20:20" s="566" customFormat="1">
      <c r="T45807" s="41"/>
    </row>
    <row r="45808" spans="20:20" s="566" customFormat="1">
      <c r="T45808" s="41"/>
    </row>
    <row r="45809" spans="20:20" s="566" customFormat="1">
      <c r="T45809" s="41"/>
    </row>
    <row r="45810" spans="20:20" s="566" customFormat="1">
      <c r="T45810" s="41"/>
    </row>
    <row r="45811" spans="20:20" s="566" customFormat="1">
      <c r="T45811" s="41"/>
    </row>
    <row r="45812" spans="20:20" s="566" customFormat="1">
      <c r="T45812" s="41"/>
    </row>
    <row r="45813" spans="20:20" s="566" customFormat="1">
      <c r="T45813" s="41"/>
    </row>
    <row r="45814" spans="20:20" s="566" customFormat="1">
      <c r="T45814" s="41"/>
    </row>
    <row r="45815" spans="20:20" s="566" customFormat="1">
      <c r="T45815" s="41"/>
    </row>
    <row r="45816" spans="20:20" s="566" customFormat="1">
      <c r="T45816" s="41"/>
    </row>
    <row r="45817" spans="20:20" s="566" customFormat="1">
      <c r="T45817" s="41"/>
    </row>
    <row r="45818" spans="20:20" s="566" customFormat="1">
      <c r="T45818" s="41"/>
    </row>
    <row r="45819" spans="20:20" s="566" customFormat="1">
      <c r="T45819" s="41"/>
    </row>
    <row r="45820" spans="20:20" s="566" customFormat="1">
      <c r="T45820" s="41"/>
    </row>
    <row r="45821" spans="20:20" s="566" customFormat="1">
      <c r="T45821" s="41"/>
    </row>
    <row r="45822" spans="20:20" s="566" customFormat="1">
      <c r="T45822" s="41"/>
    </row>
    <row r="45823" spans="20:20" s="566" customFormat="1">
      <c r="T45823" s="41"/>
    </row>
    <row r="45824" spans="20:20" s="566" customFormat="1">
      <c r="T45824" s="41"/>
    </row>
    <row r="45825" spans="20:20" s="566" customFormat="1">
      <c r="T45825" s="41"/>
    </row>
    <row r="45826" spans="20:20" s="566" customFormat="1">
      <c r="T45826" s="41"/>
    </row>
    <row r="45827" spans="20:20" s="566" customFormat="1">
      <c r="T45827" s="41"/>
    </row>
    <row r="45828" spans="20:20" s="566" customFormat="1">
      <c r="T45828" s="41"/>
    </row>
    <row r="45829" spans="20:20" s="566" customFormat="1">
      <c r="T45829" s="41"/>
    </row>
    <row r="45830" spans="20:20" s="566" customFormat="1">
      <c r="T45830" s="41"/>
    </row>
    <row r="45831" spans="20:20" s="566" customFormat="1">
      <c r="T45831" s="41"/>
    </row>
    <row r="45832" spans="20:20" s="566" customFormat="1">
      <c r="T45832" s="41"/>
    </row>
    <row r="45833" spans="20:20" s="566" customFormat="1">
      <c r="T45833" s="41"/>
    </row>
    <row r="45834" spans="20:20" s="566" customFormat="1">
      <c r="T45834" s="41"/>
    </row>
    <row r="45835" spans="20:20" s="566" customFormat="1">
      <c r="T45835" s="41"/>
    </row>
    <row r="45836" spans="20:20" s="566" customFormat="1">
      <c r="T45836" s="41"/>
    </row>
    <row r="45837" spans="20:20" s="566" customFormat="1">
      <c r="T45837" s="41"/>
    </row>
    <row r="45838" spans="20:20" s="566" customFormat="1">
      <c r="T45838" s="41"/>
    </row>
    <row r="45839" spans="20:20" s="566" customFormat="1">
      <c r="T45839" s="41"/>
    </row>
    <row r="45840" spans="20:20" s="566" customFormat="1">
      <c r="T45840" s="41"/>
    </row>
    <row r="45841" spans="20:20" s="566" customFormat="1">
      <c r="T45841" s="41"/>
    </row>
    <row r="45842" spans="20:20" s="566" customFormat="1">
      <c r="T45842" s="41"/>
    </row>
    <row r="45843" spans="20:20" s="566" customFormat="1">
      <c r="T45843" s="41"/>
    </row>
    <row r="45844" spans="20:20" s="566" customFormat="1">
      <c r="T45844" s="41"/>
    </row>
    <row r="45845" spans="20:20" s="566" customFormat="1">
      <c r="T45845" s="41"/>
    </row>
    <row r="45846" spans="20:20" s="566" customFormat="1">
      <c r="T45846" s="41"/>
    </row>
    <row r="45847" spans="20:20" s="566" customFormat="1">
      <c r="T45847" s="41"/>
    </row>
    <row r="45848" spans="20:20" s="566" customFormat="1">
      <c r="T45848" s="41"/>
    </row>
    <row r="45849" spans="20:20" s="566" customFormat="1">
      <c r="T45849" s="41"/>
    </row>
    <row r="45850" spans="20:20" s="566" customFormat="1">
      <c r="T45850" s="41"/>
    </row>
    <row r="45851" spans="20:20" s="566" customFormat="1">
      <c r="T45851" s="41"/>
    </row>
    <row r="45852" spans="20:20" s="566" customFormat="1">
      <c r="T45852" s="41"/>
    </row>
    <row r="45853" spans="20:20" s="566" customFormat="1">
      <c r="T45853" s="41"/>
    </row>
    <row r="45854" spans="20:20" s="566" customFormat="1">
      <c r="T45854" s="41"/>
    </row>
    <row r="45855" spans="20:20" s="566" customFormat="1">
      <c r="T45855" s="41"/>
    </row>
    <row r="45856" spans="20:20" s="566" customFormat="1">
      <c r="T45856" s="41"/>
    </row>
    <row r="45857" spans="20:20" s="566" customFormat="1">
      <c r="T45857" s="41"/>
    </row>
    <row r="45858" spans="20:20" s="566" customFormat="1">
      <c r="T45858" s="41"/>
    </row>
    <row r="45859" spans="20:20" s="566" customFormat="1">
      <c r="T45859" s="41"/>
    </row>
    <row r="45860" spans="20:20" s="566" customFormat="1">
      <c r="T45860" s="41"/>
    </row>
    <row r="45861" spans="20:20" s="566" customFormat="1">
      <c r="T45861" s="41"/>
    </row>
    <row r="45862" spans="20:20" s="566" customFormat="1">
      <c r="T45862" s="41"/>
    </row>
    <row r="45863" spans="20:20" s="566" customFormat="1">
      <c r="T45863" s="41"/>
    </row>
    <row r="45864" spans="20:20" s="566" customFormat="1">
      <c r="T45864" s="41"/>
    </row>
    <row r="45865" spans="20:20" s="566" customFormat="1">
      <c r="T45865" s="41"/>
    </row>
    <row r="45866" spans="20:20" s="566" customFormat="1">
      <c r="T45866" s="41"/>
    </row>
    <row r="45867" spans="20:20" s="566" customFormat="1">
      <c r="T45867" s="41"/>
    </row>
    <row r="45868" spans="20:20" s="566" customFormat="1">
      <c r="T45868" s="41"/>
    </row>
    <row r="45869" spans="20:20" s="566" customFormat="1">
      <c r="T45869" s="41"/>
    </row>
    <row r="45870" spans="20:20" s="566" customFormat="1">
      <c r="T45870" s="41"/>
    </row>
    <row r="45871" spans="20:20" s="566" customFormat="1">
      <c r="T45871" s="41"/>
    </row>
    <row r="45872" spans="20:20" s="566" customFormat="1">
      <c r="T45872" s="41"/>
    </row>
    <row r="45873" spans="20:20" s="566" customFormat="1">
      <c r="T45873" s="41"/>
    </row>
    <row r="45874" spans="20:20" s="566" customFormat="1">
      <c r="T45874" s="41"/>
    </row>
    <row r="45875" spans="20:20" s="566" customFormat="1">
      <c r="T45875" s="41"/>
    </row>
    <row r="45876" spans="20:20" s="566" customFormat="1">
      <c r="T45876" s="41"/>
    </row>
    <row r="45877" spans="20:20" s="566" customFormat="1">
      <c r="T45877" s="41"/>
    </row>
    <row r="45878" spans="20:20" s="566" customFormat="1">
      <c r="T45878" s="41"/>
    </row>
    <row r="45879" spans="20:20" s="566" customFormat="1">
      <c r="T45879" s="41"/>
    </row>
    <row r="45880" spans="20:20" s="566" customFormat="1">
      <c r="T45880" s="41"/>
    </row>
    <row r="45881" spans="20:20" s="566" customFormat="1">
      <c r="T45881" s="41"/>
    </row>
    <row r="45882" spans="20:20" s="566" customFormat="1">
      <c r="T45882" s="41"/>
    </row>
    <row r="45883" spans="20:20" s="566" customFormat="1">
      <c r="T45883" s="41"/>
    </row>
    <row r="45884" spans="20:20" s="566" customFormat="1">
      <c r="T45884" s="41"/>
    </row>
    <row r="45885" spans="20:20" s="566" customFormat="1">
      <c r="T45885" s="41"/>
    </row>
    <row r="45886" spans="20:20" s="566" customFormat="1">
      <c r="T45886" s="41"/>
    </row>
    <row r="45887" spans="20:20" s="566" customFormat="1">
      <c r="T45887" s="41"/>
    </row>
    <row r="45888" spans="20:20" s="566" customFormat="1">
      <c r="T45888" s="41"/>
    </row>
    <row r="45889" spans="20:20" s="566" customFormat="1">
      <c r="T45889" s="41"/>
    </row>
    <row r="45890" spans="20:20" s="566" customFormat="1">
      <c r="T45890" s="41"/>
    </row>
    <row r="45891" spans="20:20" s="566" customFormat="1">
      <c r="T45891" s="41"/>
    </row>
    <row r="45892" spans="20:20" s="566" customFormat="1">
      <c r="T45892" s="41"/>
    </row>
    <row r="45893" spans="20:20" s="566" customFormat="1">
      <c r="T45893" s="41"/>
    </row>
    <row r="45894" spans="20:20" s="566" customFormat="1">
      <c r="T45894" s="41"/>
    </row>
    <row r="45895" spans="20:20" s="566" customFormat="1">
      <c r="T45895" s="41"/>
    </row>
    <row r="45896" spans="20:20" s="566" customFormat="1">
      <c r="T45896" s="41"/>
    </row>
    <row r="45897" spans="20:20" s="566" customFormat="1">
      <c r="T45897" s="41"/>
    </row>
    <row r="45898" spans="20:20" s="566" customFormat="1">
      <c r="T45898" s="41"/>
    </row>
    <row r="45899" spans="20:20" s="566" customFormat="1">
      <c r="T45899" s="41"/>
    </row>
    <row r="45900" spans="20:20" s="566" customFormat="1">
      <c r="T45900" s="41"/>
    </row>
    <row r="45901" spans="20:20" s="566" customFormat="1">
      <c r="T45901" s="41"/>
    </row>
    <row r="45902" spans="20:20" s="566" customFormat="1">
      <c r="T45902" s="41"/>
    </row>
    <row r="45903" spans="20:20" s="566" customFormat="1">
      <c r="T45903" s="41"/>
    </row>
    <row r="45904" spans="20:20" s="566" customFormat="1">
      <c r="T45904" s="41"/>
    </row>
    <row r="45905" spans="20:20" s="566" customFormat="1">
      <c r="T45905" s="41"/>
    </row>
    <row r="45906" spans="20:20" s="566" customFormat="1">
      <c r="T45906" s="41"/>
    </row>
    <row r="45907" spans="20:20" s="566" customFormat="1">
      <c r="T45907" s="41"/>
    </row>
    <row r="45908" spans="20:20" s="566" customFormat="1">
      <c r="T45908" s="41"/>
    </row>
    <row r="45909" spans="20:20" s="566" customFormat="1">
      <c r="T45909" s="41"/>
    </row>
    <row r="45910" spans="20:20" s="566" customFormat="1">
      <c r="T45910" s="41"/>
    </row>
    <row r="45911" spans="20:20" s="566" customFormat="1">
      <c r="T45911" s="41"/>
    </row>
    <row r="45912" spans="20:20" s="566" customFormat="1">
      <c r="T45912" s="41"/>
    </row>
    <row r="45913" spans="20:20" s="566" customFormat="1">
      <c r="T45913" s="41"/>
    </row>
    <row r="45914" spans="20:20" s="566" customFormat="1">
      <c r="T45914" s="41"/>
    </row>
    <row r="45915" spans="20:20" s="566" customFormat="1">
      <c r="T45915" s="41"/>
    </row>
    <row r="45916" spans="20:20" s="566" customFormat="1">
      <c r="T45916" s="41"/>
    </row>
    <row r="45917" spans="20:20" s="566" customFormat="1">
      <c r="T45917" s="41"/>
    </row>
    <row r="45918" spans="20:20" s="566" customFormat="1">
      <c r="T45918" s="41"/>
    </row>
    <row r="45919" spans="20:20" s="566" customFormat="1">
      <c r="T45919" s="41"/>
    </row>
    <row r="45920" spans="20:20" s="566" customFormat="1">
      <c r="T45920" s="41"/>
    </row>
    <row r="45921" spans="20:20" s="566" customFormat="1">
      <c r="T45921" s="41"/>
    </row>
    <row r="45922" spans="20:20" s="566" customFormat="1">
      <c r="T45922" s="41"/>
    </row>
    <row r="45923" spans="20:20" s="566" customFormat="1">
      <c r="T45923" s="41"/>
    </row>
    <row r="45924" spans="20:20" s="566" customFormat="1">
      <c r="T45924" s="41"/>
    </row>
    <row r="45925" spans="20:20" s="566" customFormat="1">
      <c r="T45925" s="41"/>
    </row>
    <row r="45926" spans="20:20" s="566" customFormat="1">
      <c r="T45926" s="41"/>
    </row>
    <row r="45927" spans="20:20" s="566" customFormat="1">
      <c r="T45927" s="41"/>
    </row>
    <row r="45928" spans="20:20" s="566" customFormat="1">
      <c r="T45928" s="41"/>
    </row>
    <row r="45929" spans="20:20" s="566" customFormat="1">
      <c r="T45929" s="41"/>
    </row>
    <row r="45930" spans="20:20" s="566" customFormat="1">
      <c r="T45930" s="41"/>
    </row>
    <row r="45931" spans="20:20" s="566" customFormat="1">
      <c r="T45931" s="41"/>
    </row>
    <row r="45932" spans="20:20" s="566" customFormat="1">
      <c r="T45932" s="41"/>
    </row>
    <row r="45933" spans="20:20" s="566" customFormat="1">
      <c r="T45933" s="41"/>
    </row>
    <row r="45934" spans="20:20" s="566" customFormat="1">
      <c r="T45934" s="41"/>
    </row>
    <row r="45935" spans="20:20" s="566" customFormat="1">
      <c r="T45935" s="41"/>
    </row>
    <row r="45936" spans="20:20" s="566" customFormat="1">
      <c r="T45936" s="41"/>
    </row>
    <row r="45937" spans="20:20" s="566" customFormat="1">
      <c r="T45937" s="41"/>
    </row>
    <row r="45938" spans="20:20" s="566" customFormat="1">
      <c r="T45938" s="41"/>
    </row>
    <row r="45939" spans="20:20" s="566" customFormat="1">
      <c r="T45939" s="41"/>
    </row>
    <row r="45940" spans="20:20" s="566" customFormat="1">
      <c r="T45940" s="41"/>
    </row>
    <row r="45941" spans="20:20" s="566" customFormat="1">
      <c r="T45941" s="41"/>
    </row>
    <row r="45942" spans="20:20" s="566" customFormat="1">
      <c r="T45942" s="41"/>
    </row>
    <row r="45943" spans="20:20" s="566" customFormat="1">
      <c r="T45943" s="41"/>
    </row>
    <row r="45944" spans="20:20" s="566" customFormat="1">
      <c r="T45944" s="41"/>
    </row>
    <row r="45945" spans="20:20" s="566" customFormat="1">
      <c r="T45945" s="41"/>
    </row>
    <row r="45946" spans="20:20" s="566" customFormat="1">
      <c r="T45946" s="41"/>
    </row>
    <row r="45947" spans="20:20" s="566" customFormat="1">
      <c r="T45947" s="41"/>
    </row>
    <row r="45948" spans="20:20" s="566" customFormat="1">
      <c r="T45948" s="41"/>
    </row>
    <row r="45949" spans="20:20" s="566" customFormat="1">
      <c r="T45949" s="41"/>
    </row>
    <row r="45950" spans="20:20" s="566" customFormat="1">
      <c r="T45950" s="41"/>
    </row>
    <row r="45951" spans="20:20" s="566" customFormat="1">
      <c r="T45951" s="41"/>
    </row>
    <row r="45952" spans="20:20" s="566" customFormat="1">
      <c r="T45952" s="41"/>
    </row>
    <row r="45953" spans="20:20" s="566" customFormat="1">
      <c r="T45953" s="41"/>
    </row>
    <row r="45954" spans="20:20" s="566" customFormat="1">
      <c r="T45954" s="41"/>
    </row>
    <row r="45955" spans="20:20" s="566" customFormat="1">
      <c r="T45955" s="41"/>
    </row>
    <row r="45956" spans="20:20" s="566" customFormat="1">
      <c r="T45956" s="41"/>
    </row>
    <row r="45957" spans="20:20" s="566" customFormat="1">
      <c r="T45957" s="41"/>
    </row>
    <row r="45958" spans="20:20" s="566" customFormat="1">
      <c r="T45958" s="41"/>
    </row>
    <row r="45959" spans="20:20" s="566" customFormat="1">
      <c r="T45959" s="41"/>
    </row>
    <row r="45960" spans="20:20" s="566" customFormat="1">
      <c r="T45960" s="41"/>
    </row>
    <row r="45961" spans="20:20" s="566" customFormat="1">
      <c r="T45961" s="41"/>
    </row>
    <row r="45962" spans="20:20" s="566" customFormat="1">
      <c r="T45962" s="41"/>
    </row>
    <row r="45963" spans="20:20" s="566" customFormat="1">
      <c r="T45963" s="41"/>
    </row>
    <row r="45964" spans="20:20" s="566" customFormat="1">
      <c r="T45964" s="41"/>
    </row>
    <row r="45965" spans="20:20" s="566" customFormat="1">
      <c r="T45965" s="41"/>
    </row>
    <row r="45966" spans="20:20" s="566" customFormat="1">
      <c r="T45966" s="41"/>
    </row>
    <row r="45967" spans="20:20" s="566" customFormat="1">
      <c r="T45967" s="41"/>
    </row>
    <row r="45968" spans="20:20" s="566" customFormat="1">
      <c r="T45968" s="41"/>
    </row>
    <row r="45969" spans="20:20" s="566" customFormat="1">
      <c r="T45969" s="41"/>
    </row>
    <row r="45970" spans="20:20" s="566" customFormat="1">
      <c r="T45970" s="41"/>
    </row>
    <row r="45971" spans="20:20" s="566" customFormat="1">
      <c r="T45971" s="41"/>
    </row>
    <row r="45972" spans="20:20" s="566" customFormat="1">
      <c r="T45972" s="41"/>
    </row>
    <row r="45973" spans="20:20" s="566" customFormat="1">
      <c r="T45973" s="41"/>
    </row>
    <row r="45974" spans="20:20" s="566" customFormat="1">
      <c r="T45974" s="41"/>
    </row>
    <row r="45975" spans="20:20" s="566" customFormat="1">
      <c r="T45975" s="41"/>
    </row>
    <row r="45976" spans="20:20" s="566" customFormat="1">
      <c r="T45976" s="41"/>
    </row>
    <row r="45977" spans="20:20" s="566" customFormat="1">
      <c r="T45977" s="41"/>
    </row>
    <row r="45978" spans="20:20" s="566" customFormat="1">
      <c r="T45978" s="41"/>
    </row>
    <row r="45979" spans="20:20" s="566" customFormat="1">
      <c r="T45979" s="41"/>
    </row>
    <row r="45980" spans="20:20" s="566" customFormat="1">
      <c r="T45980" s="41"/>
    </row>
    <row r="45981" spans="20:20" s="566" customFormat="1">
      <c r="T45981" s="41"/>
    </row>
    <row r="45982" spans="20:20" s="566" customFormat="1">
      <c r="T45982" s="41"/>
    </row>
    <row r="45983" spans="20:20" s="566" customFormat="1">
      <c r="T45983" s="41"/>
    </row>
    <row r="45984" spans="20:20" s="566" customFormat="1">
      <c r="T45984" s="41"/>
    </row>
    <row r="45985" spans="20:20" s="566" customFormat="1">
      <c r="T45985" s="41"/>
    </row>
    <row r="45986" spans="20:20" s="566" customFormat="1">
      <c r="T45986" s="41"/>
    </row>
    <row r="45987" spans="20:20" s="566" customFormat="1">
      <c r="T45987" s="41"/>
    </row>
    <row r="45988" spans="20:20" s="566" customFormat="1">
      <c r="T45988" s="41"/>
    </row>
    <row r="45989" spans="20:20" s="566" customFormat="1">
      <c r="T45989" s="41"/>
    </row>
    <row r="45990" spans="20:20" s="566" customFormat="1">
      <c r="T45990" s="41"/>
    </row>
    <row r="45991" spans="20:20" s="566" customFormat="1">
      <c r="T45991" s="41"/>
    </row>
    <row r="45992" spans="20:20" s="566" customFormat="1">
      <c r="T45992" s="41"/>
    </row>
    <row r="45993" spans="20:20" s="566" customFormat="1">
      <c r="T45993" s="41"/>
    </row>
    <row r="45994" spans="20:20" s="566" customFormat="1">
      <c r="T45994" s="41"/>
    </row>
    <row r="45995" spans="20:20" s="566" customFormat="1">
      <c r="T45995" s="41"/>
    </row>
    <row r="45996" spans="20:20" s="566" customFormat="1">
      <c r="T45996" s="41"/>
    </row>
    <row r="45997" spans="20:20" s="566" customFormat="1">
      <c r="T45997" s="41"/>
    </row>
    <row r="45998" spans="20:20" s="566" customFormat="1">
      <c r="T45998" s="41"/>
    </row>
    <row r="45999" spans="20:20" s="566" customFormat="1">
      <c r="T45999" s="41"/>
    </row>
    <row r="46000" spans="20:20" s="566" customFormat="1">
      <c r="T46000" s="41"/>
    </row>
    <row r="46001" spans="20:20" s="566" customFormat="1">
      <c r="T46001" s="41"/>
    </row>
    <row r="46002" spans="20:20" s="566" customFormat="1">
      <c r="T46002" s="41"/>
    </row>
    <row r="46003" spans="20:20" s="566" customFormat="1">
      <c r="T46003" s="41"/>
    </row>
    <row r="46004" spans="20:20" s="566" customFormat="1">
      <c r="T46004" s="41"/>
    </row>
    <row r="46005" spans="20:20" s="566" customFormat="1">
      <c r="T46005" s="41"/>
    </row>
    <row r="46006" spans="20:20" s="566" customFormat="1">
      <c r="T46006" s="41"/>
    </row>
    <row r="46007" spans="20:20" s="566" customFormat="1">
      <c r="T46007" s="41"/>
    </row>
    <row r="46008" spans="20:20" s="566" customFormat="1">
      <c r="T46008" s="41"/>
    </row>
    <row r="46009" spans="20:20" s="566" customFormat="1">
      <c r="T46009" s="41"/>
    </row>
    <row r="46010" spans="20:20" s="566" customFormat="1">
      <c r="T46010" s="41"/>
    </row>
    <row r="46011" spans="20:20" s="566" customFormat="1">
      <c r="T46011" s="41"/>
    </row>
    <row r="46012" spans="20:20" s="566" customFormat="1">
      <c r="T46012" s="41"/>
    </row>
    <row r="46013" spans="20:20" s="566" customFormat="1">
      <c r="T46013" s="41"/>
    </row>
    <row r="46014" spans="20:20" s="566" customFormat="1">
      <c r="T46014" s="41"/>
    </row>
    <row r="46015" spans="20:20" s="566" customFormat="1">
      <c r="T46015" s="41"/>
    </row>
    <row r="46016" spans="20:20" s="566" customFormat="1">
      <c r="T46016" s="41"/>
    </row>
    <row r="46017" spans="20:20" s="566" customFormat="1">
      <c r="T46017" s="41"/>
    </row>
    <row r="46018" spans="20:20" s="566" customFormat="1">
      <c r="T46018" s="41"/>
    </row>
    <row r="46019" spans="20:20" s="566" customFormat="1">
      <c r="T46019" s="41"/>
    </row>
    <row r="46020" spans="20:20" s="566" customFormat="1">
      <c r="T46020" s="41"/>
    </row>
    <row r="46021" spans="20:20" s="566" customFormat="1">
      <c r="T46021" s="41"/>
    </row>
    <row r="46022" spans="20:20" s="566" customFormat="1">
      <c r="T46022" s="41"/>
    </row>
    <row r="46023" spans="20:20" s="566" customFormat="1">
      <c r="T46023" s="41"/>
    </row>
    <row r="46024" spans="20:20" s="566" customFormat="1">
      <c r="T46024" s="41"/>
    </row>
    <row r="46025" spans="20:20" s="566" customFormat="1">
      <c r="T46025" s="41"/>
    </row>
    <row r="46026" spans="20:20" s="566" customFormat="1">
      <c r="T46026" s="41"/>
    </row>
    <row r="46027" spans="20:20" s="566" customFormat="1">
      <c r="T46027" s="41"/>
    </row>
    <row r="46028" spans="20:20" s="566" customFormat="1">
      <c r="T46028" s="41"/>
    </row>
    <row r="46029" spans="20:20" s="566" customFormat="1">
      <c r="T46029" s="41"/>
    </row>
    <row r="46030" spans="20:20" s="566" customFormat="1">
      <c r="T46030" s="41"/>
    </row>
    <row r="46031" spans="20:20" s="566" customFormat="1">
      <c r="T46031" s="41"/>
    </row>
    <row r="46032" spans="20:20" s="566" customFormat="1">
      <c r="T46032" s="41"/>
    </row>
    <row r="46033" spans="20:20" s="566" customFormat="1">
      <c r="T46033" s="41"/>
    </row>
    <row r="46034" spans="20:20" s="566" customFormat="1">
      <c r="T46034" s="41"/>
    </row>
    <row r="46035" spans="20:20" s="566" customFormat="1">
      <c r="T46035" s="41"/>
    </row>
    <row r="46036" spans="20:20" s="566" customFormat="1">
      <c r="T46036" s="41"/>
    </row>
    <row r="46037" spans="20:20" s="566" customFormat="1">
      <c r="T46037" s="41"/>
    </row>
    <row r="46038" spans="20:20" s="566" customFormat="1">
      <c r="T46038" s="41"/>
    </row>
    <row r="46039" spans="20:20" s="566" customFormat="1">
      <c r="T46039" s="41"/>
    </row>
    <row r="46040" spans="20:20" s="566" customFormat="1">
      <c r="T46040" s="41"/>
    </row>
    <row r="46041" spans="20:20" s="566" customFormat="1">
      <c r="T46041" s="41"/>
    </row>
    <row r="46042" spans="20:20" s="566" customFormat="1">
      <c r="T46042" s="41"/>
    </row>
    <row r="46043" spans="20:20" s="566" customFormat="1">
      <c r="T46043" s="41"/>
    </row>
    <row r="46044" spans="20:20" s="566" customFormat="1">
      <c r="T46044" s="41"/>
    </row>
    <row r="46045" spans="20:20" s="566" customFormat="1">
      <c r="T46045" s="41"/>
    </row>
    <row r="46046" spans="20:20" s="566" customFormat="1">
      <c r="T46046" s="41"/>
    </row>
    <row r="46047" spans="20:20" s="566" customFormat="1">
      <c r="T46047" s="41"/>
    </row>
    <row r="46048" spans="20:20" s="566" customFormat="1">
      <c r="T46048" s="41"/>
    </row>
    <row r="46049" spans="20:20" s="566" customFormat="1">
      <c r="T46049" s="41"/>
    </row>
    <row r="46050" spans="20:20" s="566" customFormat="1">
      <c r="T46050" s="41"/>
    </row>
    <row r="46051" spans="20:20" s="566" customFormat="1">
      <c r="T46051" s="41"/>
    </row>
    <row r="46052" spans="20:20" s="566" customFormat="1">
      <c r="T46052" s="41"/>
    </row>
    <row r="46053" spans="20:20" s="566" customFormat="1">
      <c r="T46053" s="41"/>
    </row>
    <row r="46054" spans="20:20" s="566" customFormat="1">
      <c r="T46054" s="41"/>
    </row>
    <row r="46055" spans="20:20" s="566" customFormat="1">
      <c r="T46055" s="41"/>
    </row>
    <row r="46056" spans="20:20" s="566" customFormat="1">
      <c r="T46056" s="41"/>
    </row>
    <row r="46057" spans="20:20" s="566" customFormat="1">
      <c r="T46057" s="41"/>
    </row>
    <row r="46058" spans="20:20" s="566" customFormat="1">
      <c r="T46058" s="41"/>
    </row>
    <row r="46059" spans="20:20" s="566" customFormat="1">
      <c r="T46059" s="41"/>
    </row>
    <row r="46060" spans="20:20" s="566" customFormat="1">
      <c r="T46060" s="41"/>
    </row>
    <row r="46061" spans="20:20" s="566" customFormat="1">
      <c r="T46061" s="41"/>
    </row>
    <row r="46062" spans="20:20" s="566" customFormat="1">
      <c r="T46062" s="41"/>
    </row>
    <row r="46063" spans="20:20" s="566" customFormat="1">
      <c r="T46063" s="41"/>
    </row>
    <row r="46064" spans="20:20" s="566" customFormat="1">
      <c r="T46064" s="41"/>
    </row>
    <row r="46065" spans="20:20" s="566" customFormat="1">
      <c r="T46065" s="41"/>
    </row>
    <row r="46066" spans="20:20" s="566" customFormat="1">
      <c r="T46066" s="41"/>
    </row>
    <row r="46067" spans="20:20" s="566" customFormat="1">
      <c r="T46067" s="41"/>
    </row>
    <row r="46068" spans="20:20" s="566" customFormat="1">
      <c r="T46068" s="41"/>
    </row>
    <row r="46069" spans="20:20" s="566" customFormat="1">
      <c r="T46069" s="41"/>
    </row>
    <row r="46070" spans="20:20" s="566" customFormat="1">
      <c r="T46070" s="41"/>
    </row>
    <row r="46071" spans="20:20" s="566" customFormat="1">
      <c r="T46071" s="41"/>
    </row>
    <row r="46072" spans="20:20" s="566" customFormat="1">
      <c r="T46072" s="41"/>
    </row>
    <row r="46073" spans="20:20" s="566" customFormat="1">
      <c r="T46073" s="41"/>
    </row>
    <row r="46074" spans="20:20" s="566" customFormat="1">
      <c r="T46074" s="41"/>
    </row>
    <row r="46075" spans="20:20" s="566" customFormat="1">
      <c r="T46075" s="41"/>
    </row>
    <row r="46076" spans="20:20" s="566" customFormat="1">
      <c r="T46076" s="41"/>
    </row>
    <row r="46077" spans="20:20" s="566" customFormat="1">
      <c r="T46077" s="41"/>
    </row>
    <row r="46078" spans="20:20" s="566" customFormat="1">
      <c r="T46078" s="41"/>
    </row>
    <row r="46079" spans="20:20" s="566" customFormat="1">
      <c r="T46079" s="41"/>
    </row>
    <row r="46080" spans="20:20" s="566" customFormat="1">
      <c r="T46080" s="41"/>
    </row>
    <row r="46081" spans="20:20" s="566" customFormat="1">
      <c r="T46081" s="41"/>
    </row>
    <row r="46082" spans="20:20" s="566" customFormat="1">
      <c r="T46082" s="41"/>
    </row>
    <row r="46083" spans="20:20" s="566" customFormat="1">
      <c r="T46083" s="41"/>
    </row>
    <row r="46084" spans="20:20" s="566" customFormat="1">
      <c r="T46084" s="41"/>
    </row>
    <row r="46085" spans="20:20" s="566" customFormat="1">
      <c r="T46085" s="41"/>
    </row>
    <row r="46086" spans="20:20" s="566" customFormat="1">
      <c r="T46086" s="41"/>
    </row>
    <row r="46087" spans="20:20" s="566" customFormat="1">
      <c r="T46087" s="41"/>
    </row>
    <row r="46088" spans="20:20" s="566" customFormat="1">
      <c r="T46088" s="41"/>
    </row>
    <row r="46089" spans="20:20" s="566" customFormat="1">
      <c r="T46089" s="41"/>
    </row>
    <row r="46090" spans="20:20" s="566" customFormat="1">
      <c r="T46090" s="41"/>
    </row>
    <row r="46091" spans="20:20" s="566" customFormat="1">
      <c r="T46091" s="41"/>
    </row>
    <row r="46092" spans="20:20" s="566" customFormat="1">
      <c r="T46092" s="41"/>
    </row>
    <row r="46093" spans="20:20" s="566" customFormat="1">
      <c r="T46093" s="41"/>
    </row>
    <row r="46094" spans="20:20" s="566" customFormat="1">
      <c r="T46094" s="41"/>
    </row>
    <row r="46095" spans="20:20" s="566" customFormat="1">
      <c r="T46095" s="41"/>
    </row>
    <row r="46096" spans="20:20" s="566" customFormat="1">
      <c r="T46096" s="41"/>
    </row>
    <row r="46097" spans="20:20" s="566" customFormat="1">
      <c r="T46097" s="41"/>
    </row>
    <row r="46098" spans="20:20" s="566" customFormat="1">
      <c r="T46098" s="41"/>
    </row>
    <row r="46099" spans="20:20" s="566" customFormat="1">
      <c r="T46099" s="41"/>
    </row>
    <row r="46100" spans="20:20" s="566" customFormat="1">
      <c r="T46100" s="41"/>
    </row>
    <row r="46101" spans="20:20" s="566" customFormat="1">
      <c r="T46101" s="41"/>
    </row>
    <row r="46102" spans="20:20" s="566" customFormat="1">
      <c r="T46102" s="41"/>
    </row>
    <row r="46103" spans="20:20" s="566" customFormat="1">
      <c r="T46103" s="41"/>
    </row>
    <row r="46104" spans="20:20" s="566" customFormat="1">
      <c r="T46104" s="41"/>
    </row>
    <row r="46105" spans="20:20" s="566" customFormat="1">
      <c r="T46105" s="41"/>
    </row>
    <row r="46106" spans="20:20" s="566" customFormat="1">
      <c r="T46106" s="41"/>
    </row>
    <row r="46107" spans="20:20" s="566" customFormat="1">
      <c r="T46107" s="41"/>
    </row>
    <row r="46108" spans="20:20" s="566" customFormat="1">
      <c r="T46108" s="41"/>
    </row>
    <row r="46109" spans="20:20" s="566" customFormat="1">
      <c r="T46109" s="41"/>
    </row>
    <row r="46110" spans="20:20" s="566" customFormat="1">
      <c r="T46110" s="41"/>
    </row>
    <row r="46111" spans="20:20" s="566" customFormat="1">
      <c r="T46111" s="41"/>
    </row>
    <row r="46112" spans="20:20" s="566" customFormat="1">
      <c r="T46112" s="41"/>
    </row>
    <row r="46113" spans="20:20" s="566" customFormat="1">
      <c r="T46113" s="41"/>
    </row>
    <row r="46114" spans="20:20" s="566" customFormat="1">
      <c r="T46114" s="41"/>
    </row>
    <row r="46115" spans="20:20" s="566" customFormat="1">
      <c r="T46115" s="41"/>
    </row>
    <row r="46116" spans="20:20" s="566" customFormat="1">
      <c r="T46116" s="41"/>
    </row>
    <row r="46117" spans="20:20" s="566" customFormat="1">
      <c r="T46117" s="41"/>
    </row>
    <row r="46118" spans="20:20" s="566" customFormat="1">
      <c r="T46118" s="41"/>
    </row>
    <row r="46119" spans="20:20" s="566" customFormat="1">
      <c r="T46119" s="41"/>
    </row>
    <row r="46120" spans="20:20" s="566" customFormat="1">
      <c r="T46120" s="41"/>
    </row>
    <row r="46121" spans="20:20" s="566" customFormat="1">
      <c r="T46121" s="41"/>
    </row>
    <row r="46122" spans="20:20" s="566" customFormat="1">
      <c r="T46122" s="41"/>
    </row>
    <row r="46123" spans="20:20" s="566" customFormat="1">
      <c r="T46123" s="41"/>
    </row>
    <row r="46124" spans="20:20" s="566" customFormat="1">
      <c r="T46124" s="41"/>
    </row>
    <row r="46125" spans="20:20" s="566" customFormat="1">
      <c r="T46125" s="41"/>
    </row>
    <row r="46126" spans="20:20" s="566" customFormat="1">
      <c r="T46126" s="41"/>
    </row>
    <row r="46127" spans="20:20" s="566" customFormat="1">
      <c r="T46127" s="41"/>
    </row>
    <row r="46128" spans="20:20" s="566" customFormat="1">
      <c r="T46128" s="41"/>
    </row>
    <row r="46129" spans="20:20" s="566" customFormat="1">
      <c r="T46129" s="41"/>
    </row>
    <row r="46130" spans="20:20" s="566" customFormat="1">
      <c r="T46130" s="41"/>
    </row>
    <row r="46131" spans="20:20" s="566" customFormat="1">
      <c r="T46131" s="41"/>
    </row>
    <row r="46132" spans="20:20" s="566" customFormat="1">
      <c r="T46132" s="41"/>
    </row>
    <row r="46133" spans="20:20" s="566" customFormat="1">
      <c r="T46133" s="41"/>
    </row>
    <row r="46134" spans="20:20" s="566" customFormat="1">
      <c r="T46134" s="41"/>
    </row>
    <row r="46135" spans="20:20" s="566" customFormat="1">
      <c r="T46135" s="41"/>
    </row>
    <row r="46136" spans="20:20" s="566" customFormat="1">
      <c r="T46136" s="41"/>
    </row>
    <row r="46137" spans="20:20" s="566" customFormat="1">
      <c r="T46137" s="41"/>
    </row>
    <row r="46138" spans="20:20" s="566" customFormat="1">
      <c r="T46138" s="41"/>
    </row>
    <row r="46139" spans="20:20" s="566" customFormat="1">
      <c r="T46139" s="41"/>
    </row>
    <row r="46140" spans="20:20" s="566" customFormat="1">
      <c r="T46140" s="41"/>
    </row>
    <row r="46141" spans="20:20" s="566" customFormat="1">
      <c r="T46141" s="41"/>
    </row>
    <row r="46142" spans="20:20" s="566" customFormat="1">
      <c r="T46142" s="41"/>
    </row>
    <row r="46143" spans="20:20" s="566" customFormat="1">
      <c r="T46143" s="41"/>
    </row>
    <row r="46144" spans="20:20" s="566" customFormat="1">
      <c r="T46144" s="41"/>
    </row>
    <row r="46145" spans="20:20" s="566" customFormat="1">
      <c r="T46145" s="41"/>
    </row>
    <row r="46146" spans="20:20" s="566" customFormat="1">
      <c r="T46146" s="41"/>
    </row>
    <row r="46147" spans="20:20" s="566" customFormat="1">
      <c r="T46147" s="41"/>
    </row>
    <row r="46148" spans="20:20" s="566" customFormat="1">
      <c r="T46148" s="41"/>
    </row>
    <row r="46149" spans="20:20" s="566" customFormat="1">
      <c r="T46149" s="41"/>
    </row>
    <row r="46150" spans="20:20" s="566" customFormat="1">
      <c r="T46150" s="41"/>
    </row>
    <row r="46151" spans="20:20" s="566" customFormat="1">
      <c r="T46151" s="41"/>
    </row>
    <row r="46152" spans="20:20" s="566" customFormat="1">
      <c r="T46152" s="41"/>
    </row>
    <row r="46153" spans="20:20" s="566" customFormat="1">
      <c r="T46153" s="41"/>
    </row>
    <row r="46154" spans="20:20" s="566" customFormat="1">
      <c r="T46154" s="41"/>
    </row>
    <row r="46155" spans="20:20" s="566" customFormat="1">
      <c r="T46155" s="41"/>
    </row>
    <row r="46156" spans="20:20" s="566" customFormat="1">
      <c r="T46156" s="41"/>
    </row>
    <row r="46157" spans="20:20" s="566" customFormat="1">
      <c r="T46157" s="41"/>
    </row>
    <row r="46158" spans="20:20" s="566" customFormat="1">
      <c r="T46158" s="41"/>
    </row>
    <row r="46159" spans="20:20" s="566" customFormat="1">
      <c r="T46159" s="41"/>
    </row>
    <row r="46160" spans="20:20" s="566" customFormat="1">
      <c r="T46160" s="41"/>
    </row>
    <row r="46161" spans="20:20" s="566" customFormat="1">
      <c r="T46161" s="41"/>
    </row>
    <row r="46162" spans="20:20" s="566" customFormat="1">
      <c r="T46162" s="41"/>
    </row>
    <row r="46163" spans="20:20" s="566" customFormat="1">
      <c r="T46163" s="41"/>
    </row>
    <row r="46164" spans="20:20" s="566" customFormat="1">
      <c r="T46164" s="41"/>
    </row>
    <row r="46165" spans="20:20" s="566" customFormat="1">
      <c r="T46165" s="41"/>
    </row>
    <row r="46166" spans="20:20" s="566" customFormat="1">
      <c r="T46166" s="41"/>
    </row>
    <row r="46167" spans="20:20" s="566" customFormat="1">
      <c r="T46167" s="41"/>
    </row>
    <row r="46168" spans="20:20" s="566" customFormat="1">
      <c r="T46168" s="41"/>
    </row>
    <row r="46169" spans="20:20" s="566" customFormat="1">
      <c r="T46169" s="41"/>
    </row>
    <row r="46170" spans="20:20" s="566" customFormat="1">
      <c r="T46170" s="41"/>
    </row>
    <row r="46171" spans="20:20" s="566" customFormat="1">
      <c r="T46171" s="41"/>
    </row>
    <row r="46172" spans="20:20" s="566" customFormat="1">
      <c r="T46172" s="41"/>
    </row>
    <row r="46173" spans="20:20" s="566" customFormat="1">
      <c r="T46173" s="41"/>
    </row>
    <row r="46174" spans="20:20" s="566" customFormat="1">
      <c r="T46174" s="41"/>
    </row>
    <row r="46175" spans="20:20" s="566" customFormat="1">
      <c r="T46175" s="41"/>
    </row>
    <row r="46176" spans="20:20" s="566" customFormat="1">
      <c r="T46176" s="41"/>
    </row>
    <row r="46177" spans="20:20" s="566" customFormat="1">
      <c r="T46177" s="41"/>
    </row>
    <row r="46178" spans="20:20" s="566" customFormat="1">
      <c r="T46178" s="41"/>
    </row>
    <row r="46179" spans="20:20" s="566" customFormat="1">
      <c r="T46179" s="41"/>
    </row>
    <row r="46180" spans="20:20" s="566" customFormat="1">
      <c r="T46180" s="41"/>
    </row>
    <row r="46181" spans="20:20" s="566" customFormat="1">
      <c r="T46181" s="41"/>
    </row>
    <row r="46182" spans="20:20" s="566" customFormat="1">
      <c r="T46182" s="41"/>
    </row>
    <row r="46183" spans="20:20" s="566" customFormat="1">
      <c r="T46183" s="41"/>
    </row>
    <row r="46184" spans="20:20" s="566" customFormat="1">
      <c r="T46184" s="41"/>
    </row>
    <row r="46185" spans="20:20" s="566" customFormat="1">
      <c r="T46185" s="41"/>
    </row>
    <row r="46186" spans="20:20" s="566" customFormat="1">
      <c r="T46186" s="41"/>
    </row>
    <row r="46187" spans="20:20" s="566" customFormat="1">
      <c r="T46187" s="41"/>
    </row>
    <row r="46188" spans="20:20" s="566" customFormat="1">
      <c r="T46188" s="41"/>
    </row>
    <row r="46189" spans="20:20" s="566" customFormat="1">
      <c r="T46189" s="41"/>
    </row>
    <row r="46190" spans="20:20" s="566" customFormat="1">
      <c r="T46190" s="41"/>
    </row>
    <row r="46191" spans="20:20" s="566" customFormat="1">
      <c r="T46191" s="41"/>
    </row>
    <row r="46192" spans="20:20" s="566" customFormat="1">
      <c r="T46192" s="41"/>
    </row>
    <row r="46193" spans="20:20" s="566" customFormat="1">
      <c r="T46193" s="41"/>
    </row>
    <row r="46194" spans="20:20" s="566" customFormat="1">
      <c r="T46194" s="41"/>
    </row>
    <row r="46195" spans="20:20" s="566" customFormat="1">
      <c r="T46195" s="41"/>
    </row>
    <row r="46196" spans="20:20" s="566" customFormat="1">
      <c r="T46196" s="41"/>
    </row>
    <row r="46197" spans="20:20" s="566" customFormat="1">
      <c r="T46197" s="41"/>
    </row>
    <row r="46198" spans="20:20" s="566" customFormat="1">
      <c r="T46198" s="41"/>
    </row>
    <row r="46199" spans="20:20" s="566" customFormat="1">
      <c r="T46199" s="41"/>
    </row>
    <row r="46200" spans="20:20" s="566" customFormat="1">
      <c r="T46200" s="41"/>
    </row>
    <row r="46201" spans="20:20" s="566" customFormat="1">
      <c r="T46201" s="41"/>
    </row>
    <row r="46202" spans="20:20" s="566" customFormat="1">
      <c r="T46202" s="41"/>
    </row>
    <row r="46203" spans="20:20" s="566" customFormat="1">
      <c r="T46203" s="41"/>
    </row>
    <row r="46204" spans="20:20" s="566" customFormat="1">
      <c r="T46204" s="41"/>
    </row>
    <row r="46205" spans="20:20" s="566" customFormat="1">
      <c r="T46205" s="41"/>
    </row>
    <row r="46206" spans="20:20" s="566" customFormat="1">
      <c r="T46206" s="41"/>
    </row>
    <row r="46207" spans="20:20" s="566" customFormat="1">
      <c r="T46207" s="41"/>
    </row>
    <row r="46208" spans="20:20" s="566" customFormat="1">
      <c r="T46208" s="41"/>
    </row>
    <row r="46209" spans="20:20" s="566" customFormat="1">
      <c r="T46209" s="41"/>
    </row>
    <row r="46210" spans="20:20" s="566" customFormat="1">
      <c r="T46210" s="41"/>
    </row>
    <row r="46211" spans="20:20" s="566" customFormat="1">
      <c r="T46211" s="41"/>
    </row>
    <row r="46212" spans="20:20" s="566" customFormat="1">
      <c r="T46212" s="41"/>
    </row>
    <row r="46213" spans="20:20" s="566" customFormat="1">
      <c r="T46213" s="41"/>
    </row>
    <row r="46214" spans="20:20" s="566" customFormat="1">
      <c r="T46214" s="41"/>
    </row>
    <row r="46215" spans="20:20" s="566" customFormat="1">
      <c r="T46215" s="41"/>
    </row>
    <row r="46216" spans="20:20" s="566" customFormat="1">
      <c r="T46216" s="41"/>
    </row>
    <row r="46217" spans="20:20" s="566" customFormat="1">
      <c r="T46217" s="41"/>
    </row>
    <row r="46218" spans="20:20" s="566" customFormat="1">
      <c r="T46218" s="41"/>
    </row>
    <row r="46219" spans="20:20" s="566" customFormat="1">
      <c r="T46219" s="41"/>
    </row>
    <row r="46220" spans="20:20" s="566" customFormat="1">
      <c r="T46220" s="41"/>
    </row>
    <row r="46221" spans="20:20" s="566" customFormat="1">
      <c r="T46221" s="41"/>
    </row>
    <row r="46222" spans="20:20" s="566" customFormat="1">
      <c r="T46222" s="41"/>
    </row>
    <row r="46223" spans="20:20" s="566" customFormat="1">
      <c r="T46223" s="41"/>
    </row>
    <row r="46224" spans="20:20" s="566" customFormat="1">
      <c r="T46224" s="41"/>
    </row>
    <row r="46225" spans="20:20" s="566" customFormat="1">
      <c r="T46225" s="41"/>
    </row>
    <row r="46226" spans="20:20" s="566" customFormat="1">
      <c r="T46226" s="41"/>
    </row>
    <row r="46227" spans="20:20" s="566" customFormat="1">
      <c r="T46227" s="41"/>
    </row>
    <row r="46228" spans="20:20" s="566" customFormat="1">
      <c r="T46228" s="41"/>
    </row>
    <row r="46229" spans="20:20" s="566" customFormat="1">
      <c r="T46229" s="41"/>
    </row>
    <row r="46230" spans="20:20" s="566" customFormat="1">
      <c r="T46230" s="41"/>
    </row>
    <row r="46231" spans="20:20" s="566" customFormat="1">
      <c r="T46231" s="41"/>
    </row>
    <row r="46232" spans="20:20" s="566" customFormat="1">
      <c r="T46232" s="41"/>
    </row>
    <row r="46233" spans="20:20" s="566" customFormat="1">
      <c r="T46233" s="41"/>
    </row>
    <row r="46234" spans="20:20" s="566" customFormat="1">
      <c r="T46234" s="41"/>
    </row>
    <row r="46235" spans="20:20" s="566" customFormat="1">
      <c r="T46235" s="41"/>
    </row>
    <row r="46236" spans="20:20" s="566" customFormat="1">
      <c r="T46236" s="41"/>
    </row>
    <row r="46237" spans="20:20" s="566" customFormat="1">
      <c r="T46237" s="41"/>
    </row>
    <row r="46238" spans="20:20" s="566" customFormat="1">
      <c r="T46238" s="41"/>
    </row>
    <row r="46239" spans="20:20" s="566" customFormat="1">
      <c r="T46239" s="41"/>
    </row>
    <row r="46240" spans="20:20" s="566" customFormat="1">
      <c r="T46240" s="41"/>
    </row>
    <row r="46241" spans="20:20" s="566" customFormat="1">
      <c r="T46241" s="41"/>
    </row>
    <row r="46242" spans="20:20" s="566" customFormat="1">
      <c r="T46242" s="41"/>
    </row>
    <row r="46243" spans="20:20" s="566" customFormat="1">
      <c r="T46243" s="41"/>
    </row>
    <row r="46244" spans="20:20" s="566" customFormat="1">
      <c r="T46244" s="41"/>
    </row>
    <row r="46245" spans="20:20" s="566" customFormat="1">
      <c r="T46245" s="41"/>
    </row>
    <row r="46246" spans="20:20" s="566" customFormat="1">
      <c r="T46246" s="41"/>
    </row>
    <row r="46247" spans="20:20" s="566" customFormat="1">
      <c r="T46247" s="41"/>
    </row>
    <row r="46248" spans="20:20" s="566" customFormat="1">
      <c r="T46248" s="41"/>
    </row>
    <row r="46249" spans="20:20" s="566" customFormat="1">
      <c r="T46249" s="41"/>
    </row>
    <row r="46250" spans="20:20" s="566" customFormat="1">
      <c r="T46250" s="41"/>
    </row>
    <row r="46251" spans="20:20" s="566" customFormat="1">
      <c r="T46251" s="41"/>
    </row>
    <row r="46252" spans="20:20" s="566" customFormat="1">
      <c r="T46252" s="41"/>
    </row>
    <row r="46253" spans="20:20" s="566" customFormat="1">
      <c r="T46253" s="41"/>
    </row>
    <row r="46254" spans="20:20" s="566" customFormat="1">
      <c r="T46254" s="41"/>
    </row>
    <row r="46255" spans="20:20" s="566" customFormat="1">
      <c r="T46255" s="41"/>
    </row>
    <row r="46256" spans="20:20" s="566" customFormat="1">
      <c r="T46256" s="41"/>
    </row>
    <row r="46257" spans="20:20" s="566" customFormat="1">
      <c r="T46257" s="41"/>
    </row>
    <row r="46258" spans="20:20" s="566" customFormat="1">
      <c r="T46258" s="41"/>
    </row>
    <row r="46259" spans="20:20" s="566" customFormat="1">
      <c r="T46259" s="41"/>
    </row>
    <row r="46260" spans="20:20" s="566" customFormat="1">
      <c r="T46260" s="41"/>
    </row>
    <row r="46261" spans="20:20" s="566" customFormat="1">
      <c r="T46261" s="41"/>
    </row>
    <row r="46262" spans="20:20" s="566" customFormat="1">
      <c r="T46262" s="41"/>
    </row>
    <row r="46263" spans="20:20" s="566" customFormat="1">
      <c r="T46263" s="41"/>
    </row>
    <row r="46264" spans="20:20" s="566" customFormat="1">
      <c r="T46264" s="41"/>
    </row>
    <row r="46265" spans="20:20" s="566" customFormat="1">
      <c r="T46265" s="41"/>
    </row>
    <row r="46266" spans="20:20" s="566" customFormat="1">
      <c r="T46266" s="41"/>
    </row>
    <row r="46267" spans="20:20" s="566" customFormat="1">
      <c r="T46267" s="41"/>
    </row>
    <row r="46268" spans="20:20" s="566" customFormat="1">
      <c r="T46268" s="41"/>
    </row>
    <row r="46269" spans="20:20" s="566" customFormat="1">
      <c r="T46269" s="41"/>
    </row>
    <row r="46270" spans="20:20" s="566" customFormat="1">
      <c r="T46270" s="41"/>
    </row>
    <row r="46271" spans="20:20" s="566" customFormat="1">
      <c r="T46271" s="41"/>
    </row>
    <row r="46272" spans="20:20" s="566" customFormat="1">
      <c r="T46272" s="41"/>
    </row>
    <row r="46273" spans="20:20" s="566" customFormat="1">
      <c r="T46273" s="41"/>
    </row>
    <row r="46274" spans="20:20" s="566" customFormat="1">
      <c r="T46274" s="41"/>
    </row>
    <row r="46275" spans="20:20" s="566" customFormat="1">
      <c r="T46275" s="41"/>
    </row>
    <row r="46276" spans="20:20" s="566" customFormat="1">
      <c r="T46276" s="41"/>
    </row>
    <row r="46277" spans="20:20" s="566" customFormat="1">
      <c r="T46277" s="41"/>
    </row>
    <row r="46278" spans="20:20" s="566" customFormat="1">
      <c r="T46278" s="41"/>
    </row>
    <row r="46279" spans="20:20" s="566" customFormat="1">
      <c r="T46279" s="41"/>
    </row>
    <row r="46280" spans="20:20" s="566" customFormat="1">
      <c r="T46280" s="41"/>
    </row>
    <row r="46281" spans="20:20" s="566" customFormat="1">
      <c r="T46281" s="41"/>
    </row>
    <row r="46282" spans="20:20" s="566" customFormat="1">
      <c r="T46282" s="41"/>
    </row>
    <row r="46283" spans="20:20" s="566" customFormat="1">
      <c r="T46283" s="41"/>
    </row>
    <row r="46284" spans="20:20" s="566" customFormat="1">
      <c r="T46284" s="41"/>
    </row>
    <row r="46285" spans="20:20" s="566" customFormat="1">
      <c r="T46285" s="41"/>
    </row>
    <row r="46286" spans="20:20" s="566" customFormat="1">
      <c r="T46286" s="41"/>
    </row>
    <row r="46287" spans="20:20" s="566" customFormat="1">
      <c r="T46287" s="41"/>
    </row>
    <row r="46288" spans="20:20" s="566" customFormat="1">
      <c r="T46288" s="41"/>
    </row>
    <row r="46289" spans="20:20" s="566" customFormat="1">
      <c r="T46289" s="41"/>
    </row>
    <row r="46290" spans="20:20" s="566" customFormat="1">
      <c r="T46290" s="41"/>
    </row>
    <row r="46291" spans="20:20" s="566" customFormat="1">
      <c r="T46291" s="41"/>
    </row>
    <row r="46292" spans="20:20" s="566" customFormat="1">
      <c r="T46292" s="41"/>
    </row>
    <row r="46293" spans="20:20" s="566" customFormat="1">
      <c r="T46293" s="41"/>
    </row>
    <row r="46294" spans="20:20" s="566" customFormat="1">
      <c r="T46294" s="41"/>
    </row>
    <row r="46295" spans="20:20" s="566" customFormat="1">
      <c r="T46295" s="41"/>
    </row>
    <row r="46296" spans="20:20" s="566" customFormat="1">
      <c r="T46296" s="41"/>
    </row>
    <row r="46297" spans="20:20" s="566" customFormat="1">
      <c r="T46297" s="41"/>
    </row>
    <row r="46298" spans="20:20" s="566" customFormat="1">
      <c r="T46298" s="41"/>
    </row>
    <row r="46299" spans="20:20" s="566" customFormat="1">
      <c r="T46299" s="41"/>
    </row>
    <row r="46300" spans="20:20" s="566" customFormat="1">
      <c r="T46300" s="41"/>
    </row>
    <row r="46301" spans="20:20" s="566" customFormat="1">
      <c r="T46301" s="41"/>
    </row>
    <row r="46302" spans="20:20" s="566" customFormat="1">
      <c r="T46302" s="41"/>
    </row>
    <row r="46303" spans="20:20" s="566" customFormat="1">
      <c r="T46303" s="41"/>
    </row>
    <row r="46304" spans="20:20" s="566" customFormat="1">
      <c r="T46304" s="41"/>
    </row>
    <row r="46305" spans="20:20" s="566" customFormat="1">
      <c r="T46305" s="41"/>
    </row>
    <row r="46306" spans="20:20" s="566" customFormat="1">
      <c r="T46306" s="41"/>
    </row>
    <row r="46307" spans="20:20" s="566" customFormat="1">
      <c r="T46307" s="41"/>
    </row>
    <row r="46308" spans="20:20" s="566" customFormat="1">
      <c r="T46308" s="41"/>
    </row>
    <row r="46309" spans="20:20" s="566" customFormat="1">
      <c r="T46309" s="41"/>
    </row>
    <row r="46310" spans="20:20" s="566" customFormat="1">
      <c r="T46310" s="41"/>
    </row>
    <row r="46311" spans="20:20" s="566" customFormat="1">
      <c r="T46311" s="41"/>
    </row>
    <row r="46312" spans="20:20" s="566" customFormat="1">
      <c r="T46312" s="41"/>
    </row>
    <row r="46313" spans="20:20" s="566" customFormat="1">
      <c r="T46313" s="41"/>
    </row>
    <row r="46314" spans="20:20" s="566" customFormat="1">
      <c r="T46314" s="41"/>
    </row>
    <row r="46315" spans="20:20" s="566" customFormat="1">
      <c r="T46315" s="41"/>
    </row>
    <row r="46316" spans="20:20" s="566" customFormat="1">
      <c r="T46316" s="41"/>
    </row>
    <row r="46317" spans="20:20" s="566" customFormat="1">
      <c r="T46317" s="41"/>
    </row>
    <row r="46318" spans="20:20" s="566" customFormat="1">
      <c r="T46318" s="41"/>
    </row>
    <row r="46319" spans="20:20" s="566" customFormat="1">
      <c r="T46319" s="41"/>
    </row>
    <row r="46320" spans="20:20" s="566" customFormat="1">
      <c r="T46320" s="41"/>
    </row>
    <row r="46321" spans="20:20" s="566" customFormat="1">
      <c r="T46321" s="41"/>
    </row>
    <row r="46322" spans="20:20" s="566" customFormat="1">
      <c r="T46322" s="41"/>
    </row>
    <row r="46323" spans="20:20" s="566" customFormat="1">
      <c r="T46323" s="41"/>
    </row>
    <row r="46324" spans="20:20" s="566" customFormat="1">
      <c r="T46324" s="41"/>
    </row>
    <row r="46325" spans="20:20" s="566" customFormat="1">
      <c r="T46325" s="41"/>
    </row>
    <row r="46326" spans="20:20" s="566" customFormat="1">
      <c r="T46326" s="41"/>
    </row>
    <row r="46327" spans="20:20" s="566" customFormat="1">
      <c r="T46327" s="41"/>
    </row>
    <row r="46328" spans="20:20" s="566" customFormat="1">
      <c r="T46328" s="41"/>
    </row>
    <row r="46329" spans="20:20" s="566" customFormat="1">
      <c r="T46329" s="41"/>
    </row>
    <row r="46330" spans="20:20" s="566" customFormat="1">
      <c r="T46330" s="41"/>
    </row>
    <row r="46331" spans="20:20" s="566" customFormat="1">
      <c r="T46331" s="41"/>
    </row>
    <row r="46332" spans="20:20" s="566" customFormat="1">
      <c r="T46332" s="41"/>
    </row>
    <row r="46333" spans="20:20" s="566" customFormat="1">
      <c r="T46333" s="41"/>
    </row>
    <row r="46334" spans="20:20" s="566" customFormat="1">
      <c r="T46334" s="41"/>
    </row>
    <row r="46335" spans="20:20" s="566" customFormat="1">
      <c r="T46335" s="41"/>
    </row>
    <row r="46336" spans="20:20" s="566" customFormat="1">
      <c r="T46336" s="41"/>
    </row>
    <row r="46337" spans="20:20" s="566" customFormat="1">
      <c r="T46337" s="41"/>
    </row>
    <row r="46338" spans="20:20" s="566" customFormat="1">
      <c r="T46338" s="41"/>
    </row>
    <row r="46339" spans="20:20" s="566" customFormat="1">
      <c r="T46339" s="41"/>
    </row>
    <row r="46340" spans="20:20" s="566" customFormat="1">
      <c r="T46340" s="41"/>
    </row>
    <row r="46341" spans="20:20" s="566" customFormat="1">
      <c r="T46341" s="41"/>
    </row>
    <row r="46342" spans="20:20" s="566" customFormat="1">
      <c r="T46342" s="41"/>
    </row>
    <row r="46343" spans="20:20" s="566" customFormat="1">
      <c r="T46343" s="41"/>
    </row>
    <row r="46344" spans="20:20" s="566" customFormat="1">
      <c r="T46344" s="41"/>
    </row>
    <row r="46345" spans="20:20" s="566" customFormat="1">
      <c r="T46345" s="41"/>
    </row>
    <row r="46346" spans="20:20" s="566" customFormat="1">
      <c r="T46346" s="41"/>
    </row>
    <row r="46347" spans="20:20" s="566" customFormat="1">
      <c r="T46347" s="41"/>
    </row>
    <row r="46348" spans="20:20" s="566" customFormat="1">
      <c r="T46348" s="41"/>
    </row>
    <row r="46349" spans="20:20" s="566" customFormat="1">
      <c r="T46349" s="41"/>
    </row>
    <row r="46350" spans="20:20" s="566" customFormat="1">
      <c r="T46350" s="41"/>
    </row>
    <row r="46351" spans="20:20" s="566" customFormat="1">
      <c r="T46351" s="41"/>
    </row>
    <row r="46352" spans="20:20" s="566" customFormat="1">
      <c r="T46352" s="41"/>
    </row>
    <row r="46353" spans="20:20" s="566" customFormat="1">
      <c r="T46353" s="41"/>
    </row>
    <row r="46354" spans="20:20" s="566" customFormat="1">
      <c r="T46354" s="41"/>
    </row>
    <row r="46355" spans="20:20" s="566" customFormat="1">
      <c r="T46355" s="41"/>
    </row>
    <row r="46356" spans="20:20" s="566" customFormat="1">
      <c r="T46356" s="41"/>
    </row>
    <row r="46357" spans="20:20" s="566" customFormat="1">
      <c r="T46357" s="41"/>
    </row>
    <row r="46358" spans="20:20" s="566" customFormat="1">
      <c r="T46358" s="41"/>
    </row>
    <row r="46359" spans="20:20" s="566" customFormat="1">
      <c r="T46359" s="41"/>
    </row>
    <row r="46360" spans="20:20" s="566" customFormat="1">
      <c r="T46360" s="41"/>
    </row>
    <row r="46361" spans="20:20" s="566" customFormat="1">
      <c r="T46361" s="41"/>
    </row>
    <row r="46362" spans="20:20" s="566" customFormat="1">
      <c r="T46362" s="41"/>
    </row>
    <row r="46363" spans="20:20" s="566" customFormat="1">
      <c r="T46363" s="41"/>
    </row>
    <row r="46364" spans="20:20" s="566" customFormat="1">
      <c r="T46364" s="41"/>
    </row>
    <row r="46365" spans="20:20" s="566" customFormat="1">
      <c r="T46365" s="41"/>
    </row>
    <row r="46366" spans="20:20" s="566" customFormat="1">
      <c r="T46366" s="41"/>
    </row>
    <row r="46367" spans="20:20" s="566" customFormat="1">
      <c r="T46367" s="41"/>
    </row>
    <row r="46368" spans="20:20" s="566" customFormat="1">
      <c r="T46368" s="41"/>
    </row>
    <row r="46369" spans="20:20" s="566" customFormat="1">
      <c r="T46369" s="41"/>
    </row>
    <row r="46370" spans="20:20" s="566" customFormat="1">
      <c r="T46370" s="41"/>
    </row>
    <row r="46371" spans="20:20" s="566" customFormat="1">
      <c r="T46371" s="41"/>
    </row>
    <row r="46372" spans="20:20" s="566" customFormat="1">
      <c r="T46372" s="41"/>
    </row>
    <row r="46373" spans="20:20" s="566" customFormat="1">
      <c r="T46373" s="41"/>
    </row>
    <row r="46374" spans="20:20" s="566" customFormat="1">
      <c r="T46374" s="41"/>
    </row>
    <row r="46375" spans="20:20" s="566" customFormat="1">
      <c r="T46375" s="41"/>
    </row>
    <row r="46376" spans="20:20" s="566" customFormat="1">
      <c r="T46376" s="41"/>
    </row>
    <row r="46377" spans="20:20" s="566" customFormat="1">
      <c r="T46377" s="41"/>
    </row>
    <row r="46378" spans="20:20" s="566" customFormat="1">
      <c r="T46378" s="41"/>
    </row>
    <row r="46379" spans="20:20" s="566" customFormat="1">
      <c r="T46379" s="41"/>
    </row>
    <row r="46380" spans="20:20" s="566" customFormat="1">
      <c r="T46380" s="41"/>
    </row>
    <row r="46381" spans="20:20" s="566" customFormat="1">
      <c r="T46381" s="41"/>
    </row>
    <row r="46382" spans="20:20" s="566" customFormat="1">
      <c r="T46382" s="41"/>
    </row>
    <row r="46383" spans="20:20" s="566" customFormat="1">
      <c r="T46383" s="41"/>
    </row>
    <row r="46384" spans="20:20" s="566" customFormat="1">
      <c r="T46384" s="41"/>
    </row>
    <row r="46385" spans="20:20" s="566" customFormat="1">
      <c r="T46385" s="41"/>
    </row>
    <row r="46386" spans="20:20" s="566" customFormat="1">
      <c r="T46386" s="41"/>
    </row>
    <row r="46387" spans="20:20" s="566" customFormat="1">
      <c r="T46387" s="41"/>
    </row>
    <row r="46388" spans="20:20" s="566" customFormat="1">
      <c r="T46388" s="41"/>
    </row>
    <row r="46389" spans="20:20" s="566" customFormat="1">
      <c r="T46389" s="41"/>
    </row>
    <row r="46390" spans="20:20" s="566" customFormat="1">
      <c r="T46390" s="41"/>
    </row>
    <row r="46391" spans="20:20" s="566" customFormat="1">
      <c r="T46391" s="41"/>
    </row>
    <row r="46392" spans="20:20" s="566" customFormat="1">
      <c r="T46392" s="41"/>
    </row>
    <row r="46393" spans="20:20" s="566" customFormat="1">
      <c r="T46393" s="41"/>
    </row>
    <row r="46394" spans="20:20" s="566" customFormat="1">
      <c r="T46394" s="41"/>
    </row>
    <row r="46395" spans="20:20" s="566" customFormat="1">
      <c r="T46395" s="41"/>
    </row>
    <row r="46396" spans="20:20" s="566" customFormat="1">
      <c r="T46396" s="41"/>
    </row>
    <row r="46397" spans="20:20" s="566" customFormat="1">
      <c r="T46397" s="41"/>
    </row>
    <row r="46398" spans="20:20" s="566" customFormat="1">
      <c r="T46398" s="41"/>
    </row>
    <row r="46399" spans="20:20" s="566" customFormat="1">
      <c r="T46399" s="41"/>
    </row>
    <row r="46400" spans="20:20" s="566" customFormat="1">
      <c r="T46400" s="41"/>
    </row>
    <row r="46401" spans="20:20" s="566" customFormat="1">
      <c r="T46401" s="41"/>
    </row>
    <row r="46402" spans="20:20" s="566" customFormat="1">
      <c r="T46402" s="41"/>
    </row>
    <row r="46403" spans="20:20" s="566" customFormat="1">
      <c r="T46403" s="41"/>
    </row>
    <row r="46404" spans="20:20" s="566" customFormat="1">
      <c r="T46404" s="41"/>
    </row>
    <row r="46405" spans="20:20" s="566" customFormat="1">
      <c r="T46405" s="41"/>
    </row>
    <row r="46406" spans="20:20" s="566" customFormat="1">
      <c r="T46406" s="41"/>
    </row>
    <row r="46407" spans="20:20" s="566" customFormat="1">
      <c r="T46407" s="41"/>
    </row>
    <row r="46408" spans="20:20" s="566" customFormat="1">
      <c r="T46408" s="41"/>
    </row>
    <row r="46409" spans="20:20" s="566" customFormat="1">
      <c r="T46409" s="41"/>
    </row>
    <row r="46410" spans="20:20" s="566" customFormat="1">
      <c r="T46410" s="41"/>
    </row>
    <row r="46411" spans="20:20" s="566" customFormat="1">
      <c r="T46411" s="41"/>
    </row>
    <row r="46412" spans="20:20" s="566" customFormat="1">
      <c r="T46412" s="41"/>
    </row>
    <row r="46413" spans="20:20" s="566" customFormat="1">
      <c r="T46413" s="41"/>
    </row>
    <row r="46414" spans="20:20" s="566" customFormat="1">
      <c r="T46414" s="41"/>
    </row>
    <row r="46415" spans="20:20" s="566" customFormat="1">
      <c r="T46415" s="41"/>
    </row>
    <row r="46416" spans="20:20" s="566" customFormat="1">
      <c r="T46416" s="41"/>
    </row>
    <row r="46417" spans="20:20" s="566" customFormat="1">
      <c r="T46417" s="41"/>
    </row>
    <row r="46418" spans="20:20" s="566" customFormat="1">
      <c r="T46418" s="41"/>
    </row>
    <row r="46419" spans="20:20" s="566" customFormat="1">
      <c r="T46419" s="41"/>
    </row>
    <row r="46420" spans="20:20" s="566" customFormat="1">
      <c r="T46420" s="41"/>
    </row>
    <row r="46421" spans="20:20" s="566" customFormat="1">
      <c r="T46421" s="41"/>
    </row>
    <row r="46422" spans="20:20" s="566" customFormat="1">
      <c r="T46422" s="41"/>
    </row>
    <row r="46423" spans="20:20" s="566" customFormat="1">
      <c r="T46423" s="41"/>
    </row>
    <row r="46424" spans="20:20" s="566" customFormat="1">
      <c r="T46424" s="41"/>
    </row>
    <row r="46425" spans="20:20" s="566" customFormat="1">
      <c r="T46425" s="41"/>
    </row>
    <row r="46426" spans="20:20" s="566" customFormat="1">
      <c r="T46426" s="41"/>
    </row>
    <row r="46427" spans="20:20" s="566" customFormat="1">
      <c r="T46427" s="41"/>
    </row>
    <row r="46428" spans="20:20" s="566" customFormat="1">
      <c r="T46428" s="41"/>
    </row>
    <row r="46429" spans="20:20" s="566" customFormat="1">
      <c r="T46429" s="41"/>
    </row>
    <row r="46430" spans="20:20" s="566" customFormat="1">
      <c r="T46430" s="41"/>
    </row>
    <row r="46431" spans="20:20" s="566" customFormat="1">
      <c r="T46431" s="41"/>
    </row>
    <row r="46432" spans="20:20" s="566" customFormat="1">
      <c r="T46432" s="41"/>
    </row>
    <row r="46433" spans="20:20" s="566" customFormat="1">
      <c r="T46433" s="41"/>
    </row>
    <row r="46434" spans="20:20" s="566" customFormat="1">
      <c r="T46434" s="41"/>
    </row>
    <row r="46435" spans="20:20" s="566" customFormat="1">
      <c r="T46435" s="41"/>
    </row>
    <row r="46436" spans="20:20" s="566" customFormat="1">
      <c r="T46436" s="41"/>
    </row>
    <row r="46437" spans="20:20" s="566" customFormat="1">
      <c r="T46437" s="41"/>
    </row>
    <row r="46438" spans="20:20" s="566" customFormat="1">
      <c r="T46438" s="41"/>
    </row>
    <row r="46439" spans="20:20" s="566" customFormat="1">
      <c r="T46439" s="41"/>
    </row>
    <row r="46440" spans="20:20" s="566" customFormat="1">
      <c r="T46440" s="41"/>
    </row>
    <row r="46441" spans="20:20" s="566" customFormat="1">
      <c r="T46441" s="41"/>
    </row>
    <row r="46442" spans="20:20" s="566" customFormat="1">
      <c r="T46442" s="41"/>
    </row>
    <row r="46443" spans="20:20" s="566" customFormat="1">
      <c r="T46443" s="41"/>
    </row>
    <row r="46444" spans="20:20" s="566" customFormat="1">
      <c r="T46444" s="41"/>
    </row>
    <row r="46445" spans="20:20" s="566" customFormat="1">
      <c r="T46445" s="41"/>
    </row>
    <row r="46446" spans="20:20" s="566" customFormat="1">
      <c r="T46446" s="41"/>
    </row>
    <row r="46447" spans="20:20" s="566" customFormat="1">
      <c r="T46447" s="41"/>
    </row>
    <row r="46448" spans="20:20" s="566" customFormat="1">
      <c r="T46448" s="41"/>
    </row>
    <row r="46449" spans="20:20" s="566" customFormat="1">
      <c r="T46449" s="41"/>
    </row>
    <row r="46450" spans="20:20" s="566" customFormat="1">
      <c r="T46450" s="41"/>
    </row>
    <row r="46451" spans="20:20" s="566" customFormat="1">
      <c r="T46451" s="41"/>
    </row>
    <row r="46452" spans="20:20" s="566" customFormat="1">
      <c r="T46452" s="41"/>
    </row>
    <row r="46453" spans="20:20" s="566" customFormat="1">
      <c r="T46453" s="41"/>
    </row>
    <row r="46454" spans="20:20" s="566" customFormat="1">
      <c r="T46454" s="41"/>
    </row>
    <row r="46455" spans="20:20" s="566" customFormat="1">
      <c r="T46455" s="41"/>
    </row>
    <row r="46456" spans="20:20" s="566" customFormat="1">
      <c r="T46456" s="41"/>
    </row>
    <row r="46457" spans="20:20" s="566" customFormat="1">
      <c r="T46457" s="41"/>
    </row>
    <row r="46458" spans="20:20" s="566" customFormat="1">
      <c r="T46458" s="41"/>
    </row>
    <row r="46459" spans="20:20" s="566" customFormat="1">
      <c r="T46459" s="41"/>
    </row>
    <row r="46460" spans="20:20" s="566" customFormat="1">
      <c r="T46460" s="41"/>
    </row>
    <row r="46461" spans="20:20" s="566" customFormat="1">
      <c r="T46461" s="41"/>
    </row>
    <row r="46462" spans="20:20" s="566" customFormat="1">
      <c r="T46462" s="41"/>
    </row>
    <row r="46463" spans="20:20" s="566" customFormat="1">
      <c r="T46463" s="41"/>
    </row>
    <row r="46464" spans="20:20" s="566" customFormat="1">
      <c r="T46464" s="41"/>
    </row>
    <row r="46465" spans="20:20" s="566" customFormat="1">
      <c r="T46465" s="41"/>
    </row>
    <row r="46466" spans="20:20" s="566" customFormat="1">
      <c r="T46466" s="41"/>
    </row>
    <row r="46467" spans="20:20" s="566" customFormat="1">
      <c r="T46467" s="41"/>
    </row>
    <row r="46468" spans="20:20" s="566" customFormat="1">
      <c r="T46468" s="41"/>
    </row>
    <row r="46469" spans="20:20" s="566" customFormat="1">
      <c r="T46469" s="41"/>
    </row>
    <row r="46470" spans="20:20" s="566" customFormat="1">
      <c r="T46470" s="41"/>
    </row>
    <row r="46471" spans="20:20" s="566" customFormat="1">
      <c r="T46471" s="41"/>
    </row>
    <row r="46472" spans="20:20" s="566" customFormat="1">
      <c r="T46472" s="41"/>
    </row>
    <row r="46473" spans="20:20" s="566" customFormat="1">
      <c r="T46473" s="41"/>
    </row>
    <row r="46474" spans="20:20" s="566" customFormat="1">
      <c r="T46474" s="41"/>
    </row>
    <row r="46475" spans="20:20" s="566" customFormat="1">
      <c r="T46475" s="41"/>
    </row>
    <row r="46476" spans="20:20" s="566" customFormat="1">
      <c r="T46476" s="41"/>
    </row>
    <row r="46477" spans="20:20" s="566" customFormat="1">
      <c r="T46477" s="41"/>
    </row>
    <row r="46478" spans="20:20" s="566" customFormat="1">
      <c r="T46478" s="41"/>
    </row>
    <row r="46479" spans="20:20" s="566" customFormat="1">
      <c r="T46479" s="41"/>
    </row>
    <row r="46480" spans="20:20" s="566" customFormat="1">
      <c r="T46480" s="41"/>
    </row>
    <row r="46481" spans="20:20" s="566" customFormat="1">
      <c r="T46481" s="41"/>
    </row>
    <row r="46482" spans="20:20" s="566" customFormat="1">
      <c r="T46482" s="41"/>
    </row>
    <row r="46483" spans="20:20" s="566" customFormat="1">
      <c r="T46483" s="41"/>
    </row>
    <row r="46484" spans="20:20" s="566" customFormat="1">
      <c r="T46484" s="41"/>
    </row>
    <row r="46485" spans="20:20" s="566" customFormat="1">
      <c r="T46485" s="41"/>
    </row>
    <row r="46486" spans="20:20" s="566" customFormat="1">
      <c r="T46486" s="41"/>
    </row>
    <row r="46487" spans="20:20" s="566" customFormat="1">
      <c r="T46487" s="41"/>
    </row>
    <row r="46488" spans="20:20" s="566" customFormat="1">
      <c r="T46488" s="41"/>
    </row>
    <row r="46489" spans="20:20" s="566" customFormat="1">
      <c r="T46489" s="41"/>
    </row>
    <row r="46490" spans="20:20" s="566" customFormat="1">
      <c r="T46490" s="41"/>
    </row>
    <row r="46491" spans="20:20" s="566" customFormat="1">
      <c r="T46491" s="41"/>
    </row>
    <row r="46492" spans="20:20" s="566" customFormat="1">
      <c r="T46492" s="41"/>
    </row>
    <row r="46493" spans="20:20" s="566" customFormat="1">
      <c r="T46493" s="41"/>
    </row>
    <row r="46494" spans="20:20" s="566" customFormat="1">
      <c r="T46494" s="41"/>
    </row>
    <row r="46495" spans="20:20" s="566" customFormat="1">
      <c r="T46495" s="41"/>
    </row>
    <row r="46496" spans="20:20" s="566" customFormat="1">
      <c r="T46496" s="41"/>
    </row>
    <row r="46497" spans="20:20" s="566" customFormat="1">
      <c r="T46497" s="41"/>
    </row>
    <row r="46498" spans="20:20" s="566" customFormat="1">
      <c r="T46498" s="41"/>
    </row>
    <row r="46499" spans="20:20" s="566" customFormat="1">
      <c r="T46499" s="41"/>
    </row>
    <row r="46500" spans="20:20" s="566" customFormat="1">
      <c r="T46500" s="41"/>
    </row>
    <row r="46501" spans="20:20" s="566" customFormat="1">
      <c r="T46501" s="41"/>
    </row>
    <row r="46502" spans="20:20" s="566" customFormat="1">
      <c r="T46502" s="41"/>
    </row>
    <row r="46503" spans="20:20" s="566" customFormat="1">
      <c r="T46503" s="41"/>
    </row>
    <row r="46504" spans="20:20" s="566" customFormat="1">
      <c r="T46504" s="41"/>
    </row>
    <row r="46505" spans="20:20" s="566" customFormat="1">
      <c r="T46505" s="41"/>
    </row>
    <row r="46506" spans="20:20" s="566" customFormat="1">
      <c r="T46506" s="41"/>
    </row>
    <row r="46507" spans="20:20" s="566" customFormat="1">
      <c r="T46507" s="41"/>
    </row>
    <row r="46508" spans="20:20" s="566" customFormat="1">
      <c r="T46508" s="41"/>
    </row>
    <row r="46509" spans="20:20" s="566" customFormat="1">
      <c r="T46509" s="41"/>
    </row>
    <row r="46510" spans="20:20" s="566" customFormat="1">
      <c r="T46510" s="41"/>
    </row>
    <row r="46511" spans="20:20" s="566" customFormat="1">
      <c r="T46511" s="41"/>
    </row>
    <row r="46512" spans="20:20" s="566" customFormat="1">
      <c r="T46512" s="41"/>
    </row>
    <row r="46513" spans="20:20" s="566" customFormat="1">
      <c r="T46513" s="41"/>
    </row>
    <row r="46514" spans="20:20" s="566" customFormat="1">
      <c r="T46514" s="41"/>
    </row>
    <row r="46515" spans="20:20" s="566" customFormat="1">
      <c r="T46515" s="41"/>
    </row>
    <row r="46516" spans="20:20" s="566" customFormat="1">
      <c r="T46516" s="41"/>
    </row>
    <row r="46517" spans="20:20" s="566" customFormat="1">
      <c r="T46517" s="41"/>
    </row>
    <row r="46518" spans="20:20" s="566" customFormat="1">
      <c r="T46518" s="41"/>
    </row>
    <row r="46519" spans="20:20" s="566" customFormat="1">
      <c r="T46519" s="41"/>
    </row>
    <row r="46520" spans="20:20" s="566" customFormat="1">
      <c r="T46520" s="41"/>
    </row>
    <row r="46521" spans="20:20" s="566" customFormat="1">
      <c r="T46521" s="41"/>
    </row>
    <row r="46522" spans="20:20" s="566" customFormat="1">
      <c r="T46522" s="41"/>
    </row>
    <row r="46523" spans="20:20" s="566" customFormat="1">
      <c r="T46523" s="41"/>
    </row>
    <row r="46524" spans="20:20" s="566" customFormat="1">
      <c r="T46524" s="41"/>
    </row>
    <row r="46525" spans="20:20" s="566" customFormat="1">
      <c r="T46525" s="41"/>
    </row>
    <row r="46526" spans="20:20" s="566" customFormat="1">
      <c r="T46526" s="41"/>
    </row>
    <row r="46527" spans="20:20" s="566" customFormat="1">
      <c r="T46527" s="41"/>
    </row>
    <row r="46528" spans="20:20" s="566" customFormat="1">
      <c r="T46528" s="41"/>
    </row>
    <row r="46529" spans="20:20" s="566" customFormat="1">
      <c r="T46529" s="41"/>
    </row>
    <row r="46530" spans="20:20" s="566" customFormat="1">
      <c r="T46530" s="41"/>
    </row>
    <row r="46531" spans="20:20" s="566" customFormat="1">
      <c r="T46531" s="41"/>
    </row>
    <row r="46532" spans="20:20" s="566" customFormat="1">
      <c r="T46532" s="41"/>
    </row>
    <row r="46533" spans="20:20" s="566" customFormat="1">
      <c r="T46533" s="41"/>
    </row>
    <row r="46534" spans="20:20" s="566" customFormat="1">
      <c r="T46534" s="41"/>
    </row>
    <row r="46535" spans="20:20" s="566" customFormat="1">
      <c r="T46535" s="41"/>
    </row>
    <row r="46536" spans="20:20" s="566" customFormat="1">
      <c r="T46536" s="41"/>
    </row>
    <row r="46537" spans="20:20" s="566" customFormat="1">
      <c r="T46537" s="41"/>
    </row>
    <row r="46538" spans="20:20" s="566" customFormat="1">
      <c r="T46538" s="41"/>
    </row>
    <row r="46539" spans="20:20" s="566" customFormat="1">
      <c r="T46539" s="41"/>
    </row>
    <row r="46540" spans="20:20" s="566" customFormat="1">
      <c r="T46540" s="41"/>
    </row>
    <row r="46541" spans="20:20" s="566" customFormat="1">
      <c r="T46541" s="41"/>
    </row>
    <row r="46542" spans="20:20" s="566" customFormat="1">
      <c r="T46542" s="41"/>
    </row>
    <row r="46543" spans="20:20" s="566" customFormat="1">
      <c r="T46543" s="41"/>
    </row>
    <row r="46544" spans="20:20" s="566" customFormat="1">
      <c r="T46544" s="41"/>
    </row>
    <row r="46545" spans="20:20" s="566" customFormat="1">
      <c r="T46545" s="41"/>
    </row>
    <row r="46546" spans="20:20" s="566" customFormat="1">
      <c r="T46546" s="41"/>
    </row>
    <row r="46547" spans="20:20" s="566" customFormat="1">
      <c r="T46547" s="41"/>
    </row>
    <row r="46548" spans="20:20" s="566" customFormat="1">
      <c r="T46548" s="41"/>
    </row>
    <row r="46549" spans="20:20" s="566" customFormat="1">
      <c r="T46549" s="41"/>
    </row>
    <row r="46550" spans="20:20" s="566" customFormat="1">
      <c r="T46550" s="41"/>
    </row>
    <row r="46551" spans="20:20" s="566" customFormat="1">
      <c r="T46551" s="41"/>
    </row>
    <row r="46552" spans="20:20" s="566" customFormat="1">
      <c r="T46552" s="41"/>
    </row>
    <row r="46553" spans="20:20" s="566" customFormat="1">
      <c r="T46553" s="41"/>
    </row>
    <row r="46554" spans="20:20" s="566" customFormat="1">
      <c r="T46554" s="41"/>
    </row>
    <row r="46555" spans="20:20" s="566" customFormat="1">
      <c r="T46555" s="41"/>
    </row>
    <row r="46556" spans="20:20" s="566" customFormat="1">
      <c r="T46556" s="41"/>
    </row>
    <row r="46557" spans="20:20" s="566" customFormat="1">
      <c r="T46557" s="41"/>
    </row>
    <row r="46558" spans="20:20" s="566" customFormat="1">
      <c r="T46558" s="41"/>
    </row>
    <row r="46559" spans="20:20" s="566" customFormat="1">
      <c r="T46559" s="41"/>
    </row>
    <row r="46560" spans="20:20" s="566" customFormat="1">
      <c r="T46560" s="41"/>
    </row>
    <row r="46561" spans="20:20" s="566" customFormat="1">
      <c r="T46561" s="41"/>
    </row>
    <row r="46562" spans="20:20" s="566" customFormat="1">
      <c r="T46562" s="41"/>
    </row>
    <row r="46563" spans="20:20" s="566" customFormat="1">
      <c r="T46563" s="41"/>
    </row>
    <row r="46564" spans="20:20" s="566" customFormat="1">
      <c r="T46564" s="41"/>
    </row>
    <row r="46565" spans="20:20" s="566" customFormat="1">
      <c r="T46565" s="41"/>
    </row>
    <row r="46566" spans="20:20" s="566" customFormat="1">
      <c r="T46566" s="41"/>
    </row>
    <row r="46567" spans="20:20" s="566" customFormat="1">
      <c r="T46567" s="41"/>
    </row>
    <row r="46568" spans="20:20" s="566" customFormat="1">
      <c r="T46568" s="41"/>
    </row>
    <row r="46569" spans="20:20" s="566" customFormat="1">
      <c r="T46569" s="41"/>
    </row>
    <row r="46570" spans="20:20" s="566" customFormat="1">
      <c r="T46570" s="41"/>
    </row>
    <row r="46571" spans="20:20" s="566" customFormat="1">
      <c r="T46571" s="41"/>
    </row>
    <row r="46572" spans="20:20" s="566" customFormat="1">
      <c r="T46572" s="41"/>
    </row>
    <row r="46573" spans="20:20" s="566" customFormat="1">
      <c r="T46573" s="41"/>
    </row>
    <row r="46574" spans="20:20" s="566" customFormat="1">
      <c r="T46574" s="41"/>
    </row>
    <row r="46575" spans="20:20" s="566" customFormat="1">
      <c r="T46575" s="41"/>
    </row>
    <row r="46576" spans="20:20" s="566" customFormat="1">
      <c r="T46576" s="41"/>
    </row>
    <row r="46577" spans="20:20" s="566" customFormat="1">
      <c r="T46577" s="41"/>
    </row>
    <row r="46578" spans="20:20" s="566" customFormat="1">
      <c r="T46578" s="41"/>
    </row>
    <row r="46579" spans="20:20" s="566" customFormat="1">
      <c r="T46579" s="41"/>
    </row>
    <row r="46580" spans="20:20" s="566" customFormat="1">
      <c r="T46580" s="41"/>
    </row>
    <row r="46581" spans="20:20" s="566" customFormat="1">
      <c r="T46581" s="41"/>
    </row>
    <row r="46582" spans="20:20" s="566" customFormat="1">
      <c r="T46582" s="41"/>
    </row>
    <row r="46583" spans="20:20" s="566" customFormat="1">
      <c r="T46583" s="41"/>
    </row>
    <row r="46584" spans="20:20" s="566" customFormat="1">
      <c r="T46584" s="41"/>
    </row>
    <row r="46585" spans="20:20" s="566" customFormat="1">
      <c r="T46585" s="41"/>
    </row>
    <row r="46586" spans="20:20" s="566" customFormat="1">
      <c r="T46586" s="41"/>
    </row>
    <row r="46587" spans="20:20" s="566" customFormat="1">
      <c r="T46587" s="41"/>
    </row>
    <row r="46588" spans="20:20" s="566" customFormat="1">
      <c r="T46588" s="41"/>
    </row>
    <row r="46589" spans="20:20" s="566" customFormat="1">
      <c r="T46589" s="41"/>
    </row>
    <row r="46590" spans="20:20" s="566" customFormat="1">
      <c r="T46590" s="41"/>
    </row>
    <row r="46591" spans="20:20" s="566" customFormat="1">
      <c r="T46591" s="41"/>
    </row>
    <row r="46592" spans="20:20" s="566" customFormat="1">
      <c r="T46592" s="41"/>
    </row>
    <row r="46593" spans="20:20" s="566" customFormat="1">
      <c r="T46593" s="41"/>
    </row>
    <row r="46594" spans="20:20" s="566" customFormat="1">
      <c r="T46594" s="41"/>
    </row>
    <row r="46595" spans="20:20" s="566" customFormat="1">
      <c r="T46595" s="41"/>
    </row>
    <row r="46596" spans="20:20" s="566" customFormat="1">
      <c r="T46596" s="41"/>
    </row>
    <row r="46597" spans="20:20" s="566" customFormat="1">
      <c r="T46597" s="41"/>
    </row>
    <row r="46598" spans="20:20" s="566" customFormat="1">
      <c r="T46598" s="41"/>
    </row>
    <row r="46599" spans="20:20" s="566" customFormat="1">
      <c r="T46599" s="41"/>
    </row>
    <row r="46600" spans="20:20" s="566" customFormat="1">
      <c r="T46600" s="41"/>
    </row>
    <row r="46601" spans="20:20" s="566" customFormat="1">
      <c r="T46601" s="41"/>
    </row>
    <row r="46602" spans="20:20" s="566" customFormat="1">
      <c r="T46602" s="41"/>
    </row>
    <row r="46603" spans="20:20" s="566" customFormat="1">
      <c r="T46603" s="41"/>
    </row>
    <row r="46604" spans="20:20" s="566" customFormat="1">
      <c r="T46604" s="41"/>
    </row>
    <row r="46605" spans="20:20" s="566" customFormat="1">
      <c r="T46605" s="41"/>
    </row>
    <row r="46606" spans="20:20" s="566" customFormat="1">
      <c r="T46606" s="41"/>
    </row>
    <row r="46607" spans="20:20" s="566" customFormat="1">
      <c r="T46607" s="41"/>
    </row>
    <row r="46608" spans="20:20" s="566" customFormat="1">
      <c r="T46608" s="41"/>
    </row>
    <row r="46609" spans="20:20" s="566" customFormat="1">
      <c r="T46609" s="41"/>
    </row>
    <row r="46610" spans="20:20" s="566" customFormat="1">
      <c r="T46610" s="41"/>
    </row>
    <row r="46611" spans="20:20" s="566" customFormat="1">
      <c r="T46611" s="41"/>
    </row>
    <row r="46612" spans="20:20" s="566" customFormat="1">
      <c r="T46612" s="41"/>
    </row>
    <row r="46613" spans="20:20" s="566" customFormat="1">
      <c r="T46613" s="41"/>
    </row>
    <row r="46614" spans="20:20" s="566" customFormat="1">
      <c r="T46614" s="41"/>
    </row>
    <row r="46615" spans="20:20" s="566" customFormat="1">
      <c r="T46615" s="41"/>
    </row>
    <row r="46616" spans="20:20" s="566" customFormat="1">
      <c r="T46616" s="41"/>
    </row>
    <row r="46617" spans="20:20" s="566" customFormat="1">
      <c r="T46617" s="41"/>
    </row>
    <row r="46618" spans="20:20" s="566" customFormat="1">
      <c r="T46618" s="41"/>
    </row>
    <row r="46619" spans="20:20" s="566" customFormat="1">
      <c r="T46619" s="41"/>
    </row>
    <row r="46620" spans="20:20" s="566" customFormat="1">
      <c r="T46620" s="41"/>
    </row>
    <row r="46621" spans="20:20" s="566" customFormat="1">
      <c r="T46621" s="41"/>
    </row>
    <row r="46622" spans="20:20" s="566" customFormat="1">
      <c r="T46622" s="41"/>
    </row>
    <row r="46623" spans="20:20" s="566" customFormat="1">
      <c r="T46623" s="41"/>
    </row>
    <row r="46624" spans="20:20" s="566" customFormat="1">
      <c r="T46624" s="41"/>
    </row>
    <row r="46625" spans="20:20" s="566" customFormat="1">
      <c r="T46625" s="41"/>
    </row>
    <row r="46626" spans="20:20" s="566" customFormat="1">
      <c r="T46626" s="41"/>
    </row>
    <row r="46627" spans="20:20" s="566" customFormat="1">
      <c r="T46627" s="41"/>
    </row>
    <row r="46628" spans="20:20" s="566" customFormat="1">
      <c r="T46628" s="41"/>
    </row>
    <row r="46629" spans="20:20" s="566" customFormat="1">
      <c r="T46629" s="41"/>
    </row>
    <row r="46630" spans="20:20" s="566" customFormat="1">
      <c r="T46630" s="41"/>
    </row>
    <row r="46631" spans="20:20" s="566" customFormat="1">
      <c r="T46631" s="41"/>
    </row>
    <row r="46632" spans="20:20" s="566" customFormat="1">
      <c r="T46632" s="41"/>
    </row>
    <row r="46633" spans="20:20" s="566" customFormat="1">
      <c r="T46633" s="41"/>
    </row>
    <row r="46634" spans="20:20" s="566" customFormat="1">
      <c r="T46634" s="41"/>
    </row>
    <row r="46635" spans="20:20" s="566" customFormat="1">
      <c r="T46635" s="41"/>
    </row>
    <row r="46636" spans="20:20" s="566" customFormat="1">
      <c r="T46636" s="41"/>
    </row>
    <row r="46637" spans="20:20" s="566" customFormat="1">
      <c r="T46637" s="41"/>
    </row>
    <row r="46638" spans="20:20" s="566" customFormat="1">
      <c r="T46638" s="41"/>
    </row>
    <row r="46639" spans="20:20" s="566" customFormat="1">
      <c r="T46639" s="41"/>
    </row>
    <row r="46640" spans="20:20" s="566" customFormat="1">
      <c r="T46640" s="41"/>
    </row>
    <row r="46641" spans="20:20" s="566" customFormat="1">
      <c r="T46641" s="41"/>
    </row>
    <row r="46642" spans="20:20" s="566" customFormat="1">
      <c r="T46642" s="41"/>
    </row>
    <row r="46643" spans="20:20" s="566" customFormat="1">
      <c r="T46643" s="41"/>
    </row>
    <row r="46644" spans="20:20" s="566" customFormat="1">
      <c r="T46644" s="41"/>
    </row>
    <row r="46645" spans="20:20" s="566" customFormat="1">
      <c r="T46645" s="41"/>
    </row>
    <row r="46646" spans="20:20" s="566" customFormat="1">
      <c r="T46646" s="41"/>
    </row>
    <row r="46647" spans="20:20" s="566" customFormat="1">
      <c r="T46647" s="41"/>
    </row>
    <row r="46648" spans="20:20" s="566" customFormat="1">
      <c r="T46648" s="41"/>
    </row>
    <row r="46649" spans="20:20" s="566" customFormat="1">
      <c r="T46649" s="41"/>
    </row>
    <row r="46650" spans="20:20" s="566" customFormat="1">
      <c r="T46650" s="41"/>
    </row>
    <row r="46651" spans="20:20" s="566" customFormat="1">
      <c r="T46651" s="41"/>
    </row>
    <row r="46652" spans="20:20" s="566" customFormat="1">
      <c r="T46652" s="41"/>
    </row>
    <row r="46653" spans="20:20" s="566" customFormat="1">
      <c r="T46653" s="41"/>
    </row>
    <row r="46654" spans="20:20" s="566" customFormat="1">
      <c r="T46654" s="41"/>
    </row>
    <row r="46655" spans="20:20" s="566" customFormat="1">
      <c r="T46655" s="41"/>
    </row>
    <row r="46656" spans="20:20" s="566" customFormat="1">
      <c r="T46656" s="41"/>
    </row>
    <row r="46657" spans="20:20" s="566" customFormat="1">
      <c r="T46657" s="41"/>
    </row>
    <row r="46658" spans="20:20" s="566" customFormat="1">
      <c r="T46658" s="41"/>
    </row>
    <row r="46659" spans="20:20" s="566" customFormat="1">
      <c r="T46659" s="41"/>
    </row>
    <row r="46660" spans="20:20" s="566" customFormat="1">
      <c r="T46660" s="41"/>
    </row>
    <row r="46661" spans="20:20" s="566" customFormat="1">
      <c r="T46661" s="41"/>
    </row>
    <row r="46662" spans="20:20" s="566" customFormat="1">
      <c r="T46662" s="41"/>
    </row>
    <row r="46663" spans="20:20" s="566" customFormat="1">
      <c r="T46663" s="41"/>
    </row>
    <row r="46664" spans="20:20" s="566" customFormat="1">
      <c r="T46664" s="41"/>
    </row>
    <row r="46665" spans="20:20" s="566" customFormat="1">
      <c r="T46665" s="41"/>
    </row>
    <row r="46666" spans="20:20" s="566" customFormat="1">
      <c r="T46666" s="41"/>
    </row>
    <row r="46667" spans="20:20" s="566" customFormat="1">
      <c r="T46667" s="41"/>
    </row>
    <row r="46668" spans="20:20" s="566" customFormat="1">
      <c r="T46668" s="41"/>
    </row>
    <row r="46669" spans="20:20" s="566" customFormat="1">
      <c r="T46669" s="41"/>
    </row>
    <row r="46670" spans="20:20" s="566" customFormat="1">
      <c r="T46670" s="41"/>
    </row>
    <row r="46671" spans="20:20" s="566" customFormat="1">
      <c r="T46671" s="41"/>
    </row>
    <row r="46672" spans="20:20" s="566" customFormat="1">
      <c r="T46672" s="41"/>
    </row>
    <row r="46673" spans="20:20" s="566" customFormat="1">
      <c r="T46673" s="41"/>
    </row>
    <row r="46674" spans="20:20" s="566" customFormat="1">
      <c r="T46674" s="41"/>
    </row>
    <row r="46675" spans="20:20" s="566" customFormat="1">
      <c r="T46675" s="41"/>
    </row>
    <row r="46676" spans="20:20" s="566" customFormat="1">
      <c r="T46676" s="41"/>
    </row>
    <row r="46677" spans="20:20" s="566" customFormat="1">
      <c r="T46677" s="41"/>
    </row>
    <row r="46678" spans="20:20" s="566" customFormat="1">
      <c r="T46678" s="41"/>
    </row>
    <row r="46679" spans="20:20" s="566" customFormat="1">
      <c r="T46679" s="41"/>
    </row>
    <row r="46680" spans="20:20" s="566" customFormat="1">
      <c r="T46680" s="41"/>
    </row>
    <row r="46681" spans="20:20" s="566" customFormat="1">
      <c r="T46681" s="41"/>
    </row>
    <row r="46682" spans="20:20" s="566" customFormat="1">
      <c r="T46682" s="41"/>
    </row>
    <row r="46683" spans="20:20" s="566" customFormat="1">
      <c r="T46683" s="41"/>
    </row>
    <row r="46684" spans="20:20" s="566" customFormat="1">
      <c r="T46684" s="41"/>
    </row>
    <row r="46685" spans="20:20" s="566" customFormat="1">
      <c r="T46685" s="41"/>
    </row>
    <row r="46686" spans="20:20" s="566" customFormat="1">
      <c r="T46686" s="41"/>
    </row>
    <row r="46687" spans="20:20" s="566" customFormat="1">
      <c r="T46687" s="41"/>
    </row>
    <row r="46688" spans="20:20" s="566" customFormat="1">
      <c r="T46688" s="41"/>
    </row>
    <row r="46689" spans="20:20" s="566" customFormat="1">
      <c r="T46689" s="41"/>
    </row>
    <row r="46690" spans="20:20" s="566" customFormat="1">
      <c r="T46690" s="41"/>
    </row>
    <row r="46691" spans="20:20" s="566" customFormat="1">
      <c r="T46691" s="41"/>
    </row>
    <row r="46692" spans="20:20" s="566" customFormat="1">
      <c r="T46692" s="41"/>
    </row>
    <row r="46693" spans="20:20" s="566" customFormat="1">
      <c r="T46693" s="41"/>
    </row>
    <row r="46694" spans="20:20" s="566" customFormat="1">
      <c r="T46694" s="41"/>
    </row>
    <row r="46695" spans="20:20" s="566" customFormat="1">
      <c r="T46695" s="41"/>
    </row>
    <row r="46696" spans="20:20" s="566" customFormat="1">
      <c r="T46696" s="41"/>
    </row>
    <row r="46697" spans="20:20" s="566" customFormat="1">
      <c r="T46697" s="41"/>
    </row>
    <row r="46698" spans="20:20" s="566" customFormat="1">
      <c r="T46698" s="41"/>
    </row>
    <row r="46699" spans="20:20" s="566" customFormat="1">
      <c r="T46699" s="41"/>
    </row>
    <row r="46700" spans="20:20" s="566" customFormat="1">
      <c r="T46700" s="41"/>
    </row>
    <row r="46701" spans="20:20" s="566" customFormat="1">
      <c r="T46701" s="41"/>
    </row>
    <row r="46702" spans="20:20" s="566" customFormat="1">
      <c r="T46702" s="41"/>
    </row>
    <row r="46703" spans="20:20" s="566" customFormat="1">
      <c r="T46703" s="41"/>
    </row>
    <row r="46704" spans="20:20" s="566" customFormat="1">
      <c r="T46704" s="41"/>
    </row>
    <row r="46705" spans="20:20" s="566" customFormat="1">
      <c r="T46705" s="41"/>
    </row>
    <row r="46706" spans="20:20" s="566" customFormat="1">
      <c r="T46706" s="41"/>
    </row>
    <row r="46707" spans="20:20" s="566" customFormat="1">
      <c r="T46707" s="41"/>
    </row>
    <row r="46708" spans="20:20" s="566" customFormat="1">
      <c r="T46708" s="41"/>
    </row>
    <row r="46709" spans="20:20" s="566" customFormat="1">
      <c r="T46709" s="41"/>
    </row>
    <row r="46710" spans="20:20" s="566" customFormat="1">
      <c r="T46710" s="41"/>
    </row>
    <row r="46711" spans="20:20" s="566" customFormat="1">
      <c r="T46711" s="41"/>
    </row>
    <row r="46712" spans="20:20" s="566" customFormat="1">
      <c r="T46712" s="41"/>
    </row>
    <row r="46713" spans="20:20" s="566" customFormat="1">
      <c r="T46713" s="41"/>
    </row>
    <row r="46714" spans="20:20" s="566" customFormat="1">
      <c r="T46714" s="41"/>
    </row>
    <row r="46715" spans="20:20" s="566" customFormat="1">
      <c r="T46715" s="41"/>
    </row>
    <row r="46716" spans="20:20" s="566" customFormat="1">
      <c r="T46716" s="41"/>
    </row>
    <row r="46717" spans="20:20" s="566" customFormat="1">
      <c r="T46717" s="41"/>
    </row>
    <row r="46718" spans="20:20" s="566" customFormat="1">
      <c r="T46718" s="41"/>
    </row>
    <row r="46719" spans="20:20" s="566" customFormat="1">
      <c r="T46719" s="41"/>
    </row>
    <row r="46720" spans="20:20" s="566" customFormat="1">
      <c r="T46720" s="41"/>
    </row>
    <row r="46721" spans="20:20" s="566" customFormat="1">
      <c r="T46721" s="41"/>
    </row>
    <row r="46722" spans="20:20" s="566" customFormat="1">
      <c r="T46722" s="41"/>
    </row>
    <row r="46723" spans="20:20" s="566" customFormat="1">
      <c r="T46723" s="41"/>
    </row>
    <row r="46724" spans="20:20" s="566" customFormat="1">
      <c r="T46724" s="41"/>
    </row>
    <row r="46725" spans="20:20" s="566" customFormat="1">
      <c r="T46725" s="41"/>
    </row>
    <row r="46726" spans="20:20" s="566" customFormat="1">
      <c r="T46726" s="41"/>
    </row>
    <row r="46727" spans="20:20" s="566" customFormat="1">
      <c r="T46727" s="41"/>
    </row>
    <row r="46728" spans="20:20" s="566" customFormat="1">
      <c r="T46728" s="41"/>
    </row>
    <row r="46729" spans="20:20" s="566" customFormat="1">
      <c r="T46729" s="41"/>
    </row>
    <row r="46730" spans="20:20" s="566" customFormat="1">
      <c r="T46730" s="41"/>
    </row>
    <row r="46731" spans="20:20" s="566" customFormat="1">
      <c r="T46731" s="41"/>
    </row>
    <row r="46732" spans="20:20" s="566" customFormat="1">
      <c r="T46732" s="41"/>
    </row>
    <row r="46733" spans="20:20" s="566" customFormat="1">
      <c r="T46733" s="41"/>
    </row>
    <row r="46734" spans="20:20" s="566" customFormat="1">
      <c r="T46734" s="41"/>
    </row>
    <row r="46735" spans="20:20" s="566" customFormat="1">
      <c r="T46735" s="41"/>
    </row>
    <row r="46736" spans="20:20" s="566" customFormat="1">
      <c r="T46736" s="41"/>
    </row>
    <row r="46737" spans="20:20" s="566" customFormat="1">
      <c r="T46737" s="41"/>
    </row>
    <row r="46738" spans="20:20" s="566" customFormat="1">
      <c r="T46738" s="41"/>
    </row>
    <row r="46739" spans="20:20" s="566" customFormat="1">
      <c r="T46739" s="41"/>
    </row>
    <row r="46740" spans="20:20" s="566" customFormat="1">
      <c r="T46740" s="41"/>
    </row>
    <row r="46741" spans="20:20" s="566" customFormat="1">
      <c r="T46741" s="41"/>
    </row>
    <row r="46742" spans="20:20" s="566" customFormat="1">
      <c r="T46742" s="41"/>
    </row>
    <row r="46743" spans="20:20" s="566" customFormat="1">
      <c r="T46743" s="41"/>
    </row>
    <row r="46744" spans="20:20" s="566" customFormat="1">
      <c r="T46744" s="41"/>
    </row>
    <row r="46745" spans="20:20" s="566" customFormat="1">
      <c r="T46745" s="41"/>
    </row>
    <row r="46746" spans="20:20" s="566" customFormat="1">
      <c r="T46746" s="41"/>
    </row>
    <row r="46747" spans="20:20" s="566" customFormat="1">
      <c r="T46747" s="41"/>
    </row>
    <row r="46748" spans="20:20" s="566" customFormat="1">
      <c r="T46748" s="41"/>
    </row>
    <row r="46749" spans="20:20" s="566" customFormat="1">
      <c r="T46749" s="41"/>
    </row>
    <row r="46750" spans="20:20" s="566" customFormat="1">
      <c r="T46750" s="41"/>
    </row>
    <row r="46751" spans="20:20" s="566" customFormat="1">
      <c r="T46751" s="41"/>
    </row>
    <row r="46752" spans="20:20" s="566" customFormat="1">
      <c r="T46752" s="41"/>
    </row>
    <row r="46753" spans="20:20" s="566" customFormat="1">
      <c r="T46753" s="41"/>
    </row>
    <row r="46754" spans="20:20" s="566" customFormat="1">
      <c r="T46754" s="41"/>
    </row>
    <row r="46755" spans="20:20" s="566" customFormat="1">
      <c r="T46755" s="41"/>
    </row>
    <row r="46756" spans="20:20" s="566" customFormat="1">
      <c r="T46756" s="41"/>
    </row>
    <row r="46757" spans="20:20" s="566" customFormat="1">
      <c r="T46757" s="41"/>
    </row>
    <row r="46758" spans="20:20" s="566" customFormat="1">
      <c r="T46758" s="41"/>
    </row>
    <row r="46759" spans="20:20" s="566" customFormat="1">
      <c r="T46759" s="41"/>
    </row>
    <row r="46760" spans="20:20" s="566" customFormat="1">
      <c r="T46760" s="41"/>
    </row>
    <row r="46761" spans="20:20" s="566" customFormat="1">
      <c r="T46761" s="41"/>
    </row>
    <row r="46762" spans="20:20" s="566" customFormat="1">
      <c r="T46762" s="41"/>
    </row>
    <row r="46763" spans="20:20" s="566" customFormat="1">
      <c r="T46763" s="41"/>
    </row>
    <row r="46764" spans="20:20" s="566" customFormat="1">
      <c r="T46764" s="41"/>
    </row>
    <row r="46765" spans="20:20" s="566" customFormat="1">
      <c r="T46765" s="41"/>
    </row>
    <row r="46766" spans="20:20" s="566" customFormat="1">
      <c r="T46766" s="41"/>
    </row>
    <row r="46767" spans="20:20" s="566" customFormat="1">
      <c r="T46767" s="41"/>
    </row>
    <row r="46768" spans="20:20" s="566" customFormat="1">
      <c r="T46768" s="41"/>
    </row>
    <row r="46769" spans="20:20" s="566" customFormat="1">
      <c r="T46769" s="41"/>
    </row>
    <row r="46770" spans="20:20" s="566" customFormat="1">
      <c r="T46770" s="41"/>
    </row>
    <row r="46771" spans="20:20" s="566" customFormat="1">
      <c r="T46771" s="41"/>
    </row>
    <row r="46772" spans="20:20" s="566" customFormat="1">
      <c r="T46772" s="41"/>
    </row>
    <row r="46773" spans="20:20" s="566" customFormat="1">
      <c r="T46773" s="41"/>
    </row>
    <row r="46774" spans="20:20" s="566" customFormat="1">
      <c r="T46774" s="41"/>
    </row>
    <row r="46775" spans="20:20" s="566" customFormat="1">
      <c r="T46775" s="41"/>
    </row>
    <row r="46776" spans="20:20" s="566" customFormat="1">
      <c r="T46776" s="41"/>
    </row>
    <row r="46777" spans="20:20" s="566" customFormat="1">
      <c r="T46777" s="41"/>
    </row>
    <row r="46778" spans="20:20" s="566" customFormat="1">
      <c r="T46778" s="41"/>
    </row>
    <row r="46779" spans="20:20" s="566" customFormat="1">
      <c r="T46779" s="41"/>
    </row>
    <row r="46780" spans="20:20" s="566" customFormat="1">
      <c r="T46780" s="41"/>
    </row>
    <row r="46781" spans="20:20" s="566" customFormat="1">
      <c r="T46781" s="41"/>
    </row>
    <row r="46782" spans="20:20" s="566" customFormat="1">
      <c r="T46782" s="41"/>
    </row>
    <row r="46783" spans="20:20" s="566" customFormat="1">
      <c r="T46783" s="41"/>
    </row>
    <row r="46784" spans="20:20" s="566" customFormat="1">
      <c r="T46784" s="41"/>
    </row>
    <row r="46785" spans="20:20" s="566" customFormat="1">
      <c r="T46785" s="41"/>
    </row>
    <row r="46786" spans="20:20" s="566" customFormat="1">
      <c r="T46786" s="41"/>
    </row>
    <row r="46787" spans="20:20" s="566" customFormat="1">
      <c r="T46787" s="41"/>
    </row>
    <row r="46788" spans="20:20" s="566" customFormat="1">
      <c r="T46788" s="41"/>
    </row>
    <row r="46789" spans="20:20" s="566" customFormat="1">
      <c r="T46789" s="41"/>
    </row>
    <row r="46790" spans="20:20" s="566" customFormat="1">
      <c r="T46790" s="41"/>
    </row>
    <row r="46791" spans="20:20" s="566" customFormat="1">
      <c r="T46791" s="41"/>
    </row>
    <row r="46792" spans="20:20" s="566" customFormat="1">
      <c r="T46792" s="41"/>
    </row>
    <row r="46793" spans="20:20" s="566" customFormat="1">
      <c r="T46793" s="41"/>
    </row>
    <row r="46794" spans="20:20" s="566" customFormat="1">
      <c r="T46794" s="41"/>
    </row>
    <row r="46795" spans="20:20" s="566" customFormat="1">
      <c r="T46795" s="41"/>
    </row>
    <row r="46796" spans="20:20" s="566" customFormat="1">
      <c r="T46796" s="41"/>
    </row>
    <row r="46797" spans="20:20" s="566" customFormat="1">
      <c r="T46797" s="41"/>
    </row>
    <row r="46798" spans="20:20" s="566" customFormat="1">
      <c r="T46798" s="41"/>
    </row>
    <row r="46799" spans="20:20" s="566" customFormat="1">
      <c r="T46799" s="41"/>
    </row>
    <row r="46800" spans="20:20" s="566" customFormat="1">
      <c r="T46800" s="41"/>
    </row>
    <row r="46801" spans="20:20" s="566" customFormat="1">
      <c r="T46801" s="41"/>
    </row>
    <row r="46802" spans="20:20" s="566" customFormat="1">
      <c r="T46802" s="41"/>
    </row>
    <row r="46803" spans="20:20" s="566" customFormat="1">
      <c r="T46803" s="41"/>
    </row>
    <row r="46804" spans="20:20" s="566" customFormat="1">
      <c r="T46804" s="41"/>
    </row>
    <row r="46805" spans="20:20" s="566" customFormat="1">
      <c r="T46805" s="41"/>
    </row>
    <row r="46806" spans="20:20" s="566" customFormat="1">
      <c r="T46806" s="41"/>
    </row>
    <row r="46807" spans="20:20" s="566" customFormat="1">
      <c r="T46807" s="41"/>
    </row>
    <row r="46808" spans="20:20" s="566" customFormat="1">
      <c r="T46808" s="41"/>
    </row>
    <row r="46809" spans="20:20" s="566" customFormat="1">
      <c r="T46809" s="41"/>
    </row>
    <row r="46810" spans="20:20" s="566" customFormat="1">
      <c r="T46810" s="41"/>
    </row>
    <row r="46811" spans="20:20" s="566" customFormat="1">
      <c r="T46811" s="41"/>
    </row>
    <row r="46812" spans="20:20" s="566" customFormat="1">
      <c r="T46812" s="41"/>
    </row>
    <row r="46813" spans="20:20" s="566" customFormat="1">
      <c r="T46813" s="41"/>
    </row>
    <row r="46814" spans="20:20" s="566" customFormat="1">
      <c r="T46814" s="41"/>
    </row>
    <row r="46815" spans="20:20" s="566" customFormat="1">
      <c r="T46815" s="41"/>
    </row>
    <row r="46816" spans="20:20" s="566" customFormat="1">
      <c r="T46816" s="41"/>
    </row>
    <row r="46817" spans="20:20" s="566" customFormat="1">
      <c r="T46817" s="41"/>
    </row>
    <row r="46818" spans="20:20" s="566" customFormat="1">
      <c r="T46818" s="41"/>
    </row>
    <row r="46819" spans="20:20" s="566" customFormat="1">
      <c r="T46819" s="41"/>
    </row>
    <row r="46820" spans="20:20" s="566" customFormat="1">
      <c r="T46820" s="41"/>
    </row>
    <row r="46821" spans="20:20" s="566" customFormat="1">
      <c r="T46821" s="41"/>
    </row>
    <row r="46822" spans="20:20" s="566" customFormat="1">
      <c r="T46822" s="41"/>
    </row>
    <row r="46823" spans="20:20" s="566" customFormat="1">
      <c r="T46823" s="41"/>
    </row>
    <row r="46824" spans="20:20" s="566" customFormat="1">
      <c r="T46824" s="41"/>
    </row>
    <row r="46825" spans="20:20" s="566" customFormat="1">
      <c r="T46825" s="41"/>
    </row>
    <row r="46826" spans="20:20" s="566" customFormat="1">
      <c r="T46826" s="41"/>
    </row>
    <row r="46827" spans="20:20" s="566" customFormat="1">
      <c r="T46827" s="41"/>
    </row>
    <row r="46828" spans="20:20" s="566" customFormat="1">
      <c r="T46828" s="41"/>
    </row>
    <row r="46829" spans="20:20" s="566" customFormat="1">
      <c r="T46829" s="41"/>
    </row>
    <row r="46830" spans="20:20" s="566" customFormat="1">
      <c r="T46830" s="41"/>
    </row>
    <row r="46831" spans="20:20" s="566" customFormat="1">
      <c r="T46831" s="41"/>
    </row>
    <row r="46832" spans="20:20" s="566" customFormat="1">
      <c r="T46832" s="41"/>
    </row>
    <row r="46833" spans="20:20" s="566" customFormat="1">
      <c r="T46833" s="41"/>
    </row>
    <row r="46834" spans="20:20" s="566" customFormat="1">
      <c r="T46834" s="41"/>
    </row>
    <row r="46835" spans="20:20" s="566" customFormat="1">
      <c r="T46835" s="41"/>
    </row>
    <row r="46836" spans="20:20" s="566" customFormat="1">
      <c r="T46836" s="41"/>
    </row>
    <row r="46837" spans="20:20" s="566" customFormat="1">
      <c r="T46837" s="41"/>
    </row>
    <row r="46838" spans="20:20" s="566" customFormat="1">
      <c r="T46838" s="41"/>
    </row>
    <row r="46839" spans="20:20" s="566" customFormat="1">
      <c r="T46839" s="41"/>
    </row>
    <row r="46840" spans="20:20" s="566" customFormat="1">
      <c r="T46840" s="41"/>
    </row>
    <row r="46841" spans="20:20" s="566" customFormat="1">
      <c r="T46841" s="41"/>
    </row>
    <row r="46842" spans="20:20" s="566" customFormat="1">
      <c r="T46842" s="41"/>
    </row>
    <row r="46843" spans="20:20" s="566" customFormat="1">
      <c r="T46843" s="41"/>
    </row>
    <row r="46844" spans="20:20" s="566" customFormat="1">
      <c r="T46844" s="41"/>
    </row>
    <row r="46845" spans="20:20" s="566" customFormat="1">
      <c r="T46845" s="41"/>
    </row>
    <row r="46846" spans="20:20" s="566" customFormat="1">
      <c r="T46846" s="41"/>
    </row>
    <row r="46847" spans="20:20" s="566" customFormat="1">
      <c r="T46847" s="41"/>
    </row>
    <row r="46848" spans="20:20" s="566" customFormat="1">
      <c r="T46848" s="41"/>
    </row>
    <row r="46849" spans="20:20" s="566" customFormat="1">
      <c r="T46849" s="41"/>
    </row>
    <row r="46850" spans="20:20" s="566" customFormat="1">
      <c r="T46850" s="41"/>
    </row>
    <row r="46851" spans="20:20" s="566" customFormat="1">
      <c r="T46851" s="41"/>
    </row>
    <row r="46852" spans="20:20" s="566" customFormat="1">
      <c r="T46852" s="41"/>
    </row>
    <row r="46853" spans="20:20" s="566" customFormat="1">
      <c r="T46853" s="41"/>
    </row>
    <row r="46854" spans="20:20" s="566" customFormat="1">
      <c r="T46854" s="41"/>
    </row>
    <row r="46855" spans="20:20" s="566" customFormat="1">
      <c r="T46855" s="41"/>
    </row>
    <row r="46856" spans="20:20" s="566" customFormat="1">
      <c r="T46856" s="41"/>
    </row>
    <row r="46857" spans="20:20" s="566" customFormat="1">
      <c r="T46857" s="41"/>
    </row>
    <row r="46858" spans="20:20" s="566" customFormat="1">
      <c r="T46858" s="41"/>
    </row>
    <row r="46859" spans="20:20" s="566" customFormat="1">
      <c r="T46859" s="41"/>
    </row>
    <row r="46860" spans="20:20" s="566" customFormat="1">
      <c r="T46860" s="41"/>
    </row>
    <row r="46861" spans="20:20" s="566" customFormat="1">
      <c r="T46861" s="41"/>
    </row>
    <row r="46862" spans="20:20" s="566" customFormat="1">
      <c r="T46862" s="41"/>
    </row>
    <row r="46863" spans="20:20" s="566" customFormat="1">
      <c r="T46863" s="41"/>
    </row>
    <row r="46864" spans="20:20" s="566" customFormat="1">
      <c r="T46864" s="41"/>
    </row>
    <row r="46865" spans="20:20" s="566" customFormat="1">
      <c r="T46865" s="41"/>
    </row>
    <row r="46866" spans="20:20" s="566" customFormat="1">
      <c r="T46866" s="41"/>
    </row>
    <row r="46867" spans="20:20" s="566" customFormat="1">
      <c r="T46867" s="41"/>
    </row>
    <row r="46868" spans="20:20" s="566" customFormat="1">
      <c r="T46868" s="41"/>
    </row>
    <row r="46869" spans="20:20" s="566" customFormat="1">
      <c r="T46869" s="41"/>
    </row>
    <row r="46870" spans="20:20" s="566" customFormat="1">
      <c r="T46870" s="41"/>
    </row>
    <row r="46871" spans="20:20" s="566" customFormat="1">
      <c r="T46871" s="41"/>
    </row>
    <row r="46872" spans="20:20" s="566" customFormat="1">
      <c r="T46872" s="41"/>
    </row>
    <row r="46873" spans="20:20" s="566" customFormat="1">
      <c r="T46873" s="41"/>
    </row>
    <row r="46874" spans="20:20" s="566" customFormat="1">
      <c r="T46874" s="41"/>
    </row>
    <row r="46875" spans="20:20" s="566" customFormat="1">
      <c r="T46875" s="41"/>
    </row>
    <row r="46876" spans="20:20" s="566" customFormat="1">
      <c r="T46876" s="41"/>
    </row>
    <row r="46877" spans="20:20" s="566" customFormat="1">
      <c r="T46877" s="41"/>
    </row>
    <row r="46878" spans="20:20" s="566" customFormat="1">
      <c r="T46878" s="41"/>
    </row>
    <row r="46879" spans="20:20" s="566" customFormat="1">
      <c r="T46879" s="41"/>
    </row>
    <row r="46880" spans="20:20" s="566" customFormat="1">
      <c r="T46880" s="41"/>
    </row>
    <row r="46881" spans="20:20" s="566" customFormat="1">
      <c r="T46881" s="41"/>
    </row>
    <row r="46882" spans="20:20" s="566" customFormat="1">
      <c r="T46882" s="41"/>
    </row>
    <row r="46883" spans="20:20" s="566" customFormat="1">
      <c r="T46883" s="41"/>
    </row>
    <row r="46884" spans="20:20" s="566" customFormat="1">
      <c r="T46884" s="41"/>
    </row>
    <row r="46885" spans="20:20" s="566" customFormat="1">
      <c r="T46885" s="41"/>
    </row>
    <row r="46886" spans="20:20" s="566" customFormat="1">
      <c r="T46886" s="41"/>
    </row>
    <row r="46887" spans="20:20" s="566" customFormat="1">
      <c r="T46887" s="41"/>
    </row>
    <row r="46888" spans="20:20" s="566" customFormat="1">
      <c r="T46888" s="41"/>
    </row>
    <row r="46889" spans="20:20" s="566" customFormat="1">
      <c r="T46889" s="41"/>
    </row>
    <row r="46890" spans="20:20" s="566" customFormat="1">
      <c r="T46890" s="41"/>
    </row>
    <row r="46891" spans="20:20" s="566" customFormat="1">
      <c r="T46891" s="41"/>
    </row>
    <row r="46892" spans="20:20" s="566" customFormat="1">
      <c r="T46892" s="41"/>
    </row>
    <row r="46893" spans="20:20" s="566" customFormat="1">
      <c r="T46893" s="41"/>
    </row>
    <row r="46894" spans="20:20" s="566" customFormat="1">
      <c r="T46894" s="41"/>
    </row>
    <row r="46895" spans="20:20" s="566" customFormat="1">
      <c r="T46895" s="41"/>
    </row>
    <row r="46896" spans="20:20" s="566" customFormat="1">
      <c r="T46896" s="41"/>
    </row>
    <row r="46897" spans="20:20" s="566" customFormat="1">
      <c r="T46897" s="41"/>
    </row>
    <row r="46898" spans="20:20" s="566" customFormat="1">
      <c r="T46898" s="41"/>
    </row>
    <row r="46899" spans="20:20" s="566" customFormat="1">
      <c r="T46899" s="41"/>
    </row>
    <row r="46900" spans="20:20" s="566" customFormat="1">
      <c r="T46900" s="41"/>
    </row>
    <row r="46901" spans="20:20" s="566" customFormat="1">
      <c r="T46901" s="41"/>
    </row>
    <row r="46902" spans="20:20" s="566" customFormat="1">
      <c r="T46902" s="41"/>
    </row>
    <row r="46903" spans="20:20" s="566" customFormat="1">
      <c r="T46903" s="41"/>
    </row>
    <row r="46904" spans="20:20" s="566" customFormat="1">
      <c r="T46904" s="41"/>
    </row>
    <row r="46905" spans="20:20" s="566" customFormat="1">
      <c r="T46905" s="41"/>
    </row>
    <row r="46906" spans="20:20" s="566" customFormat="1">
      <c r="T46906" s="41"/>
    </row>
    <row r="46907" spans="20:20" s="566" customFormat="1">
      <c r="T46907" s="41"/>
    </row>
    <row r="46908" spans="20:20" s="566" customFormat="1">
      <c r="T46908" s="41"/>
    </row>
    <row r="46909" spans="20:20" s="566" customFormat="1">
      <c r="T46909" s="41"/>
    </row>
    <row r="46910" spans="20:20" s="566" customFormat="1">
      <c r="T46910" s="41"/>
    </row>
    <row r="46911" spans="20:20" s="566" customFormat="1">
      <c r="T46911" s="41"/>
    </row>
    <row r="46912" spans="20:20" s="566" customFormat="1">
      <c r="T46912" s="41"/>
    </row>
    <row r="46913" spans="20:20" s="566" customFormat="1">
      <c r="T46913" s="41"/>
    </row>
    <row r="46914" spans="20:20" s="566" customFormat="1">
      <c r="T46914" s="41"/>
    </row>
    <row r="46915" spans="20:20" s="566" customFormat="1">
      <c r="T46915" s="41"/>
    </row>
    <row r="46916" spans="20:20" s="566" customFormat="1">
      <c r="T46916" s="41"/>
    </row>
    <row r="46917" spans="20:20" s="566" customFormat="1">
      <c r="T46917" s="41"/>
    </row>
    <row r="46918" spans="20:20" s="566" customFormat="1">
      <c r="T46918" s="41"/>
    </row>
    <row r="46919" spans="20:20" s="566" customFormat="1">
      <c r="T46919" s="41"/>
    </row>
    <row r="46920" spans="20:20" s="566" customFormat="1">
      <c r="T46920" s="41"/>
    </row>
    <row r="46921" spans="20:20" s="566" customFormat="1">
      <c r="T46921" s="41"/>
    </row>
    <row r="46922" spans="20:20" s="566" customFormat="1">
      <c r="T46922" s="41"/>
    </row>
    <row r="46923" spans="20:20" s="566" customFormat="1">
      <c r="T46923" s="41"/>
    </row>
    <row r="46924" spans="20:20" s="566" customFormat="1">
      <c r="T46924" s="41"/>
    </row>
    <row r="46925" spans="20:20" s="566" customFormat="1">
      <c r="T46925" s="41"/>
    </row>
    <row r="46926" spans="20:20" s="566" customFormat="1">
      <c r="T46926" s="41"/>
    </row>
    <row r="46927" spans="20:20" s="566" customFormat="1">
      <c r="T46927" s="41"/>
    </row>
    <row r="46928" spans="20:20" s="566" customFormat="1">
      <c r="T46928" s="41"/>
    </row>
    <row r="46929" spans="20:20" s="566" customFormat="1">
      <c r="T46929" s="41"/>
    </row>
    <row r="46930" spans="20:20" s="566" customFormat="1">
      <c r="T46930" s="41"/>
    </row>
    <row r="46931" spans="20:20" s="566" customFormat="1">
      <c r="T46931" s="41"/>
    </row>
    <row r="46932" spans="20:20" s="566" customFormat="1">
      <c r="T46932" s="41"/>
    </row>
    <row r="46933" spans="20:20" s="566" customFormat="1">
      <c r="T46933" s="41"/>
    </row>
    <row r="46934" spans="20:20" s="566" customFormat="1">
      <c r="T46934" s="41"/>
    </row>
    <row r="46935" spans="20:20" s="566" customFormat="1">
      <c r="T46935" s="41"/>
    </row>
    <row r="46936" spans="20:20" s="566" customFormat="1">
      <c r="T46936" s="41"/>
    </row>
    <row r="46937" spans="20:20" s="566" customFormat="1">
      <c r="T46937" s="41"/>
    </row>
    <row r="46938" spans="20:20" s="566" customFormat="1">
      <c r="T46938" s="41"/>
    </row>
    <row r="46939" spans="20:20" s="566" customFormat="1">
      <c r="T46939" s="41"/>
    </row>
    <row r="46940" spans="20:20" s="566" customFormat="1">
      <c r="T46940" s="41"/>
    </row>
    <row r="46941" spans="20:20" s="566" customFormat="1">
      <c r="T46941" s="41"/>
    </row>
    <row r="46942" spans="20:20" s="566" customFormat="1">
      <c r="T46942" s="41"/>
    </row>
    <row r="46943" spans="20:20" s="566" customFormat="1">
      <c r="T46943" s="41"/>
    </row>
    <row r="46944" spans="20:20" s="566" customFormat="1">
      <c r="T46944" s="41"/>
    </row>
    <row r="46945" spans="20:20" s="566" customFormat="1">
      <c r="T46945" s="41"/>
    </row>
    <row r="46946" spans="20:20" s="566" customFormat="1">
      <c r="T46946" s="41"/>
    </row>
    <row r="46947" spans="20:20" s="566" customFormat="1">
      <c r="T46947" s="41"/>
    </row>
    <row r="46948" spans="20:20" s="566" customFormat="1">
      <c r="T46948" s="41"/>
    </row>
    <row r="46949" spans="20:20" s="566" customFormat="1">
      <c r="T46949" s="41"/>
    </row>
    <row r="46950" spans="20:20" s="566" customFormat="1">
      <c r="T46950" s="41"/>
    </row>
    <row r="46951" spans="20:20" s="566" customFormat="1">
      <c r="T46951" s="41"/>
    </row>
    <row r="46952" spans="20:20" s="566" customFormat="1">
      <c r="T46952" s="41"/>
    </row>
    <row r="46953" spans="20:20" s="566" customFormat="1">
      <c r="T46953" s="41"/>
    </row>
    <row r="46954" spans="20:20" s="566" customFormat="1">
      <c r="T46954" s="41"/>
    </row>
    <row r="46955" spans="20:20" s="566" customFormat="1">
      <c r="T46955" s="41"/>
    </row>
    <row r="46956" spans="20:20" s="566" customFormat="1">
      <c r="T46956" s="41"/>
    </row>
    <row r="46957" spans="20:20" s="566" customFormat="1">
      <c r="T46957" s="41"/>
    </row>
    <row r="46958" spans="20:20" s="566" customFormat="1">
      <c r="T46958" s="41"/>
    </row>
    <row r="46959" spans="20:20" s="566" customFormat="1">
      <c r="T46959" s="41"/>
    </row>
    <row r="46960" spans="20:20" s="566" customFormat="1">
      <c r="T46960" s="41"/>
    </row>
    <row r="46961" spans="20:20" s="566" customFormat="1">
      <c r="T46961" s="41"/>
    </row>
    <row r="46962" spans="20:20" s="566" customFormat="1">
      <c r="T46962" s="41"/>
    </row>
    <row r="46963" spans="20:20" s="566" customFormat="1">
      <c r="T46963" s="41"/>
    </row>
    <row r="46964" spans="20:20" s="566" customFormat="1">
      <c r="T46964" s="41"/>
    </row>
    <row r="46965" spans="20:20" s="566" customFormat="1">
      <c r="T46965" s="41"/>
    </row>
    <row r="46966" spans="20:20" s="566" customFormat="1">
      <c r="T46966" s="41"/>
    </row>
    <row r="46967" spans="20:20" s="566" customFormat="1">
      <c r="T46967" s="41"/>
    </row>
    <row r="46968" spans="20:20" s="566" customFormat="1">
      <c r="T46968" s="41"/>
    </row>
    <row r="46969" spans="20:20" s="566" customFormat="1">
      <c r="T46969" s="41"/>
    </row>
    <row r="46970" spans="20:20" s="566" customFormat="1">
      <c r="T46970" s="41"/>
    </row>
    <row r="46971" spans="20:20" s="566" customFormat="1">
      <c r="T46971" s="41"/>
    </row>
    <row r="46972" spans="20:20" s="566" customFormat="1">
      <c r="T46972" s="41"/>
    </row>
    <row r="46973" spans="20:20" s="566" customFormat="1">
      <c r="T46973" s="41"/>
    </row>
    <row r="46974" spans="20:20" s="566" customFormat="1">
      <c r="T46974" s="41"/>
    </row>
    <row r="46975" spans="20:20" s="566" customFormat="1">
      <c r="T46975" s="41"/>
    </row>
    <row r="46976" spans="20:20" s="566" customFormat="1">
      <c r="T46976" s="41"/>
    </row>
    <row r="46977" spans="20:20" s="566" customFormat="1">
      <c r="T46977" s="41"/>
    </row>
    <row r="46978" spans="20:20" s="566" customFormat="1">
      <c r="T46978" s="41"/>
    </row>
    <row r="46979" spans="20:20" s="566" customFormat="1">
      <c r="T46979" s="41"/>
    </row>
    <row r="46980" spans="20:20" s="566" customFormat="1">
      <c r="T46980" s="41"/>
    </row>
    <row r="46981" spans="20:20" s="566" customFormat="1">
      <c r="T46981" s="41"/>
    </row>
    <row r="46982" spans="20:20" s="566" customFormat="1">
      <c r="T46982" s="41"/>
    </row>
    <row r="46983" spans="20:20" s="566" customFormat="1">
      <c r="T46983" s="41"/>
    </row>
    <row r="46984" spans="20:20" s="566" customFormat="1">
      <c r="T46984" s="41"/>
    </row>
    <row r="46985" spans="20:20" s="566" customFormat="1">
      <c r="T46985" s="41"/>
    </row>
    <row r="46986" spans="20:20" s="566" customFormat="1">
      <c r="T46986" s="41"/>
    </row>
    <row r="46987" spans="20:20" s="566" customFormat="1">
      <c r="T46987" s="41"/>
    </row>
    <row r="46988" spans="20:20" s="566" customFormat="1">
      <c r="T46988" s="41"/>
    </row>
    <row r="46989" spans="20:20" s="566" customFormat="1">
      <c r="T46989" s="41"/>
    </row>
    <row r="46990" spans="20:20" s="566" customFormat="1">
      <c r="T46990" s="41"/>
    </row>
    <row r="46991" spans="20:20" s="566" customFormat="1">
      <c r="T46991" s="41"/>
    </row>
    <row r="46992" spans="20:20" s="566" customFormat="1">
      <c r="T46992" s="41"/>
    </row>
    <row r="46993" spans="20:20" s="566" customFormat="1">
      <c r="T46993" s="41"/>
    </row>
    <row r="46994" spans="20:20" s="566" customFormat="1">
      <c r="T46994" s="41"/>
    </row>
    <row r="46995" spans="20:20" s="566" customFormat="1">
      <c r="T46995" s="41"/>
    </row>
    <row r="46996" spans="20:20" s="566" customFormat="1">
      <c r="T46996" s="41"/>
    </row>
    <row r="46997" spans="20:20" s="566" customFormat="1">
      <c r="T46997" s="41"/>
    </row>
    <row r="46998" spans="20:20" s="566" customFormat="1">
      <c r="T46998" s="41"/>
    </row>
    <row r="46999" spans="20:20" s="566" customFormat="1">
      <c r="T46999" s="41"/>
    </row>
    <row r="47000" spans="20:20" s="566" customFormat="1">
      <c r="T47000" s="41"/>
    </row>
    <row r="47001" spans="20:20" s="566" customFormat="1">
      <c r="T47001" s="41"/>
    </row>
    <row r="47002" spans="20:20" s="566" customFormat="1">
      <c r="T47002" s="41"/>
    </row>
    <row r="47003" spans="20:20" s="566" customFormat="1">
      <c r="T47003" s="41"/>
    </row>
    <row r="47004" spans="20:20" s="566" customFormat="1">
      <c r="T47004" s="41"/>
    </row>
    <row r="47005" spans="20:20" s="566" customFormat="1">
      <c r="T47005" s="41"/>
    </row>
    <row r="47006" spans="20:20" s="566" customFormat="1">
      <c r="T47006" s="41"/>
    </row>
    <row r="47007" spans="20:20" s="566" customFormat="1">
      <c r="T47007" s="41"/>
    </row>
    <row r="47008" spans="20:20" s="566" customFormat="1">
      <c r="T47008" s="41"/>
    </row>
    <row r="47009" spans="20:20" s="566" customFormat="1">
      <c r="T47009" s="41"/>
    </row>
    <row r="47010" spans="20:20" s="566" customFormat="1">
      <c r="T47010" s="41"/>
    </row>
    <row r="47011" spans="20:20" s="566" customFormat="1">
      <c r="T47011" s="41"/>
    </row>
    <row r="47012" spans="20:20" s="566" customFormat="1">
      <c r="T47012" s="41"/>
    </row>
    <row r="47013" spans="20:20" s="566" customFormat="1">
      <c r="T47013" s="41"/>
    </row>
    <row r="47014" spans="20:20" s="566" customFormat="1">
      <c r="T47014" s="41"/>
    </row>
    <row r="47015" spans="20:20" s="566" customFormat="1">
      <c r="T47015" s="41"/>
    </row>
    <row r="47016" spans="20:20" s="566" customFormat="1">
      <c r="T47016" s="41"/>
    </row>
    <row r="47017" spans="20:20" s="566" customFormat="1">
      <c r="T47017" s="41"/>
    </row>
    <row r="47018" spans="20:20" s="566" customFormat="1">
      <c r="T47018" s="41"/>
    </row>
    <row r="47019" spans="20:20" s="566" customFormat="1">
      <c r="T47019" s="41"/>
    </row>
    <row r="47020" spans="20:20" s="566" customFormat="1">
      <c r="T47020" s="41"/>
    </row>
    <row r="47021" spans="20:20" s="566" customFormat="1">
      <c r="T47021" s="41"/>
    </row>
    <row r="47022" spans="20:20" s="566" customFormat="1">
      <c r="T47022" s="41"/>
    </row>
    <row r="47023" spans="20:20" s="566" customFormat="1">
      <c r="T47023" s="41"/>
    </row>
    <row r="47024" spans="20:20" s="566" customFormat="1">
      <c r="T47024" s="41"/>
    </row>
    <row r="47025" spans="20:20" s="566" customFormat="1">
      <c r="T47025" s="41"/>
    </row>
    <row r="47026" spans="20:20" s="566" customFormat="1">
      <c r="T47026" s="41"/>
    </row>
    <row r="47027" spans="20:20" s="566" customFormat="1">
      <c r="T47027" s="41"/>
    </row>
    <row r="47028" spans="20:20" s="566" customFormat="1">
      <c r="T47028" s="41"/>
    </row>
    <row r="47029" spans="20:20" s="566" customFormat="1">
      <c r="T47029" s="41"/>
    </row>
    <row r="47030" spans="20:20" s="566" customFormat="1">
      <c r="T47030" s="41"/>
    </row>
    <row r="47031" spans="20:20" s="566" customFormat="1">
      <c r="T47031" s="41"/>
    </row>
    <row r="47032" spans="20:20" s="566" customFormat="1">
      <c r="T47032" s="41"/>
    </row>
    <row r="47033" spans="20:20" s="566" customFormat="1">
      <c r="T47033" s="41"/>
    </row>
    <row r="47034" spans="20:20" s="566" customFormat="1">
      <c r="T47034" s="41"/>
    </row>
    <row r="47035" spans="20:20" s="566" customFormat="1">
      <c r="T47035" s="41"/>
    </row>
    <row r="47036" spans="20:20" s="566" customFormat="1">
      <c r="T47036" s="41"/>
    </row>
    <row r="47037" spans="20:20" s="566" customFormat="1">
      <c r="T47037" s="41"/>
    </row>
    <row r="47038" spans="20:20" s="566" customFormat="1">
      <c r="T47038" s="41"/>
    </row>
    <row r="47039" spans="20:20" s="566" customFormat="1">
      <c r="T47039" s="41"/>
    </row>
    <row r="47040" spans="20:20" s="566" customFormat="1">
      <c r="T47040" s="41"/>
    </row>
    <row r="47041" spans="20:20" s="566" customFormat="1">
      <c r="T47041" s="41"/>
    </row>
    <row r="47042" spans="20:20" s="566" customFormat="1">
      <c r="T47042" s="41"/>
    </row>
    <row r="47043" spans="20:20" s="566" customFormat="1">
      <c r="T47043" s="41"/>
    </row>
    <row r="47044" spans="20:20" s="566" customFormat="1">
      <c r="T47044" s="41"/>
    </row>
    <row r="47045" spans="20:20" s="566" customFormat="1">
      <c r="T47045" s="41"/>
    </row>
    <row r="47046" spans="20:20" s="566" customFormat="1">
      <c r="T47046" s="41"/>
    </row>
    <row r="47047" spans="20:20" s="566" customFormat="1">
      <c r="T47047" s="41"/>
    </row>
    <row r="47048" spans="20:20" s="566" customFormat="1">
      <c r="T47048" s="41"/>
    </row>
    <row r="47049" spans="20:20" s="566" customFormat="1">
      <c r="T47049" s="41"/>
    </row>
    <row r="47050" spans="20:20" s="566" customFormat="1">
      <c r="T47050" s="41"/>
    </row>
    <row r="47051" spans="20:20" s="566" customFormat="1">
      <c r="T47051" s="41"/>
    </row>
    <row r="47052" spans="20:20" s="566" customFormat="1">
      <c r="T47052" s="41"/>
    </row>
    <row r="47053" spans="20:20" s="566" customFormat="1">
      <c r="T47053" s="41"/>
    </row>
    <row r="47054" spans="20:20" s="566" customFormat="1">
      <c r="T47054" s="41"/>
    </row>
    <row r="47055" spans="20:20" s="566" customFormat="1">
      <c r="T47055" s="41"/>
    </row>
    <row r="47056" spans="20:20" s="566" customFormat="1">
      <c r="T47056" s="41"/>
    </row>
    <row r="47057" spans="20:20" s="566" customFormat="1">
      <c r="T47057" s="41"/>
    </row>
    <row r="47058" spans="20:20" s="566" customFormat="1">
      <c r="T47058" s="41"/>
    </row>
    <row r="47059" spans="20:20" s="566" customFormat="1">
      <c r="T47059" s="41"/>
    </row>
    <row r="47060" spans="20:20" s="566" customFormat="1">
      <c r="T47060" s="41"/>
    </row>
    <row r="47061" spans="20:20" s="566" customFormat="1">
      <c r="T47061" s="41"/>
    </row>
    <row r="47062" spans="20:20" s="566" customFormat="1">
      <c r="T47062" s="41"/>
    </row>
    <row r="47063" spans="20:20" s="566" customFormat="1">
      <c r="T47063" s="41"/>
    </row>
    <row r="47064" spans="20:20" s="566" customFormat="1">
      <c r="T47064" s="41"/>
    </row>
    <row r="47065" spans="20:20" s="566" customFormat="1">
      <c r="T47065" s="41"/>
    </row>
    <row r="47066" spans="20:20" s="566" customFormat="1">
      <c r="T47066" s="41"/>
    </row>
    <row r="47067" spans="20:20" s="566" customFormat="1">
      <c r="T47067" s="41"/>
    </row>
    <row r="47068" spans="20:20" s="566" customFormat="1">
      <c r="T47068" s="41"/>
    </row>
    <row r="47069" spans="20:20" s="566" customFormat="1">
      <c r="T47069" s="41"/>
    </row>
    <row r="47070" spans="20:20" s="566" customFormat="1">
      <c r="T47070" s="41"/>
    </row>
    <row r="47071" spans="20:20" s="566" customFormat="1">
      <c r="T47071" s="41"/>
    </row>
    <row r="47072" spans="20:20" s="566" customFormat="1">
      <c r="T47072" s="41"/>
    </row>
    <row r="47073" spans="20:20" s="566" customFormat="1">
      <c r="T47073" s="41"/>
    </row>
    <row r="47074" spans="20:20" s="566" customFormat="1">
      <c r="T47074" s="41"/>
    </row>
    <row r="47075" spans="20:20" s="566" customFormat="1">
      <c r="T47075" s="41"/>
    </row>
    <row r="47076" spans="20:20" s="566" customFormat="1">
      <c r="T47076" s="41"/>
    </row>
    <row r="47077" spans="20:20" s="566" customFormat="1">
      <c r="T47077" s="41"/>
    </row>
    <row r="47078" spans="20:20" s="566" customFormat="1">
      <c r="T47078" s="41"/>
    </row>
    <row r="47079" spans="20:20" s="566" customFormat="1">
      <c r="T47079" s="41"/>
    </row>
    <row r="47080" spans="20:20" s="566" customFormat="1">
      <c r="T47080" s="41"/>
    </row>
    <row r="47081" spans="20:20" s="566" customFormat="1">
      <c r="T47081" s="41"/>
    </row>
    <row r="47082" spans="20:20" s="566" customFormat="1">
      <c r="T47082" s="41"/>
    </row>
    <row r="47083" spans="20:20" s="566" customFormat="1">
      <c r="T47083" s="41"/>
    </row>
    <row r="47084" spans="20:20" s="566" customFormat="1">
      <c r="T47084" s="41"/>
    </row>
    <row r="47085" spans="20:20" s="566" customFormat="1">
      <c r="T47085" s="41"/>
    </row>
    <row r="47086" spans="20:20" s="566" customFormat="1">
      <c r="T47086" s="41"/>
    </row>
    <row r="47087" spans="20:20" s="566" customFormat="1">
      <c r="T47087" s="41"/>
    </row>
    <row r="47088" spans="20:20" s="566" customFormat="1">
      <c r="T47088" s="41"/>
    </row>
    <row r="47089" spans="20:20" s="566" customFormat="1">
      <c r="T47089" s="41"/>
    </row>
    <row r="47090" spans="20:20" s="566" customFormat="1">
      <c r="T47090" s="41"/>
    </row>
    <row r="47091" spans="20:20" s="566" customFormat="1">
      <c r="T47091" s="41"/>
    </row>
    <row r="47092" spans="20:20" s="566" customFormat="1">
      <c r="T47092" s="41"/>
    </row>
    <row r="47093" spans="20:20" s="566" customFormat="1">
      <c r="T47093" s="41"/>
    </row>
    <row r="47094" spans="20:20" s="566" customFormat="1">
      <c r="T47094" s="41"/>
    </row>
    <row r="47095" spans="20:20" s="566" customFormat="1">
      <c r="T47095" s="41"/>
    </row>
    <row r="47096" spans="20:20" s="566" customFormat="1">
      <c r="T47096" s="41"/>
    </row>
    <row r="47097" spans="20:20" s="566" customFormat="1">
      <c r="T47097" s="41"/>
    </row>
    <row r="47098" spans="20:20" s="566" customFormat="1">
      <c r="T47098" s="41"/>
    </row>
    <row r="47099" spans="20:20" s="566" customFormat="1">
      <c r="T47099" s="41"/>
    </row>
    <row r="47100" spans="20:20" s="566" customFormat="1">
      <c r="T47100" s="41"/>
    </row>
    <row r="47101" spans="20:20" s="566" customFormat="1">
      <c r="T47101" s="41"/>
    </row>
    <row r="47102" spans="20:20" s="566" customFormat="1">
      <c r="T47102" s="41"/>
    </row>
    <row r="47103" spans="20:20" s="566" customFormat="1">
      <c r="T47103" s="41"/>
    </row>
    <row r="47104" spans="20:20" s="566" customFormat="1">
      <c r="T47104" s="41"/>
    </row>
    <row r="47105" spans="20:20" s="566" customFormat="1">
      <c r="T47105" s="41"/>
    </row>
    <row r="47106" spans="20:20" s="566" customFormat="1">
      <c r="T47106" s="41"/>
    </row>
    <row r="47107" spans="20:20" s="566" customFormat="1">
      <c r="T47107" s="41"/>
    </row>
    <row r="47108" spans="20:20" s="566" customFormat="1">
      <c r="T47108" s="41"/>
    </row>
    <row r="47109" spans="20:20" s="566" customFormat="1">
      <c r="T47109" s="41"/>
    </row>
    <row r="47110" spans="20:20" s="566" customFormat="1">
      <c r="T47110" s="41"/>
    </row>
    <row r="47111" spans="20:20" s="566" customFormat="1">
      <c r="T47111" s="41"/>
    </row>
    <row r="47112" spans="20:20" s="566" customFormat="1">
      <c r="T47112" s="41"/>
    </row>
    <row r="47113" spans="20:20" s="566" customFormat="1">
      <c r="T47113" s="41"/>
    </row>
    <row r="47114" spans="20:20" s="566" customFormat="1">
      <c r="T47114" s="41"/>
    </row>
    <row r="47115" spans="20:20" s="566" customFormat="1">
      <c r="T47115" s="41"/>
    </row>
    <row r="47116" spans="20:20" s="566" customFormat="1">
      <c r="T47116" s="41"/>
    </row>
    <row r="47117" spans="20:20" s="566" customFormat="1">
      <c r="T47117" s="41"/>
    </row>
    <row r="47118" spans="20:20" s="566" customFormat="1">
      <c r="T47118" s="41"/>
    </row>
    <row r="47119" spans="20:20" s="566" customFormat="1">
      <c r="T47119" s="41"/>
    </row>
    <row r="47120" spans="20:20" s="566" customFormat="1">
      <c r="T47120" s="41"/>
    </row>
    <row r="47121" spans="20:20" s="566" customFormat="1">
      <c r="T47121" s="41"/>
    </row>
    <row r="47122" spans="20:20" s="566" customFormat="1">
      <c r="T47122" s="41"/>
    </row>
    <row r="47123" spans="20:20" s="566" customFormat="1">
      <c r="T47123" s="41"/>
    </row>
    <row r="47124" spans="20:20" s="566" customFormat="1">
      <c r="T47124" s="41"/>
    </row>
    <row r="47125" spans="20:20" s="566" customFormat="1">
      <c r="T47125" s="41"/>
    </row>
    <row r="47126" spans="20:20" s="566" customFormat="1">
      <c r="T47126" s="41"/>
    </row>
    <row r="47127" spans="20:20" s="566" customFormat="1">
      <c r="T47127" s="41"/>
    </row>
    <row r="47128" spans="20:20" s="566" customFormat="1">
      <c r="T47128" s="41"/>
    </row>
    <row r="47129" spans="20:20" s="566" customFormat="1">
      <c r="T47129" s="41"/>
    </row>
    <row r="47130" spans="20:20" s="566" customFormat="1">
      <c r="T47130" s="41"/>
    </row>
    <row r="47131" spans="20:20" s="566" customFormat="1">
      <c r="T47131" s="41"/>
    </row>
    <row r="47132" spans="20:20" s="566" customFormat="1">
      <c r="T47132" s="41"/>
    </row>
    <row r="47133" spans="20:20" s="566" customFormat="1">
      <c r="T47133" s="41"/>
    </row>
    <row r="47134" spans="20:20" s="566" customFormat="1">
      <c r="T47134" s="41"/>
    </row>
    <row r="47135" spans="20:20" s="566" customFormat="1">
      <c r="T47135" s="41"/>
    </row>
    <row r="47136" spans="20:20" s="566" customFormat="1">
      <c r="T47136" s="41"/>
    </row>
    <row r="47137" spans="20:20" s="566" customFormat="1">
      <c r="T47137" s="41"/>
    </row>
    <row r="47138" spans="20:20" s="566" customFormat="1">
      <c r="T47138" s="41"/>
    </row>
    <row r="47139" spans="20:20" s="566" customFormat="1">
      <c r="T47139" s="41"/>
    </row>
    <row r="47140" spans="20:20" s="566" customFormat="1">
      <c r="T47140" s="41"/>
    </row>
    <row r="47141" spans="20:20" s="566" customFormat="1">
      <c r="T47141" s="41"/>
    </row>
    <row r="47142" spans="20:20" s="566" customFormat="1">
      <c r="T47142" s="41"/>
    </row>
    <row r="47143" spans="20:20" s="566" customFormat="1">
      <c r="T47143" s="41"/>
    </row>
    <row r="47144" spans="20:20" s="566" customFormat="1">
      <c r="T47144" s="41"/>
    </row>
    <row r="47145" spans="20:20" s="566" customFormat="1">
      <c r="T47145" s="41"/>
    </row>
    <row r="47146" spans="20:20" s="566" customFormat="1">
      <c r="T47146" s="41"/>
    </row>
    <row r="47147" spans="20:20" s="566" customFormat="1">
      <c r="T47147" s="41"/>
    </row>
    <row r="47148" spans="20:20" s="566" customFormat="1">
      <c r="T47148" s="41"/>
    </row>
    <row r="47149" spans="20:20" s="566" customFormat="1">
      <c r="T47149" s="41"/>
    </row>
    <row r="47150" spans="20:20" s="566" customFormat="1">
      <c r="T47150" s="41"/>
    </row>
    <row r="47151" spans="20:20" s="566" customFormat="1">
      <c r="T47151" s="41"/>
    </row>
    <row r="47152" spans="20:20" s="566" customFormat="1">
      <c r="T47152" s="41"/>
    </row>
    <row r="47153" spans="20:20" s="566" customFormat="1">
      <c r="T47153" s="41"/>
    </row>
    <row r="47154" spans="20:20" s="566" customFormat="1">
      <c r="T47154" s="41"/>
    </row>
    <row r="47155" spans="20:20" s="566" customFormat="1">
      <c r="T47155" s="41"/>
    </row>
    <row r="47156" spans="20:20" s="566" customFormat="1">
      <c r="T47156" s="41"/>
    </row>
    <row r="47157" spans="20:20" s="566" customFormat="1">
      <c r="T47157" s="41"/>
    </row>
    <row r="47158" spans="20:20" s="566" customFormat="1">
      <c r="T47158" s="41"/>
    </row>
    <row r="47159" spans="20:20" s="566" customFormat="1">
      <c r="T47159" s="41"/>
    </row>
    <row r="47160" spans="20:20" s="566" customFormat="1">
      <c r="T47160" s="41"/>
    </row>
    <row r="47161" spans="20:20" s="566" customFormat="1">
      <c r="T47161" s="41"/>
    </row>
    <row r="47162" spans="20:20" s="566" customFormat="1">
      <c r="T47162" s="41"/>
    </row>
    <row r="47163" spans="20:20" s="566" customFormat="1">
      <c r="T47163" s="41"/>
    </row>
    <row r="47164" spans="20:20" s="566" customFormat="1">
      <c r="T47164" s="41"/>
    </row>
    <row r="47165" spans="20:20" s="566" customFormat="1">
      <c r="T47165" s="41"/>
    </row>
    <row r="47166" spans="20:20" s="566" customFormat="1">
      <c r="T47166" s="41"/>
    </row>
    <row r="47167" spans="20:20" s="566" customFormat="1">
      <c r="T47167" s="41"/>
    </row>
    <row r="47168" spans="20:20" s="566" customFormat="1">
      <c r="T47168" s="41"/>
    </row>
    <row r="47169" spans="20:20" s="566" customFormat="1">
      <c r="T47169" s="41"/>
    </row>
    <row r="47170" spans="20:20" s="566" customFormat="1">
      <c r="T47170" s="41"/>
    </row>
    <row r="47171" spans="20:20" s="566" customFormat="1">
      <c r="T47171" s="41"/>
    </row>
    <row r="47172" spans="20:20" s="566" customFormat="1">
      <c r="T47172" s="41"/>
    </row>
    <row r="47173" spans="20:20" s="566" customFormat="1">
      <c r="T47173" s="41"/>
    </row>
    <row r="47174" spans="20:20" s="566" customFormat="1">
      <c r="T47174" s="41"/>
    </row>
    <row r="47175" spans="20:20" s="566" customFormat="1">
      <c r="T47175" s="41"/>
    </row>
    <row r="47176" spans="20:20" s="566" customFormat="1">
      <c r="T47176" s="41"/>
    </row>
    <row r="47177" spans="20:20" s="566" customFormat="1">
      <c r="T47177" s="41"/>
    </row>
    <row r="47178" spans="20:20" s="566" customFormat="1">
      <c r="T47178" s="41"/>
    </row>
    <row r="47179" spans="20:20" s="566" customFormat="1">
      <c r="T47179" s="41"/>
    </row>
    <row r="47180" spans="20:20" s="566" customFormat="1">
      <c r="T47180" s="41"/>
    </row>
    <row r="47181" spans="20:20" s="566" customFormat="1">
      <c r="T47181" s="41"/>
    </row>
    <row r="47182" spans="20:20" s="566" customFormat="1">
      <c r="T47182" s="41"/>
    </row>
    <row r="47183" spans="20:20" s="566" customFormat="1">
      <c r="T47183" s="41"/>
    </row>
    <row r="47184" spans="20:20" s="566" customFormat="1">
      <c r="T47184" s="41"/>
    </row>
    <row r="47185" spans="20:20" s="566" customFormat="1">
      <c r="T47185" s="41"/>
    </row>
    <row r="47186" spans="20:20" s="566" customFormat="1">
      <c r="T47186" s="41"/>
    </row>
    <row r="47187" spans="20:20" s="566" customFormat="1">
      <c r="T47187" s="41"/>
    </row>
    <row r="47188" spans="20:20" s="566" customFormat="1">
      <c r="T47188" s="41"/>
    </row>
    <row r="47189" spans="20:20" s="566" customFormat="1">
      <c r="T47189" s="41"/>
    </row>
    <row r="47190" spans="20:20" s="566" customFormat="1">
      <c r="T47190" s="41"/>
    </row>
    <row r="47191" spans="20:20" s="566" customFormat="1">
      <c r="T47191" s="41"/>
    </row>
    <row r="47192" spans="20:20" s="566" customFormat="1">
      <c r="T47192" s="41"/>
    </row>
    <row r="47193" spans="20:20" s="566" customFormat="1">
      <c r="T47193" s="41"/>
    </row>
    <row r="47194" spans="20:20" s="566" customFormat="1">
      <c r="T47194" s="41"/>
    </row>
    <row r="47195" spans="20:20" s="566" customFormat="1">
      <c r="T47195" s="41"/>
    </row>
    <row r="47196" spans="20:20" s="566" customFormat="1">
      <c r="T47196" s="41"/>
    </row>
    <row r="47197" spans="20:20" s="566" customFormat="1">
      <c r="T47197" s="41"/>
    </row>
    <row r="47198" spans="20:20" s="566" customFormat="1">
      <c r="T47198" s="41"/>
    </row>
    <row r="47199" spans="20:20" s="566" customFormat="1">
      <c r="T47199" s="41"/>
    </row>
    <row r="47200" spans="20:20" s="566" customFormat="1">
      <c r="T47200" s="41"/>
    </row>
    <row r="47201" spans="20:20" s="566" customFormat="1">
      <c r="T47201" s="41"/>
    </row>
    <row r="47202" spans="20:20" s="566" customFormat="1">
      <c r="T47202" s="41"/>
    </row>
    <row r="47203" spans="20:20" s="566" customFormat="1">
      <c r="T47203" s="41"/>
    </row>
    <row r="47204" spans="20:20" s="566" customFormat="1">
      <c r="T47204" s="41"/>
    </row>
    <row r="47205" spans="20:20" s="566" customFormat="1">
      <c r="T47205" s="41"/>
    </row>
    <row r="47206" spans="20:20" s="566" customFormat="1">
      <c r="T47206" s="41"/>
    </row>
    <row r="47207" spans="20:20" s="566" customFormat="1">
      <c r="T47207" s="41"/>
    </row>
    <row r="47208" spans="20:20" s="566" customFormat="1">
      <c r="T47208" s="41"/>
    </row>
    <row r="47209" spans="20:20" s="566" customFormat="1">
      <c r="T47209" s="41"/>
    </row>
    <row r="47210" spans="20:20" s="566" customFormat="1">
      <c r="T47210" s="41"/>
    </row>
    <row r="47211" spans="20:20" s="566" customFormat="1">
      <c r="T47211" s="41"/>
    </row>
    <row r="47212" spans="20:20" s="566" customFormat="1">
      <c r="T47212" s="41"/>
    </row>
    <row r="47213" spans="20:20" s="566" customFormat="1">
      <c r="T47213" s="41"/>
    </row>
    <row r="47214" spans="20:20" s="566" customFormat="1">
      <c r="T47214" s="41"/>
    </row>
    <row r="47215" spans="20:20" s="566" customFormat="1">
      <c r="T47215" s="41"/>
    </row>
    <row r="47216" spans="20:20" s="566" customFormat="1">
      <c r="T47216" s="41"/>
    </row>
    <row r="47217" spans="20:20" s="566" customFormat="1">
      <c r="T47217" s="41"/>
    </row>
    <row r="47218" spans="20:20" s="566" customFormat="1">
      <c r="T47218" s="41"/>
    </row>
    <row r="47219" spans="20:20" s="566" customFormat="1">
      <c r="T47219" s="41"/>
    </row>
    <row r="47220" spans="20:20" s="566" customFormat="1">
      <c r="T47220" s="41"/>
    </row>
    <row r="47221" spans="20:20" s="566" customFormat="1">
      <c r="T47221" s="41"/>
    </row>
    <row r="47222" spans="20:20" s="566" customFormat="1">
      <c r="T47222" s="41"/>
    </row>
    <row r="47223" spans="20:20" s="566" customFormat="1">
      <c r="T47223" s="41"/>
    </row>
    <row r="47224" spans="20:20" s="566" customFormat="1">
      <c r="T47224" s="41"/>
    </row>
    <row r="47225" spans="20:20" s="566" customFormat="1">
      <c r="T47225" s="41"/>
    </row>
    <row r="47226" spans="20:20" s="566" customFormat="1">
      <c r="T47226" s="41"/>
    </row>
    <row r="47227" spans="20:20" s="566" customFormat="1">
      <c r="T47227" s="41"/>
    </row>
    <row r="47228" spans="20:20" s="566" customFormat="1">
      <c r="T47228" s="41"/>
    </row>
    <row r="47229" spans="20:20" s="566" customFormat="1">
      <c r="T47229" s="41"/>
    </row>
    <row r="47230" spans="20:20" s="566" customFormat="1">
      <c r="T47230" s="41"/>
    </row>
    <row r="47231" spans="20:20" s="566" customFormat="1">
      <c r="T47231" s="41"/>
    </row>
    <row r="47232" spans="20:20" s="566" customFormat="1">
      <c r="T47232" s="41"/>
    </row>
    <row r="47233" spans="20:20" s="566" customFormat="1">
      <c r="T47233" s="41"/>
    </row>
    <row r="47234" spans="20:20" s="566" customFormat="1">
      <c r="T47234" s="41"/>
    </row>
    <row r="47235" spans="20:20" s="566" customFormat="1">
      <c r="T47235" s="41"/>
    </row>
    <row r="47236" spans="20:20" s="566" customFormat="1">
      <c r="T47236" s="41"/>
    </row>
    <row r="47237" spans="20:20" s="566" customFormat="1">
      <c r="T47237" s="41"/>
    </row>
    <row r="47238" spans="20:20" s="566" customFormat="1">
      <c r="T47238" s="41"/>
    </row>
    <row r="47239" spans="20:20" s="566" customFormat="1">
      <c r="T47239" s="41"/>
    </row>
    <row r="47240" spans="20:20" s="566" customFormat="1">
      <c r="T47240" s="41"/>
    </row>
    <row r="47241" spans="20:20" s="566" customFormat="1">
      <c r="T47241" s="41"/>
    </row>
    <row r="47242" spans="20:20" s="566" customFormat="1">
      <c r="T47242" s="41"/>
    </row>
    <row r="47243" spans="20:20" s="566" customFormat="1">
      <c r="T47243" s="41"/>
    </row>
    <row r="47244" spans="20:20" s="566" customFormat="1">
      <c r="T47244" s="41"/>
    </row>
    <row r="47245" spans="20:20" s="566" customFormat="1">
      <c r="T47245" s="41"/>
    </row>
    <row r="47246" spans="20:20" s="566" customFormat="1">
      <c r="T47246" s="41"/>
    </row>
    <row r="47247" spans="20:20" s="566" customFormat="1">
      <c r="T47247" s="41"/>
    </row>
    <row r="47248" spans="20:20" s="566" customFormat="1">
      <c r="T47248" s="41"/>
    </row>
    <row r="47249" spans="20:20" s="566" customFormat="1">
      <c r="T47249" s="41"/>
    </row>
    <row r="47250" spans="20:20" s="566" customFormat="1">
      <c r="T47250" s="41"/>
    </row>
    <row r="47251" spans="20:20" s="566" customFormat="1">
      <c r="T47251" s="41"/>
    </row>
    <row r="47252" spans="20:20" s="566" customFormat="1">
      <c r="T47252" s="41"/>
    </row>
    <row r="47253" spans="20:20" s="566" customFormat="1">
      <c r="T47253" s="41"/>
    </row>
    <row r="47254" spans="20:20" s="566" customFormat="1">
      <c r="T47254" s="41"/>
    </row>
    <row r="47255" spans="20:20" s="566" customFormat="1">
      <c r="T47255" s="41"/>
    </row>
    <row r="47256" spans="20:20" s="566" customFormat="1">
      <c r="T47256" s="41"/>
    </row>
    <row r="47257" spans="20:20" s="566" customFormat="1">
      <c r="T47257" s="41"/>
    </row>
    <row r="47258" spans="20:20" s="566" customFormat="1">
      <c r="T47258" s="41"/>
    </row>
    <row r="47259" spans="20:20" s="566" customFormat="1">
      <c r="T47259" s="41"/>
    </row>
    <row r="47260" spans="20:20" s="566" customFormat="1">
      <c r="T47260" s="41"/>
    </row>
    <row r="47261" spans="20:20" s="566" customFormat="1">
      <c r="T47261" s="41"/>
    </row>
    <row r="47262" spans="20:20" s="566" customFormat="1">
      <c r="T47262" s="41"/>
    </row>
    <row r="47263" spans="20:20" s="566" customFormat="1">
      <c r="T47263" s="41"/>
    </row>
    <row r="47264" spans="20:20" s="566" customFormat="1">
      <c r="T47264" s="41"/>
    </row>
    <row r="47265" spans="20:20" s="566" customFormat="1">
      <c r="T47265" s="41"/>
    </row>
    <row r="47266" spans="20:20" s="566" customFormat="1">
      <c r="T47266" s="41"/>
    </row>
    <row r="47267" spans="20:20" s="566" customFormat="1">
      <c r="T47267" s="41"/>
    </row>
    <row r="47268" spans="20:20" s="566" customFormat="1">
      <c r="T47268" s="41"/>
    </row>
    <row r="47269" spans="20:20" s="566" customFormat="1">
      <c r="T47269" s="41"/>
    </row>
    <row r="47270" spans="20:20" s="566" customFormat="1">
      <c r="T47270" s="41"/>
    </row>
    <row r="47271" spans="20:20" s="566" customFormat="1">
      <c r="T47271" s="41"/>
    </row>
    <row r="47272" spans="20:20" s="566" customFormat="1">
      <c r="T47272" s="41"/>
    </row>
    <row r="47273" spans="20:20" s="566" customFormat="1">
      <c r="T47273" s="41"/>
    </row>
    <row r="47274" spans="20:20" s="566" customFormat="1">
      <c r="T47274" s="41"/>
    </row>
    <row r="47275" spans="20:20" s="566" customFormat="1">
      <c r="T47275" s="41"/>
    </row>
    <row r="47276" spans="20:20" s="566" customFormat="1">
      <c r="T47276" s="41"/>
    </row>
    <row r="47277" spans="20:20" s="566" customFormat="1">
      <c r="T47277" s="41"/>
    </row>
    <row r="47278" spans="20:20" s="566" customFormat="1">
      <c r="T47278" s="41"/>
    </row>
    <row r="47279" spans="20:20" s="566" customFormat="1">
      <c r="T47279" s="41"/>
    </row>
    <row r="47280" spans="20:20" s="566" customFormat="1">
      <c r="T47280" s="41"/>
    </row>
    <row r="47281" spans="20:20" s="566" customFormat="1">
      <c r="T47281" s="41"/>
    </row>
    <row r="47282" spans="20:20" s="566" customFormat="1">
      <c r="T47282" s="41"/>
    </row>
    <row r="47283" spans="20:20" s="566" customFormat="1">
      <c r="T47283" s="41"/>
    </row>
    <row r="47284" spans="20:20" s="566" customFormat="1">
      <c r="T47284" s="41"/>
    </row>
    <row r="47285" spans="20:20" s="566" customFormat="1">
      <c r="T47285" s="41"/>
    </row>
    <row r="47286" spans="20:20" s="566" customFormat="1">
      <c r="T47286" s="41"/>
    </row>
    <row r="47287" spans="20:20" s="566" customFormat="1">
      <c r="T47287" s="41"/>
    </row>
    <row r="47288" spans="20:20" s="566" customFormat="1">
      <c r="T47288" s="41"/>
    </row>
    <row r="47289" spans="20:20" s="566" customFormat="1">
      <c r="T47289" s="41"/>
    </row>
    <row r="47290" spans="20:20" s="566" customFormat="1">
      <c r="T47290" s="41"/>
    </row>
    <row r="47291" spans="20:20" s="566" customFormat="1">
      <c r="T47291" s="41"/>
    </row>
    <row r="47292" spans="20:20" s="566" customFormat="1">
      <c r="T47292" s="41"/>
    </row>
    <row r="47293" spans="20:20" s="566" customFormat="1">
      <c r="T47293" s="41"/>
    </row>
    <row r="47294" spans="20:20" s="566" customFormat="1">
      <c r="T47294" s="41"/>
    </row>
    <row r="47295" spans="20:20" s="566" customFormat="1">
      <c r="T47295" s="41"/>
    </row>
    <row r="47296" spans="20:20" s="566" customFormat="1">
      <c r="T47296" s="41"/>
    </row>
    <row r="47297" spans="20:20" s="566" customFormat="1">
      <c r="T47297" s="41"/>
    </row>
    <row r="47298" spans="20:20" s="566" customFormat="1">
      <c r="T47298" s="41"/>
    </row>
    <row r="47299" spans="20:20" s="566" customFormat="1">
      <c r="T47299" s="41"/>
    </row>
    <row r="47300" spans="20:20" s="566" customFormat="1">
      <c r="T47300" s="41"/>
    </row>
    <row r="47301" spans="20:20" s="566" customFormat="1">
      <c r="T47301" s="41"/>
    </row>
    <row r="47302" spans="20:20" s="566" customFormat="1">
      <c r="T47302" s="41"/>
    </row>
    <row r="47303" spans="20:20" s="566" customFormat="1">
      <c r="T47303" s="41"/>
    </row>
    <row r="47304" spans="20:20" s="566" customFormat="1">
      <c r="T47304" s="41"/>
    </row>
    <row r="47305" spans="20:20" s="566" customFormat="1">
      <c r="T47305" s="41"/>
    </row>
    <row r="47306" spans="20:20" s="566" customFormat="1">
      <c r="T47306" s="41"/>
    </row>
    <row r="47307" spans="20:20" s="566" customFormat="1">
      <c r="T47307" s="41"/>
    </row>
    <row r="47308" spans="20:20" s="566" customFormat="1">
      <c r="T47308" s="41"/>
    </row>
    <row r="47309" spans="20:20" s="566" customFormat="1">
      <c r="T47309" s="41"/>
    </row>
    <row r="47310" spans="20:20" s="566" customFormat="1">
      <c r="T47310" s="41"/>
    </row>
    <row r="47311" spans="20:20" s="566" customFormat="1">
      <c r="T47311" s="41"/>
    </row>
    <row r="47312" spans="20:20" s="566" customFormat="1">
      <c r="T47312" s="41"/>
    </row>
    <row r="47313" spans="20:20" s="566" customFormat="1">
      <c r="T47313" s="41"/>
    </row>
    <row r="47314" spans="20:20" s="566" customFormat="1">
      <c r="T47314" s="41"/>
    </row>
    <row r="47315" spans="20:20" s="566" customFormat="1">
      <c r="T47315" s="41"/>
    </row>
    <row r="47316" spans="20:20" s="566" customFormat="1">
      <c r="T47316" s="41"/>
    </row>
    <row r="47317" spans="20:20" s="566" customFormat="1">
      <c r="T47317" s="41"/>
    </row>
    <row r="47318" spans="20:20" s="566" customFormat="1">
      <c r="T47318" s="41"/>
    </row>
    <row r="47319" spans="20:20" s="566" customFormat="1">
      <c r="T47319" s="41"/>
    </row>
    <row r="47320" spans="20:20" s="566" customFormat="1">
      <c r="T47320" s="41"/>
    </row>
    <row r="47321" spans="20:20" s="566" customFormat="1">
      <c r="T47321" s="41"/>
    </row>
    <row r="47322" spans="20:20" s="566" customFormat="1">
      <c r="T47322" s="41"/>
    </row>
    <row r="47323" spans="20:20" s="566" customFormat="1">
      <c r="T47323" s="41"/>
    </row>
    <row r="47324" spans="20:20" s="566" customFormat="1">
      <c r="T47324" s="41"/>
    </row>
    <row r="47325" spans="20:20" s="566" customFormat="1">
      <c r="T47325" s="41"/>
    </row>
    <row r="47326" spans="20:20" s="566" customFormat="1">
      <c r="T47326" s="41"/>
    </row>
    <row r="47327" spans="20:20" s="566" customFormat="1">
      <c r="T47327" s="41"/>
    </row>
    <row r="47328" spans="20:20" s="566" customFormat="1">
      <c r="T47328" s="41"/>
    </row>
    <row r="47329" spans="20:20" s="566" customFormat="1">
      <c r="T47329" s="41"/>
    </row>
    <row r="47330" spans="20:20" s="566" customFormat="1">
      <c r="T47330" s="41"/>
    </row>
    <row r="47331" spans="20:20" s="566" customFormat="1">
      <c r="T47331" s="41"/>
    </row>
    <row r="47332" spans="20:20" s="566" customFormat="1">
      <c r="T47332" s="41"/>
    </row>
    <row r="47333" spans="20:20" s="566" customFormat="1">
      <c r="T47333" s="41"/>
    </row>
    <row r="47334" spans="20:20" s="566" customFormat="1">
      <c r="T47334" s="41"/>
    </row>
    <row r="47335" spans="20:20" s="566" customFormat="1">
      <c r="T47335" s="41"/>
    </row>
    <row r="47336" spans="20:20" s="566" customFormat="1">
      <c r="T47336" s="41"/>
    </row>
    <row r="47337" spans="20:20" s="566" customFormat="1">
      <c r="T47337" s="41"/>
    </row>
    <row r="47338" spans="20:20" s="566" customFormat="1">
      <c r="T47338" s="41"/>
    </row>
    <row r="47339" spans="20:20" s="566" customFormat="1">
      <c r="T47339" s="41"/>
    </row>
    <row r="47340" spans="20:20" s="566" customFormat="1">
      <c r="T47340" s="41"/>
    </row>
    <row r="47341" spans="20:20" s="566" customFormat="1">
      <c r="T47341" s="41"/>
    </row>
    <row r="47342" spans="20:20" s="566" customFormat="1">
      <c r="T47342" s="41"/>
    </row>
    <row r="47343" spans="20:20" s="566" customFormat="1">
      <c r="T47343" s="41"/>
    </row>
    <row r="47344" spans="20:20" s="566" customFormat="1">
      <c r="T47344" s="41"/>
    </row>
    <row r="47345" spans="20:20" s="566" customFormat="1">
      <c r="T47345" s="41"/>
    </row>
    <row r="47346" spans="20:20" s="566" customFormat="1">
      <c r="T47346" s="41"/>
    </row>
    <row r="47347" spans="20:20" s="566" customFormat="1">
      <c r="T47347" s="41"/>
    </row>
    <row r="47348" spans="20:20" s="566" customFormat="1">
      <c r="T47348" s="41"/>
    </row>
    <row r="47349" spans="20:20" s="566" customFormat="1">
      <c r="T47349" s="41"/>
    </row>
    <row r="47350" spans="20:20" s="566" customFormat="1">
      <c r="T47350" s="41"/>
    </row>
    <row r="47351" spans="20:20" s="566" customFormat="1">
      <c r="T47351" s="41"/>
    </row>
    <row r="47352" spans="20:20" s="566" customFormat="1">
      <c r="T47352" s="41"/>
    </row>
    <row r="47353" spans="20:20" s="566" customFormat="1">
      <c r="T47353" s="41"/>
    </row>
    <row r="47354" spans="20:20" s="566" customFormat="1">
      <c r="T47354" s="41"/>
    </row>
    <row r="47355" spans="20:20" s="566" customFormat="1">
      <c r="T47355" s="41"/>
    </row>
    <row r="47356" spans="20:20" s="566" customFormat="1">
      <c r="T47356" s="41"/>
    </row>
    <row r="47357" spans="20:20" s="566" customFormat="1">
      <c r="T47357" s="41"/>
    </row>
    <row r="47358" spans="20:20" s="566" customFormat="1">
      <c r="T47358" s="41"/>
    </row>
    <row r="47359" spans="20:20" s="566" customFormat="1">
      <c r="T47359" s="41"/>
    </row>
    <row r="47360" spans="20:20" s="566" customFormat="1">
      <c r="T47360" s="41"/>
    </row>
    <row r="47361" spans="20:20" s="566" customFormat="1">
      <c r="T47361" s="41"/>
    </row>
    <row r="47362" spans="20:20" s="566" customFormat="1">
      <c r="T47362" s="41"/>
    </row>
    <row r="47363" spans="20:20" s="566" customFormat="1">
      <c r="T47363" s="41"/>
    </row>
    <row r="47364" spans="20:20" s="566" customFormat="1">
      <c r="T47364" s="41"/>
    </row>
    <row r="47365" spans="20:20" s="566" customFormat="1">
      <c r="T47365" s="41"/>
    </row>
    <row r="47366" spans="20:20" s="566" customFormat="1">
      <c r="T47366" s="41"/>
    </row>
    <row r="47367" spans="20:20" s="566" customFormat="1">
      <c r="T47367" s="41"/>
    </row>
    <row r="47368" spans="20:20" s="566" customFormat="1">
      <c r="T47368" s="41"/>
    </row>
    <row r="47369" spans="20:20" s="566" customFormat="1">
      <c r="T47369" s="41"/>
    </row>
    <row r="47370" spans="20:20" s="566" customFormat="1">
      <c r="T47370" s="41"/>
    </row>
    <row r="47371" spans="20:20" s="566" customFormat="1">
      <c r="T47371" s="41"/>
    </row>
    <row r="47372" spans="20:20" s="566" customFormat="1">
      <c r="T47372" s="41"/>
    </row>
    <row r="47373" spans="20:20" s="566" customFormat="1">
      <c r="T47373" s="41"/>
    </row>
    <row r="47374" spans="20:20" s="566" customFormat="1">
      <c r="T47374" s="41"/>
    </row>
    <row r="47375" spans="20:20" s="566" customFormat="1">
      <c r="T47375" s="41"/>
    </row>
    <row r="47376" spans="20:20" s="566" customFormat="1">
      <c r="T47376" s="41"/>
    </row>
    <row r="47377" spans="20:20" s="566" customFormat="1">
      <c r="T47377" s="41"/>
    </row>
    <row r="47378" spans="20:20" s="566" customFormat="1">
      <c r="T47378" s="41"/>
    </row>
    <row r="47379" spans="20:20" s="566" customFormat="1">
      <c r="T47379" s="41"/>
    </row>
    <row r="47380" spans="20:20" s="566" customFormat="1">
      <c r="T47380" s="41"/>
    </row>
    <row r="47381" spans="20:20" s="566" customFormat="1">
      <c r="T47381" s="41"/>
    </row>
    <row r="47382" spans="20:20" s="566" customFormat="1">
      <c r="T47382" s="41"/>
    </row>
    <row r="47383" spans="20:20" s="566" customFormat="1">
      <c r="T47383" s="41"/>
    </row>
    <row r="47384" spans="20:20" s="566" customFormat="1">
      <c r="T47384" s="41"/>
    </row>
    <row r="47385" spans="20:20" s="566" customFormat="1">
      <c r="T47385" s="41"/>
    </row>
    <row r="47386" spans="20:20" s="566" customFormat="1">
      <c r="T47386" s="41"/>
    </row>
    <row r="47387" spans="20:20" s="566" customFormat="1">
      <c r="T47387" s="41"/>
    </row>
    <row r="47388" spans="20:20" s="566" customFormat="1">
      <c r="T47388" s="41"/>
    </row>
    <row r="47389" spans="20:20" s="566" customFormat="1">
      <c r="T47389" s="41"/>
    </row>
    <row r="47390" spans="20:20" s="566" customFormat="1">
      <c r="T47390" s="41"/>
    </row>
    <row r="47391" spans="20:20" s="566" customFormat="1">
      <c r="T47391" s="41"/>
    </row>
    <row r="47392" spans="20:20" s="566" customFormat="1">
      <c r="T47392" s="41"/>
    </row>
    <row r="47393" spans="20:20" s="566" customFormat="1">
      <c r="T47393" s="41"/>
    </row>
    <row r="47394" spans="20:20" s="566" customFormat="1">
      <c r="T47394" s="41"/>
    </row>
    <row r="47395" spans="20:20" s="566" customFormat="1">
      <c r="T47395" s="41"/>
    </row>
    <row r="47396" spans="20:20" s="566" customFormat="1">
      <c r="T47396" s="41"/>
    </row>
    <row r="47397" spans="20:20" s="566" customFormat="1">
      <c r="T47397" s="41"/>
    </row>
    <row r="47398" spans="20:20" s="566" customFormat="1">
      <c r="T47398" s="41"/>
    </row>
    <row r="47399" spans="20:20" s="566" customFormat="1">
      <c r="T47399" s="41"/>
    </row>
    <row r="47400" spans="20:20" s="566" customFormat="1">
      <c r="T47400" s="41"/>
    </row>
    <row r="47401" spans="20:20" s="566" customFormat="1">
      <c r="T47401" s="41"/>
    </row>
    <row r="47402" spans="20:20" s="566" customFormat="1">
      <c r="T47402" s="41"/>
    </row>
    <row r="47403" spans="20:20" s="566" customFormat="1">
      <c r="T47403" s="41"/>
    </row>
    <row r="47404" spans="20:20" s="566" customFormat="1">
      <c r="T47404" s="41"/>
    </row>
    <row r="47405" spans="20:20" s="566" customFormat="1">
      <c r="T47405" s="41"/>
    </row>
    <row r="47406" spans="20:20" s="566" customFormat="1">
      <c r="T47406" s="41"/>
    </row>
    <row r="47407" spans="20:20" s="566" customFormat="1">
      <c r="T47407" s="41"/>
    </row>
    <row r="47408" spans="20:20" s="566" customFormat="1">
      <c r="T47408" s="41"/>
    </row>
    <row r="47409" spans="20:20" s="566" customFormat="1">
      <c r="T47409" s="41"/>
    </row>
    <row r="47410" spans="20:20" s="566" customFormat="1">
      <c r="T47410" s="41"/>
    </row>
    <row r="47411" spans="20:20" s="566" customFormat="1">
      <c r="T47411" s="41"/>
    </row>
    <row r="47412" spans="20:20" s="566" customFormat="1">
      <c r="T47412" s="41"/>
    </row>
    <row r="47413" spans="20:20" s="566" customFormat="1">
      <c r="T47413" s="41"/>
    </row>
    <row r="47414" spans="20:20" s="566" customFormat="1">
      <c r="T47414" s="41"/>
    </row>
    <row r="47415" spans="20:20" s="566" customFormat="1">
      <c r="T47415" s="41"/>
    </row>
    <row r="47416" spans="20:20" s="566" customFormat="1">
      <c r="T47416" s="41"/>
    </row>
    <row r="47417" spans="20:20" s="566" customFormat="1">
      <c r="T47417" s="41"/>
    </row>
    <row r="47418" spans="20:20" s="566" customFormat="1">
      <c r="T47418" s="41"/>
    </row>
    <row r="47419" spans="20:20" s="566" customFormat="1">
      <c r="T47419" s="41"/>
    </row>
    <row r="47420" spans="20:20" s="566" customFormat="1">
      <c r="T47420" s="41"/>
    </row>
    <row r="47421" spans="20:20" s="566" customFormat="1">
      <c r="T47421" s="41"/>
    </row>
    <row r="47422" spans="20:20" s="566" customFormat="1">
      <c r="T47422" s="41"/>
    </row>
    <row r="47423" spans="20:20" s="566" customFormat="1">
      <c r="T47423" s="41"/>
    </row>
    <row r="47424" spans="20:20" s="566" customFormat="1">
      <c r="T47424" s="41"/>
    </row>
    <row r="47425" spans="20:20" s="566" customFormat="1">
      <c r="T47425" s="41"/>
    </row>
    <row r="47426" spans="20:20" s="566" customFormat="1">
      <c r="T47426" s="41"/>
    </row>
    <row r="47427" spans="20:20" s="566" customFormat="1">
      <c r="T47427" s="41"/>
    </row>
    <row r="47428" spans="20:20" s="566" customFormat="1">
      <c r="T47428" s="41"/>
    </row>
    <row r="47429" spans="20:20" s="566" customFormat="1">
      <c r="T47429" s="41"/>
    </row>
    <row r="47430" spans="20:20" s="566" customFormat="1">
      <c r="T47430" s="41"/>
    </row>
    <row r="47431" spans="20:20" s="566" customFormat="1">
      <c r="T47431" s="41"/>
    </row>
    <row r="47432" spans="20:20" s="566" customFormat="1">
      <c r="T47432" s="41"/>
    </row>
    <row r="47433" spans="20:20" s="566" customFormat="1">
      <c r="T47433" s="41"/>
    </row>
    <row r="47434" spans="20:20" s="566" customFormat="1">
      <c r="T47434" s="41"/>
    </row>
    <row r="47435" spans="20:20" s="566" customFormat="1">
      <c r="T47435" s="41"/>
    </row>
    <row r="47436" spans="20:20" s="566" customFormat="1">
      <c r="T47436" s="41"/>
    </row>
    <row r="47437" spans="20:20" s="566" customFormat="1">
      <c r="T47437" s="41"/>
    </row>
    <row r="47438" spans="20:20" s="566" customFormat="1">
      <c r="T47438" s="41"/>
    </row>
    <row r="47439" spans="20:20" s="566" customFormat="1">
      <c r="T47439" s="41"/>
    </row>
    <row r="47440" spans="20:20" s="566" customFormat="1">
      <c r="T47440" s="41"/>
    </row>
    <row r="47441" spans="20:20" s="566" customFormat="1">
      <c r="T47441" s="41"/>
    </row>
    <row r="47442" spans="20:20" s="566" customFormat="1">
      <c r="T47442" s="41"/>
    </row>
    <row r="47443" spans="20:20" s="566" customFormat="1">
      <c r="T47443" s="41"/>
    </row>
    <row r="47444" spans="20:20" s="566" customFormat="1">
      <c r="T47444" s="41"/>
    </row>
    <row r="47445" spans="20:20" s="566" customFormat="1">
      <c r="T47445" s="41"/>
    </row>
    <row r="47446" spans="20:20" s="566" customFormat="1">
      <c r="T47446" s="41"/>
    </row>
    <row r="47447" spans="20:20" s="566" customFormat="1">
      <c r="T47447" s="41"/>
    </row>
    <row r="47448" spans="20:20" s="566" customFormat="1">
      <c r="T47448" s="41"/>
    </row>
    <row r="47449" spans="20:20" s="566" customFormat="1">
      <c r="T47449" s="41"/>
    </row>
    <row r="47450" spans="20:20" s="566" customFormat="1">
      <c r="T47450" s="41"/>
    </row>
    <row r="47451" spans="20:20" s="566" customFormat="1">
      <c r="T47451" s="41"/>
    </row>
    <row r="47452" spans="20:20" s="566" customFormat="1">
      <c r="T47452" s="41"/>
    </row>
    <row r="47453" spans="20:20" s="566" customFormat="1">
      <c r="T47453" s="41"/>
    </row>
    <row r="47454" spans="20:20" s="566" customFormat="1">
      <c r="T47454" s="41"/>
    </row>
    <row r="47455" spans="20:20" s="566" customFormat="1">
      <c r="T47455" s="41"/>
    </row>
    <row r="47456" spans="20:20" s="566" customFormat="1">
      <c r="T47456" s="41"/>
    </row>
    <row r="47457" spans="20:20" s="566" customFormat="1">
      <c r="T47457" s="41"/>
    </row>
    <row r="47458" spans="20:20" s="566" customFormat="1">
      <c r="T47458" s="41"/>
    </row>
    <row r="47459" spans="20:20" s="566" customFormat="1">
      <c r="T47459" s="41"/>
    </row>
    <row r="47460" spans="20:20" s="566" customFormat="1">
      <c r="T47460" s="41"/>
    </row>
    <row r="47461" spans="20:20" s="566" customFormat="1">
      <c r="T47461" s="41"/>
    </row>
    <row r="47462" spans="20:20" s="566" customFormat="1">
      <c r="T47462" s="41"/>
    </row>
    <row r="47463" spans="20:20" s="566" customFormat="1">
      <c r="T47463" s="41"/>
    </row>
    <row r="47464" spans="20:20" s="566" customFormat="1">
      <c r="T47464" s="41"/>
    </row>
    <row r="47465" spans="20:20" s="566" customFormat="1">
      <c r="T47465" s="41"/>
    </row>
    <row r="47466" spans="20:20" s="566" customFormat="1">
      <c r="T47466" s="41"/>
    </row>
    <row r="47467" spans="20:20" s="566" customFormat="1">
      <c r="T47467" s="41"/>
    </row>
    <row r="47468" spans="20:20" s="566" customFormat="1">
      <c r="T47468" s="41"/>
    </row>
    <row r="47469" spans="20:20" s="566" customFormat="1">
      <c r="T47469" s="41"/>
    </row>
    <row r="47470" spans="20:20" s="566" customFormat="1">
      <c r="T47470" s="41"/>
    </row>
    <row r="47471" spans="20:20" s="566" customFormat="1">
      <c r="T47471" s="41"/>
    </row>
    <row r="47472" spans="20:20" s="566" customFormat="1">
      <c r="T47472" s="41"/>
    </row>
    <row r="47473" spans="20:20" s="566" customFormat="1">
      <c r="T47473" s="41"/>
    </row>
    <row r="47474" spans="20:20" s="566" customFormat="1">
      <c r="T47474" s="41"/>
    </row>
    <row r="47475" spans="20:20" s="566" customFormat="1">
      <c r="T47475" s="41"/>
    </row>
    <row r="47476" spans="20:20" s="566" customFormat="1">
      <c r="T47476" s="41"/>
    </row>
    <row r="47477" spans="20:20" s="566" customFormat="1">
      <c r="T47477" s="41"/>
    </row>
    <row r="47478" spans="20:20" s="566" customFormat="1">
      <c r="T47478" s="41"/>
    </row>
    <row r="47479" spans="20:20" s="566" customFormat="1">
      <c r="T47479" s="41"/>
    </row>
    <row r="47480" spans="20:20" s="566" customFormat="1">
      <c r="T47480" s="41"/>
    </row>
    <row r="47481" spans="20:20" s="566" customFormat="1">
      <c r="T47481" s="41"/>
    </row>
    <row r="47482" spans="20:20" s="566" customFormat="1">
      <c r="T47482" s="41"/>
    </row>
    <row r="47483" spans="20:20" s="566" customFormat="1">
      <c r="T47483" s="41"/>
    </row>
    <row r="47484" spans="20:20" s="566" customFormat="1">
      <c r="T47484" s="41"/>
    </row>
    <row r="47485" spans="20:20" s="566" customFormat="1">
      <c r="T47485" s="41"/>
    </row>
    <row r="47486" spans="20:20" s="566" customFormat="1">
      <c r="T47486" s="41"/>
    </row>
    <row r="47487" spans="20:20" s="566" customFormat="1">
      <c r="T47487" s="41"/>
    </row>
    <row r="47488" spans="20:20" s="566" customFormat="1">
      <c r="T47488" s="41"/>
    </row>
    <row r="47489" spans="20:20" s="566" customFormat="1">
      <c r="T47489" s="41"/>
    </row>
    <row r="47490" spans="20:20" s="566" customFormat="1">
      <c r="T47490" s="41"/>
    </row>
    <row r="47491" spans="20:20" s="566" customFormat="1">
      <c r="T47491" s="41"/>
    </row>
    <row r="47492" spans="20:20" s="566" customFormat="1">
      <c r="T47492" s="41"/>
    </row>
    <row r="47493" spans="20:20" s="566" customFormat="1">
      <c r="T47493" s="41"/>
    </row>
    <row r="47494" spans="20:20" s="566" customFormat="1">
      <c r="T47494" s="41"/>
    </row>
    <row r="47495" spans="20:20" s="566" customFormat="1">
      <c r="T47495" s="41"/>
    </row>
    <row r="47496" spans="20:20" s="566" customFormat="1">
      <c r="T47496" s="41"/>
    </row>
    <row r="47497" spans="20:20" s="566" customFormat="1">
      <c r="T47497" s="41"/>
    </row>
    <row r="47498" spans="20:20" s="566" customFormat="1">
      <c r="T47498" s="41"/>
    </row>
    <row r="47499" spans="20:20" s="566" customFormat="1">
      <c r="T47499" s="41"/>
    </row>
    <row r="47500" spans="20:20" s="566" customFormat="1">
      <c r="T47500" s="41"/>
    </row>
    <row r="47501" spans="20:20" s="566" customFormat="1">
      <c r="T47501" s="41"/>
    </row>
    <row r="47502" spans="20:20" s="566" customFormat="1">
      <c r="T47502" s="41"/>
    </row>
    <row r="47503" spans="20:20" s="566" customFormat="1">
      <c r="T47503" s="41"/>
    </row>
    <row r="47504" spans="20:20" s="566" customFormat="1">
      <c r="T47504" s="41"/>
    </row>
    <row r="47505" spans="20:20" s="566" customFormat="1">
      <c r="T47505" s="41"/>
    </row>
    <row r="47506" spans="20:20" s="566" customFormat="1">
      <c r="T47506" s="41"/>
    </row>
    <row r="47507" spans="20:20" s="566" customFormat="1">
      <c r="T47507" s="41"/>
    </row>
    <row r="47508" spans="20:20" s="566" customFormat="1">
      <c r="T47508" s="41"/>
    </row>
    <row r="47509" spans="20:20" s="566" customFormat="1">
      <c r="T47509" s="41"/>
    </row>
    <row r="47510" spans="20:20" s="566" customFormat="1">
      <c r="T47510" s="41"/>
    </row>
    <row r="47511" spans="20:20" s="566" customFormat="1">
      <c r="T47511" s="41"/>
    </row>
    <row r="47512" spans="20:20" s="566" customFormat="1">
      <c r="T47512" s="41"/>
    </row>
    <row r="47513" spans="20:20" s="566" customFormat="1">
      <c r="T47513" s="41"/>
    </row>
    <row r="47514" spans="20:20" s="566" customFormat="1">
      <c r="T47514" s="41"/>
    </row>
    <row r="47515" spans="20:20" s="566" customFormat="1">
      <c r="T47515" s="41"/>
    </row>
    <row r="47516" spans="20:20" s="566" customFormat="1">
      <c r="T47516" s="41"/>
    </row>
    <row r="47517" spans="20:20" s="566" customFormat="1">
      <c r="T47517" s="41"/>
    </row>
    <row r="47518" spans="20:20" s="566" customFormat="1">
      <c r="T47518" s="41"/>
    </row>
    <row r="47519" spans="20:20" s="566" customFormat="1">
      <c r="T47519" s="41"/>
    </row>
    <row r="47520" spans="20:20" s="566" customFormat="1">
      <c r="T47520" s="41"/>
    </row>
    <row r="47521" spans="20:20" s="566" customFormat="1">
      <c r="T47521" s="41"/>
    </row>
    <row r="47522" spans="20:20" s="566" customFormat="1">
      <c r="T47522" s="41"/>
    </row>
    <row r="47523" spans="20:20" s="566" customFormat="1">
      <c r="T47523" s="41"/>
    </row>
    <row r="47524" spans="20:20" s="566" customFormat="1">
      <c r="T47524" s="41"/>
    </row>
    <row r="47525" spans="20:20" s="566" customFormat="1">
      <c r="T47525" s="41"/>
    </row>
    <row r="47526" spans="20:20" s="566" customFormat="1">
      <c r="T47526" s="41"/>
    </row>
    <row r="47527" spans="20:20" s="566" customFormat="1">
      <c r="T47527" s="41"/>
    </row>
    <row r="47528" spans="20:20" s="566" customFormat="1">
      <c r="T47528" s="41"/>
    </row>
    <row r="47529" spans="20:20" s="566" customFormat="1">
      <c r="T47529" s="41"/>
    </row>
    <row r="47530" spans="20:20" s="566" customFormat="1">
      <c r="T47530" s="41"/>
    </row>
    <row r="47531" spans="20:20" s="566" customFormat="1">
      <c r="T47531" s="41"/>
    </row>
    <row r="47532" spans="20:20" s="566" customFormat="1">
      <c r="T47532" s="41"/>
    </row>
    <row r="47533" spans="20:20" s="566" customFormat="1">
      <c r="T47533" s="41"/>
    </row>
    <row r="47534" spans="20:20" s="566" customFormat="1">
      <c r="T47534" s="41"/>
    </row>
    <row r="47535" spans="20:20" s="566" customFormat="1">
      <c r="T47535" s="41"/>
    </row>
    <row r="47536" spans="20:20" s="566" customFormat="1">
      <c r="T47536" s="41"/>
    </row>
    <row r="47537" spans="20:20" s="566" customFormat="1">
      <c r="T47537" s="41"/>
    </row>
    <row r="47538" spans="20:20" s="566" customFormat="1">
      <c r="T47538" s="41"/>
    </row>
    <row r="47539" spans="20:20" s="566" customFormat="1">
      <c r="T47539" s="41"/>
    </row>
    <row r="47540" spans="20:20" s="566" customFormat="1">
      <c r="T47540" s="41"/>
    </row>
    <row r="47541" spans="20:20" s="566" customFormat="1">
      <c r="T47541" s="41"/>
    </row>
    <row r="47542" spans="20:20" s="566" customFormat="1">
      <c r="T47542" s="41"/>
    </row>
    <row r="47543" spans="20:20" s="566" customFormat="1">
      <c r="T47543" s="41"/>
    </row>
    <row r="47544" spans="20:20" s="566" customFormat="1">
      <c r="T47544" s="41"/>
    </row>
    <row r="47545" spans="20:20" s="566" customFormat="1">
      <c r="T47545" s="41"/>
    </row>
    <row r="47546" spans="20:20" s="566" customFormat="1">
      <c r="T47546" s="41"/>
    </row>
    <row r="47547" spans="20:20" s="566" customFormat="1">
      <c r="T47547" s="41"/>
    </row>
    <row r="47548" spans="20:20" s="566" customFormat="1">
      <c r="T47548" s="41"/>
    </row>
    <row r="47549" spans="20:20" s="566" customFormat="1">
      <c r="T47549" s="41"/>
    </row>
    <row r="47550" spans="20:20" s="566" customFormat="1">
      <c r="T47550" s="41"/>
    </row>
    <row r="47551" spans="20:20" s="566" customFormat="1">
      <c r="T47551" s="41"/>
    </row>
    <row r="47552" spans="20:20" s="566" customFormat="1">
      <c r="T47552" s="41"/>
    </row>
    <row r="47553" spans="20:20" s="566" customFormat="1">
      <c r="T47553" s="41"/>
    </row>
    <row r="47554" spans="20:20" s="566" customFormat="1">
      <c r="T47554" s="41"/>
    </row>
    <row r="47555" spans="20:20" s="566" customFormat="1">
      <c r="T47555" s="41"/>
    </row>
    <row r="47556" spans="20:20" s="566" customFormat="1">
      <c r="T47556" s="41"/>
    </row>
    <row r="47557" spans="20:20" s="566" customFormat="1">
      <c r="T47557" s="41"/>
    </row>
    <row r="47558" spans="20:20" s="566" customFormat="1">
      <c r="T47558" s="41"/>
    </row>
    <row r="47559" spans="20:20" s="566" customFormat="1">
      <c r="T47559" s="41"/>
    </row>
    <row r="47560" spans="20:20" s="566" customFormat="1">
      <c r="T47560" s="41"/>
    </row>
    <row r="47561" spans="20:20" s="566" customFormat="1">
      <c r="T47561" s="41"/>
    </row>
    <row r="47562" spans="20:20" s="566" customFormat="1">
      <c r="T47562" s="41"/>
    </row>
    <row r="47563" spans="20:20" s="566" customFormat="1">
      <c r="T47563" s="41"/>
    </row>
    <row r="47564" spans="20:20" s="566" customFormat="1">
      <c r="T47564" s="41"/>
    </row>
    <row r="47565" spans="20:20" s="566" customFormat="1">
      <c r="T47565" s="41"/>
    </row>
    <row r="47566" spans="20:20" s="566" customFormat="1">
      <c r="T47566" s="41"/>
    </row>
    <row r="47567" spans="20:20" s="566" customFormat="1">
      <c r="T47567" s="41"/>
    </row>
    <row r="47568" spans="20:20" s="566" customFormat="1">
      <c r="T47568" s="41"/>
    </row>
    <row r="47569" spans="20:20" s="566" customFormat="1">
      <c r="T47569" s="41"/>
    </row>
    <row r="47570" spans="20:20" s="566" customFormat="1">
      <c r="T47570" s="41"/>
    </row>
    <row r="47571" spans="20:20" s="566" customFormat="1">
      <c r="T47571" s="41"/>
    </row>
    <row r="47572" spans="20:20" s="566" customFormat="1">
      <c r="T47572" s="41"/>
    </row>
    <row r="47573" spans="20:20" s="566" customFormat="1">
      <c r="T47573" s="41"/>
    </row>
    <row r="47574" spans="20:20" s="566" customFormat="1">
      <c r="T47574" s="41"/>
    </row>
    <row r="47575" spans="20:20" s="566" customFormat="1">
      <c r="T47575" s="41"/>
    </row>
    <row r="47576" spans="20:20" s="566" customFormat="1">
      <c r="T47576" s="41"/>
    </row>
    <row r="47577" spans="20:20" s="566" customFormat="1">
      <c r="T47577" s="41"/>
    </row>
    <row r="47578" spans="20:20" s="566" customFormat="1">
      <c r="T47578" s="41"/>
    </row>
    <row r="47579" spans="20:20" s="566" customFormat="1">
      <c r="T47579" s="41"/>
    </row>
    <row r="47580" spans="20:20" s="566" customFormat="1">
      <c r="T47580" s="41"/>
    </row>
    <row r="47581" spans="20:20" s="566" customFormat="1">
      <c r="T47581" s="41"/>
    </row>
    <row r="47582" spans="20:20" s="566" customFormat="1">
      <c r="T47582" s="41"/>
    </row>
    <row r="47583" spans="20:20" s="566" customFormat="1">
      <c r="T47583" s="41"/>
    </row>
    <row r="47584" spans="20:20" s="566" customFormat="1">
      <c r="T47584" s="41"/>
    </row>
    <row r="47585" spans="20:20" s="566" customFormat="1">
      <c r="T47585" s="41"/>
    </row>
    <row r="47586" spans="20:20" s="566" customFormat="1">
      <c r="T47586" s="41"/>
    </row>
    <row r="47587" spans="20:20" s="566" customFormat="1">
      <c r="T47587" s="41"/>
    </row>
    <row r="47588" spans="20:20" s="566" customFormat="1">
      <c r="T47588" s="41"/>
    </row>
    <row r="47589" spans="20:20" s="566" customFormat="1">
      <c r="T47589" s="41"/>
    </row>
    <row r="47590" spans="20:20" s="566" customFormat="1">
      <c r="T47590" s="41"/>
    </row>
    <row r="47591" spans="20:20" s="566" customFormat="1">
      <c r="T47591" s="41"/>
    </row>
    <row r="47592" spans="20:20" s="566" customFormat="1">
      <c r="T47592" s="41"/>
    </row>
    <row r="47593" spans="20:20" s="566" customFormat="1">
      <c r="T47593" s="41"/>
    </row>
    <row r="47594" spans="20:20" s="566" customFormat="1">
      <c r="T47594" s="41"/>
    </row>
    <row r="47595" spans="20:20" s="566" customFormat="1">
      <c r="T47595" s="41"/>
    </row>
    <row r="47596" spans="20:20" s="566" customFormat="1">
      <c r="T47596" s="41"/>
    </row>
    <row r="47597" spans="20:20" s="566" customFormat="1">
      <c r="T47597" s="41"/>
    </row>
    <row r="47598" spans="20:20" s="566" customFormat="1">
      <c r="T47598" s="41"/>
    </row>
    <row r="47599" spans="20:20" s="566" customFormat="1">
      <c r="T47599" s="41"/>
    </row>
    <row r="47600" spans="20:20" s="566" customFormat="1">
      <c r="T47600" s="41"/>
    </row>
    <row r="47601" spans="20:20" s="566" customFormat="1">
      <c r="T47601" s="41"/>
    </row>
    <row r="47602" spans="20:20" s="566" customFormat="1">
      <c r="T47602" s="41"/>
    </row>
    <row r="47603" spans="20:20" s="566" customFormat="1">
      <c r="T47603" s="41"/>
    </row>
    <row r="47604" spans="20:20" s="566" customFormat="1">
      <c r="T47604" s="41"/>
    </row>
    <row r="47605" spans="20:20" s="566" customFormat="1">
      <c r="T47605" s="41"/>
    </row>
    <row r="47606" spans="20:20" s="566" customFormat="1">
      <c r="T47606" s="41"/>
    </row>
    <row r="47607" spans="20:20" s="566" customFormat="1">
      <c r="T47607" s="41"/>
    </row>
    <row r="47608" spans="20:20" s="566" customFormat="1">
      <c r="T47608" s="41"/>
    </row>
    <row r="47609" spans="20:20" s="566" customFormat="1">
      <c r="T47609" s="41"/>
    </row>
    <row r="47610" spans="20:20" s="566" customFormat="1">
      <c r="T47610" s="41"/>
    </row>
    <row r="47611" spans="20:20" s="566" customFormat="1">
      <c r="T47611" s="41"/>
    </row>
    <row r="47612" spans="20:20" s="566" customFormat="1">
      <c r="T47612" s="41"/>
    </row>
    <row r="47613" spans="20:20" s="566" customFormat="1">
      <c r="T47613" s="41"/>
    </row>
    <row r="47614" spans="20:20" s="566" customFormat="1">
      <c r="T47614" s="41"/>
    </row>
    <row r="47615" spans="20:20" s="566" customFormat="1">
      <c r="T47615" s="41"/>
    </row>
    <row r="47616" spans="20:20" s="566" customFormat="1">
      <c r="T47616" s="41"/>
    </row>
    <row r="47617" spans="20:20" s="566" customFormat="1">
      <c r="T47617" s="41"/>
    </row>
    <row r="47618" spans="20:20" s="566" customFormat="1">
      <c r="T47618" s="41"/>
    </row>
    <row r="47619" spans="20:20" s="566" customFormat="1">
      <c r="T47619" s="41"/>
    </row>
    <row r="47620" spans="20:20" s="566" customFormat="1">
      <c r="T47620" s="41"/>
    </row>
    <row r="47621" spans="20:20" s="566" customFormat="1">
      <c r="T47621" s="41"/>
    </row>
    <row r="47622" spans="20:20" s="566" customFormat="1">
      <c r="T47622" s="41"/>
    </row>
    <row r="47623" spans="20:20" s="566" customFormat="1">
      <c r="T47623" s="41"/>
    </row>
    <row r="47624" spans="20:20" s="566" customFormat="1">
      <c r="T47624" s="41"/>
    </row>
    <row r="47625" spans="20:20" s="566" customFormat="1">
      <c r="T47625" s="41"/>
    </row>
    <row r="47626" spans="20:20" s="566" customFormat="1">
      <c r="T47626" s="41"/>
    </row>
    <row r="47627" spans="20:20" s="566" customFormat="1">
      <c r="T47627" s="41"/>
    </row>
    <row r="47628" spans="20:20" s="566" customFormat="1">
      <c r="T47628" s="41"/>
    </row>
    <row r="47629" spans="20:20" s="566" customFormat="1">
      <c r="T47629" s="41"/>
    </row>
    <row r="47630" spans="20:20" s="566" customFormat="1">
      <c r="T47630" s="41"/>
    </row>
    <row r="47631" spans="20:20" s="566" customFormat="1">
      <c r="T47631" s="41"/>
    </row>
    <row r="47632" spans="20:20" s="566" customFormat="1">
      <c r="T47632" s="41"/>
    </row>
    <row r="47633" spans="20:20" s="566" customFormat="1">
      <c r="T47633" s="41"/>
    </row>
    <row r="47634" spans="20:20" s="566" customFormat="1">
      <c r="T47634" s="41"/>
    </row>
    <row r="47635" spans="20:20" s="566" customFormat="1">
      <c r="T47635" s="41"/>
    </row>
    <row r="47636" spans="20:20" s="566" customFormat="1">
      <c r="T47636" s="41"/>
    </row>
    <row r="47637" spans="20:20" s="566" customFormat="1">
      <c r="T47637" s="41"/>
    </row>
    <row r="47638" spans="20:20" s="566" customFormat="1">
      <c r="T47638" s="41"/>
    </row>
    <row r="47639" spans="20:20" s="566" customFormat="1">
      <c r="T47639" s="41"/>
    </row>
    <row r="47640" spans="20:20" s="566" customFormat="1">
      <c r="T47640" s="41"/>
    </row>
    <row r="47641" spans="20:20" s="566" customFormat="1">
      <c r="T47641" s="41"/>
    </row>
    <row r="47642" spans="20:20" s="566" customFormat="1">
      <c r="T47642" s="41"/>
    </row>
    <row r="47643" spans="20:20" s="566" customFormat="1">
      <c r="T47643" s="41"/>
    </row>
    <row r="47644" spans="20:20" s="566" customFormat="1">
      <c r="T47644" s="41"/>
    </row>
    <row r="47645" spans="20:20" s="566" customFormat="1">
      <c r="T47645" s="41"/>
    </row>
    <row r="47646" spans="20:20" s="566" customFormat="1">
      <c r="T47646" s="41"/>
    </row>
    <row r="47647" spans="20:20" s="566" customFormat="1">
      <c r="T47647" s="41"/>
    </row>
    <row r="47648" spans="20:20" s="566" customFormat="1">
      <c r="T47648" s="41"/>
    </row>
    <row r="47649" spans="20:20" s="566" customFormat="1">
      <c r="T47649" s="41"/>
    </row>
    <row r="47650" spans="20:20" s="566" customFormat="1">
      <c r="T47650" s="41"/>
    </row>
    <row r="47651" spans="20:20" s="566" customFormat="1">
      <c r="T47651" s="41"/>
    </row>
    <row r="47652" spans="20:20" s="566" customFormat="1">
      <c r="T47652" s="41"/>
    </row>
    <row r="47653" spans="20:20" s="566" customFormat="1">
      <c r="T47653" s="41"/>
    </row>
    <row r="47654" spans="20:20" s="566" customFormat="1">
      <c r="T47654" s="41"/>
    </row>
    <row r="47655" spans="20:20" s="566" customFormat="1">
      <c r="T47655" s="41"/>
    </row>
    <row r="47656" spans="20:20" s="566" customFormat="1">
      <c r="T47656" s="41"/>
    </row>
    <row r="47657" spans="20:20" s="566" customFormat="1">
      <c r="T47657" s="41"/>
    </row>
    <row r="47658" spans="20:20" s="566" customFormat="1">
      <c r="T47658" s="41"/>
    </row>
    <row r="47659" spans="20:20" s="566" customFormat="1">
      <c r="T47659" s="41"/>
    </row>
    <row r="47660" spans="20:20" s="566" customFormat="1">
      <c r="T47660" s="41"/>
    </row>
    <row r="47661" spans="20:20" s="566" customFormat="1">
      <c r="T47661" s="41"/>
    </row>
    <row r="47662" spans="20:20" s="566" customFormat="1">
      <c r="T47662" s="41"/>
    </row>
    <row r="47663" spans="20:20" s="566" customFormat="1">
      <c r="T47663" s="41"/>
    </row>
    <row r="47664" spans="20:20" s="566" customFormat="1">
      <c r="T47664" s="41"/>
    </row>
    <row r="47665" spans="20:20" s="566" customFormat="1">
      <c r="T47665" s="41"/>
    </row>
    <row r="47666" spans="20:20" s="566" customFormat="1">
      <c r="T47666" s="41"/>
    </row>
    <row r="47667" spans="20:20" s="566" customFormat="1">
      <c r="T47667" s="41"/>
    </row>
    <row r="47668" spans="20:20" s="566" customFormat="1">
      <c r="T47668" s="41"/>
    </row>
    <row r="47669" spans="20:20" s="566" customFormat="1">
      <c r="T47669" s="41"/>
    </row>
    <row r="47670" spans="20:20" s="566" customFormat="1">
      <c r="T47670" s="41"/>
    </row>
    <row r="47671" spans="20:20" s="566" customFormat="1">
      <c r="T47671" s="41"/>
    </row>
    <row r="47672" spans="20:20" s="566" customFormat="1">
      <c r="T47672" s="41"/>
    </row>
    <row r="47673" spans="20:20" s="566" customFormat="1">
      <c r="T47673" s="41"/>
    </row>
    <row r="47674" spans="20:20" s="566" customFormat="1">
      <c r="T47674" s="41"/>
    </row>
    <row r="47675" spans="20:20" s="566" customFormat="1">
      <c r="T47675" s="41"/>
    </row>
    <row r="47676" spans="20:20" s="566" customFormat="1">
      <c r="T47676" s="41"/>
    </row>
    <row r="47677" spans="20:20" s="566" customFormat="1">
      <c r="T47677" s="41"/>
    </row>
    <row r="47678" spans="20:20" s="566" customFormat="1">
      <c r="T47678" s="41"/>
    </row>
    <row r="47679" spans="20:20" s="566" customFormat="1">
      <c r="T47679" s="41"/>
    </row>
    <row r="47680" spans="20:20" s="566" customFormat="1">
      <c r="T47680" s="41"/>
    </row>
    <row r="47681" spans="20:20" s="566" customFormat="1">
      <c r="T47681" s="41"/>
    </row>
    <row r="47682" spans="20:20" s="566" customFormat="1">
      <c r="T47682" s="41"/>
    </row>
    <row r="47683" spans="20:20" s="566" customFormat="1">
      <c r="T47683" s="41"/>
    </row>
    <row r="47684" spans="20:20" s="566" customFormat="1">
      <c r="T47684" s="41"/>
    </row>
    <row r="47685" spans="20:20" s="566" customFormat="1">
      <c r="T47685" s="41"/>
    </row>
    <row r="47686" spans="20:20" s="566" customFormat="1">
      <c r="T47686" s="41"/>
    </row>
    <row r="47687" spans="20:20" s="566" customFormat="1">
      <c r="T47687" s="41"/>
    </row>
    <row r="47688" spans="20:20" s="566" customFormat="1">
      <c r="T47688" s="41"/>
    </row>
    <row r="47689" spans="20:20" s="566" customFormat="1">
      <c r="T47689" s="41"/>
    </row>
    <row r="47690" spans="20:20" s="566" customFormat="1">
      <c r="T47690" s="41"/>
    </row>
    <row r="47691" spans="20:20" s="566" customFormat="1">
      <c r="T47691" s="41"/>
    </row>
    <row r="47692" spans="20:20" s="566" customFormat="1">
      <c r="T47692" s="41"/>
    </row>
    <row r="47693" spans="20:20" s="566" customFormat="1">
      <c r="T47693" s="41"/>
    </row>
    <row r="47694" spans="20:20" s="566" customFormat="1">
      <c r="T47694" s="41"/>
    </row>
    <row r="47695" spans="20:20" s="566" customFormat="1">
      <c r="T47695" s="41"/>
    </row>
    <row r="47696" spans="20:20" s="566" customFormat="1">
      <c r="T47696" s="41"/>
    </row>
    <row r="47697" spans="20:20" s="566" customFormat="1">
      <c r="T47697" s="41"/>
    </row>
    <row r="47698" spans="20:20" s="566" customFormat="1">
      <c r="T47698" s="41"/>
    </row>
    <row r="47699" spans="20:20" s="566" customFormat="1">
      <c r="T47699" s="41"/>
    </row>
    <row r="47700" spans="20:20" s="566" customFormat="1">
      <c r="T47700" s="41"/>
    </row>
    <row r="47701" spans="20:20" s="566" customFormat="1">
      <c r="T47701" s="41"/>
    </row>
    <row r="47702" spans="20:20" s="566" customFormat="1">
      <c r="T47702" s="41"/>
    </row>
    <row r="47703" spans="20:20" s="566" customFormat="1">
      <c r="T47703" s="41"/>
    </row>
    <row r="47704" spans="20:20" s="566" customFormat="1">
      <c r="T47704" s="41"/>
    </row>
    <row r="47705" spans="20:20" s="566" customFormat="1">
      <c r="T47705" s="41"/>
    </row>
    <row r="47706" spans="20:20" s="566" customFormat="1">
      <c r="T47706" s="41"/>
    </row>
    <row r="47707" spans="20:20" s="566" customFormat="1">
      <c r="T47707" s="41"/>
    </row>
    <row r="47708" spans="20:20" s="566" customFormat="1">
      <c r="T47708" s="41"/>
    </row>
    <row r="47709" spans="20:20" s="566" customFormat="1">
      <c r="T47709" s="41"/>
    </row>
    <row r="47710" spans="20:20" s="566" customFormat="1">
      <c r="T47710" s="41"/>
    </row>
    <row r="47711" spans="20:20" s="566" customFormat="1">
      <c r="T47711" s="41"/>
    </row>
    <row r="47712" spans="20:20" s="566" customFormat="1">
      <c r="T47712" s="41"/>
    </row>
    <row r="47713" spans="20:20" s="566" customFormat="1">
      <c r="T47713" s="41"/>
    </row>
    <row r="47714" spans="20:20" s="566" customFormat="1">
      <c r="T47714" s="41"/>
    </row>
    <row r="47715" spans="20:20" s="566" customFormat="1">
      <c r="T47715" s="41"/>
    </row>
    <row r="47716" spans="20:20" s="566" customFormat="1">
      <c r="T47716" s="41"/>
    </row>
    <row r="47717" spans="20:20" s="566" customFormat="1">
      <c r="T47717" s="41"/>
    </row>
    <row r="47718" spans="20:20" s="566" customFormat="1">
      <c r="T47718" s="41"/>
    </row>
    <row r="47719" spans="20:20" s="566" customFormat="1">
      <c r="T47719" s="41"/>
    </row>
    <row r="47720" spans="20:20" s="566" customFormat="1">
      <c r="T47720" s="41"/>
    </row>
    <row r="47721" spans="20:20" s="566" customFormat="1">
      <c r="T47721" s="41"/>
    </row>
    <row r="47722" spans="20:20" s="566" customFormat="1">
      <c r="T47722" s="41"/>
    </row>
    <row r="47723" spans="20:20" s="566" customFormat="1">
      <c r="T47723" s="41"/>
    </row>
    <row r="47724" spans="20:20" s="566" customFormat="1">
      <c r="T47724" s="41"/>
    </row>
    <row r="47725" spans="20:20" s="566" customFormat="1">
      <c r="T47725" s="41"/>
    </row>
    <row r="47726" spans="20:20" s="566" customFormat="1">
      <c r="T47726" s="41"/>
    </row>
    <row r="47727" spans="20:20" s="566" customFormat="1">
      <c r="T47727" s="41"/>
    </row>
    <row r="47728" spans="20:20" s="566" customFormat="1">
      <c r="T47728" s="41"/>
    </row>
    <row r="47729" spans="20:20" s="566" customFormat="1">
      <c r="T47729" s="41"/>
    </row>
    <row r="47730" spans="20:20" s="566" customFormat="1">
      <c r="T47730" s="41"/>
    </row>
    <row r="47731" spans="20:20" s="566" customFormat="1">
      <c r="T47731" s="41"/>
    </row>
    <row r="47732" spans="20:20" s="566" customFormat="1">
      <c r="T47732" s="41"/>
    </row>
    <row r="47733" spans="20:20" s="566" customFormat="1">
      <c r="T47733" s="41"/>
    </row>
    <row r="47734" spans="20:20" s="566" customFormat="1">
      <c r="T47734" s="41"/>
    </row>
    <row r="47735" spans="20:20" s="566" customFormat="1">
      <c r="T47735" s="41"/>
    </row>
    <row r="47736" spans="20:20" s="566" customFormat="1">
      <c r="T47736" s="41"/>
    </row>
    <row r="47737" spans="20:20" s="566" customFormat="1">
      <c r="T47737" s="41"/>
    </row>
    <row r="47738" spans="20:20" s="566" customFormat="1">
      <c r="T47738" s="41"/>
    </row>
    <row r="47739" spans="20:20" s="566" customFormat="1">
      <c r="T47739" s="41"/>
    </row>
    <row r="47740" spans="20:20" s="566" customFormat="1">
      <c r="T47740" s="41"/>
    </row>
    <row r="47741" spans="20:20" s="566" customFormat="1">
      <c r="T47741" s="41"/>
    </row>
    <row r="47742" spans="20:20" s="566" customFormat="1">
      <c r="T47742" s="41"/>
    </row>
    <row r="47743" spans="20:20" s="566" customFormat="1">
      <c r="T47743" s="41"/>
    </row>
    <row r="47744" spans="20:20" s="566" customFormat="1">
      <c r="T47744" s="41"/>
    </row>
    <row r="47745" spans="20:20" s="566" customFormat="1">
      <c r="T47745" s="41"/>
    </row>
    <row r="47746" spans="20:20" s="566" customFormat="1">
      <c r="T47746" s="41"/>
    </row>
    <row r="47747" spans="20:20" s="566" customFormat="1">
      <c r="T47747" s="41"/>
    </row>
    <row r="47748" spans="20:20" s="566" customFormat="1">
      <c r="T47748" s="41"/>
    </row>
    <row r="47749" spans="20:20" s="566" customFormat="1">
      <c r="T47749" s="41"/>
    </row>
    <row r="47750" spans="20:20" s="566" customFormat="1">
      <c r="T47750" s="41"/>
    </row>
    <row r="47751" spans="20:20" s="566" customFormat="1">
      <c r="T47751" s="41"/>
    </row>
    <row r="47752" spans="20:20" s="566" customFormat="1">
      <c r="T47752" s="41"/>
    </row>
    <row r="47753" spans="20:20" s="566" customFormat="1">
      <c r="T47753" s="41"/>
    </row>
    <row r="47754" spans="20:20" s="566" customFormat="1">
      <c r="T47754" s="41"/>
    </row>
    <row r="47755" spans="20:20" s="566" customFormat="1">
      <c r="T47755" s="41"/>
    </row>
    <row r="47756" spans="20:20" s="566" customFormat="1">
      <c r="T47756" s="41"/>
    </row>
    <row r="47757" spans="20:20" s="566" customFormat="1">
      <c r="T47757" s="41"/>
    </row>
    <row r="47758" spans="20:20" s="566" customFormat="1">
      <c r="T47758" s="41"/>
    </row>
    <row r="47759" spans="20:20" s="566" customFormat="1">
      <c r="T47759" s="41"/>
    </row>
    <row r="47760" spans="20:20" s="566" customFormat="1">
      <c r="T47760" s="41"/>
    </row>
    <row r="47761" spans="20:20" s="566" customFormat="1">
      <c r="T47761" s="41"/>
    </row>
    <row r="47762" spans="20:20" s="566" customFormat="1">
      <c r="T47762" s="41"/>
    </row>
    <row r="47763" spans="20:20" s="566" customFormat="1">
      <c r="T47763" s="41"/>
    </row>
    <row r="47764" spans="20:20" s="566" customFormat="1">
      <c r="T47764" s="41"/>
    </row>
    <row r="47765" spans="20:20" s="566" customFormat="1">
      <c r="T47765" s="41"/>
    </row>
    <row r="47766" spans="20:20" s="566" customFormat="1">
      <c r="T47766" s="41"/>
    </row>
    <row r="47767" spans="20:20" s="566" customFormat="1">
      <c r="T47767" s="41"/>
    </row>
    <row r="47768" spans="20:20" s="566" customFormat="1">
      <c r="T47768" s="41"/>
    </row>
    <row r="47769" spans="20:20" s="566" customFormat="1">
      <c r="T47769" s="41"/>
    </row>
    <row r="47770" spans="20:20" s="566" customFormat="1">
      <c r="T47770" s="41"/>
    </row>
    <row r="47771" spans="20:20" s="566" customFormat="1">
      <c r="T47771" s="41"/>
    </row>
    <row r="47772" spans="20:20" s="566" customFormat="1">
      <c r="T47772" s="41"/>
    </row>
    <row r="47773" spans="20:20" s="566" customFormat="1">
      <c r="T47773" s="41"/>
    </row>
    <row r="47774" spans="20:20" s="566" customFormat="1">
      <c r="T47774" s="41"/>
    </row>
    <row r="47775" spans="20:20" s="566" customFormat="1">
      <c r="T47775" s="41"/>
    </row>
    <row r="47776" spans="20:20" s="566" customFormat="1">
      <c r="T47776" s="41"/>
    </row>
    <row r="47777" spans="20:20" s="566" customFormat="1">
      <c r="T47777" s="41"/>
    </row>
    <row r="47778" spans="20:20" s="566" customFormat="1">
      <c r="T47778" s="41"/>
    </row>
    <row r="47779" spans="20:20" s="566" customFormat="1">
      <c r="T47779" s="41"/>
    </row>
    <row r="47780" spans="20:20" s="566" customFormat="1">
      <c r="T47780" s="41"/>
    </row>
    <row r="47781" spans="20:20" s="566" customFormat="1">
      <c r="T47781" s="41"/>
    </row>
    <row r="47782" spans="20:20" s="566" customFormat="1">
      <c r="T47782" s="41"/>
    </row>
    <row r="47783" spans="20:20" s="566" customFormat="1">
      <c r="T47783" s="41"/>
    </row>
    <row r="47784" spans="20:20" s="566" customFormat="1">
      <c r="T47784" s="41"/>
    </row>
    <row r="47785" spans="20:20" s="566" customFormat="1">
      <c r="T47785" s="41"/>
    </row>
    <row r="47786" spans="20:20" s="566" customFormat="1">
      <c r="T47786" s="41"/>
    </row>
    <row r="47787" spans="20:20" s="566" customFormat="1">
      <c r="T47787" s="41"/>
    </row>
    <row r="47788" spans="20:20" s="566" customFormat="1">
      <c r="T47788" s="41"/>
    </row>
    <row r="47789" spans="20:20" s="566" customFormat="1">
      <c r="T47789" s="41"/>
    </row>
    <row r="47790" spans="20:20" s="566" customFormat="1">
      <c r="T47790" s="41"/>
    </row>
    <row r="47791" spans="20:20" s="566" customFormat="1">
      <c r="T47791" s="41"/>
    </row>
    <row r="47792" spans="20:20" s="566" customFormat="1">
      <c r="T47792" s="41"/>
    </row>
    <row r="47793" spans="20:20" s="566" customFormat="1">
      <c r="T47793" s="41"/>
    </row>
    <row r="47794" spans="20:20" s="566" customFormat="1">
      <c r="T47794" s="41"/>
    </row>
    <row r="47795" spans="20:20" s="566" customFormat="1">
      <c r="T47795" s="41"/>
    </row>
    <row r="47796" spans="20:20" s="566" customFormat="1">
      <c r="T47796" s="41"/>
    </row>
    <row r="47797" spans="20:20" s="566" customFormat="1">
      <c r="T47797" s="41"/>
    </row>
    <row r="47798" spans="20:20" s="566" customFormat="1">
      <c r="T47798" s="41"/>
    </row>
    <row r="47799" spans="20:20" s="566" customFormat="1">
      <c r="T47799" s="41"/>
    </row>
    <row r="47800" spans="20:20" s="566" customFormat="1">
      <c r="T47800" s="41"/>
    </row>
    <row r="47801" spans="20:20" s="566" customFormat="1">
      <c r="T47801" s="41"/>
    </row>
    <row r="47802" spans="20:20" s="566" customFormat="1">
      <c r="T47802" s="41"/>
    </row>
    <row r="47803" spans="20:20" s="566" customFormat="1">
      <c r="T47803" s="41"/>
    </row>
    <row r="47804" spans="20:20" s="566" customFormat="1">
      <c r="T47804" s="41"/>
    </row>
    <row r="47805" spans="20:20" s="566" customFormat="1">
      <c r="T47805" s="41"/>
    </row>
    <row r="47806" spans="20:20" s="566" customFormat="1">
      <c r="T47806" s="41"/>
    </row>
    <row r="47807" spans="20:20" s="566" customFormat="1">
      <c r="T47807" s="41"/>
    </row>
    <row r="47808" spans="20:20" s="566" customFormat="1">
      <c r="T47808" s="41"/>
    </row>
    <row r="47809" spans="20:20" s="566" customFormat="1">
      <c r="T47809" s="41"/>
    </row>
    <row r="47810" spans="20:20" s="566" customFormat="1">
      <c r="T47810" s="41"/>
    </row>
    <row r="47811" spans="20:20" s="566" customFormat="1">
      <c r="T47811" s="41"/>
    </row>
    <row r="47812" spans="20:20" s="566" customFormat="1">
      <c r="T47812" s="41"/>
    </row>
    <row r="47813" spans="20:20" s="566" customFormat="1">
      <c r="T47813" s="41"/>
    </row>
    <row r="47814" spans="20:20" s="566" customFormat="1">
      <c r="T47814" s="41"/>
    </row>
    <row r="47815" spans="20:20" s="566" customFormat="1">
      <c r="T47815" s="41"/>
    </row>
    <row r="47816" spans="20:20" s="566" customFormat="1">
      <c r="T47816" s="41"/>
    </row>
    <row r="47817" spans="20:20" s="566" customFormat="1">
      <c r="T47817" s="41"/>
    </row>
    <row r="47818" spans="20:20" s="566" customFormat="1">
      <c r="T47818" s="41"/>
    </row>
    <row r="47819" spans="20:20" s="566" customFormat="1">
      <c r="T47819" s="41"/>
    </row>
    <row r="47820" spans="20:20" s="566" customFormat="1">
      <c r="T47820" s="41"/>
    </row>
    <row r="47821" spans="20:20" s="566" customFormat="1">
      <c r="T47821" s="41"/>
    </row>
    <row r="47822" spans="20:20" s="566" customFormat="1">
      <c r="T47822" s="41"/>
    </row>
    <row r="47823" spans="20:20" s="566" customFormat="1">
      <c r="T47823" s="41"/>
    </row>
    <row r="47824" spans="20:20" s="566" customFormat="1">
      <c r="T47824" s="41"/>
    </row>
    <row r="47825" spans="20:20" s="566" customFormat="1">
      <c r="T47825" s="41"/>
    </row>
    <row r="47826" spans="20:20" s="566" customFormat="1">
      <c r="T47826" s="41"/>
    </row>
    <row r="47827" spans="20:20" s="566" customFormat="1">
      <c r="T47827" s="41"/>
    </row>
    <row r="47828" spans="20:20" s="566" customFormat="1">
      <c r="T47828" s="41"/>
    </row>
    <row r="47829" spans="20:20" s="566" customFormat="1">
      <c r="T47829" s="41"/>
    </row>
    <row r="47830" spans="20:20" s="566" customFormat="1">
      <c r="T47830" s="41"/>
    </row>
    <row r="47831" spans="20:20" s="566" customFormat="1">
      <c r="T47831" s="41"/>
    </row>
    <row r="47832" spans="20:20" s="566" customFormat="1">
      <c r="T47832" s="41"/>
    </row>
    <row r="47833" spans="20:20" s="566" customFormat="1">
      <c r="T47833" s="41"/>
    </row>
    <row r="47834" spans="20:20" s="566" customFormat="1">
      <c r="T47834" s="41"/>
    </row>
    <row r="47835" spans="20:20" s="566" customFormat="1">
      <c r="T47835" s="41"/>
    </row>
    <row r="47836" spans="20:20" s="566" customFormat="1">
      <c r="T47836" s="41"/>
    </row>
    <row r="47837" spans="20:20" s="566" customFormat="1">
      <c r="T47837" s="41"/>
    </row>
    <row r="47838" spans="20:20" s="566" customFormat="1">
      <c r="T47838" s="41"/>
    </row>
    <row r="47839" spans="20:20" s="566" customFormat="1">
      <c r="T47839" s="41"/>
    </row>
    <row r="47840" spans="20:20" s="566" customFormat="1">
      <c r="T47840" s="41"/>
    </row>
    <row r="47841" spans="20:20" s="566" customFormat="1">
      <c r="T47841" s="41"/>
    </row>
    <row r="47842" spans="20:20" s="566" customFormat="1">
      <c r="T47842" s="41"/>
    </row>
    <row r="47843" spans="20:20" s="566" customFormat="1">
      <c r="T47843" s="41"/>
    </row>
    <row r="47844" spans="20:20" s="566" customFormat="1">
      <c r="T47844" s="41"/>
    </row>
    <row r="47845" spans="20:20" s="566" customFormat="1">
      <c r="T47845" s="41"/>
    </row>
    <row r="47846" spans="20:20" s="566" customFormat="1">
      <c r="T47846" s="41"/>
    </row>
    <row r="47847" spans="20:20" s="566" customFormat="1">
      <c r="T47847" s="41"/>
    </row>
    <row r="47848" spans="20:20" s="566" customFormat="1">
      <c r="T47848" s="41"/>
    </row>
    <row r="47849" spans="20:20" s="566" customFormat="1">
      <c r="T47849" s="41"/>
    </row>
    <row r="47850" spans="20:20" s="566" customFormat="1">
      <c r="T47850" s="41"/>
    </row>
    <row r="47851" spans="20:20" s="566" customFormat="1">
      <c r="T47851" s="41"/>
    </row>
    <row r="47852" spans="20:20" s="566" customFormat="1">
      <c r="T47852" s="41"/>
    </row>
    <row r="47853" spans="20:20" s="566" customFormat="1">
      <c r="T47853" s="41"/>
    </row>
    <row r="47854" spans="20:20" s="566" customFormat="1">
      <c r="T47854" s="41"/>
    </row>
    <row r="47855" spans="20:20" s="566" customFormat="1">
      <c r="T47855" s="41"/>
    </row>
    <row r="47856" spans="20:20" s="566" customFormat="1">
      <c r="T47856" s="41"/>
    </row>
    <row r="47857" spans="20:20" s="566" customFormat="1">
      <c r="T47857" s="41"/>
    </row>
    <row r="47858" spans="20:20" s="566" customFormat="1">
      <c r="T47858" s="41"/>
    </row>
    <row r="47859" spans="20:20" s="566" customFormat="1">
      <c r="T47859" s="41"/>
    </row>
    <row r="47860" spans="20:20" s="566" customFormat="1">
      <c r="T47860" s="41"/>
    </row>
    <row r="47861" spans="20:20" s="566" customFormat="1">
      <c r="T47861" s="41"/>
    </row>
    <row r="47862" spans="20:20" s="566" customFormat="1">
      <c r="T47862" s="41"/>
    </row>
    <row r="47863" spans="20:20" s="566" customFormat="1">
      <c r="T47863" s="41"/>
    </row>
    <row r="47864" spans="20:20" s="566" customFormat="1">
      <c r="T47864" s="41"/>
    </row>
    <row r="47865" spans="20:20" s="566" customFormat="1">
      <c r="T47865" s="41"/>
    </row>
    <row r="47866" spans="20:20" s="566" customFormat="1">
      <c r="T47866" s="41"/>
    </row>
    <row r="47867" spans="20:20" s="566" customFormat="1">
      <c r="T47867" s="41"/>
    </row>
    <row r="47868" spans="20:20" s="566" customFormat="1">
      <c r="T47868" s="41"/>
    </row>
    <row r="47869" spans="20:20" s="566" customFormat="1">
      <c r="T47869" s="41"/>
    </row>
    <row r="47870" spans="20:20" s="566" customFormat="1">
      <c r="T47870" s="41"/>
    </row>
    <row r="47871" spans="20:20" s="566" customFormat="1">
      <c r="T47871" s="41"/>
    </row>
    <row r="47872" spans="20:20" s="566" customFormat="1">
      <c r="T47872" s="41"/>
    </row>
    <row r="47873" spans="20:20" s="566" customFormat="1">
      <c r="T47873" s="41"/>
    </row>
    <row r="47874" spans="20:20" s="566" customFormat="1">
      <c r="T47874" s="41"/>
    </row>
    <row r="47875" spans="20:20" s="566" customFormat="1">
      <c r="T47875" s="41"/>
    </row>
    <row r="47876" spans="20:20" s="566" customFormat="1">
      <c r="T47876" s="41"/>
    </row>
    <row r="47877" spans="20:20" s="566" customFormat="1">
      <c r="T47877" s="41"/>
    </row>
    <row r="47878" spans="20:20" s="566" customFormat="1">
      <c r="T47878" s="41"/>
    </row>
    <row r="47879" spans="20:20" s="566" customFormat="1">
      <c r="T47879" s="41"/>
    </row>
    <row r="47880" spans="20:20" s="566" customFormat="1">
      <c r="T47880" s="41"/>
    </row>
    <row r="47881" spans="20:20" s="566" customFormat="1">
      <c r="T47881" s="41"/>
    </row>
    <row r="47882" spans="20:20" s="566" customFormat="1">
      <c r="T47882" s="41"/>
    </row>
    <row r="47883" spans="20:20" s="566" customFormat="1">
      <c r="T47883" s="41"/>
    </row>
    <row r="47884" spans="20:20" s="566" customFormat="1">
      <c r="T47884" s="41"/>
    </row>
    <row r="47885" spans="20:20" s="566" customFormat="1">
      <c r="T47885" s="41"/>
    </row>
    <row r="47886" spans="20:20" s="566" customFormat="1">
      <c r="T47886" s="41"/>
    </row>
    <row r="47887" spans="20:20" s="566" customFormat="1">
      <c r="T47887" s="41"/>
    </row>
    <row r="47888" spans="20:20" s="566" customFormat="1">
      <c r="T47888" s="41"/>
    </row>
    <row r="47889" spans="20:20" s="566" customFormat="1">
      <c r="T47889" s="41"/>
    </row>
    <row r="47890" spans="20:20" s="566" customFormat="1">
      <c r="T47890" s="41"/>
    </row>
    <row r="47891" spans="20:20" s="566" customFormat="1">
      <c r="T47891" s="41"/>
    </row>
    <row r="47892" spans="20:20" s="566" customFormat="1">
      <c r="T47892" s="41"/>
    </row>
    <row r="47893" spans="20:20" s="566" customFormat="1">
      <c r="T47893" s="41"/>
    </row>
    <row r="47894" spans="20:20" s="566" customFormat="1">
      <c r="T47894" s="41"/>
    </row>
    <row r="47895" spans="20:20" s="566" customFormat="1">
      <c r="T47895" s="41"/>
    </row>
    <row r="47896" spans="20:20" s="566" customFormat="1">
      <c r="T47896" s="41"/>
    </row>
    <row r="47897" spans="20:20" s="566" customFormat="1">
      <c r="T47897" s="41"/>
    </row>
    <row r="47898" spans="20:20" s="566" customFormat="1">
      <c r="T47898" s="41"/>
    </row>
    <row r="47899" spans="20:20" s="566" customFormat="1">
      <c r="T47899" s="41"/>
    </row>
    <row r="47900" spans="20:20" s="566" customFormat="1">
      <c r="T47900" s="41"/>
    </row>
    <row r="47901" spans="20:20" s="566" customFormat="1">
      <c r="T47901" s="41"/>
    </row>
    <row r="47902" spans="20:20" s="566" customFormat="1">
      <c r="T47902" s="41"/>
    </row>
    <row r="47903" spans="20:20" s="566" customFormat="1">
      <c r="T47903" s="41"/>
    </row>
    <row r="47904" spans="20:20" s="566" customFormat="1">
      <c r="T47904" s="41"/>
    </row>
    <row r="47905" spans="20:20" s="566" customFormat="1">
      <c r="T47905" s="41"/>
    </row>
    <row r="47906" spans="20:20" s="566" customFormat="1">
      <c r="T47906" s="41"/>
    </row>
    <row r="47907" spans="20:20" s="566" customFormat="1">
      <c r="T47907" s="41"/>
    </row>
    <row r="47908" spans="20:20" s="566" customFormat="1">
      <c r="T47908" s="41"/>
    </row>
    <row r="47909" spans="20:20" s="566" customFormat="1">
      <c r="T47909" s="41"/>
    </row>
    <row r="47910" spans="20:20" s="566" customFormat="1">
      <c r="T47910" s="41"/>
    </row>
    <row r="47911" spans="20:20" s="566" customFormat="1">
      <c r="T47911" s="41"/>
    </row>
    <row r="47912" spans="20:20" s="566" customFormat="1">
      <c r="T47912" s="41"/>
    </row>
    <row r="47913" spans="20:20" s="566" customFormat="1">
      <c r="T47913" s="41"/>
    </row>
    <row r="47914" spans="20:20" s="566" customFormat="1">
      <c r="T47914" s="41"/>
    </row>
    <row r="47915" spans="20:20" s="566" customFormat="1">
      <c r="T47915" s="41"/>
    </row>
    <row r="47916" spans="20:20" s="566" customFormat="1">
      <c r="T47916" s="41"/>
    </row>
    <row r="47917" spans="20:20" s="566" customFormat="1">
      <c r="T47917" s="41"/>
    </row>
    <row r="47918" spans="20:20" s="566" customFormat="1">
      <c r="T47918" s="41"/>
    </row>
    <row r="47919" spans="20:20" s="566" customFormat="1">
      <c r="T47919" s="41"/>
    </row>
    <row r="47920" spans="20:20" s="566" customFormat="1">
      <c r="T47920" s="41"/>
    </row>
    <row r="47921" spans="20:20" s="566" customFormat="1">
      <c r="T47921" s="41"/>
    </row>
    <row r="47922" spans="20:20" s="566" customFormat="1">
      <c r="T47922" s="41"/>
    </row>
    <row r="47923" spans="20:20" s="566" customFormat="1">
      <c r="T47923" s="41"/>
    </row>
    <row r="47924" spans="20:20" s="566" customFormat="1">
      <c r="T47924" s="41"/>
    </row>
    <row r="47925" spans="20:20" s="566" customFormat="1">
      <c r="T47925" s="41"/>
    </row>
    <row r="47926" spans="20:20" s="566" customFormat="1">
      <c r="T47926" s="41"/>
    </row>
    <row r="47927" spans="20:20" s="566" customFormat="1">
      <c r="T47927" s="41"/>
    </row>
    <row r="47928" spans="20:20" s="566" customFormat="1">
      <c r="T47928" s="41"/>
    </row>
    <row r="47929" spans="20:20" s="566" customFormat="1">
      <c r="T47929" s="41"/>
    </row>
    <row r="47930" spans="20:20" s="566" customFormat="1">
      <c r="T47930" s="41"/>
    </row>
    <row r="47931" spans="20:20" s="566" customFormat="1">
      <c r="T47931" s="41"/>
    </row>
    <row r="47932" spans="20:20" s="566" customFormat="1">
      <c r="T47932" s="41"/>
    </row>
    <row r="47933" spans="20:20" s="566" customFormat="1">
      <c r="T47933" s="41"/>
    </row>
    <row r="47934" spans="20:20" s="566" customFormat="1">
      <c r="T47934" s="41"/>
    </row>
    <row r="47935" spans="20:20" s="566" customFormat="1">
      <c r="T47935" s="41"/>
    </row>
    <row r="47936" spans="20:20" s="566" customFormat="1">
      <c r="T47936" s="41"/>
    </row>
    <row r="47937" spans="20:20" s="566" customFormat="1">
      <c r="T47937" s="41"/>
    </row>
    <row r="47938" spans="20:20" s="566" customFormat="1">
      <c r="T47938" s="41"/>
    </row>
    <row r="47939" spans="20:20" s="566" customFormat="1">
      <c r="T47939" s="41"/>
    </row>
    <row r="47940" spans="20:20" s="566" customFormat="1">
      <c r="T47940" s="41"/>
    </row>
    <row r="47941" spans="20:20" s="566" customFormat="1">
      <c r="T47941" s="41"/>
    </row>
    <row r="47942" spans="20:20" s="566" customFormat="1">
      <c r="T47942" s="41"/>
    </row>
    <row r="47943" spans="20:20" s="566" customFormat="1">
      <c r="T47943" s="41"/>
    </row>
    <row r="47944" spans="20:20" s="566" customFormat="1">
      <c r="T47944" s="41"/>
    </row>
    <row r="47945" spans="20:20" s="566" customFormat="1">
      <c r="T47945" s="41"/>
    </row>
    <row r="47946" spans="20:20" s="566" customFormat="1">
      <c r="T47946" s="41"/>
    </row>
    <row r="47947" spans="20:20" s="566" customFormat="1">
      <c r="T47947" s="41"/>
    </row>
    <row r="47948" spans="20:20" s="566" customFormat="1">
      <c r="T47948" s="41"/>
    </row>
    <row r="47949" spans="20:20" s="566" customFormat="1">
      <c r="T47949" s="41"/>
    </row>
    <row r="47950" spans="20:20" s="566" customFormat="1">
      <c r="T47950" s="41"/>
    </row>
    <row r="47951" spans="20:20" s="566" customFormat="1">
      <c r="T47951" s="41"/>
    </row>
    <row r="47952" spans="20:20" s="566" customFormat="1">
      <c r="T47952" s="41"/>
    </row>
    <row r="47953" spans="20:20" s="566" customFormat="1">
      <c r="T47953" s="41"/>
    </row>
    <row r="47954" spans="20:20" s="566" customFormat="1">
      <c r="T47954" s="41"/>
    </row>
    <row r="47955" spans="20:20" s="566" customFormat="1">
      <c r="T47955" s="41"/>
    </row>
    <row r="47956" spans="20:20" s="566" customFormat="1">
      <c r="T47956" s="41"/>
    </row>
    <row r="47957" spans="20:20" s="566" customFormat="1">
      <c r="T47957" s="41"/>
    </row>
    <row r="47958" spans="20:20" s="566" customFormat="1">
      <c r="T47958" s="41"/>
    </row>
    <row r="47959" spans="20:20" s="566" customFormat="1">
      <c r="T47959" s="41"/>
    </row>
    <row r="47960" spans="20:20" s="566" customFormat="1">
      <c r="T47960" s="41"/>
    </row>
    <row r="47961" spans="20:20" s="566" customFormat="1">
      <c r="T47961" s="41"/>
    </row>
    <row r="47962" spans="20:20" s="566" customFormat="1">
      <c r="T47962" s="41"/>
    </row>
    <row r="47963" spans="20:20" s="566" customFormat="1">
      <c r="T47963" s="41"/>
    </row>
    <row r="47964" spans="20:20" s="566" customFormat="1">
      <c r="T47964" s="41"/>
    </row>
    <row r="47965" spans="20:20" s="566" customFormat="1">
      <c r="T47965" s="41"/>
    </row>
    <row r="47966" spans="20:20" s="566" customFormat="1">
      <c r="T47966" s="41"/>
    </row>
    <row r="47967" spans="20:20" s="566" customFormat="1">
      <c r="T47967" s="41"/>
    </row>
    <row r="47968" spans="20:20" s="566" customFormat="1">
      <c r="T47968" s="41"/>
    </row>
    <row r="47969" spans="20:20" s="566" customFormat="1">
      <c r="T47969" s="41"/>
    </row>
    <row r="47970" spans="20:20" s="566" customFormat="1">
      <c r="T47970" s="41"/>
    </row>
    <row r="47971" spans="20:20" s="566" customFormat="1">
      <c r="T47971" s="41"/>
    </row>
    <row r="47972" spans="20:20" s="566" customFormat="1">
      <c r="T47972" s="41"/>
    </row>
    <row r="47973" spans="20:20" s="566" customFormat="1">
      <c r="T47973" s="41"/>
    </row>
    <row r="47974" spans="20:20" s="566" customFormat="1">
      <c r="T47974" s="41"/>
    </row>
    <row r="47975" spans="20:20" s="566" customFormat="1">
      <c r="T47975" s="41"/>
    </row>
    <row r="47976" spans="20:20" s="566" customFormat="1">
      <c r="T47976" s="41"/>
    </row>
    <row r="47977" spans="20:20" s="566" customFormat="1">
      <c r="T47977" s="41"/>
    </row>
    <row r="47978" spans="20:20" s="566" customFormat="1">
      <c r="T47978" s="41"/>
    </row>
    <row r="47979" spans="20:20" s="566" customFormat="1">
      <c r="T47979" s="41"/>
    </row>
    <row r="47980" spans="20:20" s="566" customFormat="1">
      <c r="T47980" s="41"/>
    </row>
    <row r="47981" spans="20:20" s="566" customFormat="1">
      <c r="T47981" s="41"/>
    </row>
    <row r="47982" spans="20:20" s="566" customFormat="1">
      <c r="T47982" s="41"/>
    </row>
    <row r="47983" spans="20:20" s="566" customFormat="1">
      <c r="T47983" s="41"/>
    </row>
    <row r="47984" spans="20:20" s="566" customFormat="1">
      <c r="T47984" s="41"/>
    </row>
    <row r="47985" spans="20:20" s="566" customFormat="1">
      <c r="T47985" s="41"/>
    </row>
    <row r="47986" spans="20:20" s="566" customFormat="1">
      <c r="T47986" s="41"/>
    </row>
    <row r="47987" spans="20:20" s="566" customFormat="1">
      <c r="T47987" s="41"/>
    </row>
    <row r="47988" spans="20:20" s="566" customFormat="1">
      <c r="T47988" s="41"/>
    </row>
    <row r="47989" spans="20:20" s="566" customFormat="1">
      <c r="T47989" s="41"/>
    </row>
    <row r="47990" spans="20:20" s="566" customFormat="1">
      <c r="T47990" s="41"/>
    </row>
    <row r="47991" spans="20:20" s="566" customFormat="1">
      <c r="T47991" s="41"/>
    </row>
    <row r="47992" spans="20:20" s="566" customFormat="1">
      <c r="T47992" s="41"/>
    </row>
    <row r="47993" spans="20:20" s="566" customFormat="1">
      <c r="T47993" s="41"/>
    </row>
    <row r="47994" spans="20:20" s="566" customFormat="1">
      <c r="T47994" s="41"/>
    </row>
    <row r="47995" spans="20:20" s="566" customFormat="1">
      <c r="T47995" s="41"/>
    </row>
    <row r="47996" spans="20:20" s="566" customFormat="1">
      <c r="T47996" s="41"/>
    </row>
    <row r="47997" spans="20:20" s="566" customFormat="1">
      <c r="T47997" s="41"/>
    </row>
    <row r="47998" spans="20:20" s="566" customFormat="1">
      <c r="T47998" s="41"/>
    </row>
    <row r="47999" spans="20:20" s="566" customFormat="1">
      <c r="T47999" s="41"/>
    </row>
    <row r="48000" spans="20:20" s="566" customFormat="1">
      <c r="T48000" s="41"/>
    </row>
    <row r="48001" spans="20:20" s="566" customFormat="1">
      <c r="T48001" s="41"/>
    </row>
    <row r="48002" spans="20:20" s="566" customFormat="1">
      <c r="T48002" s="41"/>
    </row>
    <row r="48003" spans="20:20" s="566" customFormat="1">
      <c r="T48003" s="41"/>
    </row>
    <row r="48004" spans="20:20" s="566" customFormat="1">
      <c r="T48004" s="41"/>
    </row>
    <row r="48005" spans="20:20" s="566" customFormat="1">
      <c r="T48005" s="41"/>
    </row>
    <row r="48006" spans="20:20" s="566" customFormat="1">
      <c r="T48006" s="41"/>
    </row>
    <row r="48007" spans="20:20" s="566" customFormat="1">
      <c r="T48007" s="41"/>
    </row>
    <row r="48008" spans="20:20" s="566" customFormat="1">
      <c r="T48008" s="41"/>
    </row>
    <row r="48009" spans="20:20" s="566" customFormat="1">
      <c r="T48009" s="41"/>
    </row>
    <row r="48010" spans="20:20" s="566" customFormat="1">
      <c r="T48010" s="41"/>
    </row>
    <row r="48011" spans="20:20" s="566" customFormat="1">
      <c r="T48011" s="41"/>
    </row>
    <row r="48012" spans="20:20" s="566" customFormat="1">
      <c r="T48012" s="41"/>
    </row>
    <row r="48013" spans="20:20" s="566" customFormat="1">
      <c r="T48013" s="41"/>
    </row>
    <row r="48014" spans="20:20" s="566" customFormat="1">
      <c r="T48014" s="41"/>
    </row>
    <row r="48015" spans="20:20" s="566" customFormat="1">
      <c r="T48015" s="41"/>
    </row>
    <row r="48016" spans="20:20" s="566" customFormat="1">
      <c r="T48016" s="41"/>
    </row>
    <row r="48017" spans="20:20" s="566" customFormat="1">
      <c r="T48017" s="41"/>
    </row>
    <row r="48018" spans="20:20" s="566" customFormat="1">
      <c r="T48018" s="41"/>
    </row>
    <row r="48019" spans="20:20" s="566" customFormat="1">
      <c r="T48019" s="41"/>
    </row>
    <row r="48020" spans="20:20" s="566" customFormat="1">
      <c r="T48020" s="41"/>
    </row>
    <row r="48021" spans="20:20" s="566" customFormat="1">
      <c r="T48021" s="41"/>
    </row>
    <row r="48022" spans="20:20" s="566" customFormat="1">
      <c r="T48022" s="41"/>
    </row>
    <row r="48023" spans="20:20" s="566" customFormat="1">
      <c r="T48023" s="41"/>
    </row>
    <row r="48024" spans="20:20" s="566" customFormat="1">
      <c r="T48024" s="41"/>
    </row>
    <row r="48025" spans="20:20" s="566" customFormat="1">
      <c r="T48025" s="41"/>
    </row>
    <row r="48026" spans="20:20" s="566" customFormat="1">
      <c r="T48026" s="41"/>
    </row>
    <row r="48027" spans="20:20" s="566" customFormat="1">
      <c r="T48027" s="41"/>
    </row>
    <row r="48028" spans="20:20" s="566" customFormat="1">
      <c r="T48028" s="41"/>
    </row>
    <row r="48029" spans="20:20" s="566" customFormat="1">
      <c r="T48029" s="41"/>
    </row>
    <row r="48030" spans="20:20" s="566" customFormat="1">
      <c r="T48030" s="41"/>
    </row>
    <row r="48031" spans="20:20" s="566" customFormat="1">
      <c r="T48031" s="41"/>
    </row>
    <row r="48032" spans="20:20" s="566" customFormat="1">
      <c r="T48032" s="41"/>
    </row>
    <row r="48033" spans="20:20" s="566" customFormat="1">
      <c r="T48033" s="41"/>
    </row>
    <row r="48034" spans="20:20" s="566" customFormat="1">
      <c r="T48034" s="41"/>
    </row>
    <row r="48035" spans="20:20" s="566" customFormat="1">
      <c r="T48035" s="41"/>
    </row>
    <row r="48036" spans="20:20" s="566" customFormat="1">
      <c r="T48036" s="41"/>
    </row>
    <row r="48037" spans="20:20" s="566" customFormat="1">
      <c r="T48037" s="41"/>
    </row>
    <row r="48038" spans="20:20" s="566" customFormat="1">
      <c r="T48038" s="41"/>
    </row>
    <row r="48039" spans="20:20" s="566" customFormat="1">
      <c r="T48039" s="41"/>
    </row>
    <row r="48040" spans="20:20" s="566" customFormat="1">
      <c r="T48040" s="41"/>
    </row>
    <row r="48041" spans="20:20" s="566" customFormat="1">
      <c r="T48041" s="41"/>
    </row>
    <row r="48042" spans="20:20" s="566" customFormat="1">
      <c r="T48042" s="41"/>
    </row>
    <row r="48043" spans="20:20" s="566" customFormat="1">
      <c r="T48043" s="41"/>
    </row>
    <row r="48044" spans="20:20" s="566" customFormat="1">
      <c r="T48044" s="41"/>
    </row>
    <row r="48045" spans="20:20" s="566" customFormat="1">
      <c r="T48045" s="41"/>
    </row>
    <row r="48046" spans="20:20" s="566" customFormat="1">
      <c r="T48046" s="41"/>
    </row>
    <row r="48047" spans="20:20" s="566" customFormat="1">
      <c r="T48047" s="41"/>
    </row>
    <row r="48048" spans="20:20" s="566" customFormat="1">
      <c r="T48048" s="41"/>
    </row>
    <row r="48049" spans="20:20" s="566" customFormat="1">
      <c r="T48049" s="41"/>
    </row>
    <row r="48050" spans="20:20" s="566" customFormat="1">
      <c r="T48050" s="41"/>
    </row>
    <row r="48051" spans="20:20" s="566" customFormat="1">
      <c r="T48051" s="41"/>
    </row>
    <row r="48052" spans="20:20" s="566" customFormat="1">
      <c r="T48052" s="41"/>
    </row>
    <row r="48053" spans="20:20" s="566" customFormat="1">
      <c r="T48053" s="41"/>
    </row>
    <row r="48054" spans="20:20" s="566" customFormat="1">
      <c r="T48054" s="41"/>
    </row>
    <row r="48055" spans="20:20" s="566" customFormat="1">
      <c r="T48055" s="41"/>
    </row>
    <row r="48056" spans="20:20" s="566" customFormat="1">
      <c r="T48056" s="41"/>
    </row>
    <row r="48057" spans="20:20" s="566" customFormat="1">
      <c r="T48057" s="41"/>
    </row>
    <row r="48058" spans="20:20" s="566" customFormat="1">
      <c r="T48058" s="41"/>
    </row>
    <row r="48059" spans="20:20" s="566" customFormat="1">
      <c r="T48059" s="41"/>
    </row>
    <row r="48060" spans="20:20" s="566" customFormat="1">
      <c r="T48060" s="41"/>
    </row>
    <row r="48061" spans="20:20" s="566" customFormat="1">
      <c r="T48061" s="41"/>
    </row>
    <row r="48062" spans="20:20" s="566" customFormat="1">
      <c r="T48062" s="41"/>
    </row>
    <row r="48063" spans="20:20" s="566" customFormat="1">
      <c r="T48063" s="41"/>
    </row>
    <row r="48064" spans="20:20" s="566" customFormat="1">
      <c r="T48064" s="41"/>
    </row>
    <row r="48065" spans="20:20" s="566" customFormat="1">
      <c r="T48065" s="41"/>
    </row>
    <row r="48066" spans="20:20" s="566" customFormat="1">
      <c r="T48066" s="41"/>
    </row>
    <row r="48067" spans="20:20" s="566" customFormat="1">
      <c r="T48067" s="41"/>
    </row>
    <row r="48068" spans="20:20" s="566" customFormat="1">
      <c r="T48068" s="41"/>
    </row>
    <row r="48069" spans="20:20" s="566" customFormat="1">
      <c r="T48069" s="41"/>
    </row>
    <row r="48070" spans="20:20" s="566" customFormat="1">
      <c r="T48070" s="41"/>
    </row>
    <row r="48071" spans="20:20" s="566" customFormat="1">
      <c r="T48071" s="41"/>
    </row>
    <row r="48072" spans="20:20" s="566" customFormat="1">
      <c r="T48072" s="41"/>
    </row>
    <row r="48073" spans="20:20" s="566" customFormat="1">
      <c r="T48073" s="41"/>
    </row>
    <row r="48074" spans="20:20" s="566" customFormat="1">
      <c r="T48074" s="41"/>
    </row>
    <row r="48075" spans="20:20" s="566" customFormat="1">
      <c r="T48075" s="41"/>
    </row>
    <row r="48076" spans="20:20" s="566" customFormat="1">
      <c r="T48076" s="41"/>
    </row>
    <row r="48077" spans="20:20" s="566" customFormat="1">
      <c r="T48077" s="41"/>
    </row>
    <row r="48078" spans="20:20" s="566" customFormat="1">
      <c r="T48078" s="41"/>
    </row>
    <row r="48079" spans="20:20" s="566" customFormat="1">
      <c r="T48079" s="41"/>
    </row>
    <row r="48080" spans="20:20" s="566" customFormat="1">
      <c r="T48080" s="41"/>
    </row>
    <row r="48081" spans="20:20" s="566" customFormat="1">
      <c r="T48081" s="41"/>
    </row>
    <row r="48082" spans="20:20" s="566" customFormat="1">
      <c r="T48082" s="41"/>
    </row>
    <row r="48083" spans="20:20" s="566" customFormat="1">
      <c r="T48083" s="41"/>
    </row>
    <row r="48084" spans="20:20" s="566" customFormat="1">
      <c r="T48084" s="41"/>
    </row>
    <row r="48085" spans="20:20" s="566" customFormat="1">
      <c r="T48085" s="41"/>
    </row>
    <row r="48086" spans="20:20" s="566" customFormat="1">
      <c r="T48086" s="41"/>
    </row>
    <row r="48087" spans="20:20" s="566" customFormat="1">
      <c r="T48087" s="41"/>
    </row>
    <row r="48088" spans="20:20" s="566" customFormat="1">
      <c r="T48088" s="41"/>
    </row>
    <row r="48089" spans="20:20" s="566" customFormat="1">
      <c r="T48089" s="41"/>
    </row>
    <row r="48090" spans="20:20" s="566" customFormat="1">
      <c r="T48090" s="41"/>
    </row>
    <row r="48091" spans="20:20" s="566" customFormat="1">
      <c r="T48091" s="41"/>
    </row>
    <row r="48092" spans="20:20" s="566" customFormat="1">
      <c r="T48092" s="41"/>
    </row>
    <row r="48093" spans="20:20" s="566" customFormat="1">
      <c r="T48093" s="41"/>
    </row>
    <row r="48094" spans="20:20" s="566" customFormat="1">
      <c r="T48094" s="41"/>
    </row>
    <row r="48095" spans="20:20" s="566" customFormat="1">
      <c r="T48095" s="41"/>
    </row>
    <row r="48096" spans="20:20" s="566" customFormat="1">
      <c r="T48096" s="41"/>
    </row>
    <row r="48097" spans="20:20" s="566" customFormat="1">
      <c r="T48097" s="41"/>
    </row>
    <row r="48098" spans="20:20" s="566" customFormat="1">
      <c r="T48098" s="41"/>
    </row>
    <row r="48099" spans="20:20" s="566" customFormat="1">
      <c r="T48099" s="41"/>
    </row>
    <row r="48100" spans="20:20" s="566" customFormat="1">
      <c r="T48100" s="41"/>
    </row>
    <row r="48101" spans="20:20" s="566" customFormat="1">
      <c r="T48101" s="41"/>
    </row>
    <row r="48102" spans="20:20" s="566" customFormat="1">
      <c r="T48102" s="41"/>
    </row>
    <row r="48103" spans="20:20" s="566" customFormat="1">
      <c r="T48103" s="41"/>
    </row>
    <row r="48104" spans="20:20" s="566" customFormat="1">
      <c r="T48104" s="41"/>
    </row>
    <row r="48105" spans="20:20" s="566" customFormat="1">
      <c r="T48105" s="41"/>
    </row>
    <row r="48106" spans="20:20" s="566" customFormat="1">
      <c r="T48106" s="41"/>
    </row>
    <row r="48107" spans="20:20" s="566" customFormat="1">
      <c r="T48107" s="41"/>
    </row>
    <row r="48108" spans="20:20" s="566" customFormat="1">
      <c r="T48108" s="41"/>
    </row>
    <row r="48109" spans="20:20" s="566" customFormat="1">
      <c r="T48109" s="41"/>
    </row>
    <row r="48110" spans="20:20" s="566" customFormat="1">
      <c r="T48110" s="41"/>
    </row>
    <row r="48111" spans="20:20" s="566" customFormat="1">
      <c r="T48111" s="41"/>
    </row>
    <row r="48112" spans="20:20" s="566" customFormat="1">
      <c r="T48112" s="41"/>
    </row>
    <row r="48113" spans="20:20" s="566" customFormat="1">
      <c r="T48113" s="41"/>
    </row>
    <row r="48114" spans="20:20" s="566" customFormat="1">
      <c r="T48114" s="41"/>
    </row>
    <row r="48115" spans="20:20" s="566" customFormat="1">
      <c r="T48115" s="41"/>
    </row>
    <row r="48116" spans="20:20" s="566" customFormat="1">
      <c r="T48116" s="41"/>
    </row>
    <row r="48117" spans="20:20" s="566" customFormat="1">
      <c r="T48117" s="41"/>
    </row>
    <row r="48118" spans="20:20" s="566" customFormat="1">
      <c r="T48118" s="41"/>
    </row>
    <row r="48119" spans="20:20" s="566" customFormat="1">
      <c r="T48119" s="41"/>
    </row>
    <row r="48120" spans="20:20" s="566" customFormat="1">
      <c r="T48120" s="41"/>
    </row>
    <row r="48121" spans="20:20" s="566" customFormat="1">
      <c r="T48121" s="41"/>
    </row>
    <row r="48122" spans="20:20" s="566" customFormat="1">
      <c r="T48122" s="41"/>
    </row>
    <row r="48123" spans="20:20" s="566" customFormat="1">
      <c r="T48123" s="41"/>
    </row>
    <row r="48124" spans="20:20" s="566" customFormat="1">
      <c r="T48124" s="41"/>
    </row>
    <row r="48125" spans="20:20" s="566" customFormat="1">
      <c r="T48125" s="41"/>
    </row>
    <row r="48126" spans="20:20" s="566" customFormat="1">
      <c r="T48126" s="41"/>
    </row>
    <row r="48127" spans="20:20" s="566" customFormat="1">
      <c r="T48127" s="41"/>
    </row>
    <row r="48128" spans="20:20" s="566" customFormat="1">
      <c r="T48128" s="41"/>
    </row>
    <row r="48129" spans="20:20" s="566" customFormat="1">
      <c r="T48129" s="41"/>
    </row>
    <row r="48130" spans="20:20" s="566" customFormat="1">
      <c r="T48130" s="41"/>
    </row>
    <row r="48131" spans="20:20" s="566" customFormat="1">
      <c r="T48131" s="41"/>
    </row>
    <row r="48132" spans="20:20" s="566" customFormat="1">
      <c r="T48132" s="41"/>
    </row>
    <row r="48133" spans="20:20" s="566" customFormat="1">
      <c r="T48133" s="41"/>
    </row>
    <row r="48134" spans="20:20" s="566" customFormat="1">
      <c r="T48134" s="41"/>
    </row>
    <row r="48135" spans="20:20" s="566" customFormat="1">
      <c r="T48135" s="41"/>
    </row>
    <row r="48136" spans="20:20" s="566" customFormat="1">
      <c r="T48136" s="41"/>
    </row>
    <row r="48137" spans="20:20" s="566" customFormat="1">
      <c r="T48137" s="41"/>
    </row>
    <row r="48138" spans="20:20" s="566" customFormat="1">
      <c r="T48138" s="41"/>
    </row>
    <row r="48139" spans="20:20" s="566" customFormat="1">
      <c r="T48139" s="41"/>
    </row>
    <row r="48140" spans="20:20" s="566" customFormat="1">
      <c r="T48140" s="41"/>
    </row>
    <row r="48141" spans="20:20" s="566" customFormat="1">
      <c r="T48141" s="41"/>
    </row>
    <row r="48142" spans="20:20" s="566" customFormat="1">
      <c r="T48142" s="41"/>
    </row>
    <row r="48143" spans="20:20" s="566" customFormat="1">
      <c r="T48143" s="41"/>
    </row>
    <row r="48144" spans="20:20" s="566" customFormat="1">
      <c r="T48144" s="41"/>
    </row>
    <row r="48145" spans="20:20" s="566" customFormat="1">
      <c r="T48145" s="41"/>
    </row>
    <row r="48146" spans="20:20" s="566" customFormat="1">
      <c r="T48146" s="41"/>
    </row>
    <row r="48147" spans="20:20" s="566" customFormat="1">
      <c r="T48147" s="41"/>
    </row>
    <row r="48148" spans="20:20" s="566" customFormat="1">
      <c r="T48148" s="41"/>
    </row>
    <row r="48149" spans="20:20" s="566" customFormat="1">
      <c r="T48149" s="41"/>
    </row>
    <row r="48150" spans="20:20" s="566" customFormat="1">
      <c r="T48150" s="41"/>
    </row>
    <row r="48151" spans="20:20" s="566" customFormat="1">
      <c r="T48151" s="41"/>
    </row>
    <row r="48152" spans="20:20" s="566" customFormat="1">
      <c r="T48152" s="41"/>
    </row>
    <row r="48153" spans="20:20" s="566" customFormat="1">
      <c r="T48153" s="41"/>
    </row>
    <row r="48154" spans="20:20" s="566" customFormat="1">
      <c r="T48154" s="41"/>
    </row>
    <row r="48155" spans="20:20" s="566" customFormat="1">
      <c r="T48155" s="41"/>
    </row>
    <row r="48156" spans="20:20" s="566" customFormat="1">
      <c r="T48156" s="41"/>
    </row>
    <row r="48157" spans="20:20" s="566" customFormat="1">
      <c r="T48157" s="41"/>
    </row>
    <row r="48158" spans="20:20" s="566" customFormat="1">
      <c r="T48158" s="41"/>
    </row>
    <row r="48159" spans="20:20" s="566" customFormat="1">
      <c r="T48159" s="41"/>
    </row>
    <row r="48160" spans="20:20" s="566" customFormat="1">
      <c r="T48160" s="41"/>
    </row>
    <row r="48161" spans="20:20" s="566" customFormat="1">
      <c r="T48161" s="41"/>
    </row>
    <row r="48162" spans="20:20" s="566" customFormat="1">
      <c r="T48162" s="41"/>
    </row>
    <row r="48163" spans="20:20" s="566" customFormat="1">
      <c r="T48163" s="41"/>
    </row>
    <row r="48164" spans="20:20" s="566" customFormat="1">
      <c r="T48164" s="41"/>
    </row>
    <row r="48165" spans="20:20" s="566" customFormat="1">
      <c r="T48165" s="41"/>
    </row>
    <row r="48166" spans="20:20" s="566" customFormat="1">
      <c r="T48166" s="41"/>
    </row>
    <row r="48167" spans="20:20" s="566" customFormat="1">
      <c r="T48167" s="41"/>
    </row>
    <row r="48168" spans="20:20" s="566" customFormat="1">
      <c r="T48168" s="41"/>
    </row>
    <row r="48169" spans="20:20" s="566" customFormat="1">
      <c r="T48169" s="41"/>
    </row>
    <row r="48170" spans="20:20" s="566" customFormat="1">
      <c r="T48170" s="41"/>
    </row>
    <row r="48171" spans="20:20" s="566" customFormat="1">
      <c r="T48171" s="41"/>
    </row>
    <row r="48172" spans="20:20" s="566" customFormat="1">
      <c r="T48172" s="41"/>
    </row>
    <row r="48173" spans="20:20" s="566" customFormat="1">
      <c r="T48173" s="41"/>
    </row>
    <row r="48174" spans="20:20" s="566" customFormat="1">
      <c r="T48174" s="41"/>
    </row>
    <row r="48175" spans="20:20" s="566" customFormat="1">
      <c r="T48175" s="41"/>
    </row>
    <row r="48176" spans="20:20" s="566" customFormat="1">
      <c r="T48176" s="41"/>
    </row>
    <row r="48177" spans="20:20" s="566" customFormat="1">
      <c r="T48177" s="41"/>
    </row>
    <row r="48178" spans="20:20" s="566" customFormat="1">
      <c r="T48178" s="41"/>
    </row>
    <row r="48179" spans="20:20" s="566" customFormat="1">
      <c r="T48179" s="41"/>
    </row>
    <row r="48180" spans="20:20" s="566" customFormat="1">
      <c r="T48180" s="41"/>
    </row>
    <row r="48181" spans="20:20" s="566" customFormat="1">
      <c r="T48181" s="41"/>
    </row>
    <row r="48182" spans="20:20" s="566" customFormat="1">
      <c r="T48182" s="41"/>
    </row>
    <row r="48183" spans="20:20" s="566" customFormat="1">
      <c r="T48183" s="41"/>
    </row>
    <row r="48184" spans="20:20" s="566" customFormat="1">
      <c r="T48184" s="41"/>
    </row>
    <row r="48185" spans="20:20" s="566" customFormat="1">
      <c r="T48185" s="41"/>
    </row>
    <row r="48186" spans="20:20" s="566" customFormat="1">
      <c r="T48186" s="41"/>
    </row>
    <row r="48187" spans="20:20" s="566" customFormat="1">
      <c r="T48187" s="41"/>
    </row>
    <row r="48188" spans="20:20" s="566" customFormat="1">
      <c r="T48188" s="41"/>
    </row>
    <row r="48189" spans="20:20" s="566" customFormat="1">
      <c r="T48189" s="41"/>
    </row>
    <row r="48190" spans="20:20" s="566" customFormat="1">
      <c r="T48190" s="41"/>
    </row>
    <row r="48191" spans="20:20" s="566" customFormat="1">
      <c r="T48191" s="41"/>
    </row>
    <row r="48192" spans="20:20" s="566" customFormat="1">
      <c r="T48192" s="41"/>
    </row>
    <row r="48193" spans="20:20" s="566" customFormat="1">
      <c r="T48193" s="41"/>
    </row>
    <row r="48194" spans="20:20" s="566" customFormat="1">
      <c r="T48194" s="41"/>
    </row>
    <row r="48195" spans="20:20" s="566" customFormat="1">
      <c r="T48195" s="41"/>
    </row>
    <row r="48196" spans="20:20" s="566" customFormat="1">
      <c r="T48196" s="41"/>
    </row>
    <row r="48197" spans="20:20" s="566" customFormat="1">
      <c r="T48197" s="41"/>
    </row>
    <row r="48198" spans="20:20" s="566" customFormat="1">
      <c r="T48198" s="41"/>
    </row>
    <row r="48199" spans="20:20" s="566" customFormat="1">
      <c r="T48199" s="41"/>
    </row>
    <row r="48200" spans="20:20" s="566" customFormat="1">
      <c r="T48200" s="41"/>
    </row>
    <row r="48201" spans="20:20" s="566" customFormat="1">
      <c r="T48201" s="41"/>
    </row>
    <row r="48202" spans="20:20" s="566" customFormat="1">
      <c r="T48202" s="41"/>
    </row>
    <row r="48203" spans="20:20" s="566" customFormat="1">
      <c r="T48203" s="41"/>
    </row>
    <row r="48204" spans="20:20" s="566" customFormat="1">
      <c r="T48204" s="41"/>
    </row>
    <row r="48205" spans="20:20" s="566" customFormat="1">
      <c r="T48205" s="41"/>
    </row>
    <row r="48206" spans="20:20" s="566" customFormat="1">
      <c r="T48206" s="41"/>
    </row>
    <row r="48207" spans="20:20" s="566" customFormat="1">
      <c r="T48207" s="41"/>
    </row>
    <row r="48208" spans="20:20" s="566" customFormat="1">
      <c r="T48208" s="41"/>
    </row>
    <row r="48209" spans="20:20" s="566" customFormat="1">
      <c r="T48209" s="41"/>
    </row>
    <row r="48210" spans="20:20" s="566" customFormat="1">
      <c r="T48210" s="41"/>
    </row>
    <row r="48211" spans="20:20" s="566" customFormat="1">
      <c r="T48211" s="41"/>
    </row>
    <row r="48212" spans="20:20" s="566" customFormat="1">
      <c r="T48212" s="41"/>
    </row>
    <row r="48213" spans="20:20" s="566" customFormat="1">
      <c r="T48213" s="41"/>
    </row>
    <row r="48214" spans="20:20" s="566" customFormat="1">
      <c r="T48214" s="41"/>
    </row>
    <row r="48215" spans="20:20" s="566" customFormat="1">
      <c r="T48215" s="41"/>
    </row>
    <row r="48216" spans="20:20" s="566" customFormat="1">
      <c r="T48216" s="41"/>
    </row>
    <row r="48217" spans="20:20" s="566" customFormat="1">
      <c r="T48217" s="41"/>
    </row>
    <row r="48218" spans="20:20" s="566" customFormat="1">
      <c r="T48218" s="41"/>
    </row>
    <row r="48219" spans="20:20" s="566" customFormat="1">
      <c r="T48219" s="41"/>
    </row>
    <row r="48220" spans="20:20" s="566" customFormat="1">
      <c r="T48220" s="41"/>
    </row>
    <row r="48221" spans="20:20" s="566" customFormat="1">
      <c r="T48221" s="41"/>
    </row>
    <row r="48222" spans="20:20" s="566" customFormat="1">
      <c r="T48222" s="41"/>
    </row>
    <row r="48223" spans="20:20" s="566" customFormat="1">
      <c r="T48223" s="41"/>
    </row>
    <row r="48224" spans="20:20" s="566" customFormat="1">
      <c r="T48224" s="41"/>
    </row>
    <row r="48225" spans="20:20" s="566" customFormat="1">
      <c r="T48225" s="41"/>
    </row>
    <row r="48226" spans="20:20" s="566" customFormat="1">
      <c r="T48226" s="41"/>
    </row>
    <row r="48227" spans="20:20" s="566" customFormat="1">
      <c r="T48227" s="41"/>
    </row>
    <row r="48228" spans="20:20" s="566" customFormat="1">
      <c r="T48228" s="41"/>
    </row>
    <row r="48229" spans="20:20" s="566" customFormat="1">
      <c r="T48229" s="41"/>
    </row>
    <row r="48230" spans="20:20" s="566" customFormat="1">
      <c r="T48230" s="41"/>
    </row>
    <row r="48231" spans="20:20" s="566" customFormat="1">
      <c r="T48231" s="41"/>
    </row>
    <row r="48232" spans="20:20" s="566" customFormat="1">
      <c r="T48232" s="41"/>
    </row>
    <row r="48233" spans="20:20" s="566" customFormat="1">
      <c r="T48233" s="41"/>
    </row>
    <row r="48234" spans="20:20" s="566" customFormat="1">
      <c r="T48234" s="41"/>
    </row>
    <row r="48235" spans="20:20" s="566" customFormat="1">
      <c r="T48235" s="41"/>
    </row>
    <row r="48236" spans="20:20" s="566" customFormat="1">
      <c r="T48236" s="41"/>
    </row>
    <row r="48237" spans="20:20" s="566" customFormat="1">
      <c r="T48237" s="41"/>
    </row>
    <row r="48238" spans="20:20" s="566" customFormat="1">
      <c r="T48238" s="41"/>
    </row>
    <row r="48239" spans="20:20" s="566" customFormat="1">
      <c r="T48239" s="41"/>
    </row>
    <row r="48240" spans="20:20" s="566" customFormat="1">
      <c r="T48240" s="41"/>
    </row>
    <row r="48241" spans="20:20" s="566" customFormat="1">
      <c r="T48241" s="41"/>
    </row>
    <row r="48242" spans="20:20" s="566" customFormat="1">
      <c r="T48242" s="41"/>
    </row>
    <row r="48243" spans="20:20" s="566" customFormat="1">
      <c r="T48243" s="41"/>
    </row>
    <row r="48244" spans="20:20" s="566" customFormat="1">
      <c r="T48244" s="41"/>
    </row>
    <row r="48245" spans="20:20" s="566" customFormat="1">
      <c r="T48245" s="41"/>
    </row>
    <row r="48246" spans="20:20" s="566" customFormat="1">
      <c r="T48246" s="41"/>
    </row>
    <row r="48247" spans="20:20" s="566" customFormat="1">
      <c r="T48247" s="41"/>
    </row>
    <row r="48248" spans="20:20" s="566" customFormat="1">
      <c r="T48248" s="41"/>
    </row>
    <row r="48249" spans="20:20" s="566" customFormat="1">
      <c r="T48249" s="41"/>
    </row>
    <row r="48250" spans="20:20" s="566" customFormat="1">
      <c r="T48250" s="41"/>
    </row>
    <row r="48251" spans="20:20" s="566" customFormat="1">
      <c r="T48251" s="41"/>
    </row>
    <row r="48252" spans="20:20" s="566" customFormat="1">
      <c r="T48252" s="41"/>
    </row>
    <row r="48253" spans="20:20" s="566" customFormat="1">
      <c r="T48253" s="41"/>
    </row>
    <row r="48254" spans="20:20" s="566" customFormat="1">
      <c r="T48254" s="41"/>
    </row>
    <row r="48255" spans="20:20" s="566" customFormat="1">
      <c r="T48255" s="41"/>
    </row>
    <row r="48256" spans="20:20" s="566" customFormat="1">
      <c r="T48256" s="41"/>
    </row>
    <row r="48257" spans="20:20" s="566" customFormat="1">
      <c r="T48257" s="41"/>
    </row>
    <row r="48258" spans="20:20" s="566" customFormat="1">
      <c r="T48258" s="41"/>
    </row>
    <row r="48259" spans="20:20" s="566" customFormat="1">
      <c r="T48259" s="41"/>
    </row>
    <row r="48260" spans="20:20" s="566" customFormat="1">
      <c r="T48260" s="41"/>
    </row>
    <row r="48261" spans="20:20" s="566" customFormat="1">
      <c r="T48261" s="41"/>
    </row>
    <row r="48262" spans="20:20" s="566" customFormat="1">
      <c r="T48262" s="41"/>
    </row>
    <row r="48263" spans="20:20" s="566" customFormat="1">
      <c r="T48263" s="41"/>
    </row>
    <row r="48264" spans="20:20" s="566" customFormat="1">
      <c r="T48264" s="41"/>
    </row>
    <row r="48265" spans="20:20" s="566" customFormat="1">
      <c r="T48265" s="41"/>
    </row>
    <row r="48266" spans="20:20" s="566" customFormat="1">
      <c r="T48266" s="41"/>
    </row>
    <row r="48267" spans="20:20" s="566" customFormat="1">
      <c r="T48267" s="41"/>
    </row>
    <row r="48268" spans="20:20" s="566" customFormat="1">
      <c r="T48268" s="41"/>
    </row>
    <row r="48269" spans="20:20" s="566" customFormat="1">
      <c r="T48269" s="41"/>
    </row>
    <row r="48270" spans="20:20" s="566" customFormat="1">
      <c r="T48270" s="41"/>
    </row>
    <row r="48271" spans="20:20" s="566" customFormat="1">
      <c r="T48271" s="41"/>
    </row>
    <row r="48272" spans="20:20" s="566" customFormat="1">
      <c r="T48272" s="41"/>
    </row>
    <row r="48273" spans="20:20" s="566" customFormat="1">
      <c r="T48273" s="41"/>
    </row>
    <row r="48274" spans="20:20" s="566" customFormat="1">
      <c r="T48274" s="41"/>
    </row>
    <row r="48275" spans="20:20" s="566" customFormat="1">
      <c r="T48275" s="41"/>
    </row>
    <row r="48276" spans="20:20" s="566" customFormat="1">
      <c r="T48276" s="41"/>
    </row>
    <row r="48277" spans="20:20" s="566" customFormat="1">
      <c r="T48277" s="41"/>
    </row>
    <row r="48278" spans="20:20" s="566" customFormat="1">
      <c r="T48278" s="41"/>
    </row>
    <row r="48279" spans="20:20" s="566" customFormat="1">
      <c r="T48279" s="41"/>
    </row>
    <row r="48280" spans="20:20" s="566" customFormat="1">
      <c r="T48280" s="41"/>
    </row>
    <row r="48281" spans="20:20" s="566" customFormat="1">
      <c r="T48281" s="41"/>
    </row>
    <row r="48282" spans="20:20" s="566" customFormat="1">
      <c r="T48282" s="41"/>
    </row>
    <row r="48283" spans="20:20" s="566" customFormat="1">
      <c r="T48283" s="41"/>
    </row>
    <row r="48284" spans="20:20" s="566" customFormat="1">
      <c r="T48284" s="41"/>
    </row>
    <row r="48285" spans="20:20" s="566" customFormat="1">
      <c r="T48285" s="41"/>
    </row>
    <row r="48286" spans="20:20" s="566" customFormat="1">
      <c r="T48286" s="41"/>
    </row>
    <row r="48287" spans="20:20" s="566" customFormat="1">
      <c r="T48287" s="41"/>
    </row>
    <row r="48288" spans="20:20" s="566" customFormat="1">
      <c r="T48288" s="41"/>
    </row>
    <row r="48289" spans="20:20" s="566" customFormat="1">
      <c r="T48289" s="41"/>
    </row>
    <row r="48290" spans="20:20" s="566" customFormat="1">
      <c r="T48290" s="41"/>
    </row>
    <row r="48291" spans="20:20" s="566" customFormat="1">
      <c r="T48291" s="41"/>
    </row>
    <row r="48292" spans="20:20" s="566" customFormat="1">
      <c r="T48292" s="41"/>
    </row>
    <row r="48293" spans="20:20" s="566" customFormat="1">
      <c r="T48293" s="41"/>
    </row>
    <row r="48294" spans="20:20" s="566" customFormat="1">
      <c r="T48294" s="41"/>
    </row>
    <row r="48295" spans="20:20" s="566" customFormat="1">
      <c r="T48295" s="41"/>
    </row>
    <row r="48296" spans="20:20" s="566" customFormat="1">
      <c r="T48296" s="41"/>
    </row>
    <row r="48297" spans="20:20" s="566" customFormat="1">
      <c r="T48297" s="41"/>
    </row>
    <row r="48298" spans="20:20" s="566" customFormat="1">
      <c r="T48298" s="41"/>
    </row>
    <row r="48299" spans="20:20" s="566" customFormat="1">
      <c r="T48299" s="41"/>
    </row>
    <row r="48300" spans="20:20" s="566" customFormat="1">
      <c r="T48300" s="41"/>
    </row>
    <row r="48301" spans="20:20" s="566" customFormat="1">
      <c r="T48301" s="41"/>
    </row>
    <row r="48302" spans="20:20" s="566" customFormat="1">
      <c r="T48302" s="41"/>
    </row>
    <row r="48303" spans="20:20" s="566" customFormat="1">
      <c r="T48303" s="41"/>
    </row>
    <row r="48304" spans="20:20" s="566" customFormat="1">
      <c r="T48304" s="41"/>
    </row>
    <row r="48305" spans="20:20" s="566" customFormat="1">
      <c r="T48305" s="41"/>
    </row>
    <row r="48306" spans="20:20" s="566" customFormat="1">
      <c r="T48306" s="41"/>
    </row>
    <row r="48307" spans="20:20" s="566" customFormat="1">
      <c r="T48307" s="41"/>
    </row>
    <row r="48308" spans="20:20" s="566" customFormat="1">
      <c r="T48308" s="41"/>
    </row>
    <row r="48309" spans="20:20" s="566" customFormat="1">
      <c r="T48309" s="41"/>
    </row>
    <row r="48310" spans="20:20" s="566" customFormat="1">
      <c r="T48310" s="41"/>
    </row>
    <row r="48311" spans="20:20" s="566" customFormat="1">
      <c r="T48311" s="41"/>
    </row>
    <row r="48312" spans="20:20" s="566" customFormat="1">
      <c r="T48312" s="41"/>
    </row>
    <row r="48313" spans="20:20" s="566" customFormat="1">
      <c r="T48313" s="41"/>
    </row>
    <row r="48314" spans="20:20" s="566" customFormat="1">
      <c r="T48314" s="41"/>
    </row>
    <row r="48315" spans="20:20" s="566" customFormat="1">
      <c r="T48315" s="41"/>
    </row>
    <row r="48316" spans="20:20" s="566" customFormat="1">
      <c r="T48316" s="41"/>
    </row>
    <row r="48317" spans="20:20" s="566" customFormat="1">
      <c r="T48317" s="41"/>
    </row>
    <row r="48318" spans="20:20" s="566" customFormat="1">
      <c r="T48318" s="41"/>
    </row>
    <row r="48319" spans="20:20" s="566" customFormat="1">
      <c r="T48319" s="41"/>
    </row>
    <row r="48320" spans="20:20" s="566" customFormat="1">
      <c r="T48320" s="41"/>
    </row>
    <row r="48321" spans="20:20" s="566" customFormat="1">
      <c r="T48321" s="41"/>
    </row>
    <row r="48322" spans="20:20" s="566" customFormat="1">
      <c r="T48322" s="41"/>
    </row>
    <row r="48323" spans="20:20" s="566" customFormat="1">
      <c r="T48323" s="41"/>
    </row>
    <row r="48324" spans="20:20" s="566" customFormat="1">
      <c r="T48324" s="41"/>
    </row>
    <row r="48325" spans="20:20" s="566" customFormat="1">
      <c r="T48325" s="41"/>
    </row>
    <row r="48326" spans="20:20" s="566" customFormat="1">
      <c r="T48326" s="41"/>
    </row>
    <row r="48327" spans="20:20" s="566" customFormat="1">
      <c r="T48327" s="41"/>
    </row>
    <row r="48328" spans="20:20" s="566" customFormat="1">
      <c r="T48328" s="41"/>
    </row>
    <row r="48329" spans="20:20" s="566" customFormat="1">
      <c r="T48329" s="41"/>
    </row>
    <row r="48330" spans="20:20" s="566" customFormat="1">
      <c r="T48330" s="41"/>
    </row>
    <row r="48331" spans="20:20" s="566" customFormat="1">
      <c r="T48331" s="41"/>
    </row>
    <row r="48332" spans="20:20" s="566" customFormat="1">
      <c r="T48332" s="41"/>
    </row>
    <row r="48333" spans="20:20" s="566" customFormat="1">
      <c r="T48333" s="41"/>
    </row>
    <row r="48334" spans="20:20" s="566" customFormat="1">
      <c r="T48334" s="41"/>
    </row>
    <row r="48335" spans="20:20" s="566" customFormat="1">
      <c r="T48335" s="41"/>
    </row>
    <row r="48336" spans="20:20" s="566" customFormat="1">
      <c r="T48336" s="41"/>
    </row>
    <row r="48337" spans="20:20" s="566" customFormat="1">
      <c r="T48337" s="41"/>
    </row>
    <row r="48338" spans="20:20" s="566" customFormat="1">
      <c r="T48338" s="41"/>
    </row>
    <row r="48339" spans="20:20" s="566" customFormat="1">
      <c r="T48339" s="41"/>
    </row>
    <row r="48340" spans="20:20" s="566" customFormat="1">
      <c r="T48340" s="41"/>
    </row>
    <row r="48341" spans="20:20" s="566" customFormat="1">
      <c r="T48341" s="41"/>
    </row>
    <row r="48342" spans="20:20" s="566" customFormat="1">
      <c r="T48342" s="41"/>
    </row>
    <row r="48343" spans="20:20" s="566" customFormat="1">
      <c r="T48343" s="41"/>
    </row>
    <row r="48344" spans="20:20" s="566" customFormat="1">
      <c r="T48344" s="41"/>
    </row>
    <row r="48345" spans="20:20" s="566" customFormat="1">
      <c r="T48345" s="41"/>
    </row>
    <row r="48346" spans="20:20" s="566" customFormat="1">
      <c r="T48346" s="41"/>
    </row>
    <row r="48347" spans="20:20" s="566" customFormat="1">
      <c r="T48347" s="41"/>
    </row>
    <row r="48348" spans="20:20" s="566" customFormat="1">
      <c r="T48348" s="41"/>
    </row>
    <row r="48349" spans="20:20" s="566" customFormat="1">
      <c r="T48349" s="41"/>
    </row>
    <row r="48350" spans="20:20" s="566" customFormat="1">
      <c r="T48350" s="41"/>
    </row>
    <row r="48351" spans="20:20" s="566" customFormat="1">
      <c r="T48351" s="41"/>
    </row>
    <row r="48352" spans="20:20" s="566" customFormat="1">
      <c r="T48352" s="41"/>
    </row>
    <row r="48353" spans="20:20" s="566" customFormat="1">
      <c r="T48353" s="41"/>
    </row>
    <row r="48354" spans="20:20" s="566" customFormat="1">
      <c r="T48354" s="41"/>
    </row>
    <row r="48355" spans="20:20" s="566" customFormat="1">
      <c r="T48355" s="41"/>
    </row>
    <row r="48356" spans="20:20" s="566" customFormat="1">
      <c r="T48356" s="41"/>
    </row>
    <row r="48357" spans="20:20" s="566" customFormat="1">
      <c r="T48357" s="41"/>
    </row>
    <row r="48358" spans="20:20" s="566" customFormat="1">
      <c r="T48358" s="41"/>
    </row>
    <row r="48359" spans="20:20" s="566" customFormat="1">
      <c r="T48359" s="41"/>
    </row>
    <row r="48360" spans="20:20" s="566" customFormat="1">
      <c r="T48360" s="41"/>
    </row>
    <row r="48361" spans="20:20" s="566" customFormat="1">
      <c r="T48361" s="41"/>
    </row>
    <row r="48362" spans="20:20" s="566" customFormat="1">
      <c r="T48362" s="41"/>
    </row>
    <row r="48363" spans="20:20" s="566" customFormat="1">
      <c r="T48363" s="41"/>
    </row>
    <row r="48364" spans="20:20" s="566" customFormat="1">
      <c r="T48364" s="41"/>
    </row>
    <row r="48365" spans="20:20" s="566" customFormat="1">
      <c r="T48365" s="41"/>
    </row>
    <row r="48366" spans="20:20" s="566" customFormat="1">
      <c r="T48366" s="41"/>
    </row>
    <row r="48367" spans="20:20" s="566" customFormat="1">
      <c r="T48367" s="41"/>
    </row>
    <row r="48368" spans="20:20" s="566" customFormat="1">
      <c r="T48368" s="41"/>
    </row>
    <row r="48369" spans="20:20" s="566" customFormat="1">
      <c r="T48369" s="41"/>
    </row>
    <row r="48370" spans="20:20" s="566" customFormat="1">
      <c r="T48370" s="41"/>
    </row>
    <row r="48371" spans="20:20" s="566" customFormat="1">
      <c r="T48371" s="41"/>
    </row>
    <row r="48372" spans="20:20" s="566" customFormat="1">
      <c r="T48372" s="41"/>
    </row>
    <row r="48373" spans="20:20" s="566" customFormat="1">
      <c r="T48373" s="41"/>
    </row>
    <row r="48374" spans="20:20" s="566" customFormat="1">
      <c r="T48374" s="41"/>
    </row>
    <row r="48375" spans="20:20" s="566" customFormat="1">
      <c r="T48375" s="41"/>
    </row>
    <row r="48376" spans="20:20" s="566" customFormat="1">
      <c r="T48376" s="41"/>
    </row>
    <row r="48377" spans="20:20" s="566" customFormat="1">
      <c r="T48377" s="41"/>
    </row>
    <row r="48378" spans="20:20" s="566" customFormat="1">
      <c r="T48378" s="41"/>
    </row>
    <row r="48379" spans="20:20" s="566" customFormat="1">
      <c r="T48379" s="41"/>
    </row>
    <row r="48380" spans="20:20" s="566" customFormat="1">
      <c r="T48380" s="41"/>
    </row>
    <row r="48381" spans="20:20" s="566" customFormat="1">
      <c r="T48381" s="41"/>
    </row>
    <row r="48382" spans="20:20" s="566" customFormat="1">
      <c r="T48382" s="41"/>
    </row>
    <row r="48383" spans="20:20" s="566" customFormat="1">
      <c r="T48383" s="41"/>
    </row>
    <row r="48384" spans="20:20" s="566" customFormat="1">
      <c r="T48384" s="41"/>
    </row>
    <row r="48385" spans="20:20" s="566" customFormat="1">
      <c r="T48385" s="41"/>
    </row>
    <row r="48386" spans="20:20" s="566" customFormat="1">
      <c r="T48386" s="41"/>
    </row>
    <row r="48387" spans="20:20" s="566" customFormat="1">
      <c r="T48387" s="41"/>
    </row>
    <row r="48388" spans="20:20" s="566" customFormat="1">
      <c r="T48388" s="41"/>
    </row>
    <row r="48389" spans="20:20" s="566" customFormat="1">
      <c r="T48389" s="41"/>
    </row>
    <row r="48390" spans="20:20" s="566" customFormat="1">
      <c r="T48390" s="41"/>
    </row>
    <row r="48391" spans="20:20" s="566" customFormat="1">
      <c r="T48391" s="41"/>
    </row>
    <row r="48392" spans="20:20" s="566" customFormat="1">
      <c r="T48392" s="41"/>
    </row>
    <row r="48393" spans="20:20" s="566" customFormat="1">
      <c r="T48393" s="41"/>
    </row>
    <row r="48394" spans="20:20" s="566" customFormat="1">
      <c r="T48394" s="41"/>
    </row>
    <row r="48395" spans="20:20" s="566" customFormat="1">
      <c r="T48395" s="41"/>
    </row>
    <row r="48396" spans="20:20" s="566" customFormat="1">
      <c r="T48396" s="41"/>
    </row>
    <row r="48397" spans="20:20" s="566" customFormat="1">
      <c r="T48397" s="41"/>
    </row>
    <row r="48398" spans="20:20" s="566" customFormat="1">
      <c r="T48398" s="41"/>
    </row>
    <row r="48399" spans="20:20" s="566" customFormat="1">
      <c r="T48399" s="41"/>
    </row>
    <row r="48400" spans="20:20" s="566" customFormat="1">
      <c r="T48400" s="41"/>
    </row>
    <row r="48401" spans="20:20" s="566" customFormat="1">
      <c r="T48401" s="41"/>
    </row>
    <row r="48402" spans="20:20" s="566" customFormat="1">
      <c r="T48402" s="41"/>
    </row>
    <row r="48403" spans="20:20" s="566" customFormat="1">
      <c r="T48403" s="41"/>
    </row>
    <row r="48404" spans="20:20" s="566" customFormat="1">
      <c r="T48404" s="41"/>
    </row>
    <row r="48405" spans="20:20" s="566" customFormat="1">
      <c r="T48405" s="41"/>
    </row>
    <row r="48406" spans="20:20" s="566" customFormat="1">
      <c r="T48406" s="41"/>
    </row>
    <row r="48407" spans="20:20" s="566" customFormat="1">
      <c r="T48407" s="41"/>
    </row>
    <row r="48408" spans="20:20" s="566" customFormat="1">
      <c r="T48408" s="41"/>
    </row>
    <row r="48409" spans="20:20" s="566" customFormat="1">
      <c r="T48409" s="41"/>
    </row>
    <row r="48410" spans="20:20" s="566" customFormat="1">
      <c r="T48410" s="41"/>
    </row>
    <row r="48411" spans="20:20" s="566" customFormat="1">
      <c r="T48411" s="41"/>
    </row>
    <row r="48412" spans="20:20" s="566" customFormat="1">
      <c r="T48412" s="41"/>
    </row>
    <row r="48413" spans="20:20" s="566" customFormat="1">
      <c r="T48413" s="41"/>
    </row>
    <row r="48414" spans="20:20" s="566" customFormat="1">
      <c r="T48414" s="41"/>
    </row>
    <row r="48415" spans="20:20" s="566" customFormat="1">
      <c r="T48415" s="41"/>
    </row>
    <row r="48416" spans="20:20" s="566" customFormat="1">
      <c r="T48416" s="41"/>
    </row>
    <row r="48417" spans="20:20" s="566" customFormat="1">
      <c r="T48417" s="41"/>
    </row>
    <row r="48418" spans="20:20" s="566" customFormat="1">
      <c r="T48418" s="41"/>
    </row>
    <row r="48419" spans="20:20" s="566" customFormat="1">
      <c r="T48419" s="41"/>
    </row>
    <row r="48420" spans="20:20" s="566" customFormat="1">
      <c r="T48420" s="41"/>
    </row>
    <row r="48421" spans="20:20" s="566" customFormat="1">
      <c r="T48421" s="41"/>
    </row>
    <row r="48422" spans="20:20" s="566" customFormat="1">
      <c r="T48422" s="41"/>
    </row>
    <row r="48423" spans="20:20" s="566" customFormat="1">
      <c r="T48423" s="41"/>
    </row>
    <row r="48424" spans="20:20" s="566" customFormat="1">
      <c r="T48424" s="41"/>
    </row>
    <row r="48425" spans="20:20" s="566" customFormat="1">
      <c r="T48425" s="41"/>
    </row>
    <row r="48426" spans="20:20" s="566" customFormat="1">
      <c r="T48426" s="41"/>
    </row>
    <row r="48427" spans="20:20" s="566" customFormat="1">
      <c r="T48427" s="41"/>
    </row>
    <row r="48428" spans="20:20" s="566" customFormat="1">
      <c r="T48428" s="41"/>
    </row>
    <row r="48429" spans="20:20" s="566" customFormat="1">
      <c r="T48429" s="41"/>
    </row>
    <row r="48430" spans="20:20" s="566" customFormat="1">
      <c r="T48430" s="41"/>
    </row>
    <row r="48431" spans="20:20" s="566" customFormat="1">
      <c r="T48431" s="41"/>
    </row>
    <row r="48432" spans="20:20" s="566" customFormat="1">
      <c r="T48432" s="41"/>
    </row>
    <row r="48433" spans="20:20" s="566" customFormat="1">
      <c r="T48433" s="41"/>
    </row>
    <row r="48434" spans="20:20" s="566" customFormat="1">
      <c r="T48434" s="41"/>
    </row>
    <row r="48435" spans="20:20" s="566" customFormat="1">
      <c r="T48435" s="41"/>
    </row>
    <row r="48436" spans="20:20" s="566" customFormat="1">
      <c r="T48436" s="41"/>
    </row>
    <row r="48437" spans="20:20" s="566" customFormat="1">
      <c r="T48437" s="41"/>
    </row>
    <row r="48438" spans="20:20" s="566" customFormat="1">
      <c r="T48438" s="41"/>
    </row>
    <row r="48439" spans="20:20" s="566" customFormat="1">
      <c r="T48439" s="41"/>
    </row>
    <row r="48440" spans="20:20" s="566" customFormat="1">
      <c r="T48440" s="41"/>
    </row>
    <row r="48441" spans="20:20" s="566" customFormat="1">
      <c r="T48441" s="41"/>
    </row>
    <row r="48442" spans="20:20" s="566" customFormat="1">
      <c r="T48442" s="41"/>
    </row>
    <row r="48443" spans="20:20" s="566" customFormat="1">
      <c r="T48443" s="41"/>
    </row>
    <row r="48444" spans="20:20" s="566" customFormat="1">
      <c r="T48444" s="41"/>
    </row>
    <row r="48445" spans="20:20" s="566" customFormat="1">
      <c r="T48445" s="41"/>
    </row>
    <row r="48446" spans="20:20" s="566" customFormat="1">
      <c r="T48446" s="41"/>
    </row>
    <row r="48447" spans="20:20" s="566" customFormat="1">
      <c r="T48447" s="41"/>
    </row>
    <row r="48448" spans="20:20" s="566" customFormat="1">
      <c r="T48448" s="41"/>
    </row>
    <row r="48449" spans="20:20" s="566" customFormat="1">
      <c r="T48449" s="41"/>
    </row>
    <row r="48450" spans="20:20" s="566" customFormat="1">
      <c r="T48450" s="41"/>
    </row>
    <row r="48451" spans="20:20" s="566" customFormat="1">
      <c r="T48451" s="41"/>
    </row>
    <row r="48452" spans="20:20" s="566" customFormat="1">
      <c r="T48452" s="41"/>
    </row>
    <row r="48453" spans="20:20" s="566" customFormat="1">
      <c r="T48453" s="41"/>
    </row>
    <row r="48454" spans="20:20" s="566" customFormat="1">
      <c r="T48454" s="41"/>
    </row>
    <row r="48455" spans="20:20" s="566" customFormat="1">
      <c r="T48455" s="41"/>
    </row>
    <row r="48456" spans="20:20" s="566" customFormat="1">
      <c r="T48456" s="41"/>
    </row>
    <row r="48457" spans="20:20" s="566" customFormat="1">
      <c r="T48457" s="41"/>
    </row>
    <row r="48458" spans="20:20" s="566" customFormat="1">
      <c r="T48458" s="41"/>
    </row>
    <row r="48459" spans="20:20" s="566" customFormat="1">
      <c r="T48459" s="41"/>
    </row>
    <row r="48460" spans="20:20" s="566" customFormat="1">
      <c r="T48460" s="41"/>
    </row>
    <row r="48461" spans="20:20" s="566" customFormat="1">
      <c r="T48461" s="41"/>
    </row>
    <row r="48462" spans="20:20" s="566" customFormat="1">
      <c r="T48462" s="41"/>
    </row>
    <row r="48463" spans="20:20" s="566" customFormat="1">
      <c r="T48463" s="41"/>
    </row>
    <row r="48464" spans="20:20" s="566" customFormat="1">
      <c r="T48464" s="41"/>
    </row>
    <row r="48465" spans="20:20" s="566" customFormat="1">
      <c r="T48465" s="41"/>
    </row>
    <row r="48466" spans="20:20" s="566" customFormat="1">
      <c r="T48466" s="41"/>
    </row>
    <row r="48467" spans="20:20" s="566" customFormat="1">
      <c r="T48467" s="41"/>
    </row>
    <row r="48468" spans="20:20" s="566" customFormat="1">
      <c r="T48468" s="41"/>
    </row>
    <row r="48469" spans="20:20" s="566" customFormat="1">
      <c r="T48469" s="41"/>
    </row>
    <row r="48470" spans="20:20" s="566" customFormat="1">
      <c r="T48470" s="41"/>
    </row>
    <row r="48471" spans="20:20" s="566" customFormat="1">
      <c r="T48471" s="41"/>
    </row>
    <row r="48472" spans="20:20" s="566" customFormat="1">
      <c r="T48472" s="41"/>
    </row>
    <row r="48473" spans="20:20" s="566" customFormat="1">
      <c r="T48473" s="41"/>
    </row>
    <row r="48474" spans="20:20" s="566" customFormat="1">
      <c r="T48474" s="41"/>
    </row>
    <row r="48475" spans="20:20" s="566" customFormat="1">
      <c r="T48475" s="41"/>
    </row>
    <row r="48476" spans="20:20" s="566" customFormat="1">
      <c r="T48476" s="41"/>
    </row>
    <row r="48477" spans="20:20" s="566" customFormat="1">
      <c r="T48477" s="41"/>
    </row>
    <row r="48478" spans="20:20" s="566" customFormat="1">
      <c r="T48478" s="41"/>
    </row>
    <row r="48479" spans="20:20" s="566" customFormat="1">
      <c r="T48479" s="41"/>
    </row>
    <row r="48480" spans="20:20" s="566" customFormat="1">
      <c r="T48480" s="41"/>
    </row>
    <row r="48481" spans="20:20" s="566" customFormat="1">
      <c r="T48481" s="41"/>
    </row>
    <row r="48482" spans="20:20" s="566" customFormat="1">
      <c r="T48482" s="41"/>
    </row>
    <row r="48483" spans="20:20" s="566" customFormat="1">
      <c r="T48483" s="41"/>
    </row>
    <row r="48484" spans="20:20" s="566" customFormat="1">
      <c r="T48484" s="41"/>
    </row>
    <row r="48485" spans="20:20" s="566" customFormat="1">
      <c r="T48485" s="41"/>
    </row>
    <row r="48486" spans="20:20" s="566" customFormat="1">
      <c r="T48486" s="41"/>
    </row>
    <row r="48487" spans="20:20" s="566" customFormat="1">
      <c r="T48487" s="41"/>
    </row>
    <row r="48488" spans="20:20" s="566" customFormat="1">
      <c r="T48488" s="41"/>
    </row>
    <row r="48489" spans="20:20" s="566" customFormat="1">
      <c r="T48489" s="41"/>
    </row>
    <row r="48490" spans="20:20" s="566" customFormat="1">
      <c r="T48490" s="41"/>
    </row>
    <row r="48491" spans="20:20" s="566" customFormat="1">
      <c r="T48491" s="41"/>
    </row>
    <row r="48492" spans="20:20" s="566" customFormat="1">
      <c r="T48492" s="41"/>
    </row>
    <row r="48493" spans="20:20" s="566" customFormat="1">
      <c r="T48493" s="41"/>
    </row>
    <row r="48494" spans="20:20" s="566" customFormat="1">
      <c r="T48494" s="41"/>
    </row>
    <row r="48495" spans="20:20" s="566" customFormat="1">
      <c r="T48495" s="41"/>
    </row>
    <row r="48496" spans="20:20" s="566" customFormat="1">
      <c r="T48496" s="41"/>
    </row>
    <row r="48497" spans="20:20" s="566" customFormat="1">
      <c r="T48497" s="41"/>
    </row>
    <row r="48498" spans="20:20" s="566" customFormat="1">
      <c r="T48498" s="41"/>
    </row>
    <row r="48499" spans="20:20" s="566" customFormat="1">
      <c r="T48499" s="41"/>
    </row>
    <row r="48500" spans="20:20" s="566" customFormat="1">
      <c r="T48500" s="41"/>
    </row>
    <row r="48501" spans="20:20" s="566" customFormat="1">
      <c r="T48501" s="41"/>
    </row>
    <row r="48502" spans="20:20" s="566" customFormat="1">
      <c r="T48502" s="41"/>
    </row>
    <row r="48503" spans="20:20" s="566" customFormat="1">
      <c r="T48503" s="41"/>
    </row>
    <row r="48504" spans="20:20" s="566" customFormat="1">
      <c r="T48504" s="41"/>
    </row>
    <row r="48505" spans="20:20" s="566" customFormat="1">
      <c r="T48505" s="41"/>
    </row>
    <row r="48506" spans="20:20" s="566" customFormat="1">
      <c r="T48506" s="41"/>
    </row>
    <row r="48507" spans="20:20" s="566" customFormat="1">
      <c r="T48507" s="41"/>
    </row>
    <row r="48508" spans="20:20" s="566" customFormat="1">
      <c r="T48508" s="41"/>
    </row>
    <row r="48509" spans="20:20" s="566" customFormat="1">
      <c r="T48509" s="41"/>
    </row>
    <row r="48510" spans="20:20" s="566" customFormat="1">
      <c r="T48510" s="41"/>
    </row>
    <row r="48511" spans="20:20" s="566" customFormat="1">
      <c r="T48511" s="41"/>
    </row>
    <row r="48512" spans="20:20" s="566" customFormat="1">
      <c r="T48512" s="41"/>
    </row>
    <row r="48513" spans="20:20" s="566" customFormat="1">
      <c r="T48513" s="41"/>
    </row>
    <row r="48514" spans="20:20" s="566" customFormat="1">
      <c r="T48514" s="41"/>
    </row>
    <row r="48515" spans="20:20" s="566" customFormat="1">
      <c r="T48515" s="41"/>
    </row>
    <row r="48516" spans="20:20" s="566" customFormat="1">
      <c r="T48516" s="41"/>
    </row>
    <row r="48517" spans="20:20" s="566" customFormat="1">
      <c r="T48517" s="41"/>
    </row>
    <row r="48518" spans="20:20" s="566" customFormat="1">
      <c r="T48518" s="41"/>
    </row>
    <row r="48519" spans="20:20" s="566" customFormat="1">
      <c r="T48519" s="41"/>
    </row>
    <row r="48520" spans="20:20" s="566" customFormat="1">
      <c r="T48520" s="41"/>
    </row>
    <row r="48521" spans="20:20" s="566" customFormat="1">
      <c r="T48521" s="41"/>
    </row>
    <row r="48522" spans="20:20" s="566" customFormat="1">
      <c r="T48522" s="41"/>
    </row>
    <row r="48523" spans="20:20" s="566" customFormat="1">
      <c r="T48523" s="41"/>
    </row>
    <row r="48524" spans="20:20" s="566" customFormat="1">
      <c r="T48524" s="41"/>
    </row>
    <row r="48525" spans="20:20" s="566" customFormat="1">
      <c r="T48525" s="41"/>
    </row>
    <row r="48526" spans="20:20" s="566" customFormat="1">
      <c r="T48526" s="41"/>
    </row>
    <row r="48527" spans="20:20" s="566" customFormat="1">
      <c r="T48527" s="41"/>
    </row>
    <row r="48528" spans="20:20" s="566" customFormat="1">
      <c r="T48528" s="41"/>
    </row>
    <row r="48529" spans="20:20" s="566" customFormat="1">
      <c r="T48529" s="41"/>
    </row>
    <row r="48530" spans="20:20" s="566" customFormat="1">
      <c r="T48530" s="41"/>
    </row>
    <row r="48531" spans="20:20" s="566" customFormat="1">
      <c r="T48531" s="41"/>
    </row>
    <row r="48532" spans="20:20" s="566" customFormat="1">
      <c r="T48532" s="41"/>
    </row>
    <row r="48533" spans="20:20" s="566" customFormat="1">
      <c r="T48533" s="41"/>
    </row>
    <row r="48534" spans="20:20" s="566" customFormat="1">
      <c r="T48534" s="41"/>
    </row>
    <row r="48535" spans="20:20" s="566" customFormat="1">
      <c r="T48535" s="41"/>
    </row>
    <row r="48536" spans="20:20" s="566" customFormat="1">
      <c r="T48536" s="41"/>
    </row>
    <row r="48537" spans="20:20" s="566" customFormat="1">
      <c r="T48537" s="41"/>
    </row>
    <row r="48538" spans="20:20" s="566" customFormat="1">
      <c r="T48538" s="41"/>
    </row>
    <row r="48539" spans="20:20" s="566" customFormat="1">
      <c r="T48539" s="41"/>
    </row>
    <row r="48540" spans="20:20" s="566" customFormat="1">
      <c r="T48540" s="41"/>
    </row>
    <row r="48541" spans="20:20" s="566" customFormat="1">
      <c r="T48541" s="41"/>
    </row>
    <row r="48542" spans="20:20" s="566" customFormat="1">
      <c r="T48542" s="41"/>
    </row>
    <row r="48543" spans="20:20" s="566" customFormat="1">
      <c r="T48543" s="41"/>
    </row>
    <row r="48544" spans="20:20" s="566" customFormat="1">
      <c r="T48544" s="41"/>
    </row>
    <row r="48545" spans="20:20" s="566" customFormat="1">
      <c r="T48545" s="41"/>
    </row>
    <row r="48546" spans="20:20" s="566" customFormat="1">
      <c r="T48546" s="41"/>
    </row>
    <row r="48547" spans="20:20" s="566" customFormat="1">
      <c r="T48547" s="41"/>
    </row>
    <row r="48548" spans="20:20" s="566" customFormat="1">
      <c r="T48548" s="41"/>
    </row>
    <row r="48549" spans="20:20" s="566" customFormat="1">
      <c r="T48549" s="41"/>
    </row>
    <row r="48550" spans="20:20" s="566" customFormat="1">
      <c r="T48550" s="41"/>
    </row>
    <row r="48551" spans="20:20" s="566" customFormat="1">
      <c r="T48551" s="41"/>
    </row>
    <row r="48552" spans="20:20" s="566" customFormat="1">
      <c r="T48552" s="41"/>
    </row>
    <row r="48553" spans="20:20" s="566" customFormat="1">
      <c r="T48553" s="41"/>
    </row>
    <row r="48554" spans="20:20" s="566" customFormat="1">
      <c r="T48554" s="41"/>
    </row>
    <row r="48555" spans="20:20" s="566" customFormat="1">
      <c r="T48555" s="41"/>
    </row>
    <row r="48556" spans="20:20" s="566" customFormat="1">
      <c r="T48556" s="41"/>
    </row>
    <row r="48557" spans="20:20" s="566" customFormat="1">
      <c r="T48557" s="41"/>
    </row>
    <row r="48558" spans="20:20" s="566" customFormat="1">
      <c r="T48558" s="41"/>
    </row>
    <row r="48559" spans="20:20" s="566" customFormat="1">
      <c r="T48559" s="41"/>
    </row>
    <row r="48560" spans="20:20" s="566" customFormat="1">
      <c r="T48560" s="41"/>
    </row>
    <row r="48561" spans="20:20" s="566" customFormat="1">
      <c r="T48561" s="41"/>
    </row>
    <row r="48562" spans="20:20" s="566" customFormat="1">
      <c r="T48562" s="41"/>
    </row>
    <row r="48563" spans="20:20" s="566" customFormat="1">
      <c r="T48563" s="41"/>
    </row>
    <row r="48564" spans="20:20" s="566" customFormat="1">
      <c r="T48564" s="41"/>
    </row>
    <row r="48565" spans="20:20" s="566" customFormat="1">
      <c r="T48565" s="41"/>
    </row>
    <row r="48566" spans="20:20" s="566" customFormat="1">
      <c r="T48566" s="41"/>
    </row>
    <row r="48567" spans="20:20" s="566" customFormat="1">
      <c r="T48567" s="41"/>
    </row>
    <row r="48568" spans="20:20" s="566" customFormat="1">
      <c r="T48568" s="41"/>
    </row>
    <row r="48569" spans="20:20" s="566" customFormat="1">
      <c r="T48569" s="41"/>
    </row>
    <row r="48570" spans="20:20" s="566" customFormat="1">
      <c r="T48570" s="41"/>
    </row>
    <row r="48571" spans="20:20" s="566" customFormat="1">
      <c r="T48571" s="41"/>
    </row>
    <row r="48572" spans="20:20" s="566" customFormat="1">
      <c r="T48572" s="41"/>
    </row>
    <row r="48573" spans="20:20" s="566" customFormat="1">
      <c r="T48573" s="41"/>
    </row>
    <row r="48574" spans="20:20" s="566" customFormat="1">
      <c r="T48574" s="41"/>
    </row>
    <row r="48575" spans="20:20" s="566" customFormat="1">
      <c r="T48575" s="41"/>
    </row>
    <row r="48576" spans="20:20" s="566" customFormat="1">
      <c r="T48576" s="41"/>
    </row>
    <row r="48577" spans="20:20" s="566" customFormat="1">
      <c r="T48577" s="41"/>
    </row>
    <row r="48578" spans="20:20" s="566" customFormat="1">
      <c r="T48578" s="41"/>
    </row>
    <row r="48579" spans="20:20" s="566" customFormat="1">
      <c r="T48579" s="41"/>
    </row>
    <row r="48580" spans="20:20" s="566" customFormat="1">
      <c r="T48580" s="41"/>
    </row>
    <row r="48581" spans="20:20" s="566" customFormat="1">
      <c r="T48581" s="41"/>
    </row>
    <row r="48582" spans="20:20" s="566" customFormat="1">
      <c r="T48582" s="41"/>
    </row>
    <row r="48583" spans="20:20" s="566" customFormat="1">
      <c r="T48583" s="41"/>
    </row>
    <row r="48584" spans="20:20" s="566" customFormat="1">
      <c r="T48584" s="41"/>
    </row>
    <row r="48585" spans="20:20" s="566" customFormat="1">
      <c r="T48585" s="41"/>
    </row>
    <row r="48586" spans="20:20" s="566" customFormat="1">
      <c r="T48586" s="41"/>
    </row>
    <row r="48587" spans="20:20" s="566" customFormat="1">
      <c r="T48587" s="41"/>
    </row>
    <row r="48588" spans="20:20" s="566" customFormat="1">
      <c r="T48588" s="41"/>
    </row>
    <row r="48589" spans="20:20" s="566" customFormat="1">
      <c r="T48589" s="41"/>
    </row>
    <row r="48590" spans="20:20" s="566" customFormat="1">
      <c r="T48590" s="41"/>
    </row>
    <row r="48591" spans="20:20" s="566" customFormat="1">
      <c r="T48591" s="41"/>
    </row>
    <row r="48592" spans="20:20" s="566" customFormat="1">
      <c r="T48592" s="41"/>
    </row>
    <row r="48593" spans="20:20" s="566" customFormat="1">
      <c r="T48593" s="41"/>
    </row>
    <row r="48594" spans="20:20" s="566" customFormat="1">
      <c r="T48594" s="41"/>
    </row>
    <row r="48595" spans="20:20" s="566" customFormat="1">
      <c r="T48595" s="41"/>
    </row>
    <row r="48596" spans="20:20" s="566" customFormat="1">
      <c r="T48596" s="41"/>
    </row>
    <row r="48597" spans="20:20" s="566" customFormat="1">
      <c r="T48597" s="41"/>
    </row>
    <row r="48598" spans="20:20" s="566" customFormat="1">
      <c r="T48598" s="41"/>
    </row>
    <row r="48599" spans="20:20" s="566" customFormat="1">
      <c r="T48599" s="41"/>
    </row>
    <row r="48600" spans="20:20" s="566" customFormat="1">
      <c r="T48600" s="41"/>
    </row>
    <row r="48601" spans="20:20" s="566" customFormat="1">
      <c r="T48601" s="41"/>
    </row>
    <row r="48602" spans="20:20" s="566" customFormat="1">
      <c r="T48602" s="41"/>
    </row>
    <row r="48603" spans="20:20" s="566" customFormat="1">
      <c r="T48603" s="41"/>
    </row>
    <row r="48604" spans="20:20" s="566" customFormat="1">
      <c r="T48604" s="41"/>
    </row>
    <row r="48605" spans="20:20" s="566" customFormat="1">
      <c r="T48605" s="41"/>
    </row>
    <row r="48606" spans="20:20" s="566" customFormat="1">
      <c r="T48606" s="41"/>
    </row>
    <row r="48607" spans="20:20" s="566" customFormat="1">
      <c r="T48607" s="41"/>
    </row>
    <row r="48608" spans="20:20" s="566" customFormat="1">
      <c r="T48608" s="41"/>
    </row>
    <row r="48609" spans="20:20" s="566" customFormat="1">
      <c r="T48609" s="41"/>
    </row>
    <row r="48610" spans="20:20" s="566" customFormat="1">
      <c r="T48610" s="41"/>
    </row>
    <row r="48611" spans="20:20" s="566" customFormat="1">
      <c r="T48611" s="41"/>
    </row>
    <row r="48612" spans="20:20" s="566" customFormat="1">
      <c r="T48612" s="41"/>
    </row>
    <row r="48613" spans="20:20" s="566" customFormat="1">
      <c r="T48613" s="41"/>
    </row>
    <row r="48614" spans="20:20" s="566" customFormat="1">
      <c r="T48614" s="41"/>
    </row>
    <row r="48615" spans="20:20" s="566" customFormat="1">
      <c r="T48615" s="41"/>
    </row>
    <row r="48616" spans="20:20" s="566" customFormat="1">
      <c r="T48616" s="41"/>
    </row>
    <row r="48617" spans="20:20" s="566" customFormat="1">
      <c r="T48617" s="41"/>
    </row>
    <row r="48618" spans="20:20" s="566" customFormat="1">
      <c r="T48618" s="41"/>
    </row>
    <row r="48619" spans="20:20" s="566" customFormat="1">
      <c r="T48619" s="41"/>
    </row>
    <row r="48620" spans="20:20" s="566" customFormat="1">
      <c r="T48620" s="41"/>
    </row>
    <row r="48621" spans="20:20" s="566" customFormat="1">
      <c r="T48621" s="41"/>
    </row>
    <row r="48622" spans="20:20" s="566" customFormat="1">
      <c r="T48622" s="41"/>
    </row>
    <row r="48623" spans="20:20" s="566" customFormat="1">
      <c r="T48623" s="41"/>
    </row>
    <row r="48624" spans="20:20" s="566" customFormat="1">
      <c r="T48624" s="41"/>
    </row>
    <row r="48625" spans="20:20" s="566" customFormat="1">
      <c r="T48625" s="41"/>
    </row>
    <row r="48626" spans="20:20" s="566" customFormat="1">
      <c r="T48626" s="41"/>
    </row>
    <row r="48627" spans="20:20" s="566" customFormat="1">
      <c r="T48627" s="41"/>
    </row>
    <row r="48628" spans="20:20" s="566" customFormat="1">
      <c r="T48628" s="41"/>
    </row>
    <row r="48629" spans="20:20" s="566" customFormat="1">
      <c r="T48629" s="41"/>
    </row>
    <row r="48630" spans="20:20" s="566" customFormat="1">
      <c r="T48630" s="41"/>
    </row>
    <row r="48631" spans="20:20" s="566" customFormat="1">
      <c r="T48631" s="41"/>
    </row>
    <row r="48632" spans="20:20" s="566" customFormat="1">
      <c r="T48632" s="41"/>
    </row>
    <row r="48633" spans="20:20" s="566" customFormat="1">
      <c r="T48633" s="41"/>
    </row>
    <row r="48634" spans="20:20" s="566" customFormat="1">
      <c r="T48634" s="41"/>
    </row>
    <row r="48635" spans="20:20" s="566" customFormat="1">
      <c r="T48635" s="41"/>
    </row>
    <row r="48636" spans="20:20" s="566" customFormat="1">
      <c r="T48636" s="41"/>
    </row>
    <row r="48637" spans="20:20" s="566" customFormat="1">
      <c r="T48637" s="41"/>
    </row>
    <row r="48638" spans="20:20" s="566" customFormat="1">
      <c r="T48638" s="41"/>
    </row>
    <row r="48639" spans="20:20" s="566" customFormat="1">
      <c r="T48639" s="41"/>
    </row>
    <row r="48640" spans="20:20" s="566" customFormat="1">
      <c r="T48640" s="41"/>
    </row>
    <row r="48641" spans="20:20" s="566" customFormat="1">
      <c r="T48641" s="41"/>
    </row>
    <row r="48642" spans="20:20" s="566" customFormat="1">
      <c r="T48642" s="41"/>
    </row>
    <row r="48643" spans="20:20" s="566" customFormat="1">
      <c r="T48643" s="41"/>
    </row>
    <row r="48644" spans="20:20" s="566" customFormat="1">
      <c r="T48644" s="41"/>
    </row>
    <row r="48645" spans="20:20" s="566" customFormat="1">
      <c r="T48645" s="41"/>
    </row>
    <row r="48646" spans="20:20" s="566" customFormat="1">
      <c r="T48646" s="41"/>
    </row>
    <row r="48647" spans="20:20" s="566" customFormat="1">
      <c r="T48647" s="41"/>
    </row>
    <row r="48648" spans="20:20" s="566" customFormat="1">
      <c r="T48648" s="41"/>
    </row>
    <row r="48649" spans="20:20" s="566" customFormat="1">
      <c r="T48649" s="41"/>
    </row>
    <row r="48650" spans="20:20" s="566" customFormat="1">
      <c r="T48650" s="41"/>
    </row>
    <row r="48651" spans="20:20" s="566" customFormat="1">
      <c r="T48651" s="41"/>
    </row>
    <row r="48652" spans="20:20" s="566" customFormat="1">
      <c r="T48652" s="41"/>
    </row>
    <row r="48653" spans="20:20" s="566" customFormat="1">
      <c r="T48653" s="41"/>
    </row>
    <row r="48654" spans="20:20" s="566" customFormat="1">
      <c r="T48654" s="41"/>
    </row>
    <row r="48655" spans="20:20" s="566" customFormat="1">
      <c r="T48655" s="41"/>
    </row>
    <row r="48656" spans="20:20" s="566" customFormat="1">
      <c r="T48656" s="41"/>
    </row>
    <row r="48657" spans="20:20" s="566" customFormat="1">
      <c r="T48657" s="41"/>
    </row>
    <row r="48658" spans="20:20" s="566" customFormat="1">
      <c r="T48658" s="41"/>
    </row>
    <row r="48659" spans="20:20" s="566" customFormat="1">
      <c r="T48659" s="41"/>
    </row>
    <row r="48660" spans="20:20" s="566" customFormat="1">
      <c r="T48660" s="41"/>
    </row>
    <row r="48661" spans="20:20" s="566" customFormat="1">
      <c r="T48661" s="41"/>
    </row>
    <row r="48662" spans="20:20" s="566" customFormat="1">
      <c r="T48662" s="41"/>
    </row>
    <row r="48663" spans="20:20" s="566" customFormat="1">
      <c r="T48663" s="41"/>
    </row>
    <row r="48664" spans="20:20" s="566" customFormat="1">
      <c r="T48664" s="41"/>
    </row>
    <row r="48665" spans="20:20" s="566" customFormat="1">
      <c r="T48665" s="41"/>
    </row>
    <row r="48666" spans="20:20" s="566" customFormat="1">
      <c r="T48666" s="41"/>
    </row>
    <row r="48667" spans="20:20" s="566" customFormat="1">
      <c r="T48667" s="41"/>
    </row>
    <row r="48668" spans="20:20" s="566" customFormat="1">
      <c r="T48668" s="41"/>
    </row>
    <row r="48669" spans="20:20" s="566" customFormat="1">
      <c r="T48669" s="41"/>
    </row>
    <row r="48670" spans="20:20" s="566" customFormat="1">
      <c r="T48670" s="41"/>
    </row>
    <row r="48671" spans="20:20" s="566" customFormat="1">
      <c r="T48671" s="41"/>
    </row>
    <row r="48672" spans="20:20" s="566" customFormat="1">
      <c r="T48672" s="41"/>
    </row>
    <row r="48673" spans="20:20" s="566" customFormat="1">
      <c r="T48673" s="41"/>
    </row>
    <row r="48674" spans="20:20" s="566" customFormat="1">
      <c r="T48674" s="41"/>
    </row>
    <row r="48675" spans="20:20" s="566" customFormat="1">
      <c r="T48675" s="41"/>
    </row>
    <row r="48676" spans="20:20" s="566" customFormat="1">
      <c r="T48676" s="41"/>
    </row>
    <row r="48677" spans="20:20" s="566" customFormat="1">
      <c r="T48677" s="41"/>
    </row>
    <row r="48678" spans="20:20" s="566" customFormat="1">
      <c r="T48678" s="41"/>
    </row>
    <row r="48679" spans="20:20" s="566" customFormat="1">
      <c r="T48679" s="41"/>
    </row>
    <row r="48680" spans="20:20" s="566" customFormat="1">
      <c r="T48680" s="41"/>
    </row>
    <row r="48681" spans="20:20" s="566" customFormat="1">
      <c r="T48681" s="41"/>
    </row>
    <row r="48682" spans="20:20" s="566" customFormat="1">
      <c r="T48682" s="41"/>
    </row>
    <row r="48683" spans="20:20" s="566" customFormat="1">
      <c r="T48683" s="41"/>
    </row>
    <row r="48684" spans="20:20" s="566" customFormat="1">
      <c r="T48684" s="41"/>
    </row>
    <row r="48685" spans="20:20" s="566" customFormat="1">
      <c r="T48685" s="41"/>
    </row>
    <row r="48686" spans="20:20" s="566" customFormat="1">
      <c r="T48686" s="41"/>
    </row>
    <row r="48687" spans="20:20" s="566" customFormat="1">
      <c r="T48687" s="41"/>
    </row>
    <row r="48688" spans="20:20" s="566" customFormat="1">
      <c r="T48688" s="41"/>
    </row>
    <row r="48689" spans="20:20" s="566" customFormat="1">
      <c r="T48689" s="41"/>
    </row>
    <row r="48690" spans="20:20" s="566" customFormat="1">
      <c r="T48690" s="41"/>
    </row>
    <row r="48691" spans="20:20" s="566" customFormat="1">
      <c r="T48691" s="41"/>
    </row>
    <row r="48692" spans="20:20" s="566" customFormat="1">
      <c r="T48692" s="41"/>
    </row>
    <row r="48693" spans="20:20" s="566" customFormat="1">
      <c r="T48693" s="41"/>
    </row>
    <row r="48694" spans="20:20" s="566" customFormat="1">
      <c r="T48694" s="41"/>
    </row>
    <row r="48695" spans="20:20" s="566" customFormat="1">
      <c r="T48695" s="41"/>
    </row>
    <row r="48696" spans="20:20" s="566" customFormat="1">
      <c r="T48696" s="41"/>
    </row>
    <row r="48697" spans="20:20" s="566" customFormat="1">
      <c r="T48697" s="41"/>
    </row>
    <row r="48698" spans="20:20" s="566" customFormat="1">
      <c r="T48698" s="41"/>
    </row>
    <row r="48699" spans="20:20" s="566" customFormat="1">
      <c r="T48699" s="41"/>
    </row>
    <row r="48700" spans="20:20" s="566" customFormat="1">
      <c r="T48700" s="41"/>
    </row>
    <row r="48701" spans="20:20" s="566" customFormat="1">
      <c r="T48701" s="41"/>
    </row>
    <row r="48702" spans="20:20" s="566" customFormat="1">
      <c r="T48702" s="41"/>
    </row>
    <row r="48703" spans="20:20" s="566" customFormat="1">
      <c r="T48703" s="41"/>
    </row>
    <row r="48704" spans="20:20" s="566" customFormat="1">
      <c r="T48704" s="41"/>
    </row>
    <row r="48705" spans="20:20" s="566" customFormat="1">
      <c r="T48705" s="41"/>
    </row>
    <row r="48706" spans="20:20" s="566" customFormat="1">
      <c r="T48706" s="41"/>
    </row>
    <row r="48707" spans="20:20" s="566" customFormat="1">
      <c r="T48707" s="41"/>
    </row>
    <row r="48708" spans="20:20" s="566" customFormat="1">
      <c r="T48708" s="41"/>
    </row>
    <row r="48709" spans="20:20" s="566" customFormat="1">
      <c r="T48709" s="41"/>
    </row>
    <row r="48710" spans="20:20" s="566" customFormat="1">
      <c r="T48710" s="41"/>
    </row>
    <row r="48711" spans="20:20" s="566" customFormat="1">
      <c r="T48711" s="41"/>
    </row>
    <row r="48712" spans="20:20" s="566" customFormat="1">
      <c r="T48712" s="41"/>
    </row>
    <row r="48713" spans="20:20" s="566" customFormat="1">
      <c r="T48713" s="41"/>
    </row>
    <row r="48714" spans="20:20" s="566" customFormat="1">
      <c r="T48714" s="41"/>
    </row>
    <row r="48715" spans="20:20" s="566" customFormat="1">
      <c r="T48715" s="41"/>
    </row>
    <row r="48716" spans="20:20" s="566" customFormat="1">
      <c r="T48716" s="41"/>
    </row>
    <row r="48717" spans="20:20" s="566" customFormat="1">
      <c r="T48717" s="41"/>
    </row>
    <row r="48718" spans="20:20" s="566" customFormat="1">
      <c r="T48718" s="41"/>
    </row>
    <row r="48719" spans="20:20" s="566" customFormat="1">
      <c r="T48719" s="41"/>
    </row>
    <row r="48720" spans="20:20" s="566" customFormat="1">
      <c r="T48720" s="41"/>
    </row>
    <row r="48721" spans="20:20" s="566" customFormat="1">
      <c r="T48721" s="41"/>
    </row>
    <row r="48722" spans="20:20" s="566" customFormat="1">
      <c r="T48722" s="41"/>
    </row>
    <row r="48723" spans="20:20" s="566" customFormat="1">
      <c r="T48723" s="41"/>
    </row>
    <row r="48724" spans="20:20" s="566" customFormat="1">
      <c r="T48724" s="41"/>
    </row>
    <row r="48725" spans="20:20" s="566" customFormat="1">
      <c r="T48725" s="41"/>
    </row>
    <row r="48726" spans="20:20" s="566" customFormat="1">
      <c r="T48726" s="41"/>
    </row>
    <row r="48727" spans="20:20" s="566" customFormat="1">
      <c r="T48727" s="41"/>
    </row>
    <row r="48728" spans="20:20" s="566" customFormat="1">
      <c r="T48728" s="41"/>
    </row>
    <row r="48729" spans="20:20" s="566" customFormat="1">
      <c r="T48729" s="41"/>
    </row>
    <row r="48730" spans="20:20" s="566" customFormat="1">
      <c r="T48730" s="41"/>
    </row>
    <row r="48731" spans="20:20" s="566" customFormat="1">
      <c r="T48731" s="41"/>
    </row>
    <row r="48732" spans="20:20" s="566" customFormat="1">
      <c r="T48732" s="41"/>
    </row>
    <row r="48733" spans="20:20" s="566" customFormat="1">
      <c r="T48733" s="41"/>
    </row>
    <row r="48734" spans="20:20" s="566" customFormat="1">
      <c r="T48734" s="41"/>
    </row>
    <row r="48735" spans="20:20" s="566" customFormat="1">
      <c r="T48735" s="41"/>
    </row>
    <row r="48736" spans="20:20" s="566" customFormat="1">
      <c r="T48736" s="41"/>
    </row>
    <row r="48737" spans="20:20" s="566" customFormat="1">
      <c r="T48737" s="41"/>
    </row>
    <row r="48738" spans="20:20" s="566" customFormat="1">
      <c r="T48738" s="41"/>
    </row>
    <row r="48739" spans="20:20" s="566" customFormat="1">
      <c r="T48739" s="41"/>
    </row>
    <row r="48740" spans="20:20" s="566" customFormat="1">
      <c r="T48740" s="41"/>
    </row>
    <row r="48741" spans="20:20" s="566" customFormat="1">
      <c r="T48741" s="41"/>
    </row>
    <row r="48742" spans="20:20" s="566" customFormat="1">
      <c r="T48742" s="41"/>
    </row>
    <row r="48743" spans="20:20" s="566" customFormat="1">
      <c r="T48743" s="41"/>
    </row>
    <row r="48744" spans="20:20" s="566" customFormat="1">
      <c r="T48744" s="41"/>
    </row>
    <row r="48745" spans="20:20" s="566" customFormat="1">
      <c r="T48745" s="41"/>
    </row>
    <row r="48746" spans="20:20" s="566" customFormat="1">
      <c r="T48746" s="41"/>
    </row>
    <row r="48747" spans="20:20" s="566" customFormat="1">
      <c r="T48747" s="41"/>
    </row>
    <row r="48748" spans="20:20" s="566" customFormat="1">
      <c r="T48748" s="41"/>
    </row>
    <row r="48749" spans="20:20" s="566" customFormat="1">
      <c r="T48749" s="41"/>
    </row>
    <row r="48750" spans="20:20" s="566" customFormat="1">
      <c r="T48750" s="41"/>
    </row>
    <row r="48751" spans="20:20" s="566" customFormat="1">
      <c r="T48751" s="41"/>
    </row>
    <row r="48752" spans="20:20" s="566" customFormat="1">
      <c r="T48752" s="41"/>
    </row>
    <row r="48753" spans="20:20" s="566" customFormat="1">
      <c r="T48753" s="41"/>
    </row>
    <row r="48754" spans="20:20" s="566" customFormat="1">
      <c r="T48754" s="41"/>
    </row>
    <row r="48755" spans="20:20" s="566" customFormat="1">
      <c r="T48755" s="41"/>
    </row>
    <row r="48756" spans="20:20" s="566" customFormat="1">
      <c r="T48756" s="41"/>
    </row>
    <row r="48757" spans="20:20" s="566" customFormat="1">
      <c r="T48757" s="41"/>
    </row>
    <row r="48758" spans="20:20" s="566" customFormat="1">
      <c r="T48758" s="41"/>
    </row>
    <row r="48759" spans="20:20" s="566" customFormat="1">
      <c r="T48759" s="41"/>
    </row>
    <row r="48760" spans="20:20" s="566" customFormat="1">
      <c r="T48760" s="41"/>
    </row>
    <row r="48761" spans="20:20" s="566" customFormat="1">
      <c r="T48761" s="41"/>
    </row>
    <row r="48762" spans="20:20" s="566" customFormat="1">
      <c r="T48762" s="41"/>
    </row>
    <row r="48763" spans="20:20" s="566" customFormat="1">
      <c r="T48763" s="41"/>
    </row>
    <row r="48764" spans="20:20" s="566" customFormat="1">
      <c r="T48764" s="41"/>
    </row>
    <row r="48765" spans="20:20" s="566" customFormat="1">
      <c r="T48765" s="41"/>
    </row>
    <row r="48766" spans="20:20" s="566" customFormat="1">
      <c r="T48766" s="41"/>
    </row>
    <row r="48767" spans="20:20" s="566" customFormat="1">
      <c r="T48767" s="41"/>
    </row>
    <row r="48768" spans="20:20" s="566" customFormat="1">
      <c r="T48768" s="41"/>
    </row>
    <row r="48769" spans="20:20" s="566" customFormat="1">
      <c r="T48769" s="41"/>
    </row>
    <row r="48770" spans="20:20" s="566" customFormat="1">
      <c r="T48770" s="41"/>
    </row>
    <row r="48771" spans="20:20" s="566" customFormat="1">
      <c r="T48771" s="41"/>
    </row>
    <row r="48772" spans="20:20" s="566" customFormat="1">
      <c r="T48772" s="41"/>
    </row>
    <row r="48773" spans="20:20" s="566" customFormat="1">
      <c r="T48773" s="41"/>
    </row>
    <row r="48774" spans="20:20" s="566" customFormat="1">
      <c r="T48774" s="41"/>
    </row>
    <row r="48775" spans="20:20" s="566" customFormat="1">
      <c r="T48775" s="41"/>
    </row>
    <row r="48776" spans="20:20" s="566" customFormat="1">
      <c r="T48776" s="41"/>
    </row>
    <row r="48777" spans="20:20" s="566" customFormat="1">
      <c r="T48777" s="41"/>
    </row>
    <row r="48778" spans="20:20" s="566" customFormat="1">
      <c r="T48778" s="41"/>
    </row>
    <row r="48779" spans="20:20" s="566" customFormat="1">
      <c r="T48779" s="41"/>
    </row>
    <row r="48780" spans="20:20" s="566" customFormat="1">
      <c r="T48780" s="41"/>
    </row>
    <row r="48781" spans="20:20" s="566" customFormat="1">
      <c r="T48781" s="41"/>
    </row>
    <row r="48782" spans="20:20" s="566" customFormat="1">
      <c r="T48782" s="41"/>
    </row>
    <row r="48783" spans="20:20" s="566" customFormat="1">
      <c r="T48783" s="41"/>
    </row>
    <row r="48784" spans="20:20" s="566" customFormat="1">
      <c r="T48784" s="41"/>
    </row>
    <row r="48785" spans="20:20" s="566" customFormat="1">
      <c r="T48785" s="41"/>
    </row>
    <row r="48786" spans="20:20" s="566" customFormat="1">
      <c r="T48786" s="41"/>
    </row>
    <row r="48787" spans="20:20" s="566" customFormat="1">
      <c r="T48787" s="41"/>
    </row>
    <row r="48788" spans="20:20" s="566" customFormat="1">
      <c r="T48788" s="41"/>
    </row>
    <row r="48789" spans="20:20" s="566" customFormat="1">
      <c r="T48789" s="41"/>
    </row>
    <row r="48790" spans="20:20" s="566" customFormat="1">
      <c r="T48790" s="41"/>
    </row>
    <row r="48791" spans="20:20" s="566" customFormat="1">
      <c r="T48791" s="41"/>
    </row>
    <row r="48792" spans="20:20" s="566" customFormat="1">
      <c r="T48792" s="41"/>
    </row>
    <row r="48793" spans="20:20" s="566" customFormat="1">
      <c r="T48793" s="41"/>
    </row>
    <row r="48794" spans="20:20" s="566" customFormat="1">
      <c r="T48794" s="41"/>
    </row>
    <row r="48795" spans="20:20" s="566" customFormat="1">
      <c r="T48795" s="41"/>
    </row>
    <row r="48796" spans="20:20" s="566" customFormat="1">
      <c r="T48796" s="41"/>
    </row>
    <row r="48797" spans="20:20" s="566" customFormat="1">
      <c r="T48797" s="41"/>
    </row>
    <row r="48798" spans="20:20" s="566" customFormat="1">
      <c r="T48798" s="41"/>
    </row>
    <row r="48799" spans="20:20" s="566" customFormat="1">
      <c r="T48799" s="41"/>
    </row>
    <row r="48800" spans="20:20" s="566" customFormat="1">
      <c r="T48800" s="41"/>
    </row>
    <row r="48801" spans="20:20" s="566" customFormat="1">
      <c r="T48801" s="41"/>
    </row>
    <row r="48802" spans="20:20" s="566" customFormat="1">
      <c r="T48802" s="41"/>
    </row>
    <row r="48803" spans="20:20" s="566" customFormat="1">
      <c r="T48803" s="41"/>
    </row>
    <row r="48804" spans="20:20" s="566" customFormat="1">
      <c r="T48804" s="41"/>
    </row>
    <row r="48805" spans="20:20" s="566" customFormat="1">
      <c r="T48805" s="41"/>
    </row>
    <row r="48806" spans="20:20" s="566" customFormat="1">
      <c r="T48806" s="41"/>
    </row>
    <row r="48807" spans="20:20" s="566" customFormat="1">
      <c r="T48807" s="41"/>
    </row>
    <row r="48808" spans="20:20" s="566" customFormat="1">
      <c r="T48808" s="41"/>
    </row>
    <row r="48809" spans="20:20" s="566" customFormat="1">
      <c r="T48809" s="41"/>
    </row>
    <row r="48810" spans="20:20" s="566" customFormat="1">
      <c r="T48810" s="41"/>
    </row>
    <row r="48811" spans="20:20" s="566" customFormat="1">
      <c r="T48811" s="41"/>
    </row>
    <row r="48812" spans="20:20" s="566" customFormat="1">
      <c r="T48812" s="41"/>
    </row>
    <row r="48813" spans="20:20" s="566" customFormat="1">
      <c r="T48813" s="41"/>
    </row>
    <row r="48814" spans="20:20" s="566" customFormat="1">
      <c r="T48814" s="41"/>
    </row>
    <row r="48815" spans="20:20" s="566" customFormat="1">
      <c r="T48815" s="41"/>
    </row>
    <row r="48816" spans="20:20" s="566" customFormat="1">
      <c r="T48816" s="41"/>
    </row>
    <row r="48817" spans="20:20" s="566" customFormat="1">
      <c r="T48817" s="41"/>
    </row>
    <row r="48818" spans="20:20" s="566" customFormat="1">
      <c r="T48818" s="41"/>
    </row>
    <row r="48819" spans="20:20" s="566" customFormat="1">
      <c r="T48819" s="41"/>
    </row>
    <row r="48820" spans="20:20" s="566" customFormat="1">
      <c r="T48820" s="41"/>
    </row>
    <row r="48821" spans="20:20" s="566" customFormat="1">
      <c r="T48821" s="41"/>
    </row>
    <row r="48822" spans="20:20" s="566" customFormat="1">
      <c r="T48822" s="41"/>
    </row>
    <row r="48823" spans="20:20" s="566" customFormat="1">
      <c r="T48823" s="41"/>
    </row>
    <row r="48824" spans="20:20" s="566" customFormat="1">
      <c r="T48824" s="41"/>
    </row>
    <row r="48825" spans="20:20" s="566" customFormat="1">
      <c r="T48825" s="41"/>
    </row>
    <row r="48826" spans="20:20" s="566" customFormat="1">
      <c r="T48826" s="41"/>
    </row>
    <row r="48827" spans="20:20" s="566" customFormat="1">
      <c r="T48827" s="41"/>
    </row>
    <row r="48828" spans="20:20" s="566" customFormat="1">
      <c r="T48828" s="41"/>
    </row>
    <row r="48829" spans="20:20" s="566" customFormat="1">
      <c r="T48829" s="41"/>
    </row>
    <row r="48830" spans="20:20" s="566" customFormat="1">
      <c r="T48830" s="41"/>
    </row>
    <row r="48831" spans="20:20" s="566" customFormat="1">
      <c r="T48831" s="41"/>
    </row>
    <row r="48832" spans="20:20" s="566" customFormat="1">
      <c r="T48832" s="41"/>
    </row>
    <row r="48833" spans="20:20" s="566" customFormat="1">
      <c r="T48833" s="41"/>
    </row>
    <row r="48834" spans="20:20" s="566" customFormat="1">
      <c r="T48834" s="41"/>
    </row>
    <row r="48835" spans="20:20" s="566" customFormat="1">
      <c r="T48835" s="41"/>
    </row>
    <row r="48836" spans="20:20" s="566" customFormat="1">
      <c r="T48836" s="41"/>
    </row>
    <row r="48837" spans="20:20" s="566" customFormat="1">
      <c r="T48837" s="41"/>
    </row>
    <row r="48838" spans="20:20" s="566" customFormat="1">
      <c r="T48838" s="41"/>
    </row>
    <row r="48839" spans="20:20" s="566" customFormat="1">
      <c r="T48839" s="41"/>
    </row>
    <row r="48840" spans="20:20" s="566" customFormat="1">
      <c r="T48840" s="41"/>
    </row>
    <row r="48841" spans="20:20" s="566" customFormat="1">
      <c r="T48841" s="41"/>
    </row>
    <row r="48842" spans="20:20" s="566" customFormat="1">
      <c r="T48842" s="41"/>
    </row>
    <row r="48843" spans="20:20" s="566" customFormat="1">
      <c r="T48843" s="41"/>
    </row>
    <row r="48844" spans="20:20" s="566" customFormat="1">
      <c r="T48844" s="41"/>
    </row>
    <row r="48845" spans="20:20" s="566" customFormat="1">
      <c r="T48845" s="41"/>
    </row>
    <row r="48846" spans="20:20" s="566" customFormat="1">
      <c r="T48846" s="41"/>
    </row>
    <row r="48847" spans="20:20" s="566" customFormat="1">
      <c r="T48847" s="41"/>
    </row>
    <row r="48848" spans="20:20" s="566" customFormat="1">
      <c r="T48848" s="41"/>
    </row>
    <row r="48849" spans="20:20" s="566" customFormat="1">
      <c r="T48849" s="41"/>
    </row>
    <row r="48850" spans="20:20" s="566" customFormat="1">
      <c r="T48850" s="41"/>
    </row>
    <row r="48851" spans="20:20" s="566" customFormat="1">
      <c r="T48851" s="41"/>
    </row>
    <row r="48852" spans="20:20" s="566" customFormat="1">
      <c r="T48852" s="41"/>
    </row>
    <row r="48853" spans="20:20" s="566" customFormat="1">
      <c r="T48853" s="41"/>
    </row>
    <row r="48854" spans="20:20" s="566" customFormat="1">
      <c r="T48854" s="41"/>
    </row>
    <row r="48855" spans="20:20" s="566" customFormat="1">
      <c r="T48855" s="41"/>
    </row>
    <row r="48856" spans="20:20" s="566" customFormat="1">
      <c r="T48856" s="41"/>
    </row>
    <row r="48857" spans="20:20" s="566" customFormat="1">
      <c r="T48857" s="41"/>
    </row>
    <row r="48858" spans="20:20" s="566" customFormat="1">
      <c r="T48858" s="41"/>
    </row>
    <row r="48859" spans="20:20" s="566" customFormat="1">
      <c r="T48859" s="41"/>
    </row>
    <row r="48860" spans="20:20" s="566" customFormat="1">
      <c r="T48860" s="41"/>
    </row>
    <row r="48861" spans="20:20" s="566" customFormat="1">
      <c r="T48861" s="41"/>
    </row>
    <row r="48862" spans="20:20" s="566" customFormat="1">
      <c r="T48862" s="41"/>
    </row>
    <row r="48863" spans="20:20" s="566" customFormat="1">
      <c r="T48863" s="41"/>
    </row>
    <row r="48864" spans="20:20" s="566" customFormat="1">
      <c r="T48864" s="41"/>
    </row>
    <row r="48865" spans="20:20" s="566" customFormat="1">
      <c r="T48865" s="41"/>
    </row>
    <row r="48866" spans="20:20" s="566" customFormat="1">
      <c r="T48866" s="41"/>
    </row>
    <row r="48867" spans="20:20" s="566" customFormat="1">
      <c r="T48867" s="41"/>
    </row>
    <row r="48868" spans="20:20" s="566" customFormat="1">
      <c r="T48868" s="41"/>
    </row>
    <row r="48869" spans="20:20" s="566" customFormat="1">
      <c r="T48869" s="41"/>
    </row>
    <row r="48870" spans="20:20" s="566" customFormat="1">
      <c r="T48870" s="41"/>
    </row>
    <row r="48871" spans="20:20" s="566" customFormat="1">
      <c r="T48871" s="41"/>
    </row>
    <row r="48872" spans="20:20" s="566" customFormat="1">
      <c r="T48872" s="41"/>
    </row>
    <row r="48873" spans="20:20" s="566" customFormat="1">
      <c r="T48873" s="41"/>
    </row>
    <row r="48874" spans="20:20" s="566" customFormat="1">
      <c r="T48874" s="41"/>
    </row>
    <row r="48875" spans="20:20" s="566" customFormat="1">
      <c r="T48875" s="41"/>
    </row>
    <row r="48876" spans="20:20" s="566" customFormat="1">
      <c r="T48876" s="41"/>
    </row>
    <row r="48877" spans="20:20" s="566" customFormat="1">
      <c r="T48877" s="41"/>
    </row>
    <row r="48878" spans="20:20" s="566" customFormat="1">
      <c r="T48878" s="41"/>
    </row>
    <row r="48879" spans="20:20" s="566" customFormat="1">
      <c r="T48879" s="41"/>
    </row>
    <row r="48880" spans="20:20" s="566" customFormat="1">
      <c r="T48880" s="41"/>
    </row>
    <row r="48881" spans="20:20" s="566" customFormat="1">
      <c r="T48881" s="41"/>
    </row>
    <row r="48882" spans="20:20" s="566" customFormat="1">
      <c r="T48882" s="41"/>
    </row>
    <row r="48883" spans="20:20" s="566" customFormat="1">
      <c r="T48883" s="41"/>
    </row>
    <row r="48884" spans="20:20" s="566" customFormat="1">
      <c r="T48884" s="41"/>
    </row>
    <row r="48885" spans="20:20" s="566" customFormat="1">
      <c r="T48885" s="41"/>
    </row>
    <row r="48886" spans="20:20" s="566" customFormat="1">
      <c r="T48886" s="41"/>
    </row>
    <row r="48887" spans="20:20" s="566" customFormat="1">
      <c r="T48887" s="41"/>
    </row>
    <row r="48888" spans="20:20" s="566" customFormat="1">
      <c r="T48888" s="41"/>
    </row>
    <row r="48889" spans="20:20" s="566" customFormat="1">
      <c r="T48889" s="41"/>
    </row>
    <row r="48890" spans="20:20" s="566" customFormat="1">
      <c r="T48890" s="41"/>
    </row>
    <row r="48891" spans="20:20" s="566" customFormat="1">
      <c r="T48891" s="41"/>
    </row>
    <row r="48892" spans="20:20" s="566" customFormat="1">
      <c r="T48892" s="41"/>
    </row>
    <row r="48893" spans="20:20" s="566" customFormat="1">
      <c r="T48893" s="41"/>
    </row>
    <row r="48894" spans="20:20" s="566" customFormat="1">
      <c r="T48894" s="41"/>
    </row>
    <row r="48895" spans="20:20" s="566" customFormat="1">
      <c r="T48895" s="41"/>
    </row>
    <row r="48896" spans="20:20" s="566" customFormat="1">
      <c r="T48896" s="41"/>
    </row>
    <row r="48897" spans="20:20" s="566" customFormat="1">
      <c r="T48897" s="41"/>
    </row>
    <row r="48898" spans="20:20" s="566" customFormat="1">
      <c r="T48898" s="41"/>
    </row>
    <row r="48899" spans="20:20" s="566" customFormat="1">
      <c r="T48899" s="41"/>
    </row>
    <row r="48900" spans="20:20" s="566" customFormat="1">
      <c r="T48900" s="41"/>
    </row>
    <row r="48901" spans="20:20" s="566" customFormat="1">
      <c r="T48901" s="41"/>
    </row>
    <row r="48902" spans="20:20" s="566" customFormat="1">
      <c r="T48902" s="41"/>
    </row>
    <row r="48903" spans="20:20" s="566" customFormat="1">
      <c r="T48903" s="41"/>
    </row>
    <row r="48904" spans="20:20" s="566" customFormat="1">
      <c r="T48904" s="41"/>
    </row>
    <row r="48905" spans="20:20" s="566" customFormat="1">
      <c r="T48905" s="41"/>
    </row>
    <row r="48906" spans="20:20" s="566" customFormat="1">
      <c r="T48906" s="41"/>
    </row>
    <row r="48907" spans="20:20" s="566" customFormat="1">
      <c r="T48907" s="41"/>
    </row>
    <row r="48908" spans="20:20" s="566" customFormat="1">
      <c r="T48908" s="41"/>
    </row>
    <row r="48909" spans="20:20" s="566" customFormat="1">
      <c r="T48909" s="41"/>
    </row>
    <row r="48910" spans="20:20" s="566" customFormat="1">
      <c r="T48910" s="41"/>
    </row>
    <row r="48911" spans="20:20" s="566" customFormat="1">
      <c r="T48911" s="41"/>
    </row>
    <row r="48912" spans="20:20" s="566" customFormat="1">
      <c r="T48912" s="41"/>
    </row>
    <row r="48913" spans="20:20" s="566" customFormat="1">
      <c r="T48913" s="41"/>
    </row>
    <row r="48914" spans="20:20" s="566" customFormat="1">
      <c r="T48914" s="41"/>
    </row>
    <row r="48915" spans="20:20" s="566" customFormat="1">
      <c r="T48915" s="41"/>
    </row>
    <row r="48916" spans="20:20" s="566" customFormat="1">
      <c r="T48916" s="41"/>
    </row>
    <row r="48917" spans="20:20" s="566" customFormat="1">
      <c r="T48917" s="41"/>
    </row>
    <row r="48918" spans="20:20" s="566" customFormat="1">
      <c r="T48918" s="41"/>
    </row>
    <row r="48919" spans="20:20" s="566" customFormat="1">
      <c r="T48919" s="41"/>
    </row>
    <row r="48920" spans="20:20" s="566" customFormat="1">
      <c r="T48920" s="41"/>
    </row>
    <row r="48921" spans="20:20" s="566" customFormat="1">
      <c r="T48921" s="41"/>
    </row>
    <row r="48922" spans="20:20" s="566" customFormat="1">
      <c r="T48922" s="41"/>
    </row>
    <row r="48923" spans="20:20" s="566" customFormat="1">
      <c r="T48923" s="41"/>
    </row>
    <row r="48924" spans="20:20" s="566" customFormat="1">
      <c r="T48924" s="41"/>
    </row>
    <row r="48925" spans="20:20" s="566" customFormat="1">
      <c r="T48925" s="41"/>
    </row>
    <row r="48926" spans="20:20" s="566" customFormat="1">
      <c r="T48926" s="41"/>
    </row>
    <row r="48927" spans="20:20" s="566" customFormat="1">
      <c r="T48927" s="41"/>
    </row>
    <row r="48928" spans="20:20" s="566" customFormat="1">
      <c r="T48928" s="41"/>
    </row>
    <row r="48929" spans="20:20" s="566" customFormat="1">
      <c r="T48929" s="41"/>
    </row>
    <row r="48930" spans="20:20" s="566" customFormat="1">
      <c r="T48930" s="41"/>
    </row>
    <row r="48931" spans="20:20" s="566" customFormat="1">
      <c r="T48931" s="41"/>
    </row>
    <row r="48932" spans="20:20" s="566" customFormat="1">
      <c r="T48932" s="41"/>
    </row>
    <row r="48933" spans="20:20" s="566" customFormat="1">
      <c r="T48933" s="41"/>
    </row>
    <row r="48934" spans="20:20" s="566" customFormat="1">
      <c r="T48934" s="41"/>
    </row>
    <row r="48935" spans="20:20" s="566" customFormat="1">
      <c r="T48935" s="41"/>
    </row>
    <row r="48936" spans="20:20" s="566" customFormat="1">
      <c r="T48936" s="41"/>
    </row>
    <row r="48937" spans="20:20" s="566" customFormat="1">
      <c r="T48937" s="41"/>
    </row>
    <row r="48938" spans="20:20" s="566" customFormat="1">
      <c r="T48938" s="41"/>
    </row>
    <row r="48939" spans="20:20" s="566" customFormat="1">
      <c r="T48939" s="41"/>
    </row>
    <row r="48940" spans="20:20" s="566" customFormat="1">
      <c r="T48940" s="41"/>
    </row>
    <row r="48941" spans="20:20" s="566" customFormat="1">
      <c r="T48941" s="41"/>
    </row>
    <row r="48942" spans="20:20" s="566" customFormat="1">
      <c r="T48942" s="41"/>
    </row>
    <row r="48943" spans="20:20" s="566" customFormat="1">
      <c r="T48943" s="41"/>
    </row>
    <row r="48944" spans="20:20" s="566" customFormat="1">
      <c r="T48944" s="41"/>
    </row>
    <row r="48945" spans="20:20" s="566" customFormat="1">
      <c r="T48945" s="41"/>
    </row>
    <row r="48946" spans="20:20" s="566" customFormat="1">
      <c r="T48946" s="41"/>
    </row>
    <row r="48947" spans="20:20" s="566" customFormat="1">
      <c r="T48947" s="41"/>
    </row>
    <row r="48948" spans="20:20" s="566" customFormat="1">
      <c r="T48948" s="41"/>
    </row>
    <row r="48949" spans="20:20" s="566" customFormat="1">
      <c r="T48949" s="41"/>
    </row>
    <row r="48950" spans="20:20" s="566" customFormat="1">
      <c r="T48950" s="41"/>
    </row>
    <row r="48951" spans="20:20" s="566" customFormat="1">
      <c r="T48951" s="41"/>
    </row>
    <row r="48952" spans="20:20" s="566" customFormat="1">
      <c r="T48952" s="41"/>
    </row>
    <row r="48953" spans="20:20" s="566" customFormat="1">
      <c r="T48953" s="41"/>
    </row>
    <row r="48954" spans="20:20" s="566" customFormat="1">
      <c r="T48954" s="41"/>
    </row>
    <row r="48955" spans="20:20" s="566" customFormat="1">
      <c r="T48955" s="41"/>
    </row>
    <row r="48956" spans="20:20" s="566" customFormat="1">
      <c r="T48956" s="41"/>
    </row>
    <row r="48957" spans="20:20" s="566" customFormat="1">
      <c r="T48957" s="41"/>
    </row>
    <row r="48958" spans="20:20" s="566" customFormat="1">
      <c r="T48958" s="41"/>
    </row>
    <row r="48959" spans="20:20" s="566" customFormat="1">
      <c r="T48959" s="41"/>
    </row>
    <row r="48960" spans="20:20" s="566" customFormat="1">
      <c r="T48960" s="41"/>
    </row>
    <row r="48961" spans="20:20" s="566" customFormat="1">
      <c r="T48961" s="41"/>
    </row>
    <row r="48962" spans="20:20" s="566" customFormat="1">
      <c r="T48962" s="41"/>
    </row>
    <row r="48963" spans="20:20" s="566" customFormat="1">
      <c r="T48963" s="41"/>
    </row>
    <row r="48964" spans="20:20" s="566" customFormat="1">
      <c r="T48964" s="41"/>
    </row>
    <row r="48965" spans="20:20" s="566" customFormat="1">
      <c r="T48965" s="41"/>
    </row>
    <row r="48966" spans="20:20" s="566" customFormat="1">
      <c r="T48966" s="41"/>
    </row>
    <row r="48967" spans="20:20" s="566" customFormat="1">
      <c r="T48967" s="41"/>
    </row>
    <row r="48968" spans="20:20" s="566" customFormat="1">
      <c r="T48968" s="41"/>
    </row>
    <row r="48969" spans="20:20" s="566" customFormat="1">
      <c r="T48969" s="41"/>
    </row>
    <row r="48970" spans="20:20" s="566" customFormat="1">
      <c r="T48970" s="41"/>
    </row>
    <row r="48971" spans="20:20" s="566" customFormat="1">
      <c r="T48971" s="41"/>
    </row>
    <row r="48972" spans="20:20" s="566" customFormat="1">
      <c r="T48972" s="41"/>
    </row>
    <row r="48973" spans="20:20" s="566" customFormat="1">
      <c r="T48973" s="41"/>
    </row>
    <row r="48974" spans="20:20" s="566" customFormat="1">
      <c r="T48974" s="41"/>
    </row>
    <row r="48975" spans="20:20" s="566" customFormat="1">
      <c r="T48975" s="41"/>
    </row>
    <row r="48976" spans="20:20" s="566" customFormat="1">
      <c r="T48976" s="41"/>
    </row>
    <row r="48977" spans="20:20" s="566" customFormat="1">
      <c r="T48977" s="41"/>
    </row>
    <row r="48978" spans="20:20" s="566" customFormat="1">
      <c r="T48978" s="41"/>
    </row>
    <row r="48979" spans="20:20" s="566" customFormat="1">
      <c r="T48979" s="41"/>
    </row>
    <row r="48980" spans="20:20" s="566" customFormat="1">
      <c r="T48980" s="41"/>
    </row>
    <row r="48981" spans="20:20" s="566" customFormat="1">
      <c r="T48981" s="41"/>
    </row>
    <row r="48982" spans="20:20" s="566" customFormat="1">
      <c r="T48982" s="41"/>
    </row>
    <row r="48983" spans="20:20" s="566" customFormat="1">
      <c r="T48983" s="41"/>
    </row>
    <row r="48984" spans="20:20" s="566" customFormat="1">
      <c r="T48984" s="41"/>
    </row>
    <row r="48985" spans="20:20" s="566" customFormat="1">
      <c r="T48985" s="41"/>
    </row>
    <row r="48986" spans="20:20" s="566" customFormat="1">
      <c r="T48986" s="41"/>
    </row>
    <row r="48987" spans="20:20" s="566" customFormat="1">
      <c r="T48987" s="41"/>
    </row>
    <row r="48988" spans="20:20" s="566" customFormat="1">
      <c r="T48988" s="41"/>
    </row>
    <row r="48989" spans="20:20" s="566" customFormat="1">
      <c r="T48989" s="41"/>
    </row>
    <row r="48990" spans="20:20" s="566" customFormat="1">
      <c r="T48990" s="41"/>
    </row>
    <row r="48991" spans="20:20" s="566" customFormat="1">
      <c r="T48991" s="41"/>
    </row>
    <row r="48992" spans="20:20" s="566" customFormat="1">
      <c r="T48992" s="41"/>
    </row>
    <row r="48993" spans="20:20" s="566" customFormat="1">
      <c r="T48993" s="41"/>
    </row>
    <row r="48994" spans="20:20" s="566" customFormat="1">
      <c r="T48994" s="41"/>
    </row>
    <row r="48995" spans="20:20" s="566" customFormat="1">
      <c r="T48995" s="41"/>
    </row>
    <row r="48996" spans="20:20" s="566" customFormat="1">
      <c r="T48996" s="41"/>
    </row>
    <row r="48997" spans="20:20" s="566" customFormat="1">
      <c r="T48997" s="41"/>
    </row>
    <row r="48998" spans="20:20" s="566" customFormat="1">
      <c r="T48998" s="41"/>
    </row>
    <row r="48999" spans="20:20" s="566" customFormat="1">
      <c r="T48999" s="41"/>
    </row>
    <row r="49000" spans="20:20" s="566" customFormat="1">
      <c r="T49000" s="41"/>
    </row>
    <row r="49001" spans="20:20" s="566" customFormat="1">
      <c r="T49001" s="41"/>
    </row>
    <row r="49002" spans="20:20" s="566" customFormat="1">
      <c r="T49002" s="41"/>
    </row>
    <row r="49003" spans="20:20" s="566" customFormat="1">
      <c r="T49003" s="41"/>
    </row>
    <row r="49004" spans="20:20" s="566" customFormat="1">
      <c r="T49004" s="41"/>
    </row>
    <row r="49005" spans="20:20" s="566" customFormat="1">
      <c r="T49005" s="41"/>
    </row>
    <row r="49006" spans="20:20" s="566" customFormat="1">
      <c r="T49006" s="41"/>
    </row>
    <row r="49007" spans="20:20" s="566" customFormat="1">
      <c r="T49007" s="41"/>
    </row>
    <row r="49008" spans="20:20" s="566" customFormat="1">
      <c r="T49008" s="41"/>
    </row>
    <row r="49009" spans="20:20" s="566" customFormat="1">
      <c r="T49009" s="41"/>
    </row>
    <row r="49010" spans="20:20" s="566" customFormat="1">
      <c r="T49010" s="41"/>
    </row>
    <row r="49011" spans="20:20" s="566" customFormat="1">
      <c r="T49011" s="41"/>
    </row>
    <row r="49012" spans="20:20" s="566" customFormat="1">
      <c r="T49012" s="41"/>
    </row>
    <row r="49013" spans="20:20" s="566" customFormat="1">
      <c r="T49013" s="41"/>
    </row>
    <row r="49014" spans="20:20" s="566" customFormat="1">
      <c r="T49014" s="41"/>
    </row>
    <row r="49015" spans="20:20" s="566" customFormat="1">
      <c r="T49015" s="41"/>
    </row>
    <row r="49016" spans="20:20" s="566" customFormat="1">
      <c r="T49016" s="41"/>
    </row>
    <row r="49017" spans="20:20" s="566" customFormat="1">
      <c r="T49017" s="41"/>
    </row>
    <row r="49018" spans="20:20" s="566" customFormat="1">
      <c r="T49018" s="41"/>
    </row>
    <row r="49019" spans="20:20" s="566" customFormat="1">
      <c r="T49019" s="41"/>
    </row>
    <row r="49020" spans="20:20" s="566" customFormat="1">
      <c r="T49020" s="41"/>
    </row>
    <row r="49021" spans="20:20" s="566" customFormat="1">
      <c r="T49021" s="41"/>
    </row>
    <row r="49022" spans="20:20" s="566" customFormat="1">
      <c r="T49022" s="41"/>
    </row>
    <row r="49023" spans="20:20" s="566" customFormat="1">
      <c r="T49023" s="41"/>
    </row>
    <row r="49024" spans="20:20" s="566" customFormat="1">
      <c r="T49024" s="41"/>
    </row>
    <row r="49025" spans="20:20" s="566" customFormat="1">
      <c r="T49025" s="41"/>
    </row>
    <row r="49026" spans="20:20" s="566" customFormat="1">
      <c r="T49026" s="41"/>
    </row>
    <row r="49027" spans="20:20" s="566" customFormat="1">
      <c r="T49027" s="41"/>
    </row>
    <row r="49028" spans="20:20" s="566" customFormat="1">
      <c r="T49028" s="41"/>
    </row>
    <row r="49029" spans="20:20" s="566" customFormat="1">
      <c r="T49029" s="41"/>
    </row>
    <row r="49030" spans="20:20" s="566" customFormat="1">
      <c r="T49030" s="41"/>
    </row>
    <row r="49031" spans="20:20" s="566" customFormat="1">
      <c r="T49031" s="41"/>
    </row>
    <row r="49032" spans="20:20" s="566" customFormat="1">
      <c r="T49032" s="41"/>
    </row>
    <row r="49033" spans="20:20" s="566" customFormat="1">
      <c r="T49033" s="41"/>
    </row>
    <row r="49034" spans="20:20" s="566" customFormat="1">
      <c r="T49034" s="41"/>
    </row>
    <row r="49035" spans="20:20" s="566" customFormat="1">
      <c r="T49035" s="41"/>
    </row>
    <row r="49036" spans="20:20" s="566" customFormat="1">
      <c r="T49036" s="41"/>
    </row>
    <row r="49037" spans="20:20" s="566" customFormat="1">
      <c r="T49037" s="41"/>
    </row>
    <row r="49038" spans="20:20" s="566" customFormat="1">
      <c r="T49038" s="41"/>
    </row>
    <row r="49039" spans="20:20" s="566" customFormat="1">
      <c r="T49039" s="41"/>
    </row>
    <row r="49040" spans="20:20" s="566" customFormat="1">
      <c r="T49040" s="41"/>
    </row>
    <row r="49041" spans="20:20" s="566" customFormat="1">
      <c r="T49041" s="41"/>
    </row>
    <row r="49042" spans="20:20" s="566" customFormat="1">
      <c r="T49042" s="41"/>
    </row>
    <row r="49043" spans="20:20" s="566" customFormat="1">
      <c r="T49043" s="41"/>
    </row>
    <row r="49044" spans="20:20" s="566" customFormat="1">
      <c r="T49044" s="41"/>
    </row>
    <row r="49045" spans="20:20" s="566" customFormat="1">
      <c r="T49045" s="41"/>
    </row>
    <row r="49046" spans="20:20" s="566" customFormat="1">
      <c r="T49046" s="41"/>
    </row>
    <row r="49047" spans="20:20" s="566" customFormat="1">
      <c r="T49047" s="41"/>
    </row>
    <row r="49048" spans="20:20" s="566" customFormat="1">
      <c r="T49048" s="41"/>
    </row>
    <row r="49049" spans="20:20" s="566" customFormat="1">
      <c r="T49049" s="41"/>
    </row>
    <row r="49050" spans="20:20" s="566" customFormat="1">
      <c r="T49050" s="41"/>
    </row>
    <row r="49051" spans="20:20" s="566" customFormat="1">
      <c r="T49051" s="41"/>
    </row>
    <row r="49052" spans="20:20" s="566" customFormat="1">
      <c r="T49052" s="41"/>
    </row>
    <row r="49053" spans="20:20" s="566" customFormat="1">
      <c r="T49053" s="41"/>
    </row>
    <row r="49054" spans="20:20" s="566" customFormat="1">
      <c r="T49054" s="41"/>
    </row>
    <row r="49055" spans="20:20" s="566" customFormat="1">
      <c r="T49055" s="41"/>
    </row>
    <row r="49056" spans="20:20" s="566" customFormat="1">
      <c r="T49056" s="41"/>
    </row>
    <row r="49057" spans="20:20" s="566" customFormat="1">
      <c r="T49057" s="41"/>
    </row>
    <row r="49058" spans="20:20" s="566" customFormat="1">
      <c r="T49058" s="41"/>
    </row>
    <row r="49059" spans="20:20" s="566" customFormat="1">
      <c r="T49059" s="41"/>
    </row>
    <row r="49060" spans="20:20" s="566" customFormat="1">
      <c r="T49060" s="41"/>
    </row>
    <row r="49061" spans="20:20" s="566" customFormat="1">
      <c r="T49061" s="41"/>
    </row>
    <row r="49062" spans="20:20" s="566" customFormat="1">
      <c r="T49062" s="41"/>
    </row>
    <row r="49063" spans="20:20" s="566" customFormat="1">
      <c r="T49063" s="41"/>
    </row>
    <row r="49064" spans="20:20" s="566" customFormat="1">
      <c r="T49064" s="41"/>
    </row>
    <row r="49065" spans="20:20" s="566" customFormat="1">
      <c r="T49065" s="41"/>
    </row>
    <row r="49066" spans="20:20" s="566" customFormat="1">
      <c r="T49066" s="41"/>
    </row>
    <row r="49067" spans="20:20" s="566" customFormat="1">
      <c r="T49067" s="41"/>
    </row>
    <row r="49068" spans="20:20" s="566" customFormat="1">
      <c r="T49068" s="41"/>
    </row>
    <row r="49069" spans="20:20" s="566" customFormat="1">
      <c r="T49069" s="41"/>
    </row>
    <row r="49070" spans="20:20" s="566" customFormat="1">
      <c r="T49070" s="41"/>
    </row>
    <row r="49071" spans="20:20" s="566" customFormat="1">
      <c r="T49071" s="41"/>
    </row>
    <row r="49072" spans="20:20" s="566" customFormat="1">
      <c r="T49072" s="41"/>
    </row>
    <row r="49073" spans="20:20" s="566" customFormat="1">
      <c r="T49073" s="41"/>
    </row>
    <row r="49074" spans="20:20" s="566" customFormat="1">
      <c r="T49074" s="41"/>
    </row>
    <row r="49075" spans="20:20" s="566" customFormat="1">
      <c r="T49075" s="41"/>
    </row>
    <row r="49076" spans="20:20" s="566" customFormat="1">
      <c r="T49076" s="41"/>
    </row>
    <row r="49077" spans="20:20" s="566" customFormat="1">
      <c r="T49077" s="41"/>
    </row>
    <row r="49078" spans="20:20" s="566" customFormat="1">
      <c r="T49078" s="41"/>
    </row>
    <row r="49079" spans="20:20" s="566" customFormat="1">
      <c r="T49079" s="41"/>
    </row>
    <row r="49080" spans="20:20" s="566" customFormat="1">
      <c r="T49080" s="41"/>
    </row>
    <row r="49081" spans="20:20" s="566" customFormat="1">
      <c r="T49081" s="41"/>
    </row>
    <row r="49082" spans="20:20" s="566" customFormat="1">
      <c r="T49082" s="41"/>
    </row>
    <row r="49083" spans="20:20" s="566" customFormat="1">
      <c r="T49083" s="41"/>
    </row>
    <row r="49084" spans="20:20" s="566" customFormat="1">
      <c r="T49084" s="41"/>
    </row>
    <row r="49085" spans="20:20" s="566" customFormat="1">
      <c r="T49085" s="41"/>
    </row>
    <row r="49086" spans="20:20" s="566" customFormat="1">
      <c r="T49086" s="41"/>
    </row>
    <row r="49087" spans="20:20" s="566" customFormat="1">
      <c r="T49087" s="41"/>
    </row>
    <row r="49088" spans="20:20" s="566" customFormat="1">
      <c r="T49088" s="41"/>
    </row>
    <row r="49089" spans="20:20" s="566" customFormat="1">
      <c r="T49089" s="41"/>
    </row>
    <row r="49090" spans="20:20" s="566" customFormat="1">
      <c r="T49090" s="41"/>
    </row>
    <row r="49091" spans="20:20" s="566" customFormat="1">
      <c r="T49091" s="41"/>
    </row>
    <row r="49092" spans="20:20" s="566" customFormat="1">
      <c r="T49092" s="41"/>
    </row>
    <row r="49093" spans="20:20" s="566" customFormat="1">
      <c r="T49093" s="41"/>
    </row>
    <row r="49094" spans="20:20" s="566" customFormat="1">
      <c r="T49094" s="41"/>
    </row>
    <row r="49095" spans="20:20" s="566" customFormat="1">
      <c r="T49095" s="41"/>
    </row>
    <row r="49096" spans="20:20" s="566" customFormat="1">
      <c r="T49096" s="41"/>
    </row>
    <row r="49097" spans="20:20" s="566" customFormat="1">
      <c r="T49097" s="41"/>
    </row>
    <row r="49098" spans="20:20" s="566" customFormat="1">
      <c r="T49098" s="41"/>
    </row>
    <row r="49099" spans="20:20" s="566" customFormat="1">
      <c r="T49099" s="41"/>
    </row>
    <row r="49100" spans="20:20" s="566" customFormat="1">
      <c r="T49100" s="41"/>
    </row>
    <row r="49101" spans="20:20" s="566" customFormat="1">
      <c r="T49101" s="41"/>
    </row>
    <row r="49102" spans="20:20" s="566" customFormat="1">
      <c r="T49102" s="41"/>
    </row>
    <row r="49103" spans="20:20" s="566" customFormat="1">
      <c r="T49103" s="41"/>
    </row>
    <row r="49104" spans="20:20" s="566" customFormat="1">
      <c r="T49104" s="41"/>
    </row>
    <row r="49105" spans="20:20" s="566" customFormat="1">
      <c r="T49105" s="41"/>
    </row>
    <row r="49106" spans="20:20" s="566" customFormat="1">
      <c r="T49106" s="41"/>
    </row>
    <row r="49107" spans="20:20" s="566" customFormat="1">
      <c r="T49107" s="41"/>
    </row>
    <row r="49108" spans="20:20" s="566" customFormat="1">
      <c r="T49108" s="41"/>
    </row>
    <row r="49109" spans="20:20" s="566" customFormat="1">
      <c r="T49109" s="41"/>
    </row>
    <row r="49110" spans="20:20" s="566" customFormat="1">
      <c r="T49110" s="41"/>
    </row>
    <row r="49111" spans="20:20" s="566" customFormat="1">
      <c r="T49111" s="41"/>
    </row>
    <row r="49112" spans="20:20" s="566" customFormat="1">
      <c r="T49112" s="41"/>
    </row>
    <row r="49113" spans="20:20" s="566" customFormat="1">
      <c r="T49113" s="41"/>
    </row>
    <row r="49114" spans="20:20" s="566" customFormat="1">
      <c r="T49114" s="41"/>
    </row>
    <row r="49115" spans="20:20" s="566" customFormat="1">
      <c r="T49115" s="41"/>
    </row>
    <row r="49116" spans="20:20" s="566" customFormat="1">
      <c r="T49116" s="41"/>
    </row>
    <row r="49117" spans="20:20" s="566" customFormat="1">
      <c r="T49117" s="41"/>
    </row>
    <row r="49118" spans="20:20" s="566" customFormat="1">
      <c r="T49118" s="41"/>
    </row>
    <row r="49119" spans="20:20" s="566" customFormat="1">
      <c r="T49119" s="41"/>
    </row>
    <row r="49120" spans="20:20" s="566" customFormat="1">
      <c r="T49120" s="41"/>
    </row>
    <row r="49121" spans="20:20" s="566" customFormat="1">
      <c r="T49121" s="41"/>
    </row>
    <row r="49122" spans="20:20" s="566" customFormat="1">
      <c r="T49122" s="41"/>
    </row>
    <row r="49123" spans="20:20" s="566" customFormat="1">
      <c r="T49123" s="41"/>
    </row>
    <row r="49124" spans="20:20" s="566" customFormat="1">
      <c r="T49124" s="41"/>
    </row>
    <row r="49125" spans="20:20" s="566" customFormat="1">
      <c r="T49125" s="41"/>
    </row>
    <row r="49126" spans="20:20" s="566" customFormat="1">
      <c r="T49126" s="41"/>
    </row>
    <row r="49127" spans="20:20" s="566" customFormat="1">
      <c r="T49127" s="41"/>
    </row>
    <row r="49128" spans="20:20" s="566" customFormat="1">
      <c r="T49128" s="41"/>
    </row>
    <row r="49129" spans="20:20" s="566" customFormat="1">
      <c r="T49129" s="41"/>
    </row>
    <row r="49130" spans="20:20" s="566" customFormat="1">
      <c r="T49130" s="41"/>
    </row>
    <row r="49131" spans="20:20" s="566" customFormat="1">
      <c r="T49131" s="41"/>
    </row>
    <row r="49132" spans="20:20" s="566" customFormat="1">
      <c r="T49132" s="41"/>
    </row>
    <row r="49133" spans="20:20" s="566" customFormat="1">
      <c r="T49133" s="41"/>
    </row>
    <row r="49134" spans="20:20" s="566" customFormat="1">
      <c r="T49134" s="41"/>
    </row>
    <row r="49135" spans="20:20" s="566" customFormat="1">
      <c r="T49135" s="41"/>
    </row>
    <row r="49136" spans="20:20" s="566" customFormat="1">
      <c r="T49136" s="41"/>
    </row>
    <row r="49137" spans="20:20" s="566" customFormat="1">
      <c r="T49137" s="41"/>
    </row>
    <row r="49138" spans="20:20" s="566" customFormat="1">
      <c r="T49138" s="41"/>
    </row>
    <row r="49139" spans="20:20" s="566" customFormat="1">
      <c r="T49139" s="41"/>
    </row>
    <row r="49140" spans="20:20" s="566" customFormat="1">
      <c r="T49140" s="41"/>
    </row>
    <row r="49141" spans="20:20" s="566" customFormat="1">
      <c r="T49141" s="41"/>
    </row>
    <row r="49142" spans="20:20" s="566" customFormat="1">
      <c r="T49142" s="41"/>
    </row>
    <row r="49143" spans="20:20" s="566" customFormat="1">
      <c r="T49143" s="41"/>
    </row>
    <row r="49144" spans="20:20" s="566" customFormat="1">
      <c r="T49144" s="41"/>
    </row>
    <row r="49145" spans="20:20" s="566" customFormat="1">
      <c r="T49145" s="41"/>
    </row>
    <row r="49146" spans="20:20" s="566" customFormat="1">
      <c r="T49146" s="41"/>
    </row>
    <row r="49147" spans="20:20" s="566" customFormat="1">
      <c r="T49147" s="41"/>
    </row>
    <row r="49148" spans="20:20" s="566" customFormat="1">
      <c r="T49148" s="41"/>
    </row>
    <row r="49149" spans="20:20" s="566" customFormat="1">
      <c r="T49149" s="41"/>
    </row>
    <row r="49150" spans="20:20" s="566" customFormat="1">
      <c r="T49150" s="41"/>
    </row>
    <row r="49151" spans="20:20" s="566" customFormat="1">
      <c r="T49151" s="41"/>
    </row>
    <row r="49152" spans="20:20" s="566" customFormat="1">
      <c r="T49152" s="41"/>
    </row>
    <row r="49153" spans="20:20" s="566" customFormat="1">
      <c r="T49153" s="41"/>
    </row>
    <row r="49154" spans="20:20" s="566" customFormat="1">
      <c r="T49154" s="41"/>
    </row>
    <row r="49155" spans="20:20" s="566" customFormat="1">
      <c r="T49155" s="41"/>
    </row>
    <row r="49156" spans="20:20" s="566" customFormat="1">
      <c r="T49156" s="41"/>
    </row>
    <row r="49157" spans="20:20" s="566" customFormat="1">
      <c r="T49157" s="41"/>
    </row>
    <row r="49158" spans="20:20" s="566" customFormat="1">
      <c r="T49158" s="41"/>
    </row>
    <row r="49159" spans="20:20" s="566" customFormat="1">
      <c r="T49159" s="41"/>
    </row>
    <row r="49160" spans="20:20" s="566" customFormat="1">
      <c r="T49160" s="41"/>
    </row>
    <row r="49161" spans="20:20" s="566" customFormat="1">
      <c r="T49161" s="41"/>
    </row>
    <row r="49162" spans="20:20" s="566" customFormat="1">
      <c r="T49162" s="41"/>
    </row>
    <row r="49163" spans="20:20" s="566" customFormat="1">
      <c r="T49163" s="41"/>
    </row>
    <row r="49164" spans="20:20" s="566" customFormat="1">
      <c r="T49164" s="41"/>
    </row>
    <row r="49165" spans="20:20" s="566" customFormat="1">
      <c r="T49165" s="41"/>
    </row>
    <row r="49166" spans="20:20" s="566" customFormat="1">
      <c r="T49166" s="41"/>
    </row>
    <row r="49167" spans="20:20" s="566" customFormat="1">
      <c r="T49167" s="41"/>
    </row>
    <row r="49168" spans="20:20" s="566" customFormat="1">
      <c r="T49168" s="41"/>
    </row>
    <row r="49169" spans="20:20" s="566" customFormat="1">
      <c r="T49169" s="41"/>
    </row>
    <row r="49170" spans="20:20" s="566" customFormat="1">
      <c r="T49170" s="41"/>
    </row>
    <row r="49171" spans="20:20" s="566" customFormat="1">
      <c r="T49171" s="41"/>
    </row>
    <row r="49172" spans="20:20" s="566" customFormat="1">
      <c r="T49172" s="41"/>
    </row>
    <row r="49173" spans="20:20" s="566" customFormat="1">
      <c r="T49173" s="41"/>
    </row>
    <row r="49174" spans="20:20" s="566" customFormat="1">
      <c r="T49174" s="41"/>
    </row>
    <row r="49175" spans="20:20" s="566" customFormat="1">
      <c r="T49175" s="41"/>
    </row>
    <row r="49176" spans="20:20" s="566" customFormat="1">
      <c r="T49176" s="41"/>
    </row>
    <row r="49177" spans="20:20" s="566" customFormat="1">
      <c r="T49177" s="41"/>
    </row>
    <row r="49178" spans="20:20" s="566" customFormat="1">
      <c r="T49178" s="41"/>
    </row>
    <row r="49179" spans="20:20" s="566" customFormat="1">
      <c r="T49179" s="41"/>
    </row>
    <row r="49180" spans="20:20" s="566" customFormat="1">
      <c r="T49180" s="41"/>
    </row>
    <row r="49181" spans="20:20" s="566" customFormat="1">
      <c r="T49181" s="41"/>
    </row>
    <row r="49182" spans="20:20" s="566" customFormat="1">
      <c r="T49182" s="41"/>
    </row>
    <row r="49183" spans="20:20" s="566" customFormat="1">
      <c r="T49183" s="41"/>
    </row>
    <row r="49184" spans="20:20" s="566" customFormat="1">
      <c r="T49184" s="41"/>
    </row>
    <row r="49185" spans="20:20" s="566" customFormat="1">
      <c r="T49185" s="41"/>
    </row>
    <row r="49186" spans="20:20" s="566" customFormat="1">
      <c r="T49186" s="41"/>
    </row>
    <row r="49187" spans="20:20" s="566" customFormat="1">
      <c r="T49187" s="41"/>
    </row>
    <row r="49188" spans="20:20" s="566" customFormat="1">
      <c r="T49188" s="41"/>
    </row>
    <row r="49189" spans="20:20" s="566" customFormat="1">
      <c r="T49189" s="41"/>
    </row>
    <row r="49190" spans="20:20" s="566" customFormat="1">
      <c r="T49190" s="41"/>
    </row>
    <row r="49191" spans="20:20" s="566" customFormat="1">
      <c r="T49191" s="41"/>
    </row>
    <row r="49192" spans="20:20" s="566" customFormat="1">
      <c r="T49192" s="41"/>
    </row>
    <row r="49193" spans="20:20" s="566" customFormat="1">
      <c r="T49193" s="41"/>
    </row>
    <row r="49194" spans="20:20" s="566" customFormat="1">
      <c r="T49194" s="41"/>
    </row>
    <row r="49195" spans="20:20" s="566" customFormat="1">
      <c r="T49195" s="41"/>
    </row>
    <row r="49196" spans="20:20" s="566" customFormat="1">
      <c r="T49196" s="41"/>
    </row>
    <row r="49197" spans="20:20" s="566" customFormat="1">
      <c r="T49197" s="41"/>
    </row>
    <row r="49198" spans="20:20" s="566" customFormat="1">
      <c r="T49198" s="41"/>
    </row>
    <row r="49199" spans="20:20" s="566" customFormat="1">
      <c r="T49199" s="41"/>
    </row>
    <row r="49200" spans="20:20" s="566" customFormat="1">
      <c r="T49200" s="41"/>
    </row>
    <row r="49201" spans="20:20" s="566" customFormat="1">
      <c r="T49201" s="41"/>
    </row>
    <row r="49202" spans="20:20" s="566" customFormat="1">
      <c r="T49202" s="41"/>
    </row>
    <row r="49203" spans="20:20" s="566" customFormat="1">
      <c r="T49203" s="41"/>
    </row>
    <row r="49204" spans="20:20" s="566" customFormat="1">
      <c r="T49204" s="41"/>
    </row>
    <row r="49205" spans="20:20" s="566" customFormat="1">
      <c r="T49205" s="41"/>
    </row>
    <row r="49206" spans="20:20" s="566" customFormat="1">
      <c r="T49206" s="41"/>
    </row>
    <row r="49207" spans="20:20" s="566" customFormat="1">
      <c r="T49207" s="41"/>
    </row>
    <row r="49208" spans="20:20" s="566" customFormat="1">
      <c r="T49208" s="41"/>
    </row>
    <row r="49209" spans="20:20" s="566" customFormat="1">
      <c r="T49209" s="41"/>
    </row>
    <row r="49210" spans="20:20" s="566" customFormat="1">
      <c r="T49210" s="41"/>
    </row>
    <row r="49211" spans="20:20" s="566" customFormat="1">
      <c r="T49211" s="41"/>
    </row>
    <row r="49212" spans="20:20" s="566" customFormat="1">
      <c r="T49212" s="41"/>
    </row>
    <row r="49213" spans="20:20" s="566" customFormat="1">
      <c r="T49213" s="41"/>
    </row>
    <row r="49214" spans="20:20" s="566" customFormat="1">
      <c r="T49214" s="41"/>
    </row>
    <row r="49215" spans="20:20" s="566" customFormat="1">
      <c r="T49215" s="41"/>
    </row>
    <row r="49216" spans="20:20" s="566" customFormat="1">
      <c r="T49216" s="41"/>
    </row>
    <row r="49217" spans="20:20" s="566" customFormat="1">
      <c r="T49217" s="41"/>
    </row>
    <row r="49218" spans="20:20" s="566" customFormat="1">
      <c r="T49218" s="41"/>
    </row>
    <row r="49219" spans="20:20" s="566" customFormat="1">
      <c r="T49219" s="41"/>
    </row>
    <row r="49220" spans="20:20" s="566" customFormat="1">
      <c r="T49220" s="41"/>
    </row>
    <row r="49221" spans="20:20" s="566" customFormat="1">
      <c r="T49221" s="41"/>
    </row>
    <row r="49222" spans="20:20" s="566" customFormat="1">
      <c r="T49222" s="41"/>
    </row>
    <row r="49223" spans="20:20" s="566" customFormat="1">
      <c r="T49223" s="41"/>
    </row>
    <row r="49224" spans="20:20" s="566" customFormat="1">
      <c r="T49224" s="41"/>
    </row>
    <row r="49225" spans="20:20" s="566" customFormat="1">
      <c r="T49225" s="41"/>
    </row>
    <row r="49226" spans="20:20" s="566" customFormat="1">
      <c r="T49226" s="41"/>
    </row>
    <row r="49227" spans="20:20" s="566" customFormat="1">
      <c r="T49227" s="41"/>
    </row>
    <row r="49228" spans="20:20" s="566" customFormat="1">
      <c r="T49228" s="41"/>
    </row>
    <row r="49229" spans="20:20" s="566" customFormat="1">
      <c r="T49229" s="41"/>
    </row>
    <row r="49230" spans="20:20" s="566" customFormat="1">
      <c r="T49230" s="41"/>
    </row>
    <row r="49231" spans="20:20" s="566" customFormat="1">
      <c r="T49231" s="41"/>
    </row>
    <row r="49232" spans="20:20" s="566" customFormat="1">
      <c r="T49232" s="41"/>
    </row>
    <row r="49233" spans="20:20" s="566" customFormat="1">
      <c r="T49233" s="41"/>
    </row>
    <row r="49234" spans="20:20" s="566" customFormat="1">
      <c r="T49234" s="41"/>
    </row>
    <row r="49235" spans="20:20" s="566" customFormat="1">
      <c r="T49235" s="41"/>
    </row>
    <row r="49236" spans="20:20" s="566" customFormat="1">
      <c r="T49236" s="41"/>
    </row>
    <row r="49237" spans="20:20" s="566" customFormat="1">
      <c r="T49237" s="41"/>
    </row>
    <row r="49238" spans="20:20" s="566" customFormat="1">
      <c r="T49238" s="41"/>
    </row>
    <row r="49239" spans="20:20" s="566" customFormat="1">
      <c r="T49239" s="41"/>
    </row>
    <row r="49240" spans="20:20" s="566" customFormat="1">
      <c r="T49240" s="41"/>
    </row>
    <row r="49241" spans="20:20" s="566" customFormat="1">
      <c r="T49241" s="41"/>
    </row>
    <row r="49242" spans="20:20" s="566" customFormat="1">
      <c r="T49242" s="41"/>
    </row>
    <row r="49243" spans="20:20" s="566" customFormat="1">
      <c r="T49243" s="41"/>
    </row>
    <row r="49244" spans="20:20" s="566" customFormat="1">
      <c r="T49244" s="41"/>
    </row>
    <row r="49245" spans="20:20" s="566" customFormat="1">
      <c r="T49245" s="41"/>
    </row>
    <row r="49246" spans="20:20" s="566" customFormat="1">
      <c r="T49246" s="41"/>
    </row>
    <row r="49247" spans="20:20" s="566" customFormat="1">
      <c r="T49247" s="41"/>
    </row>
    <row r="49248" spans="20:20" s="566" customFormat="1">
      <c r="T49248" s="41"/>
    </row>
    <row r="49249" spans="20:20" s="566" customFormat="1">
      <c r="T49249" s="41"/>
    </row>
    <row r="49250" spans="20:20" s="566" customFormat="1">
      <c r="T49250" s="41"/>
    </row>
    <row r="49251" spans="20:20" s="566" customFormat="1">
      <c r="T49251" s="41"/>
    </row>
    <row r="49252" spans="20:20" s="566" customFormat="1">
      <c r="T49252" s="41"/>
    </row>
    <row r="49253" spans="20:20" s="566" customFormat="1">
      <c r="T49253" s="41"/>
    </row>
    <row r="49254" spans="20:20" s="566" customFormat="1">
      <c r="T49254" s="41"/>
    </row>
    <row r="49255" spans="20:20" s="566" customFormat="1">
      <c r="T49255" s="41"/>
    </row>
    <row r="49256" spans="20:20" s="566" customFormat="1">
      <c r="T49256" s="41"/>
    </row>
    <row r="49257" spans="20:20" s="566" customFormat="1">
      <c r="T49257" s="41"/>
    </row>
    <row r="49258" spans="20:20" s="566" customFormat="1">
      <c r="T49258" s="41"/>
    </row>
    <row r="49259" spans="20:20" s="566" customFormat="1">
      <c r="T49259" s="41"/>
    </row>
    <row r="49260" spans="20:20" s="566" customFormat="1">
      <c r="T49260" s="41"/>
    </row>
    <row r="49261" spans="20:20" s="566" customFormat="1">
      <c r="T49261" s="41"/>
    </row>
    <row r="49262" spans="20:20" s="566" customFormat="1">
      <c r="T49262" s="41"/>
    </row>
    <row r="49263" spans="20:20" s="566" customFormat="1">
      <c r="T49263" s="41"/>
    </row>
    <row r="49264" spans="20:20" s="566" customFormat="1">
      <c r="T49264" s="41"/>
    </row>
    <row r="49265" spans="20:20" s="566" customFormat="1">
      <c r="T49265" s="41"/>
    </row>
    <row r="49266" spans="20:20" s="566" customFormat="1">
      <c r="T49266" s="41"/>
    </row>
    <row r="49267" spans="20:20" s="566" customFormat="1">
      <c r="T49267" s="41"/>
    </row>
    <row r="49268" spans="20:20" s="566" customFormat="1">
      <c r="T49268" s="41"/>
    </row>
    <row r="49269" spans="20:20" s="566" customFormat="1">
      <c r="T49269" s="41"/>
    </row>
    <row r="49270" spans="20:20" s="566" customFormat="1">
      <c r="T49270" s="41"/>
    </row>
    <row r="49271" spans="20:20" s="566" customFormat="1">
      <c r="T49271" s="41"/>
    </row>
    <row r="49272" spans="20:20" s="566" customFormat="1">
      <c r="T49272" s="41"/>
    </row>
    <row r="49273" spans="20:20" s="566" customFormat="1">
      <c r="T49273" s="41"/>
    </row>
    <row r="49274" spans="20:20" s="566" customFormat="1">
      <c r="T49274" s="41"/>
    </row>
    <row r="49275" spans="20:20" s="566" customFormat="1">
      <c r="T49275" s="41"/>
    </row>
    <row r="49276" spans="20:20" s="566" customFormat="1">
      <c r="T49276" s="41"/>
    </row>
    <row r="49277" spans="20:20" s="566" customFormat="1">
      <c r="T49277" s="41"/>
    </row>
    <row r="49278" spans="20:20" s="566" customFormat="1">
      <c r="T49278" s="41"/>
    </row>
    <row r="49279" spans="20:20" s="566" customFormat="1">
      <c r="T49279" s="41"/>
    </row>
    <row r="49280" spans="20:20" s="566" customFormat="1">
      <c r="T49280" s="41"/>
    </row>
    <row r="49281" spans="20:20" s="566" customFormat="1">
      <c r="T49281" s="41"/>
    </row>
    <row r="49282" spans="20:20" s="566" customFormat="1">
      <c r="T49282" s="41"/>
    </row>
    <row r="49283" spans="20:20" s="566" customFormat="1">
      <c r="T49283" s="41"/>
    </row>
    <row r="49284" spans="20:20" s="566" customFormat="1">
      <c r="T49284" s="41"/>
    </row>
    <row r="49285" spans="20:20" s="566" customFormat="1">
      <c r="T49285" s="41"/>
    </row>
    <row r="49286" spans="20:20" s="566" customFormat="1">
      <c r="T49286" s="41"/>
    </row>
    <row r="49287" spans="20:20" s="566" customFormat="1">
      <c r="T49287" s="41"/>
    </row>
    <row r="49288" spans="20:20" s="566" customFormat="1">
      <c r="T49288" s="41"/>
    </row>
    <row r="49289" spans="20:20" s="566" customFormat="1">
      <c r="T49289" s="41"/>
    </row>
    <row r="49290" spans="20:20" s="566" customFormat="1">
      <c r="T49290" s="41"/>
    </row>
    <row r="49291" spans="20:20" s="566" customFormat="1">
      <c r="T49291" s="41"/>
    </row>
    <row r="49292" spans="20:20" s="566" customFormat="1">
      <c r="T49292" s="41"/>
    </row>
    <row r="49293" spans="20:20" s="566" customFormat="1">
      <c r="T49293" s="41"/>
    </row>
    <row r="49294" spans="20:20" s="566" customFormat="1">
      <c r="T49294" s="41"/>
    </row>
    <row r="49295" spans="20:20" s="566" customFormat="1">
      <c r="T49295" s="41"/>
    </row>
    <row r="49296" spans="20:20" s="566" customFormat="1">
      <c r="T49296" s="41"/>
    </row>
    <row r="49297" spans="20:20" s="566" customFormat="1">
      <c r="T49297" s="41"/>
    </row>
    <row r="49298" spans="20:20" s="566" customFormat="1">
      <c r="T49298" s="41"/>
    </row>
    <row r="49299" spans="20:20" s="566" customFormat="1">
      <c r="T49299" s="41"/>
    </row>
    <row r="49300" spans="20:20" s="566" customFormat="1">
      <c r="T49300" s="41"/>
    </row>
    <row r="49301" spans="20:20" s="566" customFormat="1">
      <c r="T49301" s="41"/>
    </row>
    <row r="49302" spans="20:20" s="566" customFormat="1">
      <c r="T49302" s="41"/>
    </row>
    <row r="49303" spans="20:20" s="566" customFormat="1">
      <c r="T49303" s="41"/>
    </row>
    <row r="49304" spans="20:20" s="566" customFormat="1">
      <c r="T49304" s="41"/>
    </row>
    <row r="49305" spans="20:20" s="566" customFormat="1">
      <c r="T49305" s="41"/>
    </row>
    <row r="49306" spans="20:20" s="566" customFormat="1">
      <c r="T49306" s="41"/>
    </row>
    <row r="49307" spans="20:20" s="566" customFormat="1">
      <c r="T49307" s="41"/>
    </row>
    <row r="49308" spans="20:20" s="566" customFormat="1">
      <c r="T49308" s="41"/>
    </row>
    <row r="49309" spans="20:20" s="566" customFormat="1">
      <c r="T49309" s="41"/>
    </row>
    <row r="49310" spans="20:20" s="566" customFormat="1">
      <c r="T49310" s="41"/>
    </row>
    <row r="49311" spans="20:20" s="566" customFormat="1">
      <c r="T49311" s="41"/>
    </row>
    <row r="49312" spans="20:20" s="566" customFormat="1">
      <c r="T49312" s="41"/>
    </row>
    <row r="49313" spans="20:20" s="566" customFormat="1">
      <c r="T49313" s="41"/>
    </row>
    <row r="49314" spans="20:20" s="566" customFormat="1">
      <c r="T49314" s="41"/>
    </row>
    <row r="49315" spans="20:20" s="566" customFormat="1">
      <c r="T49315" s="41"/>
    </row>
    <row r="49316" spans="20:20" s="566" customFormat="1">
      <c r="T49316" s="41"/>
    </row>
    <row r="49317" spans="20:20" s="566" customFormat="1">
      <c r="T49317" s="41"/>
    </row>
    <row r="49318" spans="20:20" s="566" customFormat="1">
      <c r="T49318" s="41"/>
    </row>
    <row r="49319" spans="20:20" s="566" customFormat="1">
      <c r="T49319" s="41"/>
    </row>
    <row r="49320" spans="20:20" s="566" customFormat="1">
      <c r="T49320" s="41"/>
    </row>
    <row r="49321" spans="20:20" s="566" customFormat="1">
      <c r="T49321" s="41"/>
    </row>
    <row r="49322" spans="20:20" s="566" customFormat="1">
      <c r="T49322" s="41"/>
    </row>
    <row r="49323" spans="20:20" s="566" customFormat="1">
      <c r="T49323" s="41"/>
    </row>
    <row r="49324" spans="20:20" s="566" customFormat="1">
      <c r="T49324" s="41"/>
    </row>
    <row r="49325" spans="20:20" s="566" customFormat="1">
      <c r="T49325" s="41"/>
    </row>
    <row r="49326" spans="20:20" s="566" customFormat="1">
      <c r="T49326" s="41"/>
    </row>
    <row r="49327" spans="20:20" s="566" customFormat="1">
      <c r="T49327" s="41"/>
    </row>
    <row r="49328" spans="20:20" s="566" customFormat="1">
      <c r="T49328" s="41"/>
    </row>
    <row r="49329" spans="20:20" s="566" customFormat="1">
      <c r="T49329" s="41"/>
    </row>
    <row r="49330" spans="20:20" s="566" customFormat="1">
      <c r="T49330" s="41"/>
    </row>
    <row r="49331" spans="20:20" s="566" customFormat="1">
      <c r="T49331" s="41"/>
    </row>
    <row r="49332" spans="20:20" s="566" customFormat="1">
      <c r="T49332" s="41"/>
    </row>
    <row r="49333" spans="20:20" s="566" customFormat="1">
      <c r="T49333" s="41"/>
    </row>
    <row r="49334" spans="20:20" s="566" customFormat="1">
      <c r="T49334" s="41"/>
    </row>
    <row r="49335" spans="20:20" s="566" customFormat="1">
      <c r="T49335" s="41"/>
    </row>
    <row r="49336" spans="20:20" s="566" customFormat="1">
      <c r="T49336" s="41"/>
    </row>
    <row r="49337" spans="20:20" s="566" customFormat="1">
      <c r="T49337" s="41"/>
    </row>
    <row r="49338" spans="20:20" s="566" customFormat="1">
      <c r="T49338" s="41"/>
    </row>
    <row r="49339" spans="20:20" s="566" customFormat="1">
      <c r="T49339" s="41"/>
    </row>
    <row r="49340" spans="20:20" s="566" customFormat="1">
      <c r="T49340" s="41"/>
    </row>
    <row r="49341" spans="20:20" s="566" customFormat="1">
      <c r="T49341" s="41"/>
    </row>
    <row r="49342" spans="20:20" s="566" customFormat="1">
      <c r="T49342" s="41"/>
    </row>
    <row r="49343" spans="20:20" s="566" customFormat="1">
      <c r="T49343" s="41"/>
    </row>
    <row r="49344" spans="20:20" s="566" customFormat="1">
      <c r="T49344" s="41"/>
    </row>
    <row r="49345" spans="20:20" s="566" customFormat="1">
      <c r="T49345" s="41"/>
    </row>
    <row r="49346" spans="20:20" s="566" customFormat="1">
      <c r="T49346" s="41"/>
    </row>
    <row r="49347" spans="20:20" s="566" customFormat="1">
      <c r="T49347" s="41"/>
    </row>
    <row r="49348" spans="20:20" s="566" customFormat="1">
      <c r="T49348" s="41"/>
    </row>
    <row r="49349" spans="20:20" s="566" customFormat="1">
      <c r="T49349" s="41"/>
    </row>
    <row r="49350" spans="20:20" s="566" customFormat="1">
      <c r="T49350" s="41"/>
    </row>
    <row r="49351" spans="20:20" s="566" customFormat="1">
      <c r="T49351" s="41"/>
    </row>
    <row r="49352" spans="20:20" s="566" customFormat="1">
      <c r="T49352" s="41"/>
    </row>
    <row r="49353" spans="20:20" s="566" customFormat="1">
      <c r="T49353" s="41"/>
    </row>
    <row r="49354" spans="20:20" s="566" customFormat="1">
      <c r="T49354" s="41"/>
    </row>
    <row r="49355" spans="20:20" s="566" customFormat="1">
      <c r="T49355" s="41"/>
    </row>
    <row r="49356" spans="20:20" s="566" customFormat="1">
      <c r="T49356" s="41"/>
    </row>
    <row r="49357" spans="20:20" s="566" customFormat="1">
      <c r="T49357" s="41"/>
    </row>
    <row r="49358" spans="20:20" s="566" customFormat="1">
      <c r="T49358" s="41"/>
    </row>
    <row r="49359" spans="20:20" s="566" customFormat="1">
      <c r="T49359" s="41"/>
    </row>
    <row r="49360" spans="20:20" s="566" customFormat="1">
      <c r="T49360" s="41"/>
    </row>
    <row r="49361" spans="20:20" s="566" customFormat="1">
      <c r="T49361" s="41"/>
    </row>
    <row r="49362" spans="20:20" s="566" customFormat="1">
      <c r="T49362" s="41"/>
    </row>
    <row r="49363" spans="20:20" s="566" customFormat="1">
      <c r="T49363" s="41"/>
    </row>
    <row r="49364" spans="20:20" s="566" customFormat="1">
      <c r="T49364" s="41"/>
    </row>
    <row r="49365" spans="20:20" s="566" customFormat="1">
      <c r="T49365" s="41"/>
    </row>
    <row r="49366" spans="20:20" s="566" customFormat="1">
      <c r="T49366" s="41"/>
    </row>
    <row r="49367" spans="20:20" s="566" customFormat="1">
      <c r="T49367" s="41"/>
    </row>
    <row r="49368" spans="20:20" s="566" customFormat="1">
      <c r="T49368" s="41"/>
    </row>
    <row r="49369" spans="20:20" s="566" customFormat="1">
      <c r="T49369" s="41"/>
    </row>
    <row r="49370" spans="20:20" s="566" customFormat="1">
      <c r="T49370" s="41"/>
    </row>
    <row r="49371" spans="20:20" s="566" customFormat="1">
      <c r="T49371" s="41"/>
    </row>
    <row r="49372" spans="20:20" s="566" customFormat="1">
      <c r="T49372" s="41"/>
    </row>
    <row r="49373" spans="20:20" s="566" customFormat="1">
      <c r="T49373" s="41"/>
    </row>
    <row r="49374" spans="20:20" s="566" customFormat="1">
      <c r="T49374" s="41"/>
    </row>
    <row r="49375" spans="20:20" s="566" customFormat="1">
      <c r="T49375" s="41"/>
    </row>
    <row r="49376" spans="20:20" s="566" customFormat="1">
      <c r="T49376" s="41"/>
    </row>
    <row r="49377" spans="20:20" s="566" customFormat="1">
      <c r="T49377" s="41"/>
    </row>
    <row r="49378" spans="20:20" s="566" customFormat="1">
      <c r="T49378" s="41"/>
    </row>
    <row r="49379" spans="20:20" s="566" customFormat="1">
      <c r="T49379" s="41"/>
    </row>
    <row r="49380" spans="20:20" s="566" customFormat="1">
      <c r="T49380" s="41"/>
    </row>
    <row r="49381" spans="20:20" s="566" customFormat="1">
      <c r="T49381" s="41"/>
    </row>
    <row r="49382" spans="20:20" s="566" customFormat="1">
      <c r="T49382" s="41"/>
    </row>
    <row r="49383" spans="20:20" s="566" customFormat="1">
      <c r="T49383" s="41"/>
    </row>
    <row r="49384" spans="20:20" s="566" customFormat="1">
      <c r="T49384" s="41"/>
    </row>
    <row r="49385" spans="20:20" s="566" customFormat="1">
      <c r="T49385" s="41"/>
    </row>
    <row r="49386" spans="20:20" s="566" customFormat="1">
      <c r="T49386" s="41"/>
    </row>
    <row r="49387" spans="20:20" s="566" customFormat="1">
      <c r="T49387" s="41"/>
    </row>
    <row r="49388" spans="20:20" s="566" customFormat="1">
      <c r="T49388" s="41"/>
    </row>
    <row r="49389" spans="20:20" s="566" customFormat="1">
      <c r="T49389" s="41"/>
    </row>
    <row r="49390" spans="20:20" s="566" customFormat="1">
      <c r="T49390" s="41"/>
    </row>
    <row r="49391" spans="20:20" s="566" customFormat="1">
      <c r="T49391" s="41"/>
    </row>
    <row r="49392" spans="20:20" s="566" customFormat="1">
      <c r="T49392" s="41"/>
    </row>
    <row r="49393" spans="20:20" s="566" customFormat="1">
      <c r="T49393" s="41"/>
    </row>
    <row r="49394" spans="20:20" s="566" customFormat="1">
      <c r="T49394" s="41"/>
    </row>
    <row r="49395" spans="20:20" s="566" customFormat="1">
      <c r="T49395" s="41"/>
    </row>
    <row r="49396" spans="20:20" s="566" customFormat="1">
      <c r="T49396" s="41"/>
    </row>
    <row r="49397" spans="20:20" s="566" customFormat="1">
      <c r="T49397" s="41"/>
    </row>
    <row r="49398" spans="20:20" s="566" customFormat="1">
      <c r="T49398" s="41"/>
    </row>
    <row r="49399" spans="20:20" s="566" customFormat="1">
      <c r="T49399" s="41"/>
    </row>
    <row r="49400" spans="20:20" s="566" customFormat="1">
      <c r="T49400" s="41"/>
    </row>
    <row r="49401" spans="20:20" s="566" customFormat="1">
      <c r="T49401" s="41"/>
    </row>
    <row r="49402" spans="20:20" s="566" customFormat="1">
      <c r="T49402" s="41"/>
    </row>
    <row r="49403" spans="20:20" s="566" customFormat="1">
      <c r="T49403" s="41"/>
    </row>
    <row r="49404" spans="20:20" s="566" customFormat="1">
      <c r="T49404" s="41"/>
    </row>
    <row r="49405" spans="20:20" s="566" customFormat="1">
      <c r="T49405" s="41"/>
    </row>
    <row r="49406" spans="20:20" s="566" customFormat="1">
      <c r="T49406" s="41"/>
    </row>
    <row r="49407" spans="20:20" s="566" customFormat="1">
      <c r="T49407" s="41"/>
    </row>
    <row r="49408" spans="20:20" s="566" customFormat="1">
      <c r="T49408" s="41"/>
    </row>
    <row r="49409" spans="20:20" s="566" customFormat="1">
      <c r="T49409" s="41"/>
    </row>
    <row r="49410" spans="20:20" s="566" customFormat="1">
      <c r="T49410" s="41"/>
    </row>
    <row r="49411" spans="20:20" s="566" customFormat="1">
      <c r="T49411" s="41"/>
    </row>
    <row r="49412" spans="20:20" s="566" customFormat="1">
      <c r="T49412" s="41"/>
    </row>
    <row r="49413" spans="20:20" s="566" customFormat="1">
      <c r="T49413" s="41"/>
    </row>
    <row r="49414" spans="20:20" s="566" customFormat="1">
      <c r="T49414" s="41"/>
    </row>
    <row r="49415" spans="20:20" s="566" customFormat="1">
      <c r="T49415" s="41"/>
    </row>
    <row r="49416" spans="20:20" s="566" customFormat="1">
      <c r="T49416" s="41"/>
    </row>
    <row r="49417" spans="20:20" s="566" customFormat="1">
      <c r="T49417" s="41"/>
    </row>
    <row r="49418" spans="20:20" s="566" customFormat="1">
      <c r="T49418" s="41"/>
    </row>
    <row r="49419" spans="20:20" s="566" customFormat="1">
      <c r="T49419" s="41"/>
    </row>
    <row r="49420" spans="20:20" s="566" customFormat="1">
      <c r="T49420" s="41"/>
    </row>
    <row r="49421" spans="20:20" s="566" customFormat="1">
      <c r="T49421" s="41"/>
    </row>
    <row r="49422" spans="20:20" s="566" customFormat="1">
      <c r="T49422" s="41"/>
    </row>
    <row r="49423" spans="20:20" s="566" customFormat="1">
      <c r="T49423" s="41"/>
    </row>
    <row r="49424" spans="20:20" s="566" customFormat="1">
      <c r="T49424" s="41"/>
    </row>
    <row r="49425" spans="20:20" s="566" customFormat="1">
      <c r="T49425" s="41"/>
    </row>
    <row r="49426" spans="20:20" s="566" customFormat="1">
      <c r="T49426" s="41"/>
    </row>
    <row r="49427" spans="20:20" s="566" customFormat="1">
      <c r="T49427" s="41"/>
    </row>
    <row r="49428" spans="20:20" s="566" customFormat="1">
      <c r="T49428" s="41"/>
    </row>
    <row r="49429" spans="20:20" s="566" customFormat="1">
      <c r="T49429" s="41"/>
    </row>
    <row r="49430" spans="20:20" s="566" customFormat="1">
      <c r="T49430" s="41"/>
    </row>
    <row r="49431" spans="20:20" s="566" customFormat="1">
      <c r="T49431" s="41"/>
    </row>
    <row r="49432" spans="20:20" s="566" customFormat="1">
      <c r="T49432" s="41"/>
    </row>
    <row r="49433" spans="20:20" s="566" customFormat="1">
      <c r="T49433" s="41"/>
    </row>
    <row r="49434" spans="20:20" s="566" customFormat="1">
      <c r="T49434" s="41"/>
    </row>
    <row r="49435" spans="20:20" s="566" customFormat="1">
      <c r="T49435" s="41"/>
    </row>
    <row r="49436" spans="20:20" s="566" customFormat="1">
      <c r="T49436" s="41"/>
    </row>
    <row r="49437" spans="20:20" s="566" customFormat="1">
      <c r="T49437" s="41"/>
    </row>
    <row r="49438" spans="20:20" s="566" customFormat="1">
      <c r="T49438" s="41"/>
    </row>
    <row r="49439" spans="20:20" s="566" customFormat="1">
      <c r="T49439" s="41"/>
    </row>
    <row r="49440" spans="20:20" s="566" customFormat="1">
      <c r="T49440" s="41"/>
    </row>
    <row r="49441" spans="20:20" s="566" customFormat="1">
      <c r="T49441" s="41"/>
    </row>
    <row r="49442" spans="20:20" s="566" customFormat="1">
      <c r="T49442" s="41"/>
    </row>
    <row r="49443" spans="20:20" s="566" customFormat="1">
      <c r="T49443" s="41"/>
    </row>
    <row r="49444" spans="20:20" s="566" customFormat="1">
      <c r="T49444" s="41"/>
    </row>
    <row r="49445" spans="20:20" s="566" customFormat="1">
      <c r="T49445" s="41"/>
    </row>
    <row r="49446" spans="20:20" s="566" customFormat="1">
      <c r="T49446" s="41"/>
    </row>
    <row r="49447" spans="20:20" s="566" customFormat="1">
      <c r="T49447" s="41"/>
    </row>
    <row r="49448" spans="20:20" s="566" customFormat="1">
      <c r="T49448" s="41"/>
    </row>
    <row r="49449" spans="20:20" s="566" customFormat="1">
      <c r="T49449" s="41"/>
    </row>
    <row r="49450" spans="20:20" s="566" customFormat="1">
      <c r="T49450" s="41"/>
    </row>
    <row r="49451" spans="20:20" s="566" customFormat="1">
      <c r="T49451" s="41"/>
    </row>
    <row r="49452" spans="20:20" s="566" customFormat="1">
      <c r="T49452" s="41"/>
    </row>
    <row r="49453" spans="20:20" s="566" customFormat="1">
      <c r="T49453" s="41"/>
    </row>
    <row r="49454" spans="20:20" s="566" customFormat="1">
      <c r="T49454" s="41"/>
    </row>
    <row r="49455" spans="20:20" s="566" customFormat="1">
      <c r="T49455" s="41"/>
    </row>
    <row r="49456" spans="20:20" s="566" customFormat="1">
      <c r="T49456" s="41"/>
    </row>
    <row r="49457" spans="20:20" s="566" customFormat="1">
      <c r="T49457" s="41"/>
    </row>
    <row r="49458" spans="20:20" s="566" customFormat="1">
      <c r="T49458" s="41"/>
    </row>
    <row r="49459" spans="20:20" s="566" customFormat="1">
      <c r="T49459" s="41"/>
    </row>
    <row r="49460" spans="20:20" s="566" customFormat="1">
      <c r="T49460" s="41"/>
    </row>
    <row r="49461" spans="20:20" s="566" customFormat="1">
      <c r="T49461" s="41"/>
    </row>
    <row r="49462" spans="20:20" s="566" customFormat="1">
      <c r="T49462" s="41"/>
    </row>
    <row r="49463" spans="20:20" s="566" customFormat="1">
      <c r="T49463" s="41"/>
    </row>
    <row r="49464" spans="20:20" s="566" customFormat="1">
      <c r="T49464" s="41"/>
    </row>
    <row r="49465" spans="20:20" s="566" customFormat="1">
      <c r="T49465" s="41"/>
    </row>
    <row r="49466" spans="20:20" s="566" customFormat="1">
      <c r="T49466" s="41"/>
    </row>
    <row r="49467" spans="20:20" s="566" customFormat="1">
      <c r="T49467" s="41"/>
    </row>
    <row r="49468" spans="20:20" s="566" customFormat="1">
      <c r="T49468" s="41"/>
    </row>
    <row r="49469" spans="20:20" s="566" customFormat="1">
      <c r="T49469" s="41"/>
    </row>
    <row r="49470" spans="20:20" s="566" customFormat="1">
      <c r="T49470" s="41"/>
    </row>
    <row r="49471" spans="20:20" s="566" customFormat="1">
      <c r="T49471" s="41"/>
    </row>
    <row r="49472" spans="20:20" s="566" customFormat="1">
      <c r="T49472" s="41"/>
    </row>
    <row r="49473" spans="20:20" s="566" customFormat="1">
      <c r="T49473" s="41"/>
    </row>
    <row r="49474" spans="20:20" s="566" customFormat="1">
      <c r="T49474" s="41"/>
    </row>
    <row r="49475" spans="20:20" s="566" customFormat="1">
      <c r="T49475" s="41"/>
    </row>
    <row r="49476" spans="20:20" s="566" customFormat="1">
      <c r="T49476" s="41"/>
    </row>
    <row r="49477" spans="20:20" s="566" customFormat="1">
      <c r="T49477" s="41"/>
    </row>
    <row r="49478" spans="20:20" s="566" customFormat="1">
      <c r="T49478" s="41"/>
    </row>
    <row r="49479" spans="20:20" s="566" customFormat="1">
      <c r="T49479" s="41"/>
    </row>
    <row r="49480" spans="20:20" s="566" customFormat="1">
      <c r="T49480" s="41"/>
    </row>
    <row r="49481" spans="20:20" s="566" customFormat="1">
      <c r="T49481" s="41"/>
    </row>
    <row r="49482" spans="20:20" s="566" customFormat="1">
      <c r="T49482" s="41"/>
    </row>
    <row r="49483" spans="20:20" s="566" customFormat="1">
      <c r="T49483" s="41"/>
    </row>
    <row r="49484" spans="20:20" s="566" customFormat="1">
      <c r="T49484" s="41"/>
    </row>
    <row r="49485" spans="20:20" s="566" customFormat="1">
      <c r="T49485" s="41"/>
    </row>
    <row r="49486" spans="20:20" s="566" customFormat="1">
      <c r="T49486" s="41"/>
    </row>
    <row r="49487" spans="20:20" s="566" customFormat="1">
      <c r="T49487" s="41"/>
    </row>
    <row r="49488" spans="20:20" s="566" customFormat="1">
      <c r="T49488" s="41"/>
    </row>
    <row r="49489" spans="20:20" s="566" customFormat="1">
      <c r="T49489" s="41"/>
    </row>
    <row r="49490" spans="20:20" s="566" customFormat="1">
      <c r="T49490" s="41"/>
    </row>
    <row r="49491" spans="20:20" s="566" customFormat="1">
      <c r="T49491" s="41"/>
    </row>
    <row r="49492" spans="20:20" s="566" customFormat="1">
      <c r="T49492" s="41"/>
    </row>
    <row r="49493" spans="20:20" s="566" customFormat="1">
      <c r="T49493" s="41"/>
    </row>
    <row r="49494" spans="20:20" s="566" customFormat="1">
      <c r="T49494" s="41"/>
    </row>
    <row r="49495" spans="20:20" s="566" customFormat="1">
      <c r="T49495" s="41"/>
    </row>
    <row r="49496" spans="20:20" s="566" customFormat="1">
      <c r="T49496" s="41"/>
    </row>
    <row r="49497" spans="20:20" s="566" customFormat="1">
      <c r="T49497" s="41"/>
    </row>
    <row r="49498" spans="20:20" s="566" customFormat="1">
      <c r="T49498" s="41"/>
    </row>
    <row r="49499" spans="20:20" s="566" customFormat="1">
      <c r="T49499" s="41"/>
    </row>
    <row r="49500" spans="20:20" s="566" customFormat="1">
      <c r="T49500" s="41"/>
    </row>
    <row r="49501" spans="20:20" s="566" customFormat="1">
      <c r="T49501" s="41"/>
    </row>
    <row r="49502" spans="20:20" s="566" customFormat="1">
      <c r="T49502" s="41"/>
    </row>
    <row r="49503" spans="20:20" s="566" customFormat="1">
      <c r="T49503" s="41"/>
    </row>
    <row r="49504" spans="20:20" s="566" customFormat="1">
      <c r="T49504" s="41"/>
    </row>
    <row r="49505" spans="20:20" s="566" customFormat="1">
      <c r="T49505" s="41"/>
    </row>
    <row r="49506" spans="20:20" s="566" customFormat="1">
      <c r="T49506" s="41"/>
    </row>
    <row r="49507" spans="20:20" s="566" customFormat="1">
      <c r="T49507" s="41"/>
    </row>
    <row r="49508" spans="20:20" s="566" customFormat="1">
      <c r="T49508" s="41"/>
    </row>
    <row r="49509" spans="20:20" s="566" customFormat="1">
      <c r="T49509" s="41"/>
    </row>
    <row r="49510" spans="20:20" s="566" customFormat="1">
      <c r="T49510" s="41"/>
    </row>
    <row r="49511" spans="20:20" s="566" customFormat="1">
      <c r="T49511" s="41"/>
    </row>
    <row r="49512" spans="20:20" s="566" customFormat="1">
      <c r="T49512" s="41"/>
    </row>
    <row r="49513" spans="20:20" s="566" customFormat="1">
      <c r="T49513" s="41"/>
    </row>
    <row r="49514" spans="20:20" s="566" customFormat="1">
      <c r="T49514" s="41"/>
    </row>
    <row r="49515" spans="20:20" s="566" customFormat="1">
      <c r="T49515" s="41"/>
    </row>
    <row r="49516" spans="20:20" s="566" customFormat="1">
      <c r="T49516" s="41"/>
    </row>
    <row r="49517" spans="20:20" s="566" customFormat="1">
      <c r="T49517" s="41"/>
    </row>
    <row r="49518" spans="20:20" s="566" customFormat="1">
      <c r="T49518" s="41"/>
    </row>
    <row r="49519" spans="20:20" s="566" customFormat="1">
      <c r="T49519" s="41"/>
    </row>
    <row r="49520" spans="20:20" s="566" customFormat="1">
      <c r="T49520" s="41"/>
    </row>
    <row r="49521" spans="20:20" s="566" customFormat="1">
      <c r="T49521" s="41"/>
    </row>
    <row r="49522" spans="20:20" s="566" customFormat="1">
      <c r="T49522" s="41"/>
    </row>
    <row r="49523" spans="20:20" s="566" customFormat="1">
      <c r="T49523" s="41"/>
    </row>
    <row r="49524" spans="20:20" s="566" customFormat="1">
      <c r="T49524" s="41"/>
    </row>
    <row r="49525" spans="20:20" s="566" customFormat="1">
      <c r="T49525" s="41"/>
    </row>
    <row r="49526" spans="20:20" s="566" customFormat="1">
      <c r="T49526" s="41"/>
    </row>
    <row r="49527" spans="20:20" s="566" customFormat="1">
      <c r="T49527" s="41"/>
    </row>
    <row r="49528" spans="20:20" s="566" customFormat="1">
      <c r="T49528" s="41"/>
    </row>
    <row r="49529" spans="20:20" s="566" customFormat="1">
      <c r="T49529" s="41"/>
    </row>
    <row r="49530" spans="20:20" s="566" customFormat="1">
      <c r="T49530" s="41"/>
    </row>
    <row r="49531" spans="20:20" s="566" customFormat="1">
      <c r="T49531" s="41"/>
    </row>
    <row r="49532" spans="20:20" s="566" customFormat="1">
      <c r="T49532" s="41"/>
    </row>
    <row r="49533" spans="20:20" s="566" customFormat="1">
      <c r="T49533" s="41"/>
    </row>
    <row r="49534" spans="20:20" s="566" customFormat="1">
      <c r="T49534" s="41"/>
    </row>
    <row r="49535" spans="20:20" s="566" customFormat="1">
      <c r="T49535" s="41"/>
    </row>
    <row r="49536" spans="20:20" s="566" customFormat="1">
      <c r="T49536" s="41"/>
    </row>
    <row r="49537" spans="20:20" s="566" customFormat="1">
      <c r="T49537" s="41"/>
    </row>
    <row r="49538" spans="20:20" s="566" customFormat="1">
      <c r="T49538" s="41"/>
    </row>
    <row r="49539" spans="20:20" s="566" customFormat="1">
      <c r="T49539" s="41"/>
    </row>
    <row r="49540" spans="20:20" s="566" customFormat="1">
      <c r="T49540" s="41"/>
    </row>
    <row r="49541" spans="20:20" s="566" customFormat="1">
      <c r="T49541" s="41"/>
    </row>
    <row r="49542" spans="20:20" s="566" customFormat="1">
      <c r="T49542" s="41"/>
    </row>
    <row r="49543" spans="20:20" s="566" customFormat="1">
      <c r="T49543" s="41"/>
    </row>
    <row r="49544" spans="20:20" s="566" customFormat="1">
      <c r="T49544" s="41"/>
    </row>
    <row r="49545" spans="20:20" s="566" customFormat="1">
      <c r="T49545" s="41"/>
    </row>
    <row r="49546" spans="20:20" s="566" customFormat="1">
      <c r="T49546" s="41"/>
    </row>
    <row r="49547" spans="20:20" s="566" customFormat="1">
      <c r="T49547" s="41"/>
    </row>
    <row r="49548" spans="20:20" s="566" customFormat="1">
      <c r="T49548" s="41"/>
    </row>
    <row r="49549" spans="20:20" s="566" customFormat="1">
      <c r="T49549" s="41"/>
    </row>
    <row r="49550" spans="20:20" s="566" customFormat="1">
      <c r="T49550" s="41"/>
    </row>
    <row r="49551" spans="20:20" s="566" customFormat="1">
      <c r="T49551" s="41"/>
    </row>
    <row r="49552" spans="20:20" s="566" customFormat="1">
      <c r="T49552" s="41"/>
    </row>
    <row r="49553" spans="20:20" s="566" customFormat="1">
      <c r="T49553" s="41"/>
    </row>
    <row r="49554" spans="20:20" s="566" customFormat="1">
      <c r="T49554" s="41"/>
    </row>
    <row r="49555" spans="20:20" s="566" customFormat="1">
      <c r="T49555" s="41"/>
    </row>
    <row r="49556" spans="20:20" s="566" customFormat="1">
      <c r="T49556" s="41"/>
    </row>
    <row r="49557" spans="20:20" s="566" customFormat="1">
      <c r="T49557" s="41"/>
    </row>
    <row r="49558" spans="20:20" s="566" customFormat="1">
      <c r="T49558" s="41"/>
    </row>
    <row r="49559" spans="20:20" s="566" customFormat="1">
      <c r="T49559" s="41"/>
    </row>
    <row r="49560" spans="20:20" s="566" customFormat="1">
      <c r="T49560" s="41"/>
    </row>
    <row r="49561" spans="20:20" s="566" customFormat="1">
      <c r="T49561" s="41"/>
    </row>
    <row r="49562" spans="20:20" s="566" customFormat="1">
      <c r="T49562" s="41"/>
    </row>
    <row r="49563" spans="20:20" s="566" customFormat="1">
      <c r="T49563" s="41"/>
    </row>
    <row r="49564" spans="20:20" s="566" customFormat="1">
      <c r="T49564" s="41"/>
    </row>
    <row r="49565" spans="20:20" s="566" customFormat="1">
      <c r="T49565" s="41"/>
    </row>
    <row r="49566" spans="20:20" s="566" customFormat="1">
      <c r="T49566" s="41"/>
    </row>
    <row r="49567" spans="20:20" s="566" customFormat="1">
      <c r="T49567" s="41"/>
    </row>
    <row r="49568" spans="20:20" s="566" customFormat="1">
      <c r="T49568" s="41"/>
    </row>
    <row r="49569" spans="20:20" s="566" customFormat="1">
      <c r="T49569" s="41"/>
    </row>
    <row r="49570" spans="20:20" s="566" customFormat="1">
      <c r="T49570" s="41"/>
    </row>
    <row r="49571" spans="20:20" s="566" customFormat="1">
      <c r="T49571" s="41"/>
    </row>
    <row r="49572" spans="20:20" s="566" customFormat="1">
      <c r="T49572" s="41"/>
    </row>
    <row r="49573" spans="20:20" s="566" customFormat="1">
      <c r="T49573" s="41"/>
    </row>
    <row r="49574" spans="20:20" s="566" customFormat="1">
      <c r="T49574" s="41"/>
    </row>
    <row r="49575" spans="20:20" s="566" customFormat="1">
      <c r="T49575" s="41"/>
    </row>
    <row r="49576" spans="20:20" s="566" customFormat="1">
      <c r="T49576" s="41"/>
    </row>
    <row r="49577" spans="20:20" s="566" customFormat="1">
      <c r="T49577" s="41"/>
    </row>
    <row r="49578" spans="20:20" s="566" customFormat="1">
      <c r="T49578" s="41"/>
    </row>
    <row r="49579" spans="20:20" s="566" customFormat="1">
      <c r="T49579" s="41"/>
    </row>
    <row r="49580" spans="20:20" s="566" customFormat="1">
      <c r="T49580" s="41"/>
    </row>
    <row r="49581" spans="20:20" s="566" customFormat="1">
      <c r="T49581" s="41"/>
    </row>
    <row r="49582" spans="20:20" s="566" customFormat="1">
      <c r="T49582" s="41"/>
    </row>
    <row r="49583" spans="20:20" s="566" customFormat="1">
      <c r="T49583" s="41"/>
    </row>
    <row r="49584" spans="20:20" s="566" customFormat="1">
      <c r="T49584" s="41"/>
    </row>
    <row r="49585" spans="20:20" s="566" customFormat="1">
      <c r="T49585" s="41"/>
    </row>
    <row r="49586" spans="20:20" s="566" customFormat="1">
      <c r="T49586" s="41"/>
    </row>
    <row r="49587" spans="20:20" s="566" customFormat="1">
      <c r="T49587" s="41"/>
    </row>
    <row r="49588" spans="20:20" s="566" customFormat="1">
      <c r="T49588" s="41"/>
    </row>
    <row r="49589" spans="20:20" s="566" customFormat="1">
      <c r="T49589" s="41"/>
    </row>
    <row r="49590" spans="20:20" s="566" customFormat="1">
      <c r="T49590" s="41"/>
    </row>
    <row r="49591" spans="20:20" s="566" customFormat="1">
      <c r="T49591" s="41"/>
    </row>
    <row r="49592" spans="20:20" s="566" customFormat="1">
      <c r="T49592" s="41"/>
    </row>
    <row r="49593" spans="20:20" s="566" customFormat="1">
      <c r="T49593" s="41"/>
    </row>
    <row r="49594" spans="20:20" s="566" customFormat="1">
      <c r="T49594" s="41"/>
    </row>
    <row r="49595" spans="20:20" s="566" customFormat="1">
      <c r="T49595" s="41"/>
    </row>
    <row r="49596" spans="20:20" s="566" customFormat="1">
      <c r="T49596" s="41"/>
    </row>
    <row r="49597" spans="20:20" s="566" customFormat="1">
      <c r="T49597" s="41"/>
    </row>
    <row r="49598" spans="20:20" s="566" customFormat="1">
      <c r="T49598" s="41"/>
    </row>
    <row r="49599" spans="20:20" s="566" customFormat="1">
      <c r="T49599" s="41"/>
    </row>
    <row r="49600" spans="20:20" s="566" customFormat="1">
      <c r="T49600" s="41"/>
    </row>
    <row r="49601" spans="20:20" s="566" customFormat="1">
      <c r="T49601" s="41"/>
    </row>
    <row r="49602" spans="20:20" s="566" customFormat="1">
      <c r="T49602" s="41"/>
    </row>
    <row r="49603" spans="20:20" s="566" customFormat="1">
      <c r="T49603" s="41"/>
    </row>
    <row r="49604" spans="20:20" s="566" customFormat="1">
      <c r="T49604" s="41"/>
    </row>
    <row r="49605" spans="20:20" s="566" customFormat="1">
      <c r="T49605" s="41"/>
    </row>
    <row r="49606" spans="20:20" s="566" customFormat="1">
      <c r="T49606" s="41"/>
    </row>
    <row r="49607" spans="20:20" s="566" customFormat="1">
      <c r="T49607" s="41"/>
    </row>
    <row r="49608" spans="20:20" s="566" customFormat="1">
      <c r="T49608" s="41"/>
    </row>
    <row r="49609" spans="20:20" s="566" customFormat="1">
      <c r="T49609" s="41"/>
    </row>
    <row r="49610" spans="20:20" s="566" customFormat="1">
      <c r="T49610" s="41"/>
    </row>
    <row r="49611" spans="20:20" s="566" customFormat="1">
      <c r="T49611" s="41"/>
    </row>
    <row r="49612" spans="20:20" s="566" customFormat="1">
      <c r="T49612" s="41"/>
    </row>
    <row r="49613" spans="20:20" s="566" customFormat="1">
      <c r="T49613" s="41"/>
    </row>
    <row r="49614" spans="20:20" s="566" customFormat="1">
      <c r="T49614" s="41"/>
    </row>
    <row r="49615" spans="20:20" s="566" customFormat="1">
      <c r="T49615" s="41"/>
    </row>
    <row r="49616" spans="20:20" s="566" customFormat="1">
      <c r="T49616" s="41"/>
    </row>
    <row r="49617" spans="20:20" s="566" customFormat="1">
      <c r="T49617" s="41"/>
    </row>
    <row r="49618" spans="20:20" s="566" customFormat="1">
      <c r="T49618" s="41"/>
    </row>
    <row r="49619" spans="20:20" s="566" customFormat="1">
      <c r="T49619" s="41"/>
    </row>
    <row r="49620" spans="20:20" s="566" customFormat="1">
      <c r="T49620" s="41"/>
    </row>
    <row r="49621" spans="20:20" s="566" customFormat="1">
      <c r="T49621" s="41"/>
    </row>
    <row r="49622" spans="20:20" s="566" customFormat="1">
      <c r="T49622" s="41"/>
    </row>
    <row r="49623" spans="20:20" s="566" customFormat="1">
      <c r="T49623" s="41"/>
    </row>
    <row r="49624" spans="20:20" s="566" customFormat="1">
      <c r="T49624" s="41"/>
    </row>
    <row r="49625" spans="20:20" s="566" customFormat="1">
      <c r="T49625" s="41"/>
    </row>
    <row r="49626" spans="20:20" s="566" customFormat="1">
      <c r="T49626" s="41"/>
    </row>
    <row r="49627" spans="20:20" s="566" customFormat="1">
      <c r="T49627" s="41"/>
    </row>
    <row r="49628" spans="20:20" s="566" customFormat="1">
      <c r="T49628" s="41"/>
    </row>
    <row r="49629" spans="20:20" s="566" customFormat="1">
      <c r="T49629" s="41"/>
    </row>
    <row r="49630" spans="20:20" s="566" customFormat="1">
      <c r="T49630" s="41"/>
    </row>
    <row r="49631" spans="20:20" s="566" customFormat="1">
      <c r="T49631" s="41"/>
    </row>
    <row r="49632" spans="20:20" s="566" customFormat="1">
      <c r="T49632" s="41"/>
    </row>
    <row r="49633" spans="20:20" s="566" customFormat="1">
      <c r="T49633" s="41"/>
    </row>
    <row r="49634" spans="20:20" s="566" customFormat="1">
      <c r="T49634" s="41"/>
    </row>
    <row r="49635" spans="20:20" s="566" customFormat="1">
      <c r="T49635" s="41"/>
    </row>
    <row r="49636" spans="20:20" s="566" customFormat="1">
      <c r="T49636" s="41"/>
    </row>
    <row r="49637" spans="20:20" s="566" customFormat="1">
      <c r="T49637" s="41"/>
    </row>
    <row r="49638" spans="20:20" s="566" customFormat="1">
      <c r="T49638" s="41"/>
    </row>
    <row r="49639" spans="20:20" s="566" customFormat="1">
      <c r="T49639" s="41"/>
    </row>
    <row r="49640" spans="20:20" s="566" customFormat="1">
      <c r="T49640" s="41"/>
    </row>
    <row r="49641" spans="20:20" s="566" customFormat="1">
      <c r="T49641" s="41"/>
    </row>
    <row r="49642" spans="20:20" s="566" customFormat="1">
      <c r="T49642" s="41"/>
    </row>
    <row r="49643" spans="20:20" s="566" customFormat="1">
      <c r="T49643" s="41"/>
    </row>
    <row r="49644" spans="20:20" s="566" customFormat="1">
      <c r="T49644" s="41"/>
    </row>
    <row r="49645" spans="20:20" s="566" customFormat="1">
      <c r="T49645" s="41"/>
    </row>
    <row r="49646" spans="20:20" s="566" customFormat="1">
      <c r="T49646" s="41"/>
    </row>
    <row r="49647" spans="20:20" s="566" customFormat="1">
      <c r="T49647" s="41"/>
    </row>
    <row r="49648" spans="20:20" s="566" customFormat="1">
      <c r="T49648" s="41"/>
    </row>
    <row r="49649" spans="20:20" s="566" customFormat="1">
      <c r="T49649" s="41"/>
    </row>
    <row r="49650" spans="20:20" s="566" customFormat="1">
      <c r="T49650" s="41"/>
    </row>
    <row r="49651" spans="20:20" s="566" customFormat="1">
      <c r="T49651" s="41"/>
    </row>
    <row r="49652" spans="20:20" s="566" customFormat="1">
      <c r="T49652" s="41"/>
    </row>
    <row r="49653" spans="20:20" s="566" customFormat="1">
      <c r="T49653" s="41"/>
    </row>
    <row r="49654" spans="20:20" s="566" customFormat="1">
      <c r="T49654" s="41"/>
    </row>
    <row r="49655" spans="20:20" s="566" customFormat="1">
      <c r="T49655" s="41"/>
    </row>
    <row r="49656" spans="20:20" s="566" customFormat="1">
      <c r="T49656" s="41"/>
    </row>
    <row r="49657" spans="20:20" s="566" customFormat="1">
      <c r="T49657" s="41"/>
    </row>
    <row r="49658" spans="20:20" s="566" customFormat="1">
      <c r="T49658" s="41"/>
    </row>
    <row r="49659" spans="20:20" s="566" customFormat="1">
      <c r="T49659" s="41"/>
    </row>
    <row r="49660" spans="20:20" s="566" customFormat="1">
      <c r="T49660" s="41"/>
    </row>
    <row r="49661" spans="20:20" s="566" customFormat="1">
      <c r="T49661" s="41"/>
    </row>
    <row r="49662" spans="20:20" s="566" customFormat="1">
      <c r="T49662" s="41"/>
    </row>
    <row r="49663" spans="20:20" s="566" customFormat="1">
      <c r="T49663" s="41"/>
    </row>
    <row r="49664" spans="20:20" s="566" customFormat="1">
      <c r="T49664" s="41"/>
    </row>
    <row r="49665" spans="20:20" s="566" customFormat="1">
      <c r="T49665" s="41"/>
    </row>
    <row r="49666" spans="20:20" s="566" customFormat="1">
      <c r="T49666" s="41"/>
    </row>
    <row r="49667" spans="20:20" s="566" customFormat="1">
      <c r="T49667" s="41"/>
    </row>
    <row r="49668" spans="20:20" s="566" customFormat="1">
      <c r="T49668" s="41"/>
    </row>
    <row r="49669" spans="20:20" s="566" customFormat="1">
      <c r="T49669" s="41"/>
    </row>
    <row r="49670" spans="20:20" s="566" customFormat="1">
      <c r="T49670" s="41"/>
    </row>
    <row r="49671" spans="20:20" s="566" customFormat="1">
      <c r="T49671" s="41"/>
    </row>
    <row r="49672" spans="20:20" s="566" customFormat="1">
      <c r="T49672" s="41"/>
    </row>
    <row r="49673" spans="20:20" s="566" customFormat="1">
      <c r="T49673" s="41"/>
    </row>
    <row r="49674" spans="20:20" s="566" customFormat="1">
      <c r="T49674" s="41"/>
    </row>
    <row r="49675" spans="20:20" s="566" customFormat="1">
      <c r="T49675" s="41"/>
    </row>
    <row r="49676" spans="20:20" s="566" customFormat="1">
      <c r="T49676" s="41"/>
    </row>
    <row r="49677" spans="20:20" s="566" customFormat="1">
      <c r="T49677" s="41"/>
    </row>
    <row r="49678" spans="20:20" s="566" customFormat="1">
      <c r="T49678" s="41"/>
    </row>
    <row r="49679" spans="20:20" s="566" customFormat="1">
      <c r="T49679" s="41"/>
    </row>
    <row r="49680" spans="20:20" s="566" customFormat="1">
      <c r="T49680" s="41"/>
    </row>
    <row r="49681" spans="20:20" s="566" customFormat="1">
      <c r="T49681" s="41"/>
    </row>
    <row r="49682" spans="20:20" s="566" customFormat="1">
      <c r="T49682" s="41"/>
    </row>
    <row r="49683" spans="20:20" s="566" customFormat="1">
      <c r="T49683" s="41"/>
    </row>
    <row r="49684" spans="20:20" s="566" customFormat="1">
      <c r="T49684" s="41"/>
    </row>
    <row r="49685" spans="20:20" s="566" customFormat="1">
      <c r="T49685" s="41"/>
    </row>
    <row r="49686" spans="20:20" s="566" customFormat="1">
      <c r="T49686" s="41"/>
    </row>
    <row r="49687" spans="20:20" s="566" customFormat="1">
      <c r="T49687" s="41"/>
    </row>
    <row r="49688" spans="20:20" s="566" customFormat="1">
      <c r="T49688" s="41"/>
    </row>
    <row r="49689" spans="20:20" s="566" customFormat="1">
      <c r="T49689" s="41"/>
    </row>
    <row r="49690" spans="20:20" s="566" customFormat="1">
      <c r="T49690" s="41"/>
    </row>
    <row r="49691" spans="20:20" s="566" customFormat="1">
      <c r="T49691" s="41"/>
    </row>
    <row r="49692" spans="20:20" s="566" customFormat="1">
      <c r="T49692" s="41"/>
    </row>
    <row r="49693" spans="20:20" s="566" customFormat="1">
      <c r="T49693" s="41"/>
    </row>
    <row r="49694" spans="20:20" s="566" customFormat="1">
      <c r="T49694" s="41"/>
    </row>
    <row r="49695" spans="20:20" s="566" customFormat="1">
      <c r="T49695" s="41"/>
    </row>
    <row r="49696" spans="20:20" s="566" customFormat="1">
      <c r="T49696" s="41"/>
    </row>
    <row r="49697" spans="20:20" s="566" customFormat="1">
      <c r="T49697" s="41"/>
    </row>
    <row r="49698" spans="20:20" s="566" customFormat="1">
      <c r="T49698" s="41"/>
    </row>
    <row r="49699" spans="20:20" s="566" customFormat="1">
      <c r="T49699" s="41"/>
    </row>
    <row r="49700" spans="20:20" s="566" customFormat="1">
      <c r="T49700" s="41"/>
    </row>
    <row r="49701" spans="20:20" s="566" customFormat="1">
      <c r="T49701" s="41"/>
    </row>
    <row r="49702" spans="20:20" s="566" customFormat="1">
      <c r="T49702" s="41"/>
    </row>
    <row r="49703" spans="20:20" s="566" customFormat="1">
      <c r="T49703" s="41"/>
    </row>
    <row r="49704" spans="20:20" s="566" customFormat="1">
      <c r="T49704" s="41"/>
    </row>
    <row r="49705" spans="20:20" s="566" customFormat="1">
      <c r="T49705" s="41"/>
    </row>
    <row r="49706" spans="20:20" s="566" customFormat="1">
      <c r="T49706" s="41"/>
    </row>
    <row r="49707" spans="20:20" s="566" customFormat="1">
      <c r="T49707" s="41"/>
    </row>
    <row r="49708" spans="20:20" s="566" customFormat="1">
      <c r="T49708" s="41"/>
    </row>
    <row r="49709" spans="20:20" s="566" customFormat="1">
      <c r="T49709" s="41"/>
    </row>
    <row r="49710" spans="20:20" s="566" customFormat="1">
      <c r="T49710" s="41"/>
    </row>
    <row r="49711" spans="20:20" s="566" customFormat="1">
      <c r="T49711" s="41"/>
    </row>
    <row r="49712" spans="20:20" s="566" customFormat="1">
      <c r="T49712" s="41"/>
    </row>
    <row r="49713" spans="20:20" s="566" customFormat="1">
      <c r="T49713" s="41"/>
    </row>
    <row r="49714" spans="20:20" s="566" customFormat="1">
      <c r="T49714" s="41"/>
    </row>
    <row r="49715" spans="20:20" s="566" customFormat="1">
      <c r="T49715" s="41"/>
    </row>
    <row r="49716" spans="20:20" s="566" customFormat="1">
      <c r="T49716" s="41"/>
    </row>
    <row r="49717" spans="20:20" s="566" customFormat="1">
      <c r="T49717" s="41"/>
    </row>
    <row r="49718" spans="20:20" s="566" customFormat="1">
      <c r="T49718" s="41"/>
    </row>
    <row r="49719" spans="20:20" s="566" customFormat="1">
      <c r="T49719" s="41"/>
    </row>
    <row r="49720" spans="20:20" s="566" customFormat="1">
      <c r="T49720" s="41"/>
    </row>
    <row r="49721" spans="20:20" s="566" customFormat="1">
      <c r="T49721" s="41"/>
    </row>
    <row r="49722" spans="20:20" s="566" customFormat="1">
      <c r="T49722" s="41"/>
    </row>
    <row r="49723" spans="20:20" s="566" customFormat="1">
      <c r="T49723" s="41"/>
    </row>
    <row r="49724" spans="20:20" s="566" customFormat="1">
      <c r="T49724" s="41"/>
    </row>
    <row r="49725" spans="20:20" s="566" customFormat="1">
      <c r="T49725" s="41"/>
    </row>
    <row r="49726" spans="20:20" s="566" customFormat="1">
      <c r="T49726" s="41"/>
    </row>
    <row r="49727" spans="20:20" s="566" customFormat="1">
      <c r="T49727" s="41"/>
    </row>
    <row r="49728" spans="20:20" s="566" customFormat="1">
      <c r="T49728" s="41"/>
    </row>
    <row r="49729" spans="20:20" s="566" customFormat="1">
      <c r="T49729" s="41"/>
    </row>
    <row r="49730" spans="20:20" s="566" customFormat="1">
      <c r="T49730" s="41"/>
    </row>
    <row r="49731" spans="20:20" s="566" customFormat="1">
      <c r="T49731" s="41"/>
    </row>
    <row r="49732" spans="20:20" s="566" customFormat="1">
      <c r="T49732" s="41"/>
    </row>
    <row r="49733" spans="20:20" s="566" customFormat="1">
      <c r="T49733" s="41"/>
    </row>
    <row r="49734" spans="20:20" s="566" customFormat="1">
      <c r="T49734" s="41"/>
    </row>
    <row r="49735" spans="20:20" s="566" customFormat="1">
      <c r="T49735" s="41"/>
    </row>
    <row r="49736" spans="20:20" s="566" customFormat="1">
      <c r="T49736" s="41"/>
    </row>
    <row r="49737" spans="20:20" s="566" customFormat="1">
      <c r="T49737" s="41"/>
    </row>
    <row r="49738" spans="20:20" s="566" customFormat="1">
      <c r="T49738" s="41"/>
    </row>
    <row r="49739" spans="20:20" s="566" customFormat="1">
      <c r="T49739" s="41"/>
    </row>
    <row r="49740" spans="20:20" s="566" customFormat="1">
      <c r="T49740" s="41"/>
    </row>
    <row r="49741" spans="20:20" s="566" customFormat="1">
      <c r="T49741" s="41"/>
    </row>
    <row r="49742" spans="20:20" s="566" customFormat="1">
      <c r="T49742" s="41"/>
    </row>
    <row r="49743" spans="20:20" s="566" customFormat="1">
      <c r="T49743" s="41"/>
    </row>
    <row r="49744" spans="20:20" s="566" customFormat="1">
      <c r="T49744" s="41"/>
    </row>
    <row r="49745" spans="20:20" s="566" customFormat="1">
      <c r="T49745" s="41"/>
    </row>
    <row r="49746" spans="20:20" s="566" customFormat="1">
      <c r="T49746" s="41"/>
    </row>
    <row r="49747" spans="20:20" s="566" customFormat="1">
      <c r="T49747" s="41"/>
    </row>
    <row r="49748" spans="20:20" s="566" customFormat="1">
      <c r="T49748" s="41"/>
    </row>
    <row r="49749" spans="20:20" s="566" customFormat="1">
      <c r="T49749" s="41"/>
    </row>
    <row r="49750" spans="20:20" s="566" customFormat="1">
      <c r="T49750" s="41"/>
    </row>
    <row r="49751" spans="20:20" s="566" customFormat="1">
      <c r="T49751" s="41"/>
    </row>
    <row r="49752" spans="20:20" s="566" customFormat="1">
      <c r="T49752" s="41"/>
    </row>
    <row r="49753" spans="20:20" s="566" customFormat="1">
      <c r="T49753" s="41"/>
    </row>
    <row r="49754" spans="20:20" s="566" customFormat="1">
      <c r="T49754" s="41"/>
    </row>
    <row r="49755" spans="20:20" s="566" customFormat="1">
      <c r="T49755" s="41"/>
    </row>
    <row r="49756" spans="20:20" s="566" customFormat="1">
      <c r="T49756" s="41"/>
    </row>
    <row r="49757" spans="20:20" s="566" customFormat="1">
      <c r="T49757" s="41"/>
    </row>
    <row r="49758" spans="20:20" s="566" customFormat="1">
      <c r="T49758" s="41"/>
    </row>
    <row r="49759" spans="20:20" s="566" customFormat="1">
      <c r="T49759" s="41"/>
    </row>
    <row r="49760" spans="20:20" s="566" customFormat="1">
      <c r="T49760" s="41"/>
    </row>
    <row r="49761" spans="20:20" s="566" customFormat="1">
      <c r="T49761" s="41"/>
    </row>
    <row r="49762" spans="20:20" s="566" customFormat="1">
      <c r="T49762" s="41"/>
    </row>
    <row r="49763" spans="20:20" s="566" customFormat="1">
      <c r="T49763" s="41"/>
    </row>
    <row r="49764" spans="20:20" s="566" customFormat="1">
      <c r="T49764" s="41"/>
    </row>
    <row r="49765" spans="20:20" s="566" customFormat="1">
      <c r="T49765" s="41"/>
    </row>
    <row r="49766" spans="20:20" s="566" customFormat="1">
      <c r="T49766" s="41"/>
    </row>
    <row r="49767" spans="20:20" s="566" customFormat="1">
      <c r="T49767" s="41"/>
    </row>
    <row r="49768" spans="20:20" s="566" customFormat="1">
      <c r="T49768" s="41"/>
    </row>
    <row r="49769" spans="20:20" s="566" customFormat="1">
      <c r="T49769" s="41"/>
    </row>
    <row r="49770" spans="20:20" s="566" customFormat="1">
      <c r="T49770" s="41"/>
    </row>
    <row r="49771" spans="20:20" s="566" customFormat="1">
      <c r="T49771" s="41"/>
    </row>
    <row r="49772" spans="20:20" s="566" customFormat="1">
      <c r="T49772" s="41"/>
    </row>
    <row r="49773" spans="20:20" s="566" customFormat="1">
      <c r="T49773" s="41"/>
    </row>
    <row r="49774" spans="20:20" s="566" customFormat="1">
      <c r="T49774" s="41"/>
    </row>
    <row r="49775" spans="20:20" s="566" customFormat="1">
      <c r="T49775" s="41"/>
    </row>
    <row r="49776" spans="20:20" s="566" customFormat="1">
      <c r="T49776" s="41"/>
    </row>
    <row r="49777" spans="20:20" s="566" customFormat="1">
      <c r="T49777" s="41"/>
    </row>
    <row r="49778" spans="20:20" s="566" customFormat="1">
      <c r="T49778" s="41"/>
    </row>
    <row r="49779" spans="20:20" s="566" customFormat="1">
      <c r="T49779" s="41"/>
    </row>
    <row r="49780" spans="20:20" s="566" customFormat="1">
      <c r="T49780" s="41"/>
    </row>
    <row r="49781" spans="20:20" s="566" customFormat="1">
      <c r="T49781" s="41"/>
    </row>
    <row r="49782" spans="20:20" s="566" customFormat="1">
      <c r="T49782" s="41"/>
    </row>
    <row r="49783" spans="20:20" s="566" customFormat="1">
      <c r="T49783" s="41"/>
    </row>
    <row r="49784" spans="20:20" s="566" customFormat="1">
      <c r="T49784" s="41"/>
    </row>
    <row r="49785" spans="20:20" s="566" customFormat="1">
      <c r="T49785" s="41"/>
    </row>
    <row r="49786" spans="20:20" s="566" customFormat="1">
      <c r="T49786" s="41"/>
    </row>
    <row r="49787" spans="20:20" s="566" customFormat="1">
      <c r="T49787" s="41"/>
    </row>
    <row r="49788" spans="20:20" s="566" customFormat="1">
      <c r="T49788" s="41"/>
    </row>
    <row r="49789" spans="20:20" s="566" customFormat="1">
      <c r="T49789" s="41"/>
    </row>
    <row r="49790" spans="20:20" s="566" customFormat="1">
      <c r="T49790" s="41"/>
    </row>
    <row r="49791" spans="20:20" s="566" customFormat="1">
      <c r="T49791" s="41"/>
    </row>
    <row r="49792" spans="20:20" s="566" customFormat="1">
      <c r="T49792" s="41"/>
    </row>
    <row r="49793" spans="20:20" s="566" customFormat="1">
      <c r="T49793" s="41"/>
    </row>
    <row r="49794" spans="20:20" s="566" customFormat="1">
      <c r="T49794" s="41"/>
    </row>
    <row r="49795" spans="20:20" s="566" customFormat="1">
      <c r="T49795" s="41"/>
    </row>
    <row r="49796" spans="20:20" s="566" customFormat="1">
      <c r="T49796" s="41"/>
    </row>
    <row r="49797" spans="20:20" s="566" customFormat="1">
      <c r="T49797" s="41"/>
    </row>
    <row r="49798" spans="20:20" s="566" customFormat="1">
      <c r="T49798" s="41"/>
    </row>
    <row r="49799" spans="20:20" s="566" customFormat="1">
      <c r="T49799" s="41"/>
    </row>
    <row r="49800" spans="20:20" s="566" customFormat="1">
      <c r="T49800" s="41"/>
    </row>
    <row r="49801" spans="20:20" s="566" customFormat="1">
      <c r="T49801" s="41"/>
    </row>
    <row r="49802" spans="20:20" s="566" customFormat="1">
      <c r="T49802" s="41"/>
    </row>
    <row r="49803" spans="20:20" s="566" customFormat="1">
      <c r="T49803" s="41"/>
    </row>
    <row r="49804" spans="20:20" s="566" customFormat="1">
      <c r="T49804" s="41"/>
    </row>
    <row r="49805" spans="20:20" s="566" customFormat="1">
      <c r="T49805" s="41"/>
    </row>
    <row r="49806" spans="20:20" s="566" customFormat="1">
      <c r="T49806" s="41"/>
    </row>
    <row r="49807" spans="20:20" s="566" customFormat="1">
      <c r="T49807" s="41"/>
    </row>
    <row r="49808" spans="20:20" s="566" customFormat="1">
      <c r="T49808" s="41"/>
    </row>
    <row r="49809" spans="20:20" s="566" customFormat="1">
      <c r="T49809" s="41"/>
    </row>
    <row r="49810" spans="20:20" s="566" customFormat="1">
      <c r="T49810" s="41"/>
    </row>
    <row r="49811" spans="20:20" s="566" customFormat="1">
      <c r="T49811" s="41"/>
    </row>
    <row r="49812" spans="20:20" s="566" customFormat="1">
      <c r="T49812" s="41"/>
    </row>
    <row r="49813" spans="20:20" s="566" customFormat="1">
      <c r="T49813" s="41"/>
    </row>
    <row r="49814" spans="20:20" s="566" customFormat="1">
      <c r="T49814" s="41"/>
    </row>
    <row r="49815" spans="20:20" s="566" customFormat="1">
      <c r="T49815" s="41"/>
    </row>
    <row r="49816" spans="20:20" s="566" customFormat="1">
      <c r="T49816" s="41"/>
    </row>
    <row r="49817" spans="20:20" s="566" customFormat="1">
      <c r="T49817" s="41"/>
    </row>
    <row r="49818" spans="20:20" s="566" customFormat="1">
      <c r="T49818" s="41"/>
    </row>
    <row r="49819" spans="20:20" s="566" customFormat="1">
      <c r="T49819" s="41"/>
    </row>
    <row r="49820" spans="20:20" s="566" customFormat="1">
      <c r="T49820" s="41"/>
    </row>
    <row r="49821" spans="20:20" s="566" customFormat="1">
      <c r="T49821" s="41"/>
    </row>
    <row r="49822" spans="20:20" s="566" customFormat="1">
      <c r="T49822" s="41"/>
    </row>
    <row r="49823" spans="20:20" s="566" customFormat="1">
      <c r="T49823" s="41"/>
    </row>
    <row r="49824" spans="20:20" s="566" customFormat="1">
      <c r="T49824" s="41"/>
    </row>
    <row r="49825" spans="20:20" s="566" customFormat="1">
      <c r="T49825" s="41"/>
    </row>
    <row r="49826" spans="20:20" s="566" customFormat="1">
      <c r="T49826" s="41"/>
    </row>
    <row r="49827" spans="20:20" s="566" customFormat="1">
      <c r="T49827" s="41"/>
    </row>
    <row r="49828" spans="20:20" s="566" customFormat="1">
      <c r="T49828" s="41"/>
    </row>
    <row r="49829" spans="20:20" s="566" customFormat="1">
      <c r="T49829" s="41"/>
    </row>
    <row r="49830" spans="20:20" s="566" customFormat="1">
      <c r="T49830" s="41"/>
    </row>
    <row r="49831" spans="20:20" s="566" customFormat="1">
      <c r="T49831" s="41"/>
    </row>
    <row r="49832" spans="20:20" s="566" customFormat="1">
      <c r="T49832" s="41"/>
    </row>
    <row r="49833" spans="20:20" s="566" customFormat="1">
      <c r="T49833" s="41"/>
    </row>
    <row r="49834" spans="20:20" s="566" customFormat="1">
      <c r="T49834" s="41"/>
    </row>
    <row r="49835" spans="20:20" s="566" customFormat="1">
      <c r="T49835" s="41"/>
    </row>
    <row r="49836" spans="20:20" s="566" customFormat="1">
      <c r="T49836" s="41"/>
    </row>
    <row r="49837" spans="20:20" s="566" customFormat="1">
      <c r="T49837" s="41"/>
    </row>
    <row r="49838" spans="20:20" s="566" customFormat="1">
      <c r="T49838" s="41"/>
    </row>
    <row r="49839" spans="20:20" s="566" customFormat="1">
      <c r="T49839" s="41"/>
    </row>
    <row r="49840" spans="20:20" s="566" customFormat="1">
      <c r="T49840" s="41"/>
    </row>
    <row r="49841" spans="20:20" s="566" customFormat="1">
      <c r="T49841" s="41"/>
    </row>
    <row r="49842" spans="20:20" s="566" customFormat="1">
      <c r="T49842" s="41"/>
    </row>
    <row r="49843" spans="20:20" s="566" customFormat="1">
      <c r="T49843" s="41"/>
    </row>
    <row r="49844" spans="20:20" s="566" customFormat="1">
      <c r="T49844" s="41"/>
    </row>
    <row r="49845" spans="20:20" s="566" customFormat="1">
      <c r="T49845" s="41"/>
    </row>
    <row r="49846" spans="20:20" s="566" customFormat="1">
      <c r="T49846" s="41"/>
    </row>
    <row r="49847" spans="20:20" s="566" customFormat="1">
      <c r="T49847" s="41"/>
    </row>
    <row r="49848" spans="20:20" s="566" customFormat="1">
      <c r="T49848" s="41"/>
    </row>
    <row r="49849" spans="20:20" s="566" customFormat="1">
      <c r="T49849" s="41"/>
    </row>
    <row r="49850" spans="20:20" s="566" customFormat="1">
      <c r="T49850" s="41"/>
    </row>
    <row r="49851" spans="20:20" s="566" customFormat="1">
      <c r="T49851" s="41"/>
    </row>
    <row r="49852" spans="20:20" s="566" customFormat="1">
      <c r="T49852" s="41"/>
    </row>
    <row r="49853" spans="20:20" s="566" customFormat="1">
      <c r="T49853" s="41"/>
    </row>
    <row r="49854" spans="20:20" s="566" customFormat="1">
      <c r="T49854" s="41"/>
    </row>
    <row r="49855" spans="20:20" s="566" customFormat="1">
      <c r="T49855" s="41"/>
    </row>
    <row r="49856" spans="20:20" s="566" customFormat="1">
      <c r="T49856" s="41"/>
    </row>
    <row r="49857" spans="20:20" s="566" customFormat="1">
      <c r="T49857" s="41"/>
    </row>
    <row r="49858" spans="20:20" s="566" customFormat="1">
      <c r="T49858" s="41"/>
    </row>
    <row r="49859" spans="20:20" s="566" customFormat="1">
      <c r="T49859" s="41"/>
    </row>
    <row r="49860" spans="20:20" s="566" customFormat="1">
      <c r="T49860" s="41"/>
    </row>
    <row r="49861" spans="20:20" s="566" customFormat="1">
      <c r="T49861" s="41"/>
    </row>
    <row r="49862" spans="20:20" s="566" customFormat="1">
      <c r="T49862" s="41"/>
    </row>
    <row r="49863" spans="20:20" s="566" customFormat="1">
      <c r="T49863" s="41"/>
    </row>
    <row r="49864" spans="20:20" s="566" customFormat="1">
      <c r="T49864" s="41"/>
    </row>
    <row r="49865" spans="20:20" s="566" customFormat="1">
      <c r="T49865" s="41"/>
    </row>
    <row r="49866" spans="20:20" s="566" customFormat="1">
      <c r="T49866" s="41"/>
    </row>
    <row r="49867" spans="20:20" s="566" customFormat="1">
      <c r="T49867" s="41"/>
    </row>
    <row r="49868" spans="20:20" s="566" customFormat="1">
      <c r="T49868" s="41"/>
    </row>
    <row r="49869" spans="20:20" s="566" customFormat="1">
      <c r="T49869" s="41"/>
    </row>
    <row r="49870" spans="20:20" s="566" customFormat="1">
      <c r="T49870" s="41"/>
    </row>
    <row r="49871" spans="20:20" s="566" customFormat="1">
      <c r="T49871" s="41"/>
    </row>
    <row r="49872" spans="20:20" s="566" customFormat="1">
      <c r="T49872" s="41"/>
    </row>
    <row r="49873" spans="20:20" s="566" customFormat="1">
      <c r="T49873" s="41"/>
    </row>
    <row r="49874" spans="20:20" s="566" customFormat="1">
      <c r="T49874" s="41"/>
    </row>
    <row r="49875" spans="20:20" s="566" customFormat="1">
      <c r="T49875" s="41"/>
    </row>
    <row r="49876" spans="20:20" s="566" customFormat="1">
      <c r="T49876" s="41"/>
    </row>
    <row r="49877" spans="20:20" s="566" customFormat="1">
      <c r="T49877" s="41"/>
    </row>
    <row r="49878" spans="20:20" s="566" customFormat="1">
      <c r="T49878" s="41"/>
    </row>
    <row r="49879" spans="20:20" s="566" customFormat="1">
      <c r="T49879" s="41"/>
    </row>
    <row r="49880" spans="20:20" s="566" customFormat="1">
      <c r="T49880" s="41"/>
    </row>
    <row r="49881" spans="20:20" s="566" customFormat="1">
      <c r="T49881" s="41"/>
    </row>
    <row r="49882" spans="20:20" s="566" customFormat="1">
      <c r="T49882" s="41"/>
    </row>
    <row r="49883" spans="20:20" s="566" customFormat="1">
      <c r="T49883" s="41"/>
    </row>
    <row r="49884" spans="20:20" s="566" customFormat="1">
      <c r="T49884" s="41"/>
    </row>
    <row r="49885" spans="20:20" s="566" customFormat="1">
      <c r="T49885" s="41"/>
    </row>
    <row r="49886" spans="20:20" s="566" customFormat="1">
      <c r="T49886" s="41"/>
    </row>
    <row r="49887" spans="20:20" s="566" customFormat="1">
      <c r="T49887" s="41"/>
    </row>
    <row r="49888" spans="20:20" s="566" customFormat="1">
      <c r="T49888" s="41"/>
    </row>
    <row r="49889" spans="20:20" s="566" customFormat="1">
      <c r="T49889" s="41"/>
    </row>
    <row r="49890" spans="20:20" s="566" customFormat="1">
      <c r="T49890" s="41"/>
    </row>
    <row r="49891" spans="20:20" s="566" customFormat="1">
      <c r="T49891" s="41"/>
    </row>
    <row r="49892" spans="20:20" s="566" customFormat="1">
      <c r="T49892" s="41"/>
    </row>
    <row r="49893" spans="20:20" s="566" customFormat="1">
      <c r="T49893" s="41"/>
    </row>
    <row r="49894" spans="20:20" s="566" customFormat="1">
      <c r="T49894" s="41"/>
    </row>
    <row r="49895" spans="20:20" s="566" customFormat="1">
      <c r="T49895" s="41"/>
    </row>
    <row r="49896" spans="20:20" s="566" customFormat="1">
      <c r="T49896" s="41"/>
    </row>
    <row r="49897" spans="20:20" s="566" customFormat="1">
      <c r="T49897" s="41"/>
    </row>
    <row r="49898" spans="20:20" s="566" customFormat="1">
      <c r="T49898" s="41"/>
    </row>
    <row r="49899" spans="20:20" s="566" customFormat="1">
      <c r="T49899" s="41"/>
    </row>
    <row r="49900" spans="20:20" s="566" customFormat="1">
      <c r="T49900" s="41"/>
    </row>
    <row r="49901" spans="20:20" s="566" customFormat="1">
      <c r="T49901" s="41"/>
    </row>
    <row r="49902" spans="20:20" s="566" customFormat="1">
      <c r="T49902" s="41"/>
    </row>
    <row r="49903" spans="20:20" s="566" customFormat="1">
      <c r="T49903" s="41"/>
    </row>
    <row r="49904" spans="20:20" s="566" customFormat="1">
      <c r="T49904" s="41"/>
    </row>
    <row r="49905" spans="20:20" s="566" customFormat="1">
      <c r="T49905" s="41"/>
    </row>
    <row r="49906" spans="20:20" s="566" customFormat="1">
      <c r="T49906" s="41"/>
    </row>
    <row r="49907" spans="20:20" s="566" customFormat="1">
      <c r="T49907" s="41"/>
    </row>
    <row r="49908" spans="20:20" s="566" customFormat="1">
      <c r="T49908" s="41"/>
    </row>
    <row r="49909" spans="20:20" s="566" customFormat="1">
      <c r="T49909" s="41"/>
    </row>
    <row r="49910" spans="20:20" s="566" customFormat="1">
      <c r="T49910" s="41"/>
    </row>
    <row r="49911" spans="20:20" s="566" customFormat="1">
      <c r="T49911" s="41"/>
    </row>
    <row r="49912" spans="20:20" s="566" customFormat="1">
      <c r="T49912" s="41"/>
    </row>
    <row r="49913" spans="20:20" s="566" customFormat="1">
      <c r="T49913" s="41"/>
    </row>
    <row r="49914" spans="20:20" s="566" customFormat="1">
      <c r="T49914" s="41"/>
    </row>
    <row r="49915" spans="20:20" s="566" customFormat="1">
      <c r="T49915" s="41"/>
    </row>
    <row r="49916" spans="20:20" s="566" customFormat="1">
      <c r="T49916" s="41"/>
    </row>
    <row r="49917" spans="20:20" s="566" customFormat="1">
      <c r="T49917" s="41"/>
    </row>
    <row r="49918" spans="20:20" s="566" customFormat="1">
      <c r="T49918" s="41"/>
    </row>
    <row r="49919" spans="20:20" s="566" customFormat="1">
      <c r="T49919" s="41"/>
    </row>
    <row r="49920" spans="20:20" s="566" customFormat="1">
      <c r="T49920" s="41"/>
    </row>
    <row r="49921" spans="20:20" s="566" customFormat="1">
      <c r="T49921" s="41"/>
    </row>
    <row r="49922" spans="20:20" s="566" customFormat="1">
      <c r="T49922" s="41"/>
    </row>
    <row r="49923" spans="20:20" s="566" customFormat="1">
      <c r="T49923" s="41"/>
    </row>
    <row r="49924" spans="20:20" s="566" customFormat="1">
      <c r="T49924" s="41"/>
    </row>
    <row r="49925" spans="20:20" s="566" customFormat="1">
      <c r="T49925" s="41"/>
    </row>
    <row r="49926" spans="20:20" s="566" customFormat="1">
      <c r="T49926" s="41"/>
    </row>
    <row r="49927" spans="20:20" s="566" customFormat="1">
      <c r="T49927" s="41"/>
    </row>
    <row r="49928" spans="20:20" s="566" customFormat="1">
      <c r="T49928" s="41"/>
    </row>
    <row r="49929" spans="20:20" s="566" customFormat="1">
      <c r="T49929" s="41"/>
    </row>
    <row r="49930" spans="20:20" s="566" customFormat="1">
      <c r="T49930" s="41"/>
    </row>
    <row r="49931" spans="20:20" s="566" customFormat="1">
      <c r="T49931" s="41"/>
    </row>
    <row r="49932" spans="20:20" s="566" customFormat="1">
      <c r="T49932" s="41"/>
    </row>
    <row r="49933" spans="20:20" s="566" customFormat="1">
      <c r="T49933" s="41"/>
    </row>
    <row r="49934" spans="20:20" s="566" customFormat="1">
      <c r="T49934" s="41"/>
    </row>
    <row r="49935" spans="20:20" s="566" customFormat="1">
      <c r="T49935" s="41"/>
    </row>
    <row r="49936" spans="20:20" s="566" customFormat="1">
      <c r="T49936" s="41"/>
    </row>
    <row r="49937" spans="20:20" s="566" customFormat="1">
      <c r="T49937" s="41"/>
    </row>
    <row r="49938" spans="20:20" s="566" customFormat="1">
      <c r="T49938" s="41"/>
    </row>
    <row r="49939" spans="20:20" s="566" customFormat="1">
      <c r="T49939" s="41"/>
    </row>
    <row r="49940" spans="20:20" s="566" customFormat="1">
      <c r="T49940" s="41"/>
    </row>
    <row r="49941" spans="20:20" s="566" customFormat="1">
      <c r="T49941" s="41"/>
    </row>
    <row r="49942" spans="20:20" s="566" customFormat="1">
      <c r="T49942" s="41"/>
    </row>
    <row r="49943" spans="20:20" s="566" customFormat="1">
      <c r="T49943" s="41"/>
    </row>
    <row r="49944" spans="20:20" s="566" customFormat="1">
      <c r="T49944" s="41"/>
    </row>
    <row r="49945" spans="20:20" s="566" customFormat="1">
      <c r="T49945" s="41"/>
    </row>
    <row r="49946" spans="20:20" s="566" customFormat="1">
      <c r="T49946" s="41"/>
    </row>
    <row r="49947" spans="20:20" s="566" customFormat="1">
      <c r="T49947" s="41"/>
    </row>
    <row r="49948" spans="20:20" s="566" customFormat="1">
      <c r="T49948" s="41"/>
    </row>
    <row r="49949" spans="20:20" s="566" customFormat="1">
      <c r="T49949" s="41"/>
    </row>
    <row r="49950" spans="20:20" s="566" customFormat="1">
      <c r="T49950" s="41"/>
    </row>
    <row r="49951" spans="20:20" s="566" customFormat="1">
      <c r="T49951" s="41"/>
    </row>
    <row r="49952" spans="20:20" s="566" customFormat="1">
      <c r="T49952" s="41"/>
    </row>
    <row r="49953" spans="20:20" s="566" customFormat="1">
      <c r="T49953" s="41"/>
    </row>
    <row r="49954" spans="20:20" s="566" customFormat="1">
      <c r="T49954" s="41"/>
    </row>
    <row r="49955" spans="20:20" s="566" customFormat="1">
      <c r="T49955" s="41"/>
    </row>
    <row r="49956" spans="20:20" s="566" customFormat="1">
      <c r="T49956" s="41"/>
    </row>
    <row r="49957" spans="20:20" s="566" customFormat="1">
      <c r="T49957" s="41"/>
    </row>
    <row r="49958" spans="20:20" s="566" customFormat="1">
      <c r="T49958" s="41"/>
    </row>
    <row r="49959" spans="20:20" s="566" customFormat="1">
      <c r="T49959" s="41"/>
    </row>
    <row r="49960" spans="20:20" s="566" customFormat="1">
      <c r="T49960" s="41"/>
    </row>
    <row r="49961" spans="20:20" s="566" customFormat="1">
      <c r="T49961" s="41"/>
    </row>
    <row r="49962" spans="20:20" s="566" customFormat="1">
      <c r="T49962" s="41"/>
    </row>
    <row r="49963" spans="20:20" s="566" customFormat="1">
      <c r="T49963" s="41"/>
    </row>
    <row r="49964" spans="20:20" s="566" customFormat="1">
      <c r="T49964" s="41"/>
    </row>
    <row r="49965" spans="20:20" s="566" customFormat="1">
      <c r="T49965" s="41"/>
    </row>
    <row r="49966" spans="20:20" s="566" customFormat="1">
      <c r="T49966" s="41"/>
    </row>
    <row r="49967" spans="20:20" s="566" customFormat="1">
      <c r="T49967" s="41"/>
    </row>
    <row r="49968" spans="20:20" s="566" customFormat="1">
      <c r="T49968" s="41"/>
    </row>
    <row r="49969" spans="20:20" s="566" customFormat="1">
      <c r="T49969" s="41"/>
    </row>
    <row r="49970" spans="20:20" s="566" customFormat="1">
      <c r="T49970" s="41"/>
    </row>
    <row r="49971" spans="20:20" s="566" customFormat="1">
      <c r="T49971" s="41"/>
    </row>
    <row r="49972" spans="20:20" s="566" customFormat="1">
      <c r="T49972" s="41"/>
    </row>
    <row r="49973" spans="20:20" s="566" customFormat="1">
      <c r="T49973" s="41"/>
    </row>
    <row r="49974" spans="20:20" s="566" customFormat="1">
      <c r="T49974" s="41"/>
    </row>
    <row r="49975" spans="20:20" s="566" customFormat="1">
      <c r="T49975" s="41"/>
    </row>
    <row r="49976" spans="20:20" s="566" customFormat="1">
      <c r="T49976" s="41"/>
    </row>
    <row r="49977" spans="20:20" s="566" customFormat="1">
      <c r="T49977" s="41"/>
    </row>
    <row r="49978" spans="20:20" s="566" customFormat="1">
      <c r="T49978" s="41"/>
    </row>
    <row r="49979" spans="20:20" s="566" customFormat="1">
      <c r="T49979" s="41"/>
    </row>
    <row r="49980" spans="20:20" s="566" customFormat="1">
      <c r="T49980" s="41"/>
    </row>
    <row r="49981" spans="20:20" s="566" customFormat="1">
      <c r="T49981" s="41"/>
    </row>
    <row r="49982" spans="20:20" s="566" customFormat="1">
      <c r="T49982" s="41"/>
    </row>
    <row r="49983" spans="20:20" s="566" customFormat="1">
      <c r="T49983" s="41"/>
    </row>
    <row r="49984" spans="20:20" s="566" customFormat="1">
      <c r="T49984" s="41"/>
    </row>
    <row r="49985" spans="20:20" s="566" customFormat="1">
      <c r="T49985" s="41"/>
    </row>
    <row r="49986" spans="20:20" s="566" customFormat="1">
      <c r="T49986" s="41"/>
    </row>
    <row r="49987" spans="20:20" s="566" customFormat="1">
      <c r="T49987" s="41"/>
    </row>
    <row r="49988" spans="20:20" s="566" customFormat="1">
      <c r="T49988" s="41"/>
    </row>
    <row r="49989" spans="20:20" s="566" customFormat="1">
      <c r="T49989" s="41"/>
    </row>
    <row r="49990" spans="20:20" s="566" customFormat="1">
      <c r="T49990" s="41"/>
    </row>
    <row r="49991" spans="20:20" s="566" customFormat="1">
      <c r="T49991" s="41"/>
    </row>
    <row r="49992" spans="20:20" s="566" customFormat="1">
      <c r="T49992" s="41"/>
    </row>
    <row r="49993" spans="20:20" s="566" customFormat="1">
      <c r="T49993" s="41"/>
    </row>
    <row r="49994" spans="20:20" s="566" customFormat="1">
      <c r="T49994" s="41"/>
    </row>
    <row r="49995" spans="20:20" s="566" customFormat="1">
      <c r="T49995" s="41"/>
    </row>
    <row r="49996" spans="20:20" s="566" customFormat="1">
      <c r="T49996" s="41"/>
    </row>
    <row r="49997" spans="20:20" s="566" customFormat="1">
      <c r="T49997" s="41"/>
    </row>
    <row r="49998" spans="20:20" s="566" customFormat="1">
      <c r="T49998" s="41"/>
    </row>
    <row r="49999" spans="20:20" s="566" customFormat="1">
      <c r="T49999" s="41"/>
    </row>
    <row r="50000" spans="20:20" s="566" customFormat="1">
      <c r="T50000" s="41"/>
    </row>
    <row r="50001" spans="20:20" s="566" customFormat="1">
      <c r="T50001" s="41"/>
    </row>
    <row r="50002" spans="20:20" s="566" customFormat="1">
      <c r="T50002" s="41"/>
    </row>
    <row r="50003" spans="20:20" s="566" customFormat="1">
      <c r="T50003" s="41"/>
    </row>
    <row r="50004" spans="20:20" s="566" customFormat="1">
      <c r="T50004" s="41"/>
    </row>
    <row r="50005" spans="20:20" s="566" customFormat="1">
      <c r="T50005" s="41"/>
    </row>
    <row r="50006" spans="20:20" s="566" customFormat="1">
      <c r="T50006" s="41"/>
    </row>
    <row r="50007" spans="20:20" s="566" customFormat="1">
      <c r="T50007" s="41"/>
    </row>
    <row r="50008" spans="20:20" s="566" customFormat="1">
      <c r="T50008" s="41"/>
    </row>
    <row r="50009" spans="20:20" s="566" customFormat="1">
      <c r="T50009" s="41"/>
    </row>
    <row r="50010" spans="20:20" s="566" customFormat="1">
      <c r="T50010" s="41"/>
    </row>
    <row r="50011" spans="20:20" s="566" customFormat="1">
      <c r="T50011" s="41"/>
    </row>
    <row r="50012" spans="20:20" s="566" customFormat="1">
      <c r="T50012" s="41"/>
    </row>
    <row r="50013" spans="20:20" s="566" customFormat="1">
      <c r="T50013" s="41"/>
    </row>
    <row r="50014" spans="20:20" s="566" customFormat="1">
      <c r="T50014" s="41"/>
    </row>
    <row r="50015" spans="20:20" s="566" customFormat="1">
      <c r="T50015" s="41"/>
    </row>
    <row r="50016" spans="20:20" s="566" customFormat="1">
      <c r="T50016" s="41"/>
    </row>
    <row r="50017" spans="20:20" s="566" customFormat="1">
      <c r="T50017" s="41"/>
    </row>
    <row r="50018" spans="20:20" s="566" customFormat="1">
      <c r="T50018" s="41"/>
    </row>
    <row r="50019" spans="20:20" s="566" customFormat="1">
      <c r="T50019" s="41"/>
    </row>
    <row r="50020" spans="20:20" s="566" customFormat="1">
      <c r="T50020" s="41"/>
    </row>
    <row r="50021" spans="20:20" s="566" customFormat="1">
      <c r="T50021" s="41"/>
    </row>
    <row r="50022" spans="20:20" s="566" customFormat="1">
      <c r="T50022" s="41"/>
    </row>
    <row r="50023" spans="20:20" s="566" customFormat="1">
      <c r="T50023" s="41"/>
    </row>
    <row r="50024" spans="20:20" s="566" customFormat="1">
      <c r="T50024" s="41"/>
    </row>
    <row r="50025" spans="20:20" s="566" customFormat="1">
      <c r="T50025" s="41"/>
    </row>
    <row r="50026" spans="20:20" s="566" customFormat="1">
      <c r="T50026" s="41"/>
    </row>
    <row r="50027" spans="20:20" s="566" customFormat="1">
      <c r="T50027" s="41"/>
    </row>
    <row r="50028" spans="20:20" s="566" customFormat="1">
      <c r="T50028" s="41"/>
    </row>
    <row r="50029" spans="20:20" s="566" customFormat="1">
      <c r="T50029" s="41"/>
    </row>
    <row r="50030" spans="20:20" s="566" customFormat="1">
      <c r="T50030" s="41"/>
    </row>
    <row r="50031" spans="20:20" s="566" customFormat="1">
      <c r="T50031" s="41"/>
    </row>
    <row r="50032" spans="20:20" s="566" customFormat="1">
      <c r="T50032" s="41"/>
    </row>
    <row r="50033" spans="20:20" s="566" customFormat="1">
      <c r="T50033" s="41"/>
    </row>
    <row r="50034" spans="20:20" s="566" customFormat="1">
      <c r="T50034" s="41"/>
    </row>
    <row r="50035" spans="20:20" s="566" customFormat="1">
      <c r="T50035" s="41"/>
    </row>
    <row r="50036" spans="20:20" s="566" customFormat="1">
      <c r="T50036" s="41"/>
    </row>
    <row r="50037" spans="20:20" s="566" customFormat="1">
      <c r="T50037" s="41"/>
    </row>
    <row r="50038" spans="20:20" s="566" customFormat="1">
      <c r="T50038" s="41"/>
    </row>
    <row r="50039" spans="20:20" s="566" customFormat="1">
      <c r="T50039" s="41"/>
    </row>
    <row r="50040" spans="20:20" s="566" customFormat="1">
      <c r="T50040" s="41"/>
    </row>
    <row r="50041" spans="20:20" s="566" customFormat="1">
      <c r="T50041" s="41"/>
    </row>
    <row r="50042" spans="20:20" s="566" customFormat="1">
      <c r="T50042" s="41"/>
    </row>
    <row r="50043" spans="20:20" s="566" customFormat="1">
      <c r="T50043" s="41"/>
    </row>
    <row r="50044" spans="20:20" s="566" customFormat="1">
      <c r="T50044" s="41"/>
    </row>
    <row r="50045" spans="20:20" s="566" customFormat="1">
      <c r="T50045" s="41"/>
    </row>
    <row r="50046" spans="20:20" s="566" customFormat="1">
      <c r="T50046" s="41"/>
    </row>
    <row r="50047" spans="20:20" s="566" customFormat="1">
      <c r="T50047" s="41"/>
    </row>
    <row r="50048" spans="20:20" s="566" customFormat="1">
      <c r="T50048" s="41"/>
    </row>
    <row r="50049" spans="20:20" s="566" customFormat="1">
      <c r="T50049" s="41"/>
    </row>
    <row r="50050" spans="20:20" s="566" customFormat="1">
      <c r="T50050" s="41"/>
    </row>
    <row r="50051" spans="20:20" s="566" customFormat="1">
      <c r="T50051" s="41"/>
    </row>
    <row r="50052" spans="20:20" s="566" customFormat="1">
      <c r="T50052" s="41"/>
    </row>
    <row r="50053" spans="20:20" s="566" customFormat="1">
      <c r="T50053" s="41"/>
    </row>
    <row r="50054" spans="20:20" s="566" customFormat="1">
      <c r="T50054" s="41"/>
    </row>
    <row r="50055" spans="20:20" s="566" customFormat="1">
      <c r="T50055" s="41"/>
    </row>
    <row r="50056" spans="20:20" s="566" customFormat="1">
      <c r="T50056" s="41"/>
    </row>
    <row r="50057" spans="20:20" s="566" customFormat="1">
      <c r="T50057" s="41"/>
    </row>
    <row r="50058" spans="20:20" s="566" customFormat="1">
      <c r="T50058" s="41"/>
    </row>
    <row r="50059" spans="20:20" s="566" customFormat="1">
      <c r="T50059" s="41"/>
    </row>
    <row r="50060" spans="20:20" s="566" customFormat="1">
      <c r="T50060" s="41"/>
    </row>
    <row r="50061" spans="20:20" s="566" customFormat="1">
      <c r="T50061" s="41"/>
    </row>
    <row r="50062" spans="20:20" s="566" customFormat="1">
      <c r="T50062" s="41"/>
    </row>
    <row r="50063" spans="20:20" s="566" customFormat="1">
      <c r="T50063" s="41"/>
    </row>
    <row r="50064" spans="20:20" s="566" customFormat="1">
      <c r="T50064" s="41"/>
    </row>
    <row r="50065" spans="20:20" s="566" customFormat="1">
      <c r="T50065" s="41"/>
    </row>
    <row r="50066" spans="20:20" s="566" customFormat="1">
      <c r="T50066" s="41"/>
    </row>
    <row r="50067" spans="20:20" s="566" customFormat="1">
      <c r="T50067" s="41"/>
    </row>
    <row r="50068" spans="20:20" s="566" customFormat="1">
      <c r="T50068" s="41"/>
    </row>
    <row r="50069" spans="20:20" s="566" customFormat="1">
      <c r="T50069" s="41"/>
    </row>
    <row r="50070" spans="20:20" s="566" customFormat="1">
      <c r="T50070" s="41"/>
    </row>
    <row r="50071" spans="20:20" s="566" customFormat="1">
      <c r="T50071" s="41"/>
    </row>
    <row r="50072" spans="20:20" s="566" customFormat="1">
      <c r="T50072" s="41"/>
    </row>
    <row r="50073" spans="20:20" s="566" customFormat="1">
      <c r="T50073" s="41"/>
    </row>
    <row r="50074" spans="20:20" s="566" customFormat="1">
      <c r="T50074" s="41"/>
    </row>
    <row r="50075" spans="20:20" s="566" customFormat="1">
      <c r="T50075" s="41"/>
    </row>
    <row r="50076" spans="20:20" s="566" customFormat="1">
      <c r="T50076" s="41"/>
    </row>
    <row r="50077" spans="20:20" s="566" customFormat="1">
      <c r="T50077" s="41"/>
    </row>
    <row r="50078" spans="20:20" s="566" customFormat="1">
      <c r="T50078" s="41"/>
    </row>
    <row r="50079" spans="20:20" s="566" customFormat="1">
      <c r="T50079" s="41"/>
    </row>
    <row r="50080" spans="20:20" s="566" customFormat="1">
      <c r="T50080" s="41"/>
    </row>
    <row r="50081" spans="20:20" s="566" customFormat="1">
      <c r="T50081" s="41"/>
    </row>
    <row r="50082" spans="20:20" s="566" customFormat="1">
      <c r="T50082" s="41"/>
    </row>
    <row r="50083" spans="20:20" s="566" customFormat="1">
      <c r="T50083" s="41"/>
    </row>
    <row r="50084" spans="20:20" s="566" customFormat="1">
      <c r="T50084" s="41"/>
    </row>
    <row r="50085" spans="20:20" s="566" customFormat="1">
      <c r="T50085" s="41"/>
    </row>
    <row r="50086" spans="20:20" s="566" customFormat="1">
      <c r="T50086" s="41"/>
    </row>
    <row r="50087" spans="20:20" s="566" customFormat="1">
      <c r="T50087" s="41"/>
    </row>
    <row r="50088" spans="20:20" s="566" customFormat="1">
      <c r="T50088" s="41"/>
    </row>
    <row r="50089" spans="20:20" s="566" customFormat="1">
      <c r="T50089" s="41"/>
    </row>
    <row r="50090" spans="20:20" s="566" customFormat="1">
      <c r="T50090" s="41"/>
    </row>
    <row r="50091" spans="20:20" s="566" customFormat="1">
      <c r="T50091" s="41"/>
    </row>
    <row r="50092" spans="20:20" s="566" customFormat="1">
      <c r="T50092" s="41"/>
    </row>
    <row r="50093" spans="20:20" s="566" customFormat="1">
      <c r="T50093" s="41"/>
    </row>
    <row r="50094" spans="20:20" s="566" customFormat="1">
      <c r="T50094" s="41"/>
    </row>
    <row r="50095" spans="20:20" s="566" customFormat="1">
      <c r="T50095" s="41"/>
    </row>
    <row r="50096" spans="20:20" s="566" customFormat="1">
      <c r="T50096" s="41"/>
    </row>
    <row r="50097" spans="20:20" s="566" customFormat="1">
      <c r="T50097" s="41"/>
    </row>
    <row r="50098" spans="20:20" s="566" customFormat="1">
      <c r="T50098" s="41"/>
    </row>
    <row r="50099" spans="20:20" s="566" customFormat="1">
      <c r="T50099" s="41"/>
    </row>
    <row r="50100" spans="20:20" s="566" customFormat="1">
      <c r="T50100" s="41"/>
    </row>
    <row r="50101" spans="20:20" s="566" customFormat="1">
      <c r="T50101" s="41"/>
    </row>
    <row r="50102" spans="20:20" s="566" customFormat="1">
      <c r="T50102" s="41"/>
    </row>
    <row r="50103" spans="20:20" s="566" customFormat="1">
      <c r="T50103" s="41"/>
    </row>
    <row r="50104" spans="20:20" s="566" customFormat="1">
      <c r="T50104" s="41"/>
    </row>
    <row r="50105" spans="20:20" s="566" customFormat="1">
      <c r="T50105" s="41"/>
    </row>
    <row r="50106" spans="20:20" s="566" customFormat="1">
      <c r="T50106" s="41"/>
    </row>
    <row r="50107" spans="20:20" s="566" customFormat="1">
      <c r="T50107" s="41"/>
    </row>
    <row r="50108" spans="20:20" s="566" customFormat="1">
      <c r="T50108" s="41"/>
    </row>
    <row r="50109" spans="20:20" s="566" customFormat="1">
      <c r="T50109" s="41"/>
    </row>
    <row r="50110" spans="20:20" s="566" customFormat="1">
      <c r="T50110" s="41"/>
    </row>
    <row r="50111" spans="20:20" s="566" customFormat="1">
      <c r="T50111" s="41"/>
    </row>
    <row r="50112" spans="20:20" s="566" customFormat="1">
      <c r="T50112" s="41"/>
    </row>
    <row r="50113" spans="20:20" s="566" customFormat="1">
      <c r="T50113" s="41"/>
    </row>
    <row r="50114" spans="20:20" s="566" customFormat="1">
      <c r="T50114" s="41"/>
    </row>
    <row r="50115" spans="20:20" s="566" customFormat="1">
      <c r="T50115" s="41"/>
    </row>
    <row r="50116" spans="20:20" s="566" customFormat="1">
      <c r="T50116" s="41"/>
    </row>
    <row r="50117" spans="20:20" s="566" customFormat="1">
      <c r="T50117" s="41"/>
    </row>
    <row r="50118" spans="20:20" s="566" customFormat="1">
      <c r="T50118" s="41"/>
    </row>
    <row r="50119" spans="20:20" s="566" customFormat="1">
      <c r="T50119" s="41"/>
    </row>
    <row r="50120" spans="20:20" s="566" customFormat="1">
      <c r="T50120" s="41"/>
    </row>
    <row r="50121" spans="20:20" s="566" customFormat="1">
      <c r="T50121" s="41"/>
    </row>
    <row r="50122" spans="20:20" s="566" customFormat="1">
      <c r="T50122" s="41"/>
    </row>
    <row r="50123" spans="20:20" s="566" customFormat="1">
      <c r="T50123" s="41"/>
    </row>
    <row r="50124" spans="20:20" s="566" customFormat="1">
      <c r="T50124" s="41"/>
    </row>
    <row r="50125" spans="20:20" s="566" customFormat="1">
      <c r="T50125" s="41"/>
    </row>
    <row r="50126" spans="20:20" s="566" customFormat="1">
      <c r="T50126" s="41"/>
    </row>
    <row r="50127" spans="20:20" s="566" customFormat="1">
      <c r="T50127" s="41"/>
    </row>
    <row r="50128" spans="20:20" s="566" customFormat="1">
      <c r="T50128" s="41"/>
    </row>
    <row r="50129" spans="20:20" s="566" customFormat="1">
      <c r="T50129" s="41"/>
    </row>
    <row r="50130" spans="20:20" s="566" customFormat="1">
      <c r="T50130" s="41"/>
    </row>
    <row r="50131" spans="20:20" s="566" customFormat="1">
      <c r="T50131" s="41"/>
    </row>
    <row r="50132" spans="20:20" s="566" customFormat="1">
      <c r="T50132" s="41"/>
    </row>
    <row r="50133" spans="20:20" s="566" customFormat="1">
      <c r="T50133" s="41"/>
    </row>
    <row r="50134" spans="20:20" s="566" customFormat="1">
      <c r="T50134" s="41"/>
    </row>
    <row r="50135" spans="20:20" s="566" customFormat="1">
      <c r="T50135" s="41"/>
    </row>
    <row r="50136" spans="20:20" s="566" customFormat="1">
      <c r="T50136" s="41"/>
    </row>
    <row r="50137" spans="20:20" s="566" customFormat="1">
      <c r="T50137" s="41"/>
    </row>
    <row r="50138" spans="20:20" s="566" customFormat="1">
      <c r="T50138" s="41"/>
    </row>
    <row r="50139" spans="20:20" s="566" customFormat="1">
      <c r="T50139" s="41"/>
    </row>
    <row r="50140" spans="20:20" s="566" customFormat="1">
      <c r="T50140" s="41"/>
    </row>
    <row r="50141" spans="20:20" s="566" customFormat="1">
      <c r="T50141" s="41"/>
    </row>
    <row r="50142" spans="20:20" s="566" customFormat="1">
      <c r="T50142" s="41"/>
    </row>
    <row r="50143" spans="20:20" s="566" customFormat="1">
      <c r="T50143" s="41"/>
    </row>
    <row r="50144" spans="20:20" s="566" customFormat="1">
      <c r="T50144" s="41"/>
    </row>
    <row r="50145" spans="20:20" s="566" customFormat="1">
      <c r="T50145" s="41"/>
    </row>
    <row r="50146" spans="20:20" s="566" customFormat="1">
      <c r="T50146" s="41"/>
    </row>
    <row r="50147" spans="20:20" s="566" customFormat="1">
      <c r="T50147" s="41"/>
    </row>
    <row r="50148" spans="20:20" s="566" customFormat="1">
      <c r="T50148" s="41"/>
    </row>
    <row r="50149" spans="20:20" s="566" customFormat="1">
      <c r="T50149" s="41"/>
    </row>
    <row r="50150" spans="20:20" s="566" customFormat="1">
      <c r="T50150" s="41"/>
    </row>
    <row r="50151" spans="20:20" s="566" customFormat="1">
      <c r="T50151" s="41"/>
    </row>
    <row r="50152" spans="20:20" s="566" customFormat="1">
      <c r="T50152" s="41"/>
    </row>
    <row r="50153" spans="20:20" s="566" customFormat="1">
      <c r="T50153" s="41"/>
    </row>
    <row r="50154" spans="20:20" s="566" customFormat="1">
      <c r="T50154" s="41"/>
    </row>
    <row r="50155" spans="20:20" s="566" customFormat="1">
      <c r="T50155" s="41"/>
    </row>
    <row r="50156" spans="20:20" s="566" customFormat="1">
      <c r="T50156" s="41"/>
    </row>
    <row r="50157" spans="20:20" s="566" customFormat="1">
      <c r="T50157" s="41"/>
    </row>
    <row r="50158" spans="20:20" s="566" customFormat="1">
      <c r="T50158" s="41"/>
    </row>
    <row r="50159" spans="20:20" s="566" customFormat="1">
      <c r="T50159" s="41"/>
    </row>
    <row r="50160" spans="20:20" s="566" customFormat="1">
      <c r="T50160" s="41"/>
    </row>
    <row r="50161" spans="20:20" s="566" customFormat="1">
      <c r="T50161" s="41"/>
    </row>
    <row r="50162" spans="20:20" s="566" customFormat="1">
      <c r="T50162" s="41"/>
    </row>
    <row r="50163" spans="20:20" s="566" customFormat="1">
      <c r="T50163" s="41"/>
    </row>
    <row r="50164" spans="20:20" s="566" customFormat="1">
      <c r="T50164" s="41"/>
    </row>
    <row r="50165" spans="20:20" s="566" customFormat="1">
      <c r="T50165" s="41"/>
    </row>
    <row r="50166" spans="20:20" s="566" customFormat="1">
      <c r="T50166" s="41"/>
    </row>
    <row r="50167" spans="20:20" s="566" customFormat="1">
      <c r="T50167" s="41"/>
    </row>
    <row r="50168" spans="20:20" s="566" customFormat="1">
      <c r="T50168" s="41"/>
    </row>
    <row r="50169" spans="20:20" s="566" customFormat="1">
      <c r="T50169" s="41"/>
    </row>
    <row r="50170" spans="20:20" s="566" customFormat="1">
      <c r="T50170" s="41"/>
    </row>
    <row r="50171" spans="20:20" s="566" customFormat="1">
      <c r="T50171" s="41"/>
    </row>
    <row r="50172" spans="20:20" s="566" customFormat="1">
      <c r="T50172" s="41"/>
    </row>
    <row r="50173" spans="20:20" s="566" customFormat="1">
      <c r="T50173" s="41"/>
    </row>
    <row r="50174" spans="20:20" s="566" customFormat="1">
      <c r="T50174" s="41"/>
    </row>
    <row r="50175" spans="20:20" s="566" customFormat="1">
      <c r="T50175" s="41"/>
    </row>
    <row r="50176" spans="20:20" s="566" customFormat="1">
      <c r="T50176" s="41"/>
    </row>
    <row r="50177" spans="20:20" s="566" customFormat="1">
      <c r="T50177" s="41"/>
    </row>
    <row r="50178" spans="20:20" s="566" customFormat="1">
      <c r="T50178" s="41"/>
    </row>
    <row r="50179" spans="20:20" s="566" customFormat="1">
      <c r="T50179" s="41"/>
    </row>
    <row r="50180" spans="20:20" s="566" customFormat="1">
      <c r="T50180" s="41"/>
    </row>
    <row r="50181" spans="20:20" s="566" customFormat="1">
      <c r="T50181" s="41"/>
    </row>
    <row r="50182" spans="20:20" s="566" customFormat="1">
      <c r="T50182" s="41"/>
    </row>
    <row r="50183" spans="20:20" s="566" customFormat="1">
      <c r="T50183" s="41"/>
    </row>
    <row r="50184" spans="20:20" s="566" customFormat="1">
      <c r="T50184" s="41"/>
    </row>
    <row r="50185" spans="20:20" s="566" customFormat="1">
      <c r="T50185" s="41"/>
    </row>
    <row r="50186" spans="20:20" s="566" customFormat="1">
      <c r="T50186" s="41"/>
    </row>
    <row r="50187" spans="20:20" s="566" customFormat="1">
      <c r="T50187" s="41"/>
    </row>
    <row r="50188" spans="20:20" s="566" customFormat="1">
      <c r="T50188" s="41"/>
    </row>
    <row r="50189" spans="20:20" s="566" customFormat="1">
      <c r="T50189" s="41"/>
    </row>
    <row r="50190" spans="20:20" s="566" customFormat="1">
      <c r="T50190" s="41"/>
    </row>
    <row r="50191" spans="20:20" s="566" customFormat="1">
      <c r="T50191" s="41"/>
    </row>
    <row r="50192" spans="20:20" s="566" customFormat="1">
      <c r="T50192" s="41"/>
    </row>
    <row r="50193" spans="20:20" s="566" customFormat="1">
      <c r="T50193" s="41"/>
    </row>
    <row r="50194" spans="20:20" s="566" customFormat="1">
      <c r="T50194" s="41"/>
    </row>
    <row r="50195" spans="20:20" s="566" customFormat="1">
      <c r="T50195" s="41"/>
    </row>
    <row r="50196" spans="20:20" s="566" customFormat="1">
      <c r="T50196" s="41"/>
    </row>
    <row r="50197" spans="20:20" s="566" customFormat="1">
      <c r="T50197" s="41"/>
    </row>
    <row r="50198" spans="20:20" s="566" customFormat="1">
      <c r="T50198" s="41"/>
    </row>
    <row r="50199" spans="20:20" s="566" customFormat="1">
      <c r="T50199" s="41"/>
    </row>
    <row r="50200" spans="20:20" s="566" customFormat="1">
      <c r="T50200" s="41"/>
    </row>
    <row r="50201" spans="20:20" s="566" customFormat="1">
      <c r="T50201" s="41"/>
    </row>
    <row r="50202" spans="20:20" s="566" customFormat="1">
      <c r="T50202" s="41"/>
    </row>
    <row r="50203" spans="20:20" s="566" customFormat="1">
      <c r="T50203" s="41"/>
    </row>
    <row r="50204" spans="20:20" s="566" customFormat="1">
      <c r="T50204" s="41"/>
    </row>
    <row r="50205" spans="20:20" s="566" customFormat="1">
      <c r="T50205" s="41"/>
    </row>
    <row r="50206" spans="20:20" s="566" customFormat="1">
      <c r="T50206" s="41"/>
    </row>
    <row r="50207" spans="20:20" s="566" customFormat="1">
      <c r="T50207" s="41"/>
    </row>
    <row r="50208" spans="20:20" s="566" customFormat="1">
      <c r="T50208" s="41"/>
    </row>
    <row r="50209" spans="20:20" s="566" customFormat="1">
      <c r="T50209" s="41"/>
    </row>
    <row r="50210" spans="20:20" s="566" customFormat="1">
      <c r="T50210" s="41"/>
    </row>
    <row r="50211" spans="20:20" s="566" customFormat="1">
      <c r="T50211" s="41"/>
    </row>
    <row r="50212" spans="20:20" s="566" customFormat="1">
      <c r="T50212" s="41"/>
    </row>
    <row r="50213" spans="20:20" s="566" customFormat="1">
      <c r="T50213" s="41"/>
    </row>
    <row r="50214" spans="20:20" s="566" customFormat="1">
      <c r="T50214" s="41"/>
    </row>
    <row r="50215" spans="20:20" s="566" customFormat="1">
      <c r="T50215" s="41"/>
    </row>
    <row r="50216" spans="20:20" s="566" customFormat="1">
      <c r="T50216" s="41"/>
    </row>
    <row r="50217" spans="20:20" s="566" customFormat="1">
      <c r="T50217" s="41"/>
    </row>
    <row r="50218" spans="20:20" s="566" customFormat="1">
      <c r="T50218" s="41"/>
    </row>
    <row r="50219" spans="20:20" s="566" customFormat="1">
      <c r="T50219" s="41"/>
    </row>
    <row r="50220" spans="20:20" s="566" customFormat="1">
      <c r="T50220" s="41"/>
    </row>
    <row r="50221" spans="20:20" s="566" customFormat="1">
      <c r="T50221" s="41"/>
    </row>
    <row r="50222" spans="20:20" s="566" customFormat="1">
      <c r="T50222" s="41"/>
    </row>
    <row r="50223" spans="20:20" s="566" customFormat="1">
      <c r="T50223" s="41"/>
    </row>
    <row r="50224" spans="20:20" s="566" customFormat="1">
      <c r="T50224" s="41"/>
    </row>
    <row r="50225" spans="20:20" s="566" customFormat="1">
      <c r="T50225" s="41"/>
    </row>
    <row r="50226" spans="20:20" s="566" customFormat="1">
      <c r="T50226" s="41"/>
    </row>
    <row r="50227" spans="20:20" s="566" customFormat="1">
      <c r="T50227" s="41"/>
    </row>
    <row r="50228" spans="20:20" s="566" customFormat="1">
      <c r="T50228" s="41"/>
    </row>
    <row r="50229" spans="20:20" s="566" customFormat="1">
      <c r="T50229" s="41"/>
    </row>
    <row r="50230" spans="20:20" s="566" customFormat="1">
      <c r="T50230" s="41"/>
    </row>
    <row r="50231" spans="20:20" s="566" customFormat="1">
      <c r="T50231" s="41"/>
    </row>
    <row r="50232" spans="20:20" s="566" customFormat="1">
      <c r="T50232" s="41"/>
    </row>
    <row r="50233" spans="20:20" s="566" customFormat="1">
      <c r="T50233" s="41"/>
    </row>
    <row r="50234" spans="20:20" s="566" customFormat="1">
      <c r="T50234" s="41"/>
    </row>
    <row r="50235" spans="20:20" s="566" customFormat="1">
      <c r="T50235" s="41"/>
    </row>
    <row r="50236" spans="20:20" s="566" customFormat="1">
      <c r="T50236" s="41"/>
    </row>
    <row r="50237" spans="20:20" s="566" customFormat="1">
      <c r="T50237" s="41"/>
    </row>
    <row r="50238" spans="20:20" s="566" customFormat="1">
      <c r="T50238" s="41"/>
    </row>
    <row r="50239" spans="20:20" s="566" customFormat="1">
      <c r="T50239" s="41"/>
    </row>
    <row r="50240" spans="20:20" s="566" customFormat="1">
      <c r="T50240" s="41"/>
    </row>
    <row r="50241" spans="20:20" s="566" customFormat="1">
      <c r="T50241" s="41"/>
    </row>
    <row r="50242" spans="20:20" s="566" customFormat="1">
      <c r="T50242" s="41"/>
    </row>
    <row r="50243" spans="20:20" s="566" customFormat="1">
      <c r="T50243" s="41"/>
    </row>
    <row r="50244" spans="20:20" s="566" customFormat="1">
      <c r="T50244" s="41"/>
    </row>
    <row r="50245" spans="20:20" s="566" customFormat="1">
      <c r="T50245" s="41"/>
    </row>
    <row r="50246" spans="20:20" s="566" customFormat="1">
      <c r="T50246" s="41"/>
    </row>
    <row r="50247" spans="20:20" s="566" customFormat="1">
      <c r="T50247" s="41"/>
    </row>
    <row r="50248" spans="20:20" s="566" customFormat="1">
      <c r="T50248" s="41"/>
    </row>
    <row r="50249" spans="20:20" s="566" customFormat="1">
      <c r="T50249" s="41"/>
    </row>
    <row r="50250" spans="20:20" s="566" customFormat="1">
      <c r="T50250" s="41"/>
    </row>
    <row r="50251" spans="20:20" s="566" customFormat="1">
      <c r="T50251" s="41"/>
    </row>
    <row r="50252" spans="20:20" s="566" customFormat="1">
      <c r="T50252" s="41"/>
    </row>
    <row r="50253" spans="20:20" s="566" customFormat="1">
      <c r="T50253" s="41"/>
    </row>
    <row r="50254" spans="20:20" s="566" customFormat="1">
      <c r="T50254" s="41"/>
    </row>
    <row r="50255" spans="20:20" s="566" customFormat="1">
      <c r="T50255" s="41"/>
    </row>
    <row r="50256" spans="20:20" s="566" customFormat="1">
      <c r="T50256" s="41"/>
    </row>
    <row r="50257" spans="20:20" s="566" customFormat="1">
      <c r="T50257" s="41"/>
    </row>
    <row r="50258" spans="20:20" s="566" customFormat="1">
      <c r="T50258" s="41"/>
    </row>
    <row r="50259" spans="20:20" s="566" customFormat="1">
      <c r="T50259" s="41"/>
    </row>
    <row r="50260" spans="20:20" s="566" customFormat="1">
      <c r="T50260" s="41"/>
    </row>
    <row r="50261" spans="20:20" s="566" customFormat="1">
      <c r="T50261" s="41"/>
    </row>
    <row r="50262" spans="20:20" s="566" customFormat="1">
      <c r="T50262" s="41"/>
    </row>
    <row r="50263" spans="20:20" s="566" customFormat="1">
      <c r="T50263" s="41"/>
    </row>
    <row r="50264" spans="20:20" s="566" customFormat="1">
      <c r="T50264" s="41"/>
    </row>
    <row r="50265" spans="20:20" s="566" customFormat="1">
      <c r="T50265" s="41"/>
    </row>
    <row r="50266" spans="20:20" s="566" customFormat="1">
      <c r="T50266" s="41"/>
    </row>
    <row r="50267" spans="20:20" s="566" customFormat="1">
      <c r="T50267" s="41"/>
    </row>
    <row r="50268" spans="20:20" s="566" customFormat="1">
      <c r="T50268" s="41"/>
    </row>
    <row r="50269" spans="20:20" s="566" customFormat="1">
      <c r="T50269" s="41"/>
    </row>
    <row r="50270" spans="20:20" s="566" customFormat="1">
      <c r="T50270" s="41"/>
    </row>
    <row r="50271" spans="20:20" s="566" customFormat="1">
      <c r="T50271" s="41"/>
    </row>
    <row r="50272" spans="20:20" s="566" customFormat="1">
      <c r="T50272" s="41"/>
    </row>
    <row r="50273" spans="20:20" s="566" customFormat="1">
      <c r="T50273" s="41"/>
    </row>
    <row r="50274" spans="20:20" s="566" customFormat="1">
      <c r="T50274" s="41"/>
    </row>
    <row r="50275" spans="20:20" s="566" customFormat="1">
      <c r="T50275" s="41"/>
    </row>
    <row r="50276" spans="20:20" s="566" customFormat="1">
      <c r="T50276" s="41"/>
    </row>
    <row r="50277" spans="20:20" s="566" customFormat="1">
      <c r="T50277" s="41"/>
    </row>
    <row r="50278" spans="20:20" s="566" customFormat="1">
      <c r="T50278" s="41"/>
    </row>
    <row r="50279" spans="20:20" s="566" customFormat="1">
      <c r="T50279" s="41"/>
    </row>
    <row r="50280" spans="20:20" s="566" customFormat="1">
      <c r="T50280" s="41"/>
    </row>
    <row r="50281" spans="20:20" s="566" customFormat="1">
      <c r="T50281" s="41"/>
    </row>
    <row r="50282" spans="20:20" s="566" customFormat="1">
      <c r="T50282" s="41"/>
    </row>
    <row r="50283" spans="20:20" s="566" customFormat="1">
      <c r="T50283" s="41"/>
    </row>
    <row r="50284" spans="20:20" s="566" customFormat="1">
      <c r="T50284" s="41"/>
    </row>
    <row r="50285" spans="20:20" s="566" customFormat="1">
      <c r="T50285" s="41"/>
    </row>
    <row r="50286" spans="20:20" s="566" customFormat="1">
      <c r="T50286" s="41"/>
    </row>
    <row r="50287" spans="20:20" s="566" customFormat="1">
      <c r="T50287" s="41"/>
    </row>
    <row r="50288" spans="20:20" s="566" customFormat="1">
      <c r="T50288" s="41"/>
    </row>
    <row r="50289" spans="20:20" s="566" customFormat="1">
      <c r="T50289" s="41"/>
    </row>
    <row r="50290" spans="20:20" s="566" customFormat="1">
      <c r="T50290" s="41"/>
    </row>
    <row r="50291" spans="20:20" s="566" customFormat="1">
      <c r="T50291" s="41"/>
    </row>
    <row r="50292" spans="20:20" s="566" customFormat="1">
      <c r="T50292" s="41"/>
    </row>
    <row r="50293" spans="20:20" s="566" customFormat="1">
      <c r="T50293" s="41"/>
    </row>
    <row r="50294" spans="20:20" s="566" customFormat="1">
      <c r="T50294" s="41"/>
    </row>
    <row r="50295" spans="20:20" s="566" customFormat="1">
      <c r="T50295" s="41"/>
    </row>
    <row r="50296" spans="20:20" s="566" customFormat="1">
      <c r="T50296" s="41"/>
    </row>
    <row r="50297" spans="20:20" s="566" customFormat="1">
      <c r="T50297" s="41"/>
    </row>
    <row r="50298" spans="20:20" s="566" customFormat="1">
      <c r="T50298" s="41"/>
    </row>
    <row r="50299" spans="20:20" s="566" customFormat="1">
      <c r="T50299" s="41"/>
    </row>
    <row r="50300" spans="20:20" s="566" customFormat="1">
      <c r="T50300" s="41"/>
    </row>
    <row r="50301" spans="20:20" s="566" customFormat="1">
      <c r="T50301" s="41"/>
    </row>
    <row r="50302" spans="20:20" s="566" customFormat="1">
      <c r="T50302" s="41"/>
    </row>
    <row r="50303" spans="20:20" s="566" customFormat="1">
      <c r="T50303" s="41"/>
    </row>
    <row r="50304" spans="20:20" s="566" customFormat="1">
      <c r="T50304" s="41"/>
    </row>
    <row r="50305" spans="20:20" s="566" customFormat="1">
      <c r="T50305" s="41"/>
    </row>
    <row r="50306" spans="20:20" s="566" customFormat="1">
      <c r="T50306" s="41"/>
    </row>
    <row r="50307" spans="20:20" s="566" customFormat="1">
      <c r="T50307" s="41"/>
    </row>
    <row r="50308" spans="20:20" s="566" customFormat="1">
      <c r="T50308" s="41"/>
    </row>
    <row r="50309" spans="20:20" s="566" customFormat="1">
      <c r="T50309" s="41"/>
    </row>
    <row r="50310" spans="20:20" s="566" customFormat="1">
      <c r="T50310" s="41"/>
    </row>
    <row r="50311" spans="20:20" s="566" customFormat="1">
      <c r="T50311" s="41"/>
    </row>
    <row r="50312" spans="20:20" s="566" customFormat="1">
      <c r="T50312" s="41"/>
    </row>
    <row r="50313" spans="20:20" s="566" customFormat="1">
      <c r="T50313" s="41"/>
    </row>
    <row r="50314" spans="20:20" s="566" customFormat="1">
      <c r="T50314" s="41"/>
    </row>
    <row r="50315" spans="20:20" s="566" customFormat="1">
      <c r="T50315" s="41"/>
    </row>
    <row r="50316" spans="20:20" s="566" customFormat="1">
      <c r="T50316" s="41"/>
    </row>
    <row r="50317" spans="20:20" s="566" customFormat="1">
      <c r="T50317" s="41"/>
    </row>
    <row r="50318" spans="20:20" s="566" customFormat="1">
      <c r="T50318" s="41"/>
    </row>
    <row r="50319" spans="20:20" s="566" customFormat="1">
      <c r="T50319" s="41"/>
    </row>
    <row r="50320" spans="20:20" s="566" customFormat="1">
      <c r="T50320" s="41"/>
    </row>
    <row r="50321" spans="20:20" s="566" customFormat="1">
      <c r="T50321" s="41"/>
    </row>
    <row r="50322" spans="20:20" s="566" customFormat="1">
      <c r="T50322" s="41"/>
    </row>
    <row r="50323" spans="20:20" s="566" customFormat="1">
      <c r="T50323" s="41"/>
    </row>
    <row r="50324" spans="20:20" s="566" customFormat="1">
      <c r="T50324" s="41"/>
    </row>
    <row r="50325" spans="20:20" s="566" customFormat="1">
      <c r="T50325" s="41"/>
    </row>
    <row r="50326" spans="20:20" s="566" customFormat="1">
      <c r="T50326" s="41"/>
    </row>
    <row r="50327" spans="20:20" s="566" customFormat="1">
      <c r="T50327" s="41"/>
    </row>
    <row r="50328" spans="20:20" s="566" customFormat="1">
      <c r="T50328" s="41"/>
    </row>
    <row r="50329" spans="20:20" s="566" customFormat="1">
      <c r="T50329" s="41"/>
    </row>
    <row r="50330" spans="20:20" s="566" customFormat="1">
      <c r="T50330" s="41"/>
    </row>
    <row r="50331" spans="20:20" s="566" customFormat="1">
      <c r="T50331" s="41"/>
    </row>
    <row r="50332" spans="20:20" s="566" customFormat="1">
      <c r="T50332" s="41"/>
    </row>
    <row r="50333" spans="20:20" s="566" customFormat="1">
      <c r="T50333" s="41"/>
    </row>
    <row r="50334" spans="20:20" s="566" customFormat="1">
      <c r="T50334" s="41"/>
    </row>
    <row r="50335" spans="20:20" s="566" customFormat="1">
      <c r="T50335" s="41"/>
    </row>
    <row r="50336" spans="20:20" s="566" customFormat="1">
      <c r="T50336" s="41"/>
    </row>
    <row r="50337" spans="20:20" s="566" customFormat="1">
      <c r="T50337" s="41"/>
    </row>
    <row r="50338" spans="20:20" s="566" customFormat="1">
      <c r="T50338" s="41"/>
    </row>
    <row r="50339" spans="20:20" s="566" customFormat="1">
      <c r="T50339" s="41"/>
    </row>
    <row r="50340" spans="20:20" s="566" customFormat="1">
      <c r="T50340" s="41"/>
    </row>
    <row r="50341" spans="20:20" s="566" customFormat="1">
      <c r="T50341" s="41"/>
    </row>
    <row r="50342" spans="20:20" s="566" customFormat="1">
      <c r="T50342" s="41"/>
    </row>
    <row r="50343" spans="20:20" s="566" customFormat="1">
      <c r="T50343" s="41"/>
    </row>
    <row r="50344" spans="20:20" s="566" customFormat="1">
      <c r="T50344" s="41"/>
    </row>
    <row r="50345" spans="20:20" s="566" customFormat="1">
      <c r="T50345" s="41"/>
    </row>
    <row r="50346" spans="20:20" s="566" customFormat="1">
      <c r="T50346" s="41"/>
    </row>
    <row r="50347" spans="20:20" s="566" customFormat="1">
      <c r="T50347" s="41"/>
    </row>
    <row r="50348" spans="20:20" s="566" customFormat="1">
      <c r="T50348" s="41"/>
    </row>
    <row r="50349" spans="20:20" s="566" customFormat="1">
      <c r="T50349" s="41"/>
    </row>
    <row r="50350" spans="20:20" s="566" customFormat="1">
      <c r="T50350" s="41"/>
    </row>
    <row r="50351" spans="20:20" s="566" customFormat="1">
      <c r="T50351" s="41"/>
    </row>
    <row r="50352" spans="20:20" s="566" customFormat="1">
      <c r="T50352" s="41"/>
    </row>
    <row r="50353" spans="20:20" s="566" customFormat="1">
      <c r="T50353" s="41"/>
    </row>
    <row r="50354" spans="20:20" s="566" customFormat="1">
      <c r="T50354" s="41"/>
    </row>
    <row r="50355" spans="20:20" s="566" customFormat="1">
      <c r="T50355" s="41"/>
    </row>
    <row r="50356" spans="20:20" s="566" customFormat="1">
      <c r="T50356" s="41"/>
    </row>
    <row r="50357" spans="20:20" s="566" customFormat="1">
      <c r="T50357" s="41"/>
    </row>
    <row r="50358" spans="20:20" s="566" customFormat="1">
      <c r="T50358" s="41"/>
    </row>
    <row r="50359" spans="20:20" s="566" customFormat="1">
      <c r="T50359" s="41"/>
    </row>
    <row r="50360" spans="20:20" s="566" customFormat="1">
      <c r="T50360" s="41"/>
    </row>
    <row r="50361" spans="20:20" s="566" customFormat="1">
      <c r="T50361" s="41"/>
    </row>
    <row r="50362" spans="20:20" s="566" customFormat="1">
      <c r="T50362" s="41"/>
    </row>
    <row r="50363" spans="20:20" s="566" customFormat="1">
      <c r="T50363" s="41"/>
    </row>
    <row r="50364" spans="20:20" s="566" customFormat="1">
      <c r="T50364" s="41"/>
    </row>
    <row r="50365" spans="20:20" s="566" customFormat="1">
      <c r="T50365" s="41"/>
    </row>
    <row r="50366" spans="20:20" s="566" customFormat="1">
      <c r="T50366" s="41"/>
    </row>
    <row r="50367" spans="20:20" s="566" customFormat="1">
      <c r="T50367" s="41"/>
    </row>
    <row r="50368" spans="20:20" s="566" customFormat="1">
      <c r="T50368" s="41"/>
    </row>
    <row r="50369" spans="20:20" s="566" customFormat="1">
      <c r="T50369" s="41"/>
    </row>
    <row r="50370" spans="20:20" s="566" customFormat="1">
      <c r="T50370" s="41"/>
    </row>
    <row r="50371" spans="20:20" s="566" customFormat="1">
      <c r="T50371" s="41"/>
    </row>
    <row r="50372" spans="20:20" s="566" customFormat="1">
      <c r="T50372" s="41"/>
    </row>
    <row r="50373" spans="20:20" s="566" customFormat="1">
      <c r="T50373" s="41"/>
    </row>
    <row r="50374" spans="20:20" s="566" customFormat="1">
      <c r="T50374" s="41"/>
    </row>
    <row r="50375" spans="20:20" s="566" customFormat="1">
      <c r="T50375" s="41"/>
    </row>
    <row r="50376" spans="20:20" s="566" customFormat="1">
      <c r="T50376" s="41"/>
    </row>
    <row r="50377" spans="20:20" s="566" customFormat="1">
      <c r="T50377" s="41"/>
    </row>
    <row r="50378" spans="20:20" s="566" customFormat="1">
      <c r="T50378" s="41"/>
    </row>
    <row r="50379" spans="20:20" s="566" customFormat="1">
      <c r="T50379" s="41"/>
    </row>
    <row r="50380" spans="20:20" s="566" customFormat="1">
      <c r="T50380" s="41"/>
    </row>
    <row r="50381" spans="20:20" s="566" customFormat="1">
      <c r="T50381" s="41"/>
    </row>
    <row r="50382" spans="20:20" s="566" customFormat="1">
      <c r="T50382" s="41"/>
    </row>
    <row r="50383" spans="20:20" s="566" customFormat="1">
      <c r="T50383" s="41"/>
    </row>
    <row r="50384" spans="20:20" s="566" customFormat="1">
      <c r="T50384" s="41"/>
    </row>
    <row r="50385" spans="20:20" s="566" customFormat="1">
      <c r="T50385" s="41"/>
    </row>
    <row r="50386" spans="20:20" s="566" customFormat="1">
      <c r="T50386" s="41"/>
    </row>
    <row r="50387" spans="20:20" s="566" customFormat="1">
      <c r="T50387" s="41"/>
    </row>
    <row r="50388" spans="20:20" s="566" customFormat="1">
      <c r="T50388" s="41"/>
    </row>
    <row r="50389" spans="20:20" s="566" customFormat="1">
      <c r="T50389" s="41"/>
    </row>
    <row r="50390" spans="20:20" s="566" customFormat="1">
      <c r="T50390" s="41"/>
    </row>
    <row r="50391" spans="20:20" s="566" customFormat="1">
      <c r="T50391" s="41"/>
    </row>
    <row r="50392" spans="20:20" s="566" customFormat="1">
      <c r="T50392" s="41"/>
    </row>
    <row r="50393" spans="20:20" s="566" customFormat="1">
      <c r="T50393" s="41"/>
    </row>
    <row r="50394" spans="20:20" s="566" customFormat="1">
      <c r="T50394" s="41"/>
    </row>
    <row r="50395" spans="20:20" s="566" customFormat="1">
      <c r="T50395" s="41"/>
    </row>
    <row r="50396" spans="20:20" s="566" customFormat="1">
      <c r="T50396" s="41"/>
    </row>
    <row r="50397" spans="20:20" s="566" customFormat="1">
      <c r="T50397" s="41"/>
    </row>
    <row r="50398" spans="20:20" s="566" customFormat="1">
      <c r="T50398" s="41"/>
    </row>
    <row r="50399" spans="20:20" s="566" customFormat="1">
      <c r="T50399" s="41"/>
    </row>
    <row r="50400" spans="20:20" s="566" customFormat="1">
      <c r="T50400" s="41"/>
    </row>
    <row r="50401" spans="20:20" s="566" customFormat="1">
      <c r="T50401" s="41"/>
    </row>
    <row r="50402" spans="20:20" s="566" customFormat="1">
      <c r="T50402" s="41"/>
    </row>
    <row r="50403" spans="20:20" s="566" customFormat="1">
      <c r="T50403" s="41"/>
    </row>
    <row r="50404" spans="20:20" s="566" customFormat="1">
      <c r="T50404" s="41"/>
    </row>
    <row r="50405" spans="20:20" s="566" customFormat="1">
      <c r="T50405" s="41"/>
    </row>
    <row r="50406" spans="20:20" s="566" customFormat="1">
      <c r="T50406" s="41"/>
    </row>
    <row r="50407" spans="20:20" s="566" customFormat="1">
      <c r="T50407" s="41"/>
    </row>
    <row r="50408" spans="20:20" s="566" customFormat="1">
      <c r="T50408" s="41"/>
    </row>
    <row r="50409" spans="20:20" s="566" customFormat="1">
      <c r="T50409" s="41"/>
    </row>
    <row r="50410" spans="20:20" s="566" customFormat="1">
      <c r="T50410" s="41"/>
    </row>
    <row r="50411" spans="20:20" s="566" customFormat="1">
      <c r="T50411" s="41"/>
    </row>
    <row r="50412" spans="20:20" s="566" customFormat="1">
      <c r="T50412" s="41"/>
    </row>
    <row r="50413" spans="20:20" s="566" customFormat="1">
      <c r="T50413" s="41"/>
    </row>
    <row r="50414" spans="20:20" s="566" customFormat="1">
      <c r="T50414" s="41"/>
    </row>
    <row r="50415" spans="20:20" s="566" customFormat="1">
      <c r="T50415" s="41"/>
    </row>
    <row r="50416" spans="20:20" s="566" customFormat="1">
      <c r="T50416" s="41"/>
    </row>
    <row r="50417" spans="20:20" s="566" customFormat="1">
      <c r="T50417" s="41"/>
    </row>
    <row r="50418" spans="20:20" s="566" customFormat="1">
      <c r="T50418" s="41"/>
    </row>
    <row r="50419" spans="20:20" s="566" customFormat="1">
      <c r="T50419" s="41"/>
    </row>
    <row r="50420" spans="20:20" s="566" customFormat="1">
      <c r="T50420" s="41"/>
    </row>
    <row r="50421" spans="20:20" s="566" customFormat="1">
      <c r="T50421" s="41"/>
    </row>
    <row r="50422" spans="20:20" s="566" customFormat="1">
      <c r="T50422" s="41"/>
    </row>
    <row r="50423" spans="20:20" s="566" customFormat="1">
      <c r="T50423" s="41"/>
    </row>
    <row r="50424" spans="20:20" s="566" customFormat="1">
      <c r="T50424" s="41"/>
    </row>
    <row r="50425" spans="20:20" s="566" customFormat="1">
      <c r="T50425" s="41"/>
    </row>
    <row r="50426" spans="20:20" s="566" customFormat="1">
      <c r="T50426" s="41"/>
    </row>
    <row r="50427" spans="20:20" s="566" customFormat="1">
      <c r="T50427" s="41"/>
    </row>
    <row r="50428" spans="20:20" s="566" customFormat="1">
      <c r="T50428" s="41"/>
    </row>
    <row r="50429" spans="20:20" s="566" customFormat="1">
      <c r="T50429" s="41"/>
    </row>
    <row r="50430" spans="20:20" s="566" customFormat="1">
      <c r="T50430" s="41"/>
    </row>
    <row r="50431" spans="20:20" s="566" customFormat="1">
      <c r="T50431" s="41"/>
    </row>
    <row r="50432" spans="20:20" s="566" customFormat="1">
      <c r="T50432" s="41"/>
    </row>
    <row r="50433" spans="20:20" s="566" customFormat="1">
      <c r="T50433" s="41"/>
    </row>
    <row r="50434" spans="20:20" s="566" customFormat="1">
      <c r="T50434" s="41"/>
    </row>
    <row r="50435" spans="20:20" s="566" customFormat="1">
      <c r="T50435" s="41"/>
    </row>
    <row r="50436" spans="20:20" s="566" customFormat="1">
      <c r="T50436" s="41"/>
    </row>
    <row r="50437" spans="20:20" s="566" customFormat="1">
      <c r="T50437" s="41"/>
    </row>
    <row r="50438" spans="20:20" s="566" customFormat="1">
      <c r="T50438" s="41"/>
    </row>
    <row r="50439" spans="20:20" s="566" customFormat="1">
      <c r="T50439" s="41"/>
    </row>
    <row r="50440" spans="20:20" s="566" customFormat="1">
      <c r="T50440" s="41"/>
    </row>
    <row r="50441" spans="20:20" s="566" customFormat="1">
      <c r="T50441" s="41"/>
    </row>
    <row r="50442" spans="20:20" s="566" customFormat="1">
      <c r="T50442" s="41"/>
    </row>
    <row r="50443" spans="20:20" s="566" customFormat="1">
      <c r="T50443" s="41"/>
    </row>
    <row r="50444" spans="20:20" s="566" customFormat="1">
      <c r="T50444" s="41"/>
    </row>
    <row r="50445" spans="20:20" s="566" customFormat="1">
      <c r="T50445" s="41"/>
    </row>
    <row r="50446" spans="20:20" s="566" customFormat="1">
      <c r="T50446" s="41"/>
    </row>
    <row r="50447" spans="20:20" s="566" customFormat="1">
      <c r="T50447" s="41"/>
    </row>
    <row r="50448" spans="20:20" s="566" customFormat="1">
      <c r="T50448" s="41"/>
    </row>
    <row r="50449" spans="20:20" s="566" customFormat="1">
      <c r="T50449" s="41"/>
    </row>
    <row r="50450" spans="20:20" s="566" customFormat="1">
      <c r="T50450" s="41"/>
    </row>
    <row r="50451" spans="20:20" s="566" customFormat="1">
      <c r="T50451" s="41"/>
    </row>
    <row r="50452" spans="20:20" s="566" customFormat="1">
      <c r="T50452" s="41"/>
    </row>
    <row r="50453" spans="20:20" s="566" customFormat="1">
      <c r="T50453" s="41"/>
    </row>
    <row r="50454" spans="20:20" s="566" customFormat="1">
      <c r="T50454" s="41"/>
    </row>
    <row r="50455" spans="20:20" s="566" customFormat="1">
      <c r="T50455" s="41"/>
    </row>
    <row r="50456" spans="20:20" s="566" customFormat="1">
      <c r="T50456" s="41"/>
    </row>
    <row r="50457" spans="20:20" s="566" customFormat="1">
      <c r="T50457" s="41"/>
    </row>
    <row r="50458" spans="20:20" s="566" customFormat="1">
      <c r="T50458" s="41"/>
    </row>
    <row r="50459" spans="20:20" s="566" customFormat="1">
      <c r="T50459" s="41"/>
    </row>
    <row r="50460" spans="20:20" s="566" customFormat="1">
      <c r="T50460" s="41"/>
    </row>
    <row r="50461" spans="20:20" s="566" customFormat="1">
      <c r="T50461" s="41"/>
    </row>
    <row r="50462" spans="20:20" s="566" customFormat="1">
      <c r="T50462" s="41"/>
    </row>
    <row r="50463" spans="20:20" s="566" customFormat="1">
      <c r="T50463" s="41"/>
    </row>
    <row r="50464" spans="20:20" s="566" customFormat="1">
      <c r="T50464" s="41"/>
    </row>
    <row r="50465" spans="20:20" s="566" customFormat="1">
      <c r="T50465" s="41"/>
    </row>
    <row r="50466" spans="20:20" s="566" customFormat="1">
      <c r="T50466" s="41"/>
    </row>
    <row r="50467" spans="20:20" s="566" customFormat="1">
      <c r="T50467" s="41"/>
    </row>
    <row r="50468" spans="20:20" s="566" customFormat="1">
      <c r="T50468" s="41"/>
    </row>
    <row r="50469" spans="20:20" s="566" customFormat="1">
      <c r="T50469" s="41"/>
    </row>
    <row r="50470" spans="20:20" s="566" customFormat="1">
      <c r="T50470" s="41"/>
    </row>
    <row r="50471" spans="20:20" s="566" customFormat="1">
      <c r="T50471" s="41"/>
    </row>
    <row r="50472" spans="20:20" s="566" customFormat="1">
      <c r="T50472" s="41"/>
    </row>
    <row r="50473" spans="20:20" s="566" customFormat="1">
      <c r="T50473" s="41"/>
    </row>
    <row r="50474" spans="20:20" s="566" customFormat="1">
      <c r="T50474" s="41"/>
    </row>
    <row r="50475" spans="20:20" s="566" customFormat="1">
      <c r="T50475" s="41"/>
    </row>
    <row r="50476" spans="20:20" s="566" customFormat="1">
      <c r="T50476" s="41"/>
    </row>
    <row r="50477" spans="20:20" s="566" customFormat="1">
      <c r="T50477" s="41"/>
    </row>
    <row r="50478" spans="20:20" s="566" customFormat="1">
      <c r="T50478" s="41"/>
    </row>
    <row r="50479" spans="20:20" s="566" customFormat="1">
      <c r="T50479" s="41"/>
    </row>
    <row r="50480" spans="20:20" s="566" customFormat="1">
      <c r="T50480" s="41"/>
    </row>
    <row r="50481" spans="20:20" s="566" customFormat="1">
      <c r="T50481" s="41"/>
    </row>
    <row r="50482" spans="20:20" s="566" customFormat="1">
      <c r="T50482" s="41"/>
    </row>
    <row r="50483" spans="20:20" s="566" customFormat="1">
      <c r="T50483" s="41"/>
    </row>
    <row r="50484" spans="20:20" s="566" customFormat="1">
      <c r="T50484" s="41"/>
    </row>
    <row r="50485" spans="20:20" s="566" customFormat="1">
      <c r="T50485" s="41"/>
    </row>
    <row r="50486" spans="20:20" s="566" customFormat="1">
      <c r="T50486" s="41"/>
    </row>
    <row r="50487" spans="20:20" s="566" customFormat="1">
      <c r="T50487" s="41"/>
    </row>
    <row r="50488" spans="20:20" s="566" customFormat="1">
      <c r="T50488" s="41"/>
    </row>
    <row r="50489" spans="20:20" s="566" customFormat="1">
      <c r="T50489" s="41"/>
    </row>
    <row r="50490" spans="20:20" s="566" customFormat="1">
      <c r="T50490" s="41"/>
    </row>
    <row r="50491" spans="20:20" s="566" customFormat="1">
      <c r="T50491" s="41"/>
    </row>
    <row r="50492" spans="20:20" s="566" customFormat="1">
      <c r="T50492" s="41"/>
    </row>
    <row r="50493" spans="20:20" s="566" customFormat="1">
      <c r="T50493" s="41"/>
    </row>
    <row r="50494" spans="20:20" s="566" customFormat="1">
      <c r="T50494" s="41"/>
    </row>
    <row r="50495" spans="20:20" s="566" customFormat="1">
      <c r="T50495" s="41"/>
    </row>
    <row r="50496" spans="20:20" s="566" customFormat="1">
      <c r="T50496" s="41"/>
    </row>
    <row r="50497" spans="20:20" s="566" customFormat="1">
      <c r="T50497" s="41"/>
    </row>
    <row r="50498" spans="20:20" s="566" customFormat="1">
      <c r="T50498" s="41"/>
    </row>
    <row r="50499" spans="20:20" s="566" customFormat="1">
      <c r="T50499" s="41"/>
    </row>
    <row r="50500" spans="20:20" s="566" customFormat="1">
      <c r="T50500" s="41"/>
    </row>
    <row r="50501" spans="20:20" s="566" customFormat="1">
      <c r="T50501" s="41"/>
    </row>
    <row r="50502" spans="20:20" s="566" customFormat="1">
      <c r="T50502" s="41"/>
    </row>
    <row r="50503" spans="20:20" s="566" customFormat="1">
      <c r="T50503" s="41"/>
    </row>
    <row r="50504" spans="20:20" s="566" customFormat="1">
      <c r="T50504" s="41"/>
    </row>
    <row r="50505" spans="20:20" s="566" customFormat="1">
      <c r="T50505" s="41"/>
    </row>
    <row r="50506" spans="20:20" s="566" customFormat="1">
      <c r="T50506" s="41"/>
    </row>
    <row r="50507" spans="20:20" s="566" customFormat="1">
      <c r="T50507" s="41"/>
    </row>
    <row r="50508" spans="20:20" s="566" customFormat="1">
      <c r="T50508" s="41"/>
    </row>
    <row r="50509" spans="20:20" s="566" customFormat="1">
      <c r="T50509" s="41"/>
    </row>
    <row r="50510" spans="20:20" s="566" customFormat="1">
      <c r="T50510" s="41"/>
    </row>
    <row r="50511" spans="20:20" s="566" customFormat="1">
      <c r="T50511" s="41"/>
    </row>
    <row r="50512" spans="20:20" s="566" customFormat="1">
      <c r="T50512" s="41"/>
    </row>
    <row r="50513" spans="20:20" s="566" customFormat="1">
      <c r="T50513" s="41"/>
    </row>
    <row r="50514" spans="20:20" s="566" customFormat="1">
      <c r="T50514" s="41"/>
    </row>
    <row r="50515" spans="20:20" s="566" customFormat="1">
      <c r="T50515" s="41"/>
    </row>
    <row r="50516" spans="20:20" s="566" customFormat="1">
      <c r="T50516" s="41"/>
    </row>
    <row r="50517" spans="20:20" s="566" customFormat="1">
      <c r="T50517" s="41"/>
    </row>
    <row r="50518" spans="20:20" s="566" customFormat="1">
      <c r="T50518" s="41"/>
    </row>
    <row r="50519" spans="20:20" s="566" customFormat="1">
      <c r="T50519" s="41"/>
    </row>
    <row r="50520" spans="20:20" s="566" customFormat="1">
      <c r="T50520" s="41"/>
    </row>
    <row r="50521" spans="20:20" s="566" customFormat="1">
      <c r="T50521" s="41"/>
    </row>
    <row r="50522" spans="20:20" s="566" customFormat="1">
      <c r="T50522" s="41"/>
    </row>
    <row r="50523" spans="20:20" s="566" customFormat="1">
      <c r="T50523" s="41"/>
    </row>
    <row r="50524" spans="20:20" s="566" customFormat="1">
      <c r="T50524" s="41"/>
    </row>
    <row r="50525" spans="20:20" s="566" customFormat="1">
      <c r="T50525" s="41"/>
    </row>
    <row r="50526" spans="20:20" s="566" customFormat="1">
      <c r="T50526" s="41"/>
    </row>
    <row r="50527" spans="20:20" s="566" customFormat="1">
      <c r="T50527" s="41"/>
    </row>
    <row r="50528" spans="20:20" s="566" customFormat="1">
      <c r="T50528" s="41"/>
    </row>
    <row r="50529" spans="20:20" s="566" customFormat="1">
      <c r="T50529" s="41"/>
    </row>
    <row r="50530" spans="20:20" s="566" customFormat="1">
      <c r="T50530" s="41"/>
    </row>
    <row r="50531" spans="20:20" s="566" customFormat="1">
      <c r="T50531" s="41"/>
    </row>
    <row r="50532" spans="20:20" s="566" customFormat="1">
      <c r="T50532" s="41"/>
    </row>
    <row r="50533" spans="20:20" s="566" customFormat="1">
      <c r="T50533" s="41"/>
    </row>
    <row r="50534" spans="20:20" s="566" customFormat="1">
      <c r="T50534" s="41"/>
    </row>
    <row r="50535" spans="20:20" s="566" customFormat="1">
      <c r="T50535" s="41"/>
    </row>
    <row r="50536" spans="20:20" s="566" customFormat="1">
      <c r="T50536" s="41"/>
    </row>
    <row r="50537" spans="20:20" s="566" customFormat="1">
      <c r="T50537" s="41"/>
    </row>
    <row r="50538" spans="20:20" s="566" customFormat="1">
      <c r="T50538" s="41"/>
    </row>
    <row r="50539" spans="20:20" s="566" customFormat="1">
      <c r="T50539" s="41"/>
    </row>
    <row r="50540" spans="20:20" s="566" customFormat="1">
      <c r="T50540" s="41"/>
    </row>
    <row r="50541" spans="20:20" s="566" customFormat="1">
      <c r="T50541" s="41"/>
    </row>
    <row r="50542" spans="20:20" s="566" customFormat="1">
      <c r="T50542" s="41"/>
    </row>
    <row r="50543" spans="20:20" s="566" customFormat="1">
      <c r="T50543" s="41"/>
    </row>
    <row r="50544" spans="20:20" s="566" customFormat="1">
      <c r="T50544" s="41"/>
    </row>
    <row r="50545" spans="20:20" s="566" customFormat="1">
      <c r="T50545" s="41"/>
    </row>
    <row r="50546" spans="20:20" s="566" customFormat="1">
      <c r="T50546" s="41"/>
    </row>
    <row r="50547" spans="20:20" s="566" customFormat="1">
      <c r="T50547" s="41"/>
    </row>
    <row r="50548" spans="20:20" s="566" customFormat="1">
      <c r="T50548" s="41"/>
    </row>
    <row r="50549" spans="20:20" s="566" customFormat="1">
      <c r="T50549" s="41"/>
    </row>
    <row r="50550" spans="20:20" s="566" customFormat="1">
      <c r="T50550" s="41"/>
    </row>
    <row r="50551" spans="20:20" s="566" customFormat="1">
      <c r="T50551" s="41"/>
    </row>
    <row r="50552" spans="20:20" s="566" customFormat="1">
      <c r="T50552" s="41"/>
    </row>
    <row r="50553" spans="20:20" s="566" customFormat="1">
      <c r="T50553" s="41"/>
    </row>
    <row r="50554" spans="20:20" s="566" customFormat="1">
      <c r="T50554" s="41"/>
    </row>
    <row r="50555" spans="20:20" s="566" customFormat="1">
      <c r="T50555" s="41"/>
    </row>
    <row r="50556" spans="20:20" s="566" customFormat="1">
      <c r="T50556" s="41"/>
    </row>
    <row r="50557" spans="20:20" s="566" customFormat="1">
      <c r="T50557" s="41"/>
    </row>
    <row r="50558" spans="20:20" s="566" customFormat="1">
      <c r="T50558" s="41"/>
    </row>
    <row r="50559" spans="20:20" s="566" customFormat="1">
      <c r="T50559" s="41"/>
    </row>
    <row r="50560" spans="20:20" s="566" customFormat="1">
      <c r="T50560" s="41"/>
    </row>
    <row r="50561" spans="20:20" s="566" customFormat="1">
      <c r="T50561" s="41"/>
    </row>
    <row r="50562" spans="20:20" s="566" customFormat="1">
      <c r="T50562" s="41"/>
    </row>
    <row r="50563" spans="20:20" s="566" customFormat="1">
      <c r="T50563" s="41"/>
    </row>
    <row r="50564" spans="20:20" s="566" customFormat="1">
      <c r="T50564" s="41"/>
    </row>
    <row r="50565" spans="20:20" s="566" customFormat="1">
      <c r="T50565" s="41"/>
    </row>
    <row r="50566" spans="20:20" s="566" customFormat="1">
      <c r="T50566" s="41"/>
    </row>
    <row r="50567" spans="20:20" s="566" customFormat="1">
      <c r="T50567" s="41"/>
    </row>
    <row r="50568" spans="20:20" s="566" customFormat="1">
      <c r="T50568" s="41"/>
    </row>
    <row r="50569" spans="20:20" s="566" customFormat="1">
      <c r="T50569" s="41"/>
    </row>
    <row r="50570" spans="20:20" s="566" customFormat="1">
      <c r="T50570" s="41"/>
    </row>
    <row r="50571" spans="20:20" s="566" customFormat="1">
      <c r="T50571" s="41"/>
    </row>
    <row r="50572" spans="20:20" s="566" customFormat="1">
      <c r="T50572" s="41"/>
    </row>
    <row r="50573" spans="20:20" s="566" customFormat="1">
      <c r="T50573" s="41"/>
    </row>
    <row r="50574" spans="20:20" s="566" customFormat="1">
      <c r="T50574" s="41"/>
    </row>
    <row r="50575" spans="20:20" s="566" customFormat="1">
      <c r="T50575" s="41"/>
    </row>
    <row r="50576" spans="20:20" s="566" customFormat="1">
      <c r="T50576" s="41"/>
    </row>
    <row r="50577" spans="20:20" s="566" customFormat="1">
      <c r="T50577" s="41"/>
    </row>
    <row r="50578" spans="20:20" s="566" customFormat="1">
      <c r="T50578" s="41"/>
    </row>
    <row r="50579" spans="20:20" s="566" customFormat="1">
      <c r="T50579" s="41"/>
    </row>
    <row r="50580" spans="20:20" s="566" customFormat="1">
      <c r="T50580" s="41"/>
    </row>
    <row r="50581" spans="20:20" s="566" customFormat="1">
      <c r="T50581" s="41"/>
    </row>
    <row r="50582" spans="20:20" s="566" customFormat="1">
      <c r="T50582" s="41"/>
    </row>
    <row r="50583" spans="20:20" s="566" customFormat="1">
      <c r="T50583" s="41"/>
    </row>
    <row r="50584" spans="20:20" s="566" customFormat="1">
      <c r="T50584" s="41"/>
    </row>
    <row r="50585" spans="20:20" s="566" customFormat="1">
      <c r="T50585" s="41"/>
    </row>
    <row r="50586" spans="20:20" s="566" customFormat="1">
      <c r="T50586" s="41"/>
    </row>
    <row r="50587" spans="20:20" s="566" customFormat="1">
      <c r="T50587" s="41"/>
    </row>
    <row r="50588" spans="20:20" s="566" customFormat="1">
      <c r="T50588" s="41"/>
    </row>
    <row r="50589" spans="20:20" s="566" customFormat="1">
      <c r="T50589" s="41"/>
    </row>
    <row r="50590" spans="20:20" s="566" customFormat="1">
      <c r="T50590" s="41"/>
    </row>
    <row r="50591" spans="20:20" s="566" customFormat="1">
      <c r="T50591" s="41"/>
    </row>
    <row r="50592" spans="20:20" s="566" customFormat="1">
      <c r="T50592" s="41"/>
    </row>
    <row r="50593" spans="20:20" s="566" customFormat="1">
      <c r="T50593" s="41"/>
    </row>
    <row r="50594" spans="20:20" s="566" customFormat="1">
      <c r="T50594" s="41"/>
    </row>
    <row r="50595" spans="20:20" s="566" customFormat="1">
      <c r="T50595" s="41"/>
    </row>
    <row r="50596" spans="20:20" s="566" customFormat="1">
      <c r="T50596" s="41"/>
    </row>
    <row r="50597" spans="20:20" s="566" customFormat="1">
      <c r="T50597" s="41"/>
    </row>
    <row r="50598" spans="20:20" s="566" customFormat="1">
      <c r="T50598" s="41"/>
    </row>
    <row r="50599" spans="20:20" s="566" customFormat="1">
      <c r="T50599" s="41"/>
    </row>
    <row r="50600" spans="20:20" s="566" customFormat="1">
      <c r="T50600" s="41"/>
    </row>
    <row r="50601" spans="20:20" s="566" customFormat="1">
      <c r="T50601" s="41"/>
    </row>
    <row r="50602" spans="20:20" s="566" customFormat="1">
      <c r="T50602" s="41"/>
    </row>
    <row r="50603" spans="20:20" s="566" customFormat="1">
      <c r="T50603" s="41"/>
    </row>
    <row r="50604" spans="20:20" s="566" customFormat="1">
      <c r="T50604" s="41"/>
    </row>
    <row r="50605" spans="20:20" s="566" customFormat="1">
      <c r="T50605" s="41"/>
    </row>
    <row r="50606" spans="20:20" s="566" customFormat="1">
      <c r="T50606" s="41"/>
    </row>
    <row r="50607" spans="20:20" s="566" customFormat="1">
      <c r="T50607" s="41"/>
    </row>
    <row r="50608" spans="20:20" s="566" customFormat="1">
      <c r="T50608" s="41"/>
    </row>
    <row r="50609" spans="20:20" s="566" customFormat="1">
      <c r="T50609" s="41"/>
    </row>
    <row r="50610" spans="20:20" s="566" customFormat="1">
      <c r="T50610" s="41"/>
    </row>
    <row r="50611" spans="20:20" s="566" customFormat="1">
      <c r="T50611" s="41"/>
    </row>
    <row r="50612" spans="20:20" s="566" customFormat="1">
      <c r="T50612" s="41"/>
    </row>
    <row r="50613" spans="20:20" s="566" customFormat="1">
      <c r="T50613" s="41"/>
    </row>
    <row r="50614" spans="20:20" s="566" customFormat="1">
      <c r="T50614" s="41"/>
    </row>
    <row r="50615" spans="20:20" s="566" customFormat="1">
      <c r="T50615" s="41"/>
    </row>
    <row r="50616" spans="20:20" s="566" customFormat="1">
      <c r="T50616" s="41"/>
    </row>
    <row r="50617" spans="20:20" s="566" customFormat="1">
      <c r="T50617" s="41"/>
    </row>
    <row r="50618" spans="20:20" s="566" customFormat="1">
      <c r="T50618" s="41"/>
    </row>
    <row r="50619" spans="20:20" s="566" customFormat="1">
      <c r="T50619" s="41"/>
    </row>
    <row r="50620" spans="20:20" s="566" customFormat="1">
      <c r="T50620" s="41"/>
    </row>
    <row r="50621" spans="20:20" s="566" customFormat="1">
      <c r="T50621" s="41"/>
    </row>
    <row r="50622" spans="20:20" s="566" customFormat="1">
      <c r="T50622" s="41"/>
    </row>
    <row r="50623" spans="20:20" s="566" customFormat="1">
      <c r="T50623" s="41"/>
    </row>
    <row r="50624" spans="20:20" s="566" customFormat="1">
      <c r="T50624" s="41"/>
    </row>
    <row r="50625" spans="20:20" s="566" customFormat="1">
      <c r="T50625" s="41"/>
    </row>
    <row r="50626" spans="20:20" s="566" customFormat="1">
      <c r="T50626" s="41"/>
    </row>
    <row r="50627" spans="20:20" s="566" customFormat="1">
      <c r="T50627" s="41"/>
    </row>
    <row r="50628" spans="20:20" s="566" customFormat="1">
      <c r="T50628" s="41"/>
    </row>
    <row r="50629" spans="20:20" s="566" customFormat="1">
      <c r="T50629" s="41"/>
    </row>
    <row r="50630" spans="20:20" s="566" customFormat="1">
      <c r="T50630" s="41"/>
    </row>
    <row r="50631" spans="20:20" s="566" customFormat="1">
      <c r="T50631" s="41"/>
    </row>
    <row r="50632" spans="20:20" s="566" customFormat="1">
      <c r="T50632" s="41"/>
    </row>
    <row r="50633" spans="20:20" s="566" customFormat="1">
      <c r="T50633" s="41"/>
    </row>
    <row r="50634" spans="20:20" s="566" customFormat="1">
      <c r="T50634" s="41"/>
    </row>
    <row r="50635" spans="20:20" s="566" customFormat="1">
      <c r="T50635" s="41"/>
    </row>
    <row r="50636" spans="20:20" s="566" customFormat="1">
      <c r="T50636" s="41"/>
    </row>
    <row r="50637" spans="20:20" s="566" customFormat="1">
      <c r="T50637" s="41"/>
    </row>
    <row r="50638" spans="20:20" s="566" customFormat="1">
      <c r="T50638" s="41"/>
    </row>
    <row r="50639" spans="20:20" s="566" customFormat="1">
      <c r="T50639" s="41"/>
    </row>
    <row r="50640" spans="20:20" s="566" customFormat="1">
      <c r="T50640" s="41"/>
    </row>
    <row r="50641" spans="20:20" s="566" customFormat="1">
      <c r="T50641" s="41"/>
    </row>
    <row r="50642" spans="20:20" s="566" customFormat="1">
      <c r="T50642" s="41"/>
    </row>
    <row r="50643" spans="20:20" s="566" customFormat="1">
      <c r="T50643" s="41"/>
    </row>
    <row r="50644" spans="20:20" s="566" customFormat="1">
      <c r="T50644" s="41"/>
    </row>
    <row r="50645" spans="20:20" s="566" customFormat="1">
      <c r="T50645" s="41"/>
    </row>
    <row r="50646" spans="20:20" s="566" customFormat="1">
      <c r="T50646" s="41"/>
    </row>
    <row r="50647" spans="20:20" s="566" customFormat="1">
      <c r="T50647" s="41"/>
    </row>
    <row r="50648" spans="20:20" s="566" customFormat="1">
      <c r="T50648" s="41"/>
    </row>
    <row r="50649" spans="20:20" s="566" customFormat="1">
      <c r="T50649" s="41"/>
    </row>
    <row r="50650" spans="20:20" s="566" customFormat="1">
      <c r="T50650" s="41"/>
    </row>
    <row r="50651" spans="20:20" s="566" customFormat="1">
      <c r="T50651" s="41"/>
    </row>
    <row r="50652" spans="20:20" s="566" customFormat="1">
      <c r="T50652" s="41"/>
    </row>
    <row r="50653" spans="20:20" s="566" customFormat="1">
      <c r="T50653" s="41"/>
    </row>
    <row r="50654" spans="20:20" s="566" customFormat="1">
      <c r="T50654" s="41"/>
    </row>
    <row r="50655" spans="20:20" s="566" customFormat="1">
      <c r="T50655" s="41"/>
    </row>
    <row r="50656" spans="20:20" s="566" customFormat="1">
      <c r="T50656" s="41"/>
    </row>
    <row r="50657" spans="20:20" s="566" customFormat="1">
      <c r="T50657" s="41"/>
    </row>
    <row r="50658" spans="20:20" s="566" customFormat="1">
      <c r="T50658" s="41"/>
    </row>
    <row r="50659" spans="20:20" s="566" customFormat="1">
      <c r="T50659" s="41"/>
    </row>
    <row r="50660" spans="20:20" s="566" customFormat="1">
      <c r="T50660" s="41"/>
    </row>
    <row r="50661" spans="20:20" s="566" customFormat="1">
      <c r="T50661" s="41"/>
    </row>
    <row r="50662" spans="20:20" s="566" customFormat="1">
      <c r="T50662" s="41"/>
    </row>
    <row r="50663" spans="20:20" s="566" customFormat="1">
      <c r="T50663" s="41"/>
    </row>
    <row r="50664" spans="20:20" s="566" customFormat="1">
      <c r="T50664" s="41"/>
    </row>
    <row r="50665" spans="20:20" s="566" customFormat="1">
      <c r="T50665" s="41"/>
    </row>
    <row r="50666" spans="20:20" s="566" customFormat="1">
      <c r="T50666" s="41"/>
    </row>
    <row r="50667" spans="20:20" s="566" customFormat="1">
      <c r="T50667" s="41"/>
    </row>
    <row r="50668" spans="20:20" s="566" customFormat="1">
      <c r="T50668" s="41"/>
    </row>
    <row r="50669" spans="20:20" s="566" customFormat="1">
      <c r="T50669" s="41"/>
    </row>
    <row r="50670" spans="20:20" s="566" customFormat="1">
      <c r="T50670" s="41"/>
    </row>
    <row r="50671" spans="20:20" s="566" customFormat="1">
      <c r="T50671" s="41"/>
    </row>
    <row r="50672" spans="20:20" s="566" customFormat="1">
      <c r="T50672" s="41"/>
    </row>
    <row r="50673" spans="20:20" s="566" customFormat="1">
      <c r="T50673" s="41"/>
    </row>
    <row r="50674" spans="20:20" s="566" customFormat="1">
      <c r="T50674" s="41"/>
    </row>
    <row r="50675" spans="20:20" s="566" customFormat="1">
      <c r="T50675" s="41"/>
    </row>
    <row r="50676" spans="20:20" s="566" customFormat="1">
      <c r="T50676" s="41"/>
    </row>
    <row r="50677" spans="20:20" s="566" customFormat="1">
      <c r="T50677" s="41"/>
    </row>
    <row r="50678" spans="20:20" s="566" customFormat="1">
      <c r="T50678" s="41"/>
    </row>
    <row r="50679" spans="20:20" s="566" customFormat="1">
      <c r="T50679" s="41"/>
    </row>
    <row r="50680" spans="20:20" s="566" customFormat="1">
      <c r="T50680" s="41"/>
    </row>
    <row r="50681" spans="20:20" s="566" customFormat="1">
      <c r="T50681" s="41"/>
    </row>
    <row r="50682" spans="20:20" s="566" customFormat="1">
      <c r="T50682" s="41"/>
    </row>
    <row r="50683" spans="20:20" s="566" customFormat="1">
      <c r="T50683" s="41"/>
    </row>
    <row r="50684" spans="20:20" s="566" customFormat="1">
      <c r="T50684" s="41"/>
    </row>
    <row r="50685" spans="20:20" s="566" customFormat="1">
      <c r="T50685" s="41"/>
    </row>
    <row r="50686" spans="20:20" s="566" customFormat="1">
      <c r="T50686" s="41"/>
    </row>
    <row r="50687" spans="20:20" s="566" customFormat="1">
      <c r="T50687" s="41"/>
    </row>
    <row r="50688" spans="20:20" s="566" customFormat="1">
      <c r="T50688" s="41"/>
    </row>
    <row r="50689" spans="20:20" s="566" customFormat="1">
      <c r="T50689" s="41"/>
    </row>
    <row r="50690" spans="20:20" s="566" customFormat="1">
      <c r="T50690" s="41"/>
    </row>
    <row r="50691" spans="20:20" s="566" customFormat="1">
      <c r="T50691" s="41"/>
    </row>
    <row r="50692" spans="20:20" s="566" customFormat="1">
      <c r="T50692" s="41"/>
    </row>
    <row r="50693" spans="20:20" s="566" customFormat="1">
      <c r="T50693" s="41"/>
    </row>
    <row r="50694" spans="20:20" s="566" customFormat="1">
      <c r="T50694" s="41"/>
    </row>
    <row r="50695" spans="20:20" s="566" customFormat="1">
      <c r="T50695" s="41"/>
    </row>
    <row r="50696" spans="20:20" s="566" customFormat="1">
      <c r="T50696" s="41"/>
    </row>
    <row r="50697" spans="20:20" s="566" customFormat="1">
      <c r="T50697" s="41"/>
    </row>
    <row r="50698" spans="20:20" s="566" customFormat="1">
      <c r="T50698" s="41"/>
    </row>
    <row r="50699" spans="20:20" s="566" customFormat="1">
      <c r="T50699" s="41"/>
    </row>
    <row r="50700" spans="20:20" s="566" customFormat="1">
      <c r="T50700" s="41"/>
    </row>
    <row r="50701" spans="20:20" s="566" customFormat="1">
      <c r="T50701" s="41"/>
    </row>
    <row r="50702" spans="20:20" s="566" customFormat="1">
      <c r="T50702" s="41"/>
    </row>
    <row r="50703" spans="20:20" s="566" customFormat="1">
      <c r="T50703" s="41"/>
    </row>
    <row r="50704" spans="20:20" s="566" customFormat="1">
      <c r="T50704" s="41"/>
    </row>
    <row r="50705" spans="20:20" s="566" customFormat="1">
      <c r="T50705" s="41"/>
    </row>
    <row r="50706" spans="20:20" s="566" customFormat="1">
      <c r="T50706" s="41"/>
    </row>
    <row r="50707" spans="20:20" s="566" customFormat="1">
      <c r="T50707" s="41"/>
    </row>
    <row r="50708" spans="20:20" s="566" customFormat="1">
      <c r="T50708" s="41"/>
    </row>
    <row r="50709" spans="20:20" s="566" customFormat="1">
      <c r="T50709" s="41"/>
    </row>
    <row r="50710" spans="20:20" s="566" customFormat="1">
      <c r="T50710" s="41"/>
    </row>
    <row r="50711" spans="20:20" s="566" customFormat="1">
      <c r="T50711" s="41"/>
    </row>
    <row r="50712" spans="20:20" s="566" customFormat="1">
      <c r="T50712" s="41"/>
    </row>
    <row r="50713" spans="20:20" s="566" customFormat="1">
      <c r="T50713" s="41"/>
    </row>
    <row r="50714" spans="20:20" s="566" customFormat="1">
      <c r="T50714" s="41"/>
    </row>
    <row r="50715" spans="20:20" s="566" customFormat="1">
      <c r="T50715" s="41"/>
    </row>
    <row r="50716" spans="20:20" s="566" customFormat="1">
      <c r="T50716" s="41"/>
    </row>
    <row r="50717" spans="20:20" s="566" customFormat="1">
      <c r="T50717" s="41"/>
    </row>
    <row r="50718" spans="20:20" s="566" customFormat="1">
      <c r="T50718" s="41"/>
    </row>
    <row r="50719" spans="20:20" s="566" customFormat="1">
      <c r="T50719" s="41"/>
    </row>
    <row r="50720" spans="20:20" s="566" customFormat="1">
      <c r="T50720" s="41"/>
    </row>
    <row r="50721" spans="20:20" s="566" customFormat="1">
      <c r="T50721" s="41"/>
    </row>
    <row r="50722" spans="20:20" s="566" customFormat="1">
      <c r="T50722" s="41"/>
    </row>
    <row r="50723" spans="20:20" s="566" customFormat="1">
      <c r="T50723" s="41"/>
    </row>
    <row r="50724" spans="20:20" s="566" customFormat="1">
      <c r="T50724" s="41"/>
    </row>
    <row r="50725" spans="20:20" s="566" customFormat="1">
      <c r="T50725" s="41"/>
    </row>
    <row r="50726" spans="20:20" s="566" customFormat="1">
      <c r="T50726" s="41"/>
    </row>
    <row r="50727" spans="20:20" s="566" customFormat="1">
      <c r="T50727" s="41"/>
    </row>
    <row r="50728" spans="20:20" s="566" customFormat="1">
      <c r="T50728" s="41"/>
    </row>
    <row r="50729" spans="20:20" s="566" customFormat="1">
      <c r="T50729" s="41"/>
    </row>
    <row r="50730" spans="20:20" s="566" customFormat="1">
      <c r="T50730" s="41"/>
    </row>
    <row r="50731" spans="20:20" s="566" customFormat="1">
      <c r="T50731" s="41"/>
    </row>
    <row r="50732" spans="20:20" s="566" customFormat="1">
      <c r="T50732" s="41"/>
    </row>
    <row r="50733" spans="20:20" s="566" customFormat="1">
      <c r="T50733" s="41"/>
    </row>
    <row r="50734" spans="20:20" s="566" customFormat="1">
      <c r="T50734" s="41"/>
    </row>
    <row r="50735" spans="20:20" s="566" customFormat="1">
      <c r="T50735" s="41"/>
    </row>
    <row r="50736" spans="20:20" s="566" customFormat="1">
      <c r="T50736" s="41"/>
    </row>
    <row r="50737" spans="20:20" s="566" customFormat="1">
      <c r="T50737" s="41"/>
    </row>
    <row r="50738" spans="20:20" s="566" customFormat="1">
      <c r="T50738" s="41"/>
    </row>
    <row r="50739" spans="20:20" s="566" customFormat="1">
      <c r="T50739" s="41"/>
    </row>
    <row r="50740" spans="20:20" s="566" customFormat="1">
      <c r="T50740" s="41"/>
    </row>
    <row r="50741" spans="20:20" s="566" customFormat="1">
      <c r="T50741" s="41"/>
    </row>
    <row r="50742" spans="20:20" s="566" customFormat="1">
      <c r="T50742" s="41"/>
    </row>
    <row r="50743" spans="20:20" s="566" customFormat="1">
      <c r="T50743" s="41"/>
    </row>
    <row r="50744" spans="20:20" s="566" customFormat="1">
      <c r="T50744" s="41"/>
    </row>
    <row r="50745" spans="20:20" s="566" customFormat="1">
      <c r="T50745" s="41"/>
    </row>
    <row r="50746" spans="20:20" s="566" customFormat="1">
      <c r="T50746" s="41"/>
    </row>
    <row r="50747" spans="20:20" s="566" customFormat="1">
      <c r="T50747" s="41"/>
    </row>
    <row r="50748" spans="20:20" s="566" customFormat="1">
      <c r="T50748" s="41"/>
    </row>
    <row r="50749" spans="20:20" s="566" customFormat="1">
      <c r="T50749" s="41"/>
    </row>
    <row r="50750" spans="20:20" s="566" customFormat="1">
      <c r="T50750" s="41"/>
    </row>
    <row r="50751" spans="20:20" s="566" customFormat="1">
      <c r="T50751" s="41"/>
    </row>
    <row r="50752" spans="20:20" s="566" customFormat="1">
      <c r="T50752" s="41"/>
    </row>
    <row r="50753" spans="20:20" s="566" customFormat="1">
      <c r="T50753" s="41"/>
    </row>
    <row r="50754" spans="20:20" s="566" customFormat="1">
      <c r="T50754" s="41"/>
    </row>
    <row r="50755" spans="20:20" s="566" customFormat="1">
      <c r="T50755" s="41"/>
    </row>
    <row r="50756" spans="20:20" s="566" customFormat="1">
      <c r="T50756" s="41"/>
    </row>
    <row r="50757" spans="20:20" s="566" customFormat="1">
      <c r="T50757" s="41"/>
    </row>
    <row r="50758" spans="20:20" s="566" customFormat="1">
      <c r="T50758" s="41"/>
    </row>
    <row r="50759" spans="20:20" s="566" customFormat="1">
      <c r="T50759" s="41"/>
    </row>
    <row r="50760" spans="20:20" s="566" customFormat="1">
      <c r="T50760" s="41"/>
    </row>
    <row r="50761" spans="20:20" s="566" customFormat="1">
      <c r="T50761" s="41"/>
    </row>
    <row r="50762" spans="20:20" s="566" customFormat="1">
      <c r="T50762" s="41"/>
    </row>
    <row r="50763" spans="20:20" s="566" customFormat="1">
      <c r="T50763" s="41"/>
    </row>
    <row r="50764" spans="20:20" s="566" customFormat="1">
      <c r="T50764" s="41"/>
    </row>
    <row r="50765" spans="20:20" s="566" customFormat="1">
      <c r="T50765" s="41"/>
    </row>
    <row r="50766" spans="20:20" s="566" customFormat="1">
      <c r="T50766" s="41"/>
    </row>
    <row r="50767" spans="20:20" s="566" customFormat="1">
      <c r="T50767" s="41"/>
    </row>
    <row r="50768" spans="20:20" s="566" customFormat="1">
      <c r="T50768" s="41"/>
    </row>
    <row r="50769" spans="20:20" s="566" customFormat="1">
      <c r="T50769" s="41"/>
    </row>
    <row r="50770" spans="20:20" s="566" customFormat="1">
      <c r="T50770" s="41"/>
    </row>
    <row r="50771" spans="20:20" s="566" customFormat="1">
      <c r="T50771" s="41"/>
    </row>
    <row r="50772" spans="20:20" s="566" customFormat="1">
      <c r="T50772" s="41"/>
    </row>
    <row r="50773" spans="20:20" s="566" customFormat="1">
      <c r="T50773" s="41"/>
    </row>
    <row r="50774" spans="20:20" s="566" customFormat="1">
      <c r="T50774" s="41"/>
    </row>
    <row r="50775" spans="20:20" s="566" customFormat="1">
      <c r="T50775" s="41"/>
    </row>
    <row r="50776" spans="20:20" s="566" customFormat="1">
      <c r="T50776" s="41"/>
    </row>
    <row r="50777" spans="20:20" s="566" customFormat="1">
      <c r="T50777" s="41"/>
    </row>
    <row r="50778" spans="20:20" s="566" customFormat="1">
      <c r="T50778" s="41"/>
    </row>
    <row r="50779" spans="20:20" s="566" customFormat="1">
      <c r="T50779" s="41"/>
    </row>
    <row r="50780" spans="20:20" s="566" customFormat="1">
      <c r="T50780" s="41"/>
    </row>
    <row r="50781" spans="20:20" s="566" customFormat="1">
      <c r="T50781" s="41"/>
    </row>
    <row r="50782" spans="20:20" s="566" customFormat="1">
      <c r="T50782" s="41"/>
    </row>
    <row r="50783" spans="20:20" s="566" customFormat="1">
      <c r="T50783" s="41"/>
    </row>
    <row r="50784" spans="20:20" s="566" customFormat="1">
      <c r="T50784" s="41"/>
    </row>
    <row r="50785" spans="20:20" s="566" customFormat="1">
      <c r="T50785" s="41"/>
    </row>
    <row r="50786" spans="20:20" s="566" customFormat="1">
      <c r="T50786" s="41"/>
    </row>
    <row r="50787" spans="20:20" s="566" customFormat="1">
      <c r="T50787" s="41"/>
    </row>
    <row r="50788" spans="20:20" s="566" customFormat="1">
      <c r="T50788" s="41"/>
    </row>
    <row r="50789" spans="20:20" s="566" customFormat="1">
      <c r="T50789" s="41"/>
    </row>
    <row r="50790" spans="20:20" s="566" customFormat="1">
      <c r="T50790" s="41"/>
    </row>
    <row r="50791" spans="20:20" s="566" customFormat="1">
      <c r="T50791" s="41"/>
    </row>
    <row r="50792" spans="20:20" s="566" customFormat="1">
      <c r="T50792" s="41"/>
    </row>
    <row r="50793" spans="20:20" s="566" customFormat="1">
      <c r="T50793" s="41"/>
    </row>
    <row r="50794" spans="20:20" s="566" customFormat="1">
      <c r="T50794" s="41"/>
    </row>
    <row r="50795" spans="20:20" s="566" customFormat="1">
      <c r="T50795" s="41"/>
    </row>
    <row r="50796" spans="20:20" s="566" customFormat="1">
      <c r="T50796" s="41"/>
    </row>
    <row r="50797" spans="20:20" s="566" customFormat="1">
      <c r="T50797" s="41"/>
    </row>
    <row r="50798" spans="20:20" s="566" customFormat="1">
      <c r="T50798" s="41"/>
    </row>
    <row r="50799" spans="20:20" s="566" customFormat="1">
      <c r="T50799" s="41"/>
    </row>
    <row r="50800" spans="20:20" s="566" customFormat="1">
      <c r="T50800" s="41"/>
    </row>
    <row r="50801" spans="20:20" s="566" customFormat="1">
      <c r="T50801" s="41"/>
    </row>
    <row r="50802" spans="20:20" s="566" customFormat="1">
      <c r="T50802" s="41"/>
    </row>
    <row r="50803" spans="20:20" s="566" customFormat="1">
      <c r="T50803" s="41"/>
    </row>
    <row r="50804" spans="20:20" s="566" customFormat="1">
      <c r="T50804" s="41"/>
    </row>
    <row r="50805" spans="20:20" s="566" customFormat="1">
      <c r="T50805" s="41"/>
    </row>
    <row r="50806" spans="20:20" s="566" customFormat="1">
      <c r="T50806" s="41"/>
    </row>
    <row r="50807" spans="20:20" s="566" customFormat="1">
      <c r="T50807" s="41"/>
    </row>
    <row r="50808" spans="20:20" s="566" customFormat="1">
      <c r="T50808" s="41"/>
    </row>
    <row r="50809" spans="20:20" s="566" customFormat="1">
      <c r="T50809" s="41"/>
    </row>
    <row r="50810" spans="20:20" s="566" customFormat="1">
      <c r="T50810" s="41"/>
    </row>
    <row r="50811" spans="20:20" s="566" customFormat="1">
      <c r="T50811" s="41"/>
    </row>
    <row r="50812" spans="20:20" s="566" customFormat="1">
      <c r="T50812" s="41"/>
    </row>
    <row r="50813" spans="20:20" s="566" customFormat="1">
      <c r="T50813" s="41"/>
    </row>
    <row r="50814" spans="20:20" s="566" customFormat="1">
      <c r="T50814" s="41"/>
    </row>
    <row r="50815" spans="20:20" s="566" customFormat="1">
      <c r="T50815" s="41"/>
    </row>
    <row r="50816" spans="20:20" s="566" customFormat="1">
      <c r="T50816" s="41"/>
    </row>
    <row r="50817" spans="20:20" s="566" customFormat="1">
      <c r="T50817" s="41"/>
    </row>
    <row r="50818" spans="20:20" s="566" customFormat="1">
      <c r="T50818" s="41"/>
    </row>
    <row r="50819" spans="20:20" s="566" customFormat="1">
      <c r="T50819" s="41"/>
    </row>
    <row r="50820" spans="20:20" s="566" customFormat="1">
      <c r="T50820" s="41"/>
    </row>
    <row r="50821" spans="20:20" s="566" customFormat="1">
      <c r="T50821" s="41"/>
    </row>
    <row r="50822" spans="20:20" s="566" customFormat="1">
      <c r="T50822" s="41"/>
    </row>
    <row r="50823" spans="20:20" s="566" customFormat="1">
      <c r="T50823" s="41"/>
    </row>
    <row r="50824" spans="20:20" s="566" customFormat="1">
      <c r="T50824" s="41"/>
    </row>
    <row r="50825" spans="20:20" s="566" customFormat="1">
      <c r="T50825" s="41"/>
    </row>
    <row r="50826" spans="20:20" s="566" customFormat="1">
      <c r="T50826" s="41"/>
    </row>
    <row r="50827" spans="20:20" s="566" customFormat="1">
      <c r="T50827" s="41"/>
    </row>
    <row r="50828" spans="20:20" s="566" customFormat="1">
      <c r="T50828" s="41"/>
    </row>
    <row r="50829" spans="20:20" s="566" customFormat="1">
      <c r="T50829" s="41"/>
    </row>
    <row r="50830" spans="20:20" s="566" customFormat="1">
      <c r="T50830" s="41"/>
    </row>
    <row r="50831" spans="20:20" s="566" customFormat="1">
      <c r="T50831" s="41"/>
    </row>
    <row r="50832" spans="20:20" s="566" customFormat="1">
      <c r="T50832" s="41"/>
    </row>
    <row r="50833" spans="20:20" s="566" customFormat="1">
      <c r="T50833" s="41"/>
    </row>
    <row r="50834" spans="20:20" s="566" customFormat="1">
      <c r="T50834" s="41"/>
    </row>
    <row r="50835" spans="20:20" s="566" customFormat="1">
      <c r="T50835" s="41"/>
    </row>
    <row r="50836" spans="20:20" s="566" customFormat="1">
      <c r="T50836" s="41"/>
    </row>
    <row r="50837" spans="20:20" s="566" customFormat="1">
      <c r="T50837" s="41"/>
    </row>
    <row r="50838" spans="20:20" s="566" customFormat="1">
      <c r="T50838" s="41"/>
    </row>
    <row r="50839" spans="20:20" s="566" customFormat="1">
      <c r="T50839" s="41"/>
    </row>
    <row r="50840" spans="20:20" s="566" customFormat="1">
      <c r="T50840" s="41"/>
    </row>
    <row r="50841" spans="20:20" s="566" customFormat="1">
      <c r="T50841" s="41"/>
    </row>
    <row r="50842" spans="20:20" s="566" customFormat="1">
      <c r="T50842" s="41"/>
    </row>
    <row r="50843" spans="20:20" s="566" customFormat="1">
      <c r="T50843" s="41"/>
    </row>
    <row r="50844" spans="20:20" s="566" customFormat="1">
      <c r="T50844" s="41"/>
    </row>
    <row r="50845" spans="20:20" s="566" customFormat="1">
      <c r="T50845" s="41"/>
    </row>
    <row r="50846" spans="20:20" s="566" customFormat="1">
      <c r="T50846" s="41"/>
    </row>
    <row r="50847" spans="20:20" s="566" customFormat="1">
      <c r="T50847" s="41"/>
    </row>
    <row r="50848" spans="20:20" s="566" customFormat="1">
      <c r="T50848" s="41"/>
    </row>
    <row r="50849" spans="20:20" s="566" customFormat="1">
      <c r="T50849" s="41"/>
    </row>
    <row r="50850" spans="20:20" s="566" customFormat="1">
      <c r="T50850" s="41"/>
    </row>
    <row r="50851" spans="20:20" s="566" customFormat="1">
      <c r="T50851" s="41"/>
    </row>
    <row r="50852" spans="20:20" s="566" customFormat="1">
      <c r="T50852" s="41"/>
    </row>
    <row r="50853" spans="20:20" s="566" customFormat="1">
      <c r="T50853" s="41"/>
    </row>
    <row r="50854" spans="20:20" s="566" customFormat="1">
      <c r="T50854" s="41"/>
    </row>
    <row r="50855" spans="20:20" s="566" customFormat="1">
      <c r="T50855" s="41"/>
    </row>
    <row r="50856" spans="20:20" s="566" customFormat="1">
      <c r="T50856" s="41"/>
    </row>
    <row r="50857" spans="20:20" s="566" customFormat="1">
      <c r="T50857" s="41"/>
    </row>
    <row r="50858" spans="20:20" s="566" customFormat="1">
      <c r="T50858" s="41"/>
    </row>
    <row r="50859" spans="20:20" s="566" customFormat="1">
      <c r="T50859" s="41"/>
    </row>
    <row r="50860" spans="20:20" s="566" customFormat="1">
      <c r="T50860" s="41"/>
    </row>
    <row r="50861" spans="20:20" s="566" customFormat="1">
      <c r="T50861" s="41"/>
    </row>
    <row r="50862" spans="20:20" s="566" customFormat="1">
      <c r="T50862" s="41"/>
    </row>
    <row r="50863" spans="20:20" s="566" customFormat="1">
      <c r="T50863" s="41"/>
    </row>
    <row r="50864" spans="20:20" s="566" customFormat="1">
      <c r="T50864" s="41"/>
    </row>
    <row r="50865" spans="20:20" s="566" customFormat="1">
      <c r="T50865" s="41"/>
    </row>
    <row r="50866" spans="20:20" s="566" customFormat="1">
      <c r="T50866" s="41"/>
    </row>
    <row r="50867" spans="20:20" s="566" customFormat="1">
      <c r="T50867" s="41"/>
    </row>
    <row r="50868" spans="20:20" s="566" customFormat="1">
      <c r="T50868" s="41"/>
    </row>
    <row r="50869" spans="20:20" s="566" customFormat="1">
      <c r="T50869" s="41"/>
    </row>
    <row r="50870" spans="20:20" s="566" customFormat="1">
      <c r="T50870" s="41"/>
    </row>
    <row r="50871" spans="20:20" s="566" customFormat="1">
      <c r="T50871" s="41"/>
    </row>
    <row r="50872" spans="20:20" s="566" customFormat="1">
      <c r="T50872" s="41"/>
    </row>
    <row r="50873" spans="20:20" s="566" customFormat="1">
      <c r="T50873" s="41"/>
    </row>
    <row r="50874" spans="20:20" s="566" customFormat="1">
      <c r="T50874" s="41"/>
    </row>
    <row r="50875" spans="20:20" s="566" customFormat="1">
      <c r="T50875" s="41"/>
    </row>
    <row r="50876" spans="20:20" s="566" customFormat="1">
      <c r="T50876" s="41"/>
    </row>
    <row r="50877" spans="20:20" s="566" customFormat="1">
      <c r="T50877" s="41"/>
    </row>
    <row r="50878" spans="20:20" s="566" customFormat="1">
      <c r="T50878" s="41"/>
    </row>
    <row r="50879" spans="20:20" s="566" customFormat="1">
      <c r="T50879" s="41"/>
    </row>
    <row r="50880" spans="20:20" s="566" customFormat="1">
      <c r="T50880" s="41"/>
    </row>
    <row r="50881" spans="20:20" s="566" customFormat="1">
      <c r="T50881" s="41"/>
    </row>
    <row r="50882" spans="20:20" s="566" customFormat="1">
      <c r="T50882" s="41"/>
    </row>
    <row r="50883" spans="20:20" s="566" customFormat="1">
      <c r="T50883" s="41"/>
    </row>
    <row r="50884" spans="20:20" s="566" customFormat="1">
      <c r="T50884" s="41"/>
    </row>
    <row r="50885" spans="20:20" s="566" customFormat="1">
      <c r="T50885" s="41"/>
    </row>
    <row r="50886" spans="20:20" s="566" customFormat="1">
      <c r="T50886" s="41"/>
    </row>
    <row r="50887" spans="20:20" s="566" customFormat="1">
      <c r="T50887" s="41"/>
    </row>
    <row r="50888" spans="20:20" s="566" customFormat="1">
      <c r="T50888" s="41"/>
    </row>
    <row r="50889" spans="20:20" s="566" customFormat="1">
      <c r="T50889" s="41"/>
    </row>
    <row r="50890" spans="20:20" s="566" customFormat="1">
      <c r="T50890" s="41"/>
    </row>
    <row r="50891" spans="20:20" s="566" customFormat="1">
      <c r="T50891" s="41"/>
    </row>
    <row r="50892" spans="20:20" s="566" customFormat="1">
      <c r="T50892" s="41"/>
    </row>
    <row r="50893" spans="20:20" s="566" customFormat="1">
      <c r="T50893" s="41"/>
    </row>
    <row r="50894" spans="20:20" s="566" customFormat="1">
      <c r="T50894" s="41"/>
    </row>
    <row r="50895" spans="20:20" s="566" customFormat="1">
      <c r="T50895" s="41"/>
    </row>
    <row r="50896" spans="20:20" s="566" customFormat="1">
      <c r="T50896" s="41"/>
    </row>
    <row r="50897" spans="20:20" s="566" customFormat="1">
      <c r="T50897" s="41"/>
    </row>
    <row r="50898" spans="20:20" s="566" customFormat="1">
      <c r="T50898" s="41"/>
    </row>
    <row r="50899" spans="20:20" s="566" customFormat="1">
      <c r="T50899" s="41"/>
    </row>
    <row r="50900" spans="20:20" s="566" customFormat="1">
      <c r="T50900" s="41"/>
    </row>
    <row r="50901" spans="20:20" s="566" customFormat="1">
      <c r="T50901" s="41"/>
    </row>
    <row r="50902" spans="20:20" s="566" customFormat="1">
      <c r="T50902" s="41"/>
    </row>
    <row r="50903" spans="20:20" s="566" customFormat="1">
      <c r="T50903" s="41"/>
    </row>
    <row r="50904" spans="20:20" s="566" customFormat="1">
      <c r="T50904" s="41"/>
    </row>
    <row r="50905" spans="20:20" s="566" customFormat="1">
      <c r="T50905" s="41"/>
    </row>
    <row r="50906" spans="20:20" s="566" customFormat="1">
      <c r="T50906" s="41"/>
    </row>
    <row r="50907" spans="20:20" s="566" customFormat="1">
      <c r="T50907" s="41"/>
    </row>
    <row r="50908" spans="20:20" s="566" customFormat="1">
      <c r="T50908" s="41"/>
    </row>
    <row r="50909" spans="20:20" s="566" customFormat="1">
      <c r="T50909" s="41"/>
    </row>
    <row r="50910" spans="20:20" s="566" customFormat="1">
      <c r="T50910" s="41"/>
    </row>
    <row r="50911" spans="20:20" s="566" customFormat="1">
      <c r="T50911" s="41"/>
    </row>
    <row r="50912" spans="20:20" s="566" customFormat="1">
      <c r="T50912" s="41"/>
    </row>
    <row r="50913" spans="20:20" s="566" customFormat="1">
      <c r="T50913" s="41"/>
    </row>
    <row r="50914" spans="20:20" s="566" customFormat="1">
      <c r="T50914" s="41"/>
    </row>
    <row r="50915" spans="20:20" s="566" customFormat="1">
      <c r="T50915" s="41"/>
    </row>
    <row r="50916" spans="20:20" s="566" customFormat="1">
      <c r="T50916" s="41"/>
    </row>
    <row r="50917" spans="20:20" s="566" customFormat="1">
      <c r="T50917" s="41"/>
    </row>
    <row r="50918" spans="20:20" s="566" customFormat="1">
      <c r="T50918" s="41"/>
    </row>
    <row r="50919" spans="20:20" s="566" customFormat="1">
      <c r="T50919" s="41"/>
    </row>
    <row r="50920" spans="20:20" s="566" customFormat="1">
      <c r="T50920" s="41"/>
    </row>
    <row r="50921" spans="20:20" s="566" customFormat="1">
      <c r="T50921" s="41"/>
    </row>
    <row r="50922" spans="20:20" s="566" customFormat="1">
      <c r="T50922" s="41"/>
    </row>
    <row r="50923" spans="20:20" s="566" customFormat="1">
      <c r="T50923" s="41"/>
    </row>
    <row r="50924" spans="20:20" s="566" customFormat="1">
      <c r="T50924" s="41"/>
    </row>
    <row r="50925" spans="20:20" s="566" customFormat="1">
      <c r="T50925" s="41"/>
    </row>
    <row r="50926" spans="20:20" s="566" customFormat="1">
      <c r="T50926" s="41"/>
    </row>
    <row r="50927" spans="20:20" s="566" customFormat="1">
      <c r="T50927" s="41"/>
    </row>
    <row r="50928" spans="20:20" s="566" customFormat="1">
      <c r="T50928" s="41"/>
    </row>
    <row r="50929" spans="20:20" s="566" customFormat="1">
      <c r="T50929" s="41"/>
    </row>
    <row r="50930" spans="20:20" s="566" customFormat="1">
      <c r="T50930" s="41"/>
    </row>
    <row r="50931" spans="20:20" s="566" customFormat="1">
      <c r="T50931" s="41"/>
    </row>
    <row r="50932" spans="20:20" s="566" customFormat="1">
      <c r="T50932" s="41"/>
    </row>
    <row r="50933" spans="20:20" s="566" customFormat="1">
      <c r="T50933" s="41"/>
    </row>
    <row r="50934" spans="20:20" s="566" customFormat="1">
      <c r="T50934" s="41"/>
    </row>
    <row r="50935" spans="20:20" s="566" customFormat="1">
      <c r="T50935" s="41"/>
    </row>
    <row r="50936" spans="20:20" s="566" customFormat="1">
      <c r="T50936" s="41"/>
    </row>
    <row r="50937" spans="20:20" s="566" customFormat="1">
      <c r="T50937" s="41"/>
    </row>
    <row r="50938" spans="20:20" s="566" customFormat="1">
      <c r="T50938" s="41"/>
    </row>
    <row r="50939" spans="20:20" s="566" customFormat="1">
      <c r="T50939" s="41"/>
    </row>
    <row r="50940" spans="20:20" s="566" customFormat="1">
      <c r="T50940" s="41"/>
    </row>
    <row r="50941" spans="20:20" s="566" customFormat="1">
      <c r="T50941" s="41"/>
    </row>
    <row r="50942" spans="20:20" s="566" customFormat="1">
      <c r="T50942" s="41"/>
    </row>
    <row r="50943" spans="20:20" s="566" customFormat="1">
      <c r="T50943" s="41"/>
    </row>
    <row r="50944" spans="20:20" s="566" customFormat="1">
      <c r="T50944" s="41"/>
    </row>
    <row r="50945" spans="20:20" s="566" customFormat="1">
      <c r="T50945" s="41"/>
    </row>
    <row r="50946" spans="20:20" s="566" customFormat="1">
      <c r="T50946" s="41"/>
    </row>
    <row r="50947" spans="20:20" s="566" customFormat="1">
      <c r="T50947" s="41"/>
    </row>
    <row r="50948" spans="20:20" s="566" customFormat="1">
      <c r="T50948" s="41"/>
    </row>
    <row r="50949" spans="20:20" s="566" customFormat="1">
      <c r="T50949" s="41"/>
    </row>
    <row r="50950" spans="20:20" s="566" customFormat="1">
      <c r="T50950" s="41"/>
    </row>
    <row r="50951" spans="20:20" s="566" customFormat="1">
      <c r="T50951" s="41"/>
    </row>
    <row r="50952" spans="20:20" s="566" customFormat="1">
      <c r="T50952" s="41"/>
    </row>
    <row r="50953" spans="20:20" s="566" customFormat="1">
      <c r="T50953" s="41"/>
    </row>
    <row r="50954" spans="20:20" s="566" customFormat="1">
      <c r="T50954" s="41"/>
    </row>
    <row r="50955" spans="20:20" s="566" customFormat="1">
      <c r="T50955" s="41"/>
    </row>
    <row r="50956" spans="20:20" s="566" customFormat="1">
      <c r="T50956" s="41"/>
    </row>
    <row r="50957" spans="20:20" s="566" customFormat="1">
      <c r="T50957" s="41"/>
    </row>
    <row r="50958" spans="20:20" s="566" customFormat="1">
      <c r="T50958" s="41"/>
    </row>
    <row r="50959" spans="20:20" s="566" customFormat="1">
      <c r="T50959" s="41"/>
    </row>
    <row r="50960" spans="20:20" s="566" customFormat="1">
      <c r="T50960" s="41"/>
    </row>
    <row r="50961" spans="20:20" s="566" customFormat="1">
      <c r="T50961" s="41"/>
    </row>
    <row r="50962" spans="20:20" s="566" customFormat="1">
      <c r="T50962" s="41"/>
    </row>
    <row r="50963" spans="20:20" s="566" customFormat="1">
      <c r="T50963" s="41"/>
    </row>
    <row r="50964" spans="20:20" s="566" customFormat="1">
      <c r="T50964" s="41"/>
    </row>
    <row r="50965" spans="20:20" s="566" customFormat="1">
      <c r="T50965" s="41"/>
    </row>
    <row r="50966" spans="20:20" s="566" customFormat="1">
      <c r="T50966" s="41"/>
    </row>
    <row r="50967" spans="20:20" s="566" customFormat="1">
      <c r="T50967" s="41"/>
    </row>
    <row r="50968" spans="20:20" s="566" customFormat="1">
      <c r="T50968" s="41"/>
    </row>
    <row r="50969" spans="20:20" s="566" customFormat="1">
      <c r="T50969" s="41"/>
    </row>
    <row r="50970" spans="20:20" s="566" customFormat="1">
      <c r="T50970" s="41"/>
    </row>
    <row r="50971" spans="20:20" s="566" customFormat="1">
      <c r="T50971" s="41"/>
    </row>
    <row r="50972" spans="20:20" s="566" customFormat="1">
      <c r="T50972" s="41"/>
    </row>
    <row r="50973" spans="20:20" s="566" customFormat="1">
      <c r="T50973" s="41"/>
    </row>
    <row r="50974" spans="20:20" s="566" customFormat="1">
      <c r="T50974" s="41"/>
    </row>
    <row r="50975" spans="20:20" s="566" customFormat="1">
      <c r="T50975" s="41"/>
    </row>
    <row r="50976" spans="20:20" s="566" customFormat="1">
      <c r="T50976" s="41"/>
    </row>
    <row r="50977" spans="20:20" s="566" customFormat="1">
      <c r="T50977" s="41"/>
    </row>
    <row r="50978" spans="20:20" s="566" customFormat="1">
      <c r="T50978" s="41"/>
    </row>
    <row r="50979" spans="20:20" s="566" customFormat="1">
      <c r="T50979" s="41"/>
    </row>
    <row r="50980" spans="20:20" s="566" customFormat="1">
      <c r="T50980" s="41"/>
    </row>
    <row r="50981" spans="20:20" s="566" customFormat="1">
      <c r="T50981" s="41"/>
    </row>
    <row r="50982" spans="20:20" s="566" customFormat="1">
      <c r="T50982" s="41"/>
    </row>
    <row r="50983" spans="20:20" s="566" customFormat="1">
      <c r="T50983" s="41"/>
    </row>
    <row r="50984" spans="20:20" s="566" customFormat="1">
      <c r="T50984" s="41"/>
    </row>
    <row r="50985" spans="20:20" s="566" customFormat="1">
      <c r="T50985" s="41"/>
    </row>
    <row r="50986" spans="20:20" s="566" customFormat="1">
      <c r="T50986" s="41"/>
    </row>
    <row r="50987" spans="20:20" s="566" customFormat="1">
      <c r="T50987" s="41"/>
    </row>
    <row r="50988" spans="20:20" s="566" customFormat="1">
      <c r="T50988" s="41"/>
    </row>
    <row r="50989" spans="20:20" s="566" customFormat="1">
      <c r="T50989" s="41"/>
    </row>
    <row r="50990" spans="20:20" s="566" customFormat="1">
      <c r="T50990" s="41"/>
    </row>
    <row r="50991" spans="20:20" s="566" customFormat="1">
      <c r="T50991" s="41"/>
    </row>
    <row r="50992" spans="20:20" s="566" customFormat="1">
      <c r="T50992" s="41"/>
    </row>
    <row r="50993" spans="20:20" s="566" customFormat="1">
      <c r="T50993" s="41"/>
    </row>
    <row r="50994" spans="20:20" s="566" customFormat="1">
      <c r="T50994" s="41"/>
    </row>
    <row r="50995" spans="20:20" s="566" customFormat="1">
      <c r="T50995" s="41"/>
    </row>
    <row r="50996" spans="20:20" s="566" customFormat="1">
      <c r="T50996" s="41"/>
    </row>
    <row r="50997" spans="20:20" s="566" customFormat="1">
      <c r="T50997" s="41"/>
    </row>
    <row r="50998" spans="20:20" s="566" customFormat="1">
      <c r="T50998" s="41"/>
    </row>
    <row r="50999" spans="20:20" s="566" customFormat="1">
      <c r="T50999" s="41"/>
    </row>
    <row r="51000" spans="20:20" s="566" customFormat="1">
      <c r="T51000" s="41"/>
    </row>
    <row r="51001" spans="20:20" s="566" customFormat="1">
      <c r="T51001" s="41"/>
    </row>
    <row r="51002" spans="20:20" s="566" customFormat="1">
      <c r="T51002" s="41"/>
    </row>
    <row r="51003" spans="20:20" s="566" customFormat="1">
      <c r="T51003" s="41"/>
    </row>
    <row r="51004" spans="20:20" s="566" customFormat="1">
      <c r="T51004" s="41"/>
    </row>
    <row r="51005" spans="20:20" s="566" customFormat="1">
      <c r="T51005" s="41"/>
    </row>
    <row r="51006" spans="20:20" s="566" customFormat="1">
      <c r="T51006" s="41"/>
    </row>
    <row r="51007" spans="20:20" s="566" customFormat="1">
      <c r="T51007" s="41"/>
    </row>
    <row r="51008" spans="20:20" s="566" customFormat="1">
      <c r="T51008" s="41"/>
    </row>
    <row r="51009" spans="20:20" s="566" customFormat="1">
      <c r="T51009" s="41"/>
    </row>
    <row r="51010" spans="20:20" s="566" customFormat="1">
      <c r="T51010" s="41"/>
    </row>
    <row r="51011" spans="20:20" s="566" customFormat="1">
      <c r="T51011" s="41"/>
    </row>
    <row r="51012" spans="20:20" s="566" customFormat="1">
      <c r="T51012" s="41"/>
    </row>
    <row r="51013" spans="20:20" s="566" customFormat="1">
      <c r="T51013" s="41"/>
    </row>
    <row r="51014" spans="20:20" s="566" customFormat="1">
      <c r="T51014" s="41"/>
    </row>
    <row r="51015" spans="20:20" s="566" customFormat="1">
      <c r="T51015" s="41"/>
    </row>
    <row r="51016" spans="20:20" s="566" customFormat="1">
      <c r="T51016" s="41"/>
    </row>
    <row r="51017" spans="20:20" s="566" customFormat="1">
      <c r="T51017" s="41"/>
    </row>
    <row r="51018" spans="20:20" s="566" customFormat="1">
      <c r="T51018" s="41"/>
    </row>
    <row r="51019" spans="20:20" s="566" customFormat="1">
      <c r="T51019" s="41"/>
    </row>
    <row r="51020" spans="20:20" s="566" customFormat="1">
      <c r="T51020" s="41"/>
    </row>
    <row r="51021" spans="20:20" s="566" customFormat="1">
      <c r="T51021" s="41"/>
    </row>
    <row r="51022" spans="20:20" s="566" customFormat="1">
      <c r="T51022" s="41"/>
    </row>
    <row r="51023" spans="20:20" s="566" customFormat="1">
      <c r="T51023" s="41"/>
    </row>
    <row r="51024" spans="20:20" s="566" customFormat="1">
      <c r="T51024" s="41"/>
    </row>
    <row r="51025" spans="20:20" s="566" customFormat="1">
      <c r="T51025" s="41"/>
    </row>
    <row r="51026" spans="20:20" s="566" customFormat="1">
      <c r="T51026" s="41"/>
    </row>
    <row r="51027" spans="20:20" s="566" customFormat="1">
      <c r="T51027" s="41"/>
    </row>
    <row r="51028" spans="20:20" s="566" customFormat="1">
      <c r="T51028" s="41"/>
    </row>
    <row r="51029" spans="20:20" s="566" customFormat="1">
      <c r="T51029" s="41"/>
    </row>
    <row r="51030" spans="20:20" s="566" customFormat="1">
      <c r="T51030" s="41"/>
    </row>
    <row r="51031" spans="20:20" s="566" customFormat="1">
      <c r="T51031" s="41"/>
    </row>
    <row r="51032" spans="20:20" s="566" customFormat="1">
      <c r="T51032" s="41"/>
    </row>
    <row r="51033" spans="20:20" s="566" customFormat="1">
      <c r="T51033" s="41"/>
    </row>
    <row r="51034" spans="20:20" s="566" customFormat="1">
      <c r="T51034" s="41"/>
    </row>
    <row r="51035" spans="20:20" s="566" customFormat="1">
      <c r="T51035" s="41"/>
    </row>
    <row r="51036" spans="20:20" s="566" customFormat="1">
      <c r="T51036" s="41"/>
    </row>
    <row r="51037" spans="20:20" s="566" customFormat="1">
      <c r="T51037" s="41"/>
    </row>
    <row r="51038" spans="20:20" s="566" customFormat="1">
      <c r="T51038" s="41"/>
    </row>
    <row r="51039" spans="20:20" s="566" customFormat="1">
      <c r="T51039" s="41"/>
    </row>
    <row r="51040" spans="20:20" s="566" customFormat="1">
      <c r="T51040" s="41"/>
    </row>
    <row r="51041" spans="20:20" s="566" customFormat="1">
      <c r="T51041" s="41"/>
    </row>
    <row r="51042" spans="20:20" s="566" customFormat="1">
      <c r="T51042" s="41"/>
    </row>
    <row r="51043" spans="20:20" s="566" customFormat="1">
      <c r="T51043" s="41"/>
    </row>
    <row r="51044" spans="20:20" s="566" customFormat="1">
      <c r="T51044" s="41"/>
    </row>
    <row r="51045" spans="20:20" s="566" customFormat="1">
      <c r="T51045" s="41"/>
    </row>
    <row r="51046" spans="20:20" s="566" customFormat="1">
      <c r="T51046" s="41"/>
    </row>
    <row r="51047" spans="20:20" s="566" customFormat="1">
      <c r="T51047" s="41"/>
    </row>
    <row r="51048" spans="20:20" s="566" customFormat="1">
      <c r="T51048" s="41"/>
    </row>
    <row r="51049" spans="20:20" s="566" customFormat="1">
      <c r="T51049" s="41"/>
    </row>
    <row r="51050" spans="20:20" s="566" customFormat="1">
      <c r="T51050" s="41"/>
    </row>
    <row r="51051" spans="20:20" s="566" customFormat="1">
      <c r="T51051" s="41"/>
    </row>
    <row r="51052" spans="20:20" s="566" customFormat="1">
      <c r="T51052" s="41"/>
    </row>
    <row r="51053" spans="20:20" s="566" customFormat="1">
      <c r="T51053" s="41"/>
    </row>
    <row r="51054" spans="20:20" s="566" customFormat="1">
      <c r="T51054" s="41"/>
    </row>
    <row r="51055" spans="20:20" s="566" customFormat="1">
      <c r="T51055" s="41"/>
    </row>
    <row r="51056" spans="20:20" s="566" customFormat="1">
      <c r="T51056" s="41"/>
    </row>
    <row r="51057" spans="20:20" s="566" customFormat="1">
      <c r="T51057" s="41"/>
    </row>
    <row r="51058" spans="20:20" s="566" customFormat="1">
      <c r="T51058" s="41"/>
    </row>
    <row r="51059" spans="20:20" s="566" customFormat="1">
      <c r="T51059" s="41"/>
    </row>
    <row r="51060" spans="20:20" s="566" customFormat="1">
      <c r="T51060" s="41"/>
    </row>
    <row r="51061" spans="20:20" s="566" customFormat="1">
      <c r="T51061" s="41"/>
    </row>
    <row r="51062" spans="20:20" s="566" customFormat="1">
      <c r="T51062" s="41"/>
    </row>
    <row r="51063" spans="20:20" s="566" customFormat="1">
      <c r="T51063" s="41"/>
    </row>
    <row r="51064" spans="20:20" s="566" customFormat="1">
      <c r="T51064" s="41"/>
    </row>
    <row r="51065" spans="20:20" s="566" customFormat="1">
      <c r="T51065" s="41"/>
    </row>
    <row r="51066" spans="20:20" s="566" customFormat="1">
      <c r="T51066" s="41"/>
    </row>
    <row r="51067" spans="20:20" s="566" customFormat="1">
      <c r="T51067" s="41"/>
    </row>
    <row r="51068" spans="20:20" s="566" customFormat="1">
      <c r="T51068" s="41"/>
    </row>
    <row r="51069" spans="20:20" s="566" customFormat="1">
      <c r="T51069" s="41"/>
    </row>
    <row r="51070" spans="20:20" s="566" customFormat="1">
      <c r="T51070" s="41"/>
    </row>
    <row r="51071" spans="20:20" s="566" customFormat="1">
      <c r="T51071" s="41"/>
    </row>
    <row r="51072" spans="20:20" s="566" customFormat="1">
      <c r="T51072" s="41"/>
    </row>
    <row r="51073" spans="20:20" s="566" customFormat="1">
      <c r="T51073" s="41"/>
    </row>
    <row r="51074" spans="20:20" s="566" customFormat="1">
      <c r="T51074" s="41"/>
    </row>
    <row r="51075" spans="20:20" s="566" customFormat="1">
      <c r="T51075" s="41"/>
    </row>
    <row r="51076" spans="20:20" s="566" customFormat="1">
      <c r="T51076" s="41"/>
    </row>
    <row r="51077" spans="20:20" s="566" customFormat="1">
      <c r="T51077" s="41"/>
    </row>
    <row r="51078" spans="20:20" s="566" customFormat="1">
      <c r="T51078" s="41"/>
    </row>
    <row r="51079" spans="20:20" s="566" customFormat="1">
      <c r="T51079" s="41"/>
    </row>
    <row r="51080" spans="20:20" s="566" customFormat="1">
      <c r="T51080" s="41"/>
    </row>
    <row r="51081" spans="20:20" s="566" customFormat="1">
      <c r="T51081" s="41"/>
    </row>
    <row r="51082" spans="20:20" s="566" customFormat="1">
      <c r="T51082" s="41"/>
    </row>
    <row r="51083" spans="20:20" s="566" customFormat="1">
      <c r="T51083" s="41"/>
    </row>
    <row r="51084" spans="20:20" s="566" customFormat="1">
      <c r="T51084" s="41"/>
    </row>
    <row r="51085" spans="20:20" s="566" customFormat="1">
      <c r="T51085" s="41"/>
    </row>
    <row r="51086" spans="20:20" s="566" customFormat="1">
      <c r="T51086" s="41"/>
    </row>
    <row r="51087" spans="20:20" s="566" customFormat="1">
      <c r="T51087" s="41"/>
    </row>
    <row r="51088" spans="20:20" s="566" customFormat="1">
      <c r="T51088" s="41"/>
    </row>
    <row r="51089" spans="20:20" s="566" customFormat="1">
      <c r="T51089" s="41"/>
    </row>
    <row r="51090" spans="20:20" s="566" customFormat="1">
      <c r="T51090" s="41"/>
    </row>
    <row r="51091" spans="20:20" s="566" customFormat="1">
      <c r="T51091" s="41"/>
    </row>
    <row r="51092" spans="20:20" s="566" customFormat="1">
      <c r="T51092" s="41"/>
    </row>
    <row r="51093" spans="20:20" s="566" customFormat="1">
      <c r="T51093" s="41"/>
    </row>
    <row r="51094" spans="20:20" s="566" customFormat="1">
      <c r="T51094" s="41"/>
    </row>
    <row r="51095" spans="20:20" s="566" customFormat="1">
      <c r="T51095" s="41"/>
    </row>
    <row r="51096" spans="20:20" s="566" customFormat="1">
      <c r="T51096" s="41"/>
    </row>
    <row r="51097" spans="20:20" s="566" customFormat="1">
      <c r="T51097" s="41"/>
    </row>
    <row r="51098" spans="20:20" s="566" customFormat="1">
      <c r="T51098" s="41"/>
    </row>
    <row r="51099" spans="20:20" s="566" customFormat="1">
      <c r="T51099" s="41"/>
    </row>
    <row r="51100" spans="20:20" s="566" customFormat="1">
      <c r="T51100" s="41"/>
    </row>
    <row r="51101" spans="20:20" s="566" customFormat="1">
      <c r="T51101" s="41"/>
    </row>
    <row r="51102" spans="20:20" s="566" customFormat="1">
      <c r="T51102" s="41"/>
    </row>
    <row r="51103" spans="20:20" s="566" customFormat="1">
      <c r="T51103" s="41"/>
    </row>
    <row r="51104" spans="20:20" s="566" customFormat="1">
      <c r="T51104" s="41"/>
    </row>
    <row r="51105" spans="20:20" s="566" customFormat="1">
      <c r="T51105" s="41"/>
    </row>
    <row r="51106" spans="20:20" s="566" customFormat="1">
      <c r="T51106" s="41"/>
    </row>
    <row r="51107" spans="20:20" s="566" customFormat="1">
      <c r="T51107" s="41"/>
    </row>
    <row r="51108" spans="20:20" s="566" customFormat="1">
      <c r="T51108" s="41"/>
    </row>
    <row r="51109" spans="20:20" s="566" customFormat="1">
      <c r="T51109" s="41"/>
    </row>
    <row r="51110" spans="20:20" s="566" customFormat="1">
      <c r="T51110" s="41"/>
    </row>
    <row r="51111" spans="20:20" s="566" customFormat="1">
      <c r="T51111" s="41"/>
    </row>
    <row r="51112" spans="20:20" s="566" customFormat="1">
      <c r="T51112" s="41"/>
    </row>
    <row r="51113" spans="20:20" s="566" customFormat="1">
      <c r="T51113" s="41"/>
    </row>
    <row r="51114" spans="20:20" s="566" customFormat="1">
      <c r="T51114" s="41"/>
    </row>
    <row r="51115" spans="20:20" s="566" customFormat="1">
      <c r="T51115" s="41"/>
    </row>
    <row r="51116" spans="20:20" s="566" customFormat="1">
      <c r="T51116" s="41"/>
    </row>
    <row r="51117" spans="20:20" s="566" customFormat="1">
      <c r="T51117" s="41"/>
    </row>
    <row r="51118" spans="20:20" s="566" customFormat="1">
      <c r="T51118" s="41"/>
    </row>
    <row r="51119" spans="20:20" s="566" customFormat="1">
      <c r="T51119" s="41"/>
    </row>
    <row r="51120" spans="20:20" s="566" customFormat="1">
      <c r="T51120" s="41"/>
    </row>
    <row r="51121" spans="20:20" s="566" customFormat="1">
      <c r="T51121" s="41"/>
    </row>
    <row r="51122" spans="20:20" s="566" customFormat="1">
      <c r="T51122" s="41"/>
    </row>
    <row r="51123" spans="20:20" s="566" customFormat="1">
      <c r="T51123" s="41"/>
    </row>
    <row r="51124" spans="20:20" s="566" customFormat="1">
      <c r="T51124" s="41"/>
    </row>
    <row r="51125" spans="20:20" s="566" customFormat="1">
      <c r="T51125" s="41"/>
    </row>
    <row r="51126" spans="20:20" s="566" customFormat="1">
      <c r="T51126" s="41"/>
    </row>
    <row r="51127" spans="20:20" s="566" customFormat="1">
      <c r="T51127" s="41"/>
    </row>
    <row r="51128" spans="20:20" s="566" customFormat="1">
      <c r="T51128" s="41"/>
    </row>
    <row r="51129" spans="20:20" s="566" customFormat="1">
      <c r="T51129" s="41"/>
    </row>
    <row r="51130" spans="20:20" s="566" customFormat="1">
      <c r="T51130" s="41"/>
    </row>
    <row r="51131" spans="20:20" s="566" customFormat="1">
      <c r="T51131" s="41"/>
    </row>
    <row r="51132" spans="20:20" s="566" customFormat="1">
      <c r="T51132" s="41"/>
    </row>
    <row r="51133" spans="20:20" s="566" customFormat="1">
      <c r="T51133" s="41"/>
    </row>
    <row r="51134" spans="20:20" s="566" customFormat="1">
      <c r="T51134" s="41"/>
    </row>
    <row r="51135" spans="20:20" s="566" customFormat="1">
      <c r="T51135" s="41"/>
    </row>
    <row r="51136" spans="20:20" s="566" customFormat="1">
      <c r="T51136" s="41"/>
    </row>
    <row r="51137" spans="20:20" s="566" customFormat="1">
      <c r="T51137" s="41"/>
    </row>
    <row r="51138" spans="20:20" s="566" customFormat="1">
      <c r="T51138" s="41"/>
    </row>
    <row r="51139" spans="20:20" s="566" customFormat="1">
      <c r="T51139" s="41"/>
    </row>
    <row r="51140" spans="20:20" s="566" customFormat="1">
      <c r="T51140" s="41"/>
    </row>
    <row r="51141" spans="20:20" s="566" customFormat="1">
      <c r="T51141" s="41"/>
    </row>
    <row r="51142" spans="20:20" s="566" customFormat="1">
      <c r="T51142" s="41"/>
    </row>
    <row r="51143" spans="20:20" s="566" customFormat="1">
      <c r="T51143" s="41"/>
    </row>
    <row r="51144" spans="20:20" s="566" customFormat="1">
      <c r="T51144" s="41"/>
    </row>
    <row r="51145" spans="20:20" s="566" customFormat="1">
      <c r="T51145" s="41"/>
    </row>
    <row r="51146" spans="20:20" s="566" customFormat="1">
      <c r="T51146" s="41"/>
    </row>
    <row r="51147" spans="20:20" s="566" customFormat="1">
      <c r="T51147" s="41"/>
    </row>
    <row r="51148" spans="20:20" s="566" customFormat="1">
      <c r="T51148" s="41"/>
    </row>
    <row r="51149" spans="20:20" s="566" customFormat="1">
      <c r="T51149" s="41"/>
    </row>
    <row r="51150" spans="20:20" s="566" customFormat="1">
      <c r="T51150" s="41"/>
    </row>
    <row r="51151" spans="20:20" s="566" customFormat="1">
      <c r="T51151" s="41"/>
    </row>
    <row r="51152" spans="20:20" s="566" customFormat="1">
      <c r="T51152" s="41"/>
    </row>
    <row r="51153" spans="20:20" s="566" customFormat="1">
      <c r="T51153" s="41"/>
    </row>
    <row r="51154" spans="20:20" s="566" customFormat="1">
      <c r="T51154" s="41"/>
    </row>
    <row r="51155" spans="20:20" s="566" customFormat="1">
      <c r="T51155" s="41"/>
    </row>
    <row r="51156" spans="20:20" s="566" customFormat="1">
      <c r="T51156" s="41"/>
    </row>
    <row r="51157" spans="20:20" s="566" customFormat="1">
      <c r="T51157" s="41"/>
    </row>
    <row r="51158" spans="20:20" s="566" customFormat="1">
      <c r="T51158" s="41"/>
    </row>
    <row r="51159" spans="20:20" s="566" customFormat="1">
      <c r="T51159" s="41"/>
    </row>
    <row r="51160" spans="20:20" s="566" customFormat="1">
      <c r="T51160" s="41"/>
    </row>
    <row r="51161" spans="20:20" s="566" customFormat="1">
      <c r="T51161" s="41"/>
    </row>
    <row r="51162" spans="20:20" s="566" customFormat="1">
      <c r="T51162" s="41"/>
    </row>
    <row r="51163" spans="20:20" s="566" customFormat="1">
      <c r="T51163" s="41"/>
    </row>
    <row r="51164" spans="20:20" s="566" customFormat="1">
      <c r="T51164" s="41"/>
    </row>
    <row r="51165" spans="20:20" s="566" customFormat="1">
      <c r="T51165" s="41"/>
    </row>
    <row r="51166" spans="20:20" s="566" customFormat="1">
      <c r="T51166" s="41"/>
    </row>
    <row r="51167" spans="20:20" s="566" customFormat="1">
      <c r="T51167" s="41"/>
    </row>
    <row r="51168" spans="20:20" s="566" customFormat="1">
      <c r="T51168" s="41"/>
    </row>
    <row r="51169" spans="20:20" s="566" customFormat="1">
      <c r="T51169" s="41"/>
    </row>
    <row r="51170" spans="20:20" s="566" customFormat="1">
      <c r="T51170" s="41"/>
    </row>
    <row r="51171" spans="20:20" s="566" customFormat="1">
      <c r="T51171" s="41"/>
    </row>
    <row r="51172" spans="20:20" s="566" customFormat="1">
      <c r="T51172" s="41"/>
    </row>
    <row r="51173" spans="20:20" s="566" customFormat="1">
      <c r="T51173" s="41"/>
    </row>
    <row r="51174" spans="20:20" s="566" customFormat="1">
      <c r="T51174" s="41"/>
    </row>
    <row r="51175" spans="20:20" s="566" customFormat="1">
      <c r="T51175" s="41"/>
    </row>
    <row r="51176" spans="20:20" s="566" customFormat="1">
      <c r="T51176" s="41"/>
    </row>
    <row r="51177" spans="20:20" s="566" customFormat="1">
      <c r="T51177" s="41"/>
    </row>
    <row r="51178" spans="20:20" s="566" customFormat="1">
      <c r="T51178" s="41"/>
    </row>
    <row r="51179" spans="20:20" s="566" customFormat="1">
      <c r="T51179" s="41"/>
    </row>
    <row r="51180" spans="20:20" s="566" customFormat="1">
      <c r="T51180" s="41"/>
    </row>
    <row r="51181" spans="20:20" s="566" customFormat="1">
      <c r="T51181" s="41"/>
    </row>
    <row r="51182" spans="20:20" s="566" customFormat="1">
      <c r="T51182" s="41"/>
    </row>
    <row r="51183" spans="20:20" s="566" customFormat="1">
      <c r="T51183" s="41"/>
    </row>
    <row r="51184" spans="20:20" s="566" customFormat="1">
      <c r="T51184" s="41"/>
    </row>
    <row r="51185" spans="20:20" s="566" customFormat="1">
      <c r="T51185" s="41"/>
    </row>
    <row r="51186" spans="20:20" s="566" customFormat="1">
      <c r="T51186" s="41"/>
    </row>
    <row r="51187" spans="20:20" s="566" customFormat="1">
      <c r="T51187" s="41"/>
    </row>
    <row r="51188" spans="20:20" s="566" customFormat="1">
      <c r="T51188" s="41"/>
    </row>
    <row r="51189" spans="20:20" s="566" customFormat="1">
      <c r="T51189" s="41"/>
    </row>
    <row r="51190" spans="20:20" s="566" customFormat="1">
      <c r="T51190" s="41"/>
    </row>
    <row r="51191" spans="20:20" s="566" customFormat="1">
      <c r="T51191" s="41"/>
    </row>
    <row r="51192" spans="20:20" s="566" customFormat="1">
      <c r="T51192" s="41"/>
    </row>
    <row r="51193" spans="20:20" s="566" customFormat="1">
      <c r="T51193" s="41"/>
    </row>
    <row r="51194" spans="20:20" s="566" customFormat="1">
      <c r="T51194" s="41"/>
    </row>
    <row r="51195" spans="20:20" s="566" customFormat="1">
      <c r="T51195" s="41"/>
    </row>
    <row r="51196" spans="20:20" s="566" customFormat="1">
      <c r="T51196" s="41"/>
    </row>
    <row r="51197" spans="20:20" s="566" customFormat="1">
      <c r="T51197" s="41"/>
    </row>
    <row r="51198" spans="20:20" s="566" customFormat="1">
      <c r="T51198" s="41"/>
    </row>
    <row r="51199" spans="20:20" s="566" customFormat="1">
      <c r="T51199" s="41"/>
    </row>
    <row r="51200" spans="20:20" s="566" customFormat="1">
      <c r="T51200" s="41"/>
    </row>
    <row r="51201" spans="20:20" s="566" customFormat="1">
      <c r="T51201" s="41"/>
    </row>
    <row r="51202" spans="20:20" s="566" customFormat="1">
      <c r="T51202" s="41"/>
    </row>
    <row r="51203" spans="20:20" s="566" customFormat="1">
      <c r="T51203" s="41"/>
    </row>
    <row r="51204" spans="20:20" s="566" customFormat="1">
      <c r="T51204" s="41"/>
    </row>
    <row r="51205" spans="20:20" s="566" customFormat="1">
      <c r="T51205" s="41"/>
    </row>
    <row r="51206" spans="20:20" s="566" customFormat="1">
      <c r="T51206" s="41"/>
    </row>
    <row r="51207" spans="20:20" s="566" customFormat="1">
      <c r="T51207" s="41"/>
    </row>
    <row r="51208" spans="20:20" s="566" customFormat="1">
      <c r="T51208" s="41"/>
    </row>
    <row r="51209" spans="20:20" s="566" customFormat="1">
      <c r="T51209" s="41"/>
    </row>
    <row r="51210" spans="20:20" s="566" customFormat="1">
      <c r="T51210" s="41"/>
    </row>
    <row r="51211" spans="20:20" s="566" customFormat="1">
      <c r="T51211" s="41"/>
    </row>
    <row r="51212" spans="20:20" s="566" customFormat="1">
      <c r="T51212" s="41"/>
    </row>
    <row r="51213" spans="20:20" s="566" customFormat="1">
      <c r="T51213" s="41"/>
    </row>
    <row r="51214" spans="20:20" s="566" customFormat="1">
      <c r="T51214" s="41"/>
    </row>
    <row r="51215" spans="20:20" s="566" customFormat="1">
      <c r="T51215" s="41"/>
    </row>
    <row r="51216" spans="20:20" s="566" customFormat="1">
      <c r="T51216" s="41"/>
    </row>
    <row r="51217" spans="20:20" s="566" customFormat="1">
      <c r="T51217" s="41"/>
    </row>
    <row r="51218" spans="20:20" s="566" customFormat="1">
      <c r="T51218" s="41"/>
    </row>
    <row r="51219" spans="20:20" s="566" customFormat="1">
      <c r="T51219" s="41"/>
    </row>
    <row r="51220" spans="20:20" s="566" customFormat="1">
      <c r="T51220" s="41"/>
    </row>
    <row r="51221" spans="20:20" s="566" customFormat="1">
      <c r="T51221" s="41"/>
    </row>
    <row r="51222" spans="20:20" s="566" customFormat="1">
      <c r="T51222" s="41"/>
    </row>
    <row r="51223" spans="20:20" s="566" customFormat="1">
      <c r="T51223" s="41"/>
    </row>
    <row r="51224" spans="20:20" s="566" customFormat="1">
      <c r="T51224" s="41"/>
    </row>
    <row r="51225" spans="20:20" s="566" customFormat="1">
      <c r="T51225" s="41"/>
    </row>
    <row r="51226" spans="20:20" s="566" customFormat="1">
      <c r="T51226" s="41"/>
    </row>
    <row r="51227" spans="20:20" s="566" customFormat="1">
      <c r="T51227" s="41"/>
    </row>
    <row r="51228" spans="20:20" s="566" customFormat="1">
      <c r="T51228" s="41"/>
    </row>
    <row r="51229" spans="20:20" s="566" customFormat="1">
      <c r="T51229" s="41"/>
    </row>
    <row r="51230" spans="20:20" s="566" customFormat="1">
      <c r="T51230" s="41"/>
    </row>
    <row r="51231" spans="20:20" s="566" customFormat="1">
      <c r="T51231" s="41"/>
    </row>
    <row r="51232" spans="20:20" s="566" customFormat="1">
      <c r="T51232" s="41"/>
    </row>
    <row r="51233" spans="20:20" s="566" customFormat="1">
      <c r="T51233" s="41"/>
    </row>
    <row r="51234" spans="20:20" s="566" customFormat="1">
      <c r="T51234" s="41"/>
    </row>
    <row r="51235" spans="20:20" s="566" customFormat="1">
      <c r="T51235" s="41"/>
    </row>
    <row r="51236" spans="20:20" s="566" customFormat="1">
      <c r="T51236" s="41"/>
    </row>
    <row r="51237" spans="20:20" s="566" customFormat="1">
      <c r="T51237" s="41"/>
    </row>
    <row r="51238" spans="20:20" s="566" customFormat="1">
      <c r="T51238" s="41"/>
    </row>
    <row r="51239" spans="20:20" s="566" customFormat="1">
      <c r="T51239" s="41"/>
    </row>
    <row r="51240" spans="20:20" s="566" customFormat="1">
      <c r="T51240" s="41"/>
    </row>
    <row r="51241" spans="20:20" s="566" customFormat="1">
      <c r="T51241" s="41"/>
    </row>
    <row r="51242" spans="20:20" s="566" customFormat="1">
      <c r="T51242" s="41"/>
    </row>
    <row r="51243" spans="20:20" s="566" customFormat="1">
      <c r="T51243" s="41"/>
    </row>
    <row r="51244" spans="20:20" s="566" customFormat="1">
      <c r="T51244" s="41"/>
    </row>
    <row r="51245" spans="20:20" s="566" customFormat="1">
      <c r="T51245" s="41"/>
    </row>
    <row r="51246" spans="20:20" s="566" customFormat="1">
      <c r="T51246" s="41"/>
    </row>
    <row r="51247" spans="20:20" s="566" customFormat="1">
      <c r="T51247" s="41"/>
    </row>
    <row r="51248" spans="20:20" s="566" customFormat="1">
      <c r="T51248" s="41"/>
    </row>
    <row r="51249" spans="20:20" s="566" customFormat="1">
      <c r="T51249" s="41"/>
    </row>
    <row r="51250" spans="20:20" s="566" customFormat="1">
      <c r="T51250" s="41"/>
    </row>
    <row r="51251" spans="20:20" s="566" customFormat="1">
      <c r="T51251" s="41"/>
    </row>
    <row r="51252" spans="20:20" s="566" customFormat="1">
      <c r="T51252" s="41"/>
    </row>
    <row r="51253" spans="20:20" s="566" customFormat="1">
      <c r="T51253" s="41"/>
    </row>
    <row r="51254" spans="20:20" s="566" customFormat="1">
      <c r="T51254" s="41"/>
    </row>
    <row r="51255" spans="20:20" s="566" customFormat="1">
      <c r="T51255" s="41"/>
    </row>
    <row r="51256" spans="20:20" s="566" customFormat="1">
      <c r="T51256" s="41"/>
    </row>
    <row r="51257" spans="20:20" s="566" customFormat="1">
      <c r="T51257" s="41"/>
    </row>
    <row r="51258" spans="20:20" s="566" customFormat="1">
      <c r="T51258" s="41"/>
    </row>
    <row r="51259" spans="20:20" s="566" customFormat="1">
      <c r="T51259" s="41"/>
    </row>
    <row r="51260" spans="20:20" s="566" customFormat="1">
      <c r="T51260" s="41"/>
    </row>
    <row r="51261" spans="20:20" s="566" customFormat="1">
      <c r="T51261" s="41"/>
    </row>
    <row r="51262" spans="20:20" s="566" customFormat="1">
      <c r="T51262" s="41"/>
    </row>
    <row r="51263" spans="20:20" s="566" customFormat="1">
      <c r="T51263" s="41"/>
    </row>
    <row r="51264" spans="20:20" s="566" customFormat="1">
      <c r="T51264" s="41"/>
    </row>
    <row r="51265" spans="20:20" s="566" customFormat="1">
      <c r="T51265" s="41"/>
    </row>
    <row r="51266" spans="20:20" s="566" customFormat="1">
      <c r="T51266" s="41"/>
    </row>
    <row r="51267" spans="20:20" s="566" customFormat="1">
      <c r="T51267" s="41"/>
    </row>
    <row r="51268" spans="20:20" s="566" customFormat="1">
      <c r="T51268" s="41"/>
    </row>
    <row r="51269" spans="20:20" s="566" customFormat="1">
      <c r="T51269" s="41"/>
    </row>
    <row r="51270" spans="20:20" s="566" customFormat="1">
      <c r="T51270" s="41"/>
    </row>
    <row r="51271" spans="20:20" s="566" customFormat="1">
      <c r="T51271" s="41"/>
    </row>
    <row r="51272" spans="20:20" s="566" customFormat="1">
      <c r="T51272" s="41"/>
    </row>
    <row r="51273" spans="20:20" s="566" customFormat="1">
      <c r="T51273" s="41"/>
    </row>
    <row r="51274" spans="20:20" s="566" customFormat="1">
      <c r="T51274" s="41"/>
    </row>
    <row r="51275" spans="20:20" s="566" customFormat="1">
      <c r="T51275" s="41"/>
    </row>
    <row r="51276" spans="20:20" s="566" customFormat="1">
      <c r="T51276" s="41"/>
    </row>
    <row r="51277" spans="20:20" s="566" customFormat="1">
      <c r="T51277" s="41"/>
    </row>
    <row r="51278" spans="20:20" s="566" customFormat="1">
      <c r="T51278" s="41"/>
    </row>
    <row r="51279" spans="20:20" s="566" customFormat="1">
      <c r="T51279" s="41"/>
    </row>
    <row r="51280" spans="20:20" s="566" customFormat="1">
      <c r="T51280" s="41"/>
    </row>
    <row r="51281" spans="20:20" s="566" customFormat="1">
      <c r="T51281" s="41"/>
    </row>
    <row r="51282" spans="20:20" s="566" customFormat="1">
      <c r="T51282" s="41"/>
    </row>
    <row r="51283" spans="20:20" s="566" customFormat="1">
      <c r="T51283" s="41"/>
    </row>
    <row r="51284" spans="20:20" s="566" customFormat="1">
      <c r="T51284" s="41"/>
    </row>
    <row r="51285" spans="20:20" s="566" customFormat="1">
      <c r="T51285" s="41"/>
    </row>
    <row r="51286" spans="20:20" s="566" customFormat="1">
      <c r="T51286" s="41"/>
    </row>
    <row r="51287" spans="20:20" s="566" customFormat="1">
      <c r="T51287" s="41"/>
    </row>
    <row r="51288" spans="20:20" s="566" customFormat="1">
      <c r="T51288" s="41"/>
    </row>
    <row r="51289" spans="20:20" s="566" customFormat="1">
      <c r="T51289" s="41"/>
    </row>
    <row r="51290" spans="20:20" s="566" customFormat="1">
      <c r="T51290" s="41"/>
    </row>
    <row r="51291" spans="20:20" s="566" customFormat="1">
      <c r="T51291" s="41"/>
    </row>
    <row r="51292" spans="20:20" s="566" customFormat="1">
      <c r="T51292" s="41"/>
    </row>
    <row r="51293" spans="20:20" s="566" customFormat="1">
      <c r="T51293" s="41"/>
    </row>
    <row r="51294" spans="20:20" s="566" customFormat="1">
      <c r="T51294" s="41"/>
    </row>
    <row r="51295" spans="20:20" s="566" customFormat="1">
      <c r="T51295" s="41"/>
    </row>
    <row r="51296" spans="20:20" s="566" customFormat="1">
      <c r="T51296" s="41"/>
    </row>
    <row r="51297" spans="20:20" s="566" customFormat="1">
      <c r="T51297" s="41"/>
    </row>
    <row r="51298" spans="20:20" s="566" customFormat="1">
      <c r="T51298" s="41"/>
    </row>
    <row r="51299" spans="20:20" s="566" customFormat="1">
      <c r="T51299" s="41"/>
    </row>
    <row r="51300" spans="20:20" s="566" customFormat="1">
      <c r="T51300" s="41"/>
    </row>
    <row r="51301" spans="20:20" s="566" customFormat="1">
      <c r="T51301" s="41"/>
    </row>
    <row r="51302" spans="20:20" s="566" customFormat="1">
      <c r="T51302" s="41"/>
    </row>
    <row r="51303" spans="20:20" s="566" customFormat="1">
      <c r="T51303" s="41"/>
    </row>
    <row r="51304" spans="20:20" s="566" customFormat="1">
      <c r="T51304" s="41"/>
    </row>
    <row r="51305" spans="20:20" s="566" customFormat="1">
      <c r="T51305" s="41"/>
    </row>
    <row r="51306" spans="20:20" s="566" customFormat="1">
      <c r="T51306" s="41"/>
    </row>
    <row r="51307" spans="20:20" s="566" customFormat="1">
      <c r="T51307" s="41"/>
    </row>
    <row r="51308" spans="20:20" s="566" customFormat="1">
      <c r="T51308" s="41"/>
    </row>
    <row r="51309" spans="20:20" s="566" customFormat="1">
      <c r="T51309" s="41"/>
    </row>
    <row r="51310" spans="20:20" s="566" customFormat="1">
      <c r="T51310" s="41"/>
    </row>
    <row r="51311" spans="20:20" s="566" customFormat="1">
      <c r="T51311" s="41"/>
    </row>
    <row r="51312" spans="20:20" s="566" customFormat="1">
      <c r="T51312" s="41"/>
    </row>
    <row r="51313" spans="20:20" s="566" customFormat="1">
      <c r="T51313" s="41"/>
    </row>
    <row r="51314" spans="20:20" s="566" customFormat="1">
      <c r="T51314" s="41"/>
    </row>
    <row r="51315" spans="20:20" s="566" customFormat="1">
      <c r="T51315" s="41"/>
    </row>
    <row r="51316" spans="20:20" s="566" customFormat="1">
      <c r="T51316" s="41"/>
    </row>
    <row r="51317" spans="20:20" s="566" customFormat="1">
      <c r="T51317" s="41"/>
    </row>
    <row r="51318" spans="20:20" s="566" customFormat="1">
      <c r="T51318" s="41"/>
    </row>
    <row r="51319" spans="20:20" s="566" customFormat="1">
      <c r="T51319" s="41"/>
    </row>
    <row r="51320" spans="20:20" s="566" customFormat="1">
      <c r="T51320" s="41"/>
    </row>
    <row r="51321" spans="20:20" s="566" customFormat="1">
      <c r="T51321" s="41"/>
    </row>
    <row r="51322" spans="20:20" s="566" customFormat="1">
      <c r="T51322" s="41"/>
    </row>
    <row r="51323" spans="20:20" s="566" customFormat="1">
      <c r="T51323" s="41"/>
    </row>
    <row r="51324" spans="20:20" s="566" customFormat="1">
      <c r="T51324" s="41"/>
    </row>
    <row r="51325" spans="20:20" s="566" customFormat="1">
      <c r="T51325" s="41"/>
    </row>
    <row r="51326" spans="20:20" s="566" customFormat="1">
      <c r="T51326" s="41"/>
    </row>
    <row r="51327" spans="20:20" s="566" customFormat="1">
      <c r="T51327" s="41"/>
    </row>
    <row r="51328" spans="20:20" s="566" customFormat="1">
      <c r="T51328" s="41"/>
    </row>
    <row r="51329" spans="20:20" s="566" customFormat="1">
      <c r="T51329" s="41"/>
    </row>
    <row r="51330" spans="20:20" s="566" customFormat="1">
      <c r="T51330" s="41"/>
    </row>
    <row r="51331" spans="20:20" s="566" customFormat="1">
      <c r="T51331" s="41"/>
    </row>
    <row r="51332" spans="20:20" s="566" customFormat="1">
      <c r="T51332" s="41"/>
    </row>
    <row r="51333" spans="20:20" s="566" customFormat="1">
      <c r="T51333" s="41"/>
    </row>
    <row r="51334" spans="20:20" s="566" customFormat="1">
      <c r="T51334" s="41"/>
    </row>
    <row r="51335" spans="20:20" s="566" customFormat="1">
      <c r="T51335" s="41"/>
    </row>
    <row r="51336" spans="20:20" s="566" customFormat="1">
      <c r="T51336" s="41"/>
    </row>
    <row r="51337" spans="20:20" s="566" customFormat="1">
      <c r="T51337" s="41"/>
    </row>
    <row r="51338" spans="20:20" s="566" customFormat="1">
      <c r="T51338" s="41"/>
    </row>
    <row r="51339" spans="20:20" s="566" customFormat="1">
      <c r="T51339" s="41"/>
    </row>
    <row r="51340" spans="20:20" s="566" customFormat="1">
      <c r="T51340" s="41"/>
    </row>
    <row r="51341" spans="20:20" s="566" customFormat="1">
      <c r="T51341" s="41"/>
    </row>
    <row r="51342" spans="20:20" s="566" customFormat="1">
      <c r="T51342" s="41"/>
    </row>
    <row r="51343" spans="20:20" s="566" customFormat="1">
      <c r="T51343" s="41"/>
    </row>
    <row r="51344" spans="20:20" s="566" customFormat="1">
      <c r="T51344" s="41"/>
    </row>
    <row r="51345" spans="20:20" s="566" customFormat="1">
      <c r="T51345" s="41"/>
    </row>
    <row r="51346" spans="20:20" s="566" customFormat="1">
      <c r="T51346" s="41"/>
    </row>
    <row r="51347" spans="20:20" s="566" customFormat="1">
      <c r="T51347" s="41"/>
    </row>
    <row r="51348" spans="20:20" s="566" customFormat="1">
      <c r="T51348" s="41"/>
    </row>
    <row r="51349" spans="20:20" s="566" customFormat="1">
      <c r="T51349" s="41"/>
    </row>
    <row r="51350" spans="20:20" s="566" customFormat="1">
      <c r="T51350" s="41"/>
    </row>
    <row r="51351" spans="20:20" s="566" customFormat="1">
      <c r="T51351" s="41"/>
    </row>
    <row r="51352" spans="20:20" s="566" customFormat="1">
      <c r="T51352" s="41"/>
    </row>
    <row r="51353" spans="20:20" s="566" customFormat="1">
      <c r="T51353" s="41"/>
    </row>
    <row r="51354" spans="20:20" s="566" customFormat="1">
      <c r="T51354" s="41"/>
    </row>
    <row r="51355" spans="20:20" s="566" customFormat="1">
      <c r="T51355" s="41"/>
    </row>
    <row r="51356" spans="20:20" s="566" customFormat="1">
      <c r="T51356" s="41"/>
    </row>
    <row r="51357" spans="20:20" s="566" customFormat="1">
      <c r="T51357" s="41"/>
    </row>
    <row r="51358" spans="20:20" s="566" customFormat="1">
      <c r="T51358" s="41"/>
    </row>
    <row r="51359" spans="20:20" s="566" customFormat="1">
      <c r="T51359" s="41"/>
    </row>
    <row r="51360" spans="20:20" s="566" customFormat="1">
      <c r="T51360" s="41"/>
    </row>
    <row r="51361" spans="20:20" s="566" customFormat="1">
      <c r="T51361" s="41"/>
    </row>
    <row r="51362" spans="20:20" s="566" customFormat="1">
      <c r="T51362" s="41"/>
    </row>
    <row r="51363" spans="20:20" s="566" customFormat="1">
      <c r="T51363" s="41"/>
    </row>
    <row r="51364" spans="20:20" s="566" customFormat="1">
      <c r="T51364" s="41"/>
    </row>
    <row r="51365" spans="20:20" s="566" customFormat="1">
      <c r="T51365" s="41"/>
    </row>
    <row r="51366" spans="20:20" s="566" customFormat="1">
      <c r="T51366" s="41"/>
    </row>
    <row r="51367" spans="20:20" s="566" customFormat="1">
      <c r="T51367" s="41"/>
    </row>
    <row r="51368" spans="20:20" s="566" customFormat="1">
      <c r="T51368" s="41"/>
    </row>
    <row r="51369" spans="20:20" s="566" customFormat="1">
      <c r="T51369" s="41"/>
    </row>
    <row r="51370" spans="20:20" s="566" customFormat="1">
      <c r="T51370" s="41"/>
    </row>
    <row r="51371" spans="20:20" s="566" customFormat="1">
      <c r="T51371" s="41"/>
    </row>
    <row r="51372" spans="20:20" s="566" customFormat="1">
      <c r="T51372" s="41"/>
    </row>
    <row r="51373" spans="20:20" s="566" customFormat="1">
      <c r="T51373" s="41"/>
    </row>
    <row r="51374" spans="20:20" s="566" customFormat="1">
      <c r="T51374" s="41"/>
    </row>
    <row r="51375" spans="20:20" s="566" customFormat="1">
      <c r="T51375" s="41"/>
    </row>
    <row r="51376" spans="20:20" s="566" customFormat="1">
      <c r="T51376" s="41"/>
    </row>
    <row r="51377" spans="20:20" s="566" customFormat="1">
      <c r="T51377" s="41"/>
    </row>
    <row r="51378" spans="20:20" s="566" customFormat="1">
      <c r="T51378" s="41"/>
    </row>
    <row r="51379" spans="20:20" s="566" customFormat="1">
      <c r="T51379" s="41"/>
    </row>
    <row r="51380" spans="20:20" s="566" customFormat="1">
      <c r="T51380" s="41"/>
    </row>
    <row r="51381" spans="20:20" s="566" customFormat="1">
      <c r="T51381" s="41"/>
    </row>
    <row r="51382" spans="20:20" s="566" customFormat="1">
      <c r="T51382" s="41"/>
    </row>
    <row r="51383" spans="20:20" s="566" customFormat="1">
      <c r="T51383" s="41"/>
    </row>
    <row r="51384" spans="20:20" s="566" customFormat="1">
      <c r="T51384" s="41"/>
    </row>
    <row r="51385" spans="20:20" s="566" customFormat="1">
      <c r="T51385" s="41"/>
    </row>
    <row r="51386" spans="20:20" s="566" customFormat="1">
      <c r="T51386" s="41"/>
    </row>
    <row r="51387" spans="20:20" s="566" customFormat="1">
      <c r="T51387" s="41"/>
    </row>
    <row r="51388" spans="20:20" s="566" customFormat="1">
      <c r="T51388" s="41"/>
    </row>
    <row r="51389" spans="20:20" s="566" customFormat="1">
      <c r="T51389" s="41"/>
    </row>
    <row r="51390" spans="20:20" s="566" customFormat="1">
      <c r="T51390" s="41"/>
    </row>
    <row r="51391" spans="20:20" s="566" customFormat="1">
      <c r="T51391" s="41"/>
    </row>
    <row r="51392" spans="20:20" s="566" customFormat="1">
      <c r="T51392" s="41"/>
    </row>
    <row r="51393" spans="20:20" s="566" customFormat="1">
      <c r="T51393" s="41"/>
    </row>
    <row r="51394" spans="20:20" s="566" customFormat="1">
      <c r="T51394" s="41"/>
    </row>
    <row r="51395" spans="20:20" s="566" customFormat="1">
      <c r="T51395" s="41"/>
    </row>
    <row r="51396" spans="20:20" s="566" customFormat="1">
      <c r="T51396" s="41"/>
    </row>
    <row r="51397" spans="20:20" s="566" customFormat="1">
      <c r="T51397" s="41"/>
    </row>
    <row r="51398" spans="20:20" s="566" customFormat="1">
      <c r="T51398" s="41"/>
    </row>
    <row r="51399" spans="20:20" s="566" customFormat="1">
      <c r="T51399" s="41"/>
    </row>
    <row r="51400" spans="20:20" s="566" customFormat="1">
      <c r="T51400" s="41"/>
    </row>
    <row r="51401" spans="20:20" s="566" customFormat="1">
      <c r="T51401" s="41"/>
    </row>
    <row r="51402" spans="20:20" s="566" customFormat="1">
      <c r="T51402" s="41"/>
    </row>
    <row r="51403" spans="20:20" s="566" customFormat="1">
      <c r="T51403" s="41"/>
    </row>
    <row r="51404" spans="20:20" s="566" customFormat="1">
      <c r="T51404" s="41"/>
    </row>
    <row r="51405" spans="20:20" s="566" customFormat="1">
      <c r="T51405" s="41"/>
    </row>
    <row r="51406" spans="20:20" s="566" customFormat="1">
      <c r="T51406" s="41"/>
    </row>
    <row r="51407" spans="20:20" s="566" customFormat="1">
      <c r="T51407" s="41"/>
    </row>
    <row r="51408" spans="20:20" s="566" customFormat="1">
      <c r="T51408" s="41"/>
    </row>
    <row r="51409" spans="20:20" s="566" customFormat="1">
      <c r="T51409" s="41"/>
    </row>
    <row r="51410" spans="20:20" s="566" customFormat="1">
      <c r="T51410" s="41"/>
    </row>
    <row r="51411" spans="20:20" s="566" customFormat="1">
      <c r="T51411" s="41"/>
    </row>
    <row r="51412" spans="20:20" s="566" customFormat="1">
      <c r="T51412" s="41"/>
    </row>
    <row r="51413" spans="20:20" s="566" customFormat="1">
      <c r="T51413" s="41"/>
    </row>
    <row r="51414" spans="20:20" s="566" customFormat="1">
      <c r="T51414" s="41"/>
    </row>
    <row r="51415" spans="20:20" s="566" customFormat="1">
      <c r="T51415" s="41"/>
    </row>
    <row r="51416" spans="20:20" s="566" customFormat="1">
      <c r="T51416" s="41"/>
    </row>
    <row r="51417" spans="20:20" s="566" customFormat="1">
      <c r="T51417" s="41"/>
    </row>
    <row r="51418" spans="20:20" s="566" customFormat="1">
      <c r="T51418" s="41"/>
    </row>
    <row r="51419" spans="20:20" s="566" customFormat="1">
      <c r="T51419" s="41"/>
    </row>
    <row r="51420" spans="20:20" s="566" customFormat="1">
      <c r="T51420" s="41"/>
    </row>
    <row r="51421" spans="20:20" s="566" customFormat="1">
      <c r="T51421" s="41"/>
    </row>
    <row r="51422" spans="20:20" s="566" customFormat="1">
      <c r="T51422" s="41"/>
    </row>
    <row r="51423" spans="20:20" s="566" customFormat="1">
      <c r="T51423" s="41"/>
    </row>
    <row r="51424" spans="20:20" s="566" customFormat="1">
      <c r="T51424" s="41"/>
    </row>
    <row r="51425" spans="20:20" s="566" customFormat="1">
      <c r="T51425" s="41"/>
    </row>
    <row r="51426" spans="20:20" s="566" customFormat="1">
      <c r="T51426" s="41"/>
    </row>
    <row r="51427" spans="20:20" s="566" customFormat="1">
      <c r="T51427" s="41"/>
    </row>
    <row r="51428" spans="20:20" s="566" customFormat="1">
      <c r="T51428" s="41"/>
    </row>
    <row r="51429" spans="20:20" s="566" customFormat="1">
      <c r="T51429" s="41"/>
    </row>
    <row r="51430" spans="20:20" s="566" customFormat="1">
      <c r="T51430" s="41"/>
    </row>
    <row r="51431" spans="20:20" s="566" customFormat="1">
      <c r="T51431" s="41"/>
    </row>
    <row r="51432" spans="20:20" s="566" customFormat="1">
      <c r="T51432" s="41"/>
    </row>
    <row r="51433" spans="20:20" s="566" customFormat="1">
      <c r="T51433" s="41"/>
    </row>
    <row r="51434" spans="20:20" s="566" customFormat="1">
      <c r="T51434" s="41"/>
    </row>
    <row r="51435" spans="20:20" s="566" customFormat="1">
      <c r="T51435" s="41"/>
    </row>
    <row r="51436" spans="20:20" s="566" customFormat="1">
      <c r="T51436" s="41"/>
    </row>
    <row r="51437" spans="20:20" s="566" customFormat="1">
      <c r="T51437" s="41"/>
    </row>
    <row r="51438" spans="20:20" s="566" customFormat="1">
      <c r="T51438" s="41"/>
    </row>
    <row r="51439" spans="20:20" s="566" customFormat="1">
      <c r="T51439" s="41"/>
    </row>
    <row r="51440" spans="20:20" s="566" customFormat="1">
      <c r="T51440" s="41"/>
    </row>
    <row r="51441" spans="20:20" s="566" customFormat="1">
      <c r="T51441" s="41"/>
    </row>
    <row r="51442" spans="20:20" s="566" customFormat="1">
      <c r="T51442" s="41"/>
    </row>
    <row r="51443" spans="20:20" s="566" customFormat="1">
      <c r="T51443" s="41"/>
    </row>
    <row r="51444" spans="20:20" s="566" customFormat="1">
      <c r="T51444" s="41"/>
    </row>
    <row r="51445" spans="20:20" s="566" customFormat="1">
      <c r="T51445" s="41"/>
    </row>
    <row r="51446" spans="20:20" s="566" customFormat="1">
      <c r="T51446" s="41"/>
    </row>
    <row r="51447" spans="20:20" s="566" customFormat="1">
      <c r="T51447" s="41"/>
    </row>
    <row r="51448" spans="20:20" s="566" customFormat="1">
      <c r="T51448" s="41"/>
    </row>
    <row r="51449" spans="20:20" s="566" customFormat="1">
      <c r="T51449" s="41"/>
    </row>
    <row r="51450" spans="20:20" s="566" customFormat="1">
      <c r="T51450" s="41"/>
    </row>
    <row r="51451" spans="20:20" s="566" customFormat="1">
      <c r="T51451" s="41"/>
    </row>
    <row r="51452" spans="20:20" s="566" customFormat="1">
      <c r="T51452" s="41"/>
    </row>
    <row r="51453" spans="20:20" s="566" customFormat="1">
      <c r="T51453" s="41"/>
    </row>
    <row r="51454" spans="20:20" s="566" customFormat="1">
      <c r="T51454" s="41"/>
    </row>
    <row r="51455" spans="20:20" s="566" customFormat="1">
      <c r="T51455" s="41"/>
    </row>
    <row r="51456" spans="20:20" s="566" customFormat="1">
      <c r="T51456" s="41"/>
    </row>
    <row r="51457" spans="20:20" s="566" customFormat="1">
      <c r="T51457" s="41"/>
    </row>
    <row r="51458" spans="20:20" s="566" customFormat="1">
      <c r="T51458" s="41"/>
    </row>
    <row r="51459" spans="20:20" s="566" customFormat="1">
      <c r="T51459" s="41"/>
    </row>
    <row r="51460" spans="20:20" s="566" customFormat="1">
      <c r="T51460" s="41"/>
    </row>
    <row r="51461" spans="20:20" s="566" customFormat="1">
      <c r="T51461" s="41"/>
    </row>
    <row r="51462" spans="20:20" s="566" customFormat="1">
      <c r="T51462" s="41"/>
    </row>
    <row r="51463" spans="20:20" s="566" customFormat="1">
      <c r="T51463" s="41"/>
    </row>
    <row r="51464" spans="20:20" s="566" customFormat="1">
      <c r="T51464" s="41"/>
    </row>
    <row r="51465" spans="20:20" s="566" customFormat="1">
      <c r="T51465" s="41"/>
    </row>
    <row r="51466" spans="20:20" s="566" customFormat="1">
      <c r="T51466" s="41"/>
    </row>
    <row r="51467" spans="20:20" s="566" customFormat="1">
      <c r="T51467" s="41"/>
    </row>
    <row r="51468" spans="20:20" s="566" customFormat="1">
      <c r="T51468" s="41"/>
    </row>
    <row r="51469" spans="20:20" s="566" customFormat="1">
      <c r="T51469" s="41"/>
    </row>
    <row r="51470" spans="20:20" s="566" customFormat="1">
      <c r="T51470" s="41"/>
    </row>
    <row r="51471" spans="20:20" s="566" customFormat="1">
      <c r="T51471" s="41"/>
    </row>
    <row r="51472" spans="20:20" s="566" customFormat="1">
      <c r="T51472" s="41"/>
    </row>
    <row r="51473" spans="20:20" s="566" customFormat="1">
      <c r="T51473" s="41"/>
    </row>
    <row r="51474" spans="20:20" s="566" customFormat="1">
      <c r="T51474" s="41"/>
    </row>
    <row r="51475" spans="20:20" s="566" customFormat="1">
      <c r="T51475" s="41"/>
    </row>
    <row r="51476" spans="20:20" s="566" customFormat="1">
      <c r="T51476" s="41"/>
    </row>
    <row r="51477" spans="20:20" s="566" customFormat="1">
      <c r="T51477" s="41"/>
    </row>
    <row r="51478" spans="20:20" s="566" customFormat="1">
      <c r="T51478" s="41"/>
    </row>
    <row r="51479" spans="20:20" s="566" customFormat="1">
      <c r="T51479" s="41"/>
    </row>
    <row r="51480" spans="20:20" s="566" customFormat="1">
      <c r="T51480" s="41"/>
    </row>
    <row r="51481" spans="20:20" s="566" customFormat="1">
      <c r="T51481" s="41"/>
    </row>
    <row r="51482" spans="20:20" s="566" customFormat="1">
      <c r="T51482" s="41"/>
    </row>
    <row r="51483" spans="20:20" s="566" customFormat="1">
      <c r="T51483" s="41"/>
    </row>
    <row r="51484" spans="20:20" s="566" customFormat="1">
      <c r="T51484" s="41"/>
    </row>
    <row r="51485" spans="20:20" s="566" customFormat="1">
      <c r="T51485" s="41"/>
    </row>
    <row r="51486" spans="20:20" s="566" customFormat="1">
      <c r="T51486" s="41"/>
    </row>
    <row r="51487" spans="20:20" s="566" customFormat="1">
      <c r="T51487" s="41"/>
    </row>
    <row r="51488" spans="20:20" s="566" customFormat="1">
      <c r="T51488" s="41"/>
    </row>
    <row r="51489" spans="20:20" s="566" customFormat="1">
      <c r="T51489" s="41"/>
    </row>
    <row r="51490" spans="20:20" s="566" customFormat="1">
      <c r="T51490" s="41"/>
    </row>
    <row r="51491" spans="20:20" s="566" customFormat="1">
      <c r="T51491" s="41"/>
    </row>
    <row r="51492" spans="20:20" s="566" customFormat="1">
      <c r="T51492" s="41"/>
    </row>
    <row r="51493" spans="20:20" s="566" customFormat="1">
      <c r="T51493" s="41"/>
    </row>
    <row r="51494" spans="20:20" s="566" customFormat="1">
      <c r="T51494" s="41"/>
    </row>
    <row r="51495" spans="20:20" s="566" customFormat="1">
      <c r="T51495" s="41"/>
    </row>
    <row r="51496" spans="20:20" s="566" customFormat="1">
      <c r="T51496" s="41"/>
    </row>
    <row r="51497" spans="20:20" s="566" customFormat="1">
      <c r="T51497" s="41"/>
    </row>
    <row r="51498" spans="20:20" s="566" customFormat="1">
      <c r="T51498" s="41"/>
    </row>
    <row r="51499" spans="20:20" s="566" customFormat="1">
      <c r="T51499" s="41"/>
    </row>
    <row r="51500" spans="20:20" s="566" customFormat="1">
      <c r="T51500" s="41"/>
    </row>
    <row r="51501" spans="20:20" s="566" customFormat="1">
      <c r="T51501" s="41"/>
    </row>
    <row r="51502" spans="20:20" s="566" customFormat="1">
      <c r="T51502" s="41"/>
    </row>
    <row r="51503" spans="20:20" s="566" customFormat="1">
      <c r="T51503" s="41"/>
    </row>
    <row r="51504" spans="20:20" s="566" customFormat="1">
      <c r="T51504" s="41"/>
    </row>
    <row r="51505" spans="20:20" s="566" customFormat="1">
      <c r="T51505" s="41"/>
    </row>
    <row r="51506" spans="20:20" s="566" customFormat="1">
      <c r="T51506" s="41"/>
    </row>
    <row r="51507" spans="20:20" s="566" customFormat="1">
      <c r="T51507" s="41"/>
    </row>
    <row r="51508" spans="20:20" s="566" customFormat="1">
      <c r="T51508" s="41"/>
    </row>
    <row r="51509" spans="20:20" s="566" customFormat="1">
      <c r="T51509" s="41"/>
    </row>
    <row r="51510" spans="20:20" s="566" customFormat="1">
      <c r="T51510" s="41"/>
    </row>
    <row r="51511" spans="20:20" s="566" customFormat="1">
      <c r="T51511" s="41"/>
    </row>
    <row r="51512" spans="20:20" s="566" customFormat="1">
      <c r="T51512" s="41"/>
    </row>
    <row r="51513" spans="20:20" s="566" customFormat="1">
      <c r="T51513" s="41"/>
    </row>
    <row r="51514" spans="20:20" s="566" customFormat="1">
      <c r="T51514" s="41"/>
    </row>
    <row r="51515" spans="20:20" s="566" customFormat="1">
      <c r="T51515" s="41"/>
    </row>
    <row r="51516" spans="20:20" s="566" customFormat="1">
      <c r="T51516" s="41"/>
    </row>
    <row r="51517" spans="20:20" s="566" customFormat="1">
      <c r="T51517" s="41"/>
    </row>
    <row r="51518" spans="20:20" s="566" customFormat="1">
      <c r="T51518" s="41"/>
    </row>
    <row r="51519" spans="20:20" s="566" customFormat="1">
      <c r="T51519" s="41"/>
    </row>
    <row r="51520" spans="20:20" s="566" customFormat="1">
      <c r="T51520" s="41"/>
    </row>
    <row r="51521" spans="20:20" s="566" customFormat="1">
      <c r="T51521" s="41"/>
    </row>
    <row r="51522" spans="20:20" s="566" customFormat="1">
      <c r="T51522" s="41"/>
    </row>
    <row r="51523" spans="20:20" s="566" customFormat="1">
      <c r="T51523" s="41"/>
    </row>
    <row r="51524" spans="20:20" s="566" customFormat="1">
      <c r="T51524" s="41"/>
    </row>
    <row r="51525" spans="20:20" s="566" customFormat="1">
      <c r="T51525" s="41"/>
    </row>
    <row r="51526" spans="20:20" s="566" customFormat="1">
      <c r="T51526" s="41"/>
    </row>
    <row r="51527" spans="20:20" s="566" customFormat="1">
      <c r="T51527" s="41"/>
    </row>
    <row r="51528" spans="20:20" s="566" customFormat="1">
      <c r="T51528" s="41"/>
    </row>
    <row r="51529" spans="20:20" s="566" customFormat="1">
      <c r="T51529" s="41"/>
    </row>
    <row r="51530" spans="20:20" s="566" customFormat="1">
      <c r="T51530" s="41"/>
    </row>
    <row r="51531" spans="20:20" s="566" customFormat="1">
      <c r="T51531" s="41"/>
    </row>
    <row r="51532" spans="20:20" s="566" customFormat="1">
      <c r="T51532" s="41"/>
    </row>
    <row r="51533" spans="20:20" s="566" customFormat="1">
      <c r="T51533" s="41"/>
    </row>
    <row r="51534" spans="20:20" s="566" customFormat="1">
      <c r="T51534" s="41"/>
    </row>
    <row r="51535" spans="20:20" s="566" customFormat="1">
      <c r="T51535" s="41"/>
    </row>
    <row r="51536" spans="20:20" s="566" customFormat="1">
      <c r="T51536" s="41"/>
    </row>
    <row r="51537" spans="20:20" s="566" customFormat="1">
      <c r="T51537" s="41"/>
    </row>
    <row r="51538" spans="20:20" s="566" customFormat="1">
      <c r="T51538" s="41"/>
    </row>
    <row r="51539" spans="20:20" s="566" customFormat="1">
      <c r="T51539" s="41"/>
    </row>
    <row r="51540" spans="20:20" s="566" customFormat="1">
      <c r="T51540" s="41"/>
    </row>
    <row r="51541" spans="20:20" s="566" customFormat="1">
      <c r="T51541" s="41"/>
    </row>
    <row r="51542" spans="20:20" s="566" customFormat="1">
      <c r="T51542" s="41"/>
    </row>
    <row r="51543" spans="20:20" s="566" customFormat="1">
      <c r="T51543" s="41"/>
    </row>
    <row r="51544" spans="20:20" s="566" customFormat="1">
      <c r="T51544" s="41"/>
    </row>
    <row r="51545" spans="20:20" s="566" customFormat="1">
      <c r="T51545" s="41"/>
    </row>
    <row r="51546" spans="20:20" s="566" customFormat="1">
      <c r="T51546" s="41"/>
    </row>
    <row r="51547" spans="20:20" s="566" customFormat="1">
      <c r="T51547" s="41"/>
    </row>
    <row r="51548" spans="20:20" s="566" customFormat="1">
      <c r="T51548" s="41"/>
    </row>
    <row r="51549" spans="20:20" s="566" customFormat="1">
      <c r="T51549" s="41"/>
    </row>
    <row r="51550" spans="20:20" s="566" customFormat="1">
      <c r="T51550" s="41"/>
    </row>
    <row r="51551" spans="20:20" s="566" customFormat="1">
      <c r="T51551" s="41"/>
    </row>
    <row r="51552" spans="20:20" s="566" customFormat="1">
      <c r="T51552" s="41"/>
    </row>
    <row r="51553" spans="20:20" s="566" customFormat="1">
      <c r="T51553" s="41"/>
    </row>
    <row r="51554" spans="20:20" s="566" customFormat="1">
      <c r="T51554" s="41"/>
    </row>
    <row r="51555" spans="20:20" s="566" customFormat="1">
      <c r="T51555" s="41"/>
    </row>
    <row r="51556" spans="20:20" s="566" customFormat="1">
      <c r="T51556" s="41"/>
    </row>
    <row r="51557" spans="20:20" s="566" customFormat="1">
      <c r="T51557" s="41"/>
    </row>
    <row r="51558" spans="20:20" s="566" customFormat="1">
      <c r="T51558" s="41"/>
    </row>
    <row r="51559" spans="20:20" s="566" customFormat="1">
      <c r="T51559" s="41"/>
    </row>
    <row r="51560" spans="20:20" s="566" customFormat="1">
      <c r="T51560" s="41"/>
    </row>
    <row r="51561" spans="20:20" s="566" customFormat="1">
      <c r="T51561" s="41"/>
    </row>
    <row r="51562" spans="20:20" s="566" customFormat="1">
      <c r="T51562" s="41"/>
    </row>
    <row r="51563" spans="20:20" s="566" customFormat="1">
      <c r="T51563" s="41"/>
    </row>
    <row r="51564" spans="20:20" s="566" customFormat="1">
      <c r="T51564" s="41"/>
    </row>
    <row r="51565" spans="20:20" s="566" customFormat="1">
      <c r="T51565" s="41"/>
    </row>
    <row r="51566" spans="20:20" s="566" customFormat="1">
      <c r="T51566" s="41"/>
    </row>
    <row r="51567" spans="20:20" s="566" customFormat="1">
      <c r="T51567" s="41"/>
    </row>
    <row r="51568" spans="20:20" s="566" customFormat="1">
      <c r="T51568" s="41"/>
    </row>
    <row r="51569" spans="20:20" s="566" customFormat="1">
      <c r="T51569" s="41"/>
    </row>
    <row r="51570" spans="20:20" s="566" customFormat="1">
      <c r="T51570" s="41"/>
    </row>
    <row r="51571" spans="20:20" s="566" customFormat="1">
      <c r="T51571" s="41"/>
    </row>
    <row r="51572" spans="20:20" s="566" customFormat="1">
      <c r="T51572" s="41"/>
    </row>
    <row r="51573" spans="20:20" s="566" customFormat="1">
      <c r="T51573" s="41"/>
    </row>
    <row r="51574" spans="20:20" s="566" customFormat="1">
      <c r="T51574" s="41"/>
    </row>
    <row r="51575" spans="20:20" s="566" customFormat="1">
      <c r="T51575" s="41"/>
    </row>
    <row r="51576" spans="20:20" s="566" customFormat="1">
      <c r="T51576" s="41"/>
    </row>
    <row r="51577" spans="20:20" s="566" customFormat="1">
      <c r="T51577" s="41"/>
    </row>
    <row r="51578" spans="20:20" s="566" customFormat="1">
      <c r="T51578" s="41"/>
    </row>
    <row r="51579" spans="20:20" s="566" customFormat="1">
      <c r="T51579" s="41"/>
    </row>
    <row r="51580" spans="20:20" s="566" customFormat="1">
      <c r="T51580" s="41"/>
    </row>
    <row r="51581" spans="20:20" s="566" customFormat="1">
      <c r="T51581" s="41"/>
    </row>
    <row r="51582" spans="20:20" s="566" customFormat="1">
      <c r="T51582" s="41"/>
    </row>
    <row r="51583" spans="20:20" s="566" customFormat="1">
      <c r="T51583" s="41"/>
    </row>
    <row r="51584" spans="20:20" s="566" customFormat="1">
      <c r="T51584" s="41"/>
    </row>
    <row r="51585" spans="20:20" s="566" customFormat="1">
      <c r="T51585" s="41"/>
    </row>
    <row r="51586" spans="20:20" s="566" customFormat="1">
      <c r="T51586" s="41"/>
    </row>
    <row r="51587" spans="20:20" s="566" customFormat="1">
      <c r="T51587" s="41"/>
    </row>
    <row r="51588" spans="20:20" s="566" customFormat="1">
      <c r="T51588" s="41"/>
    </row>
    <row r="51589" spans="20:20" s="566" customFormat="1">
      <c r="T51589" s="41"/>
    </row>
    <row r="51590" spans="20:20" s="566" customFormat="1">
      <c r="T51590" s="41"/>
    </row>
    <row r="51591" spans="20:20" s="566" customFormat="1">
      <c r="T51591" s="41"/>
    </row>
    <row r="51592" spans="20:20" s="566" customFormat="1">
      <c r="T51592" s="41"/>
    </row>
    <row r="51593" spans="20:20" s="566" customFormat="1">
      <c r="T51593" s="41"/>
    </row>
    <row r="51594" spans="20:20" s="566" customFormat="1">
      <c r="T51594" s="41"/>
    </row>
    <row r="51595" spans="20:20" s="566" customFormat="1">
      <c r="T51595" s="41"/>
    </row>
    <row r="51596" spans="20:20" s="566" customFormat="1">
      <c r="T51596" s="41"/>
    </row>
    <row r="51597" spans="20:20" s="566" customFormat="1">
      <c r="T51597" s="41"/>
    </row>
    <row r="51598" spans="20:20" s="566" customFormat="1">
      <c r="T51598" s="41"/>
    </row>
    <row r="51599" spans="20:20" s="566" customFormat="1">
      <c r="T51599" s="41"/>
    </row>
    <row r="51600" spans="20:20" s="566" customFormat="1">
      <c r="T51600" s="41"/>
    </row>
    <row r="51601" spans="20:20" s="566" customFormat="1">
      <c r="T51601" s="41"/>
    </row>
    <row r="51602" spans="20:20" s="566" customFormat="1">
      <c r="T51602" s="41"/>
    </row>
    <row r="51603" spans="20:20" s="566" customFormat="1">
      <c r="T51603" s="41"/>
    </row>
    <row r="51604" spans="20:20" s="566" customFormat="1">
      <c r="T51604" s="41"/>
    </row>
    <row r="51605" spans="20:20" s="566" customFormat="1">
      <c r="T51605" s="41"/>
    </row>
    <row r="51606" spans="20:20" s="566" customFormat="1">
      <c r="T51606" s="41"/>
    </row>
    <row r="51607" spans="20:20" s="566" customFormat="1">
      <c r="T51607" s="41"/>
    </row>
    <row r="51608" spans="20:20" s="566" customFormat="1">
      <c r="T51608" s="41"/>
    </row>
    <row r="51609" spans="20:20" s="566" customFormat="1">
      <c r="T51609" s="41"/>
    </row>
    <row r="51610" spans="20:20" s="566" customFormat="1">
      <c r="T51610" s="41"/>
    </row>
    <row r="51611" spans="20:20" s="566" customFormat="1">
      <c r="T51611" s="41"/>
    </row>
    <row r="51612" spans="20:20" s="566" customFormat="1">
      <c r="T51612" s="41"/>
    </row>
    <row r="51613" spans="20:20" s="566" customFormat="1">
      <c r="T51613" s="41"/>
    </row>
    <row r="51614" spans="20:20" s="566" customFormat="1">
      <c r="T51614" s="41"/>
    </row>
    <row r="51615" spans="20:20" s="566" customFormat="1">
      <c r="T51615" s="41"/>
    </row>
    <row r="51616" spans="20:20" s="566" customFormat="1">
      <c r="T51616" s="41"/>
    </row>
    <row r="51617" spans="20:20" s="566" customFormat="1">
      <c r="T51617" s="41"/>
    </row>
    <row r="51618" spans="20:20" s="566" customFormat="1">
      <c r="T51618" s="41"/>
    </row>
    <row r="51619" spans="20:20" s="566" customFormat="1">
      <c r="T51619" s="41"/>
    </row>
    <row r="51620" spans="20:20" s="566" customFormat="1">
      <c r="T51620" s="41"/>
    </row>
    <row r="51621" spans="20:20" s="566" customFormat="1">
      <c r="T51621" s="41"/>
    </row>
    <row r="51622" spans="20:20" s="566" customFormat="1">
      <c r="T51622" s="41"/>
    </row>
    <row r="51623" spans="20:20" s="566" customFormat="1">
      <c r="T51623" s="41"/>
    </row>
    <row r="51624" spans="20:20" s="566" customFormat="1">
      <c r="T51624" s="41"/>
    </row>
    <row r="51625" spans="20:20" s="566" customFormat="1">
      <c r="T51625" s="41"/>
    </row>
    <row r="51626" spans="20:20" s="566" customFormat="1">
      <c r="T51626" s="41"/>
    </row>
    <row r="51627" spans="20:20" s="566" customFormat="1">
      <c r="T51627" s="41"/>
    </row>
    <row r="51628" spans="20:20" s="566" customFormat="1">
      <c r="T51628" s="41"/>
    </row>
    <row r="51629" spans="20:20" s="566" customFormat="1">
      <c r="T51629" s="41"/>
    </row>
    <row r="51630" spans="20:20" s="566" customFormat="1">
      <c r="T51630" s="41"/>
    </row>
    <row r="51631" spans="20:20" s="566" customFormat="1">
      <c r="T51631" s="41"/>
    </row>
    <row r="51632" spans="20:20" s="566" customFormat="1">
      <c r="T51632" s="41"/>
    </row>
    <row r="51633" spans="20:20" s="566" customFormat="1">
      <c r="T51633" s="41"/>
    </row>
    <row r="51634" spans="20:20" s="566" customFormat="1">
      <c r="T51634" s="41"/>
    </row>
    <row r="51635" spans="20:20" s="566" customFormat="1">
      <c r="T51635" s="41"/>
    </row>
    <row r="51636" spans="20:20" s="566" customFormat="1">
      <c r="T51636" s="41"/>
    </row>
    <row r="51637" spans="20:20" s="566" customFormat="1">
      <c r="T51637" s="41"/>
    </row>
    <row r="51638" spans="20:20" s="566" customFormat="1">
      <c r="T51638" s="41"/>
    </row>
    <row r="51639" spans="20:20" s="566" customFormat="1">
      <c r="T51639" s="41"/>
    </row>
    <row r="51640" spans="20:20" s="566" customFormat="1">
      <c r="T51640" s="41"/>
    </row>
    <row r="51641" spans="20:20" s="566" customFormat="1">
      <c r="T51641" s="41"/>
    </row>
    <row r="51642" spans="20:20" s="566" customFormat="1">
      <c r="T51642" s="41"/>
    </row>
    <row r="51643" spans="20:20" s="566" customFormat="1">
      <c r="T51643" s="41"/>
    </row>
    <row r="51644" spans="20:20" s="566" customFormat="1">
      <c r="T51644" s="41"/>
    </row>
    <row r="51645" spans="20:20" s="566" customFormat="1">
      <c r="T51645" s="41"/>
    </row>
    <row r="51646" spans="20:20" s="566" customFormat="1">
      <c r="T51646" s="41"/>
    </row>
    <row r="51647" spans="20:20" s="566" customFormat="1">
      <c r="T51647" s="41"/>
    </row>
    <row r="51648" spans="20:20" s="566" customFormat="1">
      <c r="T51648" s="41"/>
    </row>
    <row r="51649" spans="20:20" s="566" customFormat="1">
      <c r="T51649" s="41"/>
    </row>
    <row r="51650" spans="20:20" s="566" customFormat="1">
      <c r="T51650" s="41"/>
    </row>
    <row r="51651" spans="20:20" s="566" customFormat="1">
      <c r="T51651" s="41"/>
    </row>
    <row r="51652" spans="20:20" s="566" customFormat="1">
      <c r="T51652" s="41"/>
    </row>
    <row r="51653" spans="20:20" s="566" customFormat="1">
      <c r="T51653" s="41"/>
    </row>
    <row r="51654" spans="20:20" s="566" customFormat="1">
      <c r="T51654" s="41"/>
    </row>
    <row r="51655" spans="20:20" s="566" customFormat="1">
      <c r="T51655" s="41"/>
    </row>
    <row r="51656" spans="20:20" s="566" customFormat="1">
      <c r="T51656" s="41"/>
    </row>
    <row r="51657" spans="20:20" s="566" customFormat="1">
      <c r="T51657" s="41"/>
    </row>
    <row r="51658" spans="20:20" s="566" customFormat="1">
      <c r="T51658" s="41"/>
    </row>
    <row r="51659" spans="20:20" s="566" customFormat="1">
      <c r="T51659" s="41"/>
    </row>
    <row r="51660" spans="20:20" s="566" customFormat="1">
      <c r="T51660" s="41"/>
    </row>
    <row r="51661" spans="20:20" s="566" customFormat="1">
      <c r="T51661" s="41"/>
    </row>
    <row r="51662" spans="20:20" s="566" customFormat="1">
      <c r="T51662" s="41"/>
    </row>
    <row r="51663" spans="20:20" s="566" customFormat="1">
      <c r="T51663" s="41"/>
    </row>
    <row r="51664" spans="20:20" s="566" customFormat="1">
      <c r="T51664" s="41"/>
    </row>
    <row r="51665" spans="20:20" s="566" customFormat="1">
      <c r="T51665" s="41"/>
    </row>
    <row r="51666" spans="20:20" s="566" customFormat="1">
      <c r="T51666" s="41"/>
    </row>
    <row r="51667" spans="20:20" s="566" customFormat="1">
      <c r="T51667" s="41"/>
    </row>
    <row r="51668" spans="20:20" s="566" customFormat="1">
      <c r="T51668" s="41"/>
    </row>
    <row r="51669" spans="20:20" s="566" customFormat="1">
      <c r="T51669" s="41"/>
    </row>
    <row r="51670" spans="20:20" s="566" customFormat="1">
      <c r="T51670" s="41"/>
    </row>
    <row r="51671" spans="20:20" s="566" customFormat="1">
      <c r="T51671" s="41"/>
    </row>
    <row r="51672" spans="20:20" s="566" customFormat="1">
      <c r="T51672" s="41"/>
    </row>
    <row r="51673" spans="20:20" s="566" customFormat="1">
      <c r="T51673" s="41"/>
    </row>
    <row r="51674" spans="20:20" s="566" customFormat="1">
      <c r="T51674" s="41"/>
    </row>
    <row r="51675" spans="20:20" s="566" customFormat="1">
      <c r="T51675" s="41"/>
    </row>
    <row r="51676" spans="20:20" s="566" customFormat="1">
      <c r="T51676" s="41"/>
    </row>
    <row r="51677" spans="20:20" s="566" customFormat="1">
      <c r="T51677" s="41"/>
    </row>
    <row r="51678" spans="20:20" s="566" customFormat="1">
      <c r="T51678" s="41"/>
    </row>
    <row r="51679" spans="20:20" s="566" customFormat="1">
      <c r="T51679" s="41"/>
    </row>
    <row r="51680" spans="20:20" s="566" customFormat="1">
      <c r="T51680" s="41"/>
    </row>
    <row r="51681" spans="20:20" s="566" customFormat="1">
      <c r="T51681" s="41"/>
    </row>
    <row r="51682" spans="20:20" s="566" customFormat="1">
      <c r="T51682" s="41"/>
    </row>
    <row r="51683" spans="20:20" s="566" customFormat="1">
      <c r="T51683" s="41"/>
    </row>
    <row r="51684" spans="20:20" s="566" customFormat="1">
      <c r="T51684" s="41"/>
    </row>
    <row r="51685" spans="20:20" s="566" customFormat="1">
      <c r="T51685" s="41"/>
    </row>
    <row r="51686" spans="20:20" s="566" customFormat="1">
      <c r="T51686" s="41"/>
    </row>
    <row r="51687" spans="20:20" s="566" customFormat="1">
      <c r="T51687" s="41"/>
    </row>
    <row r="51688" spans="20:20" s="566" customFormat="1">
      <c r="T51688" s="41"/>
    </row>
    <row r="51689" spans="20:20" s="566" customFormat="1">
      <c r="T51689" s="41"/>
    </row>
    <row r="51690" spans="20:20" s="566" customFormat="1">
      <c r="T51690" s="41"/>
    </row>
    <row r="51691" spans="20:20" s="566" customFormat="1">
      <c r="T51691" s="41"/>
    </row>
    <row r="51692" spans="20:20" s="566" customFormat="1">
      <c r="T51692" s="41"/>
    </row>
    <row r="51693" spans="20:20" s="566" customFormat="1">
      <c r="T51693" s="41"/>
    </row>
    <row r="51694" spans="20:20" s="566" customFormat="1">
      <c r="T51694" s="41"/>
    </row>
    <row r="51695" spans="20:20" s="566" customFormat="1">
      <c r="T51695" s="41"/>
    </row>
    <row r="51696" spans="20:20" s="566" customFormat="1">
      <c r="T51696" s="41"/>
    </row>
    <row r="51697" spans="20:20" s="566" customFormat="1">
      <c r="T51697" s="41"/>
    </row>
    <row r="51698" spans="20:20" s="566" customFormat="1">
      <c r="T51698" s="41"/>
    </row>
    <row r="51699" spans="20:20" s="566" customFormat="1">
      <c r="T51699" s="41"/>
    </row>
    <row r="51700" spans="20:20" s="566" customFormat="1">
      <c r="T51700" s="41"/>
    </row>
    <row r="51701" spans="20:20" s="566" customFormat="1">
      <c r="T51701" s="41"/>
    </row>
    <row r="51702" spans="20:20" s="566" customFormat="1">
      <c r="T51702" s="41"/>
    </row>
    <row r="51703" spans="20:20" s="566" customFormat="1">
      <c r="T51703" s="41"/>
    </row>
    <row r="51704" spans="20:20" s="566" customFormat="1">
      <c r="T51704" s="41"/>
    </row>
    <row r="51705" spans="20:20" s="566" customFormat="1">
      <c r="T51705" s="41"/>
    </row>
    <row r="51706" spans="20:20" s="566" customFormat="1">
      <c r="T51706" s="41"/>
    </row>
    <row r="51707" spans="20:20" s="566" customFormat="1">
      <c r="T51707" s="41"/>
    </row>
    <row r="51708" spans="20:20" s="566" customFormat="1">
      <c r="T51708" s="41"/>
    </row>
    <row r="51709" spans="20:20" s="566" customFormat="1">
      <c r="T51709" s="41"/>
    </row>
    <row r="51710" spans="20:20" s="566" customFormat="1">
      <c r="T51710" s="41"/>
    </row>
    <row r="51711" spans="20:20" s="566" customFormat="1">
      <c r="T51711" s="41"/>
    </row>
    <row r="51712" spans="20:20" s="566" customFormat="1">
      <c r="T51712" s="41"/>
    </row>
    <row r="51713" spans="20:20" s="566" customFormat="1">
      <c r="T51713" s="41"/>
    </row>
    <row r="51714" spans="20:20" s="566" customFormat="1">
      <c r="T51714" s="41"/>
    </row>
    <row r="51715" spans="20:20" s="566" customFormat="1">
      <c r="T51715" s="41"/>
    </row>
    <row r="51716" spans="20:20" s="566" customFormat="1">
      <c r="T51716" s="41"/>
    </row>
    <row r="51717" spans="20:20" s="566" customFormat="1">
      <c r="T51717" s="41"/>
    </row>
    <row r="51718" spans="20:20" s="566" customFormat="1">
      <c r="T51718" s="41"/>
    </row>
    <row r="51719" spans="20:20" s="566" customFormat="1">
      <c r="T51719" s="41"/>
    </row>
    <row r="51720" spans="20:20" s="566" customFormat="1">
      <c r="T51720" s="41"/>
    </row>
    <row r="51721" spans="20:20" s="566" customFormat="1">
      <c r="T51721" s="41"/>
    </row>
    <row r="51722" spans="20:20" s="566" customFormat="1">
      <c r="T51722" s="41"/>
    </row>
    <row r="51723" spans="20:20" s="566" customFormat="1">
      <c r="T51723" s="41"/>
    </row>
    <row r="51724" spans="20:20" s="566" customFormat="1">
      <c r="T51724" s="41"/>
    </row>
    <row r="51725" spans="20:20" s="566" customFormat="1">
      <c r="T51725" s="41"/>
    </row>
    <row r="51726" spans="20:20" s="566" customFormat="1">
      <c r="T51726" s="41"/>
    </row>
    <row r="51727" spans="20:20" s="566" customFormat="1">
      <c r="T51727" s="41"/>
    </row>
    <row r="51728" spans="20:20" s="566" customFormat="1">
      <c r="T51728" s="41"/>
    </row>
    <row r="51729" spans="20:20" s="566" customFormat="1">
      <c r="T51729" s="41"/>
    </row>
    <row r="51730" spans="20:20" s="566" customFormat="1">
      <c r="T51730" s="41"/>
    </row>
    <row r="51731" spans="20:20" s="566" customFormat="1">
      <c r="T51731" s="41"/>
    </row>
    <row r="51732" spans="20:20" s="566" customFormat="1">
      <c r="T51732" s="41"/>
    </row>
    <row r="51733" spans="20:20" s="566" customFormat="1">
      <c r="T51733" s="41"/>
    </row>
    <row r="51734" spans="20:20" s="566" customFormat="1">
      <c r="T51734" s="41"/>
    </row>
    <row r="51735" spans="20:20" s="566" customFormat="1">
      <c r="T51735" s="41"/>
    </row>
    <row r="51736" spans="20:20" s="566" customFormat="1">
      <c r="T51736" s="41"/>
    </row>
    <row r="51737" spans="20:20" s="566" customFormat="1">
      <c r="T51737" s="41"/>
    </row>
    <row r="51738" spans="20:20" s="566" customFormat="1">
      <c r="T51738" s="41"/>
    </row>
    <row r="51739" spans="20:20" s="566" customFormat="1">
      <c r="T51739" s="41"/>
    </row>
    <row r="51740" spans="20:20" s="566" customFormat="1">
      <c r="T51740" s="41"/>
    </row>
    <row r="51741" spans="20:20" s="566" customFormat="1">
      <c r="T51741" s="41"/>
    </row>
    <row r="51742" spans="20:20" s="566" customFormat="1">
      <c r="T51742" s="41"/>
    </row>
    <row r="51743" spans="20:20" s="566" customFormat="1">
      <c r="T51743" s="41"/>
    </row>
    <row r="51744" spans="20:20" s="566" customFormat="1">
      <c r="T51744" s="41"/>
    </row>
    <row r="51745" spans="20:20" s="566" customFormat="1">
      <c r="T51745" s="41"/>
    </row>
    <row r="51746" spans="20:20" s="566" customFormat="1">
      <c r="T51746" s="41"/>
    </row>
    <row r="51747" spans="20:20" s="566" customFormat="1">
      <c r="T51747" s="41"/>
    </row>
    <row r="51748" spans="20:20" s="566" customFormat="1">
      <c r="T51748" s="41"/>
    </row>
    <row r="51749" spans="20:20" s="566" customFormat="1">
      <c r="T51749" s="41"/>
    </row>
    <row r="51750" spans="20:20" s="566" customFormat="1">
      <c r="T51750" s="41"/>
    </row>
    <row r="51751" spans="20:20" s="566" customFormat="1">
      <c r="T51751" s="41"/>
    </row>
    <row r="51752" spans="20:20" s="566" customFormat="1">
      <c r="T51752" s="41"/>
    </row>
    <row r="51753" spans="20:20" s="566" customFormat="1">
      <c r="T51753" s="41"/>
    </row>
    <row r="51754" spans="20:20" s="566" customFormat="1">
      <c r="T51754" s="41"/>
    </row>
    <row r="51755" spans="20:20" s="566" customFormat="1">
      <c r="T51755" s="41"/>
    </row>
    <row r="51756" spans="20:20" s="566" customFormat="1">
      <c r="T51756" s="41"/>
    </row>
    <row r="51757" spans="20:20" s="566" customFormat="1">
      <c r="T51757" s="41"/>
    </row>
    <row r="51758" spans="20:20" s="566" customFormat="1">
      <c r="T51758" s="41"/>
    </row>
    <row r="51759" spans="20:20" s="566" customFormat="1">
      <c r="T51759" s="41"/>
    </row>
    <row r="51760" spans="20:20" s="566" customFormat="1">
      <c r="T51760" s="41"/>
    </row>
    <row r="51761" spans="20:20" s="566" customFormat="1">
      <c r="T51761" s="41"/>
    </row>
    <row r="51762" spans="20:20" s="566" customFormat="1">
      <c r="T51762" s="41"/>
    </row>
    <row r="51763" spans="20:20" s="566" customFormat="1">
      <c r="T51763" s="41"/>
    </row>
    <row r="51764" spans="20:20" s="566" customFormat="1">
      <c r="T51764" s="41"/>
    </row>
    <row r="51765" spans="20:20" s="566" customFormat="1">
      <c r="T51765" s="41"/>
    </row>
    <row r="51766" spans="20:20" s="566" customFormat="1">
      <c r="T51766" s="41"/>
    </row>
    <row r="51767" spans="20:20" s="566" customFormat="1">
      <c r="T51767" s="41"/>
    </row>
    <row r="51768" spans="20:20" s="566" customFormat="1">
      <c r="T51768" s="41"/>
    </row>
    <row r="51769" spans="20:20" s="566" customFormat="1">
      <c r="T51769" s="41"/>
    </row>
    <row r="51770" spans="20:20" s="566" customFormat="1">
      <c r="T51770" s="41"/>
    </row>
    <row r="51771" spans="20:20" s="566" customFormat="1">
      <c r="T51771" s="41"/>
    </row>
    <row r="51772" spans="20:20" s="566" customFormat="1">
      <c r="T51772" s="41"/>
    </row>
    <row r="51773" spans="20:20" s="566" customFormat="1">
      <c r="T51773" s="41"/>
    </row>
    <row r="51774" spans="20:20" s="566" customFormat="1">
      <c r="T51774" s="41"/>
    </row>
    <row r="51775" spans="20:20" s="566" customFormat="1">
      <c r="T51775" s="41"/>
    </row>
    <row r="51776" spans="20:20" s="566" customFormat="1">
      <c r="T51776" s="41"/>
    </row>
    <row r="51777" spans="20:20" s="566" customFormat="1">
      <c r="T51777" s="41"/>
    </row>
    <row r="51778" spans="20:20" s="566" customFormat="1">
      <c r="T51778" s="41"/>
    </row>
    <row r="51779" spans="20:20" s="566" customFormat="1">
      <c r="T51779" s="41"/>
    </row>
    <row r="51780" spans="20:20" s="566" customFormat="1">
      <c r="T51780" s="41"/>
    </row>
    <row r="51781" spans="20:20" s="566" customFormat="1">
      <c r="T51781" s="41"/>
    </row>
    <row r="51782" spans="20:20" s="566" customFormat="1">
      <c r="T51782" s="41"/>
    </row>
    <row r="51783" spans="20:20" s="566" customFormat="1">
      <c r="T51783" s="41"/>
    </row>
    <row r="51784" spans="20:20" s="566" customFormat="1">
      <c r="T51784" s="41"/>
    </row>
    <row r="51785" spans="20:20" s="566" customFormat="1">
      <c r="T51785" s="41"/>
    </row>
    <row r="51786" spans="20:20" s="566" customFormat="1">
      <c r="T51786" s="41"/>
    </row>
    <row r="51787" spans="20:20" s="566" customFormat="1">
      <c r="T51787" s="41"/>
    </row>
    <row r="51788" spans="20:20" s="566" customFormat="1">
      <c r="T51788" s="41"/>
    </row>
    <row r="51789" spans="20:20" s="566" customFormat="1">
      <c r="T51789" s="41"/>
    </row>
    <row r="51790" spans="20:20" s="566" customFormat="1">
      <c r="T51790" s="41"/>
    </row>
    <row r="51791" spans="20:20" s="566" customFormat="1">
      <c r="T51791" s="41"/>
    </row>
    <row r="51792" spans="20:20" s="566" customFormat="1">
      <c r="T51792" s="41"/>
    </row>
    <row r="51793" spans="20:20" s="566" customFormat="1">
      <c r="T51793" s="41"/>
    </row>
    <row r="51794" spans="20:20" s="566" customFormat="1">
      <c r="T51794" s="41"/>
    </row>
    <row r="51795" spans="20:20" s="566" customFormat="1">
      <c r="T51795" s="41"/>
    </row>
    <row r="51796" spans="20:20" s="566" customFormat="1">
      <c r="T51796" s="41"/>
    </row>
    <row r="51797" spans="20:20" s="566" customFormat="1">
      <c r="T51797" s="41"/>
    </row>
    <row r="51798" spans="20:20" s="566" customFormat="1">
      <c r="T51798" s="41"/>
    </row>
    <row r="51799" spans="20:20" s="566" customFormat="1">
      <c r="T51799" s="41"/>
    </row>
    <row r="51800" spans="20:20" s="566" customFormat="1">
      <c r="T51800" s="41"/>
    </row>
    <row r="51801" spans="20:20" s="566" customFormat="1">
      <c r="T51801" s="41"/>
    </row>
    <row r="51802" spans="20:20" s="566" customFormat="1">
      <c r="T51802" s="41"/>
    </row>
    <row r="51803" spans="20:20" s="566" customFormat="1">
      <c r="T51803" s="41"/>
    </row>
    <row r="51804" spans="20:20" s="566" customFormat="1">
      <c r="T51804" s="41"/>
    </row>
    <row r="51805" spans="20:20" s="566" customFormat="1">
      <c r="T51805" s="41"/>
    </row>
    <row r="51806" spans="20:20" s="566" customFormat="1">
      <c r="T51806" s="41"/>
    </row>
    <row r="51807" spans="20:20" s="566" customFormat="1">
      <c r="T51807" s="41"/>
    </row>
    <row r="51808" spans="20:20" s="566" customFormat="1">
      <c r="T51808" s="41"/>
    </row>
    <row r="51809" spans="20:20" s="566" customFormat="1">
      <c r="T51809" s="41"/>
    </row>
    <row r="51810" spans="20:20" s="566" customFormat="1">
      <c r="T51810" s="41"/>
    </row>
    <row r="51811" spans="20:20" s="566" customFormat="1">
      <c r="T51811" s="41"/>
    </row>
    <row r="51812" spans="20:20" s="566" customFormat="1">
      <c r="T51812" s="41"/>
    </row>
    <row r="51813" spans="20:20" s="566" customFormat="1">
      <c r="T51813" s="41"/>
    </row>
    <row r="51814" spans="20:20" s="566" customFormat="1">
      <c r="T51814" s="41"/>
    </row>
    <row r="51815" spans="20:20" s="566" customFormat="1">
      <c r="T51815" s="41"/>
    </row>
    <row r="51816" spans="20:20" s="566" customFormat="1">
      <c r="T51816" s="41"/>
    </row>
    <row r="51817" spans="20:20" s="566" customFormat="1">
      <c r="T51817" s="41"/>
    </row>
    <row r="51818" spans="20:20" s="566" customFormat="1">
      <c r="T51818" s="41"/>
    </row>
    <row r="51819" spans="20:20" s="566" customFormat="1">
      <c r="T51819" s="41"/>
    </row>
    <row r="51820" spans="20:20" s="566" customFormat="1">
      <c r="T51820" s="41"/>
    </row>
    <row r="51821" spans="20:20" s="566" customFormat="1">
      <c r="T51821" s="41"/>
    </row>
    <row r="51822" spans="20:20" s="566" customFormat="1">
      <c r="T51822" s="41"/>
    </row>
    <row r="51823" spans="20:20" s="566" customFormat="1">
      <c r="T51823" s="41"/>
    </row>
    <row r="51824" spans="20:20" s="566" customFormat="1">
      <c r="T51824" s="41"/>
    </row>
    <row r="51825" spans="20:20" s="566" customFormat="1">
      <c r="T51825" s="41"/>
    </row>
    <row r="51826" spans="20:20" s="566" customFormat="1">
      <c r="T51826" s="41"/>
    </row>
    <row r="51827" spans="20:20" s="566" customFormat="1">
      <c r="T51827" s="41"/>
    </row>
    <row r="51828" spans="20:20" s="566" customFormat="1">
      <c r="T51828" s="41"/>
    </row>
    <row r="51829" spans="20:20" s="566" customFormat="1">
      <c r="T51829" s="41"/>
    </row>
    <row r="51830" spans="20:20" s="566" customFormat="1">
      <c r="T51830" s="41"/>
    </row>
    <row r="51831" spans="20:20" s="566" customFormat="1">
      <c r="T51831" s="41"/>
    </row>
    <row r="51832" spans="20:20" s="566" customFormat="1">
      <c r="T51832" s="41"/>
    </row>
    <row r="51833" spans="20:20" s="566" customFormat="1">
      <c r="T51833" s="41"/>
    </row>
    <row r="51834" spans="20:20" s="566" customFormat="1">
      <c r="T51834" s="41"/>
    </row>
    <row r="51835" spans="20:20" s="566" customFormat="1">
      <c r="T51835" s="41"/>
    </row>
    <row r="51836" spans="20:20" s="566" customFormat="1">
      <c r="T51836" s="41"/>
    </row>
    <row r="51837" spans="20:20" s="566" customFormat="1">
      <c r="T51837" s="41"/>
    </row>
    <row r="51838" spans="20:20" s="566" customFormat="1">
      <c r="T51838" s="41"/>
    </row>
    <row r="51839" spans="20:20" s="566" customFormat="1">
      <c r="T51839" s="41"/>
    </row>
    <row r="51840" spans="20:20" s="566" customFormat="1">
      <c r="T51840" s="41"/>
    </row>
    <row r="51841" spans="20:20" s="566" customFormat="1">
      <c r="T51841" s="41"/>
    </row>
    <row r="51842" spans="20:20" s="566" customFormat="1">
      <c r="T51842" s="41"/>
    </row>
    <row r="51843" spans="20:20" s="566" customFormat="1">
      <c r="T51843" s="41"/>
    </row>
    <row r="51844" spans="20:20" s="566" customFormat="1">
      <c r="T51844" s="41"/>
    </row>
    <row r="51845" spans="20:20" s="566" customFormat="1">
      <c r="T51845" s="41"/>
    </row>
    <row r="51846" spans="20:20" s="566" customFormat="1">
      <c r="T51846" s="41"/>
    </row>
    <row r="51847" spans="20:20" s="566" customFormat="1">
      <c r="T51847" s="41"/>
    </row>
    <row r="51848" spans="20:20" s="566" customFormat="1">
      <c r="T51848" s="41"/>
    </row>
    <row r="51849" spans="20:20" s="566" customFormat="1">
      <c r="T51849" s="41"/>
    </row>
    <row r="51850" spans="20:20" s="566" customFormat="1">
      <c r="T51850" s="41"/>
    </row>
    <row r="51851" spans="20:20" s="566" customFormat="1">
      <c r="T51851" s="41"/>
    </row>
    <row r="51852" spans="20:20" s="566" customFormat="1">
      <c r="T51852" s="41"/>
    </row>
    <row r="51853" spans="20:20" s="566" customFormat="1">
      <c r="T51853" s="41"/>
    </row>
    <row r="51854" spans="20:20" s="566" customFormat="1">
      <c r="T51854" s="41"/>
    </row>
    <row r="51855" spans="20:20" s="566" customFormat="1">
      <c r="T51855" s="41"/>
    </row>
    <row r="51856" spans="20:20" s="566" customFormat="1">
      <c r="T51856" s="41"/>
    </row>
    <row r="51857" spans="20:20" s="566" customFormat="1">
      <c r="T51857" s="41"/>
    </row>
    <row r="51858" spans="20:20" s="566" customFormat="1">
      <c r="T51858" s="41"/>
    </row>
    <row r="51859" spans="20:20" s="566" customFormat="1">
      <c r="T51859" s="41"/>
    </row>
    <row r="51860" spans="20:20" s="566" customFormat="1">
      <c r="T51860" s="41"/>
    </row>
    <row r="51861" spans="20:20" s="566" customFormat="1">
      <c r="T51861" s="41"/>
    </row>
    <row r="51862" spans="20:20" s="566" customFormat="1">
      <c r="T51862" s="41"/>
    </row>
    <row r="51863" spans="20:20" s="566" customFormat="1">
      <c r="T51863" s="41"/>
    </row>
    <row r="51864" spans="20:20" s="566" customFormat="1">
      <c r="T51864" s="41"/>
    </row>
    <row r="51865" spans="20:20" s="566" customFormat="1">
      <c r="T51865" s="41"/>
    </row>
    <row r="51866" spans="20:20" s="566" customFormat="1">
      <c r="T51866" s="41"/>
    </row>
    <row r="51867" spans="20:20" s="566" customFormat="1">
      <c r="T51867" s="41"/>
    </row>
    <row r="51868" spans="20:20" s="566" customFormat="1">
      <c r="T51868" s="41"/>
    </row>
    <row r="51869" spans="20:20" s="566" customFormat="1">
      <c r="T51869" s="41"/>
    </row>
    <row r="51870" spans="20:20" s="566" customFormat="1">
      <c r="T51870" s="41"/>
    </row>
    <row r="51871" spans="20:20" s="566" customFormat="1">
      <c r="T51871" s="41"/>
    </row>
    <row r="51872" spans="20:20" s="566" customFormat="1">
      <c r="T51872" s="41"/>
    </row>
    <row r="51873" spans="20:20" s="566" customFormat="1">
      <c r="T51873" s="41"/>
    </row>
    <row r="51874" spans="20:20" s="566" customFormat="1">
      <c r="T51874" s="41"/>
    </row>
    <row r="51875" spans="20:20" s="566" customFormat="1">
      <c r="T51875" s="41"/>
    </row>
    <row r="51876" spans="20:20" s="566" customFormat="1">
      <c r="T51876" s="41"/>
    </row>
    <row r="51877" spans="20:20" s="566" customFormat="1">
      <c r="T51877" s="41"/>
    </row>
    <row r="51878" spans="20:20" s="566" customFormat="1">
      <c r="T51878" s="41"/>
    </row>
    <row r="51879" spans="20:20" s="566" customFormat="1">
      <c r="T51879" s="41"/>
    </row>
    <row r="51880" spans="20:20" s="566" customFormat="1">
      <c r="T51880" s="41"/>
    </row>
    <row r="51881" spans="20:20" s="566" customFormat="1">
      <c r="T51881" s="41"/>
    </row>
    <row r="51882" spans="20:20" s="566" customFormat="1">
      <c r="T51882" s="41"/>
    </row>
    <row r="51883" spans="20:20" s="566" customFormat="1">
      <c r="T51883" s="41"/>
    </row>
    <row r="51884" spans="20:20" s="566" customFormat="1">
      <c r="T51884" s="41"/>
    </row>
    <row r="51885" spans="20:20" s="566" customFormat="1">
      <c r="T51885" s="41"/>
    </row>
    <row r="51886" spans="20:20" s="566" customFormat="1">
      <c r="T51886" s="41"/>
    </row>
    <row r="51887" spans="20:20" s="566" customFormat="1">
      <c r="T51887" s="41"/>
    </row>
    <row r="51888" spans="20:20" s="566" customFormat="1">
      <c r="T51888" s="41"/>
    </row>
    <row r="51889" spans="20:20" s="566" customFormat="1">
      <c r="T51889" s="41"/>
    </row>
    <row r="51890" spans="20:20" s="566" customFormat="1">
      <c r="T51890" s="41"/>
    </row>
    <row r="51891" spans="20:20" s="566" customFormat="1">
      <c r="T51891" s="41"/>
    </row>
    <row r="51892" spans="20:20" s="566" customFormat="1">
      <c r="T51892" s="41"/>
    </row>
    <row r="51893" spans="20:20" s="566" customFormat="1">
      <c r="T51893" s="41"/>
    </row>
    <row r="51894" spans="20:20" s="566" customFormat="1">
      <c r="T51894" s="41"/>
    </row>
    <row r="51895" spans="20:20" s="566" customFormat="1">
      <c r="T51895" s="41"/>
    </row>
    <row r="51896" spans="20:20" s="566" customFormat="1">
      <c r="T51896" s="41"/>
    </row>
    <row r="51897" spans="20:20" s="566" customFormat="1">
      <c r="T51897" s="41"/>
    </row>
    <row r="51898" spans="20:20" s="566" customFormat="1">
      <c r="T51898" s="41"/>
    </row>
    <row r="51899" spans="20:20" s="566" customFormat="1">
      <c r="T51899" s="41"/>
    </row>
    <row r="51900" spans="20:20" s="566" customFormat="1">
      <c r="T51900" s="41"/>
    </row>
    <row r="51901" spans="20:20" s="566" customFormat="1">
      <c r="T51901" s="41"/>
    </row>
    <row r="51902" spans="20:20" s="566" customFormat="1">
      <c r="T51902" s="41"/>
    </row>
    <row r="51903" spans="20:20" s="566" customFormat="1">
      <c r="T51903" s="41"/>
    </row>
    <row r="51904" spans="20:20" s="566" customFormat="1">
      <c r="T51904" s="41"/>
    </row>
    <row r="51905" spans="20:20" s="566" customFormat="1">
      <c r="T51905" s="41"/>
    </row>
    <row r="51906" spans="20:20" s="566" customFormat="1">
      <c r="T51906" s="41"/>
    </row>
    <row r="51907" spans="20:20" s="566" customFormat="1">
      <c r="T51907" s="41"/>
    </row>
    <row r="51908" spans="20:20" s="566" customFormat="1">
      <c r="T51908" s="41"/>
    </row>
    <row r="51909" spans="20:20" s="566" customFormat="1">
      <c r="T51909" s="41"/>
    </row>
    <row r="51910" spans="20:20" s="566" customFormat="1">
      <c r="T51910" s="41"/>
    </row>
    <row r="51911" spans="20:20" s="566" customFormat="1">
      <c r="T51911" s="41"/>
    </row>
    <row r="51912" spans="20:20" s="566" customFormat="1">
      <c r="T51912" s="41"/>
    </row>
    <row r="51913" spans="20:20" s="566" customFormat="1">
      <c r="T51913" s="41"/>
    </row>
    <row r="51914" spans="20:20" s="566" customFormat="1">
      <c r="T51914" s="41"/>
    </row>
    <row r="51915" spans="20:20" s="566" customFormat="1">
      <c r="T51915" s="41"/>
    </row>
    <row r="51916" spans="20:20" s="566" customFormat="1">
      <c r="T51916" s="41"/>
    </row>
    <row r="51917" spans="20:20" s="566" customFormat="1">
      <c r="T51917" s="41"/>
    </row>
    <row r="51918" spans="20:20" s="566" customFormat="1">
      <c r="T51918" s="41"/>
    </row>
    <row r="51919" spans="20:20" s="566" customFormat="1">
      <c r="T51919" s="41"/>
    </row>
    <row r="51920" spans="20:20" s="566" customFormat="1">
      <c r="T51920" s="41"/>
    </row>
    <row r="51921" spans="20:20" s="566" customFormat="1">
      <c r="T51921" s="41"/>
    </row>
    <row r="51922" spans="20:20" s="566" customFormat="1">
      <c r="T51922" s="41"/>
    </row>
    <row r="51923" spans="20:20" s="566" customFormat="1">
      <c r="T51923" s="41"/>
    </row>
    <row r="51924" spans="20:20" s="566" customFormat="1">
      <c r="T51924" s="41"/>
    </row>
    <row r="51925" spans="20:20" s="566" customFormat="1">
      <c r="T51925" s="41"/>
    </row>
    <row r="51926" spans="20:20" s="566" customFormat="1">
      <c r="T51926" s="41"/>
    </row>
    <row r="51927" spans="20:20" s="566" customFormat="1">
      <c r="T51927" s="41"/>
    </row>
    <row r="51928" spans="20:20" s="566" customFormat="1">
      <c r="T51928" s="41"/>
    </row>
    <row r="51929" spans="20:20" s="566" customFormat="1">
      <c r="T51929" s="41"/>
    </row>
    <row r="51930" spans="20:20" s="566" customFormat="1">
      <c r="T51930" s="41"/>
    </row>
    <row r="51931" spans="20:20" s="566" customFormat="1">
      <c r="T51931" s="41"/>
    </row>
    <row r="51932" spans="20:20" s="566" customFormat="1">
      <c r="T51932" s="41"/>
    </row>
    <row r="51933" spans="20:20" s="566" customFormat="1">
      <c r="T51933" s="41"/>
    </row>
    <row r="51934" spans="20:20" s="566" customFormat="1">
      <c r="T51934" s="41"/>
    </row>
    <row r="51935" spans="20:20" s="566" customFormat="1">
      <c r="T51935" s="41"/>
    </row>
    <row r="51936" spans="20:20" s="566" customFormat="1">
      <c r="T51936" s="41"/>
    </row>
    <row r="51937" spans="20:20" s="566" customFormat="1">
      <c r="T51937" s="41"/>
    </row>
    <row r="51938" spans="20:20" s="566" customFormat="1">
      <c r="T51938" s="41"/>
    </row>
    <row r="51939" spans="20:20" s="566" customFormat="1">
      <c r="T51939" s="41"/>
    </row>
    <row r="51940" spans="20:20" s="566" customFormat="1">
      <c r="T51940" s="41"/>
    </row>
    <row r="51941" spans="20:20" s="566" customFormat="1">
      <c r="T51941" s="41"/>
    </row>
    <row r="51942" spans="20:20" s="566" customFormat="1">
      <c r="T51942" s="41"/>
    </row>
    <row r="51943" spans="20:20" s="566" customFormat="1">
      <c r="T51943" s="41"/>
    </row>
    <row r="51944" spans="20:20" s="566" customFormat="1">
      <c r="T51944" s="41"/>
    </row>
    <row r="51945" spans="20:20" s="566" customFormat="1">
      <c r="T51945" s="41"/>
    </row>
    <row r="51946" spans="20:20" s="566" customFormat="1">
      <c r="T51946" s="41"/>
    </row>
    <row r="51947" spans="20:20" s="566" customFormat="1">
      <c r="T51947" s="41"/>
    </row>
    <row r="51948" spans="20:20" s="566" customFormat="1">
      <c r="T51948" s="41"/>
    </row>
    <row r="51949" spans="20:20" s="566" customFormat="1">
      <c r="T51949" s="41"/>
    </row>
    <row r="51950" spans="20:20" s="566" customFormat="1">
      <c r="T51950" s="41"/>
    </row>
    <row r="51951" spans="20:20" s="566" customFormat="1">
      <c r="T51951" s="41"/>
    </row>
    <row r="51952" spans="20:20" s="566" customFormat="1">
      <c r="T51952" s="41"/>
    </row>
    <row r="51953" spans="20:20" s="566" customFormat="1">
      <c r="T51953" s="41"/>
    </row>
    <row r="51954" spans="20:20" s="566" customFormat="1">
      <c r="T51954" s="41"/>
    </row>
    <row r="51955" spans="20:20" s="566" customFormat="1">
      <c r="T51955" s="41"/>
    </row>
    <row r="51956" spans="20:20" s="566" customFormat="1">
      <c r="T51956" s="41"/>
    </row>
    <row r="51957" spans="20:20" s="566" customFormat="1">
      <c r="T51957" s="41"/>
    </row>
    <row r="51958" spans="20:20" s="566" customFormat="1">
      <c r="T51958" s="41"/>
    </row>
    <row r="51959" spans="20:20" s="566" customFormat="1">
      <c r="T51959" s="41"/>
    </row>
    <row r="51960" spans="20:20" s="566" customFormat="1">
      <c r="T51960" s="41"/>
    </row>
    <row r="51961" spans="20:20" s="566" customFormat="1">
      <c r="T51961" s="41"/>
    </row>
    <row r="51962" spans="20:20" s="566" customFormat="1">
      <c r="T51962" s="41"/>
    </row>
    <row r="51963" spans="20:20" s="566" customFormat="1">
      <c r="T51963" s="41"/>
    </row>
    <row r="51964" spans="20:20" s="566" customFormat="1">
      <c r="T51964" s="41"/>
    </row>
    <row r="51965" spans="20:20" s="566" customFormat="1">
      <c r="T51965" s="41"/>
    </row>
    <row r="51966" spans="20:20" s="566" customFormat="1">
      <c r="T51966" s="41"/>
    </row>
    <row r="51967" spans="20:20" s="566" customFormat="1">
      <c r="T51967" s="41"/>
    </row>
    <row r="51968" spans="20:20" s="566" customFormat="1">
      <c r="T51968" s="41"/>
    </row>
    <row r="51969" spans="20:20" s="566" customFormat="1">
      <c r="T51969" s="41"/>
    </row>
    <row r="51970" spans="20:20" s="566" customFormat="1">
      <c r="T51970" s="41"/>
    </row>
    <row r="51971" spans="20:20" s="566" customFormat="1">
      <c r="T51971" s="41"/>
    </row>
    <row r="51972" spans="20:20" s="566" customFormat="1">
      <c r="T51972" s="41"/>
    </row>
    <row r="51973" spans="20:20" s="566" customFormat="1">
      <c r="T51973" s="41"/>
    </row>
    <row r="51974" spans="20:20" s="566" customFormat="1">
      <c r="T51974" s="41"/>
    </row>
    <row r="51975" spans="20:20" s="566" customFormat="1">
      <c r="T51975" s="41"/>
    </row>
    <row r="51976" spans="20:20" s="566" customFormat="1">
      <c r="T51976" s="41"/>
    </row>
    <row r="51977" spans="20:20" s="566" customFormat="1">
      <c r="T51977" s="41"/>
    </row>
    <row r="51978" spans="20:20" s="566" customFormat="1">
      <c r="T51978" s="41"/>
    </row>
    <row r="51979" spans="20:20" s="566" customFormat="1">
      <c r="T51979" s="41"/>
    </row>
    <row r="51980" spans="20:20" s="566" customFormat="1">
      <c r="T51980" s="41"/>
    </row>
    <row r="51981" spans="20:20" s="566" customFormat="1">
      <c r="T51981" s="41"/>
    </row>
    <row r="51982" spans="20:20" s="566" customFormat="1">
      <c r="T51982" s="41"/>
    </row>
    <row r="51983" spans="20:20" s="566" customFormat="1">
      <c r="T51983" s="41"/>
    </row>
    <row r="51984" spans="20:20" s="566" customFormat="1">
      <c r="T51984" s="41"/>
    </row>
    <row r="51985" spans="20:20" s="566" customFormat="1">
      <c r="T51985" s="41"/>
    </row>
    <row r="51986" spans="20:20" s="566" customFormat="1">
      <c r="T51986" s="41"/>
    </row>
    <row r="51987" spans="20:20" s="566" customFormat="1">
      <c r="T51987" s="41"/>
    </row>
    <row r="51988" spans="20:20" s="566" customFormat="1">
      <c r="T51988" s="41"/>
    </row>
    <row r="51989" spans="20:20" s="566" customFormat="1">
      <c r="T51989" s="41"/>
    </row>
    <row r="51990" spans="20:20" s="566" customFormat="1">
      <c r="T51990" s="41"/>
    </row>
    <row r="51991" spans="20:20" s="566" customFormat="1">
      <c r="T51991" s="41"/>
    </row>
    <row r="51992" spans="20:20" s="566" customFormat="1">
      <c r="T51992" s="41"/>
    </row>
    <row r="51993" spans="20:20" s="566" customFormat="1">
      <c r="T51993" s="41"/>
    </row>
    <row r="51994" spans="20:20" s="566" customFormat="1">
      <c r="T51994" s="41"/>
    </row>
    <row r="51995" spans="20:20" s="566" customFormat="1">
      <c r="T51995" s="41"/>
    </row>
    <row r="51996" spans="20:20" s="566" customFormat="1">
      <c r="T51996" s="41"/>
    </row>
    <row r="51997" spans="20:20" s="566" customFormat="1">
      <c r="T51997" s="41"/>
    </row>
    <row r="51998" spans="20:20" s="566" customFormat="1">
      <c r="T51998" s="41"/>
    </row>
    <row r="51999" spans="20:20" s="566" customFormat="1">
      <c r="T51999" s="41"/>
    </row>
    <row r="52000" spans="20:20" s="566" customFormat="1">
      <c r="T52000" s="41"/>
    </row>
    <row r="52001" spans="20:20" s="566" customFormat="1">
      <c r="T52001" s="41"/>
    </row>
    <row r="52002" spans="20:20" s="566" customFormat="1">
      <c r="T52002" s="41"/>
    </row>
    <row r="52003" spans="20:20" s="566" customFormat="1">
      <c r="T52003" s="41"/>
    </row>
    <row r="52004" spans="20:20" s="566" customFormat="1">
      <c r="T52004" s="41"/>
    </row>
    <row r="52005" spans="20:20" s="566" customFormat="1">
      <c r="T52005" s="41"/>
    </row>
    <row r="52006" spans="20:20" s="566" customFormat="1">
      <c r="T52006" s="41"/>
    </row>
    <row r="52007" spans="20:20" s="566" customFormat="1">
      <c r="T52007" s="41"/>
    </row>
    <row r="52008" spans="20:20" s="566" customFormat="1">
      <c r="T52008" s="41"/>
    </row>
    <row r="52009" spans="20:20" s="566" customFormat="1">
      <c r="T52009" s="41"/>
    </row>
    <row r="52010" spans="20:20" s="566" customFormat="1">
      <c r="T52010" s="41"/>
    </row>
    <row r="52011" spans="20:20" s="566" customFormat="1">
      <c r="T52011" s="41"/>
    </row>
    <row r="52012" spans="20:20" s="566" customFormat="1">
      <c r="T52012" s="41"/>
    </row>
    <row r="52013" spans="20:20" s="566" customFormat="1">
      <c r="T52013" s="41"/>
    </row>
    <row r="52014" spans="20:20" s="566" customFormat="1">
      <c r="T52014" s="41"/>
    </row>
    <row r="52015" spans="20:20" s="566" customFormat="1">
      <c r="T52015" s="41"/>
    </row>
    <row r="52016" spans="20:20" s="566" customFormat="1">
      <c r="T52016" s="41"/>
    </row>
    <row r="52017" spans="20:20" s="566" customFormat="1">
      <c r="T52017" s="41"/>
    </row>
    <row r="52018" spans="20:20" s="566" customFormat="1">
      <c r="T52018" s="41"/>
    </row>
    <row r="52019" spans="20:20" s="566" customFormat="1">
      <c r="T52019" s="41"/>
    </row>
    <row r="52020" spans="20:20" s="566" customFormat="1">
      <c r="T52020" s="41"/>
    </row>
    <row r="52021" spans="20:20" s="566" customFormat="1">
      <c r="T52021" s="41"/>
    </row>
    <row r="52022" spans="20:20" s="566" customFormat="1">
      <c r="T52022" s="41"/>
    </row>
    <row r="52023" spans="20:20" s="566" customFormat="1">
      <c r="T52023" s="41"/>
    </row>
    <row r="52024" spans="20:20" s="566" customFormat="1">
      <c r="T52024" s="41"/>
    </row>
    <row r="52025" spans="20:20" s="566" customFormat="1">
      <c r="T52025" s="41"/>
    </row>
    <row r="52026" spans="20:20" s="566" customFormat="1">
      <c r="T52026" s="41"/>
    </row>
    <row r="52027" spans="20:20" s="566" customFormat="1">
      <c r="T52027" s="41"/>
    </row>
    <row r="52028" spans="20:20" s="566" customFormat="1">
      <c r="T52028" s="41"/>
    </row>
    <row r="52029" spans="20:20" s="566" customFormat="1">
      <c r="T52029" s="41"/>
    </row>
    <row r="52030" spans="20:20" s="566" customFormat="1">
      <c r="T52030" s="41"/>
    </row>
    <row r="52031" spans="20:20" s="566" customFormat="1">
      <c r="T52031" s="41"/>
    </row>
    <row r="52032" spans="20:20" s="566" customFormat="1">
      <c r="T52032" s="41"/>
    </row>
    <row r="52033" spans="20:20" s="566" customFormat="1">
      <c r="T52033" s="41"/>
    </row>
    <row r="52034" spans="20:20" s="566" customFormat="1">
      <c r="T52034" s="41"/>
    </row>
    <row r="52035" spans="20:20" s="566" customFormat="1">
      <c r="T52035" s="41"/>
    </row>
    <row r="52036" spans="20:20" s="566" customFormat="1">
      <c r="T52036" s="41"/>
    </row>
    <row r="52037" spans="20:20" s="566" customFormat="1">
      <c r="T52037" s="41"/>
    </row>
    <row r="52038" spans="20:20" s="566" customFormat="1">
      <c r="T52038" s="41"/>
    </row>
    <row r="52039" spans="20:20" s="566" customFormat="1">
      <c r="T52039" s="41"/>
    </row>
    <row r="52040" spans="20:20" s="566" customFormat="1">
      <c r="T52040" s="41"/>
    </row>
    <row r="52041" spans="20:20" s="566" customFormat="1">
      <c r="T52041" s="41"/>
    </row>
    <row r="52042" spans="20:20" s="566" customFormat="1">
      <c r="T52042" s="41"/>
    </row>
    <row r="52043" spans="20:20" s="566" customFormat="1">
      <c r="T52043" s="41"/>
    </row>
    <row r="52044" spans="20:20" s="566" customFormat="1">
      <c r="T52044" s="41"/>
    </row>
    <row r="52045" spans="20:20" s="566" customFormat="1">
      <c r="T52045" s="41"/>
    </row>
    <row r="52046" spans="20:20" s="566" customFormat="1">
      <c r="T52046" s="41"/>
    </row>
    <row r="52047" spans="20:20" s="566" customFormat="1">
      <c r="T52047" s="41"/>
    </row>
    <row r="52048" spans="20:20" s="566" customFormat="1">
      <c r="T52048" s="41"/>
    </row>
    <row r="52049" spans="20:20" s="566" customFormat="1">
      <c r="T52049" s="41"/>
    </row>
    <row r="52050" spans="20:20" s="566" customFormat="1">
      <c r="T52050" s="41"/>
    </row>
    <row r="52051" spans="20:20" s="566" customFormat="1">
      <c r="T52051" s="41"/>
    </row>
    <row r="52052" spans="20:20" s="566" customFormat="1">
      <c r="T52052" s="41"/>
    </row>
    <row r="52053" spans="20:20" s="566" customFormat="1">
      <c r="T52053" s="41"/>
    </row>
    <row r="52054" spans="20:20" s="566" customFormat="1">
      <c r="T52054" s="41"/>
    </row>
    <row r="52055" spans="20:20" s="566" customFormat="1">
      <c r="T52055" s="41"/>
    </row>
    <row r="52056" spans="20:20" s="566" customFormat="1">
      <c r="T52056" s="41"/>
    </row>
    <row r="52057" spans="20:20" s="566" customFormat="1">
      <c r="T52057" s="41"/>
    </row>
    <row r="52058" spans="20:20" s="566" customFormat="1">
      <c r="T52058" s="41"/>
    </row>
    <row r="52059" spans="20:20" s="566" customFormat="1">
      <c r="T52059" s="41"/>
    </row>
    <row r="52060" spans="20:20" s="566" customFormat="1">
      <c r="T52060" s="41"/>
    </row>
    <row r="52061" spans="20:20" s="566" customFormat="1">
      <c r="T52061" s="41"/>
    </row>
    <row r="52062" spans="20:20" s="566" customFormat="1">
      <c r="T52062" s="41"/>
    </row>
    <row r="52063" spans="20:20" s="566" customFormat="1">
      <c r="T52063" s="41"/>
    </row>
    <row r="52064" spans="20:20" s="566" customFormat="1">
      <c r="T52064" s="41"/>
    </row>
    <row r="52065" spans="20:20" s="566" customFormat="1">
      <c r="T52065" s="41"/>
    </row>
    <row r="52066" spans="20:20" s="566" customFormat="1">
      <c r="T52066" s="41"/>
    </row>
    <row r="52067" spans="20:20" s="566" customFormat="1">
      <c r="T52067" s="41"/>
    </row>
    <row r="52068" spans="20:20" s="566" customFormat="1">
      <c r="T52068" s="41"/>
    </row>
    <row r="52069" spans="20:20" s="566" customFormat="1">
      <c r="T52069" s="41"/>
    </row>
    <row r="52070" spans="20:20" s="566" customFormat="1">
      <c r="T52070" s="41"/>
    </row>
    <row r="52071" spans="20:20" s="566" customFormat="1">
      <c r="T52071" s="41"/>
    </row>
    <row r="52072" spans="20:20" s="566" customFormat="1">
      <c r="T52072" s="41"/>
    </row>
    <row r="52073" spans="20:20" s="566" customFormat="1">
      <c r="T52073" s="41"/>
    </row>
    <row r="52074" spans="20:20" s="566" customFormat="1">
      <c r="T52074" s="41"/>
    </row>
    <row r="52075" spans="20:20" s="566" customFormat="1">
      <c r="T52075" s="41"/>
    </row>
    <row r="52076" spans="20:20" s="566" customFormat="1">
      <c r="T52076" s="41"/>
    </row>
    <row r="52077" spans="20:20" s="566" customFormat="1">
      <c r="T52077" s="41"/>
    </row>
    <row r="52078" spans="20:20" s="566" customFormat="1">
      <c r="T52078" s="41"/>
    </row>
    <row r="52079" spans="20:20" s="566" customFormat="1">
      <c r="T52079" s="41"/>
    </row>
    <row r="52080" spans="20:20" s="566" customFormat="1">
      <c r="T52080" s="41"/>
    </row>
    <row r="52081" spans="20:20" s="566" customFormat="1">
      <c r="T52081" s="41"/>
    </row>
    <row r="52082" spans="20:20" s="566" customFormat="1">
      <c r="T52082" s="41"/>
    </row>
    <row r="52083" spans="20:20" s="566" customFormat="1">
      <c r="T52083" s="41"/>
    </row>
    <row r="52084" spans="20:20" s="566" customFormat="1">
      <c r="T52084" s="41"/>
    </row>
    <row r="52085" spans="20:20" s="566" customFormat="1">
      <c r="T52085" s="41"/>
    </row>
    <row r="52086" spans="20:20" s="566" customFormat="1">
      <c r="T52086" s="41"/>
    </row>
    <row r="52087" spans="20:20" s="566" customFormat="1">
      <c r="T52087" s="41"/>
    </row>
    <row r="52088" spans="20:20" s="566" customFormat="1">
      <c r="T52088" s="41"/>
    </row>
    <row r="52089" spans="20:20" s="566" customFormat="1">
      <c r="T52089" s="41"/>
    </row>
    <row r="52090" spans="20:20" s="566" customFormat="1">
      <c r="T52090" s="41"/>
    </row>
    <row r="52091" spans="20:20" s="566" customFormat="1">
      <c r="T52091" s="41"/>
    </row>
    <row r="52092" spans="20:20" s="566" customFormat="1">
      <c r="T52092" s="41"/>
    </row>
    <row r="52093" spans="20:20" s="566" customFormat="1">
      <c r="T52093" s="41"/>
    </row>
    <row r="52094" spans="20:20" s="566" customFormat="1">
      <c r="T52094" s="41"/>
    </row>
    <row r="52095" spans="20:20" s="566" customFormat="1">
      <c r="T52095" s="41"/>
    </row>
    <row r="52096" spans="20:20" s="566" customFormat="1">
      <c r="T52096" s="41"/>
    </row>
    <row r="52097" spans="20:20" s="566" customFormat="1">
      <c r="T52097" s="41"/>
    </row>
    <row r="52098" spans="20:20" s="566" customFormat="1">
      <c r="T52098" s="41"/>
    </row>
    <row r="52099" spans="20:20" s="566" customFormat="1">
      <c r="T52099" s="41"/>
    </row>
    <row r="52100" spans="20:20" s="566" customFormat="1">
      <c r="T52100" s="41"/>
    </row>
    <row r="52101" spans="20:20" s="566" customFormat="1">
      <c r="T52101" s="41"/>
    </row>
    <row r="52102" spans="20:20" s="566" customFormat="1">
      <c r="T52102" s="41"/>
    </row>
    <row r="52103" spans="20:20" s="566" customFormat="1">
      <c r="T52103" s="41"/>
    </row>
    <row r="52104" spans="20:20" s="566" customFormat="1">
      <c r="T52104" s="41"/>
    </row>
    <row r="52105" spans="20:20" s="566" customFormat="1">
      <c r="T52105" s="41"/>
    </row>
    <row r="52106" spans="20:20" s="566" customFormat="1">
      <c r="T52106" s="41"/>
    </row>
    <row r="52107" spans="20:20" s="566" customFormat="1">
      <c r="T52107" s="41"/>
    </row>
    <row r="52108" spans="20:20" s="566" customFormat="1">
      <c r="T52108" s="41"/>
    </row>
    <row r="52109" spans="20:20" s="566" customFormat="1">
      <c r="T52109" s="41"/>
    </row>
    <row r="52110" spans="20:20" s="566" customFormat="1">
      <c r="T52110" s="41"/>
    </row>
    <row r="52111" spans="20:20" s="566" customFormat="1">
      <c r="T52111" s="41"/>
    </row>
    <row r="52112" spans="20:20" s="566" customFormat="1">
      <c r="T52112" s="41"/>
    </row>
    <row r="52113" spans="20:20" s="566" customFormat="1">
      <c r="T52113" s="41"/>
    </row>
    <row r="52114" spans="20:20" s="566" customFormat="1">
      <c r="T52114" s="41"/>
    </row>
    <row r="52115" spans="20:20" s="566" customFormat="1">
      <c r="T52115" s="41"/>
    </row>
    <row r="52116" spans="20:20" s="566" customFormat="1">
      <c r="T52116" s="41"/>
    </row>
    <row r="52117" spans="20:20" s="566" customFormat="1">
      <c r="T52117" s="41"/>
    </row>
    <row r="52118" spans="20:20" s="566" customFormat="1">
      <c r="T52118" s="41"/>
    </row>
    <row r="52119" spans="20:20" s="566" customFormat="1">
      <c r="T52119" s="41"/>
    </row>
    <row r="52120" spans="20:20" s="566" customFormat="1">
      <c r="T52120" s="41"/>
    </row>
    <row r="52121" spans="20:20" s="566" customFormat="1">
      <c r="T52121" s="41"/>
    </row>
    <row r="52122" spans="20:20" s="566" customFormat="1">
      <c r="T52122" s="41"/>
    </row>
    <row r="52123" spans="20:20" s="566" customFormat="1">
      <c r="T52123" s="41"/>
    </row>
    <row r="52124" spans="20:20" s="566" customFormat="1">
      <c r="T52124" s="41"/>
    </row>
    <row r="52125" spans="20:20" s="566" customFormat="1">
      <c r="T52125" s="41"/>
    </row>
    <row r="52126" spans="20:20" s="566" customFormat="1">
      <c r="T52126" s="41"/>
    </row>
    <row r="52127" spans="20:20" s="566" customFormat="1">
      <c r="T52127" s="41"/>
    </row>
    <row r="52128" spans="20:20" s="566" customFormat="1">
      <c r="T52128" s="41"/>
    </row>
    <row r="52129" spans="20:20" s="566" customFormat="1">
      <c r="T52129" s="41"/>
    </row>
    <row r="52130" spans="20:20" s="566" customFormat="1">
      <c r="T52130" s="41"/>
    </row>
    <row r="52131" spans="20:20" s="566" customFormat="1">
      <c r="T52131" s="41"/>
    </row>
    <row r="52132" spans="20:20" s="566" customFormat="1">
      <c r="T52132" s="41"/>
    </row>
    <row r="52133" spans="20:20" s="566" customFormat="1">
      <c r="T52133" s="41"/>
    </row>
    <row r="52134" spans="20:20" s="566" customFormat="1">
      <c r="T52134" s="41"/>
    </row>
    <row r="52135" spans="20:20" s="566" customFormat="1">
      <c r="T52135" s="41"/>
    </row>
    <row r="52136" spans="20:20" s="566" customFormat="1">
      <c r="T52136" s="41"/>
    </row>
    <row r="52137" spans="20:20" s="566" customFormat="1">
      <c r="T52137" s="41"/>
    </row>
    <row r="52138" spans="20:20" s="566" customFormat="1">
      <c r="T52138" s="41"/>
    </row>
    <row r="52139" spans="20:20" s="566" customFormat="1">
      <c r="T52139" s="41"/>
    </row>
    <row r="52140" spans="20:20" s="566" customFormat="1">
      <c r="T52140" s="41"/>
    </row>
    <row r="52141" spans="20:20" s="566" customFormat="1">
      <c r="T52141" s="41"/>
    </row>
    <row r="52142" spans="20:20" s="566" customFormat="1">
      <c r="T52142" s="41"/>
    </row>
    <row r="52143" spans="20:20" s="566" customFormat="1">
      <c r="T52143" s="41"/>
    </row>
    <row r="52144" spans="20:20" s="566" customFormat="1">
      <c r="T52144" s="41"/>
    </row>
    <row r="52145" spans="20:20" s="566" customFormat="1">
      <c r="T52145" s="41"/>
    </row>
    <row r="52146" spans="20:20" s="566" customFormat="1">
      <c r="T52146" s="41"/>
    </row>
    <row r="52147" spans="20:20" s="566" customFormat="1">
      <c r="T52147" s="41"/>
    </row>
    <row r="52148" spans="20:20" s="566" customFormat="1">
      <c r="T52148" s="41"/>
    </row>
    <row r="52149" spans="20:20" s="566" customFormat="1">
      <c r="T52149" s="41"/>
    </row>
    <row r="52150" spans="20:20" s="566" customFormat="1">
      <c r="T52150" s="41"/>
    </row>
    <row r="52151" spans="20:20" s="566" customFormat="1">
      <c r="T52151" s="41"/>
    </row>
    <row r="52152" spans="20:20" s="566" customFormat="1">
      <c r="T52152" s="41"/>
    </row>
    <row r="52153" spans="20:20" s="566" customFormat="1">
      <c r="T52153" s="41"/>
    </row>
    <row r="52154" spans="20:20" s="566" customFormat="1">
      <c r="T52154" s="41"/>
    </row>
    <row r="52155" spans="20:20" s="566" customFormat="1">
      <c r="T52155" s="41"/>
    </row>
    <row r="52156" spans="20:20" s="566" customFormat="1">
      <c r="T52156" s="41"/>
    </row>
    <row r="52157" spans="20:20" s="566" customFormat="1">
      <c r="T52157" s="41"/>
    </row>
    <row r="52158" spans="20:20" s="566" customFormat="1">
      <c r="T52158" s="41"/>
    </row>
    <row r="52159" spans="20:20" s="566" customFormat="1">
      <c r="T52159" s="41"/>
    </row>
    <row r="52160" spans="20:20" s="566" customFormat="1">
      <c r="T52160" s="41"/>
    </row>
    <row r="52161" spans="20:20" s="566" customFormat="1">
      <c r="T52161" s="41"/>
    </row>
    <row r="52162" spans="20:20" s="566" customFormat="1">
      <c r="T52162" s="41"/>
    </row>
    <row r="52163" spans="20:20" s="566" customFormat="1">
      <c r="T52163" s="41"/>
    </row>
    <row r="52164" spans="20:20" s="566" customFormat="1">
      <c r="T52164" s="41"/>
    </row>
    <row r="52165" spans="20:20" s="566" customFormat="1">
      <c r="T52165" s="41"/>
    </row>
    <row r="52166" spans="20:20" s="566" customFormat="1">
      <c r="T52166" s="41"/>
    </row>
    <row r="52167" spans="20:20" s="566" customFormat="1">
      <c r="T52167" s="41"/>
    </row>
    <row r="52168" spans="20:20" s="566" customFormat="1">
      <c r="T52168" s="41"/>
    </row>
    <row r="52169" spans="20:20" s="566" customFormat="1">
      <c r="T52169" s="41"/>
    </row>
    <row r="52170" spans="20:20" s="566" customFormat="1">
      <c r="T52170" s="41"/>
    </row>
    <row r="52171" spans="20:20" s="566" customFormat="1">
      <c r="T52171" s="41"/>
    </row>
    <row r="52172" spans="20:20" s="566" customFormat="1">
      <c r="T52172" s="41"/>
    </row>
    <row r="52173" spans="20:20" s="566" customFormat="1">
      <c r="T52173" s="41"/>
    </row>
    <row r="52174" spans="20:20" s="566" customFormat="1">
      <c r="T52174" s="41"/>
    </row>
    <row r="52175" spans="20:20" s="566" customFormat="1">
      <c r="T52175" s="41"/>
    </row>
    <row r="52176" spans="20:20" s="566" customFormat="1">
      <c r="T52176" s="41"/>
    </row>
    <row r="52177" spans="20:20" s="566" customFormat="1">
      <c r="T52177" s="41"/>
    </row>
    <row r="52178" spans="20:20" s="566" customFormat="1">
      <c r="T52178" s="41"/>
    </row>
    <row r="52179" spans="20:20" s="566" customFormat="1">
      <c r="T52179" s="41"/>
    </row>
    <row r="52180" spans="20:20" s="566" customFormat="1">
      <c r="T52180" s="41"/>
    </row>
    <row r="52181" spans="20:20" s="566" customFormat="1">
      <c r="T52181" s="41"/>
    </row>
    <row r="52182" spans="20:20" s="566" customFormat="1">
      <c r="T52182" s="41"/>
    </row>
    <row r="52183" spans="20:20" s="566" customFormat="1">
      <c r="T52183" s="41"/>
    </row>
    <row r="52184" spans="20:20" s="566" customFormat="1">
      <c r="T52184" s="41"/>
    </row>
    <row r="52185" spans="20:20" s="566" customFormat="1">
      <c r="T52185" s="41"/>
    </row>
    <row r="52186" spans="20:20" s="566" customFormat="1">
      <c r="T52186" s="41"/>
    </row>
    <row r="52187" spans="20:20" s="566" customFormat="1">
      <c r="T52187" s="41"/>
    </row>
    <row r="52188" spans="20:20" s="566" customFormat="1">
      <c r="T52188" s="41"/>
    </row>
    <row r="52189" spans="20:20" s="566" customFormat="1">
      <c r="T52189" s="41"/>
    </row>
    <row r="52190" spans="20:20" s="566" customFormat="1">
      <c r="T52190" s="41"/>
    </row>
    <row r="52191" spans="20:20" s="566" customFormat="1">
      <c r="T52191" s="41"/>
    </row>
    <row r="52192" spans="20:20" s="566" customFormat="1">
      <c r="T52192" s="41"/>
    </row>
    <row r="52193" spans="20:20" s="566" customFormat="1">
      <c r="T52193" s="41"/>
    </row>
    <row r="52194" spans="20:20" s="566" customFormat="1">
      <c r="T52194" s="41"/>
    </row>
    <row r="52195" spans="20:20" s="566" customFormat="1">
      <c r="T52195" s="41"/>
    </row>
    <row r="52196" spans="20:20" s="566" customFormat="1">
      <c r="T52196" s="41"/>
    </row>
    <row r="52197" spans="20:20" s="566" customFormat="1">
      <c r="T52197" s="41"/>
    </row>
    <row r="52198" spans="20:20" s="566" customFormat="1">
      <c r="T52198" s="41"/>
    </row>
    <row r="52199" spans="20:20" s="566" customFormat="1">
      <c r="T52199" s="41"/>
    </row>
    <row r="52200" spans="20:20" s="566" customFormat="1">
      <c r="T52200" s="41"/>
    </row>
    <row r="52201" spans="20:20" s="566" customFormat="1">
      <c r="T52201" s="41"/>
    </row>
    <row r="52202" spans="20:20" s="566" customFormat="1">
      <c r="T52202" s="41"/>
    </row>
    <row r="52203" spans="20:20" s="566" customFormat="1">
      <c r="T52203" s="41"/>
    </row>
    <row r="52204" spans="20:20" s="566" customFormat="1">
      <c r="T52204" s="41"/>
    </row>
    <row r="52205" spans="20:20" s="566" customFormat="1">
      <c r="T52205" s="41"/>
    </row>
    <row r="52206" spans="20:20" s="566" customFormat="1">
      <c r="T52206" s="41"/>
    </row>
    <row r="52207" spans="20:20" s="566" customFormat="1">
      <c r="T52207" s="41"/>
    </row>
    <row r="52208" spans="20:20" s="566" customFormat="1">
      <c r="T52208" s="41"/>
    </row>
    <row r="52209" spans="20:20" s="566" customFormat="1">
      <c r="T52209" s="41"/>
    </row>
    <row r="52210" spans="20:20" s="566" customFormat="1">
      <c r="T52210" s="41"/>
    </row>
    <row r="52211" spans="20:20" s="566" customFormat="1">
      <c r="T52211" s="41"/>
    </row>
    <row r="52212" spans="20:20" s="566" customFormat="1">
      <c r="T52212" s="41"/>
    </row>
    <row r="52213" spans="20:20" s="566" customFormat="1">
      <c r="T52213" s="41"/>
    </row>
    <row r="52214" spans="20:20" s="566" customFormat="1">
      <c r="T52214" s="41"/>
    </row>
    <row r="52215" spans="20:20" s="566" customFormat="1">
      <c r="T52215" s="41"/>
    </row>
    <row r="52216" spans="20:20" s="566" customFormat="1">
      <c r="T52216" s="41"/>
    </row>
    <row r="52217" spans="20:20" s="566" customFormat="1">
      <c r="T52217" s="41"/>
    </row>
    <row r="52218" spans="20:20" s="566" customFormat="1">
      <c r="T52218" s="41"/>
    </row>
    <row r="52219" spans="20:20" s="566" customFormat="1">
      <c r="T52219" s="41"/>
    </row>
    <row r="52220" spans="20:20" s="566" customFormat="1">
      <c r="T52220" s="41"/>
    </row>
    <row r="52221" spans="20:20" s="566" customFormat="1">
      <c r="T52221" s="41"/>
    </row>
    <row r="52222" spans="20:20" s="566" customFormat="1">
      <c r="T52222" s="41"/>
    </row>
    <row r="52223" spans="20:20" s="566" customFormat="1">
      <c r="T52223" s="41"/>
    </row>
    <row r="52224" spans="20:20" s="566" customFormat="1">
      <c r="T52224" s="41"/>
    </row>
    <row r="52225" spans="20:20" s="566" customFormat="1">
      <c r="T52225" s="41"/>
    </row>
    <row r="52226" spans="20:20" s="566" customFormat="1">
      <c r="T52226" s="41"/>
    </row>
    <row r="52227" spans="20:20" s="566" customFormat="1">
      <c r="T52227" s="41"/>
    </row>
    <row r="52228" spans="20:20" s="566" customFormat="1">
      <c r="T52228" s="41"/>
    </row>
    <row r="52229" spans="20:20" s="566" customFormat="1">
      <c r="T52229" s="41"/>
    </row>
    <row r="52230" spans="20:20" s="566" customFormat="1">
      <c r="T52230" s="41"/>
    </row>
    <row r="52231" spans="20:20" s="566" customFormat="1">
      <c r="T52231" s="41"/>
    </row>
    <row r="52232" spans="20:20" s="566" customFormat="1">
      <c r="T52232" s="41"/>
    </row>
    <row r="52233" spans="20:20" s="566" customFormat="1">
      <c r="T52233" s="41"/>
    </row>
    <row r="52234" spans="20:20" s="566" customFormat="1">
      <c r="T52234" s="41"/>
    </row>
    <row r="52235" spans="20:20" s="566" customFormat="1">
      <c r="T52235" s="41"/>
    </row>
    <row r="52236" spans="20:20" s="566" customFormat="1">
      <c r="T52236" s="41"/>
    </row>
    <row r="52237" spans="20:20" s="566" customFormat="1">
      <c r="T52237" s="41"/>
    </row>
    <row r="52238" spans="20:20" s="566" customFormat="1">
      <c r="T52238" s="41"/>
    </row>
    <row r="52239" spans="20:20" s="566" customFormat="1">
      <c r="T52239" s="41"/>
    </row>
    <row r="52240" spans="20:20" s="566" customFormat="1">
      <c r="T52240" s="41"/>
    </row>
    <row r="52241" spans="20:20" s="566" customFormat="1">
      <c r="T52241" s="41"/>
    </row>
    <row r="52242" spans="20:20" s="566" customFormat="1">
      <c r="T52242" s="41"/>
    </row>
    <row r="52243" spans="20:20" s="566" customFormat="1">
      <c r="T52243" s="41"/>
    </row>
    <row r="52244" spans="20:20" s="566" customFormat="1">
      <c r="T52244" s="41"/>
    </row>
    <row r="52245" spans="20:20" s="566" customFormat="1">
      <c r="T52245" s="41"/>
    </row>
    <row r="52246" spans="20:20" s="566" customFormat="1">
      <c r="T52246" s="41"/>
    </row>
    <row r="52247" spans="20:20" s="566" customFormat="1">
      <c r="T52247" s="41"/>
    </row>
    <row r="52248" spans="20:20" s="566" customFormat="1">
      <c r="T52248" s="41"/>
    </row>
    <row r="52249" spans="20:20" s="566" customFormat="1">
      <c r="T52249" s="41"/>
    </row>
    <row r="52250" spans="20:20" s="566" customFormat="1">
      <c r="T52250" s="41"/>
    </row>
    <row r="52251" spans="20:20" s="566" customFormat="1">
      <c r="T52251" s="41"/>
    </row>
    <row r="52252" spans="20:20" s="566" customFormat="1">
      <c r="T52252" s="41"/>
    </row>
    <row r="52253" spans="20:20" s="566" customFormat="1">
      <c r="T52253" s="41"/>
    </row>
    <row r="52254" spans="20:20" s="566" customFormat="1">
      <c r="T52254" s="41"/>
    </row>
    <row r="52255" spans="20:20" s="566" customFormat="1">
      <c r="T52255" s="41"/>
    </row>
    <row r="52256" spans="20:20" s="566" customFormat="1">
      <c r="T52256" s="41"/>
    </row>
    <row r="52257" spans="20:20" s="566" customFormat="1">
      <c r="T52257" s="41"/>
    </row>
    <row r="52258" spans="20:20" s="566" customFormat="1">
      <c r="T52258" s="41"/>
    </row>
    <row r="52259" spans="20:20" s="566" customFormat="1">
      <c r="T52259" s="41"/>
    </row>
    <row r="52260" spans="20:20" s="566" customFormat="1">
      <c r="T52260" s="41"/>
    </row>
    <row r="52261" spans="20:20" s="566" customFormat="1">
      <c r="T52261" s="41"/>
    </row>
    <row r="52262" spans="20:20" s="566" customFormat="1">
      <c r="T52262" s="41"/>
    </row>
    <row r="52263" spans="20:20" s="566" customFormat="1">
      <c r="T52263" s="41"/>
    </row>
    <row r="52264" spans="20:20" s="566" customFormat="1">
      <c r="T52264" s="41"/>
    </row>
    <row r="52265" spans="20:20" s="566" customFormat="1">
      <c r="T52265" s="41"/>
    </row>
    <row r="52266" spans="20:20" s="566" customFormat="1">
      <c r="T52266" s="41"/>
    </row>
    <row r="52267" spans="20:20" s="566" customFormat="1">
      <c r="T52267" s="41"/>
    </row>
    <row r="52268" spans="20:20" s="566" customFormat="1">
      <c r="T52268" s="41"/>
    </row>
    <row r="52269" spans="20:20" s="566" customFormat="1">
      <c r="T52269" s="41"/>
    </row>
    <row r="52270" spans="20:20" s="566" customFormat="1">
      <c r="T52270" s="41"/>
    </row>
    <row r="52271" spans="20:20" s="566" customFormat="1">
      <c r="T52271" s="41"/>
    </row>
    <row r="52272" spans="20:20" s="566" customFormat="1">
      <c r="T52272" s="41"/>
    </row>
    <row r="52273" spans="20:20" s="566" customFormat="1">
      <c r="T52273" s="41"/>
    </row>
    <row r="52274" spans="20:20" s="566" customFormat="1">
      <c r="T52274" s="41"/>
    </row>
    <row r="52275" spans="20:20" s="566" customFormat="1">
      <c r="T52275" s="41"/>
    </row>
    <row r="52276" spans="20:20" s="566" customFormat="1">
      <c r="T52276" s="41"/>
    </row>
    <row r="52277" spans="20:20" s="566" customFormat="1">
      <c r="T52277" s="41"/>
    </row>
    <row r="52278" spans="20:20" s="566" customFormat="1">
      <c r="T52278" s="41"/>
    </row>
    <row r="52279" spans="20:20" s="566" customFormat="1">
      <c r="T52279" s="41"/>
    </row>
    <row r="52280" spans="20:20" s="566" customFormat="1">
      <c r="T52280" s="41"/>
    </row>
    <row r="52281" spans="20:20" s="566" customFormat="1">
      <c r="T52281" s="41"/>
    </row>
    <row r="52282" spans="20:20" s="566" customFormat="1">
      <c r="T52282" s="41"/>
    </row>
    <row r="52283" spans="20:20" s="566" customFormat="1">
      <c r="T52283" s="41"/>
    </row>
    <row r="52284" spans="20:20" s="566" customFormat="1">
      <c r="T52284" s="41"/>
    </row>
    <row r="52285" spans="20:20" s="566" customFormat="1">
      <c r="T52285" s="41"/>
    </row>
    <row r="52286" spans="20:20" s="566" customFormat="1">
      <c r="T52286" s="41"/>
    </row>
    <row r="52287" spans="20:20" s="566" customFormat="1">
      <c r="T52287" s="41"/>
    </row>
    <row r="52288" spans="20:20" s="566" customFormat="1">
      <c r="T52288" s="41"/>
    </row>
    <row r="52289" spans="20:20" s="566" customFormat="1">
      <c r="T52289" s="41"/>
    </row>
    <row r="52290" spans="20:20" s="566" customFormat="1">
      <c r="T52290" s="41"/>
    </row>
    <row r="52291" spans="20:20" s="566" customFormat="1">
      <c r="T52291" s="41"/>
    </row>
    <row r="52292" spans="20:20" s="566" customFormat="1">
      <c r="T52292" s="41"/>
    </row>
    <row r="52293" spans="20:20" s="566" customFormat="1">
      <c r="T52293" s="41"/>
    </row>
    <row r="52294" spans="20:20" s="566" customFormat="1">
      <c r="T52294" s="41"/>
    </row>
    <row r="52295" spans="20:20" s="566" customFormat="1">
      <c r="T52295" s="41"/>
    </row>
    <row r="52296" spans="20:20" s="566" customFormat="1">
      <c r="T52296" s="41"/>
    </row>
    <row r="52297" spans="20:20" s="566" customFormat="1">
      <c r="T52297" s="41"/>
    </row>
    <row r="52298" spans="20:20" s="566" customFormat="1">
      <c r="T52298" s="41"/>
    </row>
    <row r="52299" spans="20:20" s="566" customFormat="1">
      <c r="T52299" s="41"/>
    </row>
    <row r="52300" spans="20:20" s="566" customFormat="1">
      <c r="T52300" s="41"/>
    </row>
    <row r="52301" spans="20:20" s="566" customFormat="1">
      <c r="T52301" s="41"/>
    </row>
    <row r="52302" spans="20:20" s="566" customFormat="1">
      <c r="T52302" s="41"/>
    </row>
    <row r="52303" spans="20:20" s="566" customFormat="1">
      <c r="T52303" s="41"/>
    </row>
    <row r="52304" spans="20:20" s="566" customFormat="1">
      <c r="T52304" s="41"/>
    </row>
    <row r="52305" spans="20:20" s="566" customFormat="1">
      <c r="T52305" s="41"/>
    </row>
    <row r="52306" spans="20:20" s="566" customFormat="1">
      <c r="T52306" s="41"/>
    </row>
    <row r="52307" spans="20:20" s="566" customFormat="1">
      <c r="T52307" s="41"/>
    </row>
    <row r="52308" spans="20:20" s="566" customFormat="1">
      <c r="T52308" s="41"/>
    </row>
    <row r="52309" spans="20:20" s="566" customFormat="1">
      <c r="T52309" s="41"/>
    </row>
    <row r="52310" spans="20:20" s="566" customFormat="1">
      <c r="T52310" s="41"/>
    </row>
    <row r="52311" spans="20:20" s="566" customFormat="1">
      <c r="T52311" s="41"/>
    </row>
    <row r="52312" spans="20:20" s="566" customFormat="1">
      <c r="T52312" s="41"/>
    </row>
    <row r="52313" spans="20:20" s="566" customFormat="1">
      <c r="T52313" s="41"/>
    </row>
    <row r="52314" spans="20:20" s="566" customFormat="1">
      <c r="T52314" s="41"/>
    </row>
    <row r="52315" spans="20:20" s="566" customFormat="1">
      <c r="T52315" s="41"/>
    </row>
    <row r="52316" spans="20:20" s="566" customFormat="1">
      <c r="T52316" s="41"/>
    </row>
    <row r="52317" spans="20:20" s="566" customFormat="1">
      <c r="T52317" s="41"/>
    </row>
    <row r="52318" spans="20:20" s="566" customFormat="1">
      <c r="T52318" s="41"/>
    </row>
    <row r="52319" spans="20:20" s="566" customFormat="1">
      <c r="T52319" s="41"/>
    </row>
    <row r="52320" spans="20:20" s="566" customFormat="1">
      <c r="T52320" s="41"/>
    </row>
    <row r="52321" spans="20:20" s="566" customFormat="1">
      <c r="T52321" s="41"/>
    </row>
    <row r="52322" spans="20:20" s="566" customFormat="1">
      <c r="T52322" s="41"/>
    </row>
    <row r="52323" spans="20:20" s="566" customFormat="1">
      <c r="T52323" s="41"/>
    </row>
    <row r="52324" spans="20:20" s="566" customFormat="1">
      <c r="T52324" s="41"/>
    </row>
    <row r="52325" spans="20:20" s="566" customFormat="1">
      <c r="T52325" s="41"/>
    </row>
    <row r="52326" spans="20:20" s="566" customFormat="1">
      <c r="T52326" s="41"/>
    </row>
    <row r="52327" spans="20:20" s="566" customFormat="1">
      <c r="T52327" s="41"/>
    </row>
    <row r="52328" spans="20:20" s="566" customFormat="1">
      <c r="T52328" s="41"/>
    </row>
    <row r="52329" spans="20:20" s="566" customFormat="1">
      <c r="T52329" s="41"/>
    </row>
    <row r="52330" spans="20:20" s="566" customFormat="1">
      <c r="T52330" s="41"/>
    </row>
    <row r="52331" spans="20:20" s="566" customFormat="1">
      <c r="T52331" s="41"/>
    </row>
    <row r="52332" spans="20:20" s="566" customFormat="1">
      <c r="T52332" s="41"/>
    </row>
    <row r="52333" spans="20:20" s="566" customFormat="1">
      <c r="T52333" s="41"/>
    </row>
    <row r="52334" spans="20:20" s="566" customFormat="1">
      <c r="T52334" s="41"/>
    </row>
    <row r="52335" spans="20:20" s="566" customFormat="1">
      <c r="T52335" s="41"/>
    </row>
    <row r="52336" spans="20:20" s="566" customFormat="1">
      <c r="T52336" s="41"/>
    </row>
    <row r="52337" spans="20:20" s="566" customFormat="1">
      <c r="T52337" s="41"/>
    </row>
    <row r="52338" spans="20:20" s="566" customFormat="1">
      <c r="T52338" s="41"/>
    </row>
    <row r="52339" spans="20:20" s="566" customFormat="1">
      <c r="T52339" s="41"/>
    </row>
    <row r="52340" spans="20:20" s="566" customFormat="1">
      <c r="T52340" s="41"/>
    </row>
    <row r="52341" spans="20:20" s="566" customFormat="1">
      <c r="T52341" s="41"/>
    </row>
    <row r="52342" spans="20:20" s="566" customFormat="1">
      <c r="T52342" s="41"/>
    </row>
    <row r="52343" spans="20:20" s="566" customFormat="1">
      <c r="T52343" s="41"/>
    </row>
    <row r="52344" spans="20:20" s="566" customFormat="1">
      <c r="T52344" s="41"/>
    </row>
    <row r="52345" spans="20:20" s="566" customFormat="1">
      <c r="T52345" s="41"/>
    </row>
    <row r="52346" spans="20:20" s="566" customFormat="1">
      <c r="T52346" s="41"/>
    </row>
    <row r="52347" spans="20:20" s="566" customFormat="1">
      <c r="T52347" s="41"/>
    </row>
    <row r="52348" spans="20:20" s="566" customFormat="1">
      <c r="T52348" s="41"/>
    </row>
    <row r="52349" spans="20:20" s="566" customFormat="1">
      <c r="T52349" s="41"/>
    </row>
    <row r="52350" spans="20:20" s="566" customFormat="1">
      <c r="T52350" s="41"/>
    </row>
    <row r="52351" spans="20:20" s="566" customFormat="1">
      <c r="T52351" s="41"/>
    </row>
    <row r="52352" spans="20:20" s="566" customFormat="1">
      <c r="T52352" s="41"/>
    </row>
    <row r="52353" spans="20:20" s="566" customFormat="1">
      <c r="T52353" s="41"/>
    </row>
    <row r="52354" spans="20:20" s="566" customFormat="1">
      <c r="T52354" s="41"/>
    </row>
    <row r="52355" spans="20:20" s="566" customFormat="1">
      <c r="T52355" s="41"/>
    </row>
    <row r="52356" spans="20:20" s="566" customFormat="1">
      <c r="T52356" s="41"/>
    </row>
    <row r="52357" spans="20:20" s="566" customFormat="1">
      <c r="T52357" s="41"/>
    </row>
    <row r="52358" spans="20:20" s="566" customFormat="1">
      <c r="T52358" s="41"/>
    </row>
    <row r="52359" spans="20:20" s="566" customFormat="1">
      <c r="T52359" s="41"/>
    </row>
    <row r="52360" spans="20:20" s="566" customFormat="1">
      <c r="T52360" s="41"/>
    </row>
    <row r="52361" spans="20:20" s="566" customFormat="1">
      <c r="T52361" s="41"/>
    </row>
    <row r="52362" spans="20:20" s="566" customFormat="1">
      <c r="T52362" s="41"/>
    </row>
    <row r="52363" spans="20:20" s="566" customFormat="1">
      <c r="T52363" s="41"/>
    </row>
    <row r="52364" spans="20:20" s="566" customFormat="1">
      <c r="T52364" s="41"/>
    </row>
    <row r="52365" spans="20:20" s="566" customFormat="1">
      <c r="T52365" s="41"/>
    </row>
    <row r="52366" spans="20:20" s="566" customFormat="1">
      <c r="T52366" s="41"/>
    </row>
    <row r="52367" spans="20:20" s="566" customFormat="1">
      <c r="T52367" s="41"/>
    </row>
    <row r="52368" spans="20:20" s="566" customFormat="1">
      <c r="T52368" s="41"/>
    </row>
    <row r="52369" spans="20:20" s="566" customFormat="1">
      <c r="T52369" s="41"/>
    </row>
    <row r="52370" spans="20:20" s="566" customFormat="1">
      <c r="T52370" s="41"/>
    </row>
    <row r="52371" spans="20:20" s="566" customFormat="1">
      <c r="T52371" s="41"/>
    </row>
    <row r="52372" spans="20:20" s="566" customFormat="1">
      <c r="T52372" s="41"/>
    </row>
    <row r="52373" spans="20:20" s="566" customFormat="1">
      <c r="T52373" s="41"/>
    </row>
    <row r="52374" spans="20:20" s="566" customFormat="1">
      <c r="T52374" s="41"/>
    </row>
    <row r="52375" spans="20:20" s="566" customFormat="1">
      <c r="T52375" s="41"/>
    </row>
    <row r="52376" spans="20:20" s="566" customFormat="1">
      <c r="T52376" s="41"/>
    </row>
    <row r="52377" spans="20:20" s="566" customFormat="1">
      <c r="T52377" s="41"/>
    </row>
    <row r="52378" spans="20:20" s="566" customFormat="1">
      <c r="T52378" s="41"/>
    </row>
    <row r="52379" spans="20:20" s="566" customFormat="1">
      <c r="T52379" s="41"/>
    </row>
    <row r="52380" spans="20:20" s="566" customFormat="1">
      <c r="T52380" s="41"/>
    </row>
    <row r="52381" spans="20:20" s="566" customFormat="1">
      <c r="T52381" s="41"/>
    </row>
    <row r="52382" spans="20:20" s="566" customFormat="1">
      <c r="T52382" s="41"/>
    </row>
    <row r="52383" spans="20:20" s="566" customFormat="1">
      <c r="T52383" s="41"/>
    </row>
    <row r="52384" spans="20:20" s="566" customFormat="1">
      <c r="T52384" s="41"/>
    </row>
    <row r="52385" spans="20:20" s="566" customFormat="1">
      <c r="T52385" s="41"/>
    </row>
    <row r="52386" spans="20:20" s="566" customFormat="1">
      <c r="T52386" s="41"/>
    </row>
    <row r="52387" spans="20:20" s="566" customFormat="1">
      <c r="T52387" s="41"/>
    </row>
    <row r="52388" spans="20:20" s="566" customFormat="1">
      <c r="T52388" s="41"/>
    </row>
    <row r="52389" spans="20:20" s="566" customFormat="1">
      <c r="T52389" s="41"/>
    </row>
    <row r="52390" spans="20:20" s="566" customFormat="1">
      <c r="T52390" s="41"/>
    </row>
    <row r="52391" spans="20:20" s="566" customFormat="1">
      <c r="T52391" s="41"/>
    </row>
    <row r="52392" spans="20:20" s="566" customFormat="1">
      <c r="T52392" s="41"/>
    </row>
    <row r="52393" spans="20:20" s="566" customFormat="1">
      <c r="T52393" s="41"/>
    </row>
    <row r="52394" spans="20:20" s="566" customFormat="1">
      <c r="T52394" s="41"/>
    </row>
    <row r="52395" spans="20:20" s="566" customFormat="1">
      <c r="T52395" s="41"/>
    </row>
    <row r="52396" spans="20:20" s="566" customFormat="1">
      <c r="T52396" s="41"/>
    </row>
    <row r="52397" spans="20:20" s="566" customFormat="1">
      <c r="T52397" s="41"/>
    </row>
    <row r="52398" spans="20:20" s="566" customFormat="1">
      <c r="T52398" s="41"/>
    </row>
    <row r="52399" spans="20:20" s="566" customFormat="1">
      <c r="T52399" s="41"/>
    </row>
    <row r="52400" spans="20:20" s="566" customFormat="1">
      <c r="T52400" s="41"/>
    </row>
    <row r="52401" spans="20:20" s="566" customFormat="1">
      <c r="T52401" s="41"/>
    </row>
    <row r="52402" spans="20:20" s="566" customFormat="1">
      <c r="T52402" s="41"/>
    </row>
    <row r="52403" spans="20:20" s="566" customFormat="1">
      <c r="T52403" s="41"/>
    </row>
    <row r="52404" spans="20:20" s="566" customFormat="1">
      <c r="T52404" s="41"/>
    </row>
    <row r="52405" spans="20:20" s="566" customFormat="1">
      <c r="T52405" s="41"/>
    </row>
    <row r="52406" spans="20:20" s="566" customFormat="1">
      <c r="T52406" s="41"/>
    </row>
    <row r="52407" spans="20:20" s="566" customFormat="1">
      <c r="T52407" s="41"/>
    </row>
    <row r="52408" spans="20:20" s="566" customFormat="1">
      <c r="T52408" s="41"/>
    </row>
    <row r="52409" spans="20:20" s="566" customFormat="1">
      <c r="T52409" s="41"/>
    </row>
    <row r="52410" spans="20:20" s="566" customFormat="1">
      <c r="T52410" s="41"/>
    </row>
    <row r="52411" spans="20:20" s="566" customFormat="1">
      <c r="T52411" s="41"/>
    </row>
    <row r="52412" spans="20:20" s="566" customFormat="1">
      <c r="T52412" s="41"/>
    </row>
    <row r="52413" spans="20:20" s="566" customFormat="1">
      <c r="T52413" s="41"/>
    </row>
    <row r="52414" spans="20:20" s="566" customFormat="1">
      <c r="T52414" s="41"/>
    </row>
    <row r="52415" spans="20:20" s="566" customFormat="1">
      <c r="T52415" s="41"/>
    </row>
    <row r="52416" spans="20:20" s="566" customFormat="1">
      <c r="T52416" s="41"/>
    </row>
    <row r="52417" spans="20:20" s="566" customFormat="1">
      <c r="T52417" s="41"/>
    </row>
    <row r="52418" spans="20:20" s="566" customFormat="1">
      <c r="T52418" s="41"/>
    </row>
    <row r="52419" spans="20:20" s="566" customFormat="1">
      <c r="T52419" s="41"/>
    </row>
    <row r="52420" spans="20:20" s="566" customFormat="1">
      <c r="T52420" s="41"/>
    </row>
    <row r="52421" spans="20:20" s="566" customFormat="1">
      <c r="T52421" s="41"/>
    </row>
    <row r="52422" spans="20:20" s="566" customFormat="1">
      <c r="T52422" s="41"/>
    </row>
    <row r="52423" spans="20:20" s="566" customFormat="1">
      <c r="T52423" s="41"/>
    </row>
    <row r="52424" spans="20:20" s="566" customFormat="1">
      <c r="T52424" s="41"/>
    </row>
    <row r="52425" spans="20:20" s="566" customFormat="1">
      <c r="T52425" s="41"/>
    </row>
    <row r="52426" spans="20:20" s="566" customFormat="1">
      <c r="T52426" s="41"/>
    </row>
    <row r="52427" spans="20:20" s="566" customFormat="1">
      <c r="T52427" s="41"/>
    </row>
    <row r="52428" spans="20:20" s="566" customFormat="1">
      <c r="T52428" s="41"/>
    </row>
    <row r="52429" spans="20:20" s="566" customFormat="1">
      <c r="T52429" s="41"/>
    </row>
    <row r="52430" spans="20:20" s="566" customFormat="1">
      <c r="T52430" s="41"/>
    </row>
    <row r="52431" spans="20:20" s="566" customFormat="1">
      <c r="T52431" s="41"/>
    </row>
    <row r="52432" spans="20:20" s="566" customFormat="1">
      <c r="T52432" s="41"/>
    </row>
    <row r="52433" spans="20:20" s="566" customFormat="1">
      <c r="T52433" s="41"/>
    </row>
    <row r="52434" spans="20:20" s="566" customFormat="1">
      <c r="T52434" s="41"/>
    </row>
    <row r="52435" spans="20:20" s="566" customFormat="1">
      <c r="T52435" s="41"/>
    </row>
    <row r="52436" spans="20:20" s="566" customFormat="1">
      <c r="T52436" s="41"/>
    </row>
    <row r="52437" spans="20:20" s="566" customFormat="1">
      <c r="T52437" s="41"/>
    </row>
    <row r="52438" spans="20:20" s="566" customFormat="1">
      <c r="T52438" s="41"/>
    </row>
    <row r="52439" spans="20:20" s="566" customFormat="1">
      <c r="T52439" s="41"/>
    </row>
    <row r="52440" spans="20:20" s="566" customFormat="1">
      <c r="T52440" s="41"/>
    </row>
    <row r="52441" spans="20:20" s="566" customFormat="1">
      <c r="T52441" s="41"/>
    </row>
    <row r="52442" spans="20:20" s="566" customFormat="1">
      <c r="T52442" s="41"/>
    </row>
    <row r="52443" spans="20:20" s="566" customFormat="1">
      <c r="T52443" s="41"/>
    </row>
    <row r="52444" spans="20:20" s="566" customFormat="1">
      <c r="T52444" s="41"/>
    </row>
    <row r="52445" spans="20:20" s="566" customFormat="1">
      <c r="T52445" s="41"/>
    </row>
    <row r="52446" spans="20:20" s="566" customFormat="1">
      <c r="T52446" s="41"/>
    </row>
    <row r="52447" spans="20:20" s="566" customFormat="1">
      <c r="T52447" s="41"/>
    </row>
    <row r="52448" spans="20:20" s="566" customFormat="1">
      <c r="T52448" s="41"/>
    </row>
    <row r="52449" spans="20:20" s="566" customFormat="1">
      <c r="T52449" s="41"/>
    </row>
    <row r="52450" spans="20:20" s="566" customFormat="1">
      <c r="T52450" s="41"/>
    </row>
    <row r="52451" spans="20:20" s="566" customFormat="1">
      <c r="T52451" s="41"/>
    </row>
    <row r="52452" spans="20:20" s="566" customFormat="1">
      <c r="T52452" s="41"/>
    </row>
    <row r="52453" spans="20:20" s="566" customFormat="1">
      <c r="T52453" s="41"/>
    </row>
    <row r="52454" spans="20:20" s="566" customFormat="1">
      <c r="T52454" s="41"/>
    </row>
    <row r="52455" spans="20:20" s="566" customFormat="1">
      <c r="T52455" s="41"/>
    </row>
    <row r="52456" spans="20:20" s="566" customFormat="1">
      <c r="T52456" s="41"/>
    </row>
    <row r="52457" spans="20:20" s="566" customFormat="1">
      <c r="T52457" s="41"/>
    </row>
    <row r="52458" spans="20:20" s="566" customFormat="1">
      <c r="T52458" s="41"/>
    </row>
    <row r="52459" spans="20:20" s="566" customFormat="1">
      <c r="T52459" s="41"/>
    </row>
    <row r="52460" spans="20:20" s="566" customFormat="1">
      <c r="T52460" s="41"/>
    </row>
    <row r="52461" spans="20:20" s="566" customFormat="1">
      <c r="T52461" s="41"/>
    </row>
    <row r="52462" spans="20:20" s="566" customFormat="1">
      <c r="T52462" s="41"/>
    </row>
    <row r="52463" spans="20:20" s="566" customFormat="1">
      <c r="T52463" s="41"/>
    </row>
    <row r="52464" spans="20:20" s="566" customFormat="1">
      <c r="T52464" s="41"/>
    </row>
    <row r="52465" spans="20:20" s="566" customFormat="1">
      <c r="T52465" s="41"/>
    </row>
    <row r="52466" spans="20:20" s="566" customFormat="1">
      <c r="T52466" s="41"/>
    </row>
    <row r="52467" spans="20:20" s="566" customFormat="1">
      <c r="T52467" s="41"/>
    </row>
    <row r="52468" spans="20:20" s="566" customFormat="1">
      <c r="T52468" s="41"/>
    </row>
    <row r="52469" spans="20:20" s="566" customFormat="1">
      <c r="T52469" s="41"/>
    </row>
    <row r="52470" spans="20:20" s="566" customFormat="1">
      <c r="T52470" s="41"/>
    </row>
    <row r="52471" spans="20:20" s="566" customFormat="1">
      <c r="T52471" s="41"/>
    </row>
    <row r="52472" spans="20:20" s="566" customFormat="1">
      <c r="T52472" s="41"/>
    </row>
    <row r="52473" spans="20:20" s="566" customFormat="1">
      <c r="T52473" s="41"/>
    </row>
    <row r="52474" spans="20:20" s="566" customFormat="1">
      <c r="T52474" s="41"/>
    </row>
    <row r="52475" spans="20:20" s="566" customFormat="1">
      <c r="T52475" s="41"/>
    </row>
    <row r="52476" spans="20:20" s="566" customFormat="1">
      <c r="T52476" s="41"/>
    </row>
    <row r="52477" spans="20:20" s="566" customFormat="1">
      <c r="T52477" s="41"/>
    </row>
    <row r="52478" spans="20:20" s="566" customFormat="1">
      <c r="T52478" s="41"/>
    </row>
    <row r="52479" spans="20:20" s="566" customFormat="1">
      <c r="T52479" s="41"/>
    </row>
    <row r="52480" spans="20:20" s="566" customFormat="1">
      <c r="T52480" s="41"/>
    </row>
    <row r="52481" spans="20:20" s="566" customFormat="1">
      <c r="T52481" s="41"/>
    </row>
    <row r="52482" spans="20:20" s="566" customFormat="1">
      <c r="T52482" s="41"/>
    </row>
    <row r="52483" spans="20:20" s="566" customFormat="1">
      <c r="T52483" s="41"/>
    </row>
    <row r="52484" spans="20:20" s="566" customFormat="1">
      <c r="T52484" s="41"/>
    </row>
    <row r="52485" spans="20:20" s="566" customFormat="1">
      <c r="T52485" s="41"/>
    </row>
    <row r="52486" spans="20:20" s="566" customFormat="1">
      <c r="T52486" s="41"/>
    </row>
    <row r="52487" spans="20:20" s="566" customFormat="1">
      <c r="T52487" s="41"/>
    </row>
    <row r="52488" spans="20:20" s="566" customFormat="1">
      <c r="T52488" s="41"/>
    </row>
    <row r="52489" spans="20:20" s="566" customFormat="1">
      <c r="T52489" s="41"/>
    </row>
    <row r="52490" spans="20:20" s="566" customFormat="1">
      <c r="T52490" s="41"/>
    </row>
    <row r="52491" spans="20:20" s="566" customFormat="1">
      <c r="T52491" s="41"/>
    </row>
    <row r="52492" spans="20:20" s="566" customFormat="1">
      <c r="T52492" s="41"/>
    </row>
    <row r="52493" spans="20:20" s="566" customFormat="1">
      <c r="T52493" s="41"/>
    </row>
    <row r="52494" spans="20:20" s="566" customFormat="1">
      <c r="T52494" s="41"/>
    </row>
    <row r="52495" spans="20:20" s="566" customFormat="1">
      <c r="T52495" s="41"/>
    </row>
    <row r="52496" spans="20:20" s="566" customFormat="1">
      <c r="T52496" s="41"/>
    </row>
    <row r="52497" spans="20:20" s="566" customFormat="1">
      <c r="T52497" s="41"/>
    </row>
    <row r="52498" spans="20:20" s="566" customFormat="1">
      <c r="T52498" s="41"/>
    </row>
    <row r="52499" spans="20:20" s="566" customFormat="1">
      <c r="T52499" s="41"/>
    </row>
    <row r="52500" spans="20:20" s="566" customFormat="1">
      <c r="T52500" s="41"/>
    </row>
    <row r="52501" spans="20:20" s="566" customFormat="1">
      <c r="T52501" s="41"/>
    </row>
    <row r="52502" spans="20:20" s="566" customFormat="1">
      <c r="T52502" s="41"/>
    </row>
    <row r="52503" spans="20:20" s="566" customFormat="1">
      <c r="T52503" s="41"/>
    </row>
    <row r="52504" spans="20:20" s="566" customFormat="1">
      <c r="T52504" s="41"/>
    </row>
    <row r="52505" spans="20:20" s="566" customFormat="1">
      <c r="T52505" s="41"/>
    </row>
    <row r="52506" spans="20:20" s="566" customFormat="1">
      <c r="T52506" s="41"/>
    </row>
    <row r="52507" spans="20:20" s="566" customFormat="1">
      <c r="T52507" s="41"/>
    </row>
    <row r="52508" spans="20:20" s="566" customFormat="1">
      <c r="T52508" s="41"/>
    </row>
    <row r="52509" spans="20:20" s="566" customFormat="1">
      <c r="T52509" s="41"/>
    </row>
    <row r="52510" spans="20:20" s="566" customFormat="1">
      <c r="T52510" s="41"/>
    </row>
    <row r="52511" spans="20:20" s="566" customFormat="1">
      <c r="T52511" s="41"/>
    </row>
    <row r="52512" spans="20:20" s="566" customFormat="1">
      <c r="T52512" s="41"/>
    </row>
    <row r="52513" spans="20:20" s="566" customFormat="1">
      <c r="T52513" s="41"/>
    </row>
    <row r="52514" spans="20:20" s="566" customFormat="1">
      <c r="T52514" s="41"/>
    </row>
    <row r="52515" spans="20:20" s="566" customFormat="1">
      <c r="T52515" s="41"/>
    </row>
    <row r="52516" spans="20:20" s="566" customFormat="1">
      <c r="T52516" s="41"/>
    </row>
    <row r="52517" spans="20:20" s="566" customFormat="1">
      <c r="T52517" s="41"/>
    </row>
    <row r="52518" spans="20:20" s="566" customFormat="1">
      <c r="T52518" s="41"/>
    </row>
    <row r="52519" spans="20:20" s="566" customFormat="1">
      <c r="T52519" s="41"/>
    </row>
    <row r="52520" spans="20:20" s="566" customFormat="1">
      <c r="T52520" s="41"/>
    </row>
    <row r="52521" spans="20:20" s="566" customFormat="1">
      <c r="T52521" s="41"/>
    </row>
    <row r="52522" spans="20:20" s="566" customFormat="1">
      <c r="T52522" s="41"/>
    </row>
    <row r="52523" spans="20:20" s="566" customFormat="1">
      <c r="T52523" s="41"/>
    </row>
    <row r="52524" spans="20:20" s="566" customFormat="1">
      <c r="T52524" s="41"/>
    </row>
    <row r="52525" spans="20:20" s="566" customFormat="1">
      <c r="T52525" s="41"/>
    </row>
    <row r="52526" spans="20:20" s="566" customFormat="1">
      <c r="T52526" s="41"/>
    </row>
    <row r="52527" spans="20:20" s="566" customFormat="1">
      <c r="T52527" s="41"/>
    </row>
    <row r="52528" spans="20:20" s="566" customFormat="1">
      <c r="T52528" s="41"/>
    </row>
    <row r="52529" spans="20:20" s="566" customFormat="1">
      <c r="T52529" s="41"/>
    </row>
    <row r="52530" spans="20:20" s="566" customFormat="1">
      <c r="T52530" s="41"/>
    </row>
    <row r="52531" spans="20:20" s="566" customFormat="1">
      <c r="T52531" s="41"/>
    </row>
    <row r="52532" spans="20:20" s="566" customFormat="1">
      <c r="T52532" s="41"/>
    </row>
    <row r="52533" spans="20:20" s="566" customFormat="1">
      <c r="T52533" s="41"/>
    </row>
    <row r="52534" spans="20:20" s="566" customFormat="1">
      <c r="T52534" s="41"/>
    </row>
    <row r="52535" spans="20:20" s="566" customFormat="1">
      <c r="T52535" s="41"/>
    </row>
    <row r="52536" spans="20:20" s="566" customFormat="1">
      <c r="T52536" s="41"/>
    </row>
    <row r="52537" spans="20:20" s="566" customFormat="1">
      <c r="T52537" s="41"/>
    </row>
    <row r="52538" spans="20:20" s="566" customFormat="1">
      <c r="T52538" s="41"/>
    </row>
    <row r="52539" spans="20:20" s="566" customFormat="1">
      <c r="T52539" s="41"/>
    </row>
    <row r="52540" spans="20:20" s="566" customFormat="1">
      <c r="T52540" s="41"/>
    </row>
    <row r="52541" spans="20:20" s="566" customFormat="1">
      <c r="T52541" s="41"/>
    </row>
    <row r="52542" spans="20:20" s="566" customFormat="1">
      <c r="T52542" s="41"/>
    </row>
    <row r="52543" spans="20:20" s="566" customFormat="1">
      <c r="T52543" s="41"/>
    </row>
    <row r="52544" spans="20:20" s="566" customFormat="1">
      <c r="T52544" s="41"/>
    </row>
    <row r="52545" spans="20:20" s="566" customFormat="1">
      <c r="T52545" s="41"/>
    </row>
    <row r="52546" spans="20:20" s="566" customFormat="1">
      <c r="T52546" s="41"/>
    </row>
    <row r="52547" spans="20:20" s="566" customFormat="1">
      <c r="T52547" s="41"/>
    </row>
    <row r="52548" spans="20:20" s="566" customFormat="1">
      <c r="T52548" s="41"/>
    </row>
    <row r="52549" spans="20:20" s="566" customFormat="1">
      <c r="T52549" s="41"/>
    </row>
    <row r="52550" spans="20:20" s="566" customFormat="1">
      <c r="T52550" s="41"/>
    </row>
    <row r="52551" spans="20:20" s="566" customFormat="1">
      <c r="T52551" s="41"/>
    </row>
    <row r="52552" spans="20:20" s="566" customFormat="1">
      <c r="T52552" s="41"/>
    </row>
    <row r="52553" spans="20:20" s="566" customFormat="1">
      <c r="T52553" s="41"/>
    </row>
    <row r="52554" spans="20:20" s="566" customFormat="1">
      <c r="T52554" s="41"/>
    </row>
    <row r="52555" spans="20:20" s="566" customFormat="1">
      <c r="T52555" s="41"/>
    </row>
    <row r="52556" spans="20:20" s="566" customFormat="1">
      <c r="T52556" s="41"/>
    </row>
    <row r="52557" spans="20:20" s="566" customFormat="1">
      <c r="T52557" s="41"/>
    </row>
    <row r="52558" spans="20:20" s="566" customFormat="1">
      <c r="T52558" s="41"/>
    </row>
    <row r="52559" spans="20:20" s="566" customFormat="1">
      <c r="T52559" s="41"/>
    </row>
    <row r="52560" spans="20:20" s="566" customFormat="1">
      <c r="T52560" s="41"/>
    </row>
    <row r="52561" spans="20:20" s="566" customFormat="1">
      <c r="T52561" s="41"/>
    </row>
    <row r="52562" spans="20:20" s="566" customFormat="1">
      <c r="T52562" s="41"/>
    </row>
    <row r="52563" spans="20:20" s="566" customFormat="1">
      <c r="T52563" s="41"/>
    </row>
    <row r="52564" spans="20:20" s="566" customFormat="1">
      <c r="T52564" s="41"/>
    </row>
    <row r="52565" spans="20:20" s="566" customFormat="1">
      <c r="T52565" s="41"/>
    </row>
    <row r="52566" spans="20:20" s="566" customFormat="1">
      <c r="T52566" s="41"/>
    </row>
    <row r="52567" spans="20:20" s="566" customFormat="1">
      <c r="T52567" s="41"/>
    </row>
    <row r="52568" spans="20:20" s="566" customFormat="1">
      <c r="T52568" s="41"/>
    </row>
    <row r="52569" spans="20:20" s="566" customFormat="1">
      <c r="T52569" s="41"/>
    </row>
    <row r="52570" spans="20:20" s="566" customFormat="1">
      <c r="T52570" s="41"/>
    </row>
    <row r="52571" spans="20:20" s="566" customFormat="1">
      <c r="T52571" s="41"/>
    </row>
    <row r="52572" spans="20:20" s="566" customFormat="1">
      <c r="T52572" s="41"/>
    </row>
    <row r="52573" spans="20:20" s="566" customFormat="1">
      <c r="T52573" s="41"/>
    </row>
    <row r="52574" spans="20:20" s="566" customFormat="1">
      <c r="T52574" s="41"/>
    </row>
    <row r="52575" spans="20:20" s="566" customFormat="1">
      <c r="T52575" s="41"/>
    </row>
    <row r="52576" spans="20:20" s="566" customFormat="1">
      <c r="T52576" s="41"/>
    </row>
    <row r="52577" spans="20:20" s="566" customFormat="1">
      <c r="T52577" s="41"/>
    </row>
    <row r="52578" spans="20:20" s="566" customFormat="1">
      <c r="T52578" s="41"/>
    </row>
    <row r="52579" spans="20:20" s="566" customFormat="1">
      <c r="T52579" s="41"/>
    </row>
    <row r="52580" spans="20:20" s="566" customFormat="1">
      <c r="T52580" s="41"/>
    </row>
    <row r="52581" spans="20:20" s="566" customFormat="1">
      <c r="T52581" s="41"/>
    </row>
    <row r="52582" spans="20:20" s="566" customFormat="1">
      <c r="T52582" s="41"/>
    </row>
    <row r="52583" spans="20:20" s="566" customFormat="1">
      <c r="T52583" s="41"/>
    </row>
    <row r="52584" spans="20:20" s="566" customFormat="1">
      <c r="T52584" s="41"/>
    </row>
    <row r="52585" spans="20:20" s="566" customFormat="1">
      <c r="T52585" s="41"/>
    </row>
    <row r="52586" spans="20:20" s="566" customFormat="1">
      <c r="T52586" s="41"/>
    </row>
    <row r="52587" spans="20:20" s="566" customFormat="1">
      <c r="T52587" s="41"/>
    </row>
    <row r="52588" spans="20:20" s="566" customFormat="1">
      <c r="T52588" s="41"/>
    </row>
    <row r="52589" spans="20:20" s="566" customFormat="1">
      <c r="T52589" s="41"/>
    </row>
    <row r="52590" spans="20:20" s="566" customFormat="1">
      <c r="T52590" s="41"/>
    </row>
    <row r="52591" spans="20:20" s="566" customFormat="1">
      <c r="T52591" s="41"/>
    </row>
    <row r="52592" spans="20:20" s="566" customFormat="1">
      <c r="T52592" s="41"/>
    </row>
    <row r="52593" spans="20:20" s="566" customFormat="1">
      <c r="T52593" s="41"/>
    </row>
    <row r="52594" spans="20:20" s="566" customFormat="1">
      <c r="T52594" s="41"/>
    </row>
    <row r="52595" spans="20:20" s="566" customFormat="1">
      <c r="T52595" s="41"/>
    </row>
    <row r="52596" spans="20:20" s="566" customFormat="1">
      <c r="T52596" s="41"/>
    </row>
    <row r="52597" spans="20:20" s="566" customFormat="1">
      <c r="T52597" s="41"/>
    </row>
    <row r="52598" spans="20:20" s="566" customFormat="1">
      <c r="T52598" s="41"/>
    </row>
    <row r="52599" spans="20:20" s="566" customFormat="1">
      <c r="T52599" s="41"/>
    </row>
    <row r="52600" spans="20:20" s="566" customFormat="1">
      <c r="T52600" s="41"/>
    </row>
    <row r="52601" spans="20:20" s="566" customFormat="1">
      <c r="T52601" s="41"/>
    </row>
    <row r="52602" spans="20:20" s="566" customFormat="1">
      <c r="T52602" s="41"/>
    </row>
    <row r="52603" spans="20:20" s="566" customFormat="1">
      <c r="T52603" s="41"/>
    </row>
    <row r="52604" spans="20:20" s="566" customFormat="1">
      <c r="T52604" s="41"/>
    </row>
    <row r="52605" spans="20:20" s="566" customFormat="1">
      <c r="T52605" s="41"/>
    </row>
    <row r="52606" spans="20:20" s="566" customFormat="1">
      <c r="T52606" s="41"/>
    </row>
    <row r="52607" spans="20:20" s="566" customFormat="1">
      <c r="T52607" s="41"/>
    </row>
    <row r="52608" spans="20:20" s="566" customFormat="1">
      <c r="T52608" s="41"/>
    </row>
    <row r="52609" spans="20:20" s="566" customFormat="1">
      <c r="T52609" s="41"/>
    </row>
    <row r="52610" spans="20:20" s="566" customFormat="1">
      <c r="T52610" s="41"/>
    </row>
    <row r="52611" spans="20:20" s="566" customFormat="1">
      <c r="T52611" s="41"/>
    </row>
    <row r="52612" spans="20:20" s="566" customFormat="1">
      <c r="T52612" s="41"/>
    </row>
    <row r="52613" spans="20:20" s="566" customFormat="1">
      <c r="T52613" s="41"/>
    </row>
    <row r="52614" spans="20:20" s="566" customFormat="1">
      <c r="T52614" s="41"/>
    </row>
    <row r="52615" spans="20:20" s="566" customFormat="1">
      <c r="T52615" s="41"/>
    </row>
    <row r="52616" spans="20:20" s="566" customFormat="1">
      <c r="T52616" s="41"/>
    </row>
    <row r="52617" spans="20:20" s="566" customFormat="1">
      <c r="T52617" s="41"/>
    </row>
    <row r="52618" spans="20:20" s="566" customFormat="1">
      <c r="T52618" s="41"/>
    </row>
    <row r="52619" spans="20:20" s="566" customFormat="1">
      <c r="T52619" s="41"/>
    </row>
    <row r="52620" spans="20:20" s="566" customFormat="1">
      <c r="T52620" s="41"/>
    </row>
    <row r="52621" spans="20:20" s="566" customFormat="1">
      <c r="T52621" s="41"/>
    </row>
    <row r="52622" spans="20:20" s="566" customFormat="1">
      <c r="T52622" s="41"/>
    </row>
    <row r="52623" spans="20:20" s="566" customFormat="1">
      <c r="T52623" s="41"/>
    </row>
    <row r="52624" spans="20:20" s="566" customFormat="1">
      <c r="T52624" s="41"/>
    </row>
    <row r="52625" spans="20:20" s="566" customFormat="1">
      <c r="T52625" s="41"/>
    </row>
    <row r="52626" spans="20:20" s="566" customFormat="1">
      <c r="T52626" s="41"/>
    </row>
    <row r="52627" spans="20:20" s="566" customFormat="1">
      <c r="T52627" s="41"/>
    </row>
    <row r="52628" spans="20:20" s="566" customFormat="1">
      <c r="T52628" s="41"/>
    </row>
    <row r="52629" spans="20:20" s="566" customFormat="1">
      <c r="T52629" s="41"/>
    </row>
    <row r="52630" spans="20:20" s="566" customFormat="1">
      <c r="T52630" s="41"/>
    </row>
    <row r="52631" spans="20:20" s="566" customFormat="1">
      <c r="T52631" s="41"/>
    </row>
    <row r="52632" spans="20:20" s="566" customFormat="1">
      <c r="T52632" s="41"/>
    </row>
    <row r="52633" spans="20:20" s="566" customFormat="1">
      <c r="T52633" s="41"/>
    </row>
    <row r="52634" spans="20:20" s="566" customFormat="1">
      <c r="T52634" s="41"/>
    </row>
    <row r="52635" spans="20:20" s="566" customFormat="1">
      <c r="T52635" s="41"/>
    </row>
    <row r="52636" spans="20:20" s="566" customFormat="1">
      <c r="T52636" s="41"/>
    </row>
    <row r="52637" spans="20:20" s="566" customFormat="1">
      <c r="T52637" s="41"/>
    </row>
    <row r="52638" spans="20:20" s="566" customFormat="1">
      <c r="T52638" s="41"/>
    </row>
    <row r="52639" spans="20:20" s="566" customFormat="1">
      <c r="T52639" s="41"/>
    </row>
    <row r="52640" spans="20:20" s="566" customFormat="1">
      <c r="T52640" s="41"/>
    </row>
    <row r="52641" spans="20:20" s="566" customFormat="1">
      <c r="T52641" s="41"/>
    </row>
    <row r="52642" spans="20:20" s="566" customFormat="1">
      <c r="T52642" s="41"/>
    </row>
    <row r="52643" spans="20:20" s="566" customFormat="1">
      <c r="T52643" s="41"/>
    </row>
    <row r="52644" spans="20:20" s="566" customFormat="1">
      <c r="T52644" s="41"/>
    </row>
    <row r="52645" spans="20:20" s="566" customFormat="1">
      <c r="T52645" s="41"/>
    </row>
    <row r="52646" spans="20:20" s="566" customFormat="1">
      <c r="T52646" s="41"/>
    </row>
    <row r="52647" spans="20:20" s="566" customFormat="1">
      <c r="T52647" s="41"/>
    </row>
    <row r="52648" spans="20:20" s="566" customFormat="1">
      <c r="T52648" s="41"/>
    </row>
    <row r="52649" spans="20:20" s="566" customFormat="1">
      <c r="T52649" s="41"/>
    </row>
    <row r="52650" spans="20:20" s="566" customFormat="1">
      <c r="T52650" s="41"/>
    </row>
    <row r="52651" spans="20:20" s="566" customFormat="1">
      <c r="T52651" s="41"/>
    </row>
    <row r="52652" spans="20:20" s="566" customFormat="1">
      <c r="T52652" s="41"/>
    </row>
    <row r="52653" spans="20:20" s="566" customFormat="1">
      <c r="T52653" s="41"/>
    </row>
    <row r="52654" spans="20:20" s="566" customFormat="1">
      <c r="T52654" s="41"/>
    </row>
    <row r="52655" spans="20:20" s="566" customFormat="1">
      <c r="T52655" s="41"/>
    </row>
    <row r="52656" spans="20:20" s="566" customFormat="1">
      <c r="T52656" s="41"/>
    </row>
    <row r="52657" spans="20:20" s="566" customFormat="1">
      <c r="T52657" s="41"/>
    </row>
    <row r="52658" spans="20:20" s="566" customFormat="1">
      <c r="T52658" s="41"/>
    </row>
    <row r="52659" spans="20:20" s="566" customFormat="1">
      <c r="T52659" s="41"/>
    </row>
    <row r="52660" spans="20:20" s="566" customFormat="1">
      <c r="T52660" s="41"/>
    </row>
    <row r="52661" spans="20:20" s="566" customFormat="1">
      <c r="T52661" s="41"/>
    </row>
    <row r="52662" spans="20:20" s="566" customFormat="1">
      <c r="T52662" s="41"/>
    </row>
    <row r="52663" spans="20:20" s="566" customFormat="1">
      <c r="T52663" s="41"/>
    </row>
    <row r="52664" spans="20:20" s="566" customFormat="1">
      <c r="T52664" s="41"/>
    </row>
    <row r="52665" spans="20:20" s="566" customFormat="1">
      <c r="T52665" s="41"/>
    </row>
    <row r="52666" spans="20:20" s="566" customFormat="1">
      <c r="T52666" s="41"/>
    </row>
    <row r="52667" spans="20:20" s="566" customFormat="1">
      <c r="T52667" s="41"/>
    </row>
    <row r="52668" spans="20:20" s="566" customFormat="1">
      <c r="T52668" s="41"/>
    </row>
    <row r="52669" spans="20:20" s="566" customFormat="1">
      <c r="T52669" s="41"/>
    </row>
    <row r="52670" spans="20:20" s="566" customFormat="1">
      <c r="T52670" s="41"/>
    </row>
    <row r="52671" spans="20:20" s="566" customFormat="1">
      <c r="T52671" s="41"/>
    </row>
    <row r="52672" spans="20:20" s="566" customFormat="1">
      <c r="T52672" s="41"/>
    </row>
    <row r="52673" spans="20:20" s="566" customFormat="1">
      <c r="T52673" s="41"/>
    </row>
    <row r="52674" spans="20:20" s="566" customFormat="1">
      <c r="T52674" s="41"/>
    </row>
    <row r="52675" spans="20:20" s="566" customFormat="1">
      <c r="T52675" s="41"/>
    </row>
    <row r="52676" spans="20:20" s="566" customFormat="1">
      <c r="T52676" s="41"/>
    </row>
    <row r="52677" spans="20:20" s="566" customFormat="1">
      <c r="T52677" s="41"/>
    </row>
    <row r="52678" spans="20:20" s="566" customFormat="1">
      <c r="T52678" s="41"/>
    </row>
    <row r="52679" spans="20:20" s="566" customFormat="1">
      <c r="T52679" s="41"/>
    </row>
    <row r="52680" spans="20:20" s="566" customFormat="1">
      <c r="T52680" s="41"/>
    </row>
    <row r="52681" spans="20:20" s="566" customFormat="1">
      <c r="T52681" s="41"/>
    </row>
    <row r="52682" spans="20:20" s="566" customFormat="1">
      <c r="T52682" s="41"/>
    </row>
    <row r="52683" spans="20:20" s="566" customFormat="1">
      <c r="T52683" s="41"/>
    </row>
    <row r="52684" spans="20:20" s="566" customFormat="1">
      <c r="T52684" s="41"/>
    </row>
    <row r="52685" spans="20:20" s="566" customFormat="1">
      <c r="T52685" s="41"/>
    </row>
    <row r="52686" spans="20:20" s="566" customFormat="1">
      <c r="T52686" s="41"/>
    </row>
    <row r="52687" spans="20:20" s="566" customFormat="1">
      <c r="T52687" s="41"/>
    </row>
    <row r="52688" spans="20:20" s="566" customFormat="1">
      <c r="T52688" s="41"/>
    </row>
    <row r="52689" spans="20:20" s="566" customFormat="1">
      <c r="T52689" s="41"/>
    </row>
    <row r="52690" spans="20:20" s="566" customFormat="1">
      <c r="T52690" s="41"/>
    </row>
    <row r="52691" spans="20:20" s="566" customFormat="1">
      <c r="T52691" s="41"/>
    </row>
    <row r="52692" spans="20:20" s="566" customFormat="1">
      <c r="T52692" s="41"/>
    </row>
    <row r="52693" spans="20:20" s="566" customFormat="1">
      <c r="T52693" s="41"/>
    </row>
    <row r="52694" spans="20:20" s="566" customFormat="1">
      <c r="T52694" s="41"/>
    </row>
    <row r="52695" spans="20:20" s="566" customFormat="1">
      <c r="T52695" s="41"/>
    </row>
    <row r="52696" spans="20:20" s="566" customFormat="1">
      <c r="T52696" s="41"/>
    </row>
    <row r="52697" spans="20:20" s="566" customFormat="1">
      <c r="T52697" s="41"/>
    </row>
    <row r="52698" spans="20:20" s="566" customFormat="1">
      <c r="T52698" s="41"/>
    </row>
    <row r="52699" spans="20:20" s="566" customFormat="1">
      <c r="T52699" s="41"/>
    </row>
    <row r="52700" spans="20:20" s="566" customFormat="1">
      <c r="T52700" s="41"/>
    </row>
    <row r="52701" spans="20:20" s="566" customFormat="1">
      <c r="T52701" s="41"/>
    </row>
    <row r="52702" spans="20:20" s="566" customFormat="1">
      <c r="T52702" s="41"/>
    </row>
    <row r="52703" spans="20:20" s="566" customFormat="1">
      <c r="T52703" s="41"/>
    </row>
    <row r="52704" spans="20:20" s="566" customFormat="1">
      <c r="T52704" s="41"/>
    </row>
    <row r="52705" spans="20:20" s="566" customFormat="1">
      <c r="T52705" s="41"/>
    </row>
    <row r="52706" spans="20:20" s="566" customFormat="1">
      <c r="T52706" s="41"/>
    </row>
    <row r="52707" spans="20:20" s="566" customFormat="1">
      <c r="T52707" s="41"/>
    </row>
    <row r="52708" spans="20:20" s="566" customFormat="1">
      <c r="T52708" s="41"/>
    </row>
    <row r="52709" spans="20:20" s="566" customFormat="1">
      <c r="T52709" s="41"/>
    </row>
    <row r="52710" spans="20:20" s="566" customFormat="1">
      <c r="T52710" s="41"/>
    </row>
    <row r="52711" spans="20:20" s="566" customFormat="1">
      <c r="T52711" s="41"/>
    </row>
    <row r="52712" spans="20:20" s="566" customFormat="1">
      <c r="T52712" s="41"/>
    </row>
    <row r="52713" spans="20:20" s="566" customFormat="1">
      <c r="T52713" s="41"/>
    </row>
    <row r="52714" spans="20:20" s="566" customFormat="1">
      <c r="T52714" s="41"/>
    </row>
    <row r="52715" spans="20:20" s="566" customFormat="1">
      <c r="T52715" s="41"/>
    </row>
    <row r="52716" spans="20:20" s="566" customFormat="1">
      <c r="T52716" s="41"/>
    </row>
    <row r="52717" spans="20:20" s="566" customFormat="1">
      <c r="T52717" s="41"/>
    </row>
    <row r="52718" spans="20:20" s="566" customFormat="1">
      <c r="T52718" s="41"/>
    </row>
    <row r="52719" spans="20:20" s="566" customFormat="1">
      <c r="T52719" s="41"/>
    </row>
    <row r="52720" spans="20:20" s="566" customFormat="1">
      <c r="T52720" s="41"/>
    </row>
    <row r="52721" spans="20:20" s="566" customFormat="1">
      <c r="T52721" s="41"/>
    </row>
    <row r="52722" spans="20:20" s="566" customFormat="1">
      <c r="T52722" s="41"/>
    </row>
    <row r="52723" spans="20:20" s="566" customFormat="1">
      <c r="T52723" s="41"/>
    </row>
    <row r="52724" spans="20:20" s="566" customFormat="1">
      <c r="T52724" s="41"/>
    </row>
    <row r="52725" spans="20:20" s="566" customFormat="1">
      <c r="T52725" s="41"/>
    </row>
    <row r="52726" spans="20:20" s="566" customFormat="1">
      <c r="T52726" s="41"/>
    </row>
    <row r="52727" spans="20:20" s="566" customFormat="1">
      <c r="T52727" s="41"/>
    </row>
    <row r="52728" spans="20:20" s="566" customFormat="1">
      <c r="T52728" s="41"/>
    </row>
    <row r="52729" spans="20:20" s="566" customFormat="1">
      <c r="T52729" s="41"/>
    </row>
    <row r="52730" spans="20:20" s="566" customFormat="1">
      <c r="T52730" s="41"/>
    </row>
    <row r="52731" spans="20:20" s="566" customFormat="1">
      <c r="T52731" s="41"/>
    </row>
    <row r="52732" spans="20:20" s="566" customFormat="1">
      <c r="T52732" s="41"/>
    </row>
    <row r="52733" spans="20:20" s="566" customFormat="1">
      <c r="T52733" s="41"/>
    </row>
    <row r="52734" spans="20:20" s="566" customFormat="1">
      <c r="T52734" s="41"/>
    </row>
    <row r="52735" spans="20:20" s="566" customFormat="1">
      <c r="T52735" s="41"/>
    </row>
    <row r="52736" spans="20:20" s="566" customFormat="1">
      <c r="T52736" s="41"/>
    </row>
    <row r="52737" spans="20:20" s="566" customFormat="1">
      <c r="T52737" s="41"/>
    </row>
    <row r="52738" spans="20:20" s="566" customFormat="1">
      <c r="T52738" s="41"/>
    </row>
    <row r="52739" spans="20:20" s="566" customFormat="1">
      <c r="T52739" s="41"/>
    </row>
    <row r="52740" spans="20:20" s="566" customFormat="1">
      <c r="T52740" s="41"/>
    </row>
    <row r="52741" spans="20:20" s="566" customFormat="1">
      <c r="T52741" s="41"/>
    </row>
    <row r="52742" spans="20:20" s="566" customFormat="1">
      <c r="T52742" s="41"/>
    </row>
    <row r="52743" spans="20:20" s="566" customFormat="1">
      <c r="T52743" s="41"/>
    </row>
    <row r="52744" spans="20:20" s="566" customFormat="1">
      <c r="T52744" s="41"/>
    </row>
    <row r="52745" spans="20:20" s="566" customFormat="1">
      <c r="T52745" s="41"/>
    </row>
    <row r="52746" spans="20:20" s="566" customFormat="1">
      <c r="T52746" s="41"/>
    </row>
    <row r="52747" spans="20:20" s="566" customFormat="1">
      <c r="T52747" s="41"/>
    </row>
    <row r="52748" spans="20:20" s="566" customFormat="1">
      <c r="T52748" s="41"/>
    </row>
    <row r="52749" spans="20:20" s="566" customFormat="1">
      <c r="T52749" s="41"/>
    </row>
    <row r="52750" spans="20:20" s="566" customFormat="1">
      <c r="T52750" s="41"/>
    </row>
    <row r="52751" spans="20:20" s="566" customFormat="1">
      <c r="T52751" s="41"/>
    </row>
    <row r="52752" spans="20:20" s="566" customFormat="1">
      <c r="T52752" s="41"/>
    </row>
    <row r="52753" spans="20:20" s="566" customFormat="1">
      <c r="T52753" s="41"/>
    </row>
    <row r="52754" spans="20:20" s="566" customFormat="1">
      <c r="T52754" s="41"/>
    </row>
    <row r="52755" spans="20:20" s="566" customFormat="1">
      <c r="T52755" s="41"/>
    </row>
    <row r="52756" spans="20:20" s="566" customFormat="1">
      <c r="T52756" s="41"/>
    </row>
    <row r="52757" spans="20:20" s="566" customFormat="1">
      <c r="T52757" s="41"/>
    </row>
    <row r="52758" spans="20:20" s="566" customFormat="1">
      <c r="T52758" s="41"/>
    </row>
    <row r="52759" spans="20:20" s="566" customFormat="1">
      <c r="T52759" s="41"/>
    </row>
    <row r="52760" spans="20:20" s="566" customFormat="1">
      <c r="T52760" s="41"/>
    </row>
    <row r="52761" spans="20:20" s="566" customFormat="1">
      <c r="T52761" s="41"/>
    </row>
    <row r="52762" spans="20:20" s="566" customFormat="1">
      <c r="T52762" s="41"/>
    </row>
    <row r="52763" spans="20:20" s="566" customFormat="1">
      <c r="T52763" s="41"/>
    </row>
    <row r="52764" spans="20:20" s="566" customFormat="1">
      <c r="T52764" s="41"/>
    </row>
    <row r="52765" spans="20:20" s="566" customFormat="1">
      <c r="T52765" s="41"/>
    </row>
    <row r="52766" spans="20:20" s="566" customFormat="1">
      <c r="T52766" s="41"/>
    </row>
    <row r="52767" spans="20:20" s="566" customFormat="1">
      <c r="T52767" s="41"/>
    </row>
    <row r="52768" spans="20:20" s="566" customFormat="1">
      <c r="T52768" s="41"/>
    </row>
    <row r="52769" spans="20:20" s="566" customFormat="1">
      <c r="T52769" s="41"/>
    </row>
    <row r="52770" spans="20:20" s="566" customFormat="1">
      <c r="T52770" s="41"/>
    </row>
    <row r="52771" spans="20:20" s="566" customFormat="1">
      <c r="T52771" s="41"/>
    </row>
    <row r="52772" spans="20:20" s="566" customFormat="1">
      <c r="T52772" s="41"/>
    </row>
    <row r="52773" spans="20:20" s="566" customFormat="1">
      <c r="T52773" s="41"/>
    </row>
    <row r="52774" spans="20:20" s="566" customFormat="1">
      <c r="T52774" s="41"/>
    </row>
    <row r="52775" spans="20:20" s="566" customFormat="1">
      <c r="T52775" s="41"/>
    </row>
    <row r="52776" spans="20:20" s="566" customFormat="1">
      <c r="T52776" s="41"/>
    </row>
    <row r="52777" spans="20:20" s="566" customFormat="1">
      <c r="T52777" s="41"/>
    </row>
    <row r="52778" spans="20:20" s="566" customFormat="1">
      <c r="T52778" s="41"/>
    </row>
    <row r="52779" spans="20:20" s="566" customFormat="1">
      <c r="T52779" s="41"/>
    </row>
    <row r="52780" spans="20:20" s="566" customFormat="1">
      <c r="T52780" s="41"/>
    </row>
    <row r="52781" spans="20:20" s="566" customFormat="1">
      <c r="T52781" s="41"/>
    </row>
    <row r="52782" spans="20:20" s="566" customFormat="1">
      <c r="T52782" s="41"/>
    </row>
    <row r="52783" spans="20:20" s="566" customFormat="1">
      <c r="T52783" s="41"/>
    </row>
    <row r="52784" spans="20:20" s="566" customFormat="1">
      <c r="T52784" s="41"/>
    </row>
    <row r="52785" spans="20:20" s="566" customFormat="1">
      <c r="T52785" s="41"/>
    </row>
    <row r="52786" spans="20:20" s="566" customFormat="1">
      <c r="T52786" s="41"/>
    </row>
    <row r="52787" spans="20:20" s="566" customFormat="1">
      <c r="T52787" s="41"/>
    </row>
    <row r="52788" spans="20:20" s="566" customFormat="1">
      <c r="T52788" s="41"/>
    </row>
    <row r="52789" spans="20:20" s="566" customFormat="1">
      <c r="T52789" s="41"/>
    </row>
    <row r="52790" spans="20:20" s="566" customFormat="1">
      <c r="T52790" s="41"/>
    </row>
    <row r="52791" spans="20:20" s="566" customFormat="1">
      <c r="T52791" s="41"/>
    </row>
    <row r="52792" spans="20:20" s="566" customFormat="1">
      <c r="T52792" s="41"/>
    </row>
    <row r="52793" spans="20:20" s="566" customFormat="1">
      <c r="T52793" s="41"/>
    </row>
    <row r="52794" spans="20:20" s="566" customFormat="1">
      <c r="T52794" s="41"/>
    </row>
    <row r="52795" spans="20:20" s="566" customFormat="1">
      <c r="T52795" s="41"/>
    </row>
    <row r="52796" spans="20:20" s="566" customFormat="1">
      <c r="T52796" s="41"/>
    </row>
    <row r="52797" spans="20:20" s="566" customFormat="1">
      <c r="T52797" s="41"/>
    </row>
    <row r="52798" spans="20:20" s="566" customFormat="1">
      <c r="T52798" s="41"/>
    </row>
    <row r="52799" spans="20:20" s="566" customFormat="1">
      <c r="T52799" s="41"/>
    </row>
    <row r="52800" spans="20:20" s="566" customFormat="1">
      <c r="T52800" s="41"/>
    </row>
    <row r="52801" spans="20:20" s="566" customFormat="1">
      <c r="T52801" s="41"/>
    </row>
    <row r="52802" spans="20:20" s="566" customFormat="1">
      <c r="T52802" s="41"/>
    </row>
    <row r="52803" spans="20:20" s="566" customFormat="1">
      <c r="T52803" s="41"/>
    </row>
    <row r="52804" spans="20:20" s="566" customFormat="1">
      <c r="T52804" s="41"/>
    </row>
    <row r="52805" spans="20:20" s="566" customFormat="1">
      <c r="T52805" s="41"/>
    </row>
    <row r="52806" spans="20:20" s="566" customFormat="1">
      <c r="T52806" s="41"/>
    </row>
    <row r="52807" spans="20:20" s="566" customFormat="1">
      <c r="T52807" s="41"/>
    </row>
    <row r="52808" spans="20:20" s="566" customFormat="1">
      <c r="T52808" s="41"/>
    </row>
    <row r="52809" spans="20:20" s="566" customFormat="1">
      <c r="T52809" s="41"/>
    </row>
    <row r="52810" spans="20:20" s="566" customFormat="1">
      <c r="T52810" s="41"/>
    </row>
    <row r="52811" spans="20:20" s="566" customFormat="1">
      <c r="T52811" s="41"/>
    </row>
    <row r="52812" spans="20:20" s="566" customFormat="1">
      <c r="T52812" s="41"/>
    </row>
    <row r="52813" spans="20:20" s="566" customFormat="1">
      <c r="T52813" s="41"/>
    </row>
    <row r="52814" spans="20:20" s="566" customFormat="1">
      <c r="T52814" s="41"/>
    </row>
    <row r="52815" spans="20:20" s="566" customFormat="1">
      <c r="T52815" s="41"/>
    </row>
    <row r="52816" spans="20:20" s="566" customFormat="1">
      <c r="T52816" s="41"/>
    </row>
    <row r="52817" spans="20:20" s="566" customFormat="1">
      <c r="T52817" s="41"/>
    </row>
    <row r="52818" spans="20:20" s="566" customFormat="1">
      <c r="T52818" s="41"/>
    </row>
    <row r="52819" spans="20:20" s="566" customFormat="1">
      <c r="T52819" s="41"/>
    </row>
    <row r="52820" spans="20:20" s="566" customFormat="1">
      <c r="T52820" s="41"/>
    </row>
    <row r="52821" spans="20:20" s="566" customFormat="1">
      <c r="T52821" s="41"/>
    </row>
    <row r="52822" spans="20:20" s="566" customFormat="1">
      <c r="T52822" s="41"/>
    </row>
    <row r="52823" spans="20:20" s="566" customFormat="1">
      <c r="T52823" s="41"/>
    </row>
    <row r="52824" spans="20:20" s="566" customFormat="1">
      <c r="T52824" s="41"/>
    </row>
    <row r="52825" spans="20:20" s="566" customFormat="1">
      <c r="T52825" s="41"/>
    </row>
    <row r="52826" spans="20:20" s="566" customFormat="1">
      <c r="T52826" s="41"/>
    </row>
    <row r="52827" spans="20:20" s="566" customFormat="1">
      <c r="T52827" s="41"/>
    </row>
    <row r="52828" spans="20:20" s="566" customFormat="1">
      <c r="T52828" s="41"/>
    </row>
    <row r="52829" spans="20:20" s="566" customFormat="1">
      <c r="T52829" s="41"/>
    </row>
    <row r="52830" spans="20:20" s="566" customFormat="1">
      <c r="T52830" s="41"/>
    </row>
    <row r="52831" spans="20:20" s="566" customFormat="1">
      <c r="T52831" s="41"/>
    </row>
    <row r="52832" spans="20:20" s="566" customFormat="1">
      <c r="T52832" s="41"/>
    </row>
    <row r="52833" spans="20:20" s="566" customFormat="1">
      <c r="T52833" s="41"/>
    </row>
    <row r="52834" spans="20:20" s="566" customFormat="1">
      <c r="T52834" s="41"/>
    </row>
    <row r="52835" spans="20:20" s="566" customFormat="1">
      <c r="T52835" s="41"/>
    </row>
    <row r="52836" spans="20:20" s="566" customFormat="1">
      <c r="T52836" s="41"/>
    </row>
    <row r="52837" spans="20:20" s="566" customFormat="1">
      <c r="T52837" s="41"/>
    </row>
    <row r="52838" spans="20:20" s="566" customFormat="1">
      <c r="T52838" s="41"/>
    </row>
    <row r="52839" spans="20:20" s="566" customFormat="1">
      <c r="T52839" s="41"/>
    </row>
    <row r="52840" spans="20:20" s="566" customFormat="1">
      <c r="T52840" s="41"/>
    </row>
    <row r="52841" spans="20:20" s="566" customFormat="1">
      <c r="T52841" s="41"/>
    </row>
    <row r="52842" spans="20:20" s="566" customFormat="1">
      <c r="T52842" s="41"/>
    </row>
    <row r="52843" spans="20:20" s="566" customFormat="1">
      <c r="T52843" s="41"/>
    </row>
    <row r="52844" spans="20:20" s="566" customFormat="1">
      <c r="T52844" s="41"/>
    </row>
    <row r="52845" spans="20:20" s="566" customFormat="1">
      <c r="T52845" s="41"/>
    </row>
    <row r="52846" spans="20:20" s="566" customFormat="1">
      <c r="T52846" s="41"/>
    </row>
    <row r="52847" spans="20:20" s="566" customFormat="1">
      <c r="T52847" s="41"/>
    </row>
    <row r="52848" spans="20:20" s="566" customFormat="1">
      <c r="T52848" s="41"/>
    </row>
    <row r="52849" spans="20:20" s="566" customFormat="1">
      <c r="T52849" s="41"/>
    </row>
    <row r="52850" spans="20:20" s="566" customFormat="1">
      <c r="T52850" s="41"/>
    </row>
    <row r="52851" spans="20:20" s="566" customFormat="1">
      <c r="T52851" s="41"/>
    </row>
    <row r="52852" spans="20:20" s="566" customFormat="1">
      <c r="T52852" s="41"/>
    </row>
    <row r="52853" spans="20:20" s="566" customFormat="1">
      <c r="T52853" s="41"/>
    </row>
    <row r="52854" spans="20:20" s="566" customFormat="1">
      <c r="T52854" s="41"/>
    </row>
    <row r="52855" spans="20:20" s="566" customFormat="1">
      <c r="T52855" s="41"/>
    </row>
    <row r="52856" spans="20:20" s="566" customFormat="1">
      <c r="T52856" s="41"/>
    </row>
    <row r="52857" spans="20:20" s="566" customFormat="1">
      <c r="T52857" s="41"/>
    </row>
    <row r="52858" spans="20:20" s="566" customFormat="1">
      <c r="T52858" s="41"/>
    </row>
    <row r="52859" spans="20:20" s="566" customFormat="1">
      <c r="T52859" s="41"/>
    </row>
    <row r="52860" spans="20:20" s="566" customFormat="1">
      <c r="T52860" s="41"/>
    </row>
    <row r="52861" spans="20:20" s="566" customFormat="1">
      <c r="T52861" s="41"/>
    </row>
    <row r="52862" spans="20:20" s="566" customFormat="1">
      <c r="T52862" s="41"/>
    </row>
    <row r="52863" spans="20:20" s="566" customFormat="1">
      <c r="T52863" s="41"/>
    </row>
    <row r="52864" spans="20:20" s="566" customFormat="1">
      <c r="T52864" s="41"/>
    </row>
    <row r="52865" spans="20:20" s="566" customFormat="1">
      <c r="T52865" s="41"/>
    </row>
    <row r="52866" spans="20:20" s="566" customFormat="1">
      <c r="T52866" s="41"/>
    </row>
    <row r="52867" spans="20:20" s="566" customFormat="1">
      <c r="T52867" s="41"/>
    </row>
    <row r="52868" spans="20:20" s="566" customFormat="1">
      <c r="T52868" s="41"/>
    </row>
    <row r="52869" spans="20:20" s="566" customFormat="1">
      <c r="T52869" s="41"/>
    </row>
    <row r="52870" spans="20:20" s="566" customFormat="1">
      <c r="T52870" s="41"/>
    </row>
    <row r="52871" spans="20:20" s="566" customFormat="1">
      <c r="T52871" s="41"/>
    </row>
    <row r="52872" spans="20:20" s="566" customFormat="1">
      <c r="T52872" s="41"/>
    </row>
    <row r="52873" spans="20:20" s="566" customFormat="1">
      <c r="T52873" s="41"/>
    </row>
    <row r="52874" spans="20:20" s="566" customFormat="1">
      <c r="T52874" s="41"/>
    </row>
    <row r="52875" spans="20:20" s="566" customFormat="1">
      <c r="T52875" s="41"/>
    </row>
    <row r="52876" spans="20:20" s="566" customFormat="1">
      <c r="T52876" s="41"/>
    </row>
    <row r="52877" spans="20:20" s="566" customFormat="1">
      <c r="T52877" s="41"/>
    </row>
    <row r="52878" spans="20:20" s="566" customFormat="1">
      <c r="T52878" s="41"/>
    </row>
    <row r="52879" spans="20:20" s="566" customFormat="1">
      <c r="T52879" s="41"/>
    </row>
    <row r="52880" spans="20:20" s="566" customFormat="1">
      <c r="T52880" s="41"/>
    </row>
    <row r="52881" spans="20:20" s="566" customFormat="1">
      <c r="T52881" s="41"/>
    </row>
    <row r="52882" spans="20:20" s="566" customFormat="1">
      <c r="T52882" s="41"/>
    </row>
    <row r="52883" spans="20:20" s="566" customFormat="1">
      <c r="T52883" s="41"/>
    </row>
    <row r="52884" spans="20:20" s="566" customFormat="1">
      <c r="T52884" s="41"/>
    </row>
    <row r="52885" spans="20:20" s="566" customFormat="1">
      <c r="T52885" s="41"/>
    </row>
    <row r="52886" spans="20:20" s="566" customFormat="1">
      <c r="T52886" s="41"/>
    </row>
    <row r="52887" spans="20:20" s="566" customFormat="1">
      <c r="T52887" s="41"/>
    </row>
    <row r="52888" spans="20:20" s="566" customFormat="1">
      <c r="T52888" s="41"/>
    </row>
    <row r="52889" spans="20:20" s="566" customFormat="1">
      <c r="T52889" s="41"/>
    </row>
    <row r="52890" spans="20:20" s="566" customFormat="1">
      <c r="T52890" s="41"/>
    </row>
    <row r="52891" spans="20:20" s="566" customFormat="1">
      <c r="T52891" s="41"/>
    </row>
    <row r="52892" spans="20:20" s="566" customFormat="1">
      <c r="T52892" s="41"/>
    </row>
    <row r="52893" spans="20:20" s="566" customFormat="1">
      <c r="T52893" s="41"/>
    </row>
    <row r="52894" spans="20:20" s="566" customFormat="1">
      <c r="T52894" s="41"/>
    </row>
    <row r="52895" spans="20:20" s="566" customFormat="1">
      <c r="T52895" s="41"/>
    </row>
    <row r="52896" spans="20:20" s="566" customFormat="1">
      <c r="T52896" s="41"/>
    </row>
    <row r="52897" spans="20:20" s="566" customFormat="1">
      <c r="T52897" s="41"/>
    </row>
    <row r="52898" spans="20:20" s="566" customFormat="1">
      <c r="T52898" s="41"/>
    </row>
    <row r="52899" spans="20:20" s="566" customFormat="1">
      <c r="T52899" s="41"/>
    </row>
    <row r="52900" spans="20:20" s="566" customFormat="1">
      <c r="T52900" s="41"/>
    </row>
    <row r="52901" spans="20:20" s="566" customFormat="1">
      <c r="T52901" s="41"/>
    </row>
    <row r="52902" spans="20:20" s="566" customFormat="1">
      <c r="T52902" s="41"/>
    </row>
    <row r="52903" spans="20:20" s="566" customFormat="1">
      <c r="T52903" s="41"/>
    </row>
    <row r="52904" spans="20:20" s="566" customFormat="1">
      <c r="T52904" s="41"/>
    </row>
    <row r="52905" spans="20:20" s="566" customFormat="1">
      <c r="T52905" s="41"/>
    </row>
    <row r="52906" spans="20:20" s="566" customFormat="1">
      <c r="T52906" s="41"/>
    </row>
    <row r="52907" spans="20:20" s="566" customFormat="1">
      <c r="T52907" s="41"/>
    </row>
    <row r="52908" spans="20:20" s="566" customFormat="1">
      <c r="T52908" s="41"/>
    </row>
    <row r="52909" spans="20:20" s="566" customFormat="1">
      <c r="T52909" s="41"/>
    </row>
    <row r="52910" spans="20:20" s="566" customFormat="1">
      <c r="T52910" s="41"/>
    </row>
    <row r="52911" spans="20:20" s="566" customFormat="1">
      <c r="T52911" s="41"/>
    </row>
    <row r="52912" spans="20:20" s="566" customFormat="1">
      <c r="T52912" s="41"/>
    </row>
    <row r="52913" spans="20:20" s="566" customFormat="1">
      <c r="T52913" s="41"/>
    </row>
    <row r="52914" spans="20:20" s="566" customFormat="1">
      <c r="T52914" s="41"/>
    </row>
    <row r="52915" spans="20:20" s="566" customFormat="1">
      <c r="T52915" s="41"/>
    </row>
    <row r="52916" spans="20:20" s="566" customFormat="1">
      <c r="T52916" s="41"/>
    </row>
    <row r="52917" spans="20:20" s="566" customFormat="1">
      <c r="T52917" s="41"/>
    </row>
    <row r="52918" spans="20:20" s="566" customFormat="1">
      <c r="T52918" s="41"/>
    </row>
    <row r="52919" spans="20:20" s="566" customFormat="1">
      <c r="T52919" s="41"/>
    </row>
    <row r="52920" spans="20:20" s="566" customFormat="1">
      <c r="T52920" s="41"/>
    </row>
    <row r="52921" spans="20:20" s="566" customFormat="1">
      <c r="T52921" s="41"/>
    </row>
    <row r="52922" spans="20:20" s="566" customFormat="1">
      <c r="T52922" s="41"/>
    </row>
    <row r="52923" spans="20:20" s="566" customFormat="1">
      <c r="T52923" s="41"/>
    </row>
    <row r="52924" spans="20:20" s="566" customFormat="1">
      <c r="T52924" s="41"/>
    </row>
    <row r="52925" spans="20:20" s="566" customFormat="1">
      <c r="T52925" s="41"/>
    </row>
    <row r="52926" spans="20:20" s="566" customFormat="1">
      <c r="T52926" s="41"/>
    </row>
    <row r="52927" spans="20:20" s="566" customFormat="1">
      <c r="T52927" s="41"/>
    </row>
    <row r="52928" spans="20:20" s="566" customFormat="1">
      <c r="T52928" s="41"/>
    </row>
    <row r="52929" spans="20:20" s="566" customFormat="1">
      <c r="T52929" s="41"/>
    </row>
    <row r="52930" spans="20:20" s="566" customFormat="1">
      <c r="T52930" s="41"/>
    </row>
    <row r="52931" spans="20:20" s="566" customFormat="1">
      <c r="T52931" s="41"/>
    </row>
    <row r="52932" spans="20:20" s="566" customFormat="1">
      <c r="T52932" s="41"/>
    </row>
    <row r="52933" spans="20:20" s="566" customFormat="1">
      <c r="T52933" s="41"/>
    </row>
    <row r="52934" spans="20:20" s="566" customFormat="1">
      <c r="T52934" s="41"/>
    </row>
    <row r="52935" spans="20:20" s="566" customFormat="1">
      <c r="T52935" s="41"/>
    </row>
    <row r="52936" spans="20:20" s="566" customFormat="1">
      <c r="T52936" s="41"/>
    </row>
    <row r="52937" spans="20:20" s="566" customFormat="1">
      <c r="T52937" s="41"/>
    </row>
    <row r="52938" spans="20:20" s="566" customFormat="1">
      <c r="T52938" s="41"/>
    </row>
    <row r="52939" spans="20:20" s="566" customFormat="1">
      <c r="T52939" s="41"/>
    </row>
    <row r="52940" spans="20:20" s="566" customFormat="1">
      <c r="T52940" s="41"/>
    </row>
    <row r="52941" spans="20:20" s="566" customFormat="1">
      <c r="T52941" s="41"/>
    </row>
    <row r="52942" spans="20:20" s="566" customFormat="1">
      <c r="T52942" s="41"/>
    </row>
    <row r="52943" spans="20:20" s="566" customFormat="1">
      <c r="T52943" s="41"/>
    </row>
    <row r="52944" spans="20:20" s="566" customFormat="1">
      <c r="T52944" s="41"/>
    </row>
    <row r="52945" spans="20:20" s="566" customFormat="1">
      <c r="T52945" s="41"/>
    </row>
    <row r="52946" spans="20:20" s="566" customFormat="1">
      <c r="T52946" s="41"/>
    </row>
    <row r="52947" spans="20:20" s="566" customFormat="1">
      <c r="T52947" s="41"/>
    </row>
    <row r="52948" spans="20:20" s="566" customFormat="1">
      <c r="T52948" s="41"/>
    </row>
    <row r="52949" spans="20:20" s="566" customFormat="1">
      <c r="T52949" s="41"/>
    </row>
    <row r="52950" spans="20:20" s="566" customFormat="1">
      <c r="T52950" s="41"/>
    </row>
    <row r="52951" spans="20:20" s="566" customFormat="1">
      <c r="T52951" s="41"/>
    </row>
    <row r="52952" spans="20:20" s="566" customFormat="1">
      <c r="T52952" s="41"/>
    </row>
    <row r="52953" spans="20:20" s="566" customFormat="1">
      <c r="T52953" s="41"/>
    </row>
    <row r="52954" spans="20:20" s="566" customFormat="1">
      <c r="T52954" s="41"/>
    </row>
    <row r="52955" spans="20:20" s="566" customFormat="1">
      <c r="T52955" s="41"/>
    </row>
    <row r="52956" spans="20:20" s="566" customFormat="1">
      <c r="T52956" s="41"/>
    </row>
    <row r="52957" spans="20:20" s="566" customFormat="1">
      <c r="T52957" s="41"/>
    </row>
    <row r="52958" spans="20:20" s="566" customFormat="1">
      <c r="T52958" s="41"/>
    </row>
    <row r="52959" spans="20:20" s="566" customFormat="1">
      <c r="T52959" s="41"/>
    </row>
    <row r="52960" spans="20:20" s="566" customFormat="1">
      <c r="T52960" s="41"/>
    </row>
    <row r="52961" spans="20:20" s="566" customFormat="1">
      <c r="T52961" s="41"/>
    </row>
    <row r="52962" spans="20:20" s="566" customFormat="1">
      <c r="T52962" s="41"/>
    </row>
    <row r="52963" spans="20:20" s="566" customFormat="1">
      <c r="T52963" s="41"/>
    </row>
    <row r="52964" spans="20:20" s="566" customFormat="1">
      <c r="T52964" s="41"/>
    </row>
    <row r="52965" spans="20:20" s="566" customFormat="1">
      <c r="T52965" s="41"/>
    </row>
    <row r="52966" spans="20:20" s="566" customFormat="1">
      <c r="T52966" s="41"/>
    </row>
    <row r="52967" spans="20:20" s="566" customFormat="1">
      <c r="T52967" s="41"/>
    </row>
    <row r="52968" spans="20:20" s="566" customFormat="1">
      <c r="T52968" s="41"/>
    </row>
    <row r="52969" spans="20:20" s="566" customFormat="1">
      <c r="T52969" s="41"/>
    </row>
    <row r="52970" spans="20:20" s="566" customFormat="1">
      <c r="T52970" s="41"/>
    </row>
    <row r="52971" spans="20:20" s="566" customFormat="1">
      <c r="T52971" s="41"/>
    </row>
    <row r="52972" spans="20:20" s="566" customFormat="1">
      <c r="T52972" s="41"/>
    </row>
    <row r="52973" spans="20:20" s="566" customFormat="1">
      <c r="T52973" s="41"/>
    </row>
    <row r="52974" spans="20:20" s="566" customFormat="1">
      <c r="T52974" s="41"/>
    </row>
    <row r="52975" spans="20:20" s="566" customFormat="1">
      <c r="T52975" s="41"/>
    </row>
    <row r="52976" spans="20:20" s="566" customFormat="1">
      <c r="T52976" s="41"/>
    </row>
    <row r="52977" spans="20:20" s="566" customFormat="1">
      <c r="T52977" s="41"/>
    </row>
    <row r="52978" spans="20:20" s="566" customFormat="1">
      <c r="T52978" s="41"/>
    </row>
    <row r="52979" spans="20:20" s="566" customFormat="1">
      <c r="T52979" s="41"/>
    </row>
    <row r="52980" spans="20:20" s="566" customFormat="1">
      <c r="T52980" s="41"/>
    </row>
    <row r="52981" spans="20:20" s="566" customFormat="1">
      <c r="T52981" s="41"/>
    </row>
    <row r="52982" spans="20:20" s="566" customFormat="1">
      <c r="T52982" s="41"/>
    </row>
    <row r="52983" spans="20:20" s="566" customFormat="1">
      <c r="T52983" s="41"/>
    </row>
    <row r="52984" spans="20:20" s="566" customFormat="1">
      <c r="T52984" s="41"/>
    </row>
    <row r="52985" spans="20:20" s="566" customFormat="1">
      <c r="T52985" s="41"/>
    </row>
    <row r="52986" spans="20:20" s="566" customFormat="1">
      <c r="T52986" s="41"/>
    </row>
    <row r="52987" spans="20:20" s="566" customFormat="1">
      <c r="T52987" s="41"/>
    </row>
    <row r="52988" spans="20:20" s="566" customFormat="1">
      <c r="T52988" s="41"/>
    </row>
    <row r="52989" spans="20:20" s="566" customFormat="1">
      <c r="T52989" s="41"/>
    </row>
    <row r="52990" spans="20:20" s="566" customFormat="1">
      <c r="T52990" s="41"/>
    </row>
    <row r="52991" spans="20:20" s="566" customFormat="1">
      <c r="T52991" s="41"/>
    </row>
    <row r="52992" spans="20:20" s="566" customFormat="1">
      <c r="T52992" s="41"/>
    </row>
    <row r="52993" spans="20:20" s="566" customFormat="1">
      <c r="T52993" s="41"/>
    </row>
    <row r="52994" spans="20:20" s="566" customFormat="1">
      <c r="T52994" s="41"/>
    </row>
    <row r="52995" spans="20:20" s="566" customFormat="1">
      <c r="T52995" s="41"/>
    </row>
    <row r="52996" spans="20:20" s="566" customFormat="1">
      <c r="T52996" s="41"/>
    </row>
    <row r="52997" spans="20:20" s="566" customFormat="1">
      <c r="T52997" s="41"/>
    </row>
    <row r="52998" spans="20:20" s="566" customFormat="1">
      <c r="T52998" s="41"/>
    </row>
    <row r="52999" spans="20:20" s="566" customFormat="1">
      <c r="T52999" s="41"/>
    </row>
    <row r="53000" spans="20:20" s="566" customFormat="1">
      <c r="T53000" s="41"/>
    </row>
    <row r="53001" spans="20:20" s="566" customFormat="1">
      <c r="T53001" s="41"/>
    </row>
    <row r="53002" spans="20:20" s="566" customFormat="1">
      <c r="T53002" s="41"/>
    </row>
    <row r="53003" spans="20:20" s="566" customFormat="1">
      <c r="T53003" s="41"/>
    </row>
    <row r="53004" spans="20:20" s="566" customFormat="1">
      <c r="T53004" s="41"/>
    </row>
    <row r="53005" spans="20:20" s="566" customFormat="1">
      <c r="T53005" s="41"/>
    </row>
    <row r="53006" spans="20:20" s="566" customFormat="1">
      <c r="T53006" s="41"/>
    </row>
    <row r="53007" spans="20:20" s="566" customFormat="1">
      <c r="T53007" s="41"/>
    </row>
    <row r="53008" spans="20:20" s="566" customFormat="1">
      <c r="T53008" s="41"/>
    </row>
    <row r="53009" spans="20:20" s="566" customFormat="1">
      <c r="T53009" s="41"/>
    </row>
    <row r="53010" spans="20:20" s="566" customFormat="1">
      <c r="T53010" s="41"/>
    </row>
    <row r="53011" spans="20:20" s="566" customFormat="1">
      <c r="T53011" s="41"/>
    </row>
    <row r="53012" spans="20:20" s="566" customFormat="1">
      <c r="T53012" s="41"/>
    </row>
    <row r="53013" spans="20:20" s="566" customFormat="1">
      <c r="T53013" s="41"/>
    </row>
    <row r="53014" spans="20:20" s="566" customFormat="1">
      <c r="T53014" s="41"/>
    </row>
    <row r="53015" spans="20:20" s="566" customFormat="1">
      <c r="T53015" s="41"/>
    </row>
    <row r="53016" spans="20:20" s="566" customFormat="1">
      <c r="T53016" s="41"/>
    </row>
    <row r="53017" spans="20:20" s="566" customFormat="1">
      <c r="T53017" s="41"/>
    </row>
    <row r="53018" spans="20:20" s="566" customFormat="1">
      <c r="T53018" s="41"/>
    </row>
    <row r="53019" spans="20:20" s="566" customFormat="1">
      <c r="T53019" s="41"/>
    </row>
    <row r="53020" spans="20:20" s="566" customFormat="1">
      <c r="T53020" s="41"/>
    </row>
    <row r="53021" spans="20:20" s="566" customFormat="1">
      <c r="T53021" s="41"/>
    </row>
    <row r="53022" spans="20:20" s="566" customFormat="1">
      <c r="T53022" s="41"/>
    </row>
    <row r="53023" spans="20:20" s="566" customFormat="1">
      <c r="T53023" s="41"/>
    </row>
    <row r="53024" spans="20:20" s="566" customFormat="1">
      <c r="T53024" s="41"/>
    </row>
    <row r="53025" spans="20:20" s="566" customFormat="1">
      <c r="T53025" s="41"/>
    </row>
    <row r="53026" spans="20:20" s="566" customFormat="1">
      <c r="T53026" s="41"/>
    </row>
    <row r="53027" spans="20:20" s="566" customFormat="1">
      <c r="T53027" s="41"/>
    </row>
    <row r="53028" spans="20:20" s="566" customFormat="1">
      <c r="T53028" s="41"/>
    </row>
    <row r="53029" spans="20:20" s="566" customFormat="1">
      <c r="T53029" s="41"/>
    </row>
    <row r="53030" spans="20:20" s="566" customFormat="1">
      <c r="T53030" s="41"/>
    </row>
    <row r="53031" spans="20:20" s="566" customFormat="1">
      <c r="T53031" s="41"/>
    </row>
    <row r="53032" spans="20:20" s="566" customFormat="1">
      <c r="T53032" s="41"/>
    </row>
    <row r="53033" spans="20:20" s="566" customFormat="1">
      <c r="T53033" s="41"/>
    </row>
    <row r="53034" spans="20:20" s="566" customFormat="1">
      <c r="T53034" s="41"/>
    </row>
    <row r="53035" spans="20:20" s="566" customFormat="1">
      <c r="T53035" s="41"/>
    </row>
    <row r="53036" spans="20:20" s="566" customFormat="1">
      <c r="T53036" s="41"/>
    </row>
    <row r="53037" spans="20:20" s="566" customFormat="1">
      <c r="T53037" s="41"/>
    </row>
    <row r="53038" spans="20:20" s="566" customFormat="1">
      <c r="T53038" s="41"/>
    </row>
    <row r="53039" spans="20:20" s="566" customFormat="1">
      <c r="T53039" s="41"/>
    </row>
    <row r="53040" spans="20:20" s="566" customFormat="1">
      <c r="T53040" s="41"/>
    </row>
    <row r="53041" spans="20:20" s="566" customFormat="1">
      <c r="T53041" s="41"/>
    </row>
    <row r="53042" spans="20:20" s="566" customFormat="1">
      <c r="T53042" s="41"/>
    </row>
    <row r="53043" spans="20:20" s="566" customFormat="1">
      <c r="T53043" s="41"/>
    </row>
    <row r="53044" spans="20:20" s="566" customFormat="1">
      <c r="T53044" s="41"/>
    </row>
    <row r="53045" spans="20:20" s="566" customFormat="1">
      <c r="T53045" s="41"/>
    </row>
    <row r="53046" spans="20:20" s="566" customFormat="1">
      <c r="T53046" s="41"/>
    </row>
    <row r="53047" spans="20:20" s="566" customFormat="1">
      <c r="T53047" s="41"/>
    </row>
    <row r="53048" spans="20:20" s="566" customFormat="1">
      <c r="T53048" s="41"/>
    </row>
    <row r="53049" spans="20:20" s="566" customFormat="1">
      <c r="T53049" s="41"/>
    </row>
    <row r="53050" spans="20:20" s="566" customFormat="1">
      <c r="T53050" s="41"/>
    </row>
    <row r="53051" spans="20:20" s="566" customFormat="1">
      <c r="T53051" s="41"/>
    </row>
    <row r="53052" spans="20:20" s="566" customFormat="1">
      <c r="T53052" s="41"/>
    </row>
    <row r="53053" spans="20:20" s="566" customFormat="1">
      <c r="T53053" s="41"/>
    </row>
    <row r="53054" spans="20:20" s="566" customFormat="1">
      <c r="T53054" s="41"/>
    </row>
    <row r="53055" spans="20:20" s="566" customFormat="1">
      <c r="T53055" s="41"/>
    </row>
    <row r="53056" spans="20:20" s="566" customFormat="1">
      <c r="T53056" s="41"/>
    </row>
    <row r="53057" spans="20:20" s="566" customFormat="1">
      <c r="T53057" s="41"/>
    </row>
    <row r="53058" spans="20:20" s="566" customFormat="1">
      <c r="T53058" s="41"/>
    </row>
    <row r="53059" spans="20:20" s="566" customFormat="1">
      <c r="T53059" s="41"/>
    </row>
    <row r="53060" spans="20:20" s="566" customFormat="1">
      <c r="T53060" s="41"/>
    </row>
    <row r="53061" spans="20:20" s="566" customFormat="1">
      <c r="T53061" s="41"/>
    </row>
    <row r="53062" spans="20:20" s="566" customFormat="1">
      <c r="T53062" s="41"/>
    </row>
    <row r="53063" spans="20:20" s="566" customFormat="1">
      <c r="T53063" s="41"/>
    </row>
    <row r="53064" spans="20:20" s="566" customFormat="1">
      <c r="T53064" s="41"/>
    </row>
    <row r="53065" spans="20:20" s="566" customFormat="1">
      <c r="T53065" s="41"/>
    </row>
    <row r="53066" spans="20:20" s="566" customFormat="1">
      <c r="T53066" s="41"/>
    </row>
    <row r="53067" spans="20:20" s="566" customFormat="1">
      <c r="T53067" s="41"/>
    </row>
    <row r="53068" spans="20:20" s="566" customFormat="1">
      <c r="T53068" s="41"/>
    </row>
    <row r="53069" spans="20:20" s="566" customFormat="1">
      <c r="T53069" s="41"/>
    </row>
    <row r="53070" spans="20:20" s="566" customFormat="1">
      <c r="T53070" s="41"/>
    </row>
    <row r="53071" spans="20:20" s="566" customFormat="1">
      <c r="T53071" s="41"/>
    </row>
    <row r="53072" spans="20:20" s="566" customFormat="1">
      <c r="T53072" s="41"/>
    </row>
    <row r="53073" spans="20:20" s="566" customFormat="1">
      <c r="T53073" s="41"/>
    </row>
    <row r="53074" spans="20:20" s="566" customFormat="1">
      <c r="T53074" s="41"/>
    </row>
    <row r="53075" spans="20:20" s="566" customFormat="1">
      <c r="T53075" s="41"/>
    </row>
    <row r="53076" spans="20:20" s="566" customFormat="1">
      <c r="T53076" s="41"/>
    </row>
    <row r="53077" spans="20:20" s="566" customFormat="1">
      <c r="T53077" s="41"/>
    </row>
    <row r="53078" spans="20:20" s="566" customFormat="1">
      <c r="T53078" s="41"/>
    </row>
    <row r="53079" spans="20:20" s="566" customFormat="1">
      <c r="T53079" s="41"/>
    </row>
    <row r="53080" spans="20:20" s="566" customFormat="1">
      <c r="T53080" s="41"/>
    </row>
    <row r="53081" spans="20:20" s="566" customFormat="1">
      <c r="T53081" s="41"/>
    </row>
    <row r="53082" spans="20:20" s="566" customFormat="1">
      <c r="T53082" s="41"/>
    </row>
    <row r="53083" spans="20:20" s="566" customFormat="1">
      <c r="T53083" s="41"/>
    </row>
    <row r="53084" spans="20:20" s="566" customFormat="1">
      <c r="T53084" s="41"/>
    </row>
    <row r="53085" spans="20:20" s="566" customFormat="1">
      <c r="T53085" s="41"/>
    </row>
    <row r="53086" spans="20:20" s="566" customFormat="1">
      <c r="T53086" s="41"/>
    </row>
    <row r="53087" spans="20:20" s="566" customFormat="1">
      <c r="T53087" s="41"/>
    </row>
    <row r="53088" spans="20:20" s="566" customFormat="1">
      <c r="T53088" s="41"/>
    </row>
    <row r="53089" spans="20:20" s="566" customFormat="1">
      <c r="T53089" s="41"/>
    </row>
    <row r="53090" spans="20:20" s="566" customFormat="1">
      <c r="T53090" s="41"/>
    </row>
    <row r="53091" spans="20:20" s="566" customFormat="1">
      <c r="T53091" s="41"/>
    </row>
    <row r="53092" spans="20:20" s="566" customFormat="1">
      <c r="T53092" s="41"/>
    </row>
    <row r="53093" spans="20:20" s="566" customFormat="1">
      <c r="T53093" s="41"/>
    </row>
    <row r="53094" spans="20:20" s="566" customFormat="1">
      <c r="T53094" s="41"/>
    </row>
    <row r="53095" spans="20:20" s="566" customFormat="1">
      <c r="T53095" s="41"/>
    </row>
    <row r="53096" spans="20:20" s="566" customFormat="1">
      <c r="T53096" s="41"/>
    </row>
    <row r="53097" spans="20:20" s="566" customFormat="1">
      <c r="T53097" s="41"/>
    </row>
    <row r="53098" spans="20:20" s="566" customFormat="1">
      <c r="T53098" s="41"/>
    </row>
    <row r="53099" spans="20:20" s="566" customFormat="1">
      <c r="T53099" s="41"/>
    </row>
    <row r="53100" spans="20:20" s="566" customFormat="1">
      <c r="T53100" s="41"/>
    </row>
    <row r="53101" spans="20:20" s="566" customFormat="1">
      <c r="T53101" s="41"/>
    </row>
    <row r="53102" spans="20:20" s="566" customFormat="1">
      <c r="T53102" s="41"/>
    </row>
    <row r="53103" spans="20:20" s="566" customFormat="1">
      <c r="T53103" s="41"/>
    </row>
    <row r="53104" spans="20:20" s="566" customFormat="1">
      <c r="T53104" s="41"/>
    </row>
    <row r="53105" spans="20:20" s="566" customFormat="1">
      <c r="T53105" s="41"/>
    </row>
    <row r="53106" spans="20:20" s="566" customFormat="1">
      <c r="T53106" s="41"/>
    </row>
    <row r="53107" spans="20:20" s="566" customFormat="1">
      <c r="T53107" s="41"/>
    </row>
    <row r="53108" spans="20:20" s="566" customFormat="1">
      <c r="T53108" s="41"/>
    </row>
    <row r="53109" spans="20:20" s="566" customFormat="1">
      <c r="T53109" s="41"/>
    </row>
    <row r="53110" spans="20:20" s="566" customFormat="1">
      <c r="T53110" s="41"/>
    </row>
    <row r="53111" spans="20:20" s="566" customFormat="1">
      <c r="T53111" s="41"/>
    </row>
    <row r="53112" spans="20:20" s="566" customFormat="1">
      <c r="T53112" s="41"/>
    </row>
    <row r="53113" spans="20:20" s="566" customFormat="1">
      <c r="T53113" s="41"/>
    </row>
    <row r="53114" spans="20:20" s="566" customFormat="1">
      <c r="T53114" s="41"/>
    </row>
    <row r="53115" spans="20:20" s="566" customFormat="1">
      <c r="T53115" s="41"/>
    </row>
    <row r="53116" spans="20:20" s="566" customFormat="1">
      <c r="T53116" s="41"/>
    </row>
    <row r="53117" spans="20:20" s="566" customFormat="1">
      <c r="T53117" s="41"/>
    </row>
    <row r="53118" spans="20:20" s="566" customFormat="1">
      <c r="T53118" s="41"/>
    </row>
    <row r="53119" spans="20:20" s="566" customFormat="1">
      <c r="T53119" s="41"/>
    </row>
    <row r="53120" spans="20:20" s="566" customFormat="1">
      <c r="T53120" s="41"/>
    </row>
    <row r="53121" spans="20:20" s="566" customFormat="1">
      <c r="T53121" s="41"/>
    </row>
    <row r="53122" spans="20:20" s="566" customFormat="1">
      <c r="T53122" s="41"/>
    </row>
    <row r="53123" spans="20:20" s="566" customFormat="1">
      <c r="T53123" s="41"/>
    </row>
    <row r="53124" spans="20:20" s="566" customFormat="1">
      <c r="T53124" s="41"/>
    </row>
    <row r="53125" spans="20:20" s="566" customFormat="1">
      <c r="T53125" s="41"/>
    </row>
    <row r="53126" spans="20:20" s="566" customFormat="1">
      <c r="T53126" s="41"/>
    </row>
    <row r="53127" spans="20:20" s="566" customFormat="1">
      <c r="T53127" s="41"/>
    </row>
    <row r="53128" spans="20:20" s="566" customFormat="1">
      <c r="T53128" s="41"/>
    </row>
    <row r="53129" spans="20:20" s="566" customFormat="1">
      <c r="T53129" s="41"/>
    </row>
    <row r="53130" spans="20:20" s="566" customFormat="1">
      <c r="T53130" s="41"/>
    </row>
    <row r="53131" spans="20:20" s="566" customFormat="1">
      <c r="T53131" s="41"/>
    </row>
    <row r="53132" spans="20:20" s="566" customFormat="1">
      <c r="T53132" s="41"/>
    </row>
    <row r="53133" spans="20:20" s="566" customFormat="1">
      <c r="T53133" s="41"/>
    </row>
    <row r="53134" spans="20:20" s="566" customFormat="1">
      <c r="T53134" s="41"/>
    </row>
    <row r="53135" spans="20:20" s="566" customFormat="1">
      <c r="T53135" s="41"/>
    </row>
    <row r="53136" spans="20:20" s="566" customFormat="1">
      <c r="T53136" s="41"/>
    </row>
    <row r="53137" spans="20:20" s="566" customFormat="1">
      <c r="T53137" s="41"/>
    </row>
    <row r="53138" spans="20:20" s="566" customFormat="1">
      <c r="T53138" s="41"/>
    </row>
    <row r="53139" spans="20:20" s="566" customFormat="1">
      <c r="T53139" s="41"/>
    </row>
    <row r="53140" spans="20:20" s="566" customFormat="1">
      <c r="T53140" s="41"/>
    </row>
    <row r="53141" spans="20:20" s="566" customFormat="1">
      <c r="T53141" s="41"/>
    </row>
    <row r="53142" spans="20:20" s="566" customFormat="1">
      <c r="T53142" s="41"/>
    </row>
    <row r="53143" spans="20:20" s="566" customFormat="1">
      <c r="T53143" s="41"/>
    </row>
    <row r="53144" spans="20:20" s="566" customFormat="1">
      <c r="T53144" s="41"/>
    </row>
    <row r="53145" spans="20:20" s="566" customFormat="1">
      <c r="T53145" s="41"/>
    </row>
    <row r="53146" spans="20:20" s="566" customFormat="1">
      <c r="T53146" s="41"/>
    </row>
    <row r="53147" spans="20:20" s="566" customFormat="1">
      <c r="T53147" s="41"/>
    </row>
    <row r="53148" spans="20:20" s="566" customFormat="1">
      <c r="T53148" s="41"/>
    </row>
    <row r="53149" spans="20:20" s="566" customFormat="1">
      <c r="T53149" s="41"/>
    </row>
    <row r="53150" spans="20:20" s="566" customFormat="1">
      <c r="T53150" s="41"/>
    </row>
    <row r="53151" spans="20:20" s="566" customFormat="1">
      <c r="T53151" s="41"/>
    </row>
    <row r="53152" spans="20:20" s="566" customFormat="1">
      <c r="T53152" s="41"/>
    </row>
    <row r="53153" spans="20:20" s="566" customFormat="1">
      <c r="T53153" s="41"/>
    </row>
    <row r="53154" spans="20:20" s="566" customFormat="1">
      <c r="T53154" s="41"/>
    </row>
    <row r="53155" spans="20:20" s="566" customFormat="1">
      <c r="T53155" s="41"/>
    </row>
    <row r="53156" spans="20:20" s="566" customFormat="1">
      <c r="T53156" s="41"/>
    </row>
    <row r="53157" spans="20:20" s="566" customFormat="1">
      <c r="T53157" s="41"/>
    </row>
    <row r="53158" spans="20:20" s="566" customFormat="1">
      <c r="T53158" s="41"/>
    </row>
    <row r="53159" spans="20:20" s="566" customFormat="1">
      <c r="T53159" s="41"/>
    </row>
    <row r="53160" spans="20:20" s="566" customFormat="1">
      <c r="T53160" s="41"/>
    </row>
    <row r="53161" spans="20:20" s="566" customFormat="1">
      <c r="T53161" s="41"/>
    </row>
    <row r="53162" spans="20:20" s="566" customFormat="1">
      <c r="T53162" s="41"/>
    </row>
    <row r="53163" spans="20:20" s="566" customFormat="1">
      <c r="T53163" s="41"/>
    </row>
    <row r="53164" spans="20:20" s="566" customFormat="1">
      <c r="T53164" s="41"/>
    </row>
    <row r="53165" spans="20:20" s="566" customFormat="1">
      <c r="T53165" s="41"/>
    </row>
    <row r="53166" spans="20:20" s="566" customFormat="1">
      <c r="T53166" s="41"/>
    </row>
    <row r="53167" spans="20:20" s="566" customFormat="1">
      <c r="T53167" s="41"/>
    </row>
    <row r="53168" spans="20:20" s="566" customFormat="1">
      <c r="T53168" s="41"/>
    </row>
    <row r="53169" spans="20:20" s="566" customFormat="1">
      <c r="T53169" s="41"/>
    </row>
    <row r="53170" spans="20:20" s="566" customFormat="1">
      <c r="T53170" s="41"/>
    </row>
    <row r="53171" spans="20:20" s="566" customFormat="1">
      <c r="T53171" s="41"/>
    </row>
    <row r="53172" spans="20:20" s="566" customFormat="1">
      <c r="T53172" s="41"/>
    </row>
    <row r="53173" spans="20:20" s="566" customFormat="1">
      <c r="T53173" s="41"/>
    </row>
    <row r="53174" spans="20:20" s="566" customFormat="1">
      <c r="T53174" s="41"/>
    </row>
    <row r="53175" spans="20:20" s="566" customFormat="1">
      <c r="T53175" s="41"/>
    </row>
    <row r="53176" spans="20:20" s="566" customFormat="1">
      <c r="T53176" s="41"/>
    </row>
    <row r="53177" spans="20:20" s="566" customFormat="1">
      <c r="T53177" s="41"/>
    </row>
    <row r="53178" spans="20:20" s="566" customFormat="1">
      <c r="T53178" s="41"/>
    </row>
    <row r="53179" spans="20:20" s="566" customFormat="1">
      <c r="T53179" s="41"/>
    </row>
    <row r="53180" spans="20:20" s="566" customFormat="1">
      <c r="T53180" s="41"/>
    </row>
    <row r="53181" spans="20:20" s="566" customFormat="1">
      <c r="T53181" s="41"/>
    </row>
    <row r="53182" spans="20:20" s="566" customFormat="1">
      <c r="T53182" s="41"/>
    </row>
    <row r="53183" spans="20:20" s="566" customFormat="1">
      <c r="T53183" s="41"/>
    </row>
    <row r="53184" spans="20:20" s="566" customFormat="1">
      <c r="T53184" s="41"/>
    </row>
    <row r="53185" spans="20:20" s="566" customFormat="1">
      <c r="T53185" s="41"/>
    </row>
    <row r="53186" spans="20:20" s="566" customFormat="1">
      <c r="T53186" s="41"/>
    </row>
    <row r="53187" spans="20:20" s="566" customFormat="1">
      <c r="T53187" s="41"/>
    </row>
    <row r="53188" spans="20:20" s="566" customFormat="1">
      <c r="T53188" s="41"/>
    </row>
    <row r="53189" spans="20:20" s="566" customFormat="1">
      <c r="T53189" s="41"/>
    </row>
    <row r="53190" spans="20:20" s="566" customFormat="1">
      <c r="T53190" s="41"/>
    </row>
    <row r="53191" spans="20:20" s="566" customFormat="1">
      <c r="T53191" s="41"/>
    </row>
    <row r="53192" spans="20:20" s="566" customFormat="1">
      <c r="T53192" s="41"/>
    </row>
    <row r="53193" spans="20:20" s="566" customFormat="1">
      <c r="T53193" s="41"/>
    </row>
    <row r="53194" spans="20:20" s="566" customFormat="1">
      <c r="T53194" s="41"/>
    </row>
    <row r="53195" spans="20:20" s="566" customFormat="1">
      <c r="T53195" s="41"/>
    </row>
    <row r="53196" spans="20:20" s="566" customFormat="1">
      <c r="T53196" s="41"/>
    </row>
    <row r="53197" spans="20:20" s="566" customFormat="1">
      <c r="T53197" s="41"/>
    </row>
    <row r="53198" spans="20:20" s="566" customFormat="1">
      <c r="T53198" s="41"/>
    </row>
    <row r="53199" spans="20:20" s="566" customFormat="1">
      <c r="T53199" s="41"/>
    </row>
    <row r="53200" spans="20:20" s="566" customFormat="1">
      <c r="T53200" s="41"/>
    </row>
    <row r="53201" spans="20:20" s="566" customFormat="1">
      <c r="T53201" s="41"/>
    </row>
    <row r="53202" spans="20:20" s="566" customFormat="1">
      <c r="T53202" s="41"/>
    </row>
    <row r="53203" spans="20:20" s="566" customFormat="1">
      <c r="T53203" s="41"/>
    </row>
    <row r="53204" spans="20:20" s="566" customFormat="1">
      <c r="T53204" s="41"/>
    </row>
    <row r="53205" spans="20:20" s="566" customFormat="1">
      <c r="T53205" s="41"/>
    </row>
    <row r="53206" spans="20:20" s="566" customFormat="1">
      <c r="T53206" s="41"/>
    </row>
    <row r="53207" spans="20:20" s="566" customFormat="1">
      <c r="T53207" s="41"/>
    </row>
    <row r="53208" spans="20:20" s="566" customFormat="1">
      <c r="T53208" s="41"/>
    </row>
    <row r="53209" spans="20:20" s="566" customFormat="1">
      <c r="T53209" s="41"/>
    </row>
    <row r="53210" spans="20:20" s="566" customFormat="1">
      <c r="T53210" s="41"/>
    </row>
    <row r="53211" spans="20:20" s="566" customFormat="1">
      <c r="T53211" s="41"/>
    </row>
    <row r="53212" spans="20:20" s="566" customFormat="1">
      <c r="T53212" s="41"/>
    </row>
    <row r="53213" spans="20:20" s="566" customFormat="1">
      <c r="T53213" s="41"/>
    </row>
    <row r="53214" spans="20:20" s="566" customFormat="1">
      <c r="T53214" s="41"/>
    </row>
    <row r="53215" spans="20:20" s="566" customFormat="1">
      <c r="T53215" s="41"/>
    </row>
    <row r="53216" spans="20:20" s="566" customFormat="1">
      <c r="T53216" s="41"/>
    </row>
    <row r="53217" spans="20:20" s="566" customFormat="1">
      <c r="T53217" s="41"/>
    </row>
    <row r="53218" spans="20:20" s="566" customFormat="1">
      <c r="T53218" s="41"/>
    </row>
    <row r="53219" spans="20:20" s="566" customFormat="1">
      <c r="T53219" s="41"/>
    </row>
    <row r="53220" spans="20:20" s="566" customFormat="1">
      <c r="T53220" s="41"/>
    </row>
    <row r="53221" spans="20:20" s="566" customFormat="1">
      <c r="T53221" s="41"/>
    </row>
    <row r="53222" spans="20:20" s="566" customFormat="1">
      <c r="T53222" s="41"/>
    </row>
    <row r="53223" spans="20:20" s="566" customFormat="1">
      <c r="T53223" s="41"/>
    </row>
    <row r="53224" spans="20:20" s="566" customFormat="1">
      <c r="T53224" s="41"/>
    </row>
    <row r="53225" spans="20:20" s="566" customFormat="1">
      <c r="T53225" s="41"/>
    </row>
    <row r="53226" spans="20:20" s="566" customFormat="1">
      <c r="T53226" s="41"/>
    </row>
    <row r="53227" spans="20:20" s="566" customFormat="1">
      <c r="T53227" s="41"/>
    </row>
    <row r="53228" spans="20:20" s="566" customFormat="1">
      <c r="T53228" s="41"/>
    </row>
    <row r="53229" spans="20:20" s="566" customFormat="1">
      <c r="T53229" s="41"/>
    </row>
    <row r="53230" spans="20:20" s="566" customFormat="1">
      <c r="T53230" s="41"/>
    </row>
    <row r="53231" spans="20:20" s="566" customFormat="1">
      <c r="T53231" s="41"/>
    </row>
    <row r="53232" spans="20:20" s="566" customFormat="1">
      <c r="T53232" s="41"/>
    </row>
    <row r="53233" spans="20:20" s="566" customFormat="1">
      <c r="T53233" s="41"/>
    </row>
    <row r="53234" spans="20:20" s="566" customFormat="1">
      <c r="T53234" s="41"/>
    </row>
    <row r="53235" spans="20:20" s="566" customFormat="1">
      <c r="T53235" s="41"/>
    </row>
    <row r="53236" spans="20:20" s="566" customFormat="1">
      <c r="T53236" s="41"/>
    </row>
    <row r="53237" spans="20:20" s="566" customFormat="1">
      <c r="T53237" s="41"/>
    </row>
    <row r="53238" spans="20:20" s="566" customFormat="1">
      <c r="T53238" s="41"/>
    </row>
    <row r="53239" spans="20:20" s="566" customFormat="1">
      <c r="T53239" s="41"/>
    </row>
    <row r="53240" spans="20:20" s="566" customFormat="1">
      <c r="T53240" s="41"/>
    </row>
    <row r="53241" spans="20:20" s="566" customFormat="1">
      <c r="T53241" s="41"/>
    </row>
    <row r="53242" spans="20:20" s="566" customFormat="1">
      <c r="T53242" s="41"/>
    </row>
    <row r="53243" spans="20:20" s="566" customFormat="1">
      <c r="T53243" s="41"/>
    </row>
    <row r="53244" spans="20:20" s="566" customFormat="1">
      <c r="T53244" s="41"/>
    </row>
    <row r="53245" spans="20:20" s="566" customFormat="1">
      <c r="T53245" s="41"/>
    </row>
    <row r="53246" spans="20:20" s="566" customFormat="1">
      <c r="T53246" s="41"/>
    </row>
    <row r="53247" spans="20:20" s="566" customFormat="1">
      <c r="T53247" s="41"/>
    </row>
    <row r="53248" spans="20:20" s="566" customFormat="1">
      <c r="T53248" s="41"/>
    </row>
    <row r="53249" spans="20:20" s="566" customFormat="1">
      <c r="T53249" s="41"/>
    </row>
    <row r="53250" spans="20:20" s="566" customFormat="1">
      <c r="T53250" s="41"/>
    </row>
    <row r="53251" spans="20:20" s="566" customFormat="1">
      <c r="T53251" s="41"/>
    </row>
    <row r="53252" spans="20:20" s="566" customFormat="1">
      <c r="T53252" s="41"/>
    </row>
    <row r="53253" spans="20:20" s="566" customFormat="1">
      <c r="T53253" s="41"/>
    </row>
    <row r="53254" spans="20:20" s="566" customFormat="1">
      <c r="T53254" s="41"/>
    </row>
    <row r="53255" spans="20:20" s="566" customFormat="1">
      <c r="T53255" s="41"/>
    </row>
    <row r="53256" spans="20:20" s="566" customFormat="1">
      <c r="T53256" s="41"/>
    </row>
    <row r="53257" spans="20:20" s="566" customFormat="1">
      <c r="T53257" s="41"/>
    </row>
    <row r="53258" spans="20:20" s="566" customFormat="1">
      <c r="T53258" s="41"/>
    </row>
    <row r="53259" spans="20:20" s="566" customFormat="1">
      <c r="T53259" s="41"/>
    </row>
    <row r="53260" spans="20:20" s="566" customFormat="1">
      <c r="T53260" s="41"/>
    </row>
    <row r="53261" spans="20:20" s="566" customFormat="1">
      <c r="T53261" s="41"/>
    </row>
    <row r="53262" spans="20:20" s="566" customFormat="1">
      <c r="T53262" s="41"/>
    </row>
    <row r="53263" spans="20:20" s="566" customFormat="1">
      <c r="T53263" s="41"/>
    </row>
    <row r="53264" spans="20:20" s="566" customFormat="1">
      <c r="T53264" s="41"/>
    </row>
    <row r="53265" spans="20:20" s="566" customFormat="1">
      <c r="T53265" s="41"/>
    </row>
    <row r="53266" spans="20:20" s="566" customFormat="1">
      <c r="T53266" s="41"/>
    </row>
    <row r="53267" spans="20:20" s="566" customFormat="1">
      <c r="T53267" s="41"/>
    </row>
    <row r="53268" spans="20:20" s="566" customFormat="1">
      <c r="T53268" s="41"/>
    </row>
    <row r="53269" spans="20:20" s="566" customFormat="1">
      <c r="T53269" s="41"/>
    </row>
    <row r="53270" spans="20:20" s="566" customFormat="1">
      <c r="T53270" s="41"/>
    </row>
    <row r="53271" spans="20:20" s="566" customFormat="1">
      <c r="T53271" s="41"/>
    </row>
    <row r="53272" spans="20:20" s="566" customFormat="1">
      <c r="T53272" s="41"/>
    </row>
    <row r="53273" spans="20:20" s="566" customFormat="1">
      <c r="T53273" s="41"/>
    </row>
    <row r="53274" spans="20:20" s="566" customFormat="1">
      <c r="T53274" s="41"/>
    </row>
    <row r="53275" spans="20:20" s="566" customFormat="1">
      <c r="T53275" s="41"/>
    </row>
    <row r="53276" spans="20:20" s="566" customFormat="1">
      <c r="T53276" s="41"/>
    </row>
    <row r="53277" spans="20:20" s="566" customFormat="1">
      <c r="T53277" s="41"/>
    </row>
    <row r="53278" spans="20:20" s="566" customFormat="1">
      <c r="T53278" s="41"/>
    </row>
    <row r="53279" spans="20:20" s="566" customFormat="1">
      <c r="T53279" s="41"/>
    </row>
    <row r="53280" spans="20:20" s="566" customFormat="1">
      <c r="T53280" s="41"/>
    </row>
    <row r="53281" spans="20:20" s="566" customFormat="1">
      <c r="T53281" s="41"/>
    </row>
    <row r="53282" spans="20:20" s="566" customFormat="1">
      <c r="T53282" s="41"/>
    </row>
    <row r="53283" spans="20:20" s="566" customFormat="1">
      <c r="T53283" s="41"/>
    </row>
    <row r="53284" spans="20:20" s="566" customFormat="1">
      <c r="T53284" s="41"/>
    </row>
    <row r="53285" spans="20:20" s="566" customFormat="1">
      <c r="T53285" s="41"/>
    </row>
    <row r="53286" spans="20:20" s="566" customFormat="1">
      <c r="T53286" s="41"/>
    </row>
    <row r="53287" spans="20:20" s="566" customFormat="1">
      <c r="T53287" s="41"/>
    </row>
    <row r="53288" spans="20:20" s="566" customFormat="1">
      <c r="T53288" s="41"/>
    </row>
    <row r="53289" spans="20:20" s="566" customFormat="1">
      <c r="T53289" s="41"/>
    </row>
    <row r="53290" spans="20:20" s="566" customFormat="1">
      <c r="T53290" s="41"/>
    </row>
    <row r="53291" spans="20:20" s="566" customFormat="1">
      <c r="T53291" s="41"/>
    </row>
    <row r="53292" spans="20:20" s="566" customFormat="1">
      <c r="T53292" s="41"/>
    </row>
    <row r="53293" spans="20:20" s="566" customFormat="1">
      <c r="T53293" s="41"/>
    </row>
    <row r="53294" spans="20:20" s="566" customFormat="1">
      <c r="T53294" s="41"/>
    </row>
    <row r="53295" spans="20:20" s="566" customFormat="1">
      <c r="T53295" s="41"/>
    </row>
    <row r="53296" spans="20:20" s="566" customFormat="1">
      <c r="T53296" s="41"/>
    </row>
    <row r="53297" spans="20:20" s="566" customFormat="1">
      <c r="T53297" s="41"/>
    </row>
    <row r="53298" spans="20:20" s="566" customFormat="1">
      <c r="T53298" s="41"/>
    </row>
    <row r="53299" spans="20:20" s="566" customFormat="1">
      <c r="T53299" s="41"/>
    </row>
    <row r="53300" spans="20:20" s="566" customFormat="1">
      <c r="T53300" s="41"/>
    </row>
    <row r="53301" spans="20:20" s="566" customFormat="1">
      <c r="T53301" s="41"/>
    </row>
    <row r="53302" spans="20:20" s="566" customFormat="1">
      <c r="T53302" s="41"/>
    </row>
    <row r="53303" spans="20:20" s="566" customFormat="1">
      <c r="T53303" s="41"/>
    </row>
    <row r="53304" spans="20:20" s="566" customFormat="1">
      <c r="T53304" s="41"/>
    </row>
    <row r="53305" spans="20:20" s="566" customFormat="1">
      <c r="T53305" s="41"/>
    </row>
    <row r="53306" spans="20:20" s="566" customFormat="1">
      <c r="T53306" s="41"/>
    </row>
    <row r="53307" spans="20:20" s="566" customFormat="1">
      <c r="T53307" s="41"/>
    </row>
    <row r="53308" spans="20:20" s="566" customFormat="1">
      <c r="T53308" s="41"/>
    </row>
    <row r="53309" spans="20:20" s="566" customFormat="1">
      <c r="T53309" s="41"/>
    </row>
    <row r="53310" spans="20:20" s="566" customFormat="1">
      <c r="T53310" s="41"/>
    </row>
    <row r="53311" spans="20:20" s="566" customFormat="1">
      <c r="T53311" s="41"/>
    </row>
    <row r="53312" spans="20:20" s="566" customFormat="1">
      <c r="T53312" s="41"/>
    </row>
    <row r="53313" spans="20:20" s="566" customFormat="1">
      <c r="T53313" s="41"/>
    </row>
    <row r="53314" spans="20:20" s="566" customFormat="1">
      <c r="T53314" s="41"/>
    </row>
    <row r="53315" spans="20:20" s="566" customFormat="1">
      <c r="T53315" s="41"/>
    </row>
    <row r="53316" spans="20:20" s="566" customFormat="1">
      <c r="T53316" s="41"/>
    </row>
    <row r="53317" spans="20:20" s="566" customFormat="1">
      <c r="T53317" s="41"/>
    </row>
    <row r="53318" spans="20:20" s="566" customFormat="1">
      <c r="T53318" s="41"/>
    </row>
    <row r="53319" spans="20:20" s="566" customFormat="1">
      <c r="T53319" s="41"/>
    </row>
    <row r="53320" spans="20:20" s="566" customFormat="1">
      <c r="T53320" s="41"/>
    </row>
    <row r="53321" spans="20:20" s="566" customFormat="1">
      <c r="T53321" s="41"/>
    </row>
    <row r="53322" spans="20:20" s="566" customFormat="1">
      <c r="T53322" s="41"/>
    </row>
    <row r="53323" spans="20:20" s="566" customFormat="1">
      <c r="T53323" s="41"/>
    </row>
    <row r="53324" spans="20:20" s="566" customFormat="1">
      <c r="T53324" s="41"/>
    </row>
    <row r="53325" spans="20:20" s="566" customFormat="1">
      <c r="T53325" s="41"/>
    </row>
    <row r="53326" spans="20:20" s="566" customFormat="1">
      <c r="T53326" s="41"/>
    </row>
    <row r="53327" spans="20:20" s="566" customFormat="1">
      <c r="T53327" s="41"/>
    </row>
    <row r="53328" spans="20:20" s="566" customFormat="1">
      <c r="T53328" s="41"/>
    </row>
    <row r="53329" spans="20:20" s="566" customFormat="1">
      <c r="T53329" s="41"/>
    </row>
    <row r="53330" spans="20:20" s="566" customFormat="1">
      <c r="T53330" s="41"/>
    </row>
    <row r="53331" spans="20:20" s="566" customFormat="1">
      <c r="T53331" s="41"/>
    </row>
    <row r="53332" spans="20:20" s="566" customFormat="1">
      <c r="T53332" s="41"/>
    </row>
    <row r="53333" spans="20:20" s="566" customFormat="1">
      <c r="T53333" s="41"/>
    </row>
    <row r="53334" spans="20:20" s="566" customFormat="1">
      <c r="T53334" s="41"/>
    </row>
    <row r="53335" spans="20:20" s="566" customFormat="1">
      <c r="T53335" s="41"/>
    </row>
    <row r="53336" spans="20:20" s="566" customFormat="1">
      <c r="T53336" s="41"/>
    </row>
    <row r="53337" spans="20:20" s="566" customFormat="1">
      <c r="T53337" s="41"/>
    </row>
    <row r="53338" spans="20:20" s="566" customFormat="1">
      <c r="T53338" s="41"/>
    </row>
    <row r="53339" spans="20:20" s="566" customFormat="1">
      <c r="T53339" s="41"/>
    </row>
    <row r="53340" spans="20:20" s="566" customFormat="1">
      <c r="T53340" s="41"/>
    </row>
    <row r="53341" spans="20:20" s="566" customFormat="1">
      <c r="T53341" s="41"/>
    </row>
    <row r="53342" spans="20:20" s="566" customFormat="1">
      <c r="T53342" s="41"/>
    </row>
    <row r="53343" spans="20:20" s="566" customFormat="1">
      <c r="T53343" s="41"/>
    </row>
    <row r="53344" spans="20:20" s="566" customFormat="1">
      <c r="T53344" s="41"/>
    </row>
    <row r="53345" spans="20:20" s="566" customFormat="1">
      <c r="T53345" s="41"/>
    </row>
    <row r="53346" spans="20:20" s="566" customFormat="1">
      <c r="T53346" s="41"/>
    </row>
    <row r="53347" spans="20:20" s="566" customFormat="1">
      <c r="T53347" s="41"/>
    </row>
    <row r="53348" spans="20:20" s="566" customFormat="1">
      <c r="T53348" s="41"/>
    </row>
    <row r="53349" spans="20:20" s="566" customFormat="1">
      <c r="T53349" s="41"/>
    </row>
    <row r="53350" spans="20:20" s="566" customFormat="1">
      <c r="T53350" s="41"/>
    </row>
    <row r="53351" spans="20:20" s="566" customFormat="1">
      <c r="T53351" s="41"/>
    </row>
    <row r="53352" spans="20:20" s="566" customFormat="1">
      <c r="T53352" s="41"/>
    </row>
    <row r="53353" spans="20:20" s="566" customFormat="1">
      <c r="T53353" s="41"/>
    </row>
    <row r="53354" spans="20:20" s="566" customFormat="1">
      <c r="T53354" s="41"/>
    </row>
    <row r="53355" spans="20:20" s="566" customFormat="1">
      <c r="T53355" s="41"/>
    </row>
    <row r="53356" spans="20:20" s="566" customFormat="1">
      <c r="T53356" s="41"/>
    </row>
    <row r="53357" spans="20:20" s="566" customFormat="1">
      <c r="T53357" s="41"/>
    </row>
    <row r="53358" spans="20:20" s="566" customFormat="1">
      <c r="T53358" s="41"/>
    </row>
    <row r="53359" spans="20:20" s="566" customFormat="1">
      <c r="T53359" s="41"/>
    </row>
    <row r="53360" spans="20:20" s="566" customFormat="1">
      <c r="T53360" s="41"/>
    </row>
    <row r="53361" spans="20:20" s="566" customFormat="1">
      <c r="T53361" s="41"/>
    </row>
    <row r="53362" spans="20:20" s="566" customFormat="1">
      <c r="T53362" s="41"/>
    </row>
    <row r="53363" spans="20:20" s="566" customFormat="1">
      <c r="T53363" s="41"/>
    </row>
    <row r="53364" spans="20:20" s="566" customFormat="1">
      <c r="T53364" s="41"/>
    </row>
    <row r="53365" spans="20:20" s="566" customFormat="1">
      <c r="T53365" s="41"/>
    </row>
    <row r="53366" spans="20:20" s="566" customFormat="1">
      <c r="T53366" s="41"/>
    </row>
    <row r="53367" spans="20:20" s="566" customFormat="1">
      <c r="T53367" s="41"/>
    </row>
    <row r="53368" spans="20:20" s="566" customFormat="1">
      <c r="T53368" s="41"/>
    </row>
    <row r="53369" spans="20:20" s="566" customFormat="1">
      <c r="T53369" s="41"/>
    </row>
    <row r="53370" spans="20:20" s="566" customFormat="1">
      <c r="T53370" s="41"/>
    </row>
    <row r="53371" spans="20:20" s="566" customFormat="1">
      <c r="T53371" s="41"/>
    </row>
    <row r="53372" spans="20:20" s="566" customFormat="1">
      <c r="T53372" s="41"/>
    </row>
    <row r="53373" spans="20:20" s="566" customFormat="1">
      <c r="T53373" s="41"/>
    </row>
    <row r="53374" spans="20:20" s="566" customFormat="1">
      <c r="T53374" s="41"/>
    </row>
    <row r="53375" spans="20:20" s="566" customFormat="1">
      <c r="T53375" s="41"/>
    </row>
    <row r="53376" spans="20:20" s="566" customFormat="1">
      <c r="T53376" s="41"/>
    </row>
    <row r="53377" spans="20:20" s="566" customFormat="1">
      <c r="T53377" s="41"/>
    </row>
    <row r="53378" spans="20:20" s="566" customFormat="1">
      <c r="T53378" s="41"/>
    </row>
    <row r="53379" spans="20:20" s="566" customFormat="1">
      <c r="T53379" s="41"/>
    </row>
    <row r="53380" spans="20:20" s="566" customFormat="1">
      <c r="T53380" s="41"/>
    </row>
    <row r="53381" spans="20:20" s="566" customFormat="1">
      <c r="T53381" s="41"/>
    </row>
    <row r="53382" spans="20:20" s="566" customFormat="1">
      <c r="T53382" s="41"/>
    </row>
    <row r="53383" spans="20:20" s="566" customFormat="1">
      <c r="T53383" s="41"/>
    </row>
    <row r="53384" spans="20:20" s="566" customFormat="1">
      <c r="T53384" s="41"/>
    </row>
    <row r="53385" spans="20:20" s="566" customFormat="1">
      <c r="T53385" s="41"/>
    </row>
    <row r="53386" spans="20:20" s="566" customFormat="1">
      <c r="T53386" s="41"/>
    </row>
    <row r="53387" spans="20:20" s="566" customFormat="1">
      <c r="T53387" s="41"/>
    </row>
    <row r="53388" spans="20:20" s="566" customFormat="1">
      <c r="T53388" s="41"/>
    </row>
    <row r="53389" spans="20:20" s="566" customFormat="1">
      <c r="T53389" s="41"/>
    </row>
    <row r="53390" spans="20:20" s="566" customFormat="1">
      <c r="T53390" s="41"/>
    </row>
    <row r="53391" spans="20:20" s="566" customFormat="1">
      <c r="T53391" s="41"/>
    </row>
    <row r="53392" spans="20:20" s="566" customFormat="1">
      <c r="T53392" s="41"/>
    </row>
    <row r="53393" spans="20:20" s="566" customFormat="1">
      <c r="T53393" s="41"/>
    </row>
    <row r="53394" spans="20:20" s="566" customFormat="1">
      <c r="T53394" s="41"/>
    </row>
    <row r="53395" spans="20:20" s="566" customFormat="1">
      <c r="T53395" s="41"/>
    </row>
    <row r="53396" spans="20:20" s="566" customFormat="1">
      <c r="T53396" s="41"/>
    </row>
    <row r="53397" spans="20:20" s="566" customFormat="1">
      <c r="T53397" s="41"/>
    </row>
    <row r="53398" spans="20:20" s="566" customFormat="1">
      <c r="T53398" s="41"/>
    </row>
    <row r="53399" spans="20:20" s="566" customFormat="1">
      <c r="T53399" s="41"/>
    </row>
    <row r="53400" spans="20:20" s="566" customFormat="1">
      <c r="T53400" s="41"/>
    </row>
    <row r="53401" spans="20:20" s="566" customFormat="1">
      <c r="T53401" s="41"/>
    </row>
    <row r="53402" spans="20:20" s="566" customFormat="1">
      <c r="T53402" s="41"/>
    </row>
    <row r="53403" spans="20:20" s="566" customFormat="1">
      <c r="T53403" s="41"/>
    </row>
    <row r="53404" spans="20:20" s="566" customFormat="1">
      <c r="T53404" s="41"/>
    </row>
    <row r="53405" spans="20:20" s="566" customFormat="1">
      <c r="T53405" s="41"/>
    </row>
    <row r="53406" spans="20:20" s="566" customFormat="1">
      <c r="T53406" s="41"/>
    </row>
    <row r="53407" spans="20:20" s="566" customFormat="1">
      <c r="T53407" s="41"/>
    </row>
    <row r="53408" spans="20:20" s="566" customFormat="1">
      <c r="T53408" s="41"/>
    </row>
    <row r="53409" spans="20:20" s="566" customFormat="1">
      <c r="T53409" s="41"/>
    </row>
    <row r="53410" spans="20:20" s="566" customFormat="1">
      <c r="T53410" s="41"/>
    </row>
    <row r="53411" spans="20:20" s="566" customFormat="1">
      <c r="T53411" s="41"/>
    </row>
    <row r="53412" spans="20:20" s="566" customFormat="1">
      <c r="T53412" s="41"/>
    </row>
    <row r="53413" spans="20:20" s="566" customFormat="1">
      <c r="T53413" s="41"/>
    </row>
    <row r="53414" spans="20:20" s="566" customFormat="1">
      <c r="T53414" s="41"/>
    </row>
    <row r="53415" spans="20:20" s="566" customFormat="1">
      <c r="T53415" s="41"/>
    </row>
    <row r="53416" spans="20:20" s="566" customFormat="1">
      <c r="T53416" s="41"/>
    </row>
    <row r="53417" spans="20:20" s="566" customFormat="1">
      <c r="T53417" s="41"/>
    </row>
    <row r="53418" spans="20:20" s="566" customFormat="1">
      <c r="T53418" s="41"/>
    </row>
    <row r="53419" spans="20:20" s="566" customFormat="1">
      <c r="T53419" s="41"/>
    </row>
    <row r="53420" spans="20:20" s="566" customFormat="1">
      <c r="T53420" s="41"/>
    </row>
    <row r="53421" spans="20:20" s="566" customFormat="1">
      <c r="T53421" s="41"/>
    </row>
    <row r="53422" spans="20:20" s="566" customFormat="1">
      <c r="T53422" s="41"/>
    </row>
    <row r="53423" spans="20:20" s="566" customFormat="1">
      <c r="T53423" s="41"/>
    </row>
    <row r="53424" spans="20:20" s="566" customFormat="1">
      <c r="T53424" s="41"/>
    </row>
    <row r="53425" spans="20:20" s="566" customFormat="1">
      <c r="T53425" s="41"/>
    </row>
    <row r="53426" spans="20:20" s="566" customFormat="1">
      <c r="T53426" s="41"/>
    </row>
    <row r="53427" spans="20:20" s="566" customFormat="1">
      <c r="T53427" s="41"/>
    </row>
    <row r="53428" spans="20:20" s="566" customFormat="1">
      <c r="T53428" s="41"/>
    </row>
    <row r="53429" spans="20:20" s="566" customFormat="1">
      <c r="T53429" s="41"/>
    </row>
    <row r="53430" spans="20:20" s="566" customFormat="1">
      <c r="T53430" s="41"/>
    </row>
    <row r="53431" spans="20:20" s="566" customFormat="1">
      <c r="T53431" s="41"/>
    </row>
    <row r="53432" spans="20:20" s="566" customFormat="1">
      <c r="T53432" s="41"/>
    </row>
    <row r="53433" spans="20:20" s="566" customFormat="1">
      <c r="T53433" s="41"/>
    </row>
    <row r="53434" spans="20:20" s="566" customFormat="1">
      <c r="T53434" s="41"/>
    </row>
    <row r="53435" spans="20:20" s="566" customFormat="1">
      <c r="T53435" s="41"/>
    </row>
    <row r="53436" spans="20:20" s="566" customFormat="1">
      <c r="T53436" s="41"/>
    </row>
    <row r="53437" spans="20:20" s="566" customFormat="1">
      <c r="T53437" s="41"/>
    </row>
    <row r="53438" spans="20:20" s="566" customFormat="1">
      <c r="T53438" s="41"/>
    </row>
    <row r="53439" spans="20:20" s="566" customFormat="1">
      <c r="T53439" s="41"/>
    </row>
    <row r="53440" spans="20:20" s="566" customFormat="1">
      <c r="T53440" s="41"/>
    </row>
    <row r="53441" spans="20:20" s="566" customFormat="1">
      <c r="T53441" s="41"/>
    </row>
    <row r="53442" spans="20:20" s="566" customFormat="1">
      <c r="T53442" s="41"/>
    </row>
    <row r="53443" spans="20:20" s="566" customFormat="1">
      <c r="T53443" s="41"/>
    </row>
    <row r="53444" spans="20:20" s="566" customFormat="1">
      <c r="T53444" s="41"/>
    </row>
    <row r="53445" spans="20:20" s="566" customFormat="1">
      <c r="T53445" s="41"/>
    </row>
    <row r="53446" spans="20:20" s="566" customFormat="1">
      <c r="T53446" s="41"/>
    </row>
    <row r="53447" spans="20:20" s="566" customFormat="1">
      <c r="T53447" s="41"/>
    </row>
    <row r="53448" spans="20:20" s="566" customFormat="1">
      <c r="T53448" s="41"/>
    </row>
    <row r="53449" spans="20:20" s="566" customFormat="1">
      <c r="T53449" s="41"/>
    </row>
    <row r="53450" spans="20:20" s="566" customFormat="1">
      <c r="T53450" s="41"/>
    </row>
    <row r="53451" spans="20:20" s="566" customFormat="1">
      <c r="T53451" s="41"/>
    </row>
    <row r="53452" spans="20:20" s="566" customFormat="1">
      <c r="T53452" s="41"/>
    </row>
    <row r="53453" spans="20:20" s="566" customFormat="1">
      <c r="T53453" s="41"/>
    </row>
    <row r="53454" spans="20:20" s="566" customFormat="1">
      <c r="T53454" s="41"/>
    </row>
    <row r="53455" spans="20:20" s="566" customFormat="1">
      <c r="T53455" s="41"/>
    </row>
    <row r="53456" spans="20:20" s="566" customFormat="1">
      <c r="T53456" s="41"/>
    </row>
    <row r="53457" spans="20:20" s="566" customFormat="1">
      <c r="T53457" s="41"/>
    </row>
    <row r="53458" spans="20:20" s="566" customFormat="1">
      <c r="T53458" s="41"/>
    </row>
    <row r="53459" spans="20:20" s="566" customFormat="1">
      <c r="T53459" s="41"/>
    </row>
    <row r="53460" spans="20:20" s="566" customFormat="1">
      <c r="T53460" s="41"/>
    </row>
    <row r="53461" spans="20:20" s="566" customFormat="1">
      <c r="T53461" s="41"/>
    </row>
    <row r="53462" spans="20:20" s="566" customFormat="1">
      <c r="T53462" s="41"/>
    </row>
    <row r="53463" spans="20:20" s="566" customFormat="1">
      <c r="T53463" s="41"/>
    </row>
    <row r="53464" spans="20:20" s="566" customFormat="1">
      <c r="T53464" s="41"/>
    </row>
    <row r="53465" spans="20:20" s="566" customFormat="1">
      <c r="T53465" s="41"/>
    </row>
    <row r="53466" spans="20:20" s="566" customFormat="1">
      <c r="T53466" s="41"/>
    </row>
    <row r="53467" spans="20:20" s="566" customFormat="1">
      <c r="T53467" s="41"/>
    </row>
    <row r="53468" spans="20:20" s="566" customFormat="1">
      <c r="T53468" s="41"/>
    </row>
    <row r="53469" spans="20:20" s="566" customFormat="1">
      <c r="T53469" s="41"/>
    </row>
    <row r="53470" spans="20:20" s="566" customFormat="1">
      <c r="T53470" s="41"/>
    </row>
    <row r="53471" spans="20:20" s="566" customFormat="1">
      <c r="T53471" s="41"/>
    </row>
    <row r="53472" spans="20:20" s="566" customFormat="1">
      <c r="T53472" s="41"/>
    </row>
    <row r="53473" spans="20:20" s="566" customFormat="1">
      <c r="T53473" s="41"/>
    </row>
    <row r="53474" spans="20:20" s="566" customFormat="1">
      <c r="T53474" s="41"/>
    </row>
    <row r="53475" spans="20:20" s="566" customFormat="1">
      <c r="T53475" s="41"/>
    </row>
    <row r="53476" spans="20:20" s="566" customFormat="1">
      <c r="T53476" s="41"/>
    </row>
    <row r="53477" spans="20:20" s="566" customFormat="1">
      <c r="T53477" s="41"/>
    </row>
    <row r="53478" spans="20:20" s="566" customFormat="1">
      <c r="T53478" s="41"/>
    </row>
    <row r="53479" spans="20:20" s="566" customFormat="1">
      <c r="T53479" s="41"/>
    </row>
    <row r="53480" spans="20:20" s="566" customFormat="1">
      <c r="T53480" s="41"/>
    </row>
    <row r="53481" spans="20:20" s="566" customFormat="1">
      <c r="T53481" s="41"/>
    </row>
    <row r="53482" spans="20:20" s="566" customFormat="1">
      <c r="T53482" s="41"/>
    </row>
    <row r="53483" spans="20:20" s="566" customFormat="1">
      <c r="T53483" s="41"/>
    </row>
    <row r="53484" spans="20:20" s="566" customFormat="1">
      <c r="T53484" s="41"/>
    </row>
    <row r="53485" spans="20:20" s="566" customFormat="1">
      <c r="T53485" s="41"/>
    </row>
    <row r="53486" spans="20:20" s="566" customFormat="1">
      <c r="T53486" s="41"/>
    </row>
    <row r="53487" spans="20:20" s="566" customFormat="1">
      <c r="T53487" s="41"/>
    </row>
    <row r="53488" spans="20:20" s="566" customFormat="1">
      <c r="T53488" s="41"/>
    </row>
    <row r="53489" spans="20:20" s="566" customFormat="1">
      <c r="T53489" s="41"/>
    </row>
    <row r="53490" spans="20:20" s="566" customFormat="1">
      <c r="T53490" s="41"/>
    </row>
    <row r="53491" spans="20:20" s="566" customFormat="1">
      <c r="T53491" s="41"/>
    </row>
    <row r="53492" spans="20:20" s="566" customFormat="1">
      <c r="T53492" s="41"/>
    </row>
    <row r="53493" spans="20:20" s="566" customFormat="1">
      <c r="T53493" s="41"/>
    </row>
    <row r="53494" spans="20:20" s="566" customFormat="1">
      <c r="T53494" s="41"/>
    </row>
    <row r="53495" spans="20:20" s="566" customFormat="1">
      <c r="T53495" s="41"/>
    </row>
    <row r="53496" spans="20:20" s="566" customFormat="1">
      <c r="T53496" s="41"/>
    </row>
    <row r="53497" spans="20:20" s="566" customFormat="1">
      <c r="T53497" s="41"/>
    </row>
    <row r="53498" spans="20:20" s="566" customFormat="1">
      <c r="T53498" s="41"/>
    </row>
    <row r="53499" spans="20:20" s="566" customFormat="1">
      <c r="T53499" s="41"/>
    </row>
    <row r="53500" spans="20:20" s="566" customFormat="1">
      <c r="T53500" s="41"/>
    </row>
    <row r="53501" spans="20:20" s="566" customFormat="1">
      <c r="T53501" s="41"/>
    </row>
    <row r="53502" spans="20:20" s="566" customFormat="1">
      <c r="T53502" s="41"/>
    </row>
    <row r="53503" spans="20:20" s="566" customFormat="1">
      <c r="T53503" s="41"/>
    </row>
    <row r="53504" spans="20:20" s="566" customFormat="1">
      <c r="T53504" s="41"/>
    </row>
    <row r="53505" spans="20:20" s="566" customFormat="1">
      <c r="T53505" s="41"/>
    </row>
    <row r="53506" spans="20:20" s="566" customFormat="1">
      <c r="T53506" s="41"/>
    </row>
    <row r="53507" spans="20:20" s="566" customFormat="1">
      <c r="T53507" s="41"/>
    </row>
    <row r="53508" spans="20:20" s="566" customFormat="1">
      <c r="T53508" s="41"/>
    </row>
    <row r="53509" spans="20:20" s="566" customFormat="1">
      <c r="T53509" s="41"/>
    </row>
    <row r="53510" spans="20:20" s="566" customFormat="1">
      <c r="T53510" s="41"/>
    </row>
    <row r="53511" spans="20:20" s="566" customFormat="1">
      <c r="T53511" s="41"/>
    </row>
    <row r="53512" spans="20:20" s="566" customFormat="1">
      <c r="T53512" s="41"/>
    </row>
    <row r="53513" spans="20:20" s="566" customFormat="1">
      <c r="T53513" s="41"/>
    </row>
    <row r="53514" spans="20:20" s="566" customFormat="1">
      <c r="T53514" s="41"/>
    </row>
    <row r="53515" spans="20:20" s="566" customFormat="1">
      <c r="T53515" s="41"/>
    </row>
    <row r="53516" spans="20:20" s="566" customFormat="1">
      <c r="T53516" s="41"/>
    </row>
    <row r="53517" spans="20:20" s="566" customFormat="1">
      <c r="T53517" s="41"/>
    </row>
    <row r="53518" spans="20:20" s="566" customFormat="1">
      <c r="T53518" s="41"/>
    </row>
    <row r="53519" spans="20:20" s="566" customFormat="1">
      <c r="T53519" s="41"/>
    </row>
    <row r="53520" spans="20:20" s="566" customFormat="1">
      <c r="T53520" s="41"/>
    </row>
    <row r="53521" spans="20:20" s="566" customFormat="1">
      <c r="T53521" s="41"/>
    </row>
    <row r="53522" spans="20:20" s="566" customFormat="1">
      <c r="T53522" s="41"/>
    </row>
    <row r="53523" spans="20:20" s="566" customFormat="1">
      <c r="T53523" s="41"/>
    </row>
    <row r="53524" spans="20:20" s="566" customFormat="1">
      <c r="T53524" s="41"/>
    </row>
    <row r="53525" spans="20:20" s="566" customFormat="1">
      <c r="T53525" s="41"/>
    </row>
    <row r="53526" spans="20:20" s="566" customFormat="1">
      <c r="T53526" s="41"/>
    </row>
    <row r="53527" spans="20:20" s="566" customFormat="1">
      <c r="T53527" s="41"/>
    </row>
    <row r="53528" spans="20:20" s="566" customFormat="1">
      <c r="T53528" s="41"/>
    </row>
    <row r="53529" spans="20:20" s="566" customFormat="1">
      <c r="T53529" s="41"/>
    </row>
    <row r="53530" spans="20:20" s="566" customFormat="1">
      <c r="T53530" s="41"/>
    </row>
    <row r="53531" spans="20:20" s="566" customFormat="1">
      <c r="T53531" s="41"/>
    </row>
    <row r="53532" spans="20:20" s="566" customFormat="1">
      <c r="T53532" s="41"/>
    </row>
    <row r="53533" spans="20:20" s="566" customFormat="1">
      <c r="T53533" s="41"/>
    </row>
    <row r="53534" spans="20:20" s="566" customFormat="1">
      <c r="T53534" s="41"/>
    </row>
    <row r="53535" spans="20:20" s="566" customFormat="1">
      <c r="T53535" s="41"/>
    </row>
    <row r="53536" spans="20:20" s="566" customFormat="1">
      <c r="T53536" s="41"/>
    </row>
    <row r="53537" spans="20:20" s="566" customFormat="1">
      <c r="T53537" s="41"/>
    </row>
    <row r="53538" spans="20:20" s="566" customFormat="1">
      <c r="T53538" s="41"/>
    </row>
    <row r="53539" spans="20:20" s="566" customFormat="1">
      <c r="T53539" s="41"/>
    </row>
    <row r="53540" spans="20:20" s="566" customFormat="1">
      <c r="T53540" s="41"/>
    </row>
    <row r="53541" spans="20:20" s="566" customFormat="1">
      <c r="T53541" s="41"/>
    </row>
    <row r="53542" spans="20:20" s="566" customFormat="1">
      <c r="T53542" s="41"/>
    </row>
    <row r="53543" spans="20:20" s="566" customFormat="1">
      <c r="T53543" s="41"/>
    </row>
    <row r="53544" spans="20:20" s="566" customFormat="1">
      <c r="T53544" s="41"/>
    </row>
    <row r="53545" spans="20:20" s="566" customFormat="1">
      <c r="T53545" s="41"/>
    </row>
    <row r="53546" spans="20:20" s="566" customFormat="1">
      <c r="T53546" s="41"/>
    </row>
    <row r="53547" spans="20:20" s="566" customFormat="1">
      <c r="T53547" s="41"/>
    </row>
    <row r="53548" spans="20:20" s="566" customFormat="1">
      <c r="T53548" s="41"/>
    </row>
    <row r="53549" spans="20:20" s="566" customFormat="1">
      <c r="T53549" s="41"/>
    </row>
    <row r="53550" spans="20:20" s="566" customFormat="1">
      <c r="T53550" s="41"/>
    </row>
    <row r="53551" spans="20:20" s="566" customFormat="1">
      <c r="T53551" s="41"/>
    </row>
    <row r="53552" spans="20:20" s="566" customFormat="1">
      <c r="T53552" s="41"/>
    </row>
    <row r="53553" spans="20:20" s="566" customFormat="1">
      <c r="T53553" s="41"/>
    </row>
    <row r="53554" spans="20:20" s="566" customFormat="1">
      <c r="T53554" s="41"/>
    </row>
    <row r="53555" spans="20:20" s="566" customFormat="1">
      <c r="T53555" s="41"/>
    </row>
    <row r="53556" spans="20:20" s="566" customFormat="1">
      <c r="T53556" s="41"/>
    </row>
    <row r="53557" spans="20:20" s="566" customFormat="1">
      <c r="T53557" s="41"/>
    </row>
    <row r="53558" spans="20:20" s="566" customFormat="1">
      <c r="T53558" s="41"/>
    </row>
    <row r="53559" spans="20:20" s="566" customFormat="1">
      <c r="T53559" s="41"/>
    </row>
    <row r="53560" spans="20:20" s="566" customFormat="1">
      <c r="T53560" s="41"/>
    </row>
    <row r="53561" spans="20:20" s="566" customFormat="1">
      <c r="T53561" s="41"/>
    </row>
    <row r="53562" spans="20:20" s="566" customFormat="1">
      <c r="T53562" s="41"/>
    </row>
    <row r="53563" spans="20:20" s="566" customFormat="1">
      <c r="T53563" s="41"/>
    </row>
    <row r="53564" spans="20:20" s="566" customFormat="1">
      <c r="T53564" s="41"/>
    </row>
    <row r="53565" spans="20:20" s="566" customFormat="1">
      <c r="T53565" s="41"/>
    </row>
    <row r="53566" spans="20:20" s="566" customFormat="1">
      <c r="T53566" s="41"/>
    </row>
    <row r="53567" spans="20:20" s="566" customFormat="1">
      <c r="T53567" s="41"/>
    </row>
    <row r="53568" spans="20:20" s="566" customFormat="1">
      <c r="T53568" s="41"/>
    </row>
    <row r="53569" spans="20:20" s="566" customFormat="1">
      <c r="T53569" s="41"/>
    </row>
    <row r="53570" spans="20:20" s="566" customFormat="1">
      <c r="T53570" s="41"/>
    </row>
    <row r="53571" spans="20:20" s="566" customFormat="1">
      <c r="T53571" s="41"/>
    </row>
    <row r="53572" spans="20:20" s="566" customFormat="1">
      <c r="T53572" s="41"/>
    </row>
    <row r="53573" spans="20:20" s="566" customFormat="1">
      <c r="T53573" s="41"/>
    </row>
    <row r="53574" spans="20:20" s="566" customFormat="1">
      <c r="T53574" s="41"/>
    </row>
    <row r="53575" spans="20:20" s="566" customFormat="1">
      <c r="T53575" s="41"/>
    </row>
    <row r="53576" spans="20:20" s="566" customFormat="1">
      <c r="T53576" s="41"/>
    </row>
    <row r="53577" spans="20:20" s="566" customFormat="1">
      <c r="T53577" s="41"/>
    </row>
    <row r="53578" spans="20:20" s="566" customFormat="1">
      <c r="T53578" s="41"/>
    </row>
    <row r="53579" spans="20:20" s="566" customFormat="1">
      <c r="T53579" s="41"/>
    </row>
    <row r="53580" spans="20:20" s="566" customFormat="1">
      <c r="T53580" s="41"/>
    </row>
    <row r="53581" spans="20:20" s="566" customFormat="1">
      <c r="T53581" s="41"/>
    </row>
    <row r="53582" spans="20:20" s="566" customFormat="1">
      <c r="T53582" s="41"/>
    </row>
    <row r="53583" spans="20:20" s="566" customFormat="1">
      <c r="T53583" s="41"/>
    </row>
    <row r="53584" spans="20:20" s="566" customFormat="1">
      <c r="T53584" s="41"/>
    </row>
    <row r="53585" spans="20:20" s="566" customFormat="1">
      <c r="T53585" s="41"/>
    </row>
    <row r="53586" spans="20:20" s="566" customFormat="1">
      <c r="T53586" s="41"/>
    </row>
    <row r="53587" spans="20:20" s="566" customFormat="1">
      <c r="T53587" s="41"/>
    </row>
    <row r="53588" spans="20:20" s="566" customFormat="1">
      <c r="T53588" s="41"/>
    </row>
    <row r="53589" spans="20:20" s="566" customFormat="1">
      <c r="T53589" s="41"/>
    </row>
    <row r="53590" spans="20:20" s="566" customFormat="1">
      <c r="T53590" s="41"/>
    </row>
    <row r="53591" spans="20:20" s="566" customFormat="1">
      <c r="T53591" s="41"/>
    </row>
    <row r="53592" spans="20:20" s="566" customFormat="1">
      <c r="T53592" s="41"/>
    </row>
    <row r="53593" spans="20:20" s="566" customFormat="1">
      <c r="T53593" s="41"/>
    </row>
    <row r="53594" spans="20:20" s="566" customFormat="1">
      <c r="T53594" s="41"/>
    </row>
    <row r="53595" spans="20:20" s="566" customFormat="1">
      <c r="T53595" s="41"/>
    </row>
    <row r="53596" spans="20:20" s="566" customFormat="1">
      <c r="T53596" s="41"/>
    </row>
    <row r="53597" spans="20:20" s="566" customFormat="1">
      <c r="T53597" s="41"/>
    </row>
    <row r="53598" spans="20:20" s="566" customFormat="1">
      <c r="T53598" s="41"/>
    </row>
    <row r="53599" spans="20:20" s="566" customFormat="1">
      <c r="T53599" s="41"/>
    </row>
    <row r="53600" spans="20:20" s="566" customFormat="1">
      <c r="T53600" s="41"/>
    </row>
    <row r="53601" spans="20:20" s="566" customFormat="1">
      <c r="T53601" s="41"/>
    </row>
    <row r="53602" spans="20:20" s="566" customFormat="1">
      <c r="T53602" s="41"/>
    </row>
    <row r="53603" spans="20:20" s="566" customFormat="1">
      <c r="T53603" s="41"/>
    </row>
    <row r="53604" spans="20:20" s="566" customFormat="1">
      <c r="T53604" s="41"/>
    </row>
    <row r="53605" spans="20:20" s="566" customFormat="1">
      <c r="T53605" s="41"/>
    </row>
    <row r="53606" spans="20:20" s="566" customFormat="1">
      <c r="T53606" s="41"/>
    </row>
    <row r="53607" spans="20:20" s="566" customFormat="1">
      <c r="T53607" s="41"/>
    </row>
    <row r="53608" spans="20:20" s="566" customFormat="1">
      <c r="T53608" s="41"/>
    </row>
    <row r="53609" spans="20:20" s="566" customFormat="1">
      <c r="T53609" s="41"/>
    </row>
    <row r="53610" spans="20:20" s="566" customFormat="1">
      <c r="T53610" s="41"/>
    </row>
    <row r="53611" spans="20:20" s="566" customFormat="1">
      <c r="T53611" s="41"/>
    </row>
    <row r="53612" spans="20:20" s="566" customFormat="1">
      <c r="T53612" s="41"/>
    </row>
    <row r="53613" spans="20:20" s="566" customFormat="1">
      <c r="T53613" s="41"/>
    </row>
    <row r="53614" spans="20:20" s="566" customFormat="1">
      <c r="T53614" s="41"/>
    </row>
    <row r="53615" spans="20:20" s="566" customFormat="1">
      <c r="T53615" s="41"/>
    </row>
    <row r="53616" spans="20:20" s="566" customFormat="1">
      <c r="T53616" s="41"/>
    </row>
    <row r="53617" spans="20:20" s="566" customFormat="1">
      <c r="T53617" s="41"/>
    </row>
    <row r="53618" spans="20:20" s="566" customFormat="1">
      <c r="T53618" s="41"/>
    </row>
    <row r="53619" spans="20:20" s="566" customFormat="1">
      <c r="T53619" s="41"/>
    </row>
    <row r="53620" spans="20:20" s="566" customFormat="1">
      <c r="T53620" s="41"/>
    </row>
    <row r="53621" spans="20:20" s="566" customFormat="1">
      <c r="T53621" s="41"/>
    </row>
    <row r="53622" spans="20:20" s="566" customFormat="1">
      <c r="T53622" s="41"/>
    </row>
    <row r="53623" spans="20:20" s="566" customFormat="1">
      <c r="T53623" s="41"/>
    </row>
    <row r="53624" spans="20:20" s="566" customFormat="1">
      <c r="T53624" s="41"/>
    </row>
    <row r="53625" spans="20:20" s="566" customFormat="1">
      <c r="T53625" s="41"/>
    </row>
    <row r="53626" spans="20:20" s="566" customFormat="1">
      <c r="T53626" s="41"/>
    </row>
    <row r="53627" spans="20:20" s="566" customFormat="1">
      <c r="T53627" s="41"/>
    </row>
    <row r="53628" spans="20:20" s="566" customFormat="1">
      <c r="T53628" s="41"/>
    </row>
    <row r="53629" spans="20:20" s="566" customFormat="1">
      <c r="T53629" s="41"/>
    </row>
    <row r="53630" spans="20:20" s="566" customFormat="1">
      <c r="T53630" s="41"/>
    </row>
    <row r="53631" spans="20:20" s="566" customFormat="1">
      <c r="T53631" s="41"/>
    </row>
    <row r="53632" spans="20:20" s="566" customFormat="1">
      <c r="T53632" s="41"/>
    </row>
    <row r="53633" spans="20:20" s="566" customFormat="1">
      <c r="T53633" s="41"/>
    </row>
    <row r="53634" spans="20:20" s="566" customFormat="1">
      <c r="T53634" s="41"/>
    </row>
    <row r="53635" spans="20:20" s="566" customFormat="1">
      <c r="T53635" s="41"/>
    </row>
    <row r="53636" spans="20:20" s="566" customFormat="1">
      <c r="T53636" s="41"/>
    </row>
    <row r="53637" spans="20:20" s="566" customFormat="1">
      <c r="T53637" s="41"/>
    </row>
    <row r="53638" spans="20:20" s="566" customFormat="1">
      <c r="T53638" s="41"/>
    </row>
    <row r="53639" spans="20:20" s="566" customFormat="1">
      <c r="T53639" s="41"/>
    </row>
    <row r="53640" spans="20:20" s="566" customFormat="1">
      <c r="T53640" s="41"/>
    </row>
    <row r="53641" spans="20:20" s="566" customFormat="1">
      <c r="T53641" s="41"/>
    </row>
    <row r="53642" spans="20:20" s="566" customFormat="1">
      <c r="T53642" s="41"/>
    </row>
    <row r="53643" spans="20:20" s="566" customFormat="1">
      <c r="T53643" s="41"/>
    </row>
    <row r="53644" spans="20:20" s="566" customFormat="1">
      <c r="T53644" s="41"/>
    </row>
    <row r="53645" spans="20:20" s="566" customFormat="1">
      <c r="T53645" s="41"/>
    </row>
    <row r="53646" spans="20:20" s="566" customFormat="1">
      <c r="T53646" s="41"/>
    </row>
    <row r="53647" spans="20:20" s="566" customFormat="1">
      <c r="T53647" s="41"/>
    </row>
    <row r="53648" spans="20:20" s="566" customFormat="1">
      <c r="T53648" s="41"/>
    </row>
    <row r="53649" spans="20:20" s="566" customFormat="1">
      <c r="T53649" s="41"/>
    </row>
    <row r="53650" spans="20:20" s="566" customFormat="1">
      <c r="T53650" s="41"/>
    </row>
    <row r="53651" spans="20:20" s="566" customFormat="1">
      <c r="T53651" s="41"/>
    </row>
    <row r="53652" spans="20:20" s="566" customFormat="1">
      <c r="T53652" s="41"/>
    </row>
    <row r="53653" spans="20:20" s="566" customFormat="1">
      <c r="T53653" s="41"/>
    </row>
    <row r="53654" spans="20:20" s="566" customFormat="1">
      <c r="T53654" s="41"/>
    </row>
    <row r="53655" spans="20:20" s="566" customFormat="1">
      <c r="T53655" s="41"/>
    </row>
    <row r="53656" spans="20:20" s="566" customFormat="1">
      <c r="T53656" s="41"/>
    </row>
    <row r="53657" spans="20:20" s="566" customFormat="1">
      <c r="T53657" s="41"/>
    </row>
    <row r="53658" spans="20:20" s="566" customFormat="1">
      <c r="T53658" s="41"/>
    </row>
    <row r="53659" spans="20:20" s="566" customFormat="1">
      <c r="T53659" s="41"/>
    </row>
    <row r="53660" spans="20:20" s="566" customFormat="1">
      <c r="T53660" s="41"/>
    </row>
    <row r="53661" spans="20:20" s="566" customFormat="1">
      <c r="T53661" s="41"/>
    </row>
    <row r="53662" spans="20:20" s="566" customFormat="1">
      <c r="T53662" s="41"/>
    </row>
    <row r="53663" spans="20:20" s="566" customFormat="1">
      <c r="T53663" s="41"/>
    </row>
    <row r="53664" spans="20:20" s="566" customFormat="1">
      <c r="T53664" s="41"/>
    </row>
    <row r="53665" spans="20:20" s="566" customFormat="1">
      <c r="T53665" s="41"/>
    </row>
    <row r="53666" spans="20:20" s="566" customFormat="1">
      <c r="T53666" s="41"/>
    </row>
    <row r="53667" spans="20:20" s="566" customFormat="1">
      <c r="T53667" s="41"/>
    </row>
    <row r="53668" spans="20:20" s="566" customFormat="1">
      <c r="T53668" s="41"/>
    </row>
    <row r="53669" spans="20:20" s="566" customFormat="1">
      <c r="T53669" s="41"/>
    </row>
    <row r="53670" spans="20:20" s="566" customFormat="1">
      <c r="T53670" s="41"/>
    </row>
    <row r="53671" spans="20:20" s="566" customFormat="1">
      <c r="T53671" s="41"/>
    </row>
    <row r="53672" spans="20:20" s="566" customFormat="1">
      <c r="T53672" s="41"/>
    </row>
    <row r="53673" spans="20:20" s="566" customFormat="1">
      <c r="T53673" s="41"/>
    </row>
    <row r="53674" spans="20:20" s="566" customFormat="1">
      <c r="T53674" s="41"/>
    </row>
    <row r="53675" spans="20:20" s="566" customFormat="1">
      <c r="T53675" s="41"/>
    </row>
    <row r="53676" spans="20:20" s="566" customFormat="1">
      <c r="T53676" s="41"/>
    </row>
    <row r="53677" spans="20:20" s="566" customFormat="1">
      <c r="T53677" s="41"/>
    </row>
    <row r="53678" spans="20:20" s="566" customFormat="1">
      <c r="T53678" s="41"/>
    </row>
    <row r="53679" spans="20:20" s="566" customFormat="1">
      <c r="T53679" s="41"/>
    </row>
    <row r="53680" spans="20:20" s="566" customFormat="1">
      <c r="T53680" s="41"/>
    </row>
    <row r="53681" spans="20:20" s="566" customFormat="1">
      <c r="T53681" s="41"/>
    </row>
    <row r="53682" spans="20:20" s="566" customFormat="1">
      <c r="T53682" s="41"/>
    </row>
    <row r="53683" spans="20:20" s="566" customFormat="1">
      <c r="T53683" s="41"/>
    </row>
    <row r="53684" spans="20:20" s="566" customFormat="1">
      <c r="T53684" s="41"/>
    </row>
    <row r="53685" spans="20:20" s="566" customFormat="1">
      <c r="T53685" s="41"/>
    </row>
    <row r="53686" spans="20:20" s="566" customFormat="1">
      <c r="T53686" s="41"/>
    </row>
    <row r="53687" spans="20:20" s="566" customFormat="1">
      <c r="T53687" s="41"/>
    </row>
    <row r="53688" spans="20:20" s="566" customFormat="1">
      <c r="T53688" s="41"/>
    </row>
    <row r="53689" spans="20:20" s="566" customFormat="1">
      <c r="T53689" s="41"/>
    </row>
    <row r="53690" spans="20:20" s="566" customFormat="1">
      <c r="T53690" s="41"/>
    </row>
    <row r="53691" spans="20:20" s="566" customFormat="1">
      <c r="T53691" s="41"/>
    </row>
    <row r="53692" spans="20:20" s="566" customFormat="1">
      <c r="T53692" s="41"/>
    </row>
    <row r="53693" spans="20:20" s="566" customFormat="1">
      <c r="T53693" s="41"/>
    </row>
    <row r="53694" spans="20:20" s="566" customFormat="1">
      <c r="T53694" s="41"/>
    </row>
    <row r="53695" spans="20:20" s="566" customFormat="1">
      <c r="T53695" s="41"/>
    </row>
    <row r="53696" spans="20:20" s="566" customFormat="1">
      <c r="T53696" s="41"/>
    </row>
    <row r="53697" spans="20:20" s="566" customFormat="1">
      <c r="T53697" s="41"/>
    </row>
    <row r="53698" spans="20:20" s="566" customFormat="1">
      <c r="T53698" s="41"/>
    </row>
    <row r="53699" spans="20:20" s="566" customFormat="1">
      <c r="T53699" s="41"/>
    </row>
    <row r="53700" spans="20:20" s="566" customFormat="1">
      <c r="T53700" s="41"/>
    </row>
    <row r="53701" spans="20:20" s="566" customFormat="1">
      <c r="T53701" s="41"/>
    </row>
    <row r="53702" spans="20:20" s="566" customFormat="1">
      <c r="T53702" s="41"/>
    </row>
    <row r="53703" spans="20:20" s="566" customFormat="1">
      <c r="T53703" s="41"/>
    </row>
    <row r="53704" spans="20:20" s="566" customFormat="1">
      <c r="T53704" s="41"/>
    </row>
    <row r="53705" spans="20:20" s="566" customFormat="1">
      <c r="T53705" s="41"/>
    </row>
    <row r="53706" spans="20:20" s="566" customFormat="1">
      <c r="T53706" s="41"/>
    </row>
    <row r="53707" spans="20:20" s="566" customFormat="1">
      <c r="T53707" s="41"/>
    </row>
    <row r="53708" spans="20:20" s="566" customFormat="1">
      <c r="T53708" s="41"/>
    </row>
    <row r="53709" spans="20:20" s="566" customFormat="1">
      <c r="T53709" s="41"/>
    </row>
    <row r="53710" spans="20:20" s="566" customFormat="1">
      <c r="T53710" s="41"/>
    </row>
    <row r="53711" spans="20:20" s="566" customFormat="1">
      <c r="T53711" s="41"/>
    </row>
    <row r="53712" spans="20:20" s="566" customFormat="1">
      <c r="T53712" s="41"/>
    </row>
    <row r="53713" spans="20:20" s="566" customFormat="1">
      <c r="T53713" s="41"/>
    </row>
    <row r="53714" spans="20:20" s="566" customFormat="1">
      <c r="T53714" s="41"/>
    </row>
    <row r="53715" spans="20:20" s="566" customFormat="1">
      <c r="T53715" s="41"/>
    </row>
    <row r="53716" spans="20:20" s="566" customFormat="1">
      <c r="T53716" s="41"/>
    </row>
    <row r="53717" spans="20:20" s="566" customFormat="1">
      <c r="T53717" s="41"/>
    </row>
    <row r="53718" spans="20:20" s="566" customFormat="1">
      <c r="T53718" s="41"/>
    </row>
    <row r="53719" spans="20:20" s="566" customFormat="1">
      <c r="T53719" s="41"/>
    </row>
    <row r="53720" spans="20:20" s="566" customFormat="1">
      <c r="T53720" s="41"/>
    </row>
    <row r="53721" spans="20:20" s="566" customFormat="1">
      <c r="T53721" s="41"/>
    </row>
    <row r="53722" spans="20:20" s="566" customFormat="1">
      <c r="T53722" s="41"/>
    </row>
    <row r="53723" spans="20:20" s="566" customFormat="1">
      <c r="T53723" s="41"/>
    </row>
    <row r="53724" spans="20:20" s="566" customFormat="1">
      <c r="T53724" s="41"/>
    </row>
    <row r="53725" spans="20:20" s="566" customFormat="1">
      <c r="T53725" s="41"/>
    </row>
    <row r="53726" spans="20:20" s="566" customFormat="1">
      <c r="T53726" s="41"/>
    </row>
    <row r="53727" spans="20:20" s="566" customFormat="1">
      <c r="T53727" s="41"/>
    </row>
    <row r="53728" spans="20:20" s="566" customFormat="1">
      <c r="T53728" s="41"/>
    </row>
    <row r="53729" spans="20:20" s="566" customFormat="1">
      <c r="T53729" s="41"/>
    </row>
    <row r="53730" spans="20:20" s="566" customFormat="1">
      <c r="T53730" s="41"/>
    </row>
    <row r="53731" spans="20:20" s="566" customFormat="1">
      <c r="T53731" s="41"/>
    </row>
    <row r="53732" spans="20:20" s="566" customFormat="1">
      <c r="T53732" s="41"/>
    </row>
    <row r="53733" spans="20:20" s="566" customFormat="1">
      <c r="T53733" s="41"/>
    </row>
    <row r="53734" spans="20:20" s="566" customFormat="1">
      <c r="T53734" s="41"/>
    </row>
    <row r="53735" spans="20:20" s="566" customFormat="1">
      <c r="T53735" s="41"/>
    </row>
    <row r="53736" spans="20:20" s="566" customFormat="1">
      <c r="T53736" s="41"/>
    </row>
    <row r="53737" spans="20:20" s="566" customFormat="1">
      <c r="T53737" s="41"/>
    </row>
    <row r="53738" spans="20:20" s="566" customFormat="1">
      <c r="T53738" s="41"/>
    </row>
    <row r="53739" spans="20:20" s="566" customFormat="1">
      <c r="T53739" s="41"/>
    </row>
    <row r="53740" spans="20:20" s="566" customFormat="1">
      <c r="T53740" s="41"/>
    </row>
    <row r="53741" spans="20:20" s="566" customFormat="1">
      <c r="T53741" s="41"/>
    </row>
    <row r="53742" spans="20:20" s="566" customFormat="1">
      <c r="T53742" s="41"/>
    </row>
    <row r="53743" spans="20:20" s="566" customFormat="1">
      <c r="T53743" s="41"/>
    </row>
    <row r="53744" spans="20:20" s="566" customFormat="1">
      <c r="T53744" s="41"/>
    </row>
    <row r="53745" spans="20:20" s="566" customFormat="1">
      <c r="T53745" s="41"/>
    </row>
    <row r="53746" spans="20:20" s="566" customFormat="1">
      <c r="T53746" s="41"/>
    </row>
    <row r="53747" spans="20:20" s="566" customFormat="1">
      <c r="T53747" s="41"/>
    </row>
    <row r="53748" spans="20:20" s="566" customFormat="1">
      <c r="T53748" s="41"/>
    </row>
    <row r="53749" spans="20:20" s="566" customFormat="1">
      <c r="T53749" s="41"/>
    </row>
    <row r="53750" spans="20:20" s="566" customFormat="1">
      <c r="T53750" s="41"/>
    </row>
    <row r="53751" spans="20:20" s="566" customFormat="1">
      <c r="T53751" s="41"/>
    </row>
    <row r="53752" spans="20:20" s="566" customFormat="1">
      <c r="T53752" s="41"/>
    </row>
    <row r="53753" spans="20:20" s="566" customFormat="1">
      <c r="T53753" s="41"/>
    </row>
    <row r="53754" spans="20:20" s="566" customFormat="1">
      <c r="T53754" s="41"/>
    </row>
    <row r="53755" spans="20:20" s="566" customFormat="1">
      <c r="T53755" s="41"/>
    </row>
    <row r="53756" spans="20:20" s="566" customFormat="1">
      <c r="T53756" s="41"/>
    </row>
    <row r="53757" spans="20:20" s="566" customFormat="1">
      <c r="T53757" s="41"/>
    </row>
    <row r="53758" spans="20:20" s="566" customFormat="1">
      <c r="T53758" s="41"/>
    </row>
    <row r="53759" spans="20:20" s="566" customFormat="1">
      <c r="T53759" s="41"/>
    </row>
    <row r="53760" spans="20:20" s="566" customFormat="1">
      <c r="T53760" s="41"/>
    </row>
    <row r="53761" spans="20:20" s="566" customFormat="1">
      <c r="T53761" s="41"/>
    </row>
    <row r="53762" spans="20:20" s="566" customFormat="1">
      <c r="T53762" s="41"/>
    </row>
    <row r="53763" spans="20:20" s="566" customFormat="1">
      <c r="T53763" s="41"/>
    </row>
    <row r="53764" spans="20:20" s="566" customFormat="1">
      <c r="T53764" s="41"/>
    </row>
    <row r="53765" spans="20:20" s="566" customFormat="1">
      <c r="T53765" s="41"/>
    </row>
    <row r="53766" spans="20:20" s="566" customFormat="1">
      <c r="T53766" s="41"/>
    </row>
    <row r="53767" spans="20:20" s="566" customFormat="1">
      <c r="T53767" s="41"/>
    </row>
    <row r="53768" spans="20:20" s="566" customFormat="1">
      <c r="T53768" s="41"/>
    </row>
    <row r="53769" spans="20:20" s="566" customFormat="1">
      <c r="T53769" s="41"/>
    </row>
    <row r="53770" spans="20:20" s="566" customFormat="1">
      <c r="T53770" s="41"/>
    </row>
    <row r="53771" spans="20:20" s="566" customFormat="1">
      <c r="T53771" s="41"/>
    </row>
    <row r="53772" spans="20:20" s="566" customFormat="1">
      <c r="T53772" s="41"/>
    </row>
    <row r="53773" spans="20:20" s="566" customFormat="1">
      <c r="T53773" s="41"/>
    </row>
    <row r="53774" spans="20:20" s="566" customFormat="1">
      <c r="T53774" s="41"/>
    </row>
    <row r="53775" spans="20:20" s="566" customFormat="1">
      <c r="T53775" s="41"/>
    </row>
    <row r="53776" spans="20:20" s="566" customFormat="1">
      <c r="T53776" s="41"/>
    </row>
    <row r="53777" spans="20:20" s="566" customFormat="1">
      <c r="T53777" s="41"/>
    </row>
    <row r="53778" spans="20:20" s="566" customFormat="1">
      <c r="T53778" s="41"/>
    </row>
    <row r="53779" spans="20:20" s="566" customFormat="1">
      <c r="T53779" s="41"/>
    </row>
    <row r="53780" spans="20:20" s="566" customFormat="1">
      <c r="T53780" s="41"/>
    </row>
    <row r="53781" spans="20:20" s="566" customFormat="1">
      <c r="T53781" s="41"/>
    </row>
    <row r="53782" spans="20:20" s="566" customFormat="1">
      <c r="T53782" s="41"/>
    </row>
    <row r="53783" spans="20:20" s="566" customFormat="1">
      <c r="T53783" s="41"/>
    </row>
    <row r="53784" spans="20:20" s="566" customFormat="1">
      <c r="T53784" s="41"/>
    </row>
    <row r="53785" spans="20:20" s="566" customFormat="1">
      <c r="T53785" s="41"/>
    </row>
    <row r="53786" spans="20:20" s="566" customFormat="1">
      <c r="T53786" s="41"/>
    </row>
    <row r="53787" spans="20:20" s="566" customFormat="1">
      <c r="T53787" s="41"/>
    </row>
    <row r="53788" spans="20:20" s="566" customFormat="1">
      <c r="T53788" s="41"/>
    </row>
    <row r="53789" spans="20:20" s="566" customFormat="1">
      <c r="T53789" s="41"/>
    </row>
    <row r="53790" spans="20:20" s="566" customFormat="1">
      <c r="T53790" s="41"/>
    </row>
    <row r="53791" spans="20:20" s="566" customFormat="1">
      <c r="T53791" s="41"/>
    </row>
    <row r="53792" spans="20:20" s="566" customFormat="1">
      <c r="T53792" s="41"/>
    </row>
    <row r="53793" spans="20:20" s="566" customFormat="1">
      <c r="T53793" s="41"/>
    </row>
    <row r="53794" spans="20:20" s="566" customFormat="1">
      <c r="T53794" s="41"/>
    </row>
    <row r="53795" spans="20:20" s="566" customFormat="1">
      <c r="T53795" s="41"/>
    </row>
    <row r="53796" spans="20:20" s="566" customFormat="1">
      <c r="T53796" s="41"/>
    </row>
    <row r="53797" spans="20:20" s="566" customFormat="1">
      <c r="T53797" s="41"/>
    </row>
    <row r="53798" spans="20:20" s="566" customFormat="1">
      <c r="T53798" s="41"/>
    </row>
    <row r="53799" spans="20:20" s="566" customFormat="1">
      <c r="T53799" s="41"/>
    </row>
    <row r="53800" spans="20:20" s="566" customFormat="1">
      <c r="T53800" s="41"/>
    </row>
    <row r="53801" spans="20:20" s="566" customFormat="1">
      <c r="T53801" s="41"/>
    </row>
    <row r="53802" spans="20:20" s="566" customFormat="1">
      <c r="T53802" s="41"/>
    </row>
    <row r="53803" spans="20:20" s="566" customFormat="1">
      <c r="T53803" s="41"/>
    </row>
    <row r="53804" spans="20:20" s="566" customFormat="1">
      <c r="T53804" s="41"/>
    </row>
    <row r="53805" spans="20:20" s="566" customFormat="1">
      <c r="T53805" s="41"/>
    </row>
    <row r="53806" spans="20:20" s="566" customFormat="1">
      <c r="T53806" s="41"/>
    </row>
    <row r="53807" spans="20:20" s="566" customFormat="1">
      <c r="T53807" s="41"/>
    </row>
    <row r="53808" spans="20:20" s="566" customFormat="1">
      <c r="T53808" s="41"/>
    </row>
    <row r="53809" spans="20:20" s="566" customFormat="1">
      <c r="T53809" s="41"/>
    </row>
    <row r="53810" spans="20:20" s="566" customFormat="1">
      <c r="T53810" s="41"/>
    </row>
    <row r="53811" spans="20:20" s="566" customFormat="1">
      <c r="T53811" s="41"/>
    </row>
    <row r="53812" spans="20:20" s="566" customFormat="1">
      <c r="T53812" s="41"/>
    </row>
    <row r="53813" spans="20:20" s="566" customFormat="1">
      <c r="T53813" s="41"/>
    </row>
    <row r="53814" spans="20:20" s="566" customFormat="1">
      <c r="T53814" s="41"/>
    </row>
    <row r="53815" spans="20:20" s="566" customFormat="1">
      <c r="T53815" s="41"/>
    </row>
    <row r="53816" spans="20:20" s="566" customFormat="1">
      <c r="T53816" s="41"/>
    </row>
    <row r="53817" spans="20:20" s="566" customFormat="1">
      <c r="T53817" s="41"/>
    </row>
    <row r="53818" spans="20:20" s="566" customFormat="1">
      <c r="T53818" s="41"/>
    </row>
    <row r="53819" spans="20:20" s="566" customFormat="1">
      <c r="T53819" s="41"/>
    </row>
    <row r="53820" spans="20:20" s="566" customFormat="1">
      <c r="T53820" s="41"/>
    </row>
    <row r="53821" spans="20:20" s="566" customFormat="1">
      <c r="T53821" s="41"/>
    </row>
    <row r="53822" spans="20:20" s="566" customFormat="1">
      <c r="T53822" s="41"/>
    </row>
    <row r="53823" spans="20:20" s="566" customFormat="1">
      <c r="T53823" s="41"/>
    </row>
    <row r="53824" spans="20:20" s="566" customFormat="1">
      <c r="T53824" s="41"/>
    </row>
    <row r="53825" spans="20:20" s="566" customFormat="1">
      <c r="T53825" s="41"/>
    </row>
    <row r="53826" spans="20:20" s="566" customFormat="1">
      <c r="T53826" s="41"/>
    </row>
    <row r="53827" spans="20:20" s="566" customFormat="1">
      <c r="T53827" s="41"/>
    </row>
    <row r="53828" spans="20:20" s="566" customFormat="1">
      <c r="T53828" s="41"/>
    </row>
    <row r="53829" spans="20:20" s="566" customFormat="1">
      <c r="T53829" s="41"/>
    </row>
    <row r="53830" spans="20:20" s="566" customFormat="1">
      <c r="T53830" s="41"/>
    </row>
    <row r="53831" spans="20:20" s="566" customFormat="1">
      <c r="T53831" s="41"/>
    </row>
    <row r="53832" spans="20:20" s="566" customFormat="1">
      <c r="T53832" s="41"/>
    </row>
    <row r="53833" spans="20:20" s="566" customFormat="1">
      <c r="T53833" s="41"/>
    </row>
    <row r="53834" spans="20:20" s="566" customFormat="1">
      <c r="T53834" s="41"/>
    </row>
    <row r="53835" spans="20:20" s="566" customFormat="1">
      <c r="T53835" s="41"/>
    </row>
    <row r="53836" spans="20:20" s="566" customFormat="1">
      <c r="T53836" s="41"/>
    </row>
    <row r="53837" spans="20:20" s="566" customFormat="1">
      <c r="T53837" s="41"/>
    </row>
    <row r="53838" spans="20:20" s="566" customFormat="1">
      <c r="T53838" s="41"/>
    </row>
    <row r="53839" spans="20:20" s="566" customFormat="1">
      <c r="T53839" s="41"/>
    </row>
    <row r="53840" spans="20:20" s="566" customFormat="1">
      <c r="T53840" s="41"/>
    </row>
    <row r="53841" spans="20:20" s="566" customFormat="1">
      <c r="T53841" s="41"/>
    </row>
    <row r="53842" spans="20:20" s="566" customFormat="1">
      <c r="T53842" s="41"/>
    </row>
    <row r="53843" spans="20:20" s="566" customFormat="1">
      <c r="T53843" s="41"/>
    </row>
    <row r="53844" spans="20:20" s="566" customFormat="1">
      <c r="T53844" s="41"/>
    </row>
    <row r="53845" spans="20:20" s="566" customFormat="1">
      <c r="T53845" s="41"/>
    </row>
    <row r="53846" spans="20:20" s="566" customFormat="1">
      <c r="T53846" s="41"/>
    </row>
    <row r="53847" spans="20:20" s="566" customFormat="1">
      <c r="T53847" s="41"/>
    </row>
    <row r="53848" spans="20:20" s="566" customFormat="1">
      <c r="T53848" s="41"/>
    </row>
    <row r="53849" spans="20:20" s="566" customFormat="1">
      <c r="T53849" s="41"/>
    </row>
    <row r="53850" spans="20:20" s="566" customFormat="1">
      <c r="T53850" s="41"/>
    </row>
    <row r="53851" spans="20:20" s="566" customFormat="1">
      <c r="T53851" s="41"/>
    </row>
    <row r="53852" spans="20:20" s="566" customFormat="1">
      <c r="T53852" s="41"/>
    </row>
    <row r="53853" spans="20:20" s="566" customFormat="1">
      <c r="T53853" s="41"/>
    </row>
    <row r="53854" spans="20:20" s="566" customFormat="1">
      <c r="T53854" s="41"/>
    </row>
    <row r="53855" spans="20:20" s="566" customFormat="1">
      <c r="T53855" s="41"/>
    </row>
    <row r="53856" spans="20:20" s="566" customFormat="1">
      <c r="T53856" s="41"/>
    </row>
    <row r="53857" spans="20:20" s="566" customFormat="1">
      <c r="T53857" s="41"/>
    </row>
    <row r="53858" spans="20:20" s="566" customFormat="1">
      <c r="T53858" s="41"/>
    </row>
    <row r="53859" spans="20:20" s="566" customFormat="1">
      <c r="T53859" s="41"/>
    </row>
    <row r="53860" spans="20:20" s="566" customFormat="1">
      <c r="T53860" s="41"/>
    </row>
    <row r="53861" spans="20:20" s="566" customFormat="1">
      <c r="T53861" s="41"/>
    </row>
    <row r="53862" spans="20:20" s="566" customFormat="1">
      <c r="T53862" s="41"/>
    </row>
    <row r="53863" spans="20:20" s="566" customFormat="1">
      <c r="T53863" s="41"/>
    </row>
    <row r="53864" spans="20:20" s="566" customFormat="1">
      <c r="T53864" s="41"/>
    </row>
    <row r="53865" spans="20:20" s="566" customFormat="1">
      <c r="T53865" s="41"/>
    </row>
    <row r="53866" spans="20:20" s="566" customFormat="1">
      <c r="T53866" s="41"/>
    </row>
    <row r="53867" spans="20:20" s="566" customFormat="1">
      <c r="T53867" s="41"/>
    </row>
    <row r="53868" spans="20:20" s="566" customFormat="1">
      <c r="T53868" s="41"/>
    </row>
    <row r="53869" spans="20:20" s="566" customFormat="1">
      <c r="T53869" s="41"/>
    </row>
    <row r="53870" spans="20:20" s="566" customFormat="1">
      <c r="T53870" s="41"/>
    </row>
    <row r="53871" spans="20:20" s="566" customFormat="1">
      <c r="T53871" s="41"/>
    </row>
    <row r="53872" spans="20:20" s="566" customFormat="1">
      <c r="T53872" s="41"/>
    </row>
    <row r="53873" spans="20:20" s="566" customFormat="1">
      <c r="T53873" s="41"/>
    </row>
    <row r="53874" spans="20:20" s="566" customFormat="1">
      <c r="T53874" s="41"/>
    </row>
    <row r="53875" spans="20:20" s="566" customFormat="1">
      <c r="T53875" s="41"/>
    </row>
    <row r="53876" spans="20:20" s="566" customFormat="1">
      <c r="T53876" s="41"/>
    </row>
    <row r="53877" spans="20:20" s="566" customFormat="1">
      <c r="T53877" s="41"/>
    </row>
    <row r="53878" spans="20:20" s="566" customFormat="1">
      <c r="T53878" s="41"/>
    </row>
    <row r="53879" spans="20:20" s="566" customFormat="1">
      <c r="T53879" s="41"/>
    </row>
    <row r="53880" spans="20:20" s="566" customFormat="1">
      <c r="T53880" s="41"/>
    </row>
    <row r="53881" spans="20:20" s="566" customFormat="1">
      <c r="T53881" s="41"/>
    </row>
    <row r="53882" spans="20:20" s="566" customFormat="1">
      <c r="T53882" s="41"/>
    </row>
    <row r="53883" spans="20:20" s="566" customFormat="1">
      <c r="T53883" s="41"/>
    </row>
    <row r="53884" spans="20:20" s="566" customFormat="1">
      <c r="T53884" s="41"/>
    </row>
    <row r="53885" spans="20:20" s="566" customFormat="1">
      <c r="T53885" s="41"/>
    </row>
    <row r="53886" spans="20:20" s="566" customFormat="1">
      <c r="T53886" s="41"/>
    </row>
    <row r="53887" spans="20:20" s="566" customFormat="1">
      <c r="T53887" s="41"/>
    </row>
    <row r="53888" spans="20:20" s="566" customFormat="1">
      <c r="T53888" s="41"/>
    </row>
    <row r="53889" spans="20:20" s="566" customFormat="1">
      <c r="T53889" s="41"/>
    </row>
    <row r="53890" spans="20:20" s="566" customFormat="1">
      <c r="T53890" s="41"/>
    </row>
    <row r="53891" spans="20:20" s="566" customFormat="1">
      <c r="T53891" s="41"/>
    </row>
    <row r="53892" spans="20:20" s="566" customFormat="1">
      <c r="T53892" s="41"/>
    </row>
    <row r="53893" spans="20:20" s="566" customFormat="1">
      <c r="T53893" s="41"/>
    </row>
    <row r="53894" spans="20:20" s="566" customFormat="1">
      <c r="T53894" s="41"/>
    </row>
    <row r="53895" spans="20:20" s="566" customFormat="1">
      <c r="T53895" s="41"/>
    </row>
    <row r="53896" spans="20:20" s="566" customFormat="1">
      <c r="T53896" s="41"/>
    </row>
    <row r="53897" spans="20:20" s="566" customFormat="1">
      <c r="T53897" s="41"/>
    </row>
    <row r="53898" spans="20:20" s="566" customFormat="1">
      <c r="T53898" s="41"/>
    </row>
    <row r="53899" spans="20:20" s="566" customFormat="1">
      <c r="T53899" s="41"/>
    </row>
    <row r="53900" spans="20:20" s="566" customFormat="1">
      <c r="T53900" s="41"/>
    </row>
    <row r="53901" spans="20:20" s="566" customFormat="1">
      <c r="T53901" s="41"/>
    </row>
    <row r="53902" spans="20:20" s="566" customFormat="1">
      <c r="T53902" s="41"/>
    </row>
    <row r="53903" spans="20:20" s="566" customFormat="1">
      <c r="T53903" s="41"/>
    </row>
    <row r="53904" spans="20:20" s="566" customFormat="1">
      <c r="T53904" s="41"/>
    </row>
    <row r="53905" spans="20:20" s="566" customFormat="1">
      <c r="T53905" s="41"/>
    </row>
    <row r="53906" spans="20:20" s="566" customFormat="1">
      <c r="T53906" s="41"/>
    </row>
    <row r="53907" spans="20:20" s="566" customFormat="1">
      <c r="T53907" s="41"/>
    </row>
    <row r="53908" spans="20:20" s="566" customFormat="1">
      <c r="T53908" s="41"/>
    </row>
    <row r="53909" spans="20:20" s="566" customFormat="1">
      <c r="T53909" s="41"/>
    </row>
    <row r="53910" spans="20:20" s="566" customFormat="1">
      <c r="T53910" s="41"/>
    </row>
    <row r="53911" spans="20:20" s="566" customFormat="1">
      <c r="T53911" s="41"/>
    </row>
    <row r="53912" spans="20:20" s="566" customFormat="1">
      <c r="T53912" s="41"/>
    </row>
    <row r="53913" spans="20:20" s="566" customFormat="1">
      <c r="T53913" s="41"/>
    </row>
    <row r="53914" spans="20:20" s="566" customFormat="1">
      <c r="T53914" s="41"/>
    </row>
    <row r="53915" spans="20:20" s="566" customFormat="1">
      <c r="T53915" s="41"/>
    </row>
    <row r="53916" spans="20:20" s="566" customFormat="1">
      <c r="T53916" s="41"/>
    </row>
    <row r="53917" spans="20:20" s="566" customFormat="1">
      <c r="T53917" s="41"/>
    </row>
    <row r="53918" spans="20:20" s="566" customFormat="1">
      <c r="T53918" s="41"/>
    </row>
    <row r="53919" spans="20:20" s="566" customFormat="1">
      <c r="T53919" s="41"/>
    </row>
    <row r="53920" spans="20:20" s="566" customFormat="1">
      <c r="T53920" s="41"/>
    </row>
    <row r="53921" spans="20:20" s="566" customFormat="1">
      <c r="T53921" s="41"/>
    </row>
    <row r="53922" spans="20:20" s="566" customFormat="1">
      <c r="T53922" s="41"/>
    </row>
    <row r="53923" spans="20:20" s="566" customFormat="1">
      <c r="T53923" s="41"/>
    </row>
    <row r="53924" spans="20:20" s="566" customFormat="1">
      <c r="T53924" s="41"/>
    </row>
    <row r="53925" spans="20:20" s="566" customFormat="1">
      <c r="T53925" s="41"/>
    </row>
    <row r="53926" spans="20:20" s="566" customFormat="1">
      <c r="T53926" s="41"/>
    </row>
    <row r="53927" spans="20:20" s="566" customFormat="1">
      <c r="T53927" s="41"/>
    </row>
    <row r="53928" spans="20:20" s="566" customFormat="1">
      <c r="T53928" s="41"/>
    </row>
    <row r="53929" spans="20:20" s="566" customFormat="1">
      <c r="T53929" s="41"/>
    </row>
    <row r="53930" spans="20:20" s="566" customFormat="1">
      <c r="T53930" s="41"/>
    </row>
    <row r="53931" spans="20:20" s="566" customFormat="1">
      <c r="T53931" s="41"/>
    </row>
    <row r="53932" spans="20:20" s="566" customFormat="1">
      <c r="T53932" s="41"/>
    </row>
    <row r="53933" spans="20:20" s="566" customFormat="1">
      <c r="T53933" s="41"/>
    </row>
    <row r="53934" spans="20:20" s="566" customFormat="1">
      <c r="T53934" s="41"/>
    </row>
    <row r="53935" spans="20:20" s="566" customFormat="1">
      <c r="T53935" s="41"/>
    </row>
    <row r="53936" spans="20:20" s="566" customFormat="1">
      <c r="T53936" s="41"/>
    </row>
    <row r="53937" spans="20:20" s="566" customFormat="1">
      <c r="T53937" s="41"/>
    </row>
    <row r="53938" spans="20:20" s="566" customFormat="1">
      <c r="T53938" s="41"/>
    </row>
    <row r="53939" spans="20:20" s="566" customFormat="1">
      <c r="T53939" s="41"/>
    </row>
    <row r="53940" spans="20:20" s="566" customFormat="1">
      <c r="T53940" s="41"/>
    </row>
    <row r="53941" spans="20:20" s="566" customFormat="1">
      <c r="T53941" s="41"/>
    </row>
    <row r="53942" spans="20:20" s="566" customFormat="1">
      <c r="T53942" s="41"/>
    </row>
    <row r="53943" spans="20:20" s="566" customFormat="1">
      <c r="T53943" s="41"/>
    </row>
    <row r="53944" spans="20:20" s="566" customFormat="1">
      <c r="T53944" s="41"/>
    </row>
    <row r="53945" spans="20:20" s="566" customFormat="1">
      <c r="T53945" s="41"/>
    </row>
    <row r="53946" spans="20:20" s="566" customFormat="1">
      <c r="T53946" s="41"/>
    </row>
    <row r="53947" spans="20:20" s="566" customFormat="1">
      <c r="T53947" s="41"/>
    </row>
    <row r="53948" spans="20:20" s="566" customFormat="1">
      <c r="T53948" s="41"/>
    </row>
    <row r="53949" spans="20:20" s="566" customFormat="1">
      <c r="T53949" s="41"/>
    </row>
    <row r="53950" spans="20:20" s="566" customFormat="1">
      <c r="T53950" s="41"/>
    </row>
    <row r="53951" spans="20:20" s="566" customFormat="1">
      <c r="T53951" s="41"/>
    </row>
    <row r="53952" spans="20:20" s="566" customFormat="1">
      <c r="T53952" s="41"/>
    </row>
    <row r="53953" spans="20:20" s="566" customFormat="1">
      <c r="T53953" s="41"/>
    </row>
    <row r="53954" spans="20:20" s="566" customFormat="1">
      <c r="T53954" s="41"/>
    </row>
    <row r="53955" spans="20:20" s="566" customFormat="1">
      <c r="T53955" s="41"/>
    </row>
    <row r="53956" spans="20:20" s="566" customFormat="1">
      <c r="T53956" s="41"/>
    </row>
    <row r="53957" spans="20:20" s="566" customFormat="1">
      <c r="T53957" s="41"/>
    </row>
    <row r="53958" spans="20:20" s="566" customFormat="1">
      <c r="T53958" s="41"/>
    </row>
    <row r="53959" spans="20:20" s="566" customFormat="1">
      <c r="T53959" s="41"/>
    </row>
    <row r="53960" spans="20:20" s="566" customFormat="1">
      <c r="T53960" s="41"/>
    </row>
    <row r="53961" spans="20:20" s="566" customFormat="1">
      <c r="T53961" s="41"/>
    </row>
    <row r="53962" spans="20:20" s="566" customFormat="1">
      <c r="T53962" s="41"/>
    </row>
    <row r="53963" spans="20:20" s="566" customFormat="1">
      <c r="T53963" s="41"/>
    </row>
    <row r="53964" spans="20:20" s="566" customFormat="1">
      <c r="T53964" s="41"/>
    </row>
    <row r="53965" spans="20:20" s="566" customFormat="1">
      <c r="T53965" s="41"/>
    </row>
    <row r="53966" spans="20:20" s="566" customFormat="1">
      <c r="T53966" s="41"/>
    </row>
    <row r="53967" spans="20:20" s="566" customFormat="1">
      <c r="T53967" s="41"/>
    </row>
    <row r="53968" spans="20:20" s="566" customFormat="1">
      <c r="T53968" s="41"/>
    </row>
    <row r="53969" spans="20:20" s="566" customFormat="1">
      <c r="T53969" s="41"/>
    </row>
    <row r="53970" spans="20:20" s="566" customFormat="1">
      <c r="T53970" s="41"/>
    </row>
    <row r="53971" spans="20:20" s="566" customFormat="1">
      <c r="T53971" s="41"/>
    </row>
    <row r="53972" spans="20:20" s="566" customFormat="1">
      <c r="T53972" s="41"/>
    </row>
    <row r="53973" spans="20:20" s="566" customFormat="1">
      <c r="T53973" s="41"/>
    </row>
    <row r="53974" spans="20:20" s="566" customFormat="1">
      <c r="T53974" s="41"/>
    </row>
    <row r="53975" spans="20:20" s="566" customFormat="1">
      <c r="T53975" s="41"/>
    </row>
    <row r="53976" spans="20:20" s="566" customFormat="1">
      <c r="T53976" s="41"/>
    </row>
    <row r="53977" spans="20:20" s="566" customFormat="1">
      <c r="T53977" s="41"/>
    </row>
    <row r="53978" spans="20:20" s="566" customFormat="1">
      <c r="T53978" s="41"/>
    </row>
    <row r="53979" spans="20:20" s="566" customFormat="1">
      <c r="T53979" s="41"/>
    </row>
    <row r="53980" spans="20:20" s="566" customFormat="1">
      <c r="T53980" s="41"/>
    </row>
    <row r="53981" spans="20:20" s="566" customFormat="1">
      <c r="T53981" s="41"/>
    </row>
    <row r="53982" spans="20:20" s="566" customFormat="1">
      <c r="T53982" s="41"/>
    </row>
    <row r="53983" spans="20:20" s="566" customFormat="1">
      <c r="T53983" s="41"/>
    </row>
    <row r="53984" spans="20:20" s="566" customFormat="1">
      <c r="T53984" s="41"/>
    </row>
    <row r="53985" spans="20:20" s="566" customFormat="1">
      <c r="T53985" s="41"/>
    </row>
    <row r="53986" spans="20:20" s="566" customFormat="1">
      <c r="T53986" s="41"/>
    </row>
    <row r="53987" spans="20:20" s="566" customFormat="1">
      <c r="T53987" s="41"/>
    </row>
    <row r="53988" spans="20:20" s="566" customFormat="1">
      <c r="T53988" s="41"/>
    </row>
    <row r="53989" spans="20:20" s="566" customFormat="1">
      <c r="T53989" s="41"/>
    </row>
    <row r="53990" spans="20:20" s="566" customFormat="1">
      <c r="T53990" s="41"/>
    </row>
    <row r="53991" spans="20:20" s="566" customFormat="1">
      <c r="T53991" s="41"/>
    </row>
    <row r="53992" spans="20:20" s="566" customFormat="1">
      <c r="T53992" s="41"/>
    </row>
    <row r="53993" spans="20:20" s="566" customFormat="1">
      <c r="T53993" s="41"/>
    </row>
    <row r="53994" spans="20:20" s="566" customFormat="1">
      <c r="T53994" s="41"/>
    </row>
    <row r="53995" spans="20:20" s="566" customFormat="1">
      <c r="T53995" s="41"/>
    </row>
    <row r="53996" spans="20:20" s="566" customFormat="1">
      <c r="T53996" s="41"/>
    </row>
    <row r="53997" spans="20:20" s="566" customFormat="1">
      <c r="T53997" s="41"/>
    </row>
    <row r="53998" spans="20:20" s="566" customFormat="1">
      <c r="T53998" s="41"/>
    </row>
    <row r="53999" spans="20:20" s="566" customFormat="1">
      <c r="T53999" s="41"/>
    </row>
    <row r="54000" spans="20:20" s="566" customFormat="1">
      <c r="T54000" s="41"/>
    </row>
    <row r="54001" spans="20:20" s="566" customFormat="1">
      <c r="T54001" s="41"/>
    </row>
    <row r="54002" spans="20:20" s="566" customFormat="1">
      <c r="T54002" s="41"/>
    </row>
    <row r="54003" spans="20:20" s="566" customFormat="1">
      <c r="T54003" s="41"/>
    </row>
    <row r="54004" spans="20:20" s="566" customFormat="1">
      <c r="T54004" s="41"/>
    </row>
    <row r="54005" spans="20:20" s="566" customFormat="1">
      <c r="T54005" s="41"/>
    </row>
    <row r="54006" spans="20:20" s="566" customFormat="1">
      <c r="T54006" s="41"/>
    </row>
    <row r="54007" spans="20:20" s="566" customFormat="1">
      <c r="T54007" s="41"/>
    </row>
    <row r="54008" spans="20:20" s="566" customFormat="1">
      <c r="T54008" s="41"/>
    </row>
    <row r="54009" spans="20:20" s="566" customFormat="1">
      <c r="T54009" s="41"/>
    </row>
    <row r="54010" spans="20:20" s="566" customFormat="1">
      <c r="T54010" s="41"/>
    </row>
    <row r="54011" spans="20:20" s="566" customFormat="1">
      <c r="T54011" s="41"/>
    </row>
    <row r="54012" spans="20:20" s="566" customFormat="1">
      <c r="T54012" s="41"/>
    </row>
    <row r="54013" spans="20:20" s="566" customFormat="1">
      <c r="T54013" s="41"/>
    </row>
    <row r="54014" spans="20:20" s="566" customFormat="1">
      <c r="T54014" s="41"/>
    </row>
    <row r="54015" spans="20:20" s="566" customFormat="1">
      <c r="T54015" s="41"/>
    </row>
    <row r="54016" spans="20:20" s="566" customFormat="1">
      <c r="T54016" s="41"/>
    </row>
    <row r="54017" spans="20:20" s="566" customFormat="1">
      <c r="T54017" s="41"/>
    </row>
    <row r="54018" spans="20:20" s="566" customFormat="1">
      <c r="T54018" s="41"/>
    </row>
    <row r="54019" spans="20:20" s="566" customFormat="1">
      <c r="T54019" s="41"/>
    </row>
    <row r="54020" spans="20:20" s="566" customFormat="1">
      <c r="T54020" s="41"/>
    </row>
    <row r="54021" spans="20:20" s="566" customFormat="1">
      <c r="T54021" s="41"/>
    </row>
    <row r="54022" spans="20:20" s="566" customFormat="1">
      <c r="T54022" s="41"/>
    </row>
    <row r="54023" spans="20:20" s="566" customFormat="1">
      <c r="T54023" s="41"/>
    </row>
    <row r="54024" spans="20:20" s="566" customFormat="1">
      <c r="T54024" s="41"/>
    </row>
    <row r="54025" spans="20:20" s="566" customFormat="1">
      <c r="T54025" s="41"/>
    </row>
    <row r="54026" spans="20:20" s="566" customFormat="1">
      <c r="T54026" s="41"/>
    </row>
    <row r="54027" spans="20:20" s="566" customFormat="1">
      <c r="T54027" s="41"/>
    </row>
    <row r="54028" spans="20:20" s="566" customFormat="1">
      <c r="T54028" s="41"/>
    </row>
    <row r="54029" spans="20:20" s="566" customFormat="1">
      <c r="T54029" s="41"/>
    </row>
    <row r="54030" spans="20:20" s="566" customFormat="1">
      <c r="T54030" s="41"/>
    </row>
    <row r="54031" spans="20:20" s="566" customFormat="1">
      <c r="T54031" s="41"/>
    </row>
    <row r="54032" spans="20:20" s="566" customFormat="1">
      <c r="T54032" s="41"/>
    </row>
    <row r="54033" spans="20:20" s="566" customFormat="1">
      <c r="T54033" s="41"/>
    </row>
    <row r="54034" spans="20:20" s="566" customFormat="1">
      <c r="T54034" s="41"/>
    </row>
    <row r="54035" spans="20:20" s="566" customFormat="1">
      <c r="T54035" s="41"/>
    </row>
    <row r="54036" spans="20:20" s="566" customFormat="1">
      <c r="T54036" s="41"/>
    </row>
    <row r="54037" spans="20:20" s="566" customFormat="1">
      <c r="T54037" s="41"/>
    </row>
    <row r="54038" spans="20:20" s="566" customFormat="1">
      <c r="T54038" s="41"/>
    </row>
    <row r="54039" spans="20:20" s="566" customFormat="1">
      <c r="T54039" s="41"/>
    </row>
    <row r="54040" spans="20:20" s="566" customFormat="1">
      <c r="T54040" s="41"/>
    </row>
    <row r="54041" spans="20:20" s="566" customFormat="1">
      <c r="T54041" s="41"/>
    </row>
    <row r="54042" spans="20:20" s="566" customFormat="1">
      <c r="T54042" s="41"/>
    </row>
    <row r="54043" spans="20:20" s="566" customFormat="1">
      <c r="T54043" s="41"/>
    </row>
    <row r="54044" spans="20:20" s="566" customFormat="1">
      <c r="T54044" s="41"/>
    </row>
    <row r="54045" spans="20:20" s="566" customFormat="1">
      <c r="T54045" s="41"/>
    </row>
    <row r="54046" spans="20:20" s="566" customFormat="1">
      <c r="T54046" s="41"/>
    </row>
    <row r="54047" spans="20:20" s="566" customFormat="1">
      <c r="T54047" s="41"/>
    </row>
    <row r="54048" spans="20:20" s="566" customFormat="1">
      <c r="T54048" s="41"/>
    </row>
    <row r="54049" spans="20:20" s="566" customFormat="1">
      <c r="T54049" s="41"/>
    </row>
    <row r="54050" spans="20:20" s="566" customFormat="1">
      <c r="T54050" s="41"/>
    </row>
    <row r="54051" spans="20:20" s="566" customFormat="1">
      <c r="T54051" s="41"/>
    </row>
    <row r="54052" spans="20:20" s="566" customFormat="1">
      <c r="T54052" s="41"/>
    </row>
    <row r="54053" spans="20:20" s="566" customFormat="1">
      <c r="T54053" s="41"/>
    </row>
    <row r="54054" spans="20:20" s="566" customFormat="1">
      <c r="T54054" s="41"/>
    </row>
    <row r="54055" spans="20:20" s="566" customFormat="1">
      <c r="T54055" s="41"/>
    </row>
    <row r="54056" spans="20:20" s="566" customFormat="1">
      <c r="T54056" s="41"/>
    </row>
    <row r="54057" spans="20:20" s="566" customFormat="1">
      <c r="T54057" s="41"/>
    </row>
    <row r="54058" spans="20:20" s="566" customFormat="1">
      <c r="T54058" s="41"/>
    </row>
    <row r="54059" spans="20:20" s="566" customFormat="1">
      <c r="T54059" s="41"/>
    </row>
    <row r="54060" spans="20:20" s="566" customFormat="1">
      <c r="T54060" s="41"/>
    </row>
    <row r="54061" spans="20:20" s="566" customFormat="1">
      <c r="T54061" s="41"/>
    </row>
    <row r="54062" spans="20:20" s="566" customFormat="1">
      <c r="T54062" s="41"/>
    </row>
    <row r="54063" spans="20:20" s="566" customFormat="1">
      <c r="T54063" s="41"/>
    </row>
    <row r="54064" spans="20:20" s="566" customFormat="1">
      <c r="T54064" s="41"/>
    </row>
    <row r="54065" spans="20:20" s="566" customFormat="1">
      <c r="T54065" s="41"/>
    </row>
    <row r="54066" spans="20:20" s="566" customFormat="1">
      <c r="T54066" s="41"/>
    </row>
    <row r="54067" spans="20:20" s="566" customFormat="1">
      <c r="T54067" s="41"/>
    </row>
    <row r="54068" spans="20:20" s="566" customFormat="1">
      <c r="T54068" s="41"/>
    </row>
    <row r="54069" spans="20:20" s="566" customFormat="1">
      <c r="T54069" s="41"/>
    </row>
    <row r="54070" spans="20:20" s="566" customFormat="1">
      <c r="T54070" s="41"/>
    </row>
    <row r="54071" spans="20:20" s="566" customFormat="1">
      <c r="T54071" s="41"/>
    </row>
    <row r="54072" spans="20:20" s="566" customFormat="1">
      <c r="T54072" s="41"/>
    </row>
    <row r="54073" spans="20:20" s="566" customFormat="1">
      <c r="T54073" s="41"/>
    </row>
    <row r="54074" spans="20:20" s="566" customFormat="1">
      <c r="T54074" s="41"/>
    </row>
    <row r="54075" spans="20:20" s="566" customFormat="1">
      <c r="T54075" s="41"/>
    </row>
    <row r="54076" spans="20:20" s="566" customFormat="1">
      <c r="T54076" s="41"/>
    </row>
    <row r="54077" spans="20:20" s="566" customFormat="1">
      <c r="T54077" s="41"/>
    </row>
    <row r="54078" spans="20:20" s="566" customFormat="1">
      <c r="T54078" s="41"/>
    </row>
    <row r="54079" spans="20:20" s="566" customFormat="1">
      <c r="T54079" s="41"/>
    </row>
    <row r="54080" spans="20:20" s="566" customFormat="1">
      <c r="T54080" s="41"/>
    </row>
    <row r="54081" spans="20:20" s="566" customFormat="1">
      <c r="T54081" s="41"/>
    </row>
    <row r="54082" spans="20:20" s="566" customFormat="1">
      <c r="T54082" s="41"/>
    </row>
    <row r="54083" spans="20:20" s="566" customFormat="1">
      <c r="T54083" s="41"/>
    </row>
    <row r="54084" spans="20:20" s="566" customFormat="1">
      <c r="T54084" s="41"/>
    </row>
    <row r="54085" spans="20:20" s="566" customFormat="1">
      <c r="T54085" s="41"/>
    </row>
    <row r="54086" spans="20:20" s="566" customFormat="1">
      <c r="T54086" s="41"/>
    </row>
    <row r="54087" spans="20:20" s="566" customFormat="1">
      <c r="T54087" s="41"/>
    </row>
    <row r="54088" spans="20:20" s="566" customFormat="1">
      <c r="T54088" s="41"/>
    </row>
    <row r="54089" spans="20:20" s="566" customFormat="1">
      <c r="T54089" s="41"/>
    </row>
    <row r="54090" spans="20:20" s="566" customFormat="1">
      <c r="T54090" s="41"/>
    </row>
    <row r="54091" spans="20:20" s="566" customFormat="1">
      <c r="T54091" s="41"/>
    </row>
    <row r="54092" spans="20:20" s="566" customFormat="1">
      <c r="T54092" s="41"/>
    </row>
    <row r="54093" spans="20:20" s="566" customFormat="1">
      <c r="T54093" s="41"/>
    </row>
    <row r="54094" spans="20:20" s="566" customFormat="1">
      <c r="T54094" s="41"/>
    </row>
    <row r="54095" spans="20:20" s="566" customFormat="1">
      <c r="T54095" s="41"/>
    </row>
    <row r="54096" spans="20:20" s="566" customFormat="1">
      <c r="T54096" s="41"/>
    </row>
    <row r="54097" spans="20:20" s="566" customFormat="1">
      <c r="T54097" s="41"/>
    </row>
    <row r="54098" spans="20:20" s="566" customFormat="1">
      <c r="T54098" s="41"/>
    </row>
    <row r="54099" spans="20:20" s="566" customFormat="1">
      <c r="T54099" s="41"/>
    </row>
    <row r="54100" spans="20:20" s="566" customFormat="1">
      <c r="T54100" s="41"/>
    </row>
    <row r="54101" spans="20:20" s="566" customFormat="1">
      <c r="T54101" s="41"/>
    </row>
    <row r="54102" spans="20:20" s="566" customFormat="1">
      <c r="T54102" s="41"/>
    </row>
    <row r="54103" spans="20:20" s="566" customFormat="1">
      <c r="T54103" s="41"/>
    </row>
    <row r="54104" spans="20:20" s="566" customFormat="1">
      <c r="T54104" s="41"/>
    </row>
    <row r="54105" spans="20:20" s="566" customFormat="1">
      <c r="T54105" s="41"/>
    </row>
    <row r="54106" spans="20:20" s="566" customFormat="1">
      <c r="T54106" s="41"/>
    </row>
    <row r="54107" spans="20:20" s="566" customFormat="1">
      <c r="T54107" s="41"/>
    </row>
    <row r="54108" spans="20:20" s="566" customFormat="1">
      <c r="T54108" s="41"/>
    </row>
    <row r="54109" spans="20:20" s="566" customFormat="1">
      <c r="T54109" s="41"/>
    </row>
    <row r="54110" spans="20:20" s="566" customFormat="1">
      <c r="T54110" s="41"/>
    </row>
    <row r="54111" spans="20:20" s="566" customFormat="1">
      <c r="T54111" s="41"/>
    </row>
    <row r="54112" spans="20:20" s="566" customFormat="1">
      <c r="T54112" s="41"/>
    </row>
    <row r="54113" spans="20:20" s="566" customFormat="1">
      <c r="T54113" s="41"/>
    </row>
    <row r="54114" spans="20:20" s="566" customFormat="1">
      <c r="T54114" s="41"/>
    </row>
    <row r="54115" spans="20:20" s="566" customFormat="1">
      <c r="T54115" s="41"/>
    </row>
    <row r="54116" spans="20:20" s="566" customFormat="1">
      <c r="T54116" s="41"/>
    </row>
    <row r="54117" spans="20:20" s="566" customFormat="1">
      <c r="T54117" s="41"/>
    </row>
    <row r="54118" spans="20:20" s="566" customFormat="1">
      <c r="T54118" s="41"/>
    </row>
    <row r="54119" spans="20:20" s="566" customFormat="1">
      <c r="T54119" s="41"/>
    </row>
    <row r="54120" spans="20:20" s="566" customFormat="1">
      <c r="T54120" s="41"/>
    </row>
    <row r="54121" spans="20:20" s="566" customFormat="1">
      <c r="T54121" s="41"/>
    </row>
    <row r="54122" spans="20:20" s="566" customFormat="1">
      <c r="T54122" s="41"/>
    </row>
    <row r="54123" spans="20:20" s="566" customFormat="1">
      <c r="T54123" s="41"/>
    </row>
    <row r="54124" spans="20:20" s="566" customFormat="1">
      <c r="T54124" s="41"/>
    </row>
    <row r="54125" spans="20:20" s="566" customFormat="1">
      <c r="T54125" s="41"/>
    </row>
    <row r="54126" spans="20:20" s="566" customFormat="1">
      <c r="T54126" s="41"/>
    </row>
    <row r="54127" spans="20:20" s="566" customFormat="1">
      <c r="T54127" s="41"/>
    </row>
    <row r="54128" spans="20:20" s="566" customFormat="1">
      <c r="T54128" s="41"/>
    </row>
    <row r="54129" spans="20:20" s="566" customFormat="1">
      <c r="T54129" s="41"/>
    </row>
    <row r="54130" spans="20:20" s="566" customFormat="1">
      <c r="T54130" s="41"/>
    </row>
    <row r="54131" spans="20:20" s="566" customFormat="1">
      <c r="T54131" s="41"/>
    </row>
    <row r="54132" spans="20:20" s="566" customFormat="1">
      <c r="T54132" s="41"/>
    </row>
    <row r="54133" spans="20:20" s="566" customFormat="1">
      <c r="T54133" s="41"/>
    </row>
    <row r="54134" spans="20:20" s="566" customFormat="1">
      <c r="T54134" s="41"/>
    </row>
    <row r="54135" spans="20:20" s="566" customFormat="1">
      <c r="T54135" s="41"/>
    </row>
    <row r="54136" spans="20:20" s="566" customFormat="1">
      <c r="T54136" s="41"/>
    </row>
    <row r="54137" spans="20:20" s="566" customFormat="1">
      <c r="T54137" s="41"/>
    </row>
    <row r="54138" spans="20:20" s="566" customFormat="1">
      <c r="T54138" s="41"/>
    </row>
    <row r="54139" spans="20:20" s="566" customFormat="1">
      <c r="T54139" s="41"/>
    </row>
    <row r="54140" spans="20:20" s="566" customFormat="1">
      <c r="T54140" s="41"/>
    </row>
    <row r="54141" spans="20:20" s="566" customFormat="1">
      <c r="T54141" s="41"/>
    </row>
    <row r="54142" spans="20:20" s="566" customFormat="1">
      <c r="T54142" s="41"/>
    </row>
    <row r="54143" spans="20:20" s="566" customFormat="1">
      <c r="T54143" s="41"/>
    </row>
    <row r="54144" spans="20:20" s="566" customFormat="1">
      <c r="T54144" s="41"/>
    </row>
    <row r="54145" spans="20:20" s="566" customFormat="1">
      <c r="T54145" s="41"/>
    </row>
    <row r="54146" spans="20:20" s="566" customFormat="1">
      <c r="T54146" s="41"/>
    </row>
    <row r="54147" spans="20:20" s="566" customFormat="1">
      <c r="T54147" s="41"/>
    </row>
    <row r="54148" spans="20:20" s="566" customFormat="1">
      <c r="T54148" s="41"/>
    </row>
    <row r="54149" spans="20:20" s="566" customFormat="1">
      <c r="T54149" s="41"/>
    </row>
    <row r="54150" spans="20:20" s="566" customFormat="1">
      <c r="T54150" s="41"/>
    </row>
    <row r="54151" spans="20:20" s="566" customFormat="1">
      <c r="T54151" s="41"/>
    </row>
    <row r="54152" spans="20:20" s="566" customFormat="1">
      <c r="T54152" s="41"/>
    </row>
    <row r="54153" spans="20:20" s="566" customFormat="1">
      <c r="T54153" s="41"/>
    </row>
    <row r="54154" spans="20:20" s="566" customFormat="1">
      <c r="T54154" s="41"/>
    </row>
    <row r="54155" spans="20:20" s="566" customFormat="1">
      <c r="T54155" s="41"/>
    </row>
    <row r="54156" spans="20:20" s="566" customFormat="1">
      <c r="T54156" s="41"/>
    </row>
    <row r="54157" spans="20:20" s="566" customFormat="1">
      <c r="T54157" s="41"/>
    </row>
    <row r="54158" spans="20:20" s="566" customFormat="1">
      <c r="T54158" s="41"/>
    </row>
    <row r="54159" spans="20:20" s="566" customFormat="1">
      <c r="T54159" s="41"/>
    </row>
    <row r="54160" spans="20:20" s="566" customFormat="1">
      <c r="T54160" s="41"/>
    </row>
    <row r="54161" spans="20:20" s="566" customFormat="1">
      <c r="T54161" s="41"/>
    </row>
    <row r="54162" spans="20:20" s="566" customFormat="1">
      <c r="T54162" s="41"/>
    </row>
    <row r="54163" spans="20:20" s="566" customFormat="1">
      <c r="T54163" s="41"/>
    </row>
    <row r="54164" spans="20:20" s="566" customFormat="1">
      <c r="T54164" s="41"/>
    </row>
    <row r="54165" spans="20:20" s="566" customFormat="1">
      <c r="T54165" s="41"/>
    </row>
    <row r="54166" spans="20:20" s="566" customFormat="1">
      <c r="T54166" s="41"/>
    </row>
    <row r="54167" spans="20:20" s="566" customFormat="1">
      <c r="T54167" s="41"/>
    </row>
    <row r="54168" spans="20:20" s="566" customFormat="1">
      <c r="T54168" s="41"/>
    </row>
    <row r="54169" spans="20:20" s="566" customFormat="1">
      <c r="T54169" s="41"/>
    </row>
    <row r="54170" spans="20:20" s="566" customFormat="1">
      <c r="T54170" s="41"/>
    </row>
    <row r="54171" spans="20:20" s="566" customFormat="1">
      <c r="T54171" s="41"/>
    </row>
    <row r="54172" spans="20:20" s="566" customFormat="1">
      <c r="T54172" s="41"/>
    </row>
    <row r="54173" spans="20:20" s="566" customFormat="1">
      <c r="T54173" s="41"/>
    </row>
    <row r="54174" spans="20:20" s="566" customFormat="1">
      <c r="T54174" s="41"/>
    </row>
    <row r="54175" spans="20:20" s="566" customFormat="1">
      <c r="T54175" s="41"/>
    </row>
    <row r="54176" spans="20:20" s="566" customFormat="1">
      <c r="T54176" s="41"/>
    </row>
    <row r="54177" spans="20:20" s="566" customFormat="1">
      <c r="T54177" s="41"/>
    </row>
    <row r="54178" spans="20:20" s="566" customFormat="1">
      <c r="T54178" s="41"/>
    </row>
    <row r="54179" spans="20:20" s="566" customFormat="1">
      <c r="T54179" s="41"/>
    </row>
    <row r="54180" spans="20:20" s="566" customFormat="1">
      <c r="T54180" s="41"/>
    </row>
    <row r="54181" spans="20:20" s="566" customFormat="1">
      <c r="T54181" s="41"/>
    </row>
    <row r="54182" spans="20:20" s="566" customFormat="1">
      <c r="T54182" s="41"/>
    </row>
    <row r="54183" spans="20:20" s="566" customFormat="1">
      <c r="T54183" s="41"/>
    </row>
    <row r="54184" spans="20:20" s="566" customFormat="1">
      <c r="T54184" s="41"/>
    </row>
    <row r="54185" spans="20:20" s="566" customFormat="1">
      <c r="T54185" s="41"/>
    </row>
    <row r="54186" spans="20:20" s="566" customFormat="1">
      <c r="T54186" s="41"/>
    </row>
    <row r="54187" spans="20:20" s="566" customFormat="1">
      <c r="T54187" s="41"/>
    </row>
    <row r="54188" spans="20:20" s="566" customFormat="1">
      <c r="T54188" s="41"/>
    </row>
    <row r="54189" spans="20:20" s="566" customFormat="1">
      <c r="T54189" s="41"/>
    </row>
    <row r="54190" spans="20:20" s="566" customFormat="1">
      <c r="T54190" s="41"/>
    </row>
    <row r="54191" spans="20:20" s="566" customFormat="1">
      <c r="T54191" s="41"/>
    </row>
    <row r="54192" spans="20:20" s="566" customFormat="1">
      <c r="T54192" s="41"/>
    </row>
    <row r="54193" spans="20:20" s="566" customFormat="1">
      <c r="T54193" s="41"/>
    </row>
    <row r="54194" spans="20:20" s="566" customFormat="1">
      <c r="T54194" s="41"/>
    </row>
    <row r="54195" spans="20:20" s="566" customFormat="1">
      <c r="T54195" s="41"/>
    </row>
    <row r="54196" spans="20:20" s="566" customFormat="1">
      <c r="T54196" s="41"/>
    </row>
    <row r="54197" spans="20:20" s="566" customFormat="1">
      <c r="T54197" s="41"/>
    </row>
    <row r="54198" spans="20:20" s="566" customFormat="1">
      <c r="T54198" s="41"/>
    </row>
    <row r="54199" spans="20:20" s="566" customFormat="1">
      <c r="T54199" s="41"/>
    </row>
    <row r="54200" spans="20:20" s="566" customFormat="1">
      <c r="T54200" s="41"/>
    </row>
    <row r="54201" spans="20:20" s="566" customFormat="1">
      <c r="T54201" s="41"/>
    </row>
    <row r="54202" spans="20:20" s="566" customFormat="1">
      <c r="T54202" s="41"/>
    </row>
    <row r="54203" spans="20:20" s="566" customFormat="1">
      <c r="T54203" s="41"/>
    </row>
    <row r="54204" spans="20:20" s="566" customFormat="1">
      <c r="T54204" s="41"/>
    </row>
    <row r="54205" spans="20:20" s="566" customFormat="1">
      <c r="T54205" s="41"/>
    </row>
    <row r="54206" spans="20:20" s="566" customFormat="1">
      <c r="T54206" s="41"/>
    </row>
    <row r="54207" spans="20:20" s="566" customFormat="1">
      <c r="T54207" s="41"/>
    </row>
    <row r="54208" spans="20:20" s="566" customFormat="1">
      <c r="T54208" s="41"/>
    </row>
    <row r="54209" spans="20:20" s="566" customFormat="1">
      <c r="T54209" s="41"/>
    </row>
    <row r="54210" spans="20:20" s="566" customFormat="1">
      <c r="T54210" s="41"/>
    </row>
    <row r="54211" spans="20:20" s="566" customFormat="1">
      <c r="T54211" s="41"/>
    </row>
    <row r="54212" spans="20:20" s="566" customFormat="1">
      <c r="T54212" s="41"/>
    </row>
    <row r="54213" spans="20:20" s="566" customFormat="1">
      <c r="T54213" s="41"/>
    </row>
    <row r="54214" spans="20:20" s="566" customFormat="1">
      <c r="T54214" s="41"/>
    </row>
    <row r="54215" spans="20:20" s="566" customFormat="1">
      <c r="T54215" s="41"/>
    </row>
    <row r="54216" spans="20:20" s="566" customFormat="1">
      <c r="T54216" s="41"/>
    </row>
    <row r="54217" spans="20:20" s="566" customFormat="1">
      <c r="T54217" s="41"/>
    </row>
    <row r="54218" spans="20:20" s="566" customFormat="1">
      <c r="T54218" s="41"/>
    </row>
    <row r="54219" spans="20:20" s="566" customFormat="1">
      <c r="T54219" s="41"/>
    </row>
    <row r="54220" spans="20:20" s="566" customFormat="1">
      <c r="T54220" s="41"/>
    </row>
    <row r="54221" spans="20:20" s="566" customFormat="1">
      <c r="T54221" s="41"/>
    </row>
    <row r="54222" spans="20:20" s="566" customFormat="1">
      <c r="T54222" s="41"/>
    </row>
    <row r="54223" spans="20:20" s="566" customFormat="1">
      <c r="T54223" s="41"/>
    </row>
    <row r="54224" spans="20:20" s="566" customFormat="1">
      <c r="T54224" s="41"/>
    </row>
    <row r="54225" spans="20:20" s="566" customFormat="1">
      <c r="T54225" s="41"/>
    </row>
    <row r="54226" spans="20:20" s="566" customFormat="1">
      <c r="T54226" s="41"/>
    </row>
    <row r="54227" spans="20:20" s="566" customFormat="1">
      <c r="T54227" s="41"/>
    </row>
    <row r="54228" spans="20:20" s="566" customFormat="1">
      <c r="T54228" s="41"/>
    </row>
    <row r="54229" spans="20:20" s="566" customFormat="1">
      <c r="T54229" s="41"/>
    </row>
    <row r="54230" spans="20:20" s="566" customFormat="1">
      <c r="T54230" s="41"/>
    </row>
    <row r="54231" spans="20:20" s="566" customFormat="1">
      <c r="T54231" s="41"/>
    </row>
    <row r="54232" spans="20:20" s="566" customFormat="1">
      <c r="T54232" s="41"/>
    </row>
    <row r="54233" spans="20:20" s="566" customFormat="1">
      <c r="T54233" s="41"/>
    </row>
    <row r="54234" spans="20:20" s="566" customFormat="1">
      <c r="T54234" s="41"/>
    </row>
    <row r="54235" spans="20:20" s="566" customFormat="1">
      <c r="T54235" s="41"/>
    </row>
    <row r="54236" spans="20:20" s="566" customFormat="1">
      <c r="T54236" s="41"/>
    </row>
    <row r="54237" spans="20:20" s="566" customFormat="1">
      <c r="T54237" s="41"/>
    </row>
    <row r="54238" spans="20:20" s="566" customFormat="1">
      <c r="T54238" s="41"/>
    </row>
    <row r="54239" spans="20:20" s="566" customFormat="1">
      <c r="T54239" s="41"/>
    </row>
    <row r="54240" spans="20:20" s="566" customFormat="1">
      <c r="T54240" s="41"/>
    </row>
    <row r="54241" spans="20:20" s="566" customFormat="1">
      <c r="T54241" s="41"/>
    </row>
    <row r="54242" spans="20:20" s="566" customFormat="1">
      <c r="T54242" s="41"/>
    </row>
    <row r="54243" spans="20:20" s="566" customFormat="1">
      <c r="T54243" s="41"/>
    </row>
    <row r="54244" spans="20:20" s="566" customFormat="1">
      <c r="T54244" s="41"/>
    </row>
    <row r="54245" spans="20:20" s="566" customFormat="1">
      <c r="T54245" s="41"/>
    </row>
    <row r="54246" spans="20:20" s="566" customFormat="1">
      <c r="T54246" s="41"/>
    </row>
    <row r="54247" spans="20:20" s="566" customFormat="1">
      <c r="T54247" s="41"/>
    </row>
    <row r="54248" spans="20:20" s="566" customFormat="1">
      <c r="T54248" s="41"/>
    </row>
    <row r="54249" spans="20:20" s="566" customFormat="1">
      <c r="T54249" s="41"/>
    </row>
    <row r="54250" spans="20:20" s="566" customFormat="1">
      <c r="T54250" s="41"/>
    </row>
    <row r="54251" spans="20:20" s="566" customFormat="1">
      <c r="T54251" s="41"/>
    </row>
    <row r="54252" spans="20:20" s="566" customFormat="1">
      <c r="T54252" s="41"/>
    </row>
    <row r="54253" spans="20:20" s="566" customFormat="1">
      <c r="T54253" s="41"/>
    </row>
    <row r="54254" spans="20:20" s="566" customFormat="1">
      <c r="T54254" s="41"/>
    </row>
    <row r="54255" spans="20:20" s="566" customFormat="1">
      <c r="T54255" s="41"/>
    </row>
    <row r="54256" spans="20:20" s="566" customFormat="1">
      <c r="T54256" s="41"/>
    </row>
    <row r="54257" spans="20:20" s="566" customFormat="1">
      <c r="T54257" s="41"/>
    </row>
    <row r="54258" spans="20:20" s="566" customFormat="1">
      <c r="T54258" s="41"/>
    </row>
    <row r="54259" spans="20:20" s="566" customFormat="1">
      <c r="T54259" s="41"/>
    </row>
    <row r="54260" spans="20:20" s="566" customFormat="1">
      <c r="T54260" s="41"/>
    </row>
    <row r="54261" spans="20:20" s="566" customFormat="1">
      <c r="T54261" s="41"/>
    </row>
    <row r="54262" spans="20:20" s="566" customFormat="1">
      <c r="T54262" s="41"/>
    </row>
    <row r="54263" spans="20:20" s="566" customFormat="1">
      <c r="T54263" s="41"/>
    </row>
    <row r="54264" spans="20:20" s="566" customFormat="1">
      <c r="T54264" s="41"/>
    </row>
    <row r="54265" spans="20:20" s="566" customFormat="1">
      <c r="T54265" s="41"/>
    </row>
    <row r="54266" spans="20:20" s="566" customFormat="1">
      <c r="T54266" s="41"/>
    </row>
    <row r="54267" spans="20:20" s="566" customFormat="1">
      <c r="T54267" s="41"/>
    </row>
    <row r="54268" spans="20:20" s="566" customFormat="1">
      <c r="T54268" s="41"/>
    </row>
    <row r="54269" spans="20:20" s="566" customFormat="1">
      <c r="T54269" s="41"/>
    </row>
    <row r="54270" spans="20:20" s="566" customFormat="1">
      <c r="T54270" s="41"/>
    </row>
    <row r="54271" spans="20:20" s="566" customFormat="1">
      <c r="T54271" s="41"/>
    </row>
    <row r="54272" spans="20:20" s="566" customFormat="1">
      <c r="T54272" s="41"/>
    </row>
    <row r="54273" spans="20:20" s="566" customFormat="1">
      <c r="T54273" s="41"/>
    </row>
    <row r="54274" spans="20:20" s="566" customFormat="1">
      <c r="T54274" s="41"/>
    </row>
    <row r="54275" spans="20:20" s="566" customFormat="1">
      <c r="T54275" s="41"/>
    </row>
    <row r="54276" spans="20:20" s="566" customFormat="1">
      <c r="T54276" s="41"/>
    </row>
    <row r="54277" spans="20:20" s="566" customFormat="1">
      <c r="T54277" s="41"/>
    </row>
    <row r="54278" spans="20:20" s="566" customFormat="1">
      <c r="T54278" s="41"/>
    </row>
    <row r="54279" spans="20:20" s="566" customFormat="1">
      <c r="T54279" s="41"/>
    </row>
    <row r="54280" spans="20:20" s="566" customFormat="1">
      <c r="T54280" s="41"/>
    </row>
    <row r="54281" spans="20:20" s="566" customFormat="1">
      <c r="T54281" s="41"/>
    </row>
    <row r="54282" spans="20:20" s="566" customFormat="1">
      <c r="T54282" s="41"/>
    </row>
    <row r="54283" spans="20:20" s="566" customFormat="1">
      <c r="T54283" s="41"/>
    </row>
    <row r="54284" spans="20:20" s="566" customFormat="1">
      <c r="T54284" s="41"/>
    </row>
    <row r="54285" spans="20:20" s="566" customFormat="1">
      <c r="T54285" s="41"/>
    </row>
    <row r="54286" spans="20:20" s="566" customFormat="1">
      <c r="T54286" s="41"/>
    </row>
    <row r="54287" spans="20:20" s="566" customFormat="1">
      <c r="T54287" s="41"/>
    </row>
    <row r="54288" spans="20:20" s="566" customFormat="1">
      <c r="T54288" s="41"/>
    </row>
    <row r="54289" spans="20:20" s="566" customFormat="1">
      <c r="T54289" s="41"/>
    </row>
    <row r="54290" spans="20:20" s="566" customFormat="1">
      <c r="T54290" s="41"/>
    </row>
    <row r="54291" spans="20:20" s="566" customFormat="1">
      <c r="T54291" s="41"/>
    </row>
    <row r="54292" spans="20:20" s="566" customFormat="1">
      <c r="T54292" s="41"/>
    </row>
    <row r="54293" spans="20:20" s="566" customFormat="1">
      <c r="T54293" s="41"/>
    </row>
    <row r="54294" spans="20:20" s="566" customFormat="1">
      <c r="T54294" s="41"/>
    </row>
    <row r="54295" spans="20:20" s="566" customFormat="1">
      <c r="T54295" s="41"/>
    </row>
    <row r="54296" spans="20:20" s="566" customFormat="1">
      <c r="T54296" s="41"/>
    </row>
    <row r="54297" spans="20:20" s="566" customFormat="1">
      <c r="T54297" s="41"/>
    </row>
    <row r="54298" spans="20:20" s="566" customFormat="1">
      <c r="T54298" s="41"/>
    </row>
    <row r="54299" spans="20:20" s="566" customFormat="1">
      <c r="T54299" s="41"/>
    </row>
    <row r="54300" spans="20:20" s="566" customFormat="1">
      <c r="T54300" s="41"/>
    </row>
    <row r="54301" spans="20:20" s="566" customFormat="1">
      <c r="T54301" s="41"/>
    </row>
    <row r="54302" spans="20:20" s="566" customFormat="1">
      <c r="T54302" s="41"/>
    </row>
    <row r="54303" spans="20:20" s="566" customFormat="1">
      <c r="T54303" s="41"/>
    </row>
    <row r="54304" spans="20:20" s="566" customFormat="1">
      <c r="T54304" s="41"/>
    </row>
    <row r="54305" spans="20:20" s="566" customFormat="1">
      <c r="T54305" s="41"/>
    </row>
    <row r="54306" spans="20:20" s="566" customFormat="1">
      <c r="T54306" s="41"/>
    </row>
    <row r="54307" spans="20:20" s="566" customFormat="1">
      <c r="T54307" s="41"/>
    </row>
    <row r="54308" spans="20:20" s="566" customFormat="1">
      <c r="T54308" s="41"/>
    </row>
    <row r="54309" spans="20:20" s="566" customFormat="1">
      <c r="T54309" s="41"/>
    </row>
    <row r="54310" spans="20:20" s="566" customFormat="1">
      <c r="T54310" s="41"/>
    </row>
    <row r="54311" spans="20:20" s="566" customFormat="1">
      <c r="T54311" s="41"/>
    </row>
    <row r="54312" spans="20:20" s="566" customFormat="1">
      <c r="T54312" s="41"/>
    </row>
    <row r="54313" spans="20:20" s="566" customFormat="1">
      <c r="T54313" s="41"/>
    </row>
    <row r="54314" spans="20:20" s="566" customFormat="1">
      <c r="T54314" s="41"/>
    </row>
    <row r="54315" spans="20:20" s="566" customFormat="1">
      <c r="T54315" s="41"/>
    </row>
    <row r="54316" spans="20:20" s="566" customFormat="1">
      <c r="T54316" s="41"/>
    </row>
    <row r="54317" spans="20:20" s="566" customFormat="1">
      <c r="T54317" s="41"/>
    </row>
    <row r="54318" spans="20:20" s="566" customFormat="1">
      <c r="T54318" s="41"/>
    </row>
    <row r="54319" spans="20:20" s="566" customFormat="1">
      <c r="T54319" s="41"/>
    </row>
    <row r="54320" spans="20:20" s="566" customFormat="1">
      <c r="T54320" s="41"/>
    </row>
    <row r="54321" spans="20:20" s="566" customFormat="1">
      <c r="T54321" s="41"/>
    </row>
    <row r="54322" spans="20:20" s="566" customFormat="1">
      <c r="T54322" s="41"/>
    </row>
    <row r="54323" spans="20:20" s="566" customFormat="1">
      <c r="T54323" s="41"/>
    </row>
    <row r="54324" spans="20:20" s="566" customFormat="1">
      <c r="T54324" s="41"/>
    </row>
    <row r="54325" spans="20:20" s="566" customFormat="1">
      <c r="T54325" s="41"/>
    </row>
    <row r="54326" spans="20:20" s="566" customFormat="1">
      <c r="T54326" s="41"/>
    </row>
    <row r="54327" spans="20:20" s="566" customFormat="1">
      <c r="T54327" s="41"/>
    </row>
    <row r="54328" spans="20:20" s="566" customFormat="1">
      <c r="T54328" s="41"/>
    </row>
    <row r="54329" spans="20:20" s="566" customFormat="1">
      <c r="T54329" s="41"/>
    </row>
    <row r="54330" spans="20:20" s="566" customFormat="1">
      <c r="T54330" s="41"/>
    </row>
    <row r="54331" spans="20:20" s="566" customFormat="1">
      <c r="T54331" s="41"/>
    </row>
    <row r="54332" spans="20:20" s="566" customFormat="1">
      <c r="T54332" s="41"/>
    </row>
    <row r="54333" spans="20:20" s="566" customFormat="1">
      <c r="T54333" s="41"/>
    </row>
    <row r="54334" spans="20:20" s="566" customFormat="1">
      <c r="T54334" s="41"/>
    </row>
    <row r="54335" spans="20:20" s="566" customFormat="1">
      <c r="T54335" s="41"/>
    </row>
    <row r="54336" spans="20:20" s="566" customFormat="1">
      <c r="T54336" s="41"/>
    </row>
    <row r="54337" spans="20:20" s="566" customFormat="1">
      <c r="T54337" s="41"/>
    </row>
    <row r="54338" spans="20:20" s="566" customFormat="1">
      <c r="T54338" s="41"/>
    </row>
    <row r="54339" spans="20:20" s="566" customFormat="1">
      <c r="T54339" s="41"/>
    </row>
    <row r="54340" spans="20:20" s="566" customFormat="1">
      <c r="T54340" s="41"/>
    </row>
    <row r="54341" spans="20:20" s="566" customFormat="1">
      <c r="T54341" s="41"/>
    </row>
    <row r="54342" spans="20:20" s="566" customFormat="1">
      <c r="T54342" s="41"/>
    </row>
    <row r="54343" spans="20:20" s="566" customFormat="1">
      <c r="T54343" s="41"/>
    </row>
    <row r="54344" spans="20:20" s="566" customFormat="1">
      <c r="T54344" s="41"/>
    </row>
    <row r="54345" spans="20:20" s="566" customFormat="1">
      <c r="T54345" s="41"/>
    </row>
    <row r="54346" spans="20:20" s="566" customFormat="1">
      <c r="T54346" s="41"/>
    </row>
    <row r="54347" spans="20:20" s="566" customFormat="1">
      <c r="T54347" s="41"/>
    </row>
    <row r="54348" spans="20:20" s="566" customFormat="1">
      <c r="T54348" s="41"/>
    </row>
    <row r="54349" spans="20:20" s="566" customFormat="1">
      <c r="T54349" s="41"/>
    </row>
    <row r="54350" spans="20:20" s="566" customFormat="1">
      <c r="T54350" s="41"/>
    </row>
    <row r="54351" spans="20:20" s="566" customFormat="1">
      <c r="T54351" s="41"/>
    </row>
    <row r="54352" spans="20:20" s="566" customFormat="1">
      <c r="T54352" s="41"/>
    </row>
    <row r="54353" spans="20:20" s="566" customFormat="1">
      <c r="T54353" s="41"/>
    </row>
    <row r="54354" spans="20:20" s="566" customFormat="1">
      <c r="T54354" s="41"/>
    </row>
    <row r="54355" spans="20:20" s="566" customFormat="1">
      <c r="T54355" s="41"/>
    </row>
    <row r="54356" spans="20:20" s="566" customFormat="1">
      <c r="T54356" s="41"/>
    </row>
    <row r="54357" spans="20:20" s="566" customFormat="1">
      <c r="T54357" s="41"/>
    </row>
    <row r="54358" spans="20:20" s="566" customFormat="1">
      <c r="T54358" s="41"/>
    </row>
    <row r="54359" spans="20:20" s="566" customFormat="1">
      <c r="T54359" s="41"/>
    </row>
    <row r="54360" spans="20:20" s="566" customFormat="1">
      <c r="T54360" s="41"/>
    </row>
    <row r="54361" spans="20:20" s="566" customFormat="1">
      <c r="T54361" s="41"/>
    </row>
    <row r="54362" spans="20:20" s="566" customFormat="1">
      <c r="T54362" s="41"/>
    </row>
    <row r="54363" spans="20:20" s="566" customFormat="1">
      <c r="T54363" s="41"/>
    </row>
    <row r="54364" spans="20:20" s="566" customFormat="1">
      <c r="T54364" s="41"/>
    </row>
    <row r="54365" spans="20:20" s="566" customFormat="1">
      <c r="T54365" s="41"/>
    </row>
    <row r="54366" spans="20:20" s="566" customFormat="1">
      <c r="T54366" s="41"/>
    </row>
    <row r="54367" spans="20:20" s="566" customFormat="1">
      <c r="T54367" s="41"/>
    </row>
    <row r="54368" spans="20:20" s="566" customFormat="1">
      <c r="T54368" s="41"/>
    </row>
    <row r="54369" spans="20:20" s="566" customFormat="1">
      <c r="T54369" s="41"/>
    </row>
    <row r="54370" spans="20:20" s="566" customFormat="1">
      <c r="T54370" s="41"/>
    </row>
    <row r="54371" spans="20:20" s="566" customFormat="1">
      <c r="T54371" s="41"/>
    </row>
    <row r="54372" spans="20:20" s="566" customFormat="1">
      <c r="T54372" s="41"/>
    </row>
    <row r="54373" spans="20:20" s="566" customFormat="1">
      <c r="T54373" s="41"/>
    </row>
    <row r="54374" spans="20:20" s="566" customFormat="1">
      <c r="T54374" s="41"/>
    </row>
    <row r="54375" spans="20:20" s="566" customFormat="1">
      <c r="T54375" s="41"/>
    </row>
    <row r="54376" spans="20:20" s="566" customFormat="1">
      <c r="T54376" s="41"/>
    </row>
    <row r="54377" spans="20:20" s="566" customFormat="1">
      <c r="T54377" s="41"/>
    </row>
    <row r="54378" spans="20:20" s="566" customFormat="1">
      <c r="T54378" s="41"/>
    </row>
    <row r="54379" spans="20:20" s="566" customFormat="1">
      <c r="T54379" s="41"/>
    </row>
    <row r="54380" spans="20:20" s="566" customFormat="1">
      <c r="T54380" s="41"/>
    </row>
    <row r="54381" spans="20:20" s="566" customFormat="1">
      <c r="T54381" s="41"/>
    </row>
    <row r="54382" spans="20:20" s="566" customFormat="1">
      <c r="T54382" s="41"/>
    </row>
    <row r="54383" spans="20:20" s="566" customFormat="1">
      <c r="T54383" s="41"/>
    </row>
    <row r="54384" spans="20:20" s="566" customFormat="1">
      <c r="T54384" s="41"/>
    </row>
    <row r="54385" spans="20:20" s="566" customFormat="1">
      <c r="T54385" s="41"/>
    </row>
    <row r="54386" spans="20:20" s="566" customFormat="1">
      <c r="T54386" s="41"/>
    </row>
    <row r="54387" spans="20:20" s="566" customFormat="1">
      <c r="T54387" s="41"/>
    </row>
    <row r="54388" spans="20:20" s="566" customFormat="1">
      <c r="T54388" s="41"/>
    </row>
    <row r="54389" spans="20:20" s="566" customFormat="1">
      <c r="T54389" s="41"/>
    </row>
    <row r="54390" spans="20:20" s="566" customFormat="1">
      <c r="T54390" s="41"/>
    </row>
    <row r="54391" spans="20:20" s="566" customFormat="1">
      <c r="T54391" s="41"/>
    </row>
    <row r="54392" spans="20:20" s="566" customFormat="1">
      <c r="T54392" s="41"/>
    </row>
    <row r="54393" spans="20:20" s="566" customFormat="1">
      <c r="T54393" s="41"/>
    </row>
    <row r="54394" spans="20:20" s="566" customFormat="1">
      <c r="T54394" s="41"/>
    </row>
    <row r="54395" spans="20:20" s="566" customFormat="1">
      <c r="T54395" s="41"/>
    </row>
    <row r="54396" spans="20:20" s="566" customFormat="1">
      <c r="T54396" s="41"/>
    </row>
    <row r="54397" spans="20:20" s="566" customFormat="1">
      <c r="T54397" s="41"/>
    </row>
    <row r="54398" spans="20:20" s="566" customFormat="1">
      <c r="T54398" s="41"/>
    </row>
    <row r="54399" spans="20:20" s="566" customFormat="1">
      <c r="T54399" s="41"/>
    </row>
    <row r="54400" spans="20:20" s="566" customFormat="1">
      <c r="T54400" s="41"/>
    </row>
    <row r="54401" spans="20:20" s="566" customFormat="1">
      <c r="T54401" s="41"/>
    </row>
    <row r="54402" spans="20:20" s="566" customFormat="1">
      <c r="T54402" s="41"/>
    </row>
    <row r="54403" spans="20:20" s="566" customFormat="1">
      <c r="T54403" s="41"/>
    </row>
    <row r="54404" spans="20:20" s="566" customFormat="1">
      <c r="T54404" s="41"/>
    </row>
    <row r="54405" spans="20:20" s="566" customFormat="1">
      <c r="T54405" s="41"/>
    </row>
    <row r="54406" spans="20:20" s="566" customFormat="1">
      <c r="T54406" s="41"/>
    </row>
    <row r="54407" spans="20:20" s="566" customFormat="1">
      <c r="T54407" s="41"/>
    </row>
    <row r="54408" spans="20:20" s="566" customFormat="1">
      <c r="T54408" s="41"/>
    </row>
    <row r="54409" spans="20:20" s="566" customFormat="1">
      <c r="T54409" s="41"/>
    </row>
    <row r="54410" spans="20:20" s="566" customFormat="1">
      <c r="T54410" s="41"/>
    </row>
    <row r="54411" spans="20:20" s="566" customFormat="1">
      <c r="T54411" s="41"/>
    </row>
    <row r="54412" spans="20:20" s="566" customFormat="1">
      <c r="T54412" s="41"/>
    </row>
    <row r="54413" spans="20:20" s="566" customFormat="1">
      <c r="T54413" s="41"/>
    </row>
    <row r="54414" spans="20:20" s="566" customFormat="1">
      <c r="T54414" s="41"/>
    </row>
    <row r="54415" spans="20:20" s="566" customFormat="1">
      <c r="T54415" s="41"/>
    </row>
    <row r="54416" spans="20:20" s="566" customFormat="1">
      <c r="T54416" s="41"/>
    </row>
    <row r="54417" spans="20:20" s="566" customFormat="1">
      <c r="T54417" s="41"/>
    </row>
    <row r="54418" spans="20:20" s="566" customFormat="1">
      <c r="T54418" s="41"/>
    </row>
    <row r="54419" spans="20:20" s="566" customFormat="1">
      <c r="T54419" s="41"/>
    </row>
    <row r="54420" spans="20:20" s="566" customFormat="1">
      <c r="T54420" s="41"/>
    </row>
    <row r="54421" spans="20:20" s="566" customFormat="1">
      <c r="T54421" s="41"/>
    </row>
    <row r="54422" spans="20:20" s="566" customFormat="1">
      <c r="T54422" s="41"/>
    </row>
    <row r="54423" spans="20:20" s="566" customFormat="1">
      <c r="T54423" s="41"/>
    </row>
    <row r="54424" spans="20:20" s="566" customFormat="1">
      <c r="T54424" s="41"/>
    </row>
    <row r="54425" spans="20:20" s="566" customFormat="1">
      <c r="T54425" s="41"/>
    </row>
    <row r="54426" spans="20:20" s="566" customFormat="1">
      <c r="T54426" s="41"/>
    </row>
    <row r="54427" spans="20:20" s="566" customFormat="1">
      <c r="T54427" s="41"/>
    </row>
    <row r="54428" spans="20:20" s="566" customFormat="1">
      <c r="T54428" s="41"/>
    </row>
    <row r="54429" spans="20:20" s="566" customFormat="1">
      <c r="T54429" s="41"/>
    </row>
    <row r="54430" spans="20:20" s="566" customFormat="1">
      <c r="T54430" s="41"/>
    </row>
    <row r="54431" spans="20:20" s="566" customFormat="1">
      <c r="T54431" s="41"/>
    </row>
    <row r="54432" spans="20:20" s="566" customFormat="1">
      <c r="T54432" s="41"/>
    </row>
    <row r="54433" spans="20:20" s="566" customFormat="1">
      <c r="T54433" s="41"/>
    </row>
    <row r="54434" spans="20:20" s="566" customFormat="1">
      <c r="T54434" s="41"/>
    </row>
    <row r="54435" spans="20:20" s="566" customFormat="1">
      <c r="T54435" s="41"/>
    </row>
    <row r="54436" spans="20:20" s="566" customFormat="1">
      <c r="T54436" s="41"/>
    </row>
    <row r="54437" spans="20:20" s="566" customFormat="1">
      <c r="T54437" s="41"/>
    </row>
    <row r="54438" spans="20:20" s="566" customFormat="1">
      <c r="T54438" s="41"/>
    </row>
    <row r="54439" spans="20:20" s="566" customFormat="1">
      <c r="T54439" s="41"/>
    </row>
    <row r="54440" spans="20:20" s="566" customFormat="1">
      <c r="T54440" s="41"/>
    </row>
    <row r="54441" spans="20:20" s="566" customFormat="1">
      <c r="T54441" s="41"/>
    </row>
    <row r="54442" spans="20:20" s="566" customFormat="1">
      <c r="T54442" s="41"/>
    </row>
    <row r="54443" spans="20:20" s="566" customFormat="1">
      <c r="T54443" s="41"/>
    </row>
    <row r="54444" spans="20:20" s="566" customFormat="1">
      <c r="T54444" s="41"/>
    </row>
    <row r="54445" spans="20:20" s="566" customFormat="1">
      <c r="T54445" s="41"/>
    </row>
    <row r="54446" spans="20:20" s="566" customFormat="1">
      <c r="T54446" s="41"/>
    </row>
    <row r="54447" spans="20:20" s="566" customFormat="1">
      <c r="T54447" s="41"/>
    </row>
    <row r="54448" spans="20:20" s="566" customFormat="1">
      <c r="T54448" s="41"/>
    </row>
    <row r="54449" spans="20:20" s="566" customFormat="1">
      <c r="T54449" s="41"/>
    </row>
    <row r="54450" spans="20:20" s="566" customFormat="1">
      <c r="T54450" s="41"/>
    </row>
    <row r="54451" spans="20:20" s="566" customFormat="1">
      <c r="T54451" s="41"/>
    </row>
    <row r="54452" spans="20:20" s="566" customFormat="1">
      <c r="T54452" s="41"/>
    </row>
    <row r="54453" spans="20:20" s="566" customFormat="1">
      <c r="T54453" s="41"/>
    </row>
    <row r="54454" spans="20:20" s="566" customFormat="1">
      <c r="T54454" s="41"/>
    </row>
    <row r="54455" spans="20:20" s="566" customFormat="1">
      <c r="T54455" s="41"/>
    </row>
    <row r="54456" spans="20:20" s="566" customFormat="1">
      <c r="T54456" s="41"/>
    </row>
    <row r="54457" spans="20:20" s="566" customFormat="1">
      <c r="T54457" s="41"/>
    </row>
    <row r="54458" spans="20:20" s="566" customFormat="1">
      <c r="T54458" s="41"/>
    </row>
    <row r="54459" spans="20:20" s="566" customFormat="1">
      <c r="T54459" s="41"/>
    </row>
    <row r="54460" spans="20:20" s="566" customFormat="1">
      <c r="T54460" s="41"/>
    </row>
    <row r="54461" spans="20:20" s="566" customFormat="1">
      <c r="T54461" s="41"/>
    </row>
    <row r="54462" spans="20:20" s="566" customFormat="1">
      <c r="T54462" s="41"/>
    </row>
    <row r="54463" spans="20:20" s="566" customFormat="1">
      <c r="T54463" s="41"/>
    </row>
    <row r="54464" spans="20:20" s="566" customFormat="1">
      <c r="T54464" s="41"/>
    </row>
    <row r="54465" spans="20:20" s="566" customFormat="1">
      <c r="T54465" s="41"/>
    </row>
    <row r="54466" spans="20:20" s="566" customFormat="1">
      <c r="T54466" s="41"/>
    </row>
    <row r="54467" spans="20:20" s="566" customFormat="1">
      <c r="T54467" s="41"/>
    </row>
    <row r="54468" spans="20:20" s="566" customFormat="1">
      <c r="T54468" s="41"/>
    </row>
    <row r="54469" spans="20:20" s="566" customFormat="1">
      <c r="T54469" s="41"/>
    </row>
    <row r="54470" spans="20:20" s="566" customFormat="1">
      <c r="T54470" s="41"/>
    </row>
    <row r="54471" spans="20:20" s="566" customFormat="1">
      <c r="T54471" s="41"/>
    </row>
    <row r="54472" spans="20:20" s="566" customFormat="1">
      <c r="T54472" s="41"/>
    </row>
    <row r="54473" spans="20:20" s="566" customFormat="1">
      <c r="T54473" s="41"/>
    </row>
    <row r="54474" spans="20:20" s="566" customFormat="1">
      <c r="T54474" s="41"/>
    </row>
    <row r="54475" spans="20:20" s="566" customFormat="1">
      <c r="T54475" s="41"/>
    </row>
    <row r="54476" spans="20:20" s="566" customFormat="1">
      <c r="T54476" s="41"/>
    </row>
    <row r="54477" spans="20:20" s="566" customFormat="1">
      <c r="T54477" s="41"/>
    </row>
    <row r="54478" spans="20:20" s="566" customFormat="1">
      <c r="T54478" s="41"/>
    </row>
    <row r="54479" spans="20:20" s="566" customFormat="1">
      <c r="T54479" s="41"/>
    </row>
    <row r="54480" spans="20:20" s="566" customFormat="1">
      <c r="T54480" s="41"/>
    </row>
    <row r="54481" spans="20:20" s="566" customFormat="1">
      <c r="T54481" s="41"/>
    </row>
    <row r="54482" spans="20:20" s="566" customFormat="1">
      <c r="T54482" s="41"/>
    </row>
    <row r="54483" spans="20:20" s="566" customFormat="1">
      <c r="T54483" s="41"/>
    </row>
    <row r="54484" spans="20:20" s="566" customFormat="1">
      <c r="T54484" s="41"/>
    </row>
    <row r="54485" spans="20:20" s="566" customFormat="1">
      <c r="T54485" s="41"/>
    </row>
    <row r="54486" spans="20:20" s="566" customFormat="1">
      <c r="T54486" s="41"/>
    </row>
    <row r="54487" spans="20:20" s="566" customFormat="1">
      <c r="T54487" s="41"/>
    </row>
    <row r="54488" spans="20:20" s="566" customFormat="1">
      <c r="T54488" s="41"/>
    </row>
    <row r="54489" spans="20:20" s="566" customFormat="1">
      <c r="T54489" s="41"/>
    </row>
    <row r="54490" spans="20:20" s="566" customFormat="1">
      <c r="T54490" s="41"/>
    </row>
    <row r="54491" spans="20:20" s="566" customFormat="1">
      <c r="T54491" s="41"/>
    </row>
    <row r="54492" spans="20:20" s="566" customFormat="1">
      <c r="T54492" s="41"/>
    </row>
    <row r="54493" spans="20:20" s="566" customFormat="1">
      <c r="T54493" s="41"/>
    </row>
    <row r="54494" spans="20:20" s="566" customFormat="1">
      <c r="T54494" s="41"/>
    </row>
    <row r="54495" spans="20:20" s="566" customFormat="1">
      <c r="T54495" s="41"/>
    </row>
    <row r="54496" spans="20:20" s="566" customFormat="1">
      <c r="T54496" s="41"/>
    </row>
    <row r="54497" spans="20:20" s="566" customFormat="1">
      <c r="T54497" s="41"/>
    </row>
    <row r="54498" spans="20:20" s="566" customFormat="1">
      <c r="T54498" s="41"/>
    </row>
    <row r="54499" spans="20:20" s="566" customFormat="1">
      <c r="T54499" s="41"/>
    </row>
    <row r="54500" spans="20:20" s="566" customFormat="1">
      <c r="T54500" s="41"/>
    </row>
    <row r="54501" spans="20:20" s="566" customFormat="1">
      <c r="T54501" s="41"/>
    </row>
    <row r="54502" spans="20:20" s="566" customFormat="1">
      <c r="T54502" s="41"/>
    </row>
    <row r="54503" spans="20:20" s="566" customFormat="1">
      <c r="T54503" s="41"/>
    </row>
    <row r="54504" spans="20:20" s="566" customFormat="1">
      <c r="T54504" s="41"/>
    </row>
    <row r="54505" spans="20:20" s="566" customFormat="1">
      <c r="T54505" s="41"/>
    </row>
    <row r="54506" spans="20:20" s="566" customFormat="1">
      <c r="T54506" s="41"/>
    </row>
    <row r="54507" spans="20:20" s="566" customFormat="1">
      <c r="T54507" s="41"/>
    </row>
    <row r="54508" spans="20:20" s="566" customFormat="1">
      <c r="T54508" s="41"/>
    </row>
    <row r="54509" spans="20:20" s="566" customFormat="1">
      <c r="T54509" s="41"/>
    </row>
    <row r="54510" spans="20:20" s="566" customFormat="1">
      <c r="T54510" s="41"/>
    </row>
    <row r="54511" spans="20:20" s="566" customFormat="1">
      <c r="T54511" s="41"/>
    </row>
    <row r="54512" spans="20:20" s="566" customFormat="1">
      <c r="T54512" s="41"/>
    </row>
    <row r="54513" spans="20:20" s="566" customFormat="1">
      <c r="T54513" s="41"/>
    </row>
    <row r="54514" spans="20:20" s="566" customFormat="1">
      <c r="T54514" s="41"/>
    </row>
    <row r="54515" spans="20:20" s="566" customFormat="1">
      <c r="T54515" s="41"/>
    </row>
    <row r="54516" spans="20:20" s="566" customFormat="1">
      <c r="T54516" s="41"/>
    </row>
    <row r="54517" spans="20:20" s="566" customFormat="1">
      <c r="T54517" s="41"/>
    </row>
    <row r="54518" spans="20:20" s="566" customFormat="1">
      <c r="T54518" s="41"/>
    </row>
    <row r="54519" spans="20:20" s="566" customFormat="1">
      <c r="T54519" s="41"/>
    </row>
    <row r="54520" spans="20:20" s="566" customFormat="1">
      <c r="T54520" s="41"/>
    </row>
    <row r="54521" spans="20:20" s="566" customFormat="1">
      <c r="T54521" s="41"/>
    </row>
    <row r="54522" spans="20:20" s="566" customFormat="1">
      <c r="T54522" s="41"/>
    </row>
    <row r="54523" spans="20:20" s="566" customFormat="1">
      <c r="T54523" s="41"/>
    </row>
    <row r="54524" spans="20:20" s="566" customFormat="1">
      <c r="T54524" s="41"/>
    </row>
    <row r="54525" spans="20:20" s="566" customFormat="1">
      <c r="T54525" s="41"/>
    </row>
    <row r="54526" spans="20:20" s="566" customFormat="1">
      <c r="T54526" s="41"/>
    </row>
    <row r="54527" spans="20:20" s="566" customFormat="1">
      <c r="T54527" s="41"/>
    </row>
    <row r="54528" spans="20:20" s="566" customFormat="1">
      <c r="T54528" s="41"/>
    </row>
    <row r="54529" spans="20:20" s="566" customFormat="1">
      <c r="T54529" s="41"/>
    </row>
    <row r="54530" spans="20:20" s="566" customFormat="1">
      <c r="T54530" s="41"/>
    </row>
    <row r="54531" spans="20:20" s="566" customFormat="1">
      <c r="T54531" s="41"/>
    </row>
    <row r="54532" spans="20:20" s="566" customFormat="1">
      <c r="T54532" s="41"/>
    </row>
    <row r="54533" spans="20:20" s="566" customFormat="1">
      <c r="T54533" s="41"/>
    </row>
    <row r="54534" spans="20:20" s="566" customFormat="1">
      <c r="T54534" s="41"/>
    </row>
    <row r="54535" spans="20:20" s="566" customFormat="1">
      <c r="T54535" s="41"/>
    </row>
    <row r="54536" spans="20:20" s="566" customFormat="1">
      <c r="T54536" s="41"/>
    </row>
    <row r="54537" spans="20:20" s="566" customFormat="1">
      <c r="T54537" s="41"/>
    </row>
    <row r="54538" spans="20:20" s="566" customFormat="1">
      <c r="T54538" s="41"/>
    </row>
    <row r="54539" spans="20:20" s="566" customFormat="1">
      <c r="T54539" s="41"/>
    </row>
    <row r="54540" spans="20:20" s="566" customFormat="1">
      <c r="T54540" s="41"/>
    </row>
    <row r="54541" spans="20:20" s="566" customFormat="1">
      <c r="T54541" s="41"/>
    </row>
    <row r="54542" spans="20:20" s="566" customFormat="1">
      <c r="T54542" s="41"/>
    </row>
    <row r="54543" spans="20:20" s="566" customFormat="1">
      <c r="T54543" s="41"/>
    </row>
    <row r="54544" spans="20:20" s="566" customFormat="1">
      <c r="T54544" s="41"/>
    </row>
    <row r="54545" spans="20:20" s="566" customFormat="1">
      <c r="T54545" s="41"/>
    </row>
    <row r="54546" spans="20:20" s="566" customFormat="1">
      <c r="T54546" s="41"/>
    </row>
    <row r="54547" spans="20:20" s="566" customFormat="1">
      <c r="T54547" s="41"/>
    </row>
    <row r="54548" spans="20:20" s="566" customFormat="1">
      <c r="T54548" s="41"/>
    </row>
    <row r="54549" spans="20:20" s="566" customFormat="1">
      <c r="T54549" s="41"/>
    </row>
    <row r="54550" spans="20:20" s="566" customFormat="1">
      <c r="T54550" s="41"/>
    </row>
    <row r="54551" spans="20:20" s="566" customFormat="1">
      <c r="T54551" s="41"/>
    </row>
    <row r="54552" spans="20:20" s="566" customFormat="1">
      <c r="T54552" s="41"/>
    </row>
    <row r="54553" spans="20:20" s="566" customFormat="1">
      <c r="T54553" s="41"/>
    </row>
    <row r="54554" spans="20:20" s="566" customFormat="1">
      <c r="T54554" s="41"/>
    </row>
    <row r="54555" spans="20:20" s="566" customFormat="1">
      <c r="T54555" s="41"/>
    </row>
    <row r="54556" spans="20:20" s="566" customFormat="1">
      <c r="T54556" s="41"/>
    </row>
    <row r="54557" spans="20:20" s="566" customFormat="1">
      <c r="T54557" s="41"/>
    </row>
    <row r="54558" spans="20:20" s="566" customFormat="1">
      <c r="T54558" s="41"/>
    </row>
    <row r="54559" spans="20:20" s="566" customFormat="1">
      <c r="T54559" s="41"/>
    </row>
    <row r="54560" spans="20:20" s="566" customFormat="1">
      <c r="T54560" s="41"/>
    </row>
    <row r="54561" spans="20:20" s="566" customFormat="1">
      <c r="T54561" s="41"/>
    </row>
    <row r="54562" spans="20:20" s="566" customFormat="1">
      <c r="T54562" s="41"/>
    </row>
    <row r="54563" spans="20:20" s="566" customFormat="1">
      <c r="T54563" s="41"/>
    </row>
    <row r="54564" spans="20:20" s="566" customFormat="1">
      <c r="T54564" s="41"/>
    </row>
    <row r="54565" spans="20:20" s="566" customFormat="1">
      <c r="T54565" s="41"/>
    </row>
    <row r="54566" spans="20:20" s="566" customFormat="1">
      <c r="T54566" s="41"/>
    </row>
    <row r="54567" spans="20:20" s="566" customFormat="1">
      <c r="T54567" s="41"/>
    </row>
    <row r="54568" spans="20:20" s="566" customFormat="1">
      <c r="T54568" s="41"/>
    </row>
    <row r="54569" spans="20:20" s="566" customFormat="1">
      <c r="T54569" s="41"/>
    </row>
    <row r="54570" spans="20:20" s="566" customFormat="1">
      <c r="T54570" s="41"/>
    </row>
    <row r="54571" spans="20:20" s="566" customFormat="1">
      <c r="T54571" s="41"/>
    </row>
    <row r="54572" spans="20:20" s="566" customFormat="1">
      <c r="T54572" s="41"/>
    </row>
    <row r="54573" spans="20:20" s="566" customFormat="1">
      <c r="T54573" s="41"/>
    </row>
    <row r="54574" spans="20:20" s="566" customFormat="1">
      <c r="T54574" s="41"/>
    </row>
    <row r="54575" spans="20:20" s="566" customFormat="1">
      <c r="T54575" s="41"/>
    </row>
    <row r="54576" spans="20:20" s="566" customFormat="1">
      <c r="T54576" s="41"/>
    </row>
    <row r="54577" spans="20:20" s="566" customFormat="1">
      <c r="T54577" s="41"/>
    </row>
    <row r="54578" spans="20:20" s="566" customFormat="1">
      <c r="T54578" s="41"/>
    </row>
    <row r="54579" spans="20:20" s="566" customFormat="1">
      <c r="T54579" s="41"/>
    </row>
    <row r="54580" spans="20:20" s="566" customFormat="1">
      <c r="T54580" s="41"/>
    </row>
    <row r="54581" spans="20:20" s="566" customFormat="1">
      <c r="T54581" s="41"/>
    </row>
    <row r="54582" spans="20:20" s="566" customFormat="1">
      <c r="T54582" s="41"/>
    </row>
    <row r="54583" spans="20:20" s="566" customFormat="1">
      <c r="T54583" s="41"/>
    </row>
    <row r="54584" spans="20:20" s="566" customFormat="1">
      <c r="T54584" s="41"/>
    </row>
    <row r="54585" spans="20:20" s="566" customFormat="1">
      <c r="T54585" s="41"/>
    </row>
    <row r="54586" spans="20:20" s="566" customFormat="1">
      <c r="T54586" s="41"/>
    </row>
    <row r="54587" spans="20:20" s="566" customFormat="1">
      <c r="T54587" s="41"/>
    </row>
    <row r="54588" spans="20:20" s="566" customFormat="1">
      <c r="T54588" s="41"/>
    </row>
    <row r="54589" spans="20:20" s="566" customFormat="1">
      <c r="T54589" s="41"/>
    </row>
    <row r="54590" spans="20:20" s="566" customFormat="1">
      <c r="T54590" s="41"/>
    </row>
    <row r="54591" spans="20:20" s="566" customFormat="1">
      <c r="T54591" s="41"/>
    </row>
    <row r="54592" spans="20:20" s="566" customFormat="1">
      <c r="T54592" s="41"/>
    </row>
    <row r="54593" spans="20:20" s="566" customFormat="1">
      <c r="T54593" s="41"/>
    </row>
    <row r="54594" spans="20:20" s="566" customFormat="1">
      <c r="T54594" s="41"/>
    </row>
    <row r="54595" spans="20:20" s="566" customFormat="1">
      <c r="T54595" s="41"/>
    </row>
    <row r="54596" spans="20:20" s="566" customFormat="1">
      <c r="T54596" s="41"/>
    </row>
    <row r="54597" spans="20:20" s="566" customFormat="1">
      <c r="T54597" s="41"/>
    </row>
    <row r="54598" spans="20:20" s="566" customFormat="1">
      <c r="T54598" s="41"/>
    </row>
    <row r="54599" spans="20:20" s="566" customFormat="1">
      <c r="T54599" s="41"/>
    </row>
    <row r="54600" spans="20:20" s="566" customFormat="1">
      <c r="T54600" s="41"/>
    </row>
    <row r="54601" spans="20:20" s="566" customFormat="1">
      <c r="T54601" s="41"/>
    </row>
    <row r="54602" spans="20:20" s="566" customFormat="1">
      <c r="T54602" s="41"/>
    </row>
    <row r="54603" spans="20:20" s="566" customFormat="1">
      <c r="T54603" s="41"/>
    </row>
    <row r="54604" spans="20:20" s="566" customFormat="1">
      <c r="T54604" s="41"/>
    </row>
    <row r="54605" spans="20:20" s="566" customFormat="1">
      <c r="T54605" s="41"/>
    </row>
    <row r="54606" spans="20:20" s="566" customFormat="1">
      <c r="T54606" s="41"/>
    </row>
    <row r="54607" spans="20:20" s="566" customFormat="1">
      <c r="T54607" s="41"/>
    </row>
    <row r="54608" spans="20:20" s="566" customFormat="1">
      <c r="T54608" s="41"/>
    </row>
    <row r="54609" spans="20:20" s="566" customFormat="1">
      <c r="T54609" s="41"/>
    </row>
    <row r="54610" spans="20:20" s="566" customFormat="1">
      <c r="T54610" s="41"/>
    </row>
    <row r="54611" spans="20:20" s="566" customFormat="1">
      <c r="T54611" s="41"/>
    </row>
    <row r="54612" spans="20:20" s="566" customFormat="1">
      <c r="T54612" s="41"/>
    </row>
    <row r="54613" spans="20:20" s="566" customFormat="1">
      <c r="T54613" s="41"/>
    </row>
    <row r="54614" spans="20:20" s="566" customFormat="1">
      <c r="T54614" s="41"/>
    </row>
    <row r="54615" spans="20:20" s="566" customFormat="1">
      <c r="T54615" s="41"/>
    </row>
    <row r="54616" spans="20:20" s="566" customFormat="1">
      <c r="T54616" s="41"/>
    </row>
    <row r="54617" spans="20:20" s="566" customFormat="1">
      <c r="T54617" s="41"/>
    </row>
    <row r="54618" spans="20:20" s="566" customFormat="1">
      <c r="T54618" s="41"/>
    </row>
    <row r="54619" spans="20:20" s="566" customFormat="1">
      <c r="T54619" s="41"/>
    </row>
    <row r="54620" spans="20:20" s="566" customFormat="1">
      <c r="T54620" s="41"/>
    </row>
    <row r="54621" spans="20:20" s="566" customFormat="1">
      <c r="T54621" s="41"/>
    </row>
    <row r="54622" spans="20:20" s="566" customFormat="1">
      <c r="T54622" s="41"/>
    </row>
    <row r="54623" spans="20:20" s="566" customFormat="1">
      <c r="T54623" s="41"/>
    </row>
    <row r="54624" spans="20:20" s="566" customFormat="1">
      <c r="T54624" s="41"/>
    </row>
    <row r="54625" spans="20:20" s="566" customFormat="1">
      <c r="T54625" s="41"/>
    </row>
    <row r="54626" spans="20:20" s="566" customFormat="1">
      <c r="T54626" s="41"/>
    </row>
    <row r="54627" spans="20:20" s="566" customFormat="1">
      <c r="T54627" s="41"/>
    </row>
    <row r="54628" spans="20:20" s="566" customFormat="1">
      <c r="T54628" s="41"/>
    </row>
    <row r="54629" spans="20:20" s="566" customFormat="1">
      <c r="T54629" s="41"/>
    </row>
    <row r="54630" spans="20:20" s="566" customFormat="1">
      <c r="T54630" s="41"/>
    </row>
    <row r="54631" spans="20:20" s="566" customFormat="1">
      <c r="T54631" s="41"/>
    </row>
    <row r="54632" spans="20:20" s="566" customFormat="1">
      <c r="T54632" s="41"/>
    </row>
    <row r="54633" spans="20:20" s="566" customFormat="1">
      <c r="T54633" s="41"/>
    </row>
    <row r="54634" spans="20:20" s="566" customFormat="1">
      <c r="T54634" s="41"/>
    </row>
    <row r="54635" spans="20:20" s="566" customFormat="1">
      <c r="T54635" s="41"/>
    </row>
    <row r="54636" spans="20:20" s="566" customFormat="1">
      <c r="T54636" s="41"/>
    </row>
    <row r="54637" spans="20:20" s="566" customFormat="1">
      <c r="T54637" s="41"/>
    </row>
    <row r="54638" spans="20:20" s="566" customFormat="1">
      <c r="T54638" s="41"/>
    </row>
    <row r="54639" spans="20:20" s="566" customFormat="1">
      <c r="T54639" s="41"/>
    </row>
    <row r="54640" spans="20:20" s="566" customFormat="1">
      <c r="T54640" s="41"/>
    </row>
    <row r="54641" spans="20:20" s="566" customFormat="1">
      <c r="T54641" s="41"/>
    </row>
    <row r="54642" spans="20:20" s="566" customFormat="1">
      <c r="T54642" s="41"/>
    </row>
    <row r="54643" spans="20:20" s="566" customFormat="1">
      <c r="T54643" s="41"/>
    </row>
    <row r="54644" spans="20:20" s="566" customFormat="1">
      <c r="T54644" s="41"/>
    </row>
    <row r="54645" spans="20:20" s="566" customFormat="1">
      <c r="T54645" s="41"/>
    </row>
    <row r="54646" spans="20:20" s="566" customFormat="1">
      <c r="T54646" s="41"/>
    </row>
    <row r="54647" spans="20:20" s="566" customFormat="1">
      <c r="T54647" s="41"/>
    </row>
    <row r="54648" spans="20:20" s="566" customFormat="1">
      <c r="T54648" s="41"/>
    </row>
    <row r="54649" spans="20:20" s="566" customFormat="1">
      <c r="T54649" s="41"/>
    </row>
    <row r="54650" spans="20:20" s="566" customFormat="1">
      <c r="T54650" s="41"/>
    </row>
    <row r="54651" spans="20:20" s="566" customFormat="1">
      <c r="T54651" s="41"/>
    </row>
    <row r="54652" spans="20:20" s="566" customFormat="1">
      <c r="T54652" s="41"/>
    </row>
    <row r="54653" spans="20:20" s="566" customFormat="1">
      <c r="T54653" s="41"/>
    </row>
    <row r="54654" spans="20:20" s="566" customFormat="1">
      <c r="T54654" s="41"/>
    </row>
    <row r="54655" spans="20:20" s="566" customFormat="1">
      <c r="T54655" s="41"/>
    </row>
    <row r="54656" spans="20:20" s="566" customFormat="1">
      <c r="T54656" s="41"/>
    </row>
    <row r="54657" spans="20:20" s="566" customFormat="1">
      <c r="T54657" s="41"/>
    </row>
    <row r="54658" spans="20:20" s="566" customFormat="1">
      <c r="T54658" s="41"/>
    </row>
    <row r="54659" spans="20:20" s="566" customFormat="1">
      <c r="T54659" s="41"/>
    </row>
    <row r="54660" spans="20:20" s="566" customFormat="1">
      <c r="T54660" s="41"/>
    </row>
    <row r="54661" spans="20:20" s="566" customFormat="1">
      <c r="T54661" s="41"/>
    </row>
    <row r="54662" spans="20:20" s="566" customFormat="1">
      <c r="T54662" s="41"/>
    </row>
    <row r="54663" spans="20:20" s="566" customFormat="1">
      <c r="T54663" s="41"/>
    </row>
    <row r="54664" spans="20:20" s="566" customFormat="1">
      <c r="T54664" s="41"/>
    </row>
    <row r="54665" spans="20:20" s="566" customFormat="1">
      <c r="T54665" s="41"/>
    </row>
    <row r="54666" spans="20:20" s="566" customFormat="1">
      <c r="T54666" s="41"/>
    </row>
    <row r="54667" spans="20:20" s="566" customFormat="1">
      <c r="T54667" s="41"/>
    </row>
    <row r="54668" spans="20:20" s="566" customFormat="1">
      <c r="T54668" s="41"/>
    </row>
    <row r="54669" spans="20:20" s="566" customFormat="1">
      <c r="T54669" s="41"/>
    </row>
    <row r="54670" spans="20:20" s="566" customFormat="1">
      <c r="T54670" s="41"/>
    </row>
    <row r="54671" spans="20:20" s="566" customFormat="1">
      <c r="T54671" s="41"/>
    </row>
    <row r="54672" spans="20:20" s="566" customFormat="1">
      <c r="T54672" s="41"/>
    </row>
    <row r="54673" spans="20:20" s="566" customFormat="1">
      <c r="T54673" s="41"/>
    </row>
    <row r="54674" spans="20:20" s="566" customFormat="1">
      <c r="T54674" s="41"/>
    </row>
    <row r="54675" spans="20:20" s="566" customFormat="1">
      <c r="T54675" s="41"/>
    </row>
    <row r="54676" spans="20:20" s="566" customFormat="1">
      <c r="T54676" s="41"/>
    </row>
    <row r="54677" spans="20:20" s="566" customFormat="1">
      <c r="T54677" s="41"/>
    </row>
    <row r="54678" spans="20:20" s="566" customFormat="1">
      <c r="T54678" s="41"/>
    </row>
    <row r="54679" spans="20:20" s="566" customFormat="1">
      <c r="T54679" s="41"/>
    </row>
    <row r="54680" spans="20:20" s="566" customFormat="1">
      <c r="T54680" s="41"/>
    </row>
    <row r="54681" spans="20:20" s="566" customFormat="1">
      <c r="T54681" s="41"/>
    </row>
    <row r="54682" spans="20:20" s="566" customFormat="1">
      <c r="T54682" s="41"/>
    </row>
    <row r="54683" spans="20:20" s="566" customFormat="1">
      <c r="T54683" s="41"/>
    </row>
    <row r="54684" spans="20:20" s="566" customFormat="1">
      <c r="T54684" s="41"/>
    </row>
    <row r="54685" spans="20:20" s="566" customFormat="1">
      <c r="T54685" s="41"/>
    </row>
    <row r="54686" spans="20:20" s="566" customFormat="1">
      <c r="T54686" s="41"/>
    </row>
    <row r="54687" spans="20:20" s="566" customFormat="1">
      <c r="T54687" s="41"/>
    </row>
    <row r="54688" spans="20:20" s="566" customFormat="1">
      <c r="T54688" s="41"/>
    </row>
    <row r="54689" spans="20:20" s="566" customFormat="1">
      <c r="T54689" s="41"/>
    </row>
    <row r="54690" spans="20:20" s="566" customFormat="1">
      <c r="T54690" s="41"/>
    </row>
    <row r="54691" spans="20:20" s="566" customFormat="1">
      <c r="T54691" s="41"/>
    </row>
    <row r="54692" spans="20:20" s="566" customFormat="1">
      <c r="T54692" s="41"/>
    </row>
    <row r="54693" spans="20:20" s="566" customFormat="1">
      <c r="T54693" s="41"/>
    </row>
    <row r="54694" spans="20:20" s="566" customFormat="1">
      <c r="T54694" s="41"/>
    </row>
    <row r="54695" spans="20:20" s="566" customFormat="1">
      <c r="T54695" s="41"/>
    </row>
    <row r="54696" spans="20:20" s="566" customFormat="1">
      <c r="T54696" s="41"/>
    </row>
    <row r="54697" spans="20:20" s="566" customFormat="1">
      <c r="T54697" s="41"/>
    </row>
    <row r="54698" spans="20:20" s="566" customFormat="1">
      <c r="T54698" s="41"/>
    </row>
    <row r="54699" spans="20:20" s="566" customFormat="1">
      <c r="T54699" s="41"/>
    </row>
    <row r="54700" spans="20:20" s="566" customFormat="1">
      <c r="T54700" s="41"/>
    </row>
    <row r="54701" spans="20:20" s="566" customFormat="1">
      <c r="T54701" s="41"/>
    </row>
    <row r="54702" spans="20:20" s="566" customFormat="1">
      <c r="T54702" s="41"/>
    </row>
    <row r="54703" spans="20:20" s="566" customFormat="1">
      <c r="T54703" s="41"/>
    </row>
    <row r="54704" spans="20:20" s="566" customFormat="1">
      <c r="T54704" s="41"/>
    </row>
    <row r="54705" spans="20:20" s="566" customFormat="1">
      <c r="T54705" s="41"/>
    </row>
    <row r="54706" spans="20:20" s="566" customFormat="1">
      <c r="T54706" s="41"/>
    </row>
    <row r="54707" spans="20:20" s="566" customFormat="1">
      <c r="T54707" s="41"/>
    </row>
    <row r="54708" spans="20:20" s="566" customFormat="1">
      <c r="T54708" s="41"/>
    </row>
    <row r="54709" spans="20:20" s="566" customFormat="1">
      <c r="T54709" s="41"/>
    </row>
    <row r="54710" spans="20:20" s="566" customFormat="1">
      <c r="T54710" s="41"/>
    </row>
    <row r="54711" spans="20:20" s="566" customFormat="1">
      <c r="T54711" s="41"/>
    </row>
    <row r="54712" spans="20:20" s="566" customFormat="1">
      <c r="T54712" s="41"/>
    </row>
    <row r="54713" spans="20:20" s="566" customFormat="1">
      <c r="T54713" s="41"/>
    </row>
    <row r="54714" spans="20:20" s="566" customFormat="1">
      <c r="T54714" s="41"/>
    </row>
    <row r="54715" spans="20:20" s="566" customFormat="1">
      <c r="T54715" s="41"/>
    </row>
    <row r="54716" spans="20:20" s="566" customFormat="1">
      <c r="T54716" s="41"/>
    </row>
    <row r="54717" spans="20:20" s="566" customFormat="1">
      <c r="T54717" s="41"/>
    </row>
    <row r="54718" spans="20:20" s="566" customFormat="1">
      <c r="T54718" s="41"/>
    </row>
    <row r="54719" spans="20:20" s="566" customFormat="1">
      <c r="T54719" s="41"/>
    </row>
    <row r="54720" spans="20:20" s="566" customFormat="1">
      <c r="T54720" s="41"/>
    </row>
    <row r="54721" spans="20:20" s="566" customFormat="1">
      <c r="T54721" s="41"/>
    </row>
    <row r="54722" spans="20:20" s="566" customFormat="1">
      <c r="T54722" s="41"/>
    </row>
    <row r="54723" spans="20:20" s="566" customFormat="1">
      <c r="T54723" s="41"/>
    </row>
    <row r="54724" spans="20:20" s="566" customFormat="1">
      <c r="T54724" s="41"/>
    </row>
    <row r="54725" spans="20:20" s="566" customFormat="1">
      <c r="T54725" s="41"/>
    </row>
    <row r="54726" spans="20:20" s="566" customFormat="1">
      <c r="T54726" s="41"/>
    </row>
    <row r="54727" spans="20:20" s="566" customFormat="1">
      <c r="T54727" s="41"/>
    </row>
    <row r="54728" spans="20:20" s="566" customFormat="1">
      <c r="T54728" s="41"/>
    </row>
    <row r="54729" spans="20:20" s="566" customFormat="1">
      <c r="T54729" s="41"/>
    </row>
    <row r="54730" spans="20:20" s="566" customFormat="1">
      <c r="T54730" s="41"/>
    </row>
    <row r="54731" spans="20:20" s="566" customFormat="1">
      <c r="T54731" s="41"/>
    </row>
    <row r="54732" spans="20:20" s="566" customFormat="1">
      <c r="T54732" s="41"/>
    </row>
    <row r="54733" spans="20:20" s="566" customFormat="1">
      <c r="T54733" s="41"/>
    </row>
    <row r="54734" spans="20:20" s="566" customFormat="1">
      <c r="T54734" s="41"/>
    </row>
    <row r="54735" spans="20:20" s="566" customFormat="1">
      <c r="T54735" s="41"/>
    </row>
    <row r="54736" spans="20:20" s="566" customFormat="1">
      <c r="T54736" s="41"/>
    </row>
    <row r="54737" spans="20:20" s="566" customFormat="1">
      <c r="T54737" s="41"/>
    </row>
    <row r="54738" spans="20:20" s="566" customFormat="1">
      <c r="T54738" s="41"/>
    </row>
    <row r="54739" spans="20:20" s="566" customFormat="1">
      <c r="T54739" s="41"/>
    </row>
    <row r="54740" spans="20:20" s="566" customFormat="1">
      <c r="T54740" s="41"/>
    </row>
    <row r="54741" spans="20:20" s="566" customFormat="1">
      <c r="T54741" s="41"/>
    </row>
    <row r="54742" spans="20:20" s="566" customFormat="1">
      <c r="T54742" s="41"/>
    </row>
    <row r="54743" spans="20:20" s="566" customFormat="1">
      <c r="T54743" s="41"/>
    </row>
    <row r="54744" spans="20:20" s="566" customFormat="1">
      <c r="T54744" s="41"/>
    </row>
    <row r="54745" spans="20:20" s="566" customFormat="1">
      <c r="T54745" s="41"/>
    </row>
    <row r="54746" spans="20:20" s="566" customFormat="1">
      <c r="T54746" s="41"/>
    </row>
    <row r="54747" spans="20:20" s="566" customFormat="1">
      <c r="T54747" s="41"/>
    </row>
    <row r="54748" spans="20:20" s="566" customFormat="1">
      <c r="T54748" s="41"/>
    </row>
    <row r="54749" spans="20:20" s="566" customFormat="1">
      <c r="T54749" s="41"/>
    </row>
    <row r="54750" spans="20:20" s="566" customFormat="1">
      <c r="T54750" s="41"/>
    </row>
    <row r="54751" spans="20:20" s="566" customFormat="1">
      <c r="T54751" s="41"/>
    </row>
    <row r="54752" spans="20:20" s="566" customFormat="1">
      <c r="T54752" s="41"/>
    </row>
    <row r="54753" spans="20:20" s="566" customFormat="1">
      <c r="T54753" s="41"/>
    </row>
    <row r="54754" spans="20:20" s="566" customFormat="1">
      <c r="T54754" s="41"/>
    </row>
    <row r="54755" spans="20:20" s="566" customFormat="1">
      <c r="T54755" s="41"/>
    </row>
    <row r="54756" spans="20:20" s="566" customFormat="1">
      <c r="T54756" s="41"/>
    </row>
    <row r="54757" spans="20:20" s="566" customFormat="1">
      <c r="T54757" s="41"/>
    </row>
    <row r="54758" spans="20:20" s="566" customFormat="1">
      <c r="T54758" s="41"/>
    </row>
    <row r="54759" spans="20:20" s="566" customFormat="1">
      <c r="T54759" s="41"/>
    </row>
    <row r="54760" spans="20:20" s="566" customFormat="1">
      <c r="T54760" s="41"/>
    </row>
    <row r="54761" spans="20:20" s="566" customFormat="1">
      <c r="T54761" s="41"/>
    </row>
    <row r="54762" spans="20:20" s="566" customFormat="1">
      <c r="T54762" s="41"/>
    </row>
    <row r="54763" spans="20:20" s="566" customFormat="1">
      <c r="T54763" s="41"/>
    </row>
    <row r="54764" spans="20:20" s="566" customFormat="1">
      <c r="T54764" s="41"/>
    </row>
    <row r="54765" spans="20:20" s="566" customFormat="1">
      <c r="T54765" s="41"/>
    </row>
    <row r="54766" spans="20:20" s="566" customFormat="1">
      <c r="T54766" s="41"/>
    </row>
    <row r="54767" spans="20:20" s="566" customFormat="1">
      <c r="T54767" s="41"/>
    </row>
    <row r="54768" spans="20:20" s="566" customFormat="1">
      <c r="T54768" s="41"/>
    </row>
    <row r="54769" spans="20:20" s="566" customFormat="1">
      <c r="T54769" s="41"/>
    </row>
    <row r="54770" spans="20:20" s="566" customFormat="1">
      <c r="T54770" s="41"/>
    </row>
    <row r="54771" spans="20:20" s="566" customFormat="1">
      <c r="T54771" s="41"/>
    </row>
    <row r="54772" spans="20:20" s="566" customFormat="1">
      <c r="T54772" s="41"/>
    </row>
    <row r="54773" spans="20:20" s="566" customFormat="1">
      <c r="T54773" s="41"/>
    </row>
    <row r="54774" spans="20:20" s="566" customFormat="1">
      <c r="T54774" s="41"/>
    </row>
    <row r="54775" spans="20:20" s="566" customFormat="1">
      <c r="T54775" s="41"/>
    </row>
    <row r="54776" spans="20:20" s="566" customFormat="1">
      <c r="T54776" s="41"/>
    </row>
    <row r="54777" spans="20:20" s="566" customFormat="1">
      <c r="T54777" s="41"/>
    </row>
    <row r="54778" spans="20:20" s="566" customFormat="1">
      <c r="T54778" s="41"/>
    </row>
    <row r="54779" spans="20:20" s="566" customFormat="1">
      <c r="T54779" s="41"/>
    </row>
    <row r="54780" spans="20:20" s="566" customFormat="1">
      <c r="T54780" s="41"/>
    </row>
    <row r="54781" spans="20:20" s="566" customFormat="1">
      <c r="T54781" s="41"/>
    </row>
    <row r="54782" spans="20:20" s="566" customFormat="1">
      <c r="T54782" s="41"/>
    </row>
    <row r="54783" spans="20:20" s="566" customFormat="1">
      <c r="T54783" s="41"/>
    </row>
    <row r="54784" spans="20:20" s="566" customFormat="1">
      <c r="T54784" s="41"/>
    </row>
    <row r="54785" spans="20:20" s="566" customFormat="1">
      <c r="T54785" s="41"/>
    </row>
    <row r="54786" spans="20:20" s="566" customFormat="1">
      <c r="T54786" s="41"/>
    </row>
    <row r="54787" spans="20:20" s="566" customFormat="1">
      <c r="T54787" s="41"/>
    </row>
    <row r="54788" spans="20:20" s="566" customFormat="1">
      <c r="T54788" s="41"/>
    </row>
    <row r="54789" spans="20:20" s="566" customFormat="1">
      <c r="T54789" s="41"/>
    </row>
    <row r="54790" spans="20:20" s="566" customFormat="1">
      <c r="T54790" s="41"/>
    </row>
    <row r="54791" spans="20:20" s="566" customFormat="1">
      <c r="T54791" s="41"/>
    </row>
    <row r="54792" spans="20:20" s="566" customFormat="1">
      <c r="T54792" s="41"/>
    </row>
    <row r="54793" spans="20:20" s="566" customFormat="1">
      <c r="T54793" s="41"/>
    </row>
    <row r="54794" spans="20:20" s="566" customFormat="1">
      <c r="T54794" s="41"/>
    </row>
    <row r="54795" spans="20:20" s="566" customFormat="1">
      <c r="T54795" s="41"/>
    </row>
    <row r="54796" spans="20:20" s="566" customFormat="1">
      <c r="T54796" s="41"/>
    </row>
    <row r="54797" spans="20:20" s="566" customFormat="1">
      <c r="T54797" s="41"/>
    </row>
    <row r="54798" spans="20:20" s="566" customFormat="1">
      <c r="T54798" s="41"/>
    </row>
    <row r="54799" spans="20:20" s="566" customFormat="1">
      <c r="T54799" s="41"/>
    </row>
    <row r="54800" spans="20:20" s="566" customFormat="1">
      <c r="T54800" s="41"/>
    </row>
    <row r="54801" spans="20:20" s="566" customFormat="1">
      <c r="T54801" s="41"/>
    </row>
    <row r="54802" spans="20:20" s="566" customFormat="1">
      <c r="T54802" s="41"/>
    </row>
    <row r="54803" spans="20:20" s="566" customFormat="1">
      <c r="T54803" s="41"/>
    </row>
    <row r="54804" spans="20:20" s="566" customFormat="1">
      <c r="T54804" s="41"/>
    </row>
    <row r="54805" spans="20:20" s="566" customFormat="1">
      <c r="T54805" s="41"/>
    </row>
    <row r="54806" spans="20:20" s="566" customFormat="1">
      <c r="T54806" s="41"/>
    </row>
    <row r="54807" spans="20:20" s="566" customFormat="1">
      <c r="T54807" s="41"/>
    </row>
    <row r="54808" spans="20:20" s="566" customFormat="1">
      <c r="T54808" s="41"/>
    </row>
    <row r="54809" spans="20:20" s="566" customFormat="1">
      <c r="T54809" s="41"/>
    </row>
    <row r="54810" spans="20:20" s="566" customFormat="1">
      <c r="T54810" s="41"/>
    </row>
    <row r="54811" spans="20:20" s="566" customFormat="1">
      <c r="T54811" s="41"/>
    </row>
    <row r="54812" spans="20:20" s="566" customFormat="1">
      <c r="T54812" s="41"/>
    </row>
    <row r="54813" spans="20:20" s="566" customFormat="1">
      <c r="T54813" s="41"/>
    </row>
    <row r="54814" spans="20:20" s="566" customFormat="1">
      <c r="T54814" s="41"/>
    </row>
    <row r="54815" spans="20:20" s="566" customFormat="1">
      <c r="T54815" s="41"/>
    </row>
    <row r="54816" spans="20:20" s="566" customFormat="1">
      <c r="T54816" s="41"/>
    </row>
    <row r="54817" spans="20:20" s="566" customFormat="1">
      <c r="T54817" s="41"/>
    </row>
    <row r="54818" spans="20:20" s="566" customFormat="1">
      <c r="T54818" s="41"/>
    </row>
    <row r="54819" spans="20:20" s="566" customFormat="1">
      <c r="T54819" s="41"/>
    </row>
    <row r="54820" spans="20:20" s="566" customFormat="1">
      <c r="T54820" s="41"/>
    </row>
    <row r="54821" spans="20:20" s="566" customFormat="1">
      <c r="T54821" s="41"/>
    </row>
    <row r="54822" spans="20:20" s="566" customFormat="1">
      <c r="T54822" s="41"/>
    </row>
    <row r="54823" spans="20:20" s="566" customFormat="1">
      <c r="T54823" s="41"/>
    </row>
    <row r="54824" spans="20:20" s="566" customFormat="1">
      <c r="T54824" s="41"/>
    </row>
    <row r="54825" spans="20:20" s="566" customFormat="1">
      <c r="T54825" s="41"/>
    </row>
    <row r="54826" spans="20:20" s="566" customFormat="1">
      <c r="T54826" s="41"/>
    </row>
    <row r="54827" spans="20:20" s="566" customFormat="1">
      <c r="T54827" s="41"/>
    </row>
    <row r="54828" spans="20:20" s="566" customFormat="1">
      <c r="T54828" s="41"/>
    </row>
    <row r="54829" spans="20:20" s="566" customFormat="1">
      <c r="T54829" s="41"/>
    </row>
    <row r="54830" spans="20:20" s="566" customFormat="1">
      <c r="T54830" s="41"/>
    </row>
    <row r="54831" spans="20:20" s="566" customFormat="1">
      <c r="T54831" s="41"/>
    </row>
    <row r="54832" spans="20:20" s="566" customFormat="1">
      <c r="T54832" s="41"/>
    </row>
    <row r="54833" spans="20:20" s="566" customFormat="1">
      <c r="T54833" s="41"/>
    </row>
    <row r="54834" spans="20:20" s="566" customFormat="1">
      <c r="T54834" s="41"/>
    </row>
    <row r="54835" spans="20:20" s="566" customFormat="1">
      <c r="T54835" s="41"/>
    </row>
    <row r="54836" spans="20:20" s="566" customFormat="1">
      <c r="T54836" s="41"/>
    </row>
    <row r="54837" spans="20:20" s="566" customFormat="1">
      <c r="T54837" s="41"/>
    </row>
    <row r="54838" spans="20:20" s="566" customFormat="1">
      <c r="T54838" s="41"/>
    </row>
    <row r="54839" spans="20:20" s="566" customFormat="1">
      <c r="T54839" s="41"/>
    </row>
    <row r="54840" spans="20:20" s="566" customFormat="1">
      <c r="T54840" s="41"/>
    </row>
    <row r="54841" spans="20:20" s="566" customFormat="1">
      <c r="T54841" s="41"/>
    </row>
    <row r="54842" spans="20:20" s="566" customFormat="1">
      <c r="T54842" s="41"/>
    </row>
    <row r="54843" spans="20:20" s="566" customFormat="1">
      <c r="T54843" s="41"/>
    </row>
    <row r="54844" spans="20:20" s="566" customFormat="1">
      <c r="T54844" s="41"/>
    </row>
    <row r="54845" spans="20:20" s="566" customFormat="1">
      <c r="T54845" s="41"/>
    </row>
    <row r="54846" spans="20:20" s="566" customFormat="1">
      <c r="T54846" s="41"/>
    </row>
    <row r="54847" spans="20:20" s="566" customFormat="1">
      <c r="T54847" s="41"/>
    </row>
    <row r="54848" spans="20:20" s="566" customFormat="1">
      <c r="T54848" s="41"/>
    </row>
    <row r="54849" spans="20:20" s="566" customFormat="1">
      <c r="T54849" s="41"/>
    </row>
    <row r="54850" spans="20:20" s="566" customFormat="1">
      <c r="T54850" s="41"/>
    </row>
    <row r="54851" spans="20:20" s="566" customFormat="1">
      <c r="T54851" s="41"/>
    </row>
    <row r="54852" spans="20:20" s="566" customFormat="1">
      <c r="T54852" s="41"/>
    </row>
    <row r="54853" spans="20:20" s="566" customFormat="1">
      <c r="T54853" s="41"/>
    </row>
    <row r="54854" spans="20:20" s="566" customFormat="1">
      <c r="T54854" s="41"/>
    </row>
    <row r="54855" spans="20:20" s="566" customFormat="1">
      <c r="T54855" s="41"/>
    </row>
    <row r="54856" spans="20:20" s="566" customFormat="1">
      <c r="T54856" s="41"/>
    </row>
    <row r="54857" spans="20:20" s="566" customFormat="1">
      <c r="T54857" s="41"/>
    </row>
    <row r="54858" spans="20:20" s="566" customFormat="1">
      <c r="T54858" s="41"/>
    </row>
    <row r="54859" spans="20:20" s="566" customFormat="1">
      <c r="T54859" s="41"/>
    </row>
    <row r="54860" spans="20:20" s="566" customFormat="1">
      <c r="T54860" s="41"/>
    </row>
    <row r="54861" spans="20:20" s="566" customFormat="1">
      <c r="T54861" s="41"/>
    </row>
    <row r="54862" spans="20:20" s="566" customFormat="1">
      <c r="T54862" s="41"/>
    </row>
    <row r="54863" spans="20:20" s="566" customFormat="1">
      <c r="T54863" s="41"/>
    </row>
    <row r="54864" spans="20:20" s="566" customFormat="1">
      <c r="T54864" s="41"/>
    </row>
    <row r="54865" spans="20:20" s="566" customFormat="1">
      <c r="T54865" s="41"/>
    </row>
    <row r="54866" spans="20:20" s="566" customFormat="1">
      <c r="T54866" s="41"/>
    </row>
    <row r="54867" spans="20:20" s="566" customFormat="1">
      <c r="T54867" s="41"/>
    </row>
    <row r="54868" spans="20:20" s="566" customFormat="1">
      <c r="T54868" s="41"/>
    </row>
    <row r="54869" spans="20:20" s="566" customFormat="1">
      <c r="T54869" s="41"/>
    </row>
    <row r="54870" spans="20:20" s="566" customFormat="1">
      <c r="T54870" s="41"/>
    </row>
    <row r="54871" spans="20:20" s="566" customFormat="1">
      <c r="T54871" s="41"/>
    </row>
    <row r="54872" spans="20:20" s="566" customFormat="1">
      <c r="T54872" s="41"/>
    </row>
    <row r="54873" spans="20:20" s="566" customFormat="1">
      <c r="T54873" s="41"/>
    </row>
    <row r="54874" spans="20:20" s="566" customFormat="1">
      <c r="T54874" s="41"/>
    </row>
    <row r="54875" spans="20:20" s="566" customFormat="1">
      <c r="T54875" s="41"/>
    </row>
    <row r="54876" spans="20:20" s="566" customFormat="1">
      <c r="T54876" s="41"/>
    </row>
    <row r="54877" spans="20:20" s="566" customFormat="1">
      <c r="T54877" s="41"/>
    </row>
    <row r="54878" spans="20:20" s="566" customFormat="1">
      <c r="T54878" s="41"/>
    </row>
    <row r="54879" spans="20:20" s="566" customFormat="1">
      <c r="T54879" s="41"/>
    </row>
    <row r="54880" spans="20:20" s="566" customFormat="1">
      <c r="T54880" s="41"/>
    </row>
    <row r="54881" spans="20:20" s="566" customFormat="1">
      <c r="T54881" s="41"/>
    </row>
    <row r="54882" spans="20:20" s="566" customFormat="1">
      <c r="T54882" s="41"/>
    </row>
    <row r="54883" spans="20:20" s="566" customFormat="1">
      <c r="T54883" s="41"/>
    </row>
    <row r="54884" spans="20:20" s="566" customFormat="1">
      <c r="T54884" s="41"/>
    </row>
    <row r="54885" spans="20:20" s="566" customFormat="1">
      <c r="T54885" s="41"/>
    </row>
    <row r="54886" spans="20:20" s="566" customFormat="1">
      <c r="T54886" s="41"/>
    </row>
    <row r="54887" spans="20:20" s="566" customFormat="1">
      <c r="T54887" s="41"/>
    </row>
    <row r="54888" spans="20:20" s="566" customFormat="1">
      <c r="T54888" s="41"/>
    </row>
    <row r="54889" spans="20:20" s="566" customFormat="1">
      <c r="T54889" s="41"/>
    </row>
    <row r="54890" spans="20:20" s="566" customFormat="1">
      <c r="T54890" s="41"/>
    </row>
    <row r="54891" spans="20:20" s="566" customFormat="1">
      <c r="T54891" s="41"/>
    </row>
    <row r="54892" spans="20:20" s="566" customFormat="1">
      <c r="T54892" s="41"/>
    </row>
    <row r="54893" spans="20:20" s="566" customFormat="1">
      <c r="T54893" s="41"/>
    </row>
    <row r="54894" spans="20:20" s="566" customFormat="1">
      <c r="T54894" s="41"/>
    </row>
    <row r="54895" spans="20:20" s="566" customFormat="1">
      <c r="T54895" s="41"/>
    </row>
    <row r="54896" spans="20:20" s="566" customFormat="1">
      <c r="T54896" s="41"/>
    </row>
    <row r="54897" spans="20:20" s="566" customFormat="1">
      <c r="T54897" s="41"/>
    </row>
    <row r="54898" spans="20:20" s="566" customFormat="1">
      <c r="T54898" s="41"/>
    </row>
    <row r="54899" spans="20:20" s="566" customFormat="1">
      <c r="T54899" s="41"/>
    </row>
    <row r="54900" spans="20:20" s="566" customFormat="1">
      <c r="T54900" s="41"/>
    </row>
    <row r="54901" spans="20:20" s="566" customFormat="1">
      <c r="T54901" s="41"/>
    </row>
    <row r="54902" spans="20:20" s="566" customFormat="1">
      <c r="T54902" s="41"/>
    </row>
    <row r="54903" spans="20:20" s="566" customFormat="1">
      <c r="T54903" s="41"/>
    </row>
    <row r="54904" spans="20:20" s="566" customFormat="1">
      <c r="T54904" s="41"/>
    </row>
    <row r="54905" spans="20:20" s="566" customFormat="1">
      <c r="T54905" s="41"/>
    </row>
    <row r="54906" spans="20:20" s="566" customFormat="1">
      <c r="T54906" s="41"/>
    </row>
    <row r="54907" spans="20:20" s="566" customFormat="1">
      <c r="T54907" s="41"/>
    </row>
    <row r="54908" spans="20:20" s="566" customFormat="1">
      <c r="T54908" s="41"/>
    </row>
    <row r="54909" spans="20:20" s="566" customFormat="1">
      <c r="T54909" s="41"/>
    </row>
    <row r="54910" spans="20:20" s="566" customFormat="1">
      <c r="T54910" s="41"/>
    </row>
    <row r="54911" spans="20:20" s="566" customFormat="1">
      <c r="T54911" s="41"/>
    </row>
    <row r="54912" spans="20:20" s="566" customFormat="1">
      <c r="T54912" s="41"/>
    </row>
    <row r="54913" spans="20:20" s="566" customFormat="1">
      <c r="T54913" s="41"/>
    </row>
    <row r="54914" spans="20:20" s="566" customFormat="1">
      <c r="T54914" s="41"/>
    </row>
    <row r="54915" spans="20:20" s="566" customFormat="1">
      <c r="T54915" s="41"/>
    </row>
    <row r="54916" spans="20:20" s="566" customFormat="1">
      <c r="T54916" s="41"/>
    </row>
    <row r="54917" spans="20:20" s="566" customFormat="1">
      <c r="T54917" s="41"/>
    </row>
    <row r="54918" spans="20:20" s="566" customFormat="1">
      <c r="T54918" s="41"/>
    </row>
    <row r="54919" spans="20:20" s="566" customFormat="1">
      <c r="T54919" s="41"/>
    </row>
    <row r="54920" spans="20:20" s="566" customFormat="1">
      <c r="T54920" s="41"/>
    </row>
    <row r="54921" spans="20:20" s="566" customFormat="1">
      <c r="T54921" s="41"/>
    </row>
    <row r="54922" spans="20:20" s="566" customFormat="1">
      <c r="T54922" s="41"/>
    </row>
    <row r="54923" spans="20:20" s="566" customFormat="1">
      <c r="T54923" s="41"/>
    </row>
    <row r="54924" spans="20:20" s="566" customFormat="1">
      <c r="T54924" s="41"/>
    </row>
    <row r="54925" spans="20:20" s="566" customFormat="1">
      <c r="T54925" s="41"/>
    </row>
    <row r="54926" spans="20:20" s="566" customFormat="1">
      <c r="T54926" s="41"/>
    </row>
    <row r="54927" spans="20:20" s="566" customFormat="1">
      <c r="T54927" s="41"/>
    </row>
    <row r="54928" spans="20:20" s="566" customFormat="1">
      <c r="T54928" s="41"/>
    </row>
    <row r="54929" spans="20:20" s="566" customFormat="1">
      <c r="T54929" s="41"/>
    </row>
    <row r="54930" spans="20:20" s="566" customFormat="1">
      <c r="T54930" s="41"/>
    </row>
    <row r="54931" spans="20:20" s="566" customFormat="1">
      <c r="T54931" s="41"/>
    </row>
    <row r="54932" spans="20:20" s="566" customFormat="1">
      <c r="T54932" s="41"/>
    </row>
    <row r="54933" spans="20:20" s="566" customFormat="1">
      <c r="T54933" s="41"/>
    </row>
    <row r="54934" spans="20:20" s="566" customFormat="1">
      <c r="T54934" s="41"/>
    </row>
    <row r="54935" spans="20:20" s="566" customFormat="1">
      <c r="T54935" s="41"/>
    </row>
    <row r="54936" spans="20:20" s="566" customFormat="1">
      <c r="T54936" s="41"/>
    </row>
    <row r="54937" spans="20:20" s="566" customFormat="1">
      <c r="T54937" s="41"/>
    </row>
    <row r="54938" spans="20:20" s="566" customFormat="1">
      <c r="T54938" s="41"/>
    </row>
    <row r="54939" spans="20:20" s="566" customFormat="1">
      <c r="T54939" s="41"/>
    </row>
    <row r="54940" spans="20:20" s="566" customFormat="1">
      <c r="T54940" s="41"/>
    </row>
    <row r="54941" spans="20:20" s="566" customFormat="1">
      <c r="T54941" s="41"/>
    </row>
    <row r="54942" spans="20:20" s="566" customFormat="1">
      <c r="T54942" s="41"/>
    </row>
    <row r="54943" spans="20:20" s="566" customFormat="1">
      <c r="T54943" s="41"/>
    </row>
    <row r="54944" spans="20:20" s="566" customFormat="1">
      <c r="T54944" s="41"/>
    </row>
    <row r="54945" spans="20:20" s="566" customFormat="1">
      <c r="T54945" s="41"/>
    </row>
    <row r="54946" spans="20:20" s="566" customFormat="1">
      <c r="T54946" s="41"/>
    </row>
    <row r="54947" spans="20:20" s="566" customFormat="1">
      <c r="T54947" s="41"/>
    </row>
    <row r="54948" spans="20:20" s="566" customFormat="1">
      <c r="T54948" s="41"/>
    </row>
    <row r="54949" spans="20:20" s="566" customFormat="1">
      <c r="T54949" s="41"/>
    </row>
    <row r="54950" spans="20:20" s="566" customFormat="1">
      <c r="T54950" s="41"/>
    </row>
    <row r="54951" spans="20:20" s="566" customFormat="1">
      <c r="T54951" s="41"/>
    </row>
    <row r="54952" spans="20:20" s="566" customFormat="1">
      <c r="T54952" s="41"/>
    </row>
    <row r="54953" spans="20:20" s="566" customFormat="1">
      <c r="T54953" s="41"/>
    </row>
    <row r="54954" spans="20:20" s="566" customFormat="1">
      <c r="T54954" s="41"/>
    </row>
    <row r="54955" spans="20:20" s="566" customFormat="1">
      <c r="T54955" s="41"/>
    </row>
    <row r="54956" spans="20:20" s="566" customFormat="1">
      <c r="T54956" s="41"/>
    </row>
    <row r="54957" spans="20:20" s="566" customFormat="1">
      <c r="T54957" s="41"/>
    </row>
    <row r="54958" spans="20:20" s="566" customFormat="1">
      <c r="T54958" s="41"/>
    </row>
    <row r="54959" spans="20:20" s="566" customFormat="1">
      <c r="T54959" s="41"/>
    </row>
    <row r="54960" spans="20:20" s="566" customFormat="1">
      <c r="T54960" s="41"/>
    </row>
    <row r="54961" spans="20:20" s="566" customFormat="1">
      <c r="T54961" s="41"/>
    </row>
    <row r="54962" spans="20:20" s="566" customFormat="1">
      <c r="T54962" s="41"/>
    </row>
    <row r="54963" spans="20:20" s="566" customFormat="1">
      <c r="T54963" s="41"/>
    </row>
    <row r="54964" spans="20:20" s="566" customFormat="1">
      <c r="T54964" s="41"/>
    </row>
    <row r="54965" spans="20:20" s="566" customFormat="1">
      <c r="T54965" s="41"/>
    </row>
    <row r="54966" spans="20:20" s="566" customFormat="1">
      <c r="T54966" s="41"/>
    </row>
    <row r="54967" spans="20:20" s="566" customFormat="1">
      <c r="T54967" s="41"/>
    </row>
    <row r="54968" spans="20:20" s="566" customFormat="1">
      <c r="T54968" s="41"/>
    </row>
    <row r="54969" spans="20:20" s="566" customFormat="1">
      <c r="T54969" s="41"/>
    </row>
    <row r="54970" spans="20:20" s="566" customFormat="1">
      <c r="T54970" s="41"/>
    </row>
    <row r="54971" spans="20:20" s="566" customFormat="1">
      <c r="T54971" s="41"/>
    </row>
    <row r="54972" spans="20:20" s="566" customFormat="1">
      <c r="T54972" s="41"/>
    </row>
    <row r="54973" spans="20:20" s="566" customFormat="1">
      <c r="T54973" s="41"/>
    </row>
    <row r="54974" spans="20:20" s="566" customFormat="1">
      <c r="T54974" s="41"/>
    </row>
    <row r="54975" spans="20:20" s="566" customFormat="1">
      <c r="T54975" s="41"/>
    </row>
    <row r="54976" spans="20:20" s="566" customFormat="1">
      <c r="T54976" s="41"/>
    </row>
    <row r="54977" spans="20:20" s="566" customFormat="1">
      <c r="T54977" s="41"/>
    </row>
    <row r="54978" spans="20:20" s="566" customFormat="1">
      <c r="T54978" s="41"/>
    </row>
    <row r="54979" spans="20:20" s="566" customFormat="1">
      <c r="T54979" s="41"/>
    </row>
    <row r="54980" spans="20:20" s="566" customFormat="1">
      <c r="T54980" s="41"/>
    </row>
    <row r="54981" spans="20:20" s="566" customFormat="1">
      <c r="T54981" s="41"/>
    </row>
    <row r="54982" spans="20:20" s="566" customFormat="1">
      <c r="T54982" s="41"/>
    </row>
    <row r="54983" spans="20:20" s="566" customFormat="1">
      <c r="T54983" s="41"/>
    </row>
    <row r="54984" spans="20:20" s="566" customFormat="1">
      <c r="T54984" s="41"/>
    </row>
    <row r="54985" spans="20:20" s="566" customFormat="1">
      <c r="T54985" s="41"/>
    </row>
    <row r="54986" spans="20:20" s="566" customFormat="1">
      <c r="T54986" s="41"/>
    </row>
    <row r="54987" spans="20:20" s="566" customFormat="1">
      <c r="T54987" s="41"/>
    </row>
    <row r="54988" spans="20:20" s="566" customFormat="1">
      <c r="T54988" s="41"/>
    </row>
    <row r="54989" spans="20:20" s="566" customFormat="1">
      <c r="T54989" s="41"/>
    </row>
    <row r="54990" spans="20:20" s="566" customFormat="1">
      <c r="T54990" s="41"/>
    </row>
    <row r="54991" spans="20:20" s="566" customFormat="1">
      <c r="T54991" s="41"/>
    </row>
    <row r="54992" spans="20:20" s="566" customFormat="1">
      <c r="T54992" s="41"/>
    </row>
    <row r="54993" spans="20:20" s="566" customFormat="1">
      <c r="T54993" s="41"/>
    </row>
    <row r="54994" spans="20:20" s="566" customFormat="1">
      <c r="T54994" s="41"/>
    </row>
    <row r="54995" spans="20:20" s="566" customFormat="1">
      <c r="T54995" s="41"/>
    </row>
    <row r="54996" spans="20:20" s="566" customFormat="1">
      <c r="T54996" s="41"/>
    </row>
    <row r="54997" spans="20:20" s="566" customFormat="1">
      <c r="T54997" s="41"/>
    </row>
    <row r="54998" spans="20:20" s="566" customFormat="1">
      <c r="T54998" s="41"/>
    </row>
    <row r="54999" spans="20:20" s="566" customFormat="1">
      <c r="T54999" s="41"/>
    </row>
    <row r="55000" spans="20:20" s="566" customFormat="1">
      <c r="T55000" s="41"/>
    </row>
    <row r="55001" spans="20:20" s="566" customFormat="1">
      <c r="T55001" s="41"/>
    </row>
    <row r="55002" spans="20:20" s="566" customFormat="1">
      <c r="T55002" s="41"/>
    </row>
    <row r="55003" spans="20:20" s="566" customFormat="1">
      <c r="T55003" s="41"/>
    </row>
    <row r="55004" spans="20:20" s="566" customFormat="1">
      <c r="T55004" s="41"/>
    </row>
    <row r="55005" spans="20:20" s="566" customFormat="1">
      <c r="T55005" s="41"/>
    </row>
    <row r="55006" spans="20:20" s="566" customFormat="1">
      <c r="T55006" s="41"/>
    </row>
    <row r="55007" spans="20:20" s="566" customFormat="1">
      <c r="T55007" s="41"/>
    </row>
    <row r="55008" spans="20:20" s="566" customFormat="1">
      <c r="T55008" s="41"/>
    </row>
    <row r="55009" spans="20:20" s="566" customFormat="1">
      <c r="T55009" s="41"/>
    </row>
    <row r="55010" spans="20:20" s="566" customFormat="1">
      <c r="T55010" s="41"/>
    </row>
    <row r="55011" spans="20:20" s="566" customFormat="1">
      <c r="T55011" s="41"/>
    </row>
    <row r="55012" spans="20:20" s="566" customFormat="1">
      <c r="T55012" s="41"/>
    </row>
    <row r="55013" spans="20:20" s="566" customFormat="1">
      <c r="T55013" s="41"/>
    </row>
    <row r="55014" spans="20:20" s="566" customFormat="1">
      <c r="T55014" s="41"/>
    </row>
    <row r="55015" spans="20:20" s="566" customFormat="1">
      <c r="T55015" s="41"/>
    </row>
    <row r="55016" spans="20:20" s="566" customFormat="1">
      <c r="T55016" s="41"/>
    </row>
    <row r="55017" spans="20:20" s="566" customFormat="1">
      <c r="T55017" s="41"/>
    </row>
    <row r="55018" spans="20:20" s="566" customFormat="1">
      <c r="T55018" s="41"/>
    </row>
    <row r="55019" spans="20:20" s="566" customFormat="1">
      <c r="T55019" s="41"/>
    </row>
    <row r="55020" spans="20:20" s="566" customFormat="1">
      <c r="T55020" s="41"/>
    </row>
    <row r="55021" spans="20:20" s="566" customFormat="1">
      <c r="T55021" s="41"/>
    </row>
    <row r="55022" spans="20:20" s="566" customFormat="1">
      <c r="T55022" s="41"/>
    </row>
    <row r="55023" spans="20:20" s="566" customFormat="1">
      <c r="T55023" s="41"/>
    </row>
    <row r="55024" spans="20:20" s="566" customFormat="1">
      <c r="T55024" s="41"/>
    </row>
    <row r="55025" spans="20:20" s="566" customFormat="1">
      <c r="T55025" s="41"/>
    </row>
    <row r="55026" spans="20:20" s="566" customFormat="1">
      <c r="T55026" s="41"/>
    </row>
    <row r="55027" spans="20:20" s="566" customFormat="1">
      <c r="T55027" s="41"/>
    </row>
    <row r="55028" spans="20:20" s="566" customFormat="1">
      <c r="T55028" s="41"/>
    </row>
    <row r="55029" spans="20:20" s="566" customFormat="1">
      <c r="T55029" s="41"/>
    </row>
    <row r="55030" spans="20:20" s="566" customFormat="1">
      <c r="T55030" s="41"/>
    </row>
    <row r="55031" spans="20:20" s="566" customFormat="1">
      <c r="T55031" s="41"/>
    </row>
    <row r="55032" spans="20:20" s="566" customFormat="1">
      <c r="T55032" s="41"/>
    </row>
    <row r="55033" spans="20:20" s="566" customFormat="1">
      <c r="T55033" s="41"/>
    </row>
    <row r="55034" spans="20:20" s="566" customFormat="1">
      <c r="T55034" s="41"/>
    </row>
    <row r="55035" spans="20:20" s="566" customFormat="1">
      <c r="T55035" s="41"/>
    </row>
    <row r="55036" spans="20:20" s="566" customFormat="1">
      <c r="T55036" s="41"/>
    </row>
    <row r="55037" spans="20:20" s="566" customFormat="1">
      <c r="T55037" s="41"/>
    </row>
    <row r="55038" spans="20:20" s="566" customFormat="1">
      <c r="T55038" s="41"/>
    </row>
    <row r="55039" spans="20:20" s="566" customFormat="1">
      <c r="T55039" s="41"/>
    </row>
    <row r="55040" spans="20:20" s="566" customFormat="1">
      <c r="T55040" s="41"/>
    </row>
    <row r="55041" spans="20:20" s="566" customFormat="1">
      <c r="T55041" s="41"/>
    </row>
    <row r="55042" spans="20:20" s="566" customFormat="1">
      <c r="T55042" s="41"/>
    </row>
    <row r="55043" spans="20:20" s="566" customFormat="1">
      <c r="T55043" s="41"/>
    </row>
    <row r="55044" spans="20:20" s="566" customFormat="1">
      <c r="T55044" s="41"/>
    </row>
    <row r="55045" spans="20:20" s="566" customFormat="1">
      <c r="T55045" s="41"/>
    </row>
    <row r="55046" spans="20:20" s="566" customFormat="1">
      <c r="T55046" s="41"/>
    </row>
    <row r="55047" spans="20:20" s="566" customFormat="1">
      <c r="T55047" s="41"/>
    </row>
    <row r="55048" spans="20:20" s="566" customFormat="1">
      <c r="T55048" s="41"/>
    </row>
    <row r="55049" spans="20:20" s="566" customFormat="1">
      <c r="T55049" s="41"/>
    </row>
    <row r="55050" spans="20:20" s="566" customFormat="1">
      <c r="T55050" s="41"/>
    </row>
    <row r="55051" spans="20:20" s="566" customFormat="1">
      <c r="T55051" s="41"/>
    </row>
    <row r="55052" spans="20:20" s="566" customFormat="1">
      <c r="T55052" s="41"/>
    </row>
    <row r="55053" spans="20:20" s="566" customFormat="1">
      <c r="T55053" s="41"/>
    </row>
    <row r="55054" spans="20:20" s="566" customFormat="1">
      <c r="T55054" s="41"/>
    </row>
    <row r="55055" spans="20:20" s="566" customFormat="1">
      <c r="T55055" s="41"/>
    </row>
    <row r="55056" spans="20:20" s="566" customFormat="1">
      <c r="T55056" s="41"/>
    </row>
    <row r="55057" spans="20:20" s="566" customFormat="1">
      <c r="T55057" s="41"/>
    </row>
    <row r="55058" spans="20:20" s="566" customFormat="1">
      <c r="T55058" s="41"/>
    </row>
    <row r="55059" spans="20:20" s="566" customFormat="1">
      <c r="T55059" s="41"/>
    </row>
    <row r="55060" spans="20:20" s="566" customFormat="1">
      <c r="T55060" s="41"/>
    </row>
    <row r="55061" spans="20:20" s="566" customFormat="1">
      <c r="T55061" s="41"/>
    </row>
    <row r="55062" spans="20:20" s="566" customFormat="1">
      <c r="T55062" s="41"/>
    </row>
    <row r="55063" spans="20:20" s="566" customFormat="1">
      <c r="T55063" s="41"/>
    </row>
    <row r="55064" spans="20:20" s="566" customFormat="1">
      <c r="T55064" s="41"/>
    </row>
    <row r="55065" spans="20:20" s="566" customFormat="1">
      <c r="T55065" s="41"/>
    </row>
    <row r="55066" spans="20:20" s="566" customFormat="1">
      <c r="T55066" s="41"/>
    </row>
    <row r="55067" spans="20:20" s="566" customFormat="1">
      <c r="T55067" s="41"/>
    </row>
    <row r="55068" spans="20:20" s="566" customFormat="1">
      <c r="T55068" s="41"/>
    </row>
    <row r="55069" spans="20:20" s="566" customFormat="1">
      <c r="T55069" s="41"/>
    </row>
    <row r="55070" spans="20:20" s="566" customFormat="1">
      <c r="T55070" s="41"/>
    </row>
    <row r="55071" spans="20:20" s="566" customFormat="1">
      <c r="T55071" s="41"/>
    </row>
    <row r="55072" spans="20:20" s="566" customFormat="1">
      <c r="T55072" s="41"/>
    </row>
    <row r="55073" spans="20:20" s="566" customFormat="1">
      <c r="T55073" s="41"/>
    </row>
    <row r="55074" spans="20:20" s="566" customFormat="1">
      <c r="T55074" s="41"/>
    </row>
    <row r="55075" spans="20:20" s="566" customFormat="1">
      <c r="T55075" s="41"/>
    </row>
    <row r="55076" spans="20:20" s="566" customFormat="1">
      <c r="T55076" s="41"/>
    </row>
    <row r="55077" spans="20:20" s="566" customFormat="1">
      <c r="T55077" s="41"/>
    </row>
    <row r="55078" spans="20:20" s="566" customFormat="1">
      <c r="T55078" s="41"/>
    </row>
    <row r="55079" spans="20:20" s="566" customFormat="1">
      <c r="T55079" s="41"/>
    </row>
    <row r="55080" spans="20:20" s="566" customFormat="1">
      <c r="T55080" s="41"/>
    </row>
    <row r="55081" spans="20:20" s="566" customFormat="1">
      <c r="T55081" s="41"/>
    </row>
    <row r="55082" spans="20:20" s="566" customFormat="1">
      <c r="T55082" s="41"/>
    </row>
    <row r="55083" spans="20:20" s="566" customFormat="1">
      <c r="T55083" s="41"/>
    </row>
    <row r="55084" spans="20:20" s="566" customFormat="1">
      <c r="T55084" s="41"/>
    </row>
    <row r="55085" spans="20:20" s="566" customFormat="1">
      <c r="T55085" s="41"/>
    </row>
    <row r="55086" spans="20:20" s="566" customFormat="1">
      <c r="T55086" s="41"/>
    </row>
    <row r="55087" spans="20:20" s="566" customFormat="1">
      <c r="T55087" s="41"/>
    </row>
    <row r="55088" spans="20:20" s="566" customFormat="1">
      <c r="T55088" s="41"/>
    </row>
    <row r="55089" spans="20:20" s="566" customFormat="1">
      <c r="T55089" s="41"/>
    </row>
    <row r="55090" spans="20:20" s="566" customFormat="1">
      <c r="T55090" s="41"/>
    </row>
    <row r="55091" spans="20:20" s="566" customFormat="1">
      <c r="T55091" s="41"/>
    </row>
    <row r="55092" spans="20:20" s="566" customFormat="1">
      <c r="T55092" s="41"/>
    </row>
    <row r="55093" spans="20:20" s="566" customFormat="1">
      <c r="T55093" s="41"/>
    </row>
    <row r="55094" spans="20:20" s="566" customFormat="1">
      <c r="T55094" s="41"/>
    </row>
    <row r="55095" spans="20:20" s="566" customFormat="1">
      <c r="T55095" s="41"/>
    </row>
    <row r="55096" spans="20:20" s="566" customFormat="1">
      <c r="T55096" s="41"/>
    </row>
    <row r="55097" spans="20:20" s="566" customFormat="1">
      <c r="T55097" s="41"/>
    </row>
    <row r="55098" spans="20:20" s="566" customFormat="1">
      <c r="T55098" s="41"/>
    </row>
    <row r="55099" spans="20:20" s="566" customFormat="1">
      <c r="T55099" s="41"/>
    </row>
    <row r="55100" spans="20:20" s="566" customFormat="1">
      <c r="T55100" s="41"/>
    </row>
    <row r="55101" spans="20:20" s="566" customFormat="1">
      <c r="T55101" s="41"/>
    </row>
    <row r="55102" spans="20:20" s="566" customFormat="1">
      <c r="T55102" s="41"/>
    </row>
    <row r="55103" spans="20:20" s="566" customFormat="1">
      <c r="T55103" s="41"/>
    </row>
    <row r="55104" spans="20:20" s="566" customFormat="1">
      <c r="T55104" s="41"/>
    </row>
    <row r="55105" spans="20:20" s="566" customFormat="1">
      <c r="T55105" s="41"/>
    </row>
    <row r="55106" spans="20:20" s="566" customFormat="1">
      <c r="T55106" s="41"/>
    </row>
    <row r="55107" spans="20:20" s="566" customFormat="1">
      <c r="T55107" s="41"/>
    </row>
    <row r="55108" spans="20:20" s="566" customFormat="1">
      <c r="T55108" s="41"/>
    </row>
    <row r="55109" spans="20:20" s="566" customFormat="1">
      <c r="T55109" s="41"/>
    </row>
    <row r="55110" spans="20:20" s="566" customFormat="1">
      <c r="T55110" s="41"/>
    </row>
    <row r="55111" spans="20:20" s="566" customFormat="1">
      <c r="T55111" s="41"/>
    </row>
    <row r="55112" spans="20:20" s="566" customFormat="1">
      <c r="T55112" s="41"/>
    </row>
    <row r="55113" spans="20:20" s="566" customFormat="1">
      <c r="T55113" s="41"/>
    </row>
    <row r="55114" spans="20:20" s="566" customFormat="1">
      <c r="T55114" s="41"/>
    </row>
    <row r="55115" spans="20:20" s="566" customFormat="1">
      <c r="T55115" s="41"/>
    </row>
    <row r="55116" spans="20:20" s="566" customFormat="1">
      <c r="T55116" s="41"/>
    </row>
    <row r="55117" spans="20:20" s="566" customFormat="1">
      <c r="T55117" s="41"/>
    </row>
    <row r="55118" spans="20:20" s="566" customFormat="1">
      <c r="T55118" s="41"/>
    </row>
    <row r="55119" spans="20:20" s="566" customFormat="1">
      <c r="T55119" s="41"/>
    </row>
    <row r="55120" spans="20:20" s="566" customFormat="1">
      <c r="T55120" s="41"/>
    </row>
    <row r="55121" spans="20:20" s="566" customFormat="1">
      <c r="T55121" s="41"/>
    </row>
    <row r="55122" spans="20:20" s="566" customFormat="1">
      <c r="T55122" s="41"/>
    </row>
    <row r="55123" spans="20:20" s="566" customFormat="1">
      <c r="T55123" s="41"/>
    </row>
    <row r="55124" spans="20:20" s="566" customFormat="1">
      <c r="T55124" s="41"/>
    </row>
    <row r="55125" spans="20:20" s="566" customFormat="1">
      <c r="T55125" s="41"/>
    </row>
    <row r="55126" spans="20:20" s="566" customFormat="1">
      <c r="T55126" s="41"/>
    </row>
    <row r="55127" spans="20:20" s="566" customFormat="1">
      <c r="T55127" s="41"/>
    </row>
    <row r="55128" spans="20:20" s="566" customFormat="1">
      <c r="T55128" s="41"/>
    </row>
    <row r="55129" spans="20:20" s="566" customFormat="1">
      <c r="T55129" s="41"/>
    </row>
    <row r="55130" spans="20:20" s="566" customFormat="1">
      <c r="T55130" s="41"/>
    </row>
    <row r="55131" spans="20:20" s="566" customFormat="1">
      <c r="T55131" s="41"/>
    </row>
    <row r="55132" spans="20:20" s="566" customFormat="1">
      <c r="T55132" s="41"/>
    </row>
    <row r="55133" spans="20:20" s="566" customFormat="1">
      <c r="T55133" s="41"/>
    </row>
    <row r="55134" spans="20:20" s="566" customFormat="1">
      <c r="T55134" s="41"/>
    </row>
    <row r="55135" spans="20:20" s="566" customFormat="1">
      <c r="T55135" s="41"/>
    </row>
    <row r="55136" spans="20:20" s="566" customFormat="1">
      <c r="T55136" s="41"/>
    </row>
    <row r="55137" spans="20:20" s="566" customFormat="1">
      <c r="T55137" s="41"/>
    </row>
    <row r="55138" spans="20:20" s="566" customFormat="1">
      <c r="T55138" s="41"/>
    </row>
    <row r="55139" spans="20:20" s="566" customFormat="1">
      <c r="T55139" s="41"/>
    </row>
    <row r="55140" spans="20:20" s="566" customFormat="1">
      <c r="T55140" s="41"/>
    </row>
    <row r="55141" spans="20:20" s="566" customFormat="1">
      <c r="T55141" s="41"/>
    </row>
    <row r="55142" spans="20:20" s="566" customFormat="1">
      <c r="T55142" s="41"/>
    </row>
    <row r="55143" spans="20:20" s="566" customFormat="1">
      <c r="T55143" s="41"/>
    </row>
    <row r="55144" spans="20:20" s="566" customFormat="1">
      <c r="T55144" s="41"/>
    </row>
    <row r="55145" spans="20:20" s="566" customFormat="1">
      <c r="T55145" s="41"/>
    </row>
    <row r="55146" spans="20:20" s="566" customFormat="1">
      <c r="T55146" s="41"/>
    </row>
    <row r="55147" spans="20:20" s="566" customFormat="1">
      <c r="T55147" s="41"/>
    </row>
    <row r="55148" spans="20:20" s="566" customFormat="1">
      <c r="T55148" s="41"/>
    </row>
    <row r="55149" spans="20:20" s="566" customFormat="1">
      <c r="T55149" s="41"/>
    </row>
    <row r="55150" spans="20:20" s="566" customFormat="1">
      <c r="T55150" s="41"/>
    </row>
    <row r="55151" spans="20:20" s="566" customFormat="1">
      <c r="T55151" s="41"/>
    </row>
    <row r="55152" spans="20:20" s="566" customFormat="1">
      <c r="T55152" s="41"/>
    </row>
    <row r="55153" spans="20:20" s="566" customFormat="1">
      <c r="T55153" s="41"/>
    </row>
    <row r="55154" spans="20:20" s="566" customFormat="1">
      <c r="T55154" s="41"/>
    </row>
    <row r="55155" spans="20:20" s="566" customFormat="1">
      <c r="T55155" s="41"/>
    </row>
    <row r="55156" spans="20:20" s="566" customFormat="1">
      <c r="T55156" s="41"/>
    </row>
    <row r="55157" spans="20:20" s="566" customFormat="1">
      <c r="T55157" s="41"/>
    </row>
    <row r="55158" spans="20:20" s="566" customFormat="1">
      <c r="T55158" s="41"/>
    </row>
    <row r="55159" spans="20:20" s="566" customFormat="1">
      <c r="T55159" s="41"/>
    </row>
    <row r="55160" spans="20:20" s="566" customFormat="1">
      <c r="T55160" s="41"/>
    </row>
    <row r="55161" spans="20:20" s="566" customFormat="1">
      <c r="T55161" s="41"/>
    </row>
    <row r="55162" spans="20:20" s="566" customFormat="1">
      <c r="T55162" s="41"/>
    </row>
    <row r="55163" spans="20:20" s="566" customFormat="1">
      <c r="T55163" s="41"/>
    </row>
    <row r="55164" spans="20:20" s="566" customFormat="1">
      <c r="T55164" s="41"/>
    </row>
    <row r="55165" spans="20:20" s="566" customFormat="1">
      <c r="T55165" s="41"/>
    </row>
    <row r="55166" spans="20:20" s="566" customFormat="1">
      <c r="T55166" s="41"/>
    </row>
    <row r="55167" spans="20:20" s="566" customFormat="1">
      <c r="T55167" s="41"/>
    </row>
    <row r="55168" spans="20:20" s="566" customFormat="1">
      <c r="T55168" s="41"/>
    </row>
    <row r="55169" spans="20:20" s="566" customFormat="1">
      <c r="T55169" s="41"/>
    </row>
    <row r="55170" spans="20:20" s="566" customFormat="1">
      <c r="T55170" s="41"/>
    </row>
    <row r="55171" spans="20:20" s="566" customFormat="1">
      <c r="T55171" s="41"/>
    </row>
    <row r="55172" spans="20:20" s="566" customFormat="1">
      <c r="T55172" s="41"/>
    </row>
    <row r="55173" spans="20:20" s="566" customFormat="1">
      <c r="T55173" s="41"/>
    </row>
    <row r="55174" spans="20:20" s="566" customFormat="1">
      <c r="T55174" s="41"/>
    </row>
    <row r="55175" spans="20:20" s="566" customFormat="1">
      <c r="T55175" s="41"/>
    </row>
    <row r="55176" spans="20:20" s="566" customFormat="1">
      <c r="T55176" s="41"/>
    </row>
    <row r="55177" spans="20:20" s="566" customFormat="1">
      <c r="T55177" s="41"/>
    </row>
    <row r="55178" spans="20:20" s="566" customFormat="1">
      <c r="T55178" s="41"/>
    </row>
    <row r="55179" spans="20:20" s="566" customFormat="1">
      <c r="T55179" s="41"/>
    </row>
    <row r="55180" spans="20:20" s="566" customFormat="1">
      <c r="T55180" s="41"/>
    </row>
    <row r="55181" spans="20:20" s="566" customFormat="1">
      <c r="T55181" s="41"/>
    </row>
    <row r="55182" spans="20:20" s="566" customFormat="1">
      <c r="T55182" s="41"/>
    </row>
    <row r="55183" spans="20:20" s="566" customFormat="1">
      <c r="T55183" s="41"/>
    </row>
    <row r="55184" spans="20:20" s="566" customFormat="1">
      <c r="T55184" s="41"/>
    </row>
    <row r="55185" spans="20:20" s="566" customFormat="1">
      <c r="T55185" s="41"/>
    </row>
    <row r="55186" spans="20:20" s="566" customFormat="1">
      <c r="T55186" s="41"/>
    </row>
    <row r="55187" spans="20:20" s="566" customFormat="1">
      <c r="T55187" s="41"/>
    </row>
    <row r="55188" spans="20:20" s="566" customFormat="1">
      <c r="T55188" s="41"/>
    </row>
    <row r="55189" spans="20:20" s="566" customFormat="1">
      <c r="T55189" s="41"/>
    </row>
    <row r="55190" spans="20:20" s="566" customFormat="1">
      <c r="T55190" s="41"/>
    </row>
    <row r="55191" spans="20:20" s="566" customFormat="1">
      <c r="T55191" s="41"/>
    </row>
    <row r="55192" spans="20:20" s="566" customFormat="1">
      <c r="T55192" s="41"/>
    </row>
    <row r="55193" spans="20:20" s="566" customFormat="1">
      <c r="T55193" s="41"/>
    </row>
    <row r="55194" spans="20:20" s="566" customFormat="1">
      <c r="T55194" s="41"/>
    </row>
    <row r="55195" spans="20:20" s="566" customFormat="1">
      <c r="T55195" s="41"/>
    </row>
    <row r="55196" spans="20:20" s="566" customFormat="1">
      <c r="T55196" s="41"/>
    </row>
    <row r="55197" spans="20:20" s="566" customFormat="1">
      <c r="T55197" s="41"/>
    </row>
    <row r="55198" spans="20:20" s="566" customFormat="1">
      <c r="T55198" s="41"/>
    </row>
    <row r="55199" spans="20:20" s="566" customFormat="1">
      <c r="T55199" s="41"/>
    </row>
    <row r="55200" spans="20:20" s="566" customFormat="1">
      <c r="T55200" s="41"/>
    </row>
    <row r="55201" spans="20:20" s="566" customFormat="1">
      <c r="T55201" s="41"/>
    </row>
    <row r="55202" spans="20:20" s="566" customFormat="1">
      <c r="T55202" s="41"/>
    </row>
    <row r="55203" spans="20:20" s="566" customFormat="1">
      <c r="T55203" s="41"/>
    </row>
    <row r="55204" spans="20:20" s="566" customFormat="1">
      <c r="T55204" s="41"/>
    </row>
    <row r="55205" spans="20:20" s="566" customFormat="1">
      <c r="T55205" s="41"/>
    </row>
    <row r="55206" spans="20:20" s="566" customFormat="1">
      <c r="T55206" s="41"/>
    </row>
    <row r="55207" spans="20:20" s="566" customFormat="1">
      <c r="T55207" s="41"/>
    </row>
    <row r="55208" spans="20:20" s="566" customFormat="1">
      <c r="T55208" s="41"/>
    </row>
    <row r="55209" spans="20:20" s="566" customFormat="1">
      <c r="T55209" s="41"/>
    </row>
    <row r="55210" spans="20:20" s="566" customFormat="1">
      <c r="T55210" s="41"/>
    </row>
    <row r="55211" spans="20:20" s="566" customFormat="1">
      <c r="T55211" s="41"/>
    </row>
    <row r="55212" spans="20:20" s="566" customFormat="1">
      <c r="T55212" s="41"/>
    </row>
    <row r="55213" spans="20:20" s="566" customFormat="1">
      <c r="T55213" s="41"/>
    </row>
    <row r="55214" spans="20:20" s="566" customFormat="1">
      <c r="T55214" s="41"/>
    </row>
    <row r="55215" spans="20:20" s="566" customFormat="1">
      <c r="T55215" s="41"/>
    </row>
    <row r="55216" spans="20:20" s="566" customFormat="1">
      <c r="T55216" s="41"/>
    </row>
    <row r="55217" spans="20:20" s="566" customFormat="1">
      <c r="T55217" s="41"/>
    </row>
    <row r="55218" spans="20:20" s="566" customFormat="1">
      <c r="T55218" s="41"/>
    </row>
    <row r="55219" spans="20:20" s="566" customFormat="1">
      <c r="T55219" s="41"/>
    </row>
    <row r="55220" spans="20:20" s="566" customFormat="1">
      <c r="T55220" s="41"/>
    </row>
    <row r="55221" spans="20:20" s="566" customFormat="1">
      <c r="T55221" s="41"/>
    </row>
    <row r="55222" spans="20:20" s="566" customFormat="1">
      <c r="T55222" s="41"/>
    </row>
    <row r="55223" spans="20:20" s="566" customFormat="1">
      <c r="T55223" s="41"/>
    </row>
    <row r="55224" spans="20:20" s="566" customFormat="1">
      <c r="T55224" s="41"/>
    </row>
    <row r="55225" spans="20:20" s="566" customFormat="1">
      <c r="T55225" s="41"/>
    </row>
    <row r="55226" spans="20:20" s="566" customFormat="1">
      <c r="T55226" s="41"/>
    </row>
    <row r="55227" spans="20:20" s="566" customFormat="1">
      <c r="T55227" s="41"/>
    </row>
    <row r="55228" spans="20:20" s="566" customFormat="1">
      <c r="T55228" s="41"/>
    </row>
    <row r="55229" spans="20:20" s="566" customFormat="1">
      <c r="T55229" s="41"/>
    </row>
    <row r="55230" spans="20:20" s="566" customFormat="1">
      <c r="T55230" s="41"/>
    </row>
    <row r="55231" spans="20:20" s="566" customFormat="1">
      <c r="T55231" s="41"/>
    </row>
    <row r="55232" spans="20:20" s="566" customFormat="1">
      <c r="T55232" s="41"/>
    </row>
    <row r="55233" spans="20:20" s="566" customFormat="1">
      <c r="T55233" s="41"/>
    </row>
    <row r="55234" spans="20:20" s="566" customFormat="1">
      <c r="T55234" s="41"/>
    </row>
    <row r="55235" spans="20:20" s="566" customFormat="1">
      <c r="T55235" s="41"/>
    </row>
    <row r="55236" spans="20:20" s="566" customFormat="1">
      <c r="T55236" s="41"/>
    </row>
    <row r="55237" spans="20:20" s="566" customFormat="1">
      <c r="T55237" s="41"/>
    </row>
    <row r="55238" spans="20:20" s="566" customFormat="1">
      <c r="T55238" s="41"/>
    </row>
    <row r="55239" spans="20:20" s="566" customFormat="1">
      <c r="T55239" s="41"/>
    </row>
    <row r="55240" spans="20:20" s="566" customFormat="1">
      <c r="T55240" s="41"/>
    </row>
    <row r="55241" spans="20:20" s="566" customFormat="1">
      <c r="T55241" s="41"/>
    </row>
    <row r="55242" spans="20:20" s="566" customFormat="1">
      <c r="T55242" s="41"/>
    </row>
    <row r="55243" spans="20:20" s="566" customFormat="1">
      <c r="T55243" s="41"/>
    </row>
    <row r="55244" spans="20:20" s="566" customFormat="1">
      <c r="T55244" s="41"/>
    </row>
    <row r="55245" spans="20:20" s="566" customFormat="1">
      <c r="T55245" s="41"/>
    </row>
    <row r="55246" spans="20:20" s="566" customFormat="1">
      <c r="T55246" s="41"/>
    </row>
    <row r="55247" spans="20:20" s="566" customFormat="1">
      <c r="T55247" s="41"/>
    </row>
    <row r="55248" spans="20:20" s="566" customFormat="1">
      <c r="T55248" s="41"/>
    </row>
    <row r="55249" spans="20:20" s="566" customFormat="1">
      <c r="T55249" s="41"/>
    </row>
    <row r="55250" spans="20:20" s="566" customFormat="1">
      <c r="T55250" s="41"/>
    </row>
    <row r="55251" spans="20:20" s="566" customFormat="1">
      <c r="T55251" s="41"/>
    </row>
    <row r="55252" spans="20:20" s="566" customFormat="1">
      <c r="T55252" s="41"/>
    </row>
    <row r="55253" spans="20:20" s="566" customFormat="1">
      <c r="T55253" s="41"/>
    </row>
    <row r="55254" spans="20:20" s="566" customFormat="1">
      <c r="T55254" s="41"/>
    </row>
    <row r="55255" spans="20:20" s="566" customFormat="1">
      <c r="T55255" s="41"/>
    </row>
    <row r="55256" spans="20:20" s="566" customFormat="1">
      <c r="T55256" s="41"/>
    </row>
    <row r="55257" spans="20:20" s="566" customFormat="1">
      <c r="T55257" s="41"/>
    </row>
    <row r="55258" spans="20:20" s="566" customFormat="1">
      <c r="T55258" s="41"/>
    </row>
    <row r="55259" spans="20:20" s="566" customFormat="1">
      <c r="T55259" s="41"/>
    </row>
    <row r="55260" spans="20:20" s="566" customFormat="1">
      <c r="T55260" s="41"/>
    </row>
    <row r="55261" spans="20:20" s="566" customFormat="1">
      <c r="T55261" s="41"/>
    </row>
    <row r="55262" spans="20:20" s="566" customFormat="1">
      <c r="T55262" s="41"/>
    </row>
    <row r="55263" spans="20:20" s="566" customFormat="1">
      <c r="T55263" s="41"/>
    </row>
    <row r="55264" spans="20:20" s="566" customFormat="1">
      <c r="T55264" s="41"/>
    </row>
    <row r="55265" spans="20:20" s="566" customFormat="1">
      <c r="T55265" s="41"/>
    </row>
    <row r="55266" spans="20:20" s="566" customFormat="1">
      <c r="T55266" s="41"/>
    </row>
    <row r="55267" spans="20:20" s="566" customFormat="1">
      <c r="T55267" s="41"/>
    </row>
    <row r="55268" spans="20:20" s="566" customFormat="1">
      <c r="T55268" s="41"/>
    </row>
    <row r="55269" spans="20:20" s="566" customFormat="1">
      <c r="T55269" s="41"/>
    </row>
    <row r="55270" spans="20:20" s="566" customFormat="1">
      <c r="T55270" s="41"/>
    </row>
    <row r="55271" spans="20:20" s="566" customFormat="1">
      <c r="T55271" s="41"/>
    </row>
    <row r="55272" spans="20:20" s="566" customFormat="1">
      <c r="T55272" s="41"/>
    </row>
    <row r="55273" spans="20:20" s="566" customFormat="1">
      <c r="T55273" s="41"/>
    </row>
    <row r="55274" spans="20:20" s="566" customFormat="1">
      <c r="T55274" s="41"/>
    </row>
    <row r="55275" spans="20:20" s="566" customFormat="1">
      <c r="T55275" s="41"/>
    </row>
    <row r="55276" spans="20:20" s="566" customFormat="1">
      <c r="T55276" s="41"/>
    </row>
    <row r="55277" spans="20:20" s="566" customFormat="1">
      <c r="T55277" s="41"/>
    </row>
    <row r="55278" spans="20:20" s="566" customFormat="1">
      <c r="T55278" s="41"/>
    </row>
    <row r="55279" spans="20:20" s="566" customFormat="1">
      <c r="T55279" s="41"/>
    </row>
    <row r="55280" spans="20:20" s="566" customFormat="1">
      <c r="T55280" s="41"/>
    </row>
    <row r="55281" spans="20:20" s="566" customFormat="1">
      <c r="T55281" s="41"/>
    </row>
    <row r="55282" spans="20:20" s="566" customFormat="1">
      <c r="T55282" s="41"/>
    </row>
    <row r="55283" spans="20:20" s="566" customFormat="1">
      <c r="T55283" s="41"/>
    </row>
    <row r="55284" spans="20:20" s="566" customFormat="1">
      <c r="T55284" s="41"/>
    </row>
    <row r="55285" spans="20:20" s="566" customFormat="1">
      <c r="T55285" s="41"/>
    </row>
    <row r="55286" spans="20:20" s="566" customFormat="1">
      <c r="T55286" s="41"/>
    </row>
    <row r="55287" spans="20:20" s="566" customFormat="1">
      <c r="T55287" s="41"/>
    </row>
    <row r="55288" spans="20:20" s="566" customFormat="1">
      <c r="T55288" s="41"/>
    </row>
    <row r="55289" spans="20:20" s="566" customFormat="1">
      <c r="T55289" s="41"/>
    </row>
    <row r="55290" spans="20:20" s="566" customFormat="1">
      <c r="T55290" s="41"/>
    </row>
    <row r="55291" spans="20:20" s="566" customFormat="1">
      <c r="T55291" s="41"/>
    </row>
    <row r="55292" spans="20:20" s="566" customFormat="1">
      <c r="T55292" s="41"/>
    </row>
    <row r="55293" spans="20:20" s="566" customFormat="1">
      <c r="T55293" s="41"/>
    </row>
    <row r="55294" spans="20:20" s="566" customFormat="1">
      <c r="T55294" s="41"/>
    </row>
    <row r="55295" spans="20:20" s="566" customFormat="1">
      <c r="T55295" s="41"/>
    </row>
    <row r="55296" spans="20:20" s="566" customFormat="1">
      <c r="T55296" s="41"/>
    </row>
    <row r="55297" spans="20:20" s="566" customFormat="1">
      <c r="T55297" s="41"/>
    </row>
    <row r="55298" spans="20:20" s="566" customFormat="1">
      <c r="T55298" s="41"/>
    </row>
    <row r="55299" spans="20:20" s="566" customFormat="1">
      <c r="T55299" s="41"/>
    </row>
    <row r="55300" spans="20:20" s="566" customFormat="1">
      <c r="T55300" s="41"/>
    </row>
    <row r="55301" spans="20:20" s="566" customFormat="1">
      <c r="T55301" s="41"/>
    </row>
    <row r="55302" spans="20:20" s="566" customFormat="1">
      <c r="T55302" s="41"/>
    </row>
    <row r="55303" spans="20:20" s="566" customFormat="1">
      <c r="T55303" s="41"/>
    </row>
    <row r="55304" spans="20:20" s="566" customFormat="1">
      <c r="T55304" s="41"/>
    </row>
    <row r="55305" spans="20:20" s="566" customFormat="1">
      <c r="T55305" s="41"/>
    </row>
    <row r="55306" spans="20:20" s="566" customFormat="1">
      <c r="T55306" s="41"/>
    </row>
    <row r="55307" spans="20:20" s="566" customFormat="1">
      <c r="T55307" s="41"/>
    </row>
    <row r="55308" spans="20:20" s="566" customFormat="1">
      <c r="T55308" s="41"/>
    </row>
    <row r="55309" spans="20:20" s="566" customFormat="1">
      <c r="T55309" s="41"/>
    </row>
    <row r="55310" spans="20:20" s="566" customFormat="1">
      <c r="T55310" s="41"/>
    </row>
    <row r="55311" spans="20:20" s="566" customFormat="1">
      <c r="T55311" s="41"/>
    </row>
    <row r="55312" spans="20:20" s="566" customFormat="1">
      <c r="T55312" s="41"/>
    </row>
    <row r="55313" spans="20:20" s="566" customFormat="1">
      <c r="T55313" s="41"/>
    </row>
    <row r="55314" spans="20:20" s="566" customFormat="1">
      <c r="T55314" s="41"/>
    </row>
    <row r="55315" spans="20:20" s="566" customFormat="1">
      <c r="T55315" s="41"/>
    </row>
    <row r="55316" spans="20:20" s="566" customFormat="1">
      <c r="T55316" s="41"/>
    </row>
    <row r="55317" spans="20:20" s="566" customFormat="1">
      <c r="T55317" s="41"/>
    </row>
    <row r="55318" spans="20:20" s="566" customFormat="1">
      <c r="T55318" s="41"/>
    </row>
    <row r="55319" spans="20:20" s="566" customFormat="1">
      <c r="T55319" s="41"/>
    </row>
    <row r="55320" spans="20:20" s="566" customFormat="1">
      <c r="T55320" s="41"/>
    </row>
    <row r="55321" spans="20:20" s="566" customFormat="1">
      <c r="T55321" s="41"/>
    </row>
    <row r="55322" spans="20:20" s="566" customFormat="1">
      <c r="T55322" s="41"/>
    </row>
    <row r="55323" spans="20:20" s="566" customFormat="1">
      <c r="T55323" s="41"/>
    </row>
    <row r="55324" spans="20:20" s="566" customFormat="1">
      <c r="T55324" s="41"/>
    </row>
    <row r="55325" spans="20:20" s="566" customFormat="1">
      <c r="T55325" s="41"/>
    </row>
    <row r="55326" spans="20:20" s="566" customFormat="1">
      <c r="T55326" s="41"/>
    </row>
    <row r="55327" spans="20:20" s="566" customFormat="1">
      <c r="T55327" s="41"/>
    </row>
    <row r="55328" spans="20:20" s="566" customFormat="1">
      <c r="T55328" s="41"/>
    </row>
    <row r="55329" spans="20:20" s="566" customFormat="1">
      <c r="T55329" s="41"/>
    </row>
    <row r="55330" spans="20:20" s="566" customFormat="1">
      <c r="T55330" s="41"/>
    </row>
    <row r="55331" spans="20:20" s="566" customFormat="1">
      <c r="T55331" s="41"/>
    </row>
    <row r="55332" spans="20:20" s="566" customFormat="1">
      <c r="T55332" s="41"/>
    </row>
    <row r="55333" spans="20:20" s="566" customFormat="1">
      <c r="T55333" s="41"/>
    </row>
    <row r="55334" spans="20:20" s="566" customFormat="1">
      <c r="T55334" s="41"/>
    </row>
    <row r="55335" spans="20:20" s="566" customFormat="1">
      <c r="T55335" s="41"/>
    </row>
    <row r="55336" spans="20:20" s="566" customFormat="1">
      <c r="T55336" s="41"/>
    </row>
    <row r="55337" spans="20:20" s="566" customFormat="1">
      <c r="T55337" s="41"/>
    </row>
    <row r="55338" spans="20:20" s="566" customFormat="1">
      <c r="T55338" s="41"/>
    </row>
    <row r="55339" spans="20:20" s="566" customFormat="1">
      <c r="T55339" s="41"/>
    </row>
    <row r="55340" spans="20:20" s="566" customFormat="1">
      <c r="T55340" s="41"/>
    </row>
    <row r="55341" spans="20:20" s="566" customFormat="1">
      <c r="T55341" s="41"/>
    </row>
    <row r="55342" spans="20:20" s="566" customFormat="1">
      <c r="T55342" s="41"/>
    </row>
    <row r="55343" spans="20:20" s="566" customFormat="1">
      <c r="T55343" s="41"/>
    </row>
    <row r="55344" spans="20:20" s="566" customFormat="1">
      <c r="T55344" s="41"/>
    </row>
    <row r="55345" spans="20:20" s="566" customFormat="1">
      <c r="T55345" s="41"/>
    </row>
    <row r="55346" spans="20:20" s="566" customFormat="1">
      <c r="T55346" s="41"/>
    </row>
    <row r="55347" spans="20:20" s="566" customFormat="1">
      <c r="T55347" s="41"/>
    </row>
    <row r="55348" spans="20:20" s="566" customFormat="1">
      <c r="T55348" s="41"/>
    </row>
    <row r="55349" spans="20:20" s="566" customFormat="1">
      <c r="T55349" s="41"/>
    </row>
    <row r="55350" spans="20:20" s="566" customFormat="1">
      <c r="T55350" s="41"/>
    </row>
    <row r="55351" spans="20:20" s="566" customFormat="1">
      <c r="T55351" s="41"/>
    </row>
    <row r="55352" spans="20:20" s="566" customFormat="1">
      <c r="T55352" s="41"/>
    </row>
    <row r="55353" spans="20:20" s="566" customFormat="1">
      <c r="T55353" s="41"/>
    </row>
    <row r="55354" spans="20:20" s="566" customFormat="1">
      <c r="T55354" s="41"/>
    </row>
    <row r="55355" spans="20:20" s="566" customFormat="1">
      <c r="T55355" s="41"/>
    </row>
    <row r="55356" spans="20:20" s="566" customFormat="1">
      <c r="T55356" s="41"/>
    </row>
    <row r="55357" spans="20:20" s="566" customFormat="1">
      <c r="T55357" s="41"/>
    </row>
    <row r="55358" spans="20:20" s="566" customFormat="1">
      <c r="T55358" s="41"/>
    </row>
    <row r="55359" spans="20:20" s="566" customFormat="1">
      <c r="T55359" s="41"/>
    </row>
    <row r="55360" spans="20:20" s="566" customFormat="1">
      <c r="T55360" s="41"/>
    </row>
    <row r="55361" spans="20:20" s="566" customFormat="1">
      <c r="T55361" s="41"/>
    </row>
    <row r="55362" spans="20:20" s="566" customFormat="1">
      <c r="T55362" s="41"/>
    </row>
    <row r="55363" spans="20:20" s="566" customFormat="1">
      <c r="T55363" s="41"/>
    </row>
    <row r="55364" spans="20:20" s="566" customFormat="1">
      <c r="T55364" s="41"/>
    </row>
    <row r="55365" spans="20:20" s="566" customFormat="1">
      <c r="T55365" s="41"/>
    </row>
    <row r="55366" spans="20:20" s="566" customFormat="1">
      <c r="T55366" s="41"/>
    </row>
    <row r="55367" spans="20:20" s="566" customFormat="1">
      <c r="T55367" s="41"/>
    </row>
    <row r="55368" spans="20:20" s="566" customFormat="1">
      <c r="T55368" s="41"/>
    </row>
    <row r="55369" spans="20:20" s="566" customFormat="1">
      <c r="T55369" s="41"/>
    </row>
    <row r="55370" spans="20:20" s="566" customFormat="1">
      <c r="T55370" s="41"/>
    </row>
    <row r="55371" spans="20:20" s="566" customFormat="1">
      <c r="T55371" s="41"/>
    </row>
    <row r="55372" spans="20:20" s="566" customFormat="1">
      <c r="T55372" s="41"/>
    </row>
    <row r="55373" spans="20:20" s="566" customFormat="1">
      <c r="T55373" s="41"/>
    </row>
    <row r="55374" spans="20:20" s="566" customFormat="1">
      <c r="T55374" s="41"/>
    </row>
    <row r="55375" spans="20:20" s="566" customFormat="1">
      <c r="T55375" s="41"/>
    </row>
    <row r="55376" spans="20:20" s="566" customFormat="1">
      <c r="T55376" s="41"/>
    </row>
    <row r="55377" spans="20:20" s="566" customFormat="1">
      <c r="T55377" s="41"/>
    </row>
    <row r="55378" spans="20:20" s="566" customFormat="1">
      <c r="T55378" s="41"/>
    </row>
    <row r="55379" spans="20:20" s="566" customFormat="1">
      <c r="T55379" s="41"/>
    </row>
    <row r="55380" spans="20:20" s="566" customFormat="1">
      <c r="T55380" s="41"/>
    </row>
    <row r="55381" spans="20:20" s="566" customFormat="1">
      <c r="T55381" s="41"/>
    </row>
    <row r="55382" spans="20:20" s="566" customFormat="1">
      <c r="T55382" s="41"/>
    </row>
    <row r="55383" spans="20:20" s="566" customFormat="1">
      <c r="T55383" s="41"/>
    </row>
    <row r="55384" spans="20:20" s="566" customFormat="1">
      <c r="T55384" s="41"/>
    </row>
    <row r="55385" spans="20:20" s="566" customFormat="1">
      <c r="T55385" s="41"/>
    </row>
    <row r="55386" spans="20:20" s="566" customFormat="1">
      <c r="T55386" s="41"/>
    </row>
    <row r="55387" spans="20:20" s="566" customFormat="1">
      <c r="T55387" s="41"/>
    </row>
    <row r="55388" spans="20:20" s="566" customFormat="1">
      <c r="T55388" s="41"/>
    </row>
    <row r="55389" spans="20:20" s="566" customFormat="1">
      <c r="T55389" s="41"/>
    </row>
    <row r="55390" spans="20:20" s="566" customFormat="1">
      <c r="T55390" s="41"/>
    </row>
    <row r="55391" spans="20:20" s="566" customFormat="1">
      <c r="T55391" s="41"/>
    </row>
    <row r="55392" spans="20:20" s="566" customFormat="1">
      <c r="T55392" s="41"/>
    </row>
    <row r="55393" spans="20:20" s="566" customFormat="1">
      <c r="T55393" s="41"/>
    </row>
    <row r="55394" spans="20:20" s="566" customFormat="1">
      <c r="T55394" s="41"/>
    </row>
    <row r="55395" spans="20:20" s="566" customFormat="1">
      <c r="T55395" s="41"/>
    </row>
    <row r="55396" spans="20:20" s="566" customFormat="1">
      <c r="T55396" s="41"/>
    </row>
    <row r="55397" spans="20:20" s="566" customFormat="1">
      <c r="T55397" s="41"/>
    </row>
    <row r="55398" spans="20:20" s="566" customFormat="1">
      <c r="T55398" s="41"/>
    </row>
    <row r="55399" spans="20:20" s="566" customFormat="1">
      <c r="T55399" s="41"/>
    </row>
    <row r="55400" spans="20:20" s="566" customFormat="1">
      <c r="T55400" s="41"/>
    </row>
    <row r="55401" spans="20:20" s="566" customFormat="1">
      <c r="T55401" s="41"/>
    </row>
    <row r="55402" spans="20:20" s="566" customFormat="1">
      <c r="T55402" s="41"/>
    </row>
    <row r="55403" spans="20:20" s="566" customFormat="1">
      <c r="T55403" s="41"/>
    </row>
    <row r="55404" spans="20:20" s="566" customFormat="1">
      <c r="T55404" s="41"/>
    </row>
    <row r="55405" spans="20:20" s="566" customFormat="1">
      <c r="T55405" s="41"/>
    </row>
    <row r="55406" spans="20:20" s="566" customFormat="1">
      <c r="T55406" s="41"/>
    </row>
    <row r="55407" spans="20:20" s="566" customFormat="1">
      <c r="T55407" s="41"/>
    </row>
    <row r="55408" spans="20:20" s="566" customFormat="1">
      <c r="T55408" s="41"/>
    </row>
    <row r="55409" spans="20:20" s="566" customFormat="1">
      <c r="T55409" s="41"/>
    </row>
    <row r="55410" spans="20:20" s="566" customFormat="1">
      <c r="T55410" s="41"/>
    </row>
    <row r="55411" spans="20:20" s="566" customFormat="1">
      <c r="T55411" s="41"/>
    </row>
    <row r="55412" spans="20:20" s="566" customFormat="1">
      <c r="T55412" s="41"/>
    </row>
    <row r="55413" spans="20:20" s="566" customFormat="1">
      <c r="T55413" s="41"/>
    </row>
    <row r="55414" spans="20:20" s="566" customFormat="1">
      <c r="T55414" s="41"/>
    </row>
    <row r="55415" spans="20:20" s="566" customFormat="1">
      <c r="T55415" s="41"/>
    </row>
    <row r="55416" spans="20:20" s="566" customFormat="1">
      <c r="T55416" s="41"/>
    </row>
    <row r="55417" spans="20:20" s="566" customFormat="1">
      <c r="T55417" s="41"/>
    </row>
    <row r="55418" spans="20:20" s="566" customFormat="1">
      <c r="T55418" s="41"/>
    </row>
    <row r="55419" spans="20:20" s="566" customFormat="1">
      <c r="T55419" s="41"/>
    </row>
    <row r="55420" spans="20:20" s="566" customFormat="1">
      <c r="T55420" s="41"/>
    </row>
    <row r="55421" spans="20:20" s="566" customFormat="1">
      <c r="T55421" s="41"/>
    </row>
    <row r="55422" spans="20:20" s="566" customFormat="1">
      <c r="T55422" s="41"/>
    </row>
    <row r="55423" spans="20:20" s="566" customFormat="1">
      <c r="T55423" s="41"/>
    </row>
    <row r="55424" spans="20:20" s="566" customFormat="1">
      <c r="T55424" s="41"/>
    </row>
    <row r="55425" spans="20:20" s="566" customFormat="1">
      <c r="T55425" s="41"/>
    </row>
    <row r="55426" spans="20:20" s="566" customFormat="1">
      <c r="T55426" s="41"/>
    </row>
    <row r="55427" spans="20:20" s="566" customFormat="1">
      <c r="T55427" s="41"/>
    </row>
    <row r="55428" spans="20:20" s="566" customFormat="1">
      <c r="T55428" s="41"/>
    </row>
    <row r="55429" spans="20:20" s="566" customFormat="1">
      <c r="T55429" s="41"/>
    </row>
    <row r="55430" spans="20:20" s="566" customFormat="1">
      <c r="T55430" s="41"/>
    </row>
    <row r="55431" spans="20:20" s="566" customFormat="1">
      <c r="T55431" s="41"/>
    </row>
    <row r="55432" spans="20:20" s="566" customFormat="1">
      <c r="T55432" s="41"/>
    </row>
    <row r="55433" spans="20:20" s="566" customFormat="1">
      <c r="T55433" s="41"/>
    </row>
    <row r="55434" spans="20:20" s="566" customFormat="1">
      <c r="T55434" s="41"/>
    </row>
    <row r="55435" spans="20:20" s="566" customFormat="1">
      <c r="T55435" s="41"/>
    </row>
    <row r="55436" spans="20:20" s="566" customFormat="1">
      <c r="T55436" s="41"/>
    </row>
    <row r="55437" spans="20:20" s="566" customFormat="1">
      <c r="T55437" s="41"/>
    </row>
    <row r="55438" spans="20:20" s="566" customFormat="1">
      <c r="T55438" s="41"/>
    </row>
    <row r="55439" spans="20:20" s="566" customFormat="1">
      <c r="T55439" s="41"/>
    </row>
    <row r="55440" spans="20:20" s="566" customFormat="1">
      <c r="T55440" s="41"/>
    </row>
    <row r="55441" spans="20:20" s="566" customFormat="1">
      <c r="T55441" s="41"/>
    </row>
    <row r="55442" spans="20:20" s="566" customFormat="1">
      <c r="T55442" s="41"/>
    </row>
    <row r="55443" spans="20:20" s="566" customFormat="1">
      <c r="T55443" s="41"/>
    </row>
    <row r="55444" spans="20:20" s="566" customFormat="1">
      <c r="T55444" s="41"/>
    </row>
    <row r="55445" spans="20:20" s="566" customFormat="1">
      <c r="T55445" s="41"/>
    </row>
    <row r="55446" spans="20:20" s="566" customFormat="1">
      <c r="T55446" s="41"/>
    </row>
    <row r="55447" spans="20:20" s="566" customFormat="1">
      <c r="T55447" s="41"/>
    </row>
    <row r="55448" spans="20:20" s="566" customFormat="1">
      <c r="T55448" s="41"/>
    </row>
    <row r="55449" spans="20:20" s="566" customFormat="1">
      <c r="T55449" s="41"/>
    </row>
    <row r="55450" spans="20:20" s="566" customFormat="1">
      <c r="T55450" s="41"/>
    </row>
    <row r="55451" spans="20:20" s="566" customFormat="1">
      <c r="T55451" s="41"/>
    </row>
    <row r="55452" spans="20:20" s="566" customFormat="1">
      <c r="T55452" s="41"/>
    </row>
    <row r="55453" spans="20:20" s="566" customFormat="1">
      <c r="T55453" s="41"/>
    </row>
    <row r="55454" spans="20:20" s="566" customFormat="1">
      <c r="T55454" s="41"/>
    </row>
    <row r="55455" spans="20:20" s="566" customFormat="1">
      <c r="T55455" s="41"/>
    </row>
    <row r="55456" spans="20:20" s="566" customFormat="1">
      <c r="T55456" s="41"/>
    </row>
    <row r="55457" spans="20:20" s="566" customFormat="1">
      <c r="T55457" s="41"/>
    </row>
    <row r="55458" spans="20:20" s="566" customFormat="1">
      <c r="T55458" s="41"/>
    </row>
    <row r="55459" spans="20:20" s="566" customFormat="1">
      <c r="T55459" s="41"/>
    </row>
    <row r="55460" spans="20:20" s="566" customFormat="1">
      <c r="T55460" s="41"/>
    </row>
    <row r="55461" spans="20:20" s="566" customFormat="1">
      <c r="T55461" s="41"/>
    </row>
    <row r="55462" spans="20:20" s="566" customFormat="1">
      <c r="T55462" s="41"/>
    </row>
    <row r="55463" spans="20:20" s="566" customFormat="1">
      <c r="T55463" s="41"/>
    </row>
    <row r="55464" spans="20:20" s="566" customFormat="1">
      <c r="T55464" s="41"/>
    </row>
    <row r="55465" spans="20:20" s="566" customFormat="1">
      <c r="T55465" s="41"/>
    </row>
    <row r="55466" spans="20:20" s="566" customFormat="1">
      <c r="T55466" s="41"/>
    </row>
    <row r="55467" spans="20:20" s="566" customFormat="1">
      <c r="T55467" s="41"/>
    </row>
    <row r="55468" spans="20:20" s="566" customFormat="1">
      <c r="T55468" s="41"/>
    </row>
    <row r="55469" spans="20:20" s="566" customFormat="1">
      <c r="T55469" s="41"/>
    </row>
    <row r="55470" spans="20:20" s="566" customFormat="1">
      <c r="T55470" s="41"/>
    </row>
    <row r="55471" spans="20:20" s="566" customFormat="1">
      <c r="T55471" s="41"/>
    </row>
    <row r="55472" spans="20:20" s="566" customFormat="1">
      <c r="T55472" s="41"/>
    </row>
    <row r="55473" spans="20:20" s="566" customFormat="1">
      <c r="T55473" s="41"/>
    </row>
    <row r="55474" spans="20:20" s="566" customFormat="1">
      <c r="T55474" s="41"/>
    </row>
    <row r="55475" spans="20:20" s="566" customFormat="1">
      <c r="T55475" s="41"/>
    </row>
    <row r="55476" spans="20:20" s="566" customFormat="1">
      <c r="T55476" s="41"/>
    </row>
    <row r="55477" spans="20:20" s="566" customFormat="1">
      <c r="T55477" s="41"/>
    </row>
    <row r="55478" spans="20:20" s="566" customFormat="1">
      <c r="T55478" s="41"/>
    </row>
    <row r="55479" spans="20:20" s="566" customFormat="1">
      <c r="T55479" s="41"/>
    </row>
    <row r="55480" spans="20:20" s="566" customFormat="1">
      <c r="T55480" s="41"/>
    </row>
    <row r="55481" spans="20:20" s="566" customFormat="1">
      <c r="T55481" s="41"/>
    </row>
    <row r="55482" spans="20:20" s="566" customFormat="1">
      <c r="T55482" s="41"/>
    </row>
    <row r="55483" spans="20:20" s="566" customFormat="1">
      <c r="T55483" s="41"/>
    </row>
    <row r="55484" spans="20:20" s="566" customFormat="1">
      <c r="T55484" s="41"/>
    </row>
    <row r="55485" spans="20:20" s="566" customFormat="1">
      <c r="T55485" s="41"/>
    </row>
    <row r="55486" spans="20:20" s="566" customFormat="1">
      <c r="T55486" s="41"/>
    </row>
    <row r="55487" spans="20:20" s="566" customFormat="1">
      <c r="T55487" s="41"/>
    </row>
    <row r="55488" spans="20:20" s="566" customFormat="1">
      <c r="T55488" s="41"/>
    </row>
    <row r="55489" spans="20:20" s="566" customFormat="1">
      <c r="T55489" s="41"/>
    </row>
    <row r="55490" spans="20:20" s="566" customFormat="1">
      <c r="T55490" s="41"/>
    </row>
    <row r="55491" spans="20:20" s="566" customFormat="1">
      <c r="T55491" s="41"/>
    </row>
    <row r="55492" spans="20:20" s="566" customFormat="1">
      <c r="T55492" s="41"/>
    </row>
    <row r="55493" spans="20:20" s="566" customFormat="1">
      <c r="T55493" s="41"/>
    </row>
    <row r="55494" spans="20:20" s="566" customFormat="1">
      <c r="T55494" s="41"/>
    </row>
    <row r="55495" spans="20:20" s="566" customFormat="1">
      <c r="T55495" s="41"/>
    </row>
    <row r="55496" spans="20:20" s="566" customFormat="1">
      <c r="T55496" s="41"/>
    </row>
    <row r="55497" spans="20:20" s="566" customFormat="1">
      <c r="T55497" s="41"/>
    </row>
    <row r="55498" spans="20:20" s="566" customFormat="1">
      <c r="T55498" s="41"/>
    </row>
    <row r="55499" spans="20:20" s="566" customFormat="1">
      <c r="T55499" s="41"/>
    </row>
    <row r="55500" spans="20:20" s="566" customFormat="1">
      <c r="T55500" s="41"/>
    </row>
    <row r="55501" spans="20:20" s="566" customFormat="1">
      <c r="T55501" s="41"/>
    </row>
    <row r="55502" spans="20:20" s="566" customFormat="1">
      <c r="T55502" s="41"/>
    </row>
    <row r="55503" spans="20:20" s="566" customFormat="1">
      <c r="T55503" s="41"/>
    </row>
    <row r="55504" spans="20:20" s="566" customFormat="1">
      <c r="T55504" s="41"/>
    </row>
    <row r="55505" spans="20:20" s="566" customFormat="1">
      <c r="T55505" s="41"/>
    </row>
    <row r="55506" spans="20:20" s="566" customFormat="1">
      <c r="T55506" s="41"/>
    </row>
    <row r="55507" spans="20:20" s="566" customFormat="1">
      <c r="T55507" s="41"/>
    </row>
    <row r="55508" spans="20:20" s="566" customFormat="1">
      <c r="T55508" s="41"/>
    </row>
    <row r="55509" spans="20:20" s="566" customFormat="1">
      <c r="T55509" s="41"/>
    </row>
    <row r="55510" spans="20:20" s="566" customFormat="1">
      <c r="T55510" s="41"/>
    </row>
    <row r="55511" spans="20:20" s="566" customFormat="1">
      <c r="T55511" s="41"/>
    </row>
    <row r="55512" spans="20:20" s="566" customFormat="1">
      <c r="T55512" s="41"/>
    </row>
    <row r="55513" spans="20:20" s="566" customFormat="1">
      <c r="T55513" s="41"/>
    </row>
    <row r="55514" spans="20:20" s="566" customFormat="1">
      <c r="T55514" s="41"/>
    </row>
    <row r="55515" spans="20:20" s="566" customFormat="1">
      <c r="T55515" s="41"/>
    </row>
    <row r="55516" spans="20:20" s="566" customFormat="1">
      <c r="T55516" s="41"/>
    </row>
    <row r="55517" spans="20:20" s="566" customFormat="1">
      <c r="T55517" s="41"/>
    </row>
    <row r="55518" spans="20:20" s="566" customFormat="1">
      <c r="T55518" s="41"/>
    </row>
    <row r="55519" spans="20:20" s="566" customFormat="1">
      <c r="T55519" s="41"/>
    </row>
    <row r="55520" spans="20:20" s="566" customFormat="1">
      <c r="T55520" s="41"/>
    </row>
    <row r="55521" spans="20:20" s="566" customFormat="1">
      <c r="T55521" s="41"/>
    </row>
    <row r="55522" spans="20:20" s="566" customFormat="1">
      <c r="T55522" s="41"/>
    </row>
    <row r="55523" spans="20:20" s="566" customFormat="1">
      <c r="T55523" s="41"/>
    </row>
    <row r="55524" spans="20:20" s="566" customFormat="1">
      <c r="T55524" s="41"/>
    </row>
    <row r="55525" spans="20:20" s="566" customFormat="1">
      <c r="T55525" s="41"/>
    </row>
    <row r="55526" spans="20:20" s="566" customFormat="1">
      <c r="T55526" s="41"/>
    </row>
    <row r="55527" spans="20:20" s="566" customFormat="1">
      <c r="T55527" s="41"/>
    </row>
    <row r="55528" spans="20:20" s="566" customFormat="1">
      <c r="T55528" s="41"/>
    </row>
    <row r="55529" spans="20:20" s="566" customFormat="1">
      <c r="T55529" s="41"/>
    </row>
    <row r="55530" spans="20:20" s="566" customFormat="1">
      <c r="T55530" s="41"/>
    </row>
    <row r="55531" spans="20:20" s="566" customFormat="1">
      <c r="T55531" s="41"/>
    </row>
    <row r="55532" spans="20:20" s="566" customFormat="1">
      <c r="T55532" s="41"/>
    </row>
    <row r="55533" spans="20:20" s="566" customFormat="1">
      <c r="T55533" s="41"/>
    </row>
    <row r="55534" spans="20:20" s="566" customFormat="1">
      <c r="T55534" s="41"/>
    </row>
    <row r="55535" spans="20:20" s="566" customFormat="1">
      <c r="T55535" s="41"/>
    </row>
    <row r="55536" spans="20:20" s="566" customFormat="1">
      <c r="T55536" s="41"/>
    </row>
    <row r="55537" spans="20:20" s="566" customFormat="1">
      <c r="T55537" s="41"/>
    </row>
    <row r="55538" spans="20:20" s="566" customFormat="1">
      <c r="T55538" s="41"/>
    </row>
    <row r="55539" spans="20:20" s="566" customFormat="1">
      <c r="T55539" s="41"/>
    </row>
    <row r="55540" spans="20:20" s="566" customFormat="1">
      <c r="T55540" s="41"/>
    </row>
    <row r="55541" spans="20:20" s="566" customFormat="1">
      <c r="T55541" s="41"/>
    </row>
    <row r="55542" spans="20:20" s="566" customFormat="1">
      <c r="T55542" s="41"/>
    </row>
    <row r="55543" spans="20:20" s="566" customFormat="1">
      <c r="T55543" s="41"/>
    </row>
    <row r="55544" spans="20:20" s="566" customFormat="1">
      <c r="T55544" s="41"/>
    </row>
    <row r="55545" spans="20:20" s="566" customFormat="1">
      <c r="T55545" s="41"/>
    </row>
    <row r="55546" spans="20:20" s="566" customFormat="1">
      <c r="T55546" s="41"/>
    </row>
    <row r="55547" spans="20:20" s="566" customFormat="1">
      <c r="T55547" s="41"/>
    </row>
    <row r="55548" spans="20:20" s="566" customFormat="1">
      <c r="T55548" s="41"/>
    </row>
    <row r="55549" spans="20:20" s="566" customFormat="1">
      <c r="T55549" s="41"/>
    </row>
    <row r="55550" spans="20:20" s="566" customFormat="1">
      <c r="T55550" s="41"/>
    </row>
    <row r="55551" spans="20:20" s="566" customFormat="1">
      <c r="T55551" s="41"/>
    </row>
    <row r="55552" spans="20:20" s="566" customFormat="1">
      <c r="T55552" s="41"/>
    </row>
    <row r="55553" spans="20:20" s="566" customFormat="1">
      <c r="T55553" s="41"/>
    </row>
    <row r="55554" spans="20:20" s="566" customFormat="1">
      <c r="T55554" s="41"/>
    </row>
    <row r="55555" spans="20:20" s="566" customFormat="1">
      <c r="T55555" s="41"/>
    </row>
    <row r="55556" spans="20:20" s="566" customFormat="1">
      <c r="T55556" s="41"/>
    </row>
    <row r="55557" spans="20:20" s="566" customFormat="1">
      <c r="T55557" s="41"/>
    </row>
    <row r="55558" spans="20:20" s="566" customFormat="1">
      <c r="T55558" s="41"/>
    </row>
    <row r="55559" spans="20:20" s="566" customFormat="1">
      <c r="T55559" s="41"/>
    </row>
    <row r="55560" spans="20:20" s="566" customFormat="1">
      <c r="T55560" s="41"/>
    </row>
    <row r="55561" spans="20:20" s="566" customFormat="1">
      <c r="T55561" s="41"/>
    </row>
    <row r="55562" spans="20:20" s="566" customFormat="1">
      <c r="T55562" s="41"/>
    </row>
    <row r="55563" spans="20:20" s="566" customFormat="1">
      <c r="T55563" s="41"/>
    </row>
    <row r="55564" spans="20:20" s="566" customFormat="1">
      <c r="T55564" s="41"/>
    </row>
    <row r="55565" spans="20:20" s="566" customFormat="1">
      <c r="T55565" s="41"/>
    </row>
    <row r="55566" spans="20:20" s="566" customFormat="1">
      <c r="T55566" s="41"/>
    </row>
    <row r="55567" spans="20:20" s="566" customFormat="1">
      <c r="T55567" s="41"/>
    </row>
    <row r="55568" spans="20:20" s="566" customFormat="1">
      <c r="T55568" s="41"/>
    </row>
    <row r="55569" spans="20:20" s="566" customFormat="1">
      <c r="T55569" s="41"/>
    </row>
    <row r="55570" spans="20:20" s="566" customFormat="1">
      <c r="T55570" s="41"/>
    </row>
    <row r="55571" spans="20:20" s="566" customFormat="1">
      <c r="T55571" s="41"/>
    </row>
    <row r="55572" spans="20:20" s="566" customFormat="1">
      <c r="T55572" s="41"/>
    </row>
    <row r="55573" spans="20:20" s="566" customFormat="1">
      <c r="T55573" s="41"/>
    </row>
    <row r="55574" spans="20:20" s="566" customFormat="1">
      <c r="T55574" s="41"/>
    </row>
    <row r="55575" spans="20:20" s="566" customFormat="1">
      <c r="T55575" s="41"/>
    </row>
    <row r="55576" spans="20:20" s="566" customFormat="1">
      <c r="T55576" s="41"/>
    </row>
    <row r="55577" spans="20:20" s="566" customFormat="1">
      <c r="T55577" s="41"/>
    </row>
    <row r="55578" spans="20:20" s="566" customFormat="1">
      <c r="T55578" s="41"/>
    </row>
    <row r="55579" spans="20:20" s="566" customFormat="1">
      <c r="T55579" s="41"/>
    </row>
    <row r="55580" spans="20:20" s="566" customFormat="1">
      <c r="T55580" s="41"/>
    </row>
    <row r="55581" spans="20:20" s="566" customFormat="1">
      <c r="T55581" s="41"/>
    </row>
    <row r="55582" spans="20:20" s="566" customFormat="1">
      <c r="T55582" s="41"/>
    </row>
    <row r="55583" spans="20:20" s="566" customFormat="1">
      <c r="T55583" s="41"/>
    </row>
    <row r="55584" spans="20:20" s="566" customFormat="1">
      <c r="T55584" s="41"/>
    </row>
    <row r="55585" spans="20:20" s="566" customFormat="1">
      <c r="T55585" s="41"/>
    </row>
    <row r="55586" spans="20:20" s="566" customFormat="1">
      <c r="T55586" s="41"/>
    </row>
    <row r="55587" spans="20:20" s="566" customFormat="1">
      <c r="T55587" s="41"/>
    </row>
    <row r="55588" spans="20:20" s="566" customFormat="1">
      <c r="T55588" s="41"/>
    </row>
    <row r="55589" spans="20:20" s="566" customFormat="1">
      <c r="T55589" s="41"/>
    </row>
    <row r="55590" spans="20:20" s="566" customFormat="1">
      <c r="T55590" s="41"/>
    </row>
    <row r="55591" spans="20:20" s="566" customFormat="1">
      <c r="T55591" s="41"/>
    </row>
    <row r="55592" spans="20:20" s="566" customFormat="1">
      <c r="T55592" s="41"/>
    </row>
    <row r="55593" spans="20:20" s="566" customFormat="1">
      <c r="T55593" s="41"/>
    </row>
    <row r="55594" spans="20:20" s="566" customFormat="1">
      <c r="T55594" s="41"/>
    </row>
    <row r="55595" spans="20:20" s="566" customFormat="1">
      <c r="T55595" s="41"/>
    </row>
    <row r="55596" spans="20:20" s="566" customFormat="1">
      <c r="T55596" s="41"/>
    </row>
    <row r="55597" spans="20:20" s="566" customFormat="1">
      <c r="T55597" s="41"/>
    </row>
    <row r="55598" spans="20:20" s="566" customFormat="1">
      <c r="T55598" s="41"/>
    </row>
    <row r="55599" spans="20:20" s="566" customFormat="1">
      <c r="T55599" s="41"/>
    </row>
    <row r="55600" spans="20:20" s="566" customFormat="1">
      <c r="T55600" s="41"/>
    </row>
    <row r="55601" spans="20:20" s="566" customFormat="1">
      <c r="T55601" s="41"/>
    </row>
    <row r="55602" spans="20:20" s="566" customFormat="1">
      <c r="T55602" s="41"/>
    </row>
    <row r="55603" spans="20:20" s="566" customFormat="1">
      <c r="T55603" s="41"/>
    </row>
    <row r="55604" spans="20:20" s="566" customFormat="1">
      <c r="T55604" s="41"/>
    </row>
    <row r="55605" spans="20:20" s="566" customFormat="1">
      <c r="T55605" s="41"/>
    </row>
    <row r="55606" spans="20:20" s="566" customFormat="1">
      <c r="T55606" s="41"/>
    </row>
    <row r="55607" spans="20:20" s="566" customFormat="1">
      <c r="T55607" s="41"/>
    </row>
    <row r="55608" spans="20:20" s="566" customFormat="1">
      <c r="T55608" s="41"/>
    </row>
    <row r="55609" spans="20:20" s="566" customFormat="1">
      <c r="T55609" s="41"/>
    </row>
    <row r="55610" spans="20:20" s="566" customFormat="1">
      <c r="T55610" s="41"/>
    </row>
    <row r="55611" spans="20:20" s="566" customFormat="1">
      <c r="T55611" s="41"/>
    </row>
    <row r="55612" spans="20:20" s="566" customFormat="1">
      <c r="T55612" s="41"/>
    </row>
    <row r="55613" spans="20:20" s="566" customFormat="1">
      <c r="T55613" s="41"/>
    </row>
    <row r="55614" spans="20:20" s="566" customFormat="1">
      <c r="T55614" s="41"/>
    </row>
    <row r="55615" spans="20:20" s="566" customFormat="1">
      <c r="T55615" s="41"/>
    </row>
    <row r="55616" spans="20:20" s="566" customFormat="1">
      <c r="T55616" s="41"/>
    </row>
    <row r="55617" spans="20:20" s="566" customFormat="1">
      <c r="T55617" s="41"/>
    </row>
    <row r="55618" spans="20:20" s="566" customFormat="1">
      <c r="T55618" s="41"/>
    </row>
    <row r="55619" spans="20:20" s="566" customFormat="1">
      <c r="T55619" s="41"/>
    </row>
    <row r="55620" spans="20:20" s="566" customFormat="1">
      <c r="T55620" s="41"/>
    </row>
    <row r="55621" spans="20:20" s="566" customFormat="1">
      <c r="T55621" s="41"/>
    </row>
    <row r="55622" spans="20:20" s="566" customFormat="1">
      <c r="T55622" s="41"/>
    </row>
    <row r="55623" spans="20:20" s="566" customFormat="1">
      <c r="T55623" s="41"/>
    </row>
    <row r="55624" spans="20:20" s="566" customFormat="1">
      <c r="T55624" s="41"/>
    </row>
    <row r="55625" spans="20:20" s="566" customFormat="1">
      <c r="T55625" s="41"/>
    </row>
    <row r="55626" spans="20:20" s="566" customFormat="1">
      <c r="T55626" s="41"/>
    </row>
    <row r="55627" spans="20:20" s="566" customFormat="1">
      <c r="T55627" s="41"/>
    </row>
    <row r="55628" spans="20:20" s="566" customFormat="1">
      <c r="T55628" s="41"/>
    </row>
    <row r="55629" spans="20:20" s="566" customFormat="1">
      <c r="T55629" s="41"/>
    </row>
    <row r="55630" spans="20:20" s="566" customFormat="1">
      <c r="T55630" s="41"/>
    </row>
    <row r="55631" spans="20:20" s="566" customFormat="1">
      <c r="T55631" s="41"/>
    </row>
    <row r="55632" spans="20:20" s="566" customFormat="1">
      <c r="T55632" s="41"/>
    </row>
    <row r="55633" spans="20:20" s="566" customFormat="1">
      <c r="T55633" s="41"/>
    </row>
    <row r="55634" spans="20:20" s="566" customFormat="1">
      <c r="T55634" s="41"/>
    </row>
    <row r="55635" spans="20:20" s="566" customFormat="1">
      <c r="T55635" s="41"/>
    </row>
    <row r="55636" spans="20:20" s="566" customFormat="1">
      <c r="T55636" s="41"/>
    </row>
    <row r="55637" spans="20:20" s="566" customFormat="1">
      <c r="T55637" s="41"/>
    </row>
    <row r="55638" spans="20:20" s="566" customFormat="1">
      <c r="T55638" s="41"/>
    </row>
    <row r="55639" spans="20:20" s="566" customFormat="1">
      <c r="T55639" s="41"/>
    </row>
    <row r="55640" spans="20:20" s="566" customFormat="1">
      <c r="T55640" s="41"/>
    </row>
    <row r="55641" spans="20:20" s="566" customFormat="1">
      <c r="T55641" s="41"/>
    </row>
    <row r="55642" spans="20:20" s="566" customFormat="1">
      <c r="T55642" s="41"/>
    </row>
    <row r="55643" spans="20:20" s="566" customFormat="1">
      <c r="T55643" s="41"/>
    </row>
    <row r="55644" spans="20:20" s="566" customFormat="1">
      <c r="T55644" s="41"/>
    </row>
    <row r="55645" spans="20:20" s="566" customFormat="1">
      <c r="T55645" s="41"/>
    </row>
    <row r="55646" spans="20:20" s="566" customFormat="1">
      <c r="T55646" s="41"/>
    </row>
    <row r="55647" spans="20:20" s="566" customFormat="1">
      <c r="T55647" s="41"/>
    </row>
    <row r="55648" spans="20:20" s="566" customFormat="1">
      <c r="T55648" s="41"/>
    </row>
    <row r="55649" spans="20:20" s="566" customFormat="1">
      <c r="T55649" s="41"/>
    </row>
    <row r="55650" spans="20:20" s="566" customFormat="1">
      <c r="T55650" s="41"/>
    </row>
    <row r="55651" spans="20:20" s="566" customFormat="1">
      <c r="T55651" s="41"/>
    </row>
    <row r="55652" spans="20:20" s="566" customFormat="1">
      <c r="T55652" s="41"/>
    </row>
    <row r="55653" spans="20:20" s="566" customFormat="1">
      <c r="T55653" s="41"/>
    </row>
    <row r="55654" spans="20:20" s="566" customFormat="1">
      <c r="T55654" s="41"/>
    </row>
    <row r="55655" spans="20:20" s="566" customFormat="1">
      <c r="T55655" s="41"/>
    </row>
    <row r="55656" spans="20:20" s="566" customFormat="1">
      <c r="T55656" s="41"/>
    </row>
    <row r="55657" spans="20:20" s="566" customFormat="1">
      <c r="T55657" s="41"/>
    </row>
    <row r="55658" spans="20:20" s="566" customFormat="1">
      <c r="T55658" s="41"/>
    </row>
    <row r="55659" spans="20:20" s="566" customFormat="1">
      <c r="T55659" s="41"/>
    </row>
    <row r="55660" spans="20:20" s="566" customFormat="1">
      <c r="T55660" s="41"/>
    </row>
    <row r="55661" spans="20:20" s="566" customFormat="1">
      <c r="T55661" s="41"/>
    </row>
    <row r="55662" spans="20:20" s="566" customFormat="1">
      <c r="T55662" s="41"/>
    </row>
    <row r="55663" spans="20:20" s="566" customFormat="1">
      <c r="T55663" s="41"/>
    </row>
    <row r="55664" spans="20:20" s="566" customFormat="1">
      <c r="T55664" s="41"/>
    </row>
    <row r="55665" spans="20:20" s="566" customFormat="1">
      <c r="T55665" s="41"/>
    </row>
    <row r="55666" spans="20:20" s="566" customFormat="1">
      <c r="T55666" s="41"/>
    </row>
    <row r="55667" spans="20:20" s="566" customFormat="1">
      <c r="T55667" s="41"/>
    </row>
    <row r="55668" spans="20:20" s="566" customFormat="1">
      <c r="T55668" s="41"/>
    </row>
    <row r="55669" spans="20:20" s="566" customFormat="1">
      <c r="T55669" s="41"/>
    </row>
    <row r="55670" spans="20:20" s="566" customFormat="1">
      <c r="T55670" s="41"/>
    </row>
    <row r="55671" spans="20:20" s="566" customFormat="1">
      <c r="T55671" s="41"/>
    </row>
    <row r="55672" spans="20:20" s="566" customFormat="1">
      <c r="T55672" s="41"/>
    </row>
    <row r="55673" spans="20:20" s="566" customFormat="1">
      <c r="T55673" s="41"/>
    </row>
    <row r="55674" spans="20:20" s="566" customFormat="1">
      <c r="T55674" s="41"/>
    </row>
    <row r="55675" spans="20:20" s="566" customFormat="1">
      <c r="T55675" s="41"/>
    </row>
    <row r="55676" spans="20:20" s="566" customFormat="1">
      <c r="T55676" s="41"/>
    </row>
    <row r="55677" spans="20:20" s="566" customFormat="1">
      <c r="T55677" s="41"/>
    </row>
    <row r="55678" spans="20:20" s="566" customFormat="1">
      <c r="T55678" s="41"/>
    </row>
    <row r="55679" spans="20:20" s="566" customFormat="1">
      <c r="T55679" s="41"/>
    </row>
    <row r="55680" spans="20:20" s="566" customFormat="1">
      <c r="T55680" s="41"/>
    </row>
    <row r="55681" spans="20:20" s="566" customFormat="1">
      <c r="T55681" s="41"/>
    </row>
    <row r="55682" spans="20:20" s="566" customFormat="1">
      <c r="T55682" s="41"/>
    </row>
    <row r="55683" spans="20:20" s="566" customFormat="1">
      <c r="T55683" s="41"/>
    </row>
    <row r="55684" spans="20:20" s="566" customFormat="1">
      <c r="T55684" s="41"/>
    </row>
    <row r="55685" spans="20:20" s="566" customFormat="1">
      <c r="T55685" s="41"/>
    </row>
    <row r="55686" spans="20:20" s="566" customFormat="1">
      <c r="T55686" s="41"/>
    </row>
    <row r="55687" spans="20:20" s="566" customFormat="1">
      <c r="T55687" s="41"/>
    </row>
    <row r="55688" spans="20:20" s="566" customFormat="1">
      <c r="T55688" s="41"/>
    </row>
    <row r="55689" spans="20:20" s="566" customFormat="1">
      <c r="T55689" s="41"/>
    </row>
    <row r="55690" spans="20:20" s="566" customFormat="1">
      <c r="T55690" s="41"/>
    </row>
    <row r="55691" spans="20:20" s="566" customFormat="1">
      <c r="T55691" s="41"/>
    </row>
    <row r="55692" spans="20:20" s="566" customFormat="1">
      <c r="T55692" s="41"/>
    </row>
    <row r="55693" spans="20:20" s="566" customFormat="1">
      <c r="T55693" s="41"/>
    </row>
    <row r="55694" spans="20:20" s="566" customFormat="1">
      <c r="T55694" s="41"/>
    </row>
    <row r="55695" spans="20:20" s="566" customFormat="1">
      <c r="T55695" s="41"/>
    </row>
    <row r="55696" spans="20:20" s="566" customFormat="1">
      <c r="T55696" s="41"/>
    </row>
    <row r="55697" spans="20:20" s="566" customFormat="1">
      <c r="T55697" s="41"/>
    </row>
    <row r="55698" spans="20:20" s="566" customFormat="1">
      <c r="T55698" s="41"/>
    </row>
    <row r="55699" spans="20:20" s="566" customFormat="1">
      <c r="T55699" s="41"/>
    </row>
    <row r="55700" spans="20:20" s="566" customFormat="1">
      <c r="T55700" s="41"/>
    </row>
    <row r="55701" spans="20:20" s="566" customFormat="1">
      <c r="T55701" s="41"/>
    </row>
    <row r="55702" spans="20:20" s="566" customFormat="1">
      <c r="T55702" s="41"/>
    </row>
    <row r="55703" spans="20:20" s="566" customFormat="1">
      <c r="T55703" s="41"/>
    </row>
    <row r="55704" spans="20:20" s="566" customFormat="1">
      <c r="T55704" s="41"/>
    </row>
    <row r="55705" spans="20:20" s="566" customFormat="1">
      <c r="T55705" s="41"/>
    </row>
    <row r="55706" spans="20:20" s="566" customFormat="1">
      <c r="T55706" s="41"/>
    </row>
    <row r="55707" spans="20:20" s="566" customFormat="1">
      <c r="T55707" s="41"/>
    </row>
    <row r="55708" spans="20:20" s="566" customFormat="1">
      <c r="T55708" s="41"/>
    </row>
    <row r="55709" spans="20:20" s="566" customFormat="1">
      <c r="T55709" s="41"/>
    </row>
    <row r="55710" spans="20:20" s="566" customFormat="1">
      <c r="T55710" s="41"/>
    </row>
    <row r="55711" spans="20:20" s="566" customFormat="1">
      <c r="T55711" s="41"/>
    </row>
    <row r="55712" spans="20:20" s="566" customFormat="1">
      <c r="T55712" s="41"/>
    </row>
    <row r="55713" spans="20:20" s="566" customFormat="1">
      <c r="T55713" s="41"/>
    </row>
    <row r="55714" spans="20:20" s="566" customFormat="1">
      <c r="T55714" s="41"/>
    </row>
    <row r="55715" spans="20:20" s="566" customFormat="1">
      <c r="T55715" s="41"/>
    </row>
    <row r="55716" spans="20:20" s="566" customFormat="1">
      <c r="T55716" s="41"/>
    </row>
    <row r="55717" spans="20:20" s="566" customFormat="1">
      <c r="T55717" s="41"/>
    </row>
    <row r="55718" spans="20:20" s="566" customFormat="1">
      <c r="T55718" s="41"/>
    </row>
    <row r="55719" spans="20:20" s="566" customFormat="1">
      <c r="T55719" s="41"/>
    </row>
    <row r="55720" spans="20:20" s="566" customFormat="1">
      <c r="T55720" s="41"/>
    </row>
    <row r="55721" spans="20:20" s="566" customFormat="1">
      <c r="T55721" s="41"/>
    </row>
    <row r="55722" spans="20:20" s="566" customFormat="1">
      <c r="T55722" s="41"/>
    </row>
    <row r="55723" spans="20:20" s="566" customFormat="1">
      <c r="T55723" s="41"/>
    </row>
    <row r="55724" spans="20:20" s="566" customFormat="1">
      <c r="T55724" s="41"/>
    </row>
    <row r="55725" spans="20:20" s="566" customFormat="1">
      <c r="T55725" s="41"/>
    </row>
    <row r="55726" spans="20:20" s="566" customFormat="1">
      <c r="T55726" s="41"/>
    </row>
    <row r="55727" spans="20:20" s="566" customFormat="1">
      <c r="T55727" s="41"/>
    </row>
    <row r="55728" spans="20:20" s="566" customFormat="1">
      <c r="T55728" s="41"/>
    </row>
    <row r="55729" spans="20:20" s="566" customFormat="1">
      <c r="T55729" s="41"/>
    </row>
    <row r="55730" spans="20:20" s="566" customFormat="1">
      <c r="T55730" s="41"/>
    </row>
    <row r="55731" spans="20:20" s="566" customFormat="1">
      <c r="T55731" s="41"/>
    </row>
    <row r="55732" spans="20:20" s="566" customFormat="1">
      <c r="T55732" s="41"/>
    </row>
    <row r="55733" spans="20:20" s="566" customFormat="1">
      <c r="T55733" s="41"/>
    </row>
    <row r="55734" spans="20:20" s="566" customFormat="1">
      <c r="T55734" s="41"/>
    </row>
    <row r="55735" spans="20:20" s="566" customFormat="1">
      <c r="T55735" s="41"/>
    </row>
    <row r="55736" spans="20:20" s="566" customFormat="1">
      <c r="T55736" s="41"/>
    </row>
    <row r="55737" spans="20:20" s="566" customFormat="1">
      <c r="T55737" s="41"/>
    </row>
    <row r="55738" spans="20:20" s="566" customFormat="1">
      <c r="T55738" s="41"/>
    </row>
    <row r="55739" spans="20:20" s="566" customFormat="1">
      <c r="T55739" s="41"/>
    </row>
    <row r="55740" spans="20:20" s="566" customFormat="1">
      <c r="T55740" s="41"/>
    </row>
    <row r="55741" spans="20:20" s="566" customFormat="1">
      <c r="T55741" s="41"/>
    </row>
    <row r="55742" spans="20:20" s="566" customFormat="1">
      <c r="T55742" s="41"/>
    </row>
    <row r="55743" spans="20:20" s="566" customFormat="1">
      <c r="T55743" s="41"/>
    </row>
    <row r="55744" spans="20:20" s="566" customFormat="1">
      <c r="T55744" s="41"/>
    </row>
    <row r="55745" spans="20:20" s="566" customFormat="1">
      <c r="T55745" s="41"/>
    </row>
    <row r="55746" spans="20:20" s="566" customFormat="1">
      <c r="T55746" s="41"/>
    </row>
    <row r="55747" spans="20:20" s="566" customFormat="1">
      <c r="T55747" s="41"/>
    </row>
    <row r="55748" spans="20:20" s="566" customFormat="1">
      <c r="T55748" s="41"/>
    </row>
    <row r="55749" spans="20:20" s="566" customFormat="1">
      <c r="T55749" s="41"/>
    </row>
    <row r="55750" spans="20:20" s="566" customFormat="1">
      <c r="T55750" s="41"/>
    </row>
    <row r="55751" spans="20:20" s="566" customFormat="1">
      <c r="T55751" s="41"/>
    </row>
    <row r="55752" spans="20:20" s="566" customFormat="1">
      <c r="T55752" s="41"/>
    </row>
    <row r="55753" spans="20:20" s="566" customFormat="1">
      <c r="T55753" s="41"/>
    </row>
    <row r="55754" spans="20:20" s="566" customFormat="1">
      <c r="T55754" s="41"/>
    </row>
    <row r="55755" spans="20:20" s="566" customFormat="1">
      <c r="T55755" s="41"/>
    </row>
    <row r="55756" spans="20:20" s="566" customFormat="1">
      <c r="T55756" s="41"/>
    </row>
    <row r="55757" spans="20:20" s="566" customFormat="1">
      <c r="T55757" s="41"/>
    </row>
    <row r="55758" spans="20:20" s="566" customFormat="1">
      <c r="T55758" s="41"/>
    </row>
    <row r="55759" spans="20:20" s="566" customFormat="1">
      <c r="T55759" s="41"/>
    </row>
    <row r="55760" spans="20:20" s="566" customFormat="1">
      <c r="T55760" s="41"/>
    </row>
    <row r="55761" spans="20:20" s="566" customFormat="1">
      <c r="T55761" s="41"/>
    </row>
    <row r="55762" spans="20:20" s="566" customFormat="1">
      <c r="T55762" s="41"/>
    </row>
    <row r="55763" spans="20:20" s="566" customFormat="1">
      <c r="T55763" s="41"/>
    </row>
    <row r="55764" spans="20:20" s="566" customFormat="1">
      <c r="T55764" s="41"/>
    </row>
    <row r="55765" spans="20:20" s="566" customFormat="1">
      <c r="T55765" s="41"/>
    </row>
    <row r="55766" spans="20:20" s="566" customFormat="1">
      <c r="T55766" s="41"/>
    </row>
    <row r="55767" spans="20:20" s="566" customFormat="1">
      <c r="T55767" s="41"/>
    </row>
    <row r="55768" spans="20:20" s="566" customFormat="1">
      <c r="T55768" s="41"/>
    </row>
    <row r="55769" spans="20:20" s="566" customFormat="1">
      <c r="T55769" s="41"/>
    </row>
    <row r="55770" spans="20:20" s="566" customFormat="1">
      <c r="T55770" s="41"/>
    </row>
    <row r="55771" spans="20:20" s="566" customFormat="1">
      <c r="T55771" s="41"/>
    </row>
    <row r="55772" spans="20:20" s="566" customFormat="1">
      <c r="T55772" s="41"/>
    </row>
    <row r="55773" spans="20:20" s="566" customFormat="1">
      <c r="T55773" s="41"/>
    </row>
    <row r="55774" spans="20:20" s="566" customFormat="1">
      <c r="T55774" s="41"/>
    </row>
    <row r="55775" spans="20:20" s="566" customFormat="1">
      <c r="T55775" s="41"/>
    </row>
    <row r="55776" spans="20:20" s="566" customFormat="1">
      <c r="T55776" s="41"/>
    </row>
    <row r="55777" spans="20:20" s="566" customFormat="1">
      <c r="T55777" s="41"/>
    </row>
    <row r="55778" spans="20:20" s="566" customFormat="1">
      <c r="T55778" s="41"/>
    </row>
    <row r="55779" spans="20:20" s="566" customFormat="1">
      <c r="T55779" s="41"/>
    </row>
    <row r="55780" spans="20:20" s="566" customFormat="1">
      <c r="T55780" s="41"/>
    </row>
    <row r="55781" spans="20:20" s="566" customFormat="1">
      <c r="T55781" s="41"/>
    </row>
    <row r="55782" spans="20:20" s="566" customFormat="1">
      <c r="T55782" s="41"/>
    </row>
    <row r="55783" spans="20:20" s="566" customFormat="1">
      <c r="T55783" s="41"/>
    </row>
    <row r="55784" spans="20:20" s="566" customFormat="1">
      <c r="T55784" s="41"/>
    </row>
    <row r="55785" spans="20:20" s="566" customFormat="1">
      <c r="T55785" s="41"/>
    </row>
    <row r="55786" spans="20:20" s="566" customFormat="1">
      <c r="T55786" s="41"/>
    </row>
    <row r="55787" spans="20:20" s="566" customFormat="1">
      <c r="T55787" s="41"/>
    </row>
    <row r="55788" spans="20:20" s="566" customFormat="1">
      <c r="T55788" s="41"/>
    </row>
    <row r="55789" spans="20:20" s="566" customFormat="1">
      <c r="T55789" s="41"/>
    </row>
    <row r="55790" spans="20:20" s="566" customFormat="1">
      <c r="T55790" s="41"/>
    </row>
    <row r="55791" spans="20:20" s="566" customFormat="1">
      <c r="T55791" s="41"/>
    </row>
    <row r="55792" spans="20:20" s="566" customFormat="1">
      <c r="T55792" s="41"/>
    </row>
    <row r="55793" spans="20:20" s="566" customFormat="1">
      <c r="T55793" s="41"/>
    </row>
    <row r="55794" spans="20:20" s="566" customFormat="1">
      <c r="T55794" s="41"/>
    </row>
    <row r="55795" spans="20:20" s="566" customFormat="1">
      <c r="T55795" s="41"/>
    </row>
    <row r="55796" spans="20:20" s="566" customFormat="1">
      <c r="T55796" s="41"/>
    </row>
    <row r="55797" spans="20:20" s="566" customFormat="1">
      <c r="T55797" s="41"/>
    </row>
    <row r="55798" spans="20:20" s="566" customFormat="1">
      <c r="T55798" s="41"/>
    </row>
    <row r="55799" spans="20:20" s="566" customFormat="1">
      <c r="T55799" s="41"/>
    </row>
    <row r="55800" spans="20:20" s="566" customFormat="1">
      <c r="T55800" s="41"/>
    </row>
    <row r="55801" spans="20:20" s="566" customFormat="1">
      <c r="T55801" s="41"/>
    </row>
    <row r="55802" spans="20:20" s="566" customFormat="1">
      <c r="T55802" s="41"/>
    </row>
    <row r="55803" spans="20:20" s="566" customFormat="1">
      <c r="T55803" s="41"/>
    </row>
    <row r="55804" spans="20:20" s="566" customFormat="1">
      <c r="T55804" s="41"/>
    </row>
    <row r="55805" spans="20:20" s="566" customFormat="1">
      <c r="T55805" s="41"/>
    </row>
    <row r="55806" spans="20:20" s="566" customFormat="1">
      <c r="T55806" s="41"/>
    </row>
    <row r="55807" spans="20:20" s="566" customFormat="1">
      <c r="T55807" s="41"/>
    </row>
    <row r="55808" spans="20:20" s="566" customFormat="1">
      <c r="T55808" s="41"/>
    </row>
    <row r="55809" spans="20:20" s="566" customFormat="1">
      <c r="T55809" s="41"/>
    </row>
    <row r="55810" spans="20:20" s="566" customFormat="1">
      <c r="T55810" s="41"/>
    </row>
    <row r="55811" spans="20:20" s="566" customFormat="1">
      <c r="T55811" s="41"/>
    </row>
    <row r="55812" spans="20:20" s="566" customFormat="1">
      <c r="T55812" s="41"/>
    </row>
    <row r="55813" spans="20:20" s="566" customFormat="1">
      <c r="T55813" s="41"/>
    </row>
    <row r="55814" spans="20:20" s="566" customFormat="1">
      <c r="T55814" s="41"/>
    </row>
    <row r="55815" spans="20:20" s="566" customFormat="1">
      <c r="T55815" s="41"/>
    </row>
    <row r="55816" spans="20:20" s="566" customFormat="1">
      <c r="T55816" s="41"/>
    </row>
    <row r="55817" spans="20:20" s="566" customFormat="1">
      <c r="T55817" s="41"/>
    </row>
    <row r="55818" spans="20:20" s="566" customFormat="1">
      <c r="T55818" s="41"/>
    </row>
    <row r="55819" spans="20:20" s="566" customFormat="1">
      <c r="T55819" s="41"/>
    </row>
    <row r="55820" spans="20:20" s="566" customFormat="1">
      <c r="T55820" s="41"/>
    </row>
    <row r="55821" spans="20:20" s="566" customFormat="1">
      <c r="T55821" s="41"/>
    </row>
    <row r="55822" spans="20:20" s="566" customFormat="1">
      <c r="T55822" s="41"/>
    </row>
    <row r="55823" spans="20:20" s="566" customFormat="1">
      <c r="T55823" s="41"/>
    </row>
    <row r="55824" spans="20:20" s="566" customFormat="1">
      <c r="T55824" s="41"/>
    </row>
    <row r="55825" spans="20:20" s="566" customFormat="1">
      <c r="T55825" s="41"/>
    </row>
    <row r="55826" spans="20:20" s="566" customFormat="1">
      <c r="T55826" s="41"/>
    </row>
    <row r="55827" spans="20:20" s="566" customFormat="1">
      <c r="T55827" s="41"/>
    </row>
    <row r="55828" spans="20:20" s="566" customFormat="1">
      <c r="T55828" s="41"/>
    </row>
    <row r="55829" spans="20:20" s="566" customFormat="1">
      <c r="T55829" s="41"/>
    </row>
    <row r="55830" spans="20:20" s="566" customFormat="1">
      <c r="T55830" s="41"/>
    </row>
    <row r="55831" spans="20:20" s="566" customFormat="1">
      <c r="T55831" s="41"/>
    </row>
    <row r="55832" spans="20:20" s="566" customFormat="1">
      <c r="T55832" s="41"/>
    </row>
    <row r="55833" spans="20:20" s="566" customFormat="1">
      <c r="T55833" s="41"/>
    </row>
    <row r="55834" spans="20:20" s="566" customFormat="1">
      <c r="T55834" s="41"/>
    </row>
    <row r="55835" spans="20:20" s="566" customFormat="1">
      <c r="T55835" s="41"/>
    </row>
    <row r="55836" spans="20:20" s="566" customFormat="1">
      <c r="T55836" s="41"/>
    </row>
    <row r="55837" spans="20:20" s="566" customFormat="1">
      <c r="T55837" s="41"/>
    </row>
    <row r="55838" spans="20:20" s="566" customFormat="1">
      <c r="T55838" s="41"/>
    </row>
    <row r="55839" spans="20:20" s="566" customFormat="1">
      <c r="T55839" s="41"/>
    </row>
    <row r="55840" spans="20:20" s="566" customFormat="1">
      <c r="T55840" s="41"/>
    </row>
    <row r="55841" spans="20:20" s="566" customFormat="1">
      <c r="T55841" s="41"/>
    </row>
    <row r="55842" spans="20:20" s="566" customFormat="1">
      <c r="T55842" s="41"/>
    </row>
    <row r="55843" spans="20:20" s="566" customFormat="1">
      <c r="T55843" s="41"/>
    </row>
    <row r="55844" spans="20:20" s="566" customFormat="1">
      <c r="T55844" s="41"/>
    </row>
    <row r="55845" spans="20:20" s="566" customFormat="1">
      <c r="T55845" s="41"/>
    </row>
    <row r="55846" spans="20:20" s="566" customFormat="1">
      <c r="T55846" s="41"/>
    </row>
    <row r="55847" spans="20:20" s="566" customFormat="1">
      <c r="T55847" s="41"/>
    </row>
    <row r="55848" spans="20:20" s="566" customFormat="1">
      <c r="T55848" s="41"/>
    </row>
    <row r="55849" spans="20:20" s="566" customFormat="1">
      <c r="T55849" s="41"/>
    </row>
    <row r="55850" spans="20:20" s="566" customFormat="1">
      <c r="T55850" s="41"/>
    </row>
    <row r="55851" spans="20:20" s="566" customFormat="1">
      <c r="T55851" s="41"/>
    </row>
    <row r="55852" spans="20:20" s="566" customFormat="1">
      <c r="T55852" s="41"/>
    </row>
    <row r="55853" spans="20:20" s="566" customFormat="1">
      <c r="T55853" s="41"/>
    </row>
    <row r="55854" spans="20:20" s="566" customFormat="1">
      <c r="T55854" s="41"/>
    </row>
    <row r="55855" spans="20:20" s="566" customFormat="1">
      <c r="T55855" s="41"/>
    </row>
    <row r="55856" spans="20:20" s="566" customFormat="1">
      <c r="T55856" s="41"/>
    </row>
    <row r="55857" spans="20:20" s="566" customFormat="1">
      <c r="T55857" s="41"/>
    </row>
    <row r="55858" spans="20:20" s="566" customFormat="1">
      <c r="T55858" s="41"/>
    </row>
    <row r="55859" spans="20:20" s="566" customFormat="1">
      <c r="T55859" s="41"/>
    </row>
    <row r="55860" spans="20:20" s="566" customFormat="1">
      <c r="T55860" s="41"/>
    </row>
    <row r="55861" spans="20:20" s="566" customFormat="1">
      <c r="T55861" s="41"/>
    </row>
    <row r="55862" spans="20:20" s="566" customFormat="1">
      <c r="T55862" s="41"/>
    </row>
    <row r="55863" spans="20:20" s="566" customFormat="1">
      <c r="T55863" s="41"/>
    </row>
    <row r="55864" spans="20:20" s="566" customFormat="1">
      <c r="T55864" s="41"/>
    </row>
    <row r="55865" spans="20:20" s="566" customFormat="1">
      <c r="T55865" s="41"/>
    </row>
    <row r="55866" spans="20:20" s="566" customFormat="1">
      <c r="T55866" s="41"/>
    </row>
    <row r="55867" spans="20:20" s="566" customFormat="1">
      <c r="T55867" s="41"/>
    </row>
    <row r="55868" spans="20:20" s="566" customFormat="1">
      <c r="T55868" s="41"/>
    </row>
    <row r="55869" spans="20:20" s="566" customFormat="1">
      <c r="T55869" s="41"/>
    </row>
    <row r="55870" spans="20:20" s="566" customFormat="1">
      <c r="T55870" s="41"/>
    </row>
    <row r="55871" spans="20:20" s="566" customFormat="1">
      <c r="T55871" s="41"/>
    </row>
    <row r="55872" spans="20:20" s="566" customFormat="1">
      <c r="T55872" s="41"/>
    </row>
    <row r="55873" spans="20:20" s="566" customFormat="1">
      <c r="T55873" s="41"/>
    </row>
    <row r="55874" spans="20:20" s="566" customFormat="1">
      <c r="T55874" s="41"/>
    </row>
    <row r="55875" spans="20:20" s="566" customFormat="1">
      <c r="T55875" s="41"/>
    </row>
    <row r="55876" spans="20:20" s="566" customFormat="1">
      <c r="T55876" s="41"/>
    </row>
    <row r="55877" spans="20:20" s="566" customFormat="1">
      <c r="T55877" s="41"/>
    </row>
    <row r="55878" spans="20:20" s="566" customFormat="1">
      <c r="T55878" s="41"/>
    </row>
    <row r="55879" spans="20:20" s="566" customFormat="1">
      <c r="T55879" s="41"/>
    </row>
    <row r="55880" spans="20:20" s="566" customFormat="1">
      <c r="T55880" s="41"/>
    </row>
    <row r="55881" spans="20:20" s="566" customFormat="1">
      <c r="T55881" s="41"/>
    </row>
    <row r="55882" spans="20:20" s="566" customFormat="1">
      <c r="T55882" s="41"/>
    </row>
    <row r="55883" spans="20:20" s="566" customFormat="1">
      <c r="T55883" s="41"/>
    </row>
    <row r="55884" spans="20:20" s="566" customFormat="1">
      <c r="T55884" s="41"/>
    </row>
    <row r="55885" spans="20:20" s="566" customFormat="1">
      <c r="T55885" s="41"/>
    </row>
    <row r="55886" spans="20:20" s="566" customFormat="1">
      <c r="T55886" s="41"/>
    </row>
    <row r="55887" spans="20:20" s="566" customFormat="1">
      <c r="T55887" s="41"/>
    </row>
    <row r="55888" spans="20:20" s="566" customFormat="1">
      <c r="T55888" s="41"/>
    </row>
    <row r="55889" spans="20:20" s="566" customFormat="1">
      <c r="T55889" s="41"/>
    </row>
    <row r="55890" spans="20:20" s="566" customFormat="1">
      <c r="T55890" s="41"/>
    </row>
    <row r="55891" spans="20:20" s="566" customFormat="1">
      <c r="T55891" s="41"/>
    </row>
    <row r="55892" spans="20:20" s="566" customFormat="1">
      <c r="T55892" s="41"/>
    </row>
    <row r="55893" spans="20:20" s="566" customFormat="1">
      <c r="T55893" s="41"/>
    </row>
    <row r="55894" spans="20:20" s="566" customFormat="1">
      <c r="T55894" s="41"/>
    </row>
    <row r="55895" spans="20:20" s="566" customFormat="1">
      <c r="T55895" s="41"/>
    </row>
    <row r="55896" spans="20:20" s="566" customFormat="1">
      <c r="T55896" s="41"/>
    </row>
    <row r="55897" spans="20:20" s="566" customFormat="1">
      <c r="T55897" s="41"/>
    </row>
    <row r="55898" spans="20:20" s="566" customFormat="1">
      <c r="T55898" s="41"/>
    </row>
    <row r="55899" spans="20:20" s="566" customFormat="1">
      <c r="T55899" s="41"/>
    </row>
    <row r="55900" spans="20:20" s="566" customFormat="1">
      <c r="T55900" s="41"/>
    </row>
    <row r="55901" spans="20:20" s="566" customFormat="1">
      <c r="T55901" s="41"/>
    </row>
    <row r="55902" spans="20:20" s="566" customFormat="1">
      <c r="T55902" s="41"/>
    </row>
    <row r="55903" spans="20:20" s="566" customFormat="1">
      <c r="T55903" s="41"/>
    </row>
    <row r="55904" spans="20:20" s="566" customFormat="1">
      <c r="T55904" s="41"/>
    </row>
    <row r="55905" spans="20:20" s="566" customFormat="1">
      <c r="T55905" s="41"/>
    </row>
    <row r="55906" spans="20:20" s="566" customFormat="1">
      <c r="T55906" s="41"/>
    </row>
    <row r="55907" spans="20:20" s="566" customFormat="1">
      <c r="T55907" s="41"/>
    </row>
    <row r="55908" spans="20:20" s="566" customFormat="1">
      <c r="T55908" s="41"/>
    </row>
    <row r="55909" spans="20:20" s="566" customFormat="1">
      <c r="T55909" s="41"/>
    </row>
    <row r="55910" spans="20:20" s="566" customFormat="1">
      <c r="T55910" s="41"/>
    </row>
    <row r="55911" spans="20:20" s="566" customFormat="1">
      <c r="T55911" s="41"/>
    </row>
    <row r="55912" spans="20:20" s="566" customFormat="1">
      <c r="T55912" s="41"/>
    </row>
    <row r="55913" spans="20:20" s="566" customFormat="1">
      <c r="T55913" s="41"/>
    </row>
    <row r="55914" spans="20:20" s="566" customFormat="1">
      <c r="T55914" s="41"/>
    </row>
    <row r="55915" spans="20:20" s="566" customFormat="1">
      <c r="T55915" s="41"/>
    </row>
    <row r="55916" spans="20:20" s="566" customFormat="1">
      <c r="T55916" s="41"/>
    </row>
    <row r="55917" spans="20:20" s="566" customFormat="1">
      <c r="T55917" s="41"/>
    </row>
    <row r="55918" spans="20:20" s="566" customFormat="1">
      <c r="T55918" s="41"/>
    </row>
    <row r="55919" spans="20:20" s="566" customFormat="1">
      <c r="T55919" s="41"/>
    </row>
    <row r="55920" spans="20:20" s="566" customFormat="1">
      <c r="T55920" s="41"/>
    </row>
    <row r="55921" spans="20:20" s="566" customFormat="1">
      <c r="T55921" s="41"/>
    </row>
    <row r="55922" spans="20:20" s="566" customFormat="1">
      <c r="T55922" s="41"/>
    </row>
    <row r="55923" spans="20:20" s="566" customFormat="1">
      <c r="T55923" s="41"/>
    </row>
    <row r="55924" spans="20:20" s="566" customFormat="1">
      <c r="T55924" s="41"/>
    </row>
    <row r="55925" spans="20:20" s="566" customFormat="1">
      <c r="T55925" s="41"/>
    </row>
    <row r="55926" spans="20:20" s="566" customFormat="1">
      <c r="T55926" s="41"/>
    </row>
    <row r="55927" spans="20:20" s="566" customFormat="1">
      <c r="T55927" s="41"/>
    </row>
    <row r="55928" spans="20:20" s="566" customFormat="1">
      <c r="T55928" s="41"/>
    </row>
    <row r="55929" spans="20:20" s="566" customFormat="1">
      <c r="T55929" s="41"/>
    </row>
    <row r="55930" spans="20:20" s="566" customFormat="1">
      <c r="T55930" s="41"/>
    </row>
    <row r="55931" spans="20:20" s="566" customFormat="1">
      <c r="T55931" s="41"/>
    </row>
    <row r="55932" spans="20:20" s="566" customFormat="1">
      <c r="T55932" s="41"/>
    </row>
    <row r="55933" spans="20:20" s="566" customFormat="1">
      <c r="T55933" s="41"/>
    </row>
    <row r="55934" spans="20:20" s="566" customFormat="1">
      <c r="T55934" s="41"/>
    </row>
    <row r="55935" spans="20:20" s="566" customFormat="1">
      <c r="T55935" s="41"/>
    </row>
    <row r="55936" spans="20:20" s="566" customFormat="1">
      <c r="T55936" s="41"/>
    </row>
    <row r="55937" spans="20:20" s="566" customFormat="1">
      <c r="T55937" s="41"/>
    </row>
    <row r="55938" spans="20:20" s="566" customFormat="1">
      <c r="T55938" s="41"/>
    </row>
    <row r="55939" spans="20:20" s="566" customFormat="1">
      <c r="T55939" s="41"/>
    </row>
    <row r="55940" spans="20:20" s="566" customFormat="1">
      <c r="T55940" s="41"/>
    </row>
    <row r="55941" spans="20:20" s="566" customFormat="1">
      <c r="T55941" s="41"/>
    </row>
    <row r="55942" spans="20:20" s="566" customFormat="1">
      <c r="T55942" s="41"/>
    </row>
    <row r="55943" spans="20:20" s="566" customFormat="1">
      <c r="T55943" s="41"/>
    </row>
    <row r="55944" spans="20:20" s="566" customFormat="1">
      <c r="T55944" s="41"/>
    </row>
    <row r="55945" spans="20:20" s="566" customFormat="1">
      <c r="T55945" s="41"/>
    </row>
    <row r="55946" spans="20:20" s="566" customFormat="1">
      <c r="T55946" s="41"/>
    </row>
    <row r="55947" spans="20:20" s="566" customFormat="1">
      <c r="T55947" s="41"/>
    </row>
    <row r="55948" spans="20:20" s="566" customFormat="1">
      <c r="T55948" s="41"/>
    </row>
    <row r="55949" spans="20:20" s="566" customFormat="1">
      <c r="T55949" s="41"/>
    </row>
    <row r="55950" spans="20:20" s="566" customFormat="1">
      <c r="T55950" s="41"/>
    </row>
    <row r="55951" spans="20:20" s="566" customFormat="1">
      <c r="T55951" s="41"/>
    </row>
    <row r="55952" spans="20:20" s="566" customFormat="1">
      <c r="T55952" s="41"/>
    </row>
    <row r="55953" spans="20:20" s="566" customFormat="1">
      <c r="T55953" s="41"/>
    </row>
    <row r="55954" spans="20:20" s="566" customFormat="1">
      <c r="T55954" s="41"/>
    </row>
    <row r="55955" spans="20:20" s="566" customFormat="1">
      <c r="T55955" s="41"/>
    </row>
    <row r="55956" spans="20:20" s="566" customFormat="1">
      <c r="T55956" s="41"/>
    </row>
    <row r="55957" spans="20:20" s="566" customFormat="1">
      <c r="T55957" s="41"/>
    </row>
    <row r="55958" spans="20:20" s="566" customFormat="1">
      <c r="T55958" s="41"/>
    </row>
    <row r="55959" spans="20:20" s="566" customFormat="1">
      <c r="T55959" s="41"/>
    </row>
    <row r="55960" spans="20:20" s="566" customFormat="1">
      <c r="T55960" s="41"/>
    </row>
    <row r="55961" spans="20:20" s="566" customFormat="1">
      <c r="T55961" s="41"/>
    </row>
    <row r="55962" spans="20:20" s="566" customFormat="1">
      <c r="T55962" s="41"/>
    </row>
    <row r="55963" spans="20:20" s="566" customFormat="1">
      <c r="T55963" s="41"/>
    </row>
    <row r="55964" spans="20:20" s="566" customFormat="1">
      <c r="T55964" s="41"/>
    </row>
    <row r="55965" spans="20:20" s="566" customFormat="1">
      <c r="T55965" s="41"/>
    </row>
    <row r="55966" spans="20:20" s="566" customFormat="1">
      <c r="T55966" s="41"/>
    </row>
    <row r="55967" spans="20:20" s="566" customFormat="1">
      <c r="T55967" s="41"/>
    </row>
    <row r="55968" spans="20:20" s="566" customFormat="1">
      <c r="T55968" s="41"/>
    </row>
    <row r="55969" spans="20:20" s="566" customFormat="1">
      <c r="T55969" s="41"/>
    </row>
    <row r="55970" spans="20:20" s="566" customFormat="1">
      <c r="T55970" s="41"/>
    </row>
    <row r="55971" spans="20:20" s="566" customFormat="1">
      <c r="T55971" s="41"/>
    </row>
    <row r="55972" spans="20:20" s="566" customFormat="1">
      <c r="T55972" s="41"/>
    </row>
    <row r="55973" spans="20:20" s="566" customFormat="1">
      <c r="T55973" s="41"/>
    </row>
    <row r="55974" spans="20:20" s="566" customFormat="1">
      <c r="T55974" s="41"/>
    </row>
    <row r="55975" spans="20:20" s="566" customFormat="1">
      <c r="T55975" s="41"/>
    </row>
    <row r="55976" spans="20:20" s="566" customFormat="1">
      <c r="T55976" s="41"/>
    </row>
    <row r="55977" spans="20:20" s="566" customFormat="1">
      <c r="T55977" s="41"/>
    </row>
    <row r="55978" spans="20:20" s="566" customFormat="1">
      <c r="T55978" s="41"/>
    </row>
    <row r="55979" spans="20:20" s="566" customFormat="1">
      <c r="T55979" s="41"/>
    </row>
    <row r="55980" spans="20:20" s="566" customFormat="1">
      <c r="T55980" s="41"/>
    </row>
    <row r="55981" spans="20:20" s="566" customFormat="1">
      <c r="T55981" s="41"/>
    </row>
    <row r="55982" spans="20:20" s="566" customFormat="1">
      <c r="T55982" s="41"/>
    </row>
    <row r="55983" spans="20:20" s="566" customFormat="1">
      <c r="T55983" s="41"/>
    </row>
    <row r="55984" spans="20:20" s="566" customFormat="1">
      <c r="T55984" s="41"/>
    </row>
    <row r="55985" spans="20:20" s="566" customFormat="1">
      <c r="T55985" s="41"/>
    </row>
    <row r="55986" spans="20:20" s="566" customFormat="1">
      <c r="T55986" s="41"/>
    </row>
    <row r="55987" spans="20:20" s="566" customFormat="1">
      <c r="T55987" s="41"/>
    </row>
    <row r="55988" spans="20:20" s="566" customFormat="1">
      <c r="T55988" s="41"/>
    </row>
    <row r="55989" spans="20:20" s="566" customFormat="1">
      <c r="T55989" s="41"/>
    </row>
    <row r="55990" spans="20:20" s="566" customFormat="1">
      <c r="T55990" s="41"/>
    </row>
    <row r="55991" spans="20:20" s="566" customFormat="1">
      <c r="T55991" s="41"/>
    </row>
    <row r="55992" spans="20:20" s="566" customFormat="1">
      <c r="T55992" s="41"/>
    </row>
    <row r="55993" spans="20:20" s="566" customFormat="1">
      <c r="T55993" s="41"/>
    </row>
    <row r="55994" spans="20:20" s="566" customFormat="1">
      <c r="T55994" s="41"/>
    </row>
    <row r="55995" spans="20:20" s="566" customFormat="1">
      <c r="T55995" s="41"/>
    </row>
    <row r="55996" spans="20:20" s="566" customFormat="1">
      <c r="T55996" s="41"/>
    </row>
    <row r="55997" spans="20:20" s="566" customFormat="1">
      <c r="T55997" s="41"/>
    </row>
    <row r="55998" spans="20:20" s="566" customFormat="1">
      <c r="T55998" s="41"/>
    </row>
    <row r="55999" spans="20:20" s="566" customFormat="1">
      <c r="T55999" s="41"/>
    </row>
    <row r="56000" spans="20:20" s="566" customFormat="1">
      <c r="T56000" s="41"/>
    </row>
    <row r="56001" spans="20:20" s="566" customFormat="1">
      <c r="T56001" s="41"/>
    </row>
    <row r="56002" spans="20:20" s="566" customFormat="1">
      <c r="T56002" s="41"/>
    </row>
    <row r="56003" spans="20:20" s="566" customFormat="1">
      <c r="T56003" s="41"/>
    </row>
    <row r="56004" spans="20:20" s="566" customFormat="1">
      <c r="T56004" s="41"/>
    </row>
    <row r="56005" spans="20:20" s="566" customFormat="1">
      <c r="T56005" s="41"/>
    </row>
    <row r="56006" spans="20:20" s="566" customFormat="1">
      <c r="T56006" s="41"/>
    </row>
    <row r="56007" spans="20:20" s="566" customFormat="1">
      <c r="T56007" s="41"/>
    </row>
    <row r="56008" spans="20:20" s="566" customFormat="1">
      <c r="T56008" s="41"/>
    </row>
    <row r="56009" spans="20:20" s="566" customFormat="1">
      <c r="T56009" s="41"/>
    </row>
    <row r="56010" spans="20:20" s="566" customFormat="1">
      <c r="T56010" s="41"/>
    </row>
    <row r="56011" spans="20:20" s="566" customFormat="1">
      <c r="T56011" s="41"/>
    </row>
    <row r="56012" spans="20:20" s="566" customFormat="1">
      <c r="T56012" s="41"/>
    </row>
    <row r="56013" spans="20:20" s="566" customFormat="1">
      <c r="T56013" s="41"/>
    </row>
    <row r="56014" spans="20:20" s="566" customFormat="1">
      <c r="T56014" s="41"/>
    </row>
    <row r="56015" spans="20:20" s="566" customFormat="1">
      <c r="T56015" s="41"/>
    </row>
    <row r="56016" spans="20:20" s="566" customFormat="1">
      <c r="T56016" s="41"/>
    </row>
    <row r="56017" spans="20:20" s="566" customFormat="1">
      <c r="T56017" s="41"/>
    </row>
    <row r="56018" spans="20:20" s="566" customFormat="1">
      <c r="T56018" s="41"/>
    </row>
    <row r="56019" spans="20:20" s="566" customFormat="1">
      <c r="T56019" s="41"/>
    </row>
    <row r="56020" spans="20:20" s="566" customFormat="1">
      <c r="T56020" s="41"/>
    </row>
    <row r="56021" spans="20:20" s="566" customFormat="1">
      <c r="T56021" s="41"/>
    </row>
    <row r="56022" spans="20:20" s="566" customFormat="1">
      <c r="T56022" s="41"/>
    </row>
    <row r="56023" spans="20:20" s="566" customFormat="1">
      <c r="T56023" s="41"/>
    </row>
    <row r="56024" spans="20:20" s="566" customFormat="1">
      <c r="T56024" s="41"/>
    </row>
    <row r="56025" spans="20:20" s="566" customFormat="1">
      <c r="T56025" s="41"/>
    </row>
    <row r="56026" spans="20:20" s="566" customFormat="1">
      <c r="T56026" s="41"/>
    </row>
    <row r="56027" spans="20:20" s="566" customFormat="1">
      <c r="T56027" s="41"/>
    </row>
    <row r="56028" spans="20:20" s="566" customFormat="1">
      <c r="T56028" s="41"/>
    </row>
    <row r="56029" spans="20:20" s="566" customFormat="1">
      <c r="T56029" s="41"/>
    </row>
    <row r="56030" spans="20:20" s="566" customFormat="1">
      <c r="T56030" s="41"/>
    </row>
    <row r="56031" spans="20:20" s="566" customFormat="1">
      <c r="T56031" s="41"/>
    </row>
    <row r="56032" spans="20:20" s="566" customFormat="1">
      <c r="T56032" s="41"/>
    </row>
    <row r="56033" spans="20:20" s="566" customFormat="1">
      <c r="T56033" s="41"/>
    </row>
    <row r="56034" spans="20:20" s="566" customFormat="1">
      <c r="T56034" s="41"/>
    </row>
    <row r="56035" spans="20:20" s="566" customFormat="1">
      <c r="T56035" s="41"/>
    </row>
    <row r="56036" spans="20:20" s="566" customFormat="1">
      <c r="T56036" s="41"/>
    </row>
    <row r="56037" spans="20:20" s="566" customFormat="1">
      <c r="T56037" s="41"/>
    </row>
    <row r="56038" spans="20:20" s="566" customFormat="1">
      <c r="T56038" s="41"/>
    </row>
    <row r="56039" spans="20:20" s="566" customFormat="1">
      <c r="T56039" s="41"/>
    </row>
    <row r="56040" spans="20:20" s="566" customFormat="1">
      <c r="T56040" s="41"/>
    </row>
    <row r="56041" spans="20:20" s="566" customFormat="1">
      <c r="T56041" s="41"/>
    </row>
    <row r="56042" spans="20:20" s="566" customFormat="1">
      <c r="T56042" s="41"/>
    </row>
    <row r="56043" spans="20:20" s="566" customFormat="1">
      <c r="T56043" s="41"/>
    </row>
    <row r="56044" spans="20:20" s="566" customFormat="1">
      <c r="T56044" s="41"/>
    </row>
    <row r="56045" spans="20:20" s="566" customFormat="1">
      <c r="T56045" s="41"/>
    </row>
    <row r="56046" spans="20:20" s="566" customFormat="1">
      <c r="T56046" s="41"/>
    </row>
    <row r="56047" spans="20:20" s="566" customFormat="1">
      <c r="T56047" s="41"/>
    </row>
    <row r="56048" spans="20:20" s="566" customFormat="1">
      <c r="T56048" s="41"/>
    </row>
    <row r="56049" spans="20:20" s="566" customFormat="1">
      <c r="T56049" s="41"/>
    </row>
    <row r="56050" spans="20:20" s="566" customFormat="1">
      <c r="T56050" s="41"/>
    </row>
    <row r="56051" spans="20:20" s="566" customFormat="1">
      <c r="T56051" s="41"/>
    </row>
    <row r="56052" spans="20:20" s="566" customFormat="1">
      <c r="T56052" s="41"/>
    </row>
    <row r="56053" spans="20:20" s="566" customFormat="1">
      <c r="T56053" s="41"/>
    </row>
    <row r="56054" spans="20:20" s="566" customFormat="1">
      <c r="T56054" s="41"/>
    </row>
    <row r="56055" spans="20:20" s="566" customFormat="1">
      <c r="T56055" s="41"/>
    </row>
    <row r="56056" spans="20:20" s="566" customFormat="1">
      <c r="T56056" s="41"/>
    </row>
    <row r="56057" spans="20:20" s="566" customFormat="1">
      <c r="T56057" s="41"/>
    </row>
    <row r="56058" spans="20:20" s="566" customFormat="1">
      <c r="T56058" s="41"/>
    </row>
    <row r="56059" spans="20:20" s="566" customFormat="1">
      <c r="T56059" s="41"/>
    </row>
    <row r="56060" spans="20:20" s="566" customFormat="1">
      <c r="T56060" s="41"/>
    </row>
    <row r="56061" spans="20:20" s="566" customFormat="1">
      <c r="T56061" s="41"/>
    </row>
    <row r="56062" spans="20:20" s="566" customFormat="1">
      <c r="T56062" s="41"/>
    </row>
    <row r="56063" spans="20:20" s="566" customFormat="1">
      <c r="T56063" s="41"/>
    </row>
    <row r="56064" spans="20:20" s="566" customFormat="1">
      <c r="T56064" s="41"/>
    </row>
    <row r="56065" spans="20:20" s="566" customFormat="1">
      <c r="T56065" s="41"/>
    </row>
    <row r="56066" spans="20:20" s="566" customFormat="1">
      <c r="T56066" s="41"/>
    </row>
    <row r="56067" spans="20:20" s="566" customFormat="1">
      <c r="T56067" s="41"/>
    </row>
    <row r="56068" spans="20:20" s="566" customFormat="1">
      <c r="T56068" s="41"/>
    </row>
    <row r="56069" spans="20:20" s="566" customFormat="1">
      <c r="T56069" s="41"/>
    </row>
    <row r="56070" spans="20:20" s="566" customFormat="1">
      <c r="T56070" s="41"/>
    </row>
    <row r="56071" spans="20:20" s="566" customFormat="1">
      <c r="T56071" s="41"/>
    </row>
    <row r="56072" spans="20:20" s="566" customFormat="1">
      <c r="T56072" s="41"/>
    </row>
    <row r="56073" spans="20:20" s="566" customFormat="1">
      <c r="T56073" s="41"/>
    </row>
    <row r="56074" spans="20:20" s="566" customFormat="1">
      <c r="T56074" s="41"/>
    </row>
    <row r="56075" spans="20:20" s="566" customFormat="1">
      <c r="T56075" s="41"/>
    </row>
    <row r="56076" spans="20:20" s="566" customFormat="1">
      <c r="T56076" s="41"/>
    </row>
    <row r="56077" spans="20:20" s="566" customFormat="1">
      <c r="T56077" s="41"/>
    </row>
    <row r="56078" spans="20:20" s="566" customFormat="1">
      <c r="T56078" s="41"/>
    </row>
    <row r="56079" spans="20:20" s="566" customFormat="1">
      <c r="T56079" s="41"/>
    </row>
    <row r="56080" spans="20:20" s="566" customFormat="1">
      <c r="T56080" s="41"/>
    </row>
    <row r="56081" spans="20:20" s="566" customFormat="1">
      <c r="T56081" s="41"/>
    </row>
    <row r="56082" spans="20:20" s="566" customFormat="1">
      <c r="T56082" s="41"/>
    </row>
    <row r="56083" spans="20:20" s="566" customFormat="1">
      <c r="T56083" s="41"/>
    </row>
    <row r="56084" spans="20:20" s="566" customFormat="1">
      <c r="T56084" s="41"/>
    </row>
    <row r="56085" spans="20:20" s="566" customFormat="1">
      <c r="T56085" s="41"/>
    </row>
    <row r="56086" spans="20:20" s="566" customFormat="1">
      <c r="T56086" s="41"/>
    </row>
    <row r="56087" spans="20:20" s="566" customFormat="1">
      <c r="T56087" s="41"/>
    </row>
    <row r="56088" spans="20:20" s="566" customFormat="1">
      <c r="T56088" s="41"/>
    </row>
    <row r="56089" spans="20:20" s="566" customFormat="1">
      <c r="T56089" s="41"/>
    </row>
    <row r="56090" spans="20:20" s="566" customFormat="1">
      <c r="T56090" s="41"/>
    </row>
    <row r="56091" spans="20:20" s="566" customFormat="1">
      <c r="T56091" s="41"/>
    </row>
    <row r="56092" spans="20:20" s="566" customFormat="1">
      <c r="T56092" s="41"/>
    </row>
    <row r="56093" spans="20:20" s="566" customFormat="1">
      <c r="T56093" s="41"/>
    </row>
    <row r="56094" spans="20:20" s="566" customFormat="1">
      <c r="T56094" s="41"/>
    </row>
    <row r="56095" spans="20:20" s="566" customFormat="1">
      <c r="T56095" s="41"/>
    </row>
    <row r="56096" spans="20:20" s="566" customFormat="1">
      <c r="T56096" s="41"/>
    </row>
    <row r="56097" spans="20:20" s="566" customFormat="1">
      <c r="T56097" s="41"/>
    </row>
    <row r="56098" spans="20:20" s="566" customFormat="1">
      <c r="T56098" s="41"/>
    </row>
    <row r="56099" spans="20:20" s="566" customFormat="1">
      <c r="T56099" s="41"/>
    </row>
    <row r="56100" spans="20:20" s="566" customFormat="1">
      <c r="T56100" s="41"/>
    </row>
    <row r="56101" spans="20:20" s="566" customFormat="1">
      <c r="T56101" s="41"/>
    </row>
    <row r="56102" spans="20:20" s="566" customFormat="1">
      <c r="T56102" s="41"/>
    </row>
    <row r="56103" spans="20:20" s="566" customFormat="1">
      <c r="T56103" s="41"/>
    </row>
    <row r="56104" spans="20:20" s="566" customFormat="1">
      <c r="T56104" s="41"/>
    </row>
    <row r="56105" spans="20:20" s="566" customFormat="1">
      <c r="T56105" s="41"/>
    </row>
    <row r="56106" spans="20:20" s="566" customFormat="1">
      <c r="T56106" s="41"/>
    </row>
    <row r="56107" spans="20:20" s="566" customFormat="1">
      <c r="T56107" s="41"/>
    </row>
    <row r="56108" spans="20:20" s="566" customFormat="1">
      <c r="T56108" s="41"/>
    </row>
    <row r="56109" spans="20:20" s="566" customFormat="1">
      <c r="T56109" s="41"/>
    </row>
    <row r="56110" spans="20:20" s="566" customFormat="1">
      <c r="T56110" s="41"/>
    </row>
    <row r="56111" spans="20:20" s="566" customFormat="1">
      <c r="T56111" s="41"/>
    </row>
    <row r="56112" spans="20:20" s="566" customFormat="1">
      <c r="T56112" s="41"/>
    </row>
    <row r="56113" spans="20:20" s="566" customFormat="1">
      <c r="T56113" s="41"/>
    </row>
    <row r="56114" spans="20:20" s="566" customFormat="1">
      <c r="T56114" s="41"/>
    </row>
    <row r="56115" spans="20:20" s="566" customFormat="1">
      <c r="T56115" s="41"/>
    </row>
    <row r="56116" spans="20:20" s="566" customFormat="1">
      <c r="T56116" s="41"/>
    </row>
    <row r="56117" spans="20:20" s="566" customFormat="1">
      <c r="T56117" s="41"/>
    </row>
    <row r="56118" spans="20:20" s="566" customFormat="1">
      <c r="T56118" s="41"/>
    </row>
    <row r="56119" spans="20:20" s="566" customFormat="1">
      <c r="T56119" s="41"/>
    </row>
    <row r="56120" spans="20:20" s="566" customFormat="1">
      <c r="T56120" s="41"/>
    </row>
    <row r="56121" spans="20:20" s="566" customFormat="1">
      <c r="T56121" s="41"/>
    </row>
    <row r="56122" spans="20:20" s="566" customFormat="1">
      <c r="T56122" s="41"/>
    </row>
    <row r="56123" spans="20:20" s="566" customFormat="1">
      <c r="T56123" s="41"/>
    </row>
    <row r="56124" spans="20:20" s="566" customFormat="1">
      <c r="T56124" s="41"/>
    </row>
    <row r="56125" spans="20:20" s="566" customFormat="1">
      <c r="T56125" s="41"/>
    </row>
    <row r="56126" spans="20:20" s="566" customFormat="1">
      <c r="T56126" s="41"/>
    </row>
    <row r="56127" spans="20:20" s="566" customFormat="1">
      <c r="T56127" s="41"/>
    </row>
    <row r="56128" spans="20:20" s="566" customFormat="1">
      <c r="T56128" s="41"/>
    </row>
    <row r="56129" spans="20:20" s="566" customFormat="1">
      <c r="T56129" s="41"/>
    </row>
    <row r="56130" spans="20:20" s="566" customFormat="1">
      <c r="T56130" s="41"/>
    </row>
    <row r="56131" spans="20:20" s="566" customFormat="1">
      <c r="T56131" s="41"/>
    </row>
    <row r="56132" spans="20:20" s="566" customFormat="1">
      <c r="T56132" s="41"/>
    </row>
    <row r="56133" spans="20:20" s="566" customFormat="1">
      <c r="T56133" s="41"/>
    </row>
    <row r="56134" spans="20:20" s="566" customFormat="1">
      <c r="T56134" s="41"/>
    </row>
    <row r="56135" spans="20:20" s="566" customFormat="1">
      <c r="T56135" s="41"/>
    </row>
    <row r="56136" spans="20:20" s="566" customFormat="1">
      <c r="T56136" s="41"/>
    </row>
    <row r="56137" spans="20:20" s="566" customFormat="1">
      <c r="T56137" s="41"/>
    </row>
    <row r="56138" spans="20:20" s="566" customFormat="1">
      <c r="T56138" s="41"/>
    </row>
    <row r="56139" spans="20:20" s="566" customFormat="1">
      <c r="T56139" s="41"/>
    </row>
    <row r="56140" spans="20:20" s="566" customFormat="1">
      <c r="T56140" s="41"/>
    </row>
    <row r="56141" spans="20:20" s="566" customFormat="1">
      <c r="T56141" s="41"/>
    </row>
    <row r="56142" spans="20:20" s="566" customFormat="1">
      <c r="T56142" s="41"/>
    </row>
    <row r="56143" spans="20:20" s="566" customFormat="1">
      <c r="T56143" s="41"/>
    </row>
    <row r="56144" spans="20:20" s="566" customFormat="1">
      <c r="T56144" s="41"/>
    </row>
    <row r="56145" spans="20:20" s="566" customFormat="1">
      <c r="T56145" s="41"/>
    </row>
    <row r="56146" spans="20:20" s="566" customFormat="1">
      <c r="T56146" s="41"/>
    </row>
    <row r="56147" spans="20:20" s="566" customFormat="1">
      <c r="T56147" s="41"/>
    </row>
    <row r="56148" spans="20:20" s="566" customFormat="1">
      <c r="T56148" s="41"/>
    </row>
    <row r="56149" spans="20:20" s="566" customFormat="1">
      <c r="T56149" s="41"/>
    </row>
    <row r="56150" spans="20:20" s="566" customFormat="1">
      <c r="T56150" s="41"/>
    </row>
    <row r="56151" spans="20:20" s="566" customFormat="1">
      <c r="T56151" s="41"/>
    </row>
    <row r="56152" spans="20:20" s="566" customFormat="1">
      <c r="T56152" s="41"/>
    </row>
    <row r="56153" spans="20:20" s="566" customFormat="1">
      <c r="T56153" s="41"/>
    </row>
    <row r="56154" spans="20:20" s="566" customFormat="1">
      <c r="T56154" s="41"/>
    </row>
    <row r="56155" spans="20:20" s="566" customFormat="1">
      <c r="T56155" s="41"/>
    </row>
    <row r="56156" spans="20:20" s="566" customFormat="1">
      <c r="T56156" s="41"/>
    </row>
    <row r="56157" spans="20:20" s="566" customFormat="1">
      <c r="T56157" s="41"/>
    </row>
    <row r="56158" spans="20:20" s="566" customFormat="1">
      <c r="T56158" s="41"/>
    </row>
    <row r="56159" spans="20:20" s="566" customFormat="1">
      <c r="T56159" s="41"/>
    </row>
    <row r="56160" spans="20:20" s="566" customFormat="1">
      <c r="T56160" s="41"/>
    </row>
    <row r="56161" spans="20:20" s="566" customFormat="1">
      <c r="T56161" s="41"/>
    </row>
    <row r="56162" spans="20:20" s="566" customFormat="1">
      <c r="T56162" s="41"/>
    </row>
    <row r="56163" spans="20:20" s="566" customFormat="1">
      <c r="T56163" s="41"/>
    </row>
    <row r="56164" spans="20:20" s="566" customFormat="1">
      <c r="T56164" s="41"/>
    </row>
    <row r="56165" spans="20:20" s="566" customFormat="1">
      <c r="T56165" s="41"/>
    </row>
    <row r="56166" spans="20:20" s="566" customFormat="1">
      <c r="T56166" s="41"/>
    </row>
    <row r="56167" spans="20:20" s="566" customFormat="1">
      <c r="T56167" s="41"/>
    </row>
    <row r="56168" spans="20:20" s="566" customFormat="1">
      <c r="T56168" s="41"/>
    </row>
    <row r="56169" spans="20:20" s="566" customFormat="1">
      <c r="T56169" s="41"/>
    </row>
    <row r="56170" spans="20:20" s="566" customFormat="1">
      <c r="T56170" s="41"/>
    </row>
    <row r="56171" spans="20:20" s="566" customFormat="1">
      <c r="T56171" s="41"/>
    </row>
    <row r="56172" spans="20:20" s="566" customFormat="1">
      <c r="T56172" s="41"/>
    </row>
    <row r="56173" spans="20:20" s="566" customFormat="1">
      <c r="T56173" s="41"/>
    </row>
    <row r="56174" spans="20:20" s="566" customFormat="1">
      <c r="T56174" s="41"/>
    </row>
    <row r="56175" spans="20:20" s="566" customFormat="1">
      <c r="T56175" s="41"/>
    </row>
    <row r="56176" spans="20:20" s="566" customFormat="1">
      <c r="T56176" s="41"/>
    </row>
    <row r="56177" spans="20:20" s="566" customFormat="1">
      <c r="T56177" s="41"/>
    </row>
    <row r="56178" spans="20:20" s="566" customFormat="1">
      <c r="T56178" s="41"/>
    </row>
    <row r="56179" spans="20:20" s="566" customFormat="1">
      <c r="T56179" s="41"/>
    </row>
    <row r="56180" spans="20:20" s="566" customFormat="1">
      <c r="T56180" s="41"/>
    </row>
    <row r="56181" spans="20:20" s="566" customFormat="1">
      <c r="T56181" s="41"/>
    </row>
    <row r="56182" spans="20:20" s="566" customFormat="1">
      <c r="T56182" s="41"/>
    </row>
    <row r="56183" spans="20:20" s="566" customFormat="1">
      <c r="T56183" s="41"/>
    </row>
    <row r="56184" spans="20:20" s="566" customFormat="1">
      <c r="T56184" s="41"/>
    </row>
    <row r="56185" spans="20:20" s="566" customFormat="1">
      <c r="T56185" s="41"/>
    </row>
    <row r="56186" spans="20:20" s="566" customFormat="1">
      <c r="T56186" s="41"/>
    </row>
    <row r="56187" spans="20:20" s="566" customFormat="1">
      <c r="T56187" s="41"/>
    </row>
    <row r="56188" spans="20:20" s="566" customFormat="1">
      <c r="T56188" s="41"/>
    </row>
    <row r="56189" spans="20:20" s="566" customFormat="1">
      <c r="T56189" s="41"/>
    </row>
    <row r="56190" spans="20:20" s="566" customFormat="1">
      <c r="T56190" s="41"/>
    </row>
    <row r="56191" spans="20:20" s="566" customFormat="1">
      <c r="T56191" s="41"/>
    </row>
    <row r="56192" spans="20:20" s="566" customFormat="1">
      <c r="T56192" s="41"/>
    </row>
    <row r="56193" spans="20:20" s="566" customFormat="1">
      <c r="T56193" s="41"/>
    </row>
    <row r="56194" spans="20:20" s="566" customFormat="1">
      <c r="T56194" s="41"/>
    </row>
    <row r="56195" spans="20:20" s="566" customFormat="1">
      <c r="T56195" s="41"/>
    </row>
    <row r="56196" spans="20:20" s="566" customFormat="1">
      <c r="T56196" s="41"/>
    </row>
    <row r="56197" spans="20:20" s="566" customFormat="1">
      <c r="T56197" s="41"/>
    </row>
    <row r="56198" spans="20:20" s="566" customFormat="1">
      <c r="T56198" s="41"/>
    </row>
    <row r="56199" spans="20:20" s="566" customFormat="1">
      <c r="T56199" s="41"/>
    </row>
    <row r="56200" spans="20:20" s="566" customFormat="1">
      <c r="T56200" s="41"/>
    </row>
    <row r="56201" spans="20:20" s="566" customFormat="1">
      <c r="T56201" s="41"/>
    </row>
    <row r="56202" spans="20:20" s="566" customFormat="1">
      <c r="T56202" s="41"/>
    </row>
    <row r="56203" spans="20:20" s="566" customFormat="1">
      <c r="T56203" s="41"/>
    </row>
    <row r="56204" spans="20:20" s="566" customFormat="1">
      <c r="T56204" s="41"/>
    </row>
    <row r="56205" spans="20:20" s="566" customFormat="1">
      <c r="T56205" s="41"/>
    </row>
    <row r="56206" spans="20:20" s="566" customFormat="1">
      <c r="T56206" s="41"/>
    </row>
    <row r="56207" spans="20:20" s="566" customFormat="1">
      <c r="T56207" s="41"/>
    </row>
    <row r="56208" spans="20:20" s="566" customFormat="1">
      <c r="T56208" s="41"/>
    </row>
    <row r="56209" spans="20:20" s="566" customFormat="1">
      <c r="T56209" s="41"/>
    </row>
    <row r="56210" spans="20:20" s="566" customFormat="1">
      <c r="T56210" s="41"/>
    </row>
    <row r="56211" spans="20:20" s="566" customFormat="1">
      <c r="T56211" s="41"/>
    </row>
    <row r="56212" spans="20:20" s="566" customFormat="1">
      <c r="T56212" s="41"/>
    </row>
    <row r="56213" spans="20:20" s="566" customFormat="1">
      <c r="T56213" s="41"/>
    </row>
    <row r="56214" spans="20:20" s="566" customFormat="1">
      <c r="T56214" s="41"/>
    </row>
    <row r="56215" spans="20:20" s="566" customFormat="1">
      <c r="T56215" s="41"/>
    </row>
    <row r="56216" spans="20:20" s="566" customFormat="1">
      <c r="T56216" s="41"/>
    </row>
    <row r="56217" spans="20:20" s="566" customFormat="1">
      <c r="T56217" s="41"/>
    </row>
    <row r="56218" spans="20:20" s="566" customFormat="1">
      <c r="T56218" s="41"/>
    </row>
    <row r="56219" spans="20:20" s="566" customFormat="1">
      <c r="T56219" s="41"/>
    </row>
    <row r="56220" spans="20:20" s="566" customFormat="1">
      <c r="T56220" s="41"/>
    </row>
    <row r="56221" spans="20:20" s="566" customFormat="1">
      <c r="T56221" s="41"/>
    </row>
    <row r="56222" spans="20:20" s="566" customFormat="1">
      <c r="T56222" s="41"/>
    </row>
    <row r="56223" spans="20:20" s="566" customFormat="1">
      <c r="T56223" s="41"/>
    </row>
    <row r="56224" spans="20:20" s="566" customFormat="1">
      <c r="T56224" s="41"/>
    </row>
    <row r="56225" spans="20:20" s="566" customFormat="1">
      <c r="T56225" s="41"/>
    </row>
    <row r="56226" spans="20:20" s="566" customFormat="1">
      <c r="T56226" s="41"/>
    </row>
    <row r="56227" spans="20:20" s="566" customFormat="1">
      <c r="T56227" s="41"/>
    </row>
    <row r="56228" spans="20:20" s="566" customFormat="1">
      <c r="T56228" s="41"/>
    </row>
    <row r="56229" spans="20:20" s="566" customFormat="1">
      <c r="T56229" s="41"/>
    </row>
    <row r="56230" spans="20:20" s="566" customFormat="1">
      <c r="T56230" s="41"/>
    </row>
    <row r="56231" spans="20:20" s="566" customFormat="1">
      <c r="T56231" s="41"/>
    </row>
    <row r="56232" spans="20:20" s="566" customFormat="1">
      <c r="T56232" s="41"/>
    </row>
    <row r="56233" spans="20:20" s="566" customFormat="1">
      <c r="T56233" s="41"/>
    </row>
    <row r="56234" spans="20:20" s="566" customFormat="1">
      <c r="T56234" s="41"/>
    </row>
    <row r="56235" spans="20:20" s="566" customFormat="1">
      <c r="T56235" s="41"/>
    </row>
    <row r="56236" spans="20:20" s="566" customFormat="1">
      <c r="T56236" s="41"/>
    </row>
    <row r="56237" spans="20:20" s="566" customFormat="1">
      <c r="T56237" s="41"/>
    </row>
    <row r="56238" spans="20:20" s="566" customFormat="1">
      <c r="T56238" s="41"/>
    </row>
    <row r="56239" spans="20:20" s="566" customFormat="1">
      <c r="T56239" s="41"/>
    </row>
    <row r="56240" spans="20:20" s="566" customFormat="1">
      <c r="T56240" s="41"/>
    </row>
    <row r="56241" spans="20:20" s="566" customFormat="1">
      <c r="T56241" s="41"/>
    </row>
    <row r="56242" spans="20:20" s="566" customFormat="1">
      <c r="T56242" s="41"/>
    </row>
    <row r="56243" spans="20:20" s="566" customFormat="1">
      <c r="T56243" s="41"/>
    </row>
    <row r="56244" spans="20:20" s="566" customFormat="1">
      <c r="T56244" s="41"/>
    </row>
    <row r="56245" spans="20:20" s="566" customFormat="1">
      <c r="T56245" s="41"/>
    </row>
    <row r="56246" spans="20:20" s="566" customFormat="1">
      <c r="T56246" s="41"/>
    </row>
    <row r="56247" spans="20:20" s="566" customFormat="1">
      <c r="T56247" s="41"/>
    </row>
    <row r="56248" spans="20:20" s="566" customFormat="1">
      <c r="T56248" s="41"/>
    </row>
    <row r="56249" spans="20:20" s="566" customFormat="1">
      <c r="T56249" s="41"/>
    </row>
    <row r="56250" spans="20:20" s="566" customFormat="1">
      <c r="T56250" s="41"/>
    </row>
    <row r="56251" spans="20:20" s="566" customFormat="1">
      <c r="T56251" s="41"/>
    </row>
    <row r="56252" spans="20:20" s="566" customFormat="1">
      <c r="T56252" s="41"/>
    </row>
    <row r="56253" spans="20:20" s="566" customFormat="1">
      <c r="T56253" s="41"/>
    </row>
    <row r="56254" spans="20:20" s="566" customFormat="1">
      <c r="T56254" s="41"/>
    </row>
    <row r="56255" spans="20:20" s="566" customFormat="1">
      <c r="T56255" s="41"/>
    </row>
    <row r="56256" spans="20:20" s="566" customFormat="1">
      <c r="T56256" s="41"/>
    </row>
    <row r="56257" spans="20:20" s="566" customFormat="1">
      <c r="T56257" s="41"/>
    </row>
    <row r="56258" spans="20:20" s="566" customFormat="1">
      <c r="T56258" s="41"/>
    </row>
    <row r="56259" spans="20:20" s="566" customFormat="1">
      <c r="T56259" s="41"/>
    </row>
    <row r="56260" spans="20:20" s="566" customFormat="1">
      <c r="T56260" s="41"/>
    </row>
    <row r="56261" spans="20:20" s="566" customFormat="1">
      <c r="T56261" s="41"/>
    </row>
    <row r="56262" spans="20:20" s="566" customFormat="1">
      <c r="T56262" s="41"/>
    </row>
    <row r="56263" spans="20:20" s="566" customFormat="1">
      <c r="T56263" s="41"/>
    </row>
    <row r="56264" spans="20:20" s="566" customFormat="1">
      <c r="T56264" s="41"/>
    </row>
    <row r="56265" spans="20:20" s="566" customFormat="1">
      <c r="T56265" s="41"/>
    </row>
    <row r="56266" spans="20:20" s="566" customFormat="1">
      <c r="T56266" s="41"/>
    </row>
    <row r="56267" spans="20:20" s="566" customFormat="1">
      <c r="T56267" s="41"/>
    </row>
    <row r="56268" spans="20:20" s="566" customFormat="1">
      <c r="T56268" s="41"/>
    </row>
    <row r="56269" spans="20:20" s="566" customFormat="1">
      <c r="T56269" s="41"/>
    </row>
    <row r="56270" spans="20:20" s="566" customFormat="1">
      <c r="T56270" s="41"/>
    </row>
    <row r="56271" spans="20:20" s="566" customFormat="1">
      <c r="T56271" s="41"/>
    </row>
    <row r="56272" spans="20:20" s="566" customFormat="1">
      <c r="T56272" s="41"/>
    </row>
    <row r="56273" spans="20:20" s="566" customFormat="1">
      <c r="T56273" s="41"/>
    </row>
    <row r="56274" spans="20:20" s="566" customFormat="1">
      <c r="T56274" s="41"/>
    </row>
    <row r="56275" spans="20:20" s="566" customFormat="1">
      <c r="T56275" s="41"/>
    </row>
    <row r="56276" spans="20:20" s="566" customFormat="1">
      <c r="T56276" s="41"/>
    </row>
    <row r="56277" spans="20:20" s="566" customFormat="1">
      <c r="T56277" s="41"/>
    </row>
    <row r="56278" spans="20:20" s="566" customFormat="1">
      <c r="T56278" s="41"/>
    </row>
    <row r="56279" spans="20:20" s="566" customFormat="1">
      <c r="T56279" s="41"/>
    </row>
    <row r="56280" spans="20:20" s="566" customFormat="1">
      <c r="T56280" s="41"/>
    </row>
    <row r="56281" spans="20:20" s="566" customFormat="1">
      <c r="T56281" s="41"/>
    </row>
    <row r="56282" spans="20:20" s="566" customFormat="1">
      <c r="T56282" s="41"/>
    </row>
    <row r="56283" spans="20:20" s="566" customFormat="1">
      <c r="T56283" s="41"/>
    </row>
    <row r="56284" spans="20:20" s="566" customFormat="1">
      <c r="T56284" s="41"/>
    </row>
    <row r="56285" spans="20:20" s="566" customFormat="1">
      <c r="T56285" s="41"/>
    </row>
    <row r="56286" spans="20:20" s="566" customFormat="1">
      <c r="T56286" s="41"/>
    </row>
    <row r="56287" spans="20:20" s="566" customFormat="1">
      <c r="T56287" s="41"/>
    </row>
    <row r="56288" spans="20:20" s="566" customFormat="1">
      <c r="T56288" s="41"/>
    </row>
    <row r="56289" spans="20:20" s="566" customFormat="1">
      <c r="T56289" s="41"/>
    </row>
    <row r="56290" spans="20:20" s="566" customFormat="1">
      <c r="T56290" s="41"/>
    </row>
    <row r="56291" spans="20:20" s="566" customFormat="1">
      <c r="T56291" s="41"/>
    </row>
    <row r="56292" spans="20:20" s="566" customFormat="1">
      <c r="T56292" s="41"/>
    </row>
    <row r="56293" spans="20:20" s="566" customFormat="1">
      <c r="T56293" s="41"/>
    </row>
    <row r="56294" spans="20:20" s="566" customFormat="1">
      <c r="T56294" s="41"/>
    </row>
    <row r="56295" spans="20:20" s="566" customFormat="1">
      <c r="T56295" s="41"/>
    </row>
    <row r="56296" spans="20:20" s="566" customFormat="1">
      <c r="T56296" s="41"/>
    </row>
    <row r="56297" spans="20:20" s="566" customFormat="1">
      <c r="T56297" s="41"/>
    </row>
    <row r="56298" spans="20:20" s="566" customFormat="1">
      <c r="T56298" s="41"/>
    </row>
    <row r="56299" spans="20:20" s="566" customFormat="1">
      <c r="T56299" s="41"/>
    </row>
    <row r="56300" spans="20:20" s="566" customFormat="1">
      <c r="T56300" s="41"/>
    </row>
    <row r="56301" spans="20:20" s="566" customFormat="1">
      <c r="T56301" s="41"/>
    </row>
    <row r="56302" spans="20:20" s="566" customFormat="1">
      <c r="T56302" s="41"/>
    </row>
    <row r="56303" spans="20:20" s="566" customFormat="1">
      <c r="T56303" s="41"/>
    </row>
    <row r="56304" spans="20:20" s="566" customFormat="1">
      <c r="T56304" s="41"/>
    </row>
    <row r="56305" spans="20:20" s="566" customFormat="1">
      <c r="T56305" s="41"/>
    </row>
    <row r="56306" spans="20:20" s="566" customFormat="1">
      <c r="T56306" s="41"/>
    </row>
    <row r="56307" spans="20:20" s="566" customFormat="1">
      <c r="T56307" s="41"/>
    </row>
    <row r="56308" spans="20:20" s="566" customFormat="1">
      <c r="T56308" s="41"/>
    </row>
    <row r="56309" spans="20:20" s="566" customFormat="1">
      <c r="T56309" s="41"/>
    </row>
    <row r="56310" spans="20:20" s="566" customFormat="1">
      <c r="T56310" s="41"/>
    </row>
    <row r="56311" spans="20:20" s="566" customFormat="1">
      <c r="T56311" s="41"/>
    </row>
    <row r="56312" spans="20:20" s="566" customFormat="1">
      <c r="T56312" s="41"/>
    </row>
    <row r="56313" spans="20:20" s="566" customFormat="1">
      <c r="T56313" s="41"/>
    </row>
    <row r="56314" spans="20:20" s="566" customFormat="1">
      <c r="T56314" s="41"/>
    </row>
    <row r="56315" spans="20:20" s="566" customFormat="1">
      <c r="T56315" s="41"/>
    </row>
    <row r="56316" spans="20:20" s="566" customFormat="1">
      <c r="T56316" s="41"/>
    </row>
    <row r="56317" spans="20:20" s="566" customFormat="1">
      <c r="T56317" s="41"/>
    </row>
    <row r="56318" spans="20:20" s="566" customFormat="1">
      <c r="T56318" s="41"/>
    </row>
    <row r="56319" spans="20:20" s="566" customFormat="1">
      <c r="T56319" s="41"/>
    </row>
    <row r="56320" spans="20:20" s="566" customFormat="1">
      <c r="T56320" s="41"/>
    </row>
    <row r="56321" spans="20:20" s="566" customFormat="1">
      <c r="T56321" s="41"/>
    </row>
    <row r="56322" spans="20:20" s="566" customFormat="1">
      <c r="T56322" s="41"/>
    </row>
    <row r="56323" spans="20:20" s="566" customFormat="1">
      <c r="T56323" s="41"/>
    </row>
    <row r="56324" spans="20:20" s="566" customFormat="1">
      <c r="T56324" s="41"/>
    </row>
    <row r="56325" spans="20:20" s="566" customFormat="1">
      <c r="T56325" s="41"/>
    </row>
    <row r="56326" spans="20:20" s="566" customFormat="1">
      <c r="T56326" s="41"/>
    </row>
    <row r="56327" spans="20:20" s="566" customFormat="1">
      <c r="T56327" s="41"/>
    </row>
    <row r="56328" spans="20:20" s="566" customFormat="1">
      <c r="T56328" s="41"/>
    </row>
    <row r="56329" spans="20:20" s="566" customFormat="1">
      <c r="T56329" s="41"/>
    </row>
    <row r="56330" spans="20:20" s="566" customFormat="1">
      <c r="T56330" s="41"/>
    </row>
    <row r="56331" spans="20:20" s="566" customFormat="1">
      <c r="T56331" s="41"/>
    </row>
    <row r="56332" spans="20:20" s="566" customFormat="1">
      <c r="T56332" s="41"/>
    </row>
    <row r="56333" spans="20:20" s="566" customFormat="1">
      <c r="T56333" s="41"/>
    </row>
    <row r="56334" spans="20:20" s="566" customFormat="1">
      <c r="T56334" s="41"/>
    </row>
    <row r="56335" spans="20:20" s="566" customFormat="1">
      <c r="T56335" s="41"/>
    </row>
    <row r="56336" spans="20:20" s="566" customFormat="1">
      <c r="T56336" s="41"/>
    </row>
    <row r="56337" spans="20:20" s="566" customFormat="1">
      <c r="T56337" s="41"/>
    </row>
    <row r="56338" spans="20:20" s="566" customFormat="1">
      <c r="T56338" s="41"/>
    </row>
    <row r="56339" spans="20:20" s="566" customFormat="1">
      <c r="T56339" s="41"/>
    </row>
    <row r="56340" spans="20:20" s="566" customFormat="1">
      <c r="T56340" s="41"/>
    </row>
    <row r="56341" spans="20:20" s="566" customFormat="1">
      <c r="T56341" s="41"/>
    </row>
    <row r="56342" spans="20:20" s="566" customFormat="1">
      <c r="T56342" s="41"/>
    </row>
    <row r="56343" spans="20:20" s="566" customFormat="1">
      <c r="T56343" s="41"/>
    </row>
    <row r="56344" spans="20:20" s="566" customFormat="1">
      <c r="T56344" s="41"/>
    </row>
    <row r="56345" spans="20:20" s="566" customFormat="1">
      <c r="T56345" s="41"/>
    </row>
    <row r="56346" spans="20:20" s="566" customFormat="1">
      <c r="T56346" s="41"/>
    </row>
    <row r="56347" spans="20:20" s="566" customFormat="1">
      <c r="T56347" s="41"/>
    </row>
    <row r="56348" spans="20:20" s="566" customFormat="1">
      <c r="T56348" s="41"/>
    </row>
    <row r="56349" spans="20:20" s="566" customFormat="1">
      <c r="T56349" s="41"/>
    </row>
    <row r="56350" spans="20:20" s="566" customFormat="1">
      <c r="T56350" s="41"/>
    </row>
    <row r="56351" spans="20:20" s="566" customFormat="1">
      <c r="T56351" s="41"/>
    </row>
    <row r="56352" spans="20:20" s="566" customFormat="1">
      <c r="T56352" s="41"/>
    </row>
    <row r="56353" spans="20:20" s="566" customFormat="1">
      <c r="T56353" s="41"/>
    </row>
    <row r="56354" spans="20:20" s="566" customFormat="1">
      <c r="T56354" s="41"/>
    </row>
    <row r="56355" spans="20:20" s="566" customFormat="1">
      <c r="T56355" s="41"/>
    </row>
    <row r="56356" spans="20:20" s="566" customFormat="1">
      <c r="T56356" s="41"/>
    </row>
    <row r="56357" spans="20:20" s="566" customFormat="1">
      <c r="T56357" s="41"/>
    </row>
    <row r="56358" spans="20:20" s="566" customFormat="1">
      <c r="T56358" s="41"/>
    </row>
    <row r="56359" spans="20:20" s="566" customFormat="1">
      <c r="T56359" s="41"/>
    </row>
    <row r="56360" spans="20:20" s="566" customFormat="1">
      <c r="T56360" s="41"/>
    </row>
    <row r="56361" spans="20:20" s="566" customFormat="1">
      <c r="T56361" s="41"/>
    </row>
    <row r="56362" spans="20:20" s="566" customFormat="1">
      <c r="T56362" s="41"/>
    </row>
    <row r="56363" spans="20:20" s="566" customFormat="1">
      <c r="T56363" s="41"/>
    </row>
    <row r="56364" spans="20:20" s="566" customFormat="1">
      <c r="T56364" s="41"/>
    </row>
    <row r="56365" spans="20:20" s="566" customFormat="1">
      <c r="T56365" s="41"/>
    </row>
    <row r="56366" spans="20:20" s="566" customFormat="1">
      <c r="T56366" s="41"/>
    </row>
    <row r="56367" spans="20:20" s="566" customFormat="1">
      <c r="T56367" s="41"/>
    </row>
    <row r="56368" spans="20:20" s="566" customFormat="1">
      <c r="T56368" s="41"/>
    </row>
    <row r="56369" spans="20:20" s="566" customFormat="1">
      <c r="T56369" s="41"/>
    </row>
    <row r="56370" spans="20:20" s="566" customFormat="1">
      <c r="T56370" s="41"/>
    </row>
    <row r="56371" spans="20:20" s="566" customFormat="1">
      <c r="T56371" s="41"/>
    </row>
    <row r="56372" spans="20:20" s="566" customFormat="1">
      <c r="T56372" s="41"/>
    </row>
    <row r="56373" spans="20:20" s="566" customFormat="1">
      <c r="T56373" s="41"/>
    </row>
    <row r="56374" spans="20:20" s="566" customFormat="1">
      <c r="T56374" s="41"/>
    </row>
    <row r="56375" spans="20:20" s="566" customFormat="1">
      <c r="T56375" s="41"/>
    </row>
    <row r="56376" spans="20:20" s="566" customFormat="1">
      <c r="T56376" s="41"/>
    </row>
    <row r="56377" spans="20:20" s="566" customFormat="1">
      <c r="T56377" s="41"/>
    </row>
    <row r="56378" spans="20:20" s="566" customFormat="1">
      <c r="T56378" s="41"/>
    </row>
    <row r="56379" spans="20:20" s="566" customFormat="1">
      <c r="T56379" s="41"/>
    </row>
    <row r="56380" spans="20:20" s="566" customFormat="1">
      <c r="T56380" s="41"/>
    </row>
    <row r="56381" spans="20:20" s="566" customFormat="1">
      <c r="T56381" s="41"/>
    </row>
    <row r="56382" spans="20:20" s="566" customFormat="1">
      <c r="T56382" s="41"/>
    </row>
    <row r="56383" spans="20:20" s="566" customFormat="1">
      <c r="T56383" s="41"/>
    </row>
    <row r="56384" spans="20:20" s="566" customFormat="1">
      <c r="T56384" s="41"/>
    </row>
    <row r="56385" spans="20:20" s="566" customFormat="1">
      <c r="T56385" s="41"/>
    </row>
    <row r="56386" spans="20:20" s="566" customFormat="1">
      <c r="T56386" s="41"/>
    </row>
    <row r="56387" spans="20:20" s="566" customFormat="1">
      <c r="T56387" s="41"/>
    </row>
    <row r="56388" spans="20:20" s="566" customFormat="1">
      <c r="T56388" s="41"/>
    </row>
    <row r="56389" spans="20:20" s="566" customFormat="1">
      <c r="T56389" s="41"/>
    </row>
    <row r="56390" spans="20:20" s="566" customFormat="1">
      <c r="T56390" s="41"/>
    </row>
    <row r="56391" spans="20:20" s="566" customFormat="1">
      <c r="T56391" s="41"/>
    </row>
    <row r="56392" spans="20:20" s="566" customFormat="1">
      <c r="T56392" s="41"/>
    </row>
    <row r="56393" spans="20:20" s="566" customFormat="1">
      <c r="T56393" s="41"/>
    </row>
    <row r="56394" spans="20:20" s="566" customFormat="1">
      <c r="T56394" s="41"/>
    </row>
    <row r="56395" spans="20:20" s="566" customFormat="1">
      <c r="T56395" s="41"/>
    </row>
    <row r="56396" spans="20:20" s="566" customFormat="1">
      <c r="T56396" s="41"/>
    </row>
    <row r="56397" spans="20:20" s="566" customFormat="1">
      <c r="T56397" s="41"/>
    </row>
    <row r="56398" spans="20:20" s="566" customFormat="1">
      <c r="T56398" s="41"/>
    </row>
    <row r="56399" spans="20:20" s="566" customFormat="1">
      <c r="T56399" s="41"/>
    </row>
    <row r="56400" spans="20:20" s="566" customFormat="1">
      <c r="T56400" s="41"/>
    </row>
    <row r="56401" spans="20:20" s="566" customFormat="1">
      <c r="T56401" s="41"/>
    </row>
    <row r="56402" spans="20:20" s="566" customFormat="1">
      <c r="T56402" s="41"/>
    </row>
    <row r="56403" spans="20:20" s="566" customFormat="1">
      <c r="T56403" s="41"/>
    </row>
    <row r="56404" spans="20:20" s="566" customFormat="1">
      <c r="T56404" s="41"/>
    </row>
    <row r="56405" spans="20:20" s="566" customFormat="1">
      <c r="T56405" s="41"/>
    </row>
    <row r="56406" spans="20:20" s="566" customFormat="1">
      <c r="T56406" s="41"/>
    </row>
    <row r="56407" spans="20:20" s="566" customFormat="1">
      <c r="T56407" s="41"/>
    </row>
    <row r="56408" spans="20:20" s="566" customFormat="1">
      <c r="T56408" s="41"/>
    </row>
    <row r="56409" spans="20:20" s="566" customFormat="1">
      <c r="T56409" s="41"/>
    </row>
    <row r="56410" spans="20:20" s="566" customFormat="1">
      <c r="T56410" s="41"/>
    </row>
    <row r="56411" spans="20:20" s="566" customFormat="1">
      <c r="T56411" s="41"/>
    </row>
    <row r="56412" spans="20:20" s="566" customFormat="1">
      <c r="T56412" s="41"/>
    </row>
    <row r="56413" spans="20:20" s="566" customFormat="1">
      <c r="T56413" s="41"/>
    </row>
    <row r="56414" spans="20:20" s="566" customFormat="1">
      <c r="T56414" s="41"/>
    </row>
    <row r="56415" spans="20:20" s="566" customFormat="1">
      <c r="T56415" s="41"/>
    </row>
    <row r="56416" spans="20:20" s="566" customFormat="1">
      <c r="T56416" s="41"/>
    </row>
    <row r="56417" spans="20:20" s="566" customFormat="1">
      <c r="T56417" s="41"/>
    </row>
    <row r="56418" spans="20:20" s="566" customFormat="1">
      <c r="T56418" s="41"/>
    </row>
    <row r="56419" spans="20:20" s="566" customFormat="1">
      <c r="T56419" s="41"/>
    </row>
    <row r="56420" spans="20:20" s="566" customFormat="1">
      <c r="T56420" s="41"/>
    </row>
    <row r="56421" spans="20:20" s="566" customFormat="1">
      <c r="T56421" s="41"/>
    </row>
    <row r="56422" spans="20:20" s="566" customFormat="1">
      <c r="T56422" s="41"/>
    </row>
    <row r="56423" spans="20:20" s="566" customFormat="1">
      <c r="T56423" s="41"/>
    </row>
    <row r="56424" spans="20:20" s="566" customFormat="1">
      <c r="T56424" s="41"/>
    </row>
    <row r="56425" spans="20:20" s="566" customFormat="1">
      <c r="T56425" s="41"/>
    </row>
    <row r="56426" spans="20:20" s="566" customFormat="1">
      <c r="T56426" s="41"/>
    </row>
    <row r="56427" spans="20:20" s="566" customFormat="1">
      <c r="T56427" s="41"/>
    </row>
    <row r="56428" spans="20:20" s="566" customFormat="1">
      <c r="T56428" s="41"/>
    </row>
    <row r="56429" spans="20:20" s="566" customFormat="1">
      <c r="T56429" s="41"/>
    </row>
    <row r="56430" spans="20:20" s="566" customFormat="1">
      <c r="T56430" s="41"/>
    </row>
    <row r="56431" spans="20:20" s="566" customFormat="1">
      <c r="T56431" s="41"/>
    </row>
    <row r="56432" spans="20:20" s="566" customFormat="1">
      <c r="T56432" s="41"/>
    </row>
    <row r="56433" spans="20:20" s="566" customFormat="1">
      <c r="T56433" s="41"/>
    </row>
    <row r="56434" spans="20:20" s="566" customFormat="1">
      <c r="T56434" s="41"/>
    </row>
    <row r="56435" spans="20:20" s="566" customFormat="1">
      <c r="T56435" s="41"/>
    </row>
    <row r="56436" spans="20:20" s="566" customFormat="1">
      <c r="T56436" s="41"/>
    </row>
    <row r="56437" spans="20:20" s="566" customFormat="1">
      <c r="T56437" s="41"/>
    </row>
    <row r="56438" spans="20:20" s="566" customFormat="1">
      <c r="T56438" s="41"/>
    </row>
    <row r="56439" spans="20:20" s="566" customFormat="1">
      <c r="T56439" s="41"/>
    </row>
    <row r="56440" spans="20:20" s="566" customFormat="1">
      <c r="T56440" s="41"/>
    </row>
    <row r="56441" spans="20:20" s="566" customFormat="1">
      <c r="T56441" s="41"/>
    </row>
    <row r="56442" spans="20:20" s="566" customFormat="1">
      <c r="T56442" s="41"/>
    </row>
    <row r="56443" spans="20:20" s="566" customFormat="1">
      <c r="T56443" s="41"/>
    </row>
    <row r="56444" spans="20:20" s="566" customFormat="1">
      <c r="T56444" s="41"/>
    </row>
    <row r="56445" spans="20:20" s="566" customFormat="1">
      <c r="T56445" s="41"/>
    </row>
    <row r="56446" spans="20:20" s="566" customFormat="1">
      <c r="T56446" s="41"/>
    </row>
    <row r="56447" spans="20:20" s="566" customFormat="1">
      <c r="T56447" s="41"/>
    </row>
    <row r="56448" spans="20:20" s="566" customFormat="1">
      <c r="T56448" s="41"/>
    </row>
    <row r="56449" spans="20:20" s="566" customFormat="1">
      <c r="T56449" s="41"/>
    </row>
    <row r="56450" spans="20:20" s="566" customFormat="1">
      <c r="T56450" s="41"/>
    </row>
    <row r="56451" spans="20:20" s="566" customFormat="1">
      <c r="T56451" s="41"/>
    </row>
    <row r="56452" spans="20:20" s="566" customFormat="1">
      <c r="T56452" s="41"/>
    </row>
    <row r="56453" spans="20:20" s="566" customFormat="1">
      <c r="T56453" s="41"/>
    </row>
    <row r="56454" spans="20:20" s="566" customFormat="1">
      <c r="T56454" s="41"/>
    </row>
    <row r="56455" spans="20:20" s="566" customFormat="1">
      <c r="T56455" s="41"/>
    </row>
    <row r="56456" spans="20:20" s="566" customFormat="1">
      <c r="T56456" s="41"/>
    </row>
    <row r="56457" spans="20:20" s="566" customFormat="1">
      <c r="T56457" s="41"/>
    </row>
    <row r="56458" spans="20:20" s="566" customFormat="1">
      <c r="T56458" s="41"/>
    </row>
    <row r="56459" spans="20:20" s="566" customFormat="1">
      <c r="T56459" s="41"/>
    </row>
    <row r="56460" spans="20:20" s="566" customFormat="1">
      <c r="T56460" s="41"/>
    </row>
    <row r="56461" spans="20:20" s="566" customFormat="1">
      <c r="T56461" s="41"/>
    </row>
    <row r="56462" spans="20:20" s="566" customFormat="1">
      <c r="T56462" s="41"/>
    </row>
    <row r="56463" spans="20:20" s="566" customFormat="1">
      <c r="T56463" s="41"/>
    </row>
    <row r="56464" spans="20:20" s="566" customFormat="1">
      <c r="T56464" s="41"/>
    </row>
    <row r="56465" spans="20:20" s="566" customFormat="1">
      <c r="T56465" s="41"/>
    </row>
    <row r="56466" spans="20:20" s="566" customFormat="1">
      <c r="T56466" s="41"/>
    </row>
    <row r="56467" spans="20:20" s="566" customFormat="1">
      <c r="T56467" s="41"/>
    </row>
    <row r="56468" spans="20:20" s="566" customFormat="1">
      <c r="T56468" s="41"/>
    </row>
    <row r="56469" spans="20:20" s="566" customFormat="1">
      <c r="T56469" s="41"/>
    </row>
    <row r="56470" spans="20:20" s="566" customFormat="1">
      <c r="T56470" s="41"/>
    </row>
    <row r="56471" spans="20:20" s="566" customFormat="1">
      <c r="T56471" s="41"/>
    </row>
    <row r="56472" spans="20:20" s="566" customFormat="1">
      <c r="T56472" s="41"/>
    </row>
    <row r="56473" spans="20:20" s="566" customFormat="1">
      <c r="T56473" s="41"/>
    </row>
    <row r="56474" spans="20:20" s="566" customFormat="1">
      <c r="T56474" s="41"/>
    </row>
    <row r="56475" spans="20:20" s="566" customFormat="1">
      <c r="T56475" s="41"/>
    </row>
    <row r="56476" spans="20:20" s="566" customFormat="1">
      <c r="T56476" s="41"/>
    </row>
    <row r="56477" spans="20:20" s="566" customFormat="1">
      <c r="T56477" s="41"/>
    </row>
    <row r="56478" spans="20:20" s="566" customFormat="1">
      <c r="T56478" s="41"/>
    </row>
    <row r="56479" spans="20:20" s="566" customFormat="1">
      <c r="T56479" s="41"/>
    </row>
    <row r="56480" spans="20:20" s="566" customFormat="1">
      <c r="T56480" s="41"/>
    </row>
    <row r="56481" spans="20:20" s="566" customFormat="1">
      <c r="T56481" s="41"/>
    </row>
    <row r="56482" spans="20:20" s="566" customFormat="1">
      <c r="T56482" s="41"/>
    </row>
    <row r="56483" spans="20:20" s="566" customFormat="1">
      <c r="T56483" s="41"/>
    </row>
    <row r="56484" spans="20:20" s="566" customFormat="1">
      <c r="T56484" s="41"/>
    </row>
    <row r="56485" spans="20:20" s="566" customFormat="1">
      <c r="T56485" s="41"/>
    </row>
    <row r="56486" spans="20:20" s="566" customFormat="1">
      <c r="T56486" s="41"/>
    </row>
    <row r="56487" spans="20:20" s="566" customFormat="1">
      <c r="T56487" s="41"/>
    </row>
    <row r="56488" spans="20:20" s="566" customFormat="1">
      <c r="T56488" s="41"/>
    </row>
    <row r="56489" spans="20:20" s="566" customFormat="1">
      <c r="T56489" s="41"/>
    </row>
    <row r="56490" spans="20:20" s="566" customFormat="1">
      <c r="T56490" s="41"/>
    </row>
    <row r="56491" spans="20:20" s="566" customFormat="1">
      <c r="T56491" s="41"/>
    </row>
    <row r="56492" spans="20:20" s="566" customFormat="1">
      <c r="T56492" s="41"/>
    </row>
    <row r="56493" spans="20:20" s="566" customFormat="1">
      <c r="T56493" s="41"/>
    </row>
    <row r="56494" spans="20:20" s="566" customFormat="1">
      <c r="T56494" s="41"/>
    </row>
    <row r="56495" spans="20:20" s="566" customFormat="1">
      <c r="T56495" s="41"/>
    </row>
    <row r="56496" spans="20:20" s="566" customFormat="1">
      <c r="T56496" s="41"/>
    </row>
    <row r="56497" spans="20:20" s="566" customFormat="1">
      <c r="T56497" s="41"/>
    </row>
    <row r="56498" spans="20:20" s="566" customFormat="1">
      <c r="T56498" s="41"/>
    </row>
    <row r="56499" spans="20:20" s="566" customFormat="1">
      <c r="T56499" s="41"/>
    </row>
    <row r="56500" spans="20:20" s="566" customFormat="1">
      <c r="T56500" s="41"/>
    </row>
    <row r="56501" spans="20:20" s="566" customFormat="1">
      <c r="T56501" s="41"/>
    </row>
    <row r="56502" spans="20:20" s="566" customFormat="1">
      <c r="T56502" s="41"/>
    </row>
    <row r="56503" spans="20:20" s="566" customFormat="1">
      <c r="T56503" s="41"/>
    </row>
    <row r="56504" spans="20:20" s="566" customFormat="1">
      <c r="T56504" s="41"/>
    </row>
    <row r="56505" spans="20:20" s="566" customFormat="1">
      <c r="T56505" s="41"/>
    </row>
    <row r="56506" spans="20:20" s="566" customFormat="1">
      <c r="T56506" s="41"/>
    </row>
    <row r="56507" spans="20:20" s="566" customFormat="1">
      <c r="T56507" s="41"/>
    </row>
    <row r="56508" spans="20:20" s="566" customFormat="1">
      <c r="T56508" s="41"/>
    </row>
    <row r="56509" spans="20:20" s="566" customFormat="1">
      <c r="T56509" s="41"/>
    </row>
    <row r="56510" spans="20:20" s="566" customFormat="1">
      <c r="T56510" s="41"/>
    </row>
    <row r="56511" spans="20:20" s="566" customFormat="1">
      <c r="T56511" s="41"/>
    </row>
    <row r="56512" spans="20:20" s="566" customFormat="1">
      <c r="T56512" s="41"/>
    </row>
    <row r="56513" spans="20:20" s="566" customFormat="1">
      <c r="T56513" s="41"/>
    </row>
    <row r="56514" spans="20:20" s="566" customFormat="1">
      <c r="T56514" s="41"/>
    </row>
    <row r="56515" spans="20:20" s="566" customFormat="1">
      <c r="T56515" s="41"/>
    </row>
    <row r="56516" spans="20:20" s="566" customFormat="1">
      <c r="T56516" s="41"/>
    </row>
    <row r="56517" spans="20:20" s="566" customFormat="1">
      <c r="T56517" s="41"/>
    </row>
    <row r="56518" spans="20:20" s="566" customFormat="1">
      <c r="T56518" s="41"/>
    </row>
    <row r="56519" spans="20:20" s="566" customFormat="1">
      <c r="T56519" s="41"/>
    </row>
    <row r="56520" spans="20:20" s="566" customFormat="1">
      <c r="T56520" s="41"/>
    </row>
    <row r="56521" spans="20:20" s="566" customFormat="1">
      <c r="T56521" s="41"/>
    </row>
    <row r="56522" spans="20:20" s="566" customFormat="1">
      <c r="T56522" s="41"/>
    </row>
    <row r="56523" spans="20:20" s="566" customFormat="1">
      <c r="T56523" s="41"/>
    </row>
    <row r="56524" spans="20:20" s="566" customFormat="1">
      <c r="T56524" s="41"/>
    </row>
    <row r="56525" spans="20:20" s="566" customFormat="1">
      <c r="T56525" s="41"/>
    </row>
    <row r="56526" spans="20:20" s="566" customFormat="1">
      <c r="T56526" s="41"/>
    </row>
    <row r="56527" spans="20:20" s="566" customFormat="1">
      <c r="T56527" s="41"/>
    </row>
    <row r="56528" spans="20:20" s="566" customFormat="1">
      <c r="T56528" s="41"/>
    </row>
    <row r="56529" spans="20:20" s="566" customFormat="1">
      <c r="T56529" s="41"/>
    </row>
    <row r="56530" spans="20:20" s="566" customFormat="1">
      <c r="T56530" s="41"/>
    </row>
    <row r="56531" spans="20:20" s="566" customFormat="1">
      <c r="T56531" s="41"/>
    </row>
    <row r="56532" spans="20:20" s="566" customFormat="1">
      <c r="T56532" s="41"/>
    </row>
    <row r="56533" spans="20:20" s="566" customFormat="1">
      <c r="T56533" s="41"/>
    </row>
    <row r="56534" spans="20:20" s="566" customFormat="1">
      <c r="T56534" s="41"/>
    </row>
    <row r="56535" spans="20:20" s="566" customFormat="1">
      <c r="T56535" s="41"/>
    </row>
    <row r="56536" spans="20:20" s="566" customFormat="1">
      <c r="T56536" s="41"/>
    </row>
    <row r="56537" spans="20:20" s="566" customFormat="1">
      <c r="T56537" s="41"/>
    </row>
    <row r="56538" spans="20:20" s="566" customFormat="1">
      <c r="T56538" s="41"/>
    </row>
    <row r="56539" spans="20:20" s="566" customFormat="1">
      <c r="T56539" s="41"/>
    </row>
    <row r="56540" spans="20:20" s="566" customFormat="1">
      <c r="T56540" s="41"/>
    </row>
    <row r="56541" spans="20:20" s="566" customFormat="1">
      <c r="T56541" s="41"/>
    </row>
    <row r="56542" spans="20:20" s="566" customFormat="1">
      <c r="T56542" s="41"/>
    </row>
    <row r="56543" spans="20:20" s="566" customFormat="1">
      <c r="T56543" s="41"/>
    </row>
    <row r="56544" spans="20:20" s="566" customFormat="1">
      <c r="T56544" s="41"/>
    </row>
    <row r="56545" spans="20:20" s="566" customFormat="1">
      <c r="T56545" s="41"/>
    </row>
    <row r="56546" spans="20:20" s="566" customFormat="1">
      <c r="T56546" s="41"/>
    </row>
    <row r="56547" spans="20:20" s="566" customFormat="1">
      <c r="T56547" s="41"/>
    </row>
    <row r="56548" spans="20:20" s="566" customFormat="1">
      <c r="T56548" s="41"/>
    </row>
    <row r="56549" spans="20:20" s="566" customFormat="1">
      <c r="T56549" s="41"/>
    </row>
    <row r="56550" spans="20:20" s="566" customFormat="1">
      <c r="T56550" s="41"/>
    </row>
    <row r="56551" spans="20:20" s="566" customFormat="1">
      <c r="T56551" s="41"/>
    </row>
    <row r="56552" spans="20:20" s="566" customFormat="1">
      <c r="T56552" s="41"/>
    </row>
    <row r="56553" spans="20:20" s="566" customFormat="1">
      <c r="T56553" s="41"/>
    </row>
    <row r="56554" spans="20:20" s="566" customFormat="1">
      <c r="T56554" s="41"/>
    </row>
    <row r="56555" spans="20:20" s="566" customFormat="1">
      <c r="T56555" s="41"/>
    </row>
    <row r="56556" spans="20:20" s="566" customFormat="1">
      <c r="T56556" s="41"/>
    </row>
    <row r="56557" spans="20:20" s="566" customFormat="1">
      <c r="T56557" s="41"/>
    </row>
    <row r="56558" spans="20:20" s="566" customFormat="1">
      <c r="T56558" s="41"/>
    </row>
    <row r="56559" spans="20:20" s="566" customFormat="1">
      <c r="T56559" s="41"/>
    </row>
    <row r="56560" spans="20:20" s="566" customFormat="1">
      <c r="T56560" s="41"/>
    </row>
    <row r="56561" spans="20:20" s="566" customFormat="1">
      <c r="T56561" s="41"/>
    </row>
    <row r="56562" spans="20:20" s="566" customFormat="1">
      <c r="T56562" s="41"/>
    </row>
    <row r="56563" spans="20:20" s="566" customFormat="1">
      <c r="T56563" s="41"/>
    </row>
    <row r="56564" spans="20:20" s="566" customFormat="1">
      <c r="T56564" s="41"/>
    </row>
    <row r="56565" spans="20:20" s="566" customFormat="1">
      <c r="T56565" s="41"/>
    </row>
    <row r="56566" spans="20:20" s="566" customFormat="1">
      <c r="T56566" s="41"/>
    </row>
    <row r="56567" spans="20:20" s="566" customFormat="1">
      <c r="T56567" s="41"/>
    </row>
    <row r="56568" spans="20:20" s="566" customFormat="1">
      <c r="T56568" s="41"/>
    </row>
    <row r="56569" spans="20:20" s="566" customFormat="1">
      <c r="T56569" s="41"/>
    </row>
    <row r="56570" spans="20:20" s="566" customFormat="1">
      <c r="T56570" s="41"/>
    </row>
    <row r="56571" spans="20:20" s="566" customFormat="1">
      <c r="T56571" s="41"/>
    </row>
    <row r="56572" spans="20:20" s="566" customFormat="1">
      <c r="T56572" s="41"/>
    </row>
    <row r="56573" spans="20:20" s="566" customFormat="1">
      <c r="T56573" s="41"/>
    </row>
    <row r="56574" spans="20:20" s="566" customFormat="1">
      <c r="T56574" s="41"/>
    </row>
    <row r="56575" spans="20:20" s="566" customFormat="1">
      <c r="T56575" s="41"/>
    </row>
    <row r="56576" spans="20:20" s="566" customFormat="1">
      <c r="T56576" s="41"/>
    </row>
    <row r="56577" spans="20:20" s="566" customFormat="1">
      <c r="T56577" s="41"/>
    </row>
    <row r="56578" spans="20:20" s="566" customFormat="1">
      <c r="T56578" s="41"/>
    </row>
    <row r="56579" spans="20:20" s="566" customFormat="1">
      <c r="T56579" s="41"/>
    </row>
    <row r="56580" spans="20:20" s="566" customFormat="1">
      <c r="T56580" s="41"/>
    </row>
    <row r="56581" spans="20:20" s="566" customFormat="1">
      <c r="T56581" s="41"/>
    </row>
    <row r="56582" spans="20:20" s="566" customFormat="1">
      <c r="T56582" s="41"/>
    </row>
    <row r="56583" spans="20:20" s="566" customFormat="1">
      <c r="T56583" s="41"/>
    </row>
    <row r="56584" spans="20:20" s="566" customFormat="1">
      <c r="T56584" s="41"/>
    </row>
    <row r="56585" spans="20:20" s="566" customFormat="1">
      <c r="T56585" s="41"/>
    </row>
    <row r="56586" spans="20:20" s="566" customFormat="1">
      <c r="T56586" s="41"/>
    </row>
    <row r="56587" spans="20:20" s="566" customFormat="1">
      <c r="T56587" s="41"/>
    </row>
    <row r="56588" spans="20:20" s="566" customFormat="1">
      <c r="T56588" s="41"/>
    </row>
    <row r="56589" spans="20:20" s="566" customFormat="1">
      <c r="T56589" s="41"/>
    </row>
    <row r="56590" spans="20:20" s="566" customFormat="1">
      <c r="T56590" s="41"/>
    </row>
    <row r="56591" spans="20:20" s="566" customFormat="1">
      <c r="T56591" s="41"/>
    </row>
    <row r="56592" spans="20:20" s="566" customFormat="1">
      <c r="T56592" s="41"/>
    </row>
    <row r="56593" spans="20:20" s="566" customFormat="1">
      <c r="T56593" s="41"/>
    </row>
    <row r="56594" spans="20:20" s="566" customFormat="1">
      <c r="T56594" s="41"/>
    </row>
    <row r="56595" spans="20:20" s="566" customFormat="1">
      <c r="T56595" s="41"/>
    </row>
    <row r="56596" spans="20:20" s="566" customFormat="1">
      <c r="T56596" s="41"/>
    </row>
    <row r="56597" spans="20:20" s="566" customFormat="1">
      <c r="T56597" s="41"/>
    </row>
    <row r="56598" spans="20:20" s="566" customFormat="1">
      <c r="T56598" s="41"/>
    </row>
    <row r="56599" spans="20:20" s="566" customFormat="1">
      <c r="T56599" s="41"/>
    </row>
    <row r="56600" spans="20:20" s="566" customFormat="1">
      <c r="T56600" s="41"/>
    </row>
    <row r="56601" spans="20:20" s="566" customFormat="1">
      <c r="T56601" s="41"/>
    </row>
    <row r="56602" spans="20:20" s="566" customFormat="1">
      <c r="T56602" s="41"/>
    </row>
    <row r="56603" spans="20:20" s="566" customFormat="1">
      <c r="T56603" s="41"/>
    </row>
    <row r="56604" spans="20:20" s="566" customFormat="1">
      <c r="T56604" s="41"/>
    </row>
    <row r="56605" spans="20:20" s="566" customFormat="1">
      <c r="T56605" s="41"/>
    </row>
    <row r="56606" spans="20:20" s="566" customFormat="1">
      <c r="T56606" s="41"/>
    </row>
    <row r="56607" spans="20:20" s="566" customFormat="1">
      <c r="T56607" s="41"/>
    </row>
    <row r="56608" spans="20:20" s="566" customFormat="1">
      <c r="T56608" s="41"/>
    </row>
    <row r="56609" spans="20:20" s="566" customFormat="1">
      <c r="T56609" s="41"/>
    </row>
    <row r="56610" spans="20:20" s="566" customFormat="1">
      <c r="T56610" s="41"/>
    </row>
    <row r="56611" spans="20:20" s="566" customFormat="1">
      <c r="T56611" s="41"/>
    </row>
    <row r="56612" spans="20:20" s="566" customFormat="1">
      <c r="T56612" s="41"/>
    </row>
    <row r="56613" spans="20:20" s="566" customFormat="1">
      <c r="T56613" s="41"/>
    </row>
    <row r="56614" spans="20:20" s="566" customFormat="1">
      <c r="T56614" s="41"/>
    </row>
    <row r="56615" spans="20:20" s="566" customFormat="1">
      <c r="T56615" s="41"/>
    </row>
    <row r="56616" spans="20:20" s="566" customFormat="1">
      <c r="T56616" s="41"/>
    </row>
    <row r="56617" spans="20:20" s="566" customFormat="1">
      <c r="T56617" s="41"/>
    </row>
    <row r="56618" spans="20:20" s="566" customFormat="1">
      <c r="T56618" s="41"/>
    </row>
    <row r="56619" spans="20:20" s="566" customFormat="1">
      <c r="T56619" s="41"/>
    </row>
    <row r="56620" spans="20:20" s="566" customFormat="1">
      <c r="T56620" s="41"/>
    </row>
    <row r="56621" spans="20:20" s="566" customFormat="1">
      <c r="T56621" s="41"/>
    </row>
    <row r="56622" spans="20:20" s="566" customFormat="1">
      <c r="T56622" s="41"/>
    </row>
    <row r="56623" spans="20:20" s="566" customFormat="1">
      <c r="T56623" s="41"/>
    </row>
    <row r="56624" spans="20:20" s="566" customFormat="1">
      <c r="T56624" s="41"/>
    </row>
    <row r="56625" spans="20:20" s="566" customFormat="1">
      <c r="T56625" s="41"/>
    </row>
    <row r="56626" spans="20:20" s="566" customFormat="1">
      <c r="T56626" s="41"/>
    </row>
    <row r="56627" spans="20:20" s="566" customFormat="1">
      <c r="T56627" s="41"/>
    </row>
    <row r="56628" spans="20:20" s="566" customFormat="1">
      <c r="T56628" s="41"/>
    </row>
    <row r="56629" spans="20:20" s="566" customFormat="1">
      <c r="T56629" s="41"/>
    </row>
    <row r="56630" spans="20:20" s="566" customFormat="1">
      <c r="T56630" s="41"/>
    </row>
    <row r="56631" spans="20:20" s="566" customFormat="1">
      <c r="T56631" s="41"/>
    </row>
    <row r="56632" spans="20:20" s="566" customFormat="1">
      <c r="T56632" s="41"/>
    </row>
    <row r="56633" spans="20:20" s="566" customFormat="1">
      <c r="T56633" s="41"/>
    </row>
    <row r="56634" spans="20:20" s="566" customFormat="1">
      <c r="T56634" s="41"/>
    </row>
    <row r="56635" spans="20:20" s="566" customFormat="1">
      <c r="T56635" s="41"/>
    </row>
    <row r="56636" spans="20:20" s="566" customFormat="1">
      <c r="T56636" s="41"/>
    </row>
    <row r="56637" spans="20:20" s="566" customFormat="1">
      <c r="T56637" s="41"/>
    </row>
    <row r="56638" spans="20:20" s="566" customFormat="1">
      <c r="T56638" s="41"/>
    </row>
    <row r="56639" spans="20:20" s="566" customFormat="1">
      <c r="T56639" s="41"/>
    </row>
    <row r="56640" spans="20:20" s="566" customFormat="1">
      <c r="T56640" s="41"/>
    </row>
    <row r="56641" spans="20:20" s="566" customFormat="1">
      <c r="T56641" s="41"/>
    </row>
    <row r="56642" spans="20:20" s="566" customFormat="1">
      <c r="T56642" s="41"/>
    </row>
    <row r="56643" spans="20:20" s="566" customFormat="1">
      <c r="T56643" s="41"/>
    </row>
    <row r="56644" spans="20:20" s="566" customFormat="1">
      <c r="T56644" s="41"/>
    </row>
    <row r="56645" spans="20:20" s="566" customFormat="1">
      <c r="T56645" s="41"/>
    </row>
    <row r="56646" spans="20:20" s="566" customFormat="1">
      <c r="T56646" s="41"/>
    </row>
    <row r="56647" spans="20:20" s="566" customFormat="1">
      <c r="T56647" s="41"/>
    </row>
    <row r="56648" spans="20:20" s="566" customFormat="1">
      <c r="T56648" s="41"/>
    </row>
    <row r="56649" spans="20:20" s="566" customFormat="1">
      <c r="T56649" s="41"/>
    </row>
    <row r="56650" spans="20:20" s="566" customFormat="1">
      <c r="T56650" s="41"/>
    </row>
    <row r="56651" spans="20:20" s="566" customFormat="1">
      <c r="T56651" s="41"/>
    </row>
    <row r="56652" spans="20:20" s="566" customFormat="1">
      <c r="T56652" s="41"/>
    </row>
    <row r="56653" spans="20:20" s="566" customFormat="1">
      <c r="T56653" s="41"/>
    </row>
    <row r="56654" spans="20:20" s="566" customFormat="1">
      <c r="T56654" s="41"/>
    </row>
    <row r="56655" spans="20:20" s="566" customFormat="1">
      <c r="T56655" s="41"/>
    </row>
    <row r="56656" spans="20:20" s="566" customFormat="1">
      <c r="T56656" s="41"/>
    </row>
    <row r="56657" spans="20:20" s="566" customFormat="1">
      <c r="T56657" s="41"/>
    </row>
    <row r="56658" spans="20:20" s="566" customFormat="1">
      <c r="T56658" s="41"/>
    </row>
    <row r="56659" spans="20:20" s="566" customFormat="1">
      <c r="T56659" s="41"/>
    </row>
    <row r="56660" spans="20:20" s="566" customFormat="1">
      <c r="T56660" s="41"/>
    </row>
    <row r="56661" spans="20:20" s="566" customFormat="1">
      <c r="T56661" s="41"/>
    </row>
    <row r="56662" spans="20:20" s="566" customFormat="1">
      <c r="T56662" s="41"/>
    </row>
    <row r="56663" spans="20:20" s="566" customFormat="1">
      <c r="T56663" s="41"/>
    </row>
    <row r="56664" spans="20:20" s="566" customFormat="1">
      <c r="T56664" s="41"/>
    </row>
    <row r="56665" spans="20:20" s="566" customFormat="1">
      <c r="T56665" s="41"/>
    </row>
    <row r="56666" spans="20:20" s="566" customFormat="1">
      <c r="T56666" s="41"/>
    </row>
    <row r="56667" spans="20:20" s="566" customFormat="1">
      <c r="T56667" s="41"/>
    </row>
    <row r="56668" spans="20:20" s="566" customFormat="1">
      <c r="T56668" s="41"/>
    </row>
    <row r="56669" spans="20:20" s="566" customFormat="1">
      <c r="T56669" s="41"/>
    </row>
    <row r="56670" spans="20:20" s="566" customFormat="1">
      <c r="T56670" s="41"/>
    </row>
    <row r="56671" spans="20:20" s="566" customFormat="1">
      <c r="T56671" s="41"/>
    </row>
    <row r="56672" spans="20:20" s="566" customFormat="1">
      <c r="T56672" s="41"/>
    </row>
    <row r="56673" spans="20:20" s="566" customFormat="1">
      <c r="T56673" s="41"/>
    </row>
    <row r="56674" spans="20:20" s="566" customFormat="1">
      <c r="T56674" s="41"/>
    </row>
    <row r="56675" spans="20:20" s="566" customFormat="1">
      <c r="T56675" s="41"/>
    </row>
    <row r="56676" spans="20:20" s="566" customFormat="1">
      <c r="T56676" s="41"/>
    </row>
    <row r="56677" spans="20:20" s="566" customFormat="1">
      <c r="T56677" s="41"/>
    </row>
    <row r="56678" spans="20:20" s="566" customFormat="1">
      <c r="T56678" s="41"/>
    </row>
    <row r="56679" spans="20:20" s="566" customFormat="1">
      <c r="T56679" s="41"/>
    </row>
    <row r="56680" spans="20:20" s="566" customFormat="1">
      <c r="T56680" s="41"/>
    </row>
    <row r="56681" spans="20:20" s="566" customFormat="1">
      <c r="T56681" s="41"/>
    </row>
    <row r="56682" spans="20:20" s="566" customFormat="1">
      <c r="T56682" s="41"/>
    </row>
    <row r="56683" spans="20:20" s="566" customFormat="1">
      <c r="T56683" s="41"/>
    </row>
    <row r="56684" spans="20:20" s="566" customFormat="1">
      <c r="T56684" s="41"/>
    </row>
    <row r="56685" spans="20:20" s="566" customFormat="1">
      <c r="T56685" s="41"/>
    </row>
    <row r="56686" spans="20:20" s="566" customFormat="1">
      <c r="T56686" s="41"/>
    </row>
    <row r="56687" spans="20:20" s="566" customFormat="1">
      <c r="T56687" s="41"/>
    </row>
    <row r="56688" spans="20:20" s="566" customFormat="1">
      <c r="T56688" s="41"/>
    </row>
    <row r="56689" spans="20:20" s="566" customFormat="1">
      <c r="T56689" s="41"/>
    </row>
    <row r="56690" spans="20:20" s="566" customFormat="1">
      <c r="T56690" s="41"/>
    </row>
    <row r="56691" spans="20:20" s="566" customFormat="1">
      <c r="T56691" s="41"/>
    </row>
    <row r="56692" spans="20:20" s="566" customFormat="1">
      <c r="T56692" s="41"/>
    </row>
    <row r="56693" spans="20:20" s="566" customFormat="1">
      <c r="T56693" s="41"/>
    </row>
    <row r="56694" spans="20:20" s="566" customFormat="1">
      <c r="T56694" s="41"/>
    </row>
    <row r="56695" spans="20:20" s="566" customFormat="1">
      <c r="T56695" s="41"/>
    </row>
    <row r="56696" spans="20:20" s="566" customFormat="1">
      <c r="T56696" s="41"/>
    </row>
    <row r="56697" spans="20:20" s="566" customFormat="1">
      <c r="T56697" s="41"/>
    </row>
    <row r="56698" spans="20:20" s="566" customFormat="1">
      <c r="T56698" s="41"/>
    </row>
    <row r="56699" spans="20:20" s="566" customFormat="1">
      <c r="T56699" s="41"/>
    </row>
    <row r="56700" spans="20:20" s="566" customFormat="1">
      <c r="T56700" s="41"/>
    </row>
    <row r="56701" spans="20:20" s="566" customFormat="1">
      <c r="T56701" s="41"/>
    </row>
    <row r="56702" spans="20:20" s="566" customFormat="1">
      <c r="T56702" s="41"/>
    </row>
    <row r="56703" spans="20:20" s="566" customFormat="1">
      <c r="T56703" s="41"/>
    </row>
    <row r="56704" spans="20:20" s="566" customFormat="1">
      <c r="T56704" s="41"/>
    </row>
    <row r="56705" spans="20:20" s="566" customFormat="1">
      <c r="T56705" s="41"/>
    </row>
    <row r="56706" spans="20:20" s="566" customFormat="1">
      <c r="T56706" s="41"/>
    </row>
    <row r="56707" spans="20:20" s="566" customFormat="1">
      <c r="T56707" s="41"/>
    </row>
    <row r="56708" spans="20:20" s="566" customFormat="1">
      <c r="T56708" s="41"/>
    </row>
    <row r="56709" spans="20:20" s="566" customFormat="1">
      <c r="T56709" s="41"/>
    </row>
    <row r="56710" spans="20:20" s="566" customFormat="1">
      <c r="T56710" s="41"/>
    </row>
    <row r="56711" spans="20:20" s="566" customFormat="1">
      <c r="T56711" s="41"/>
    </row>
    <row r="56712" spans="20:20" s="566" customFormat="1">
      <c r="T56712" s="41"/>
    </row>
    <row r="56713" spans="20:20" s="566" customFormat="1">
      <c r="T56713" s="41"/>
    </row>
    <row r="56714" spans="20:20" s="566" customFormat="1">
      <c r="T56714" s="41"/>
    </row>
    <row r="56715" spans="20:20" s="566" customFormat="1">
      <c r="T56715" s="41"/>
    </row>
    <row r="56716" spans="20:20" s="566" customFormat="1">
      <c r="T56716" s="41"/>
    </row>
    <row r="56717" spans="20:20" s="566" customFormat="1">
      <c r="T56717" s="41"/>
    </row>
    <row r="56718" spans="20:20" s="566" customFormat="1">
      <c r="T56718" s="41"/>
    </row>
    <row r="56719" spans="20:20" s="566" customFormat="1">
      <c r="T56719" s="41"/>
    </row>
    <row r="56720" spans="20:20" s="566" customFormat="1">
      <c r="T56720" s="41"/>
    </row>
    <row r="56721" spans="20:20" s="566" customFormat="1">
      <c r="T56721" s="41"/>
    </row>
    <row r="56722" spans="20:20" s="566" customFormat="1">
      <c r="T56722" s="41"/>
    </row>
    <row r="56723" spans="20:20" s="566" customFormat="1">
      <c r="T56723" s="41"/>
    </row>
    <row r="56724" spans="20:20" s="566" customFormat="1">
      <c r="T56724" s="41"/>
    </row>
    <row r="56725" spans="20:20" s="566" customFormat="1">
      <c r="T56725" s="41"/>
    </row>
    <row r="56726" spans="20:20" s="566" customFormat="1">
      <c r="T56726" s="41"/>
    </row>
    <row r="56727" spans="20:20" s="566" customFormat="1">
      <c r="T56727" s="41"/>
    </row>
    <row r="56728" spans="20:20" s="566" customFormat="1">
      <c r="T56728" s="41"/>
    </row>
    <row r="56729" spans="20:20" s="566" customFormat="1">
      <c r="T56729" s="41"/>
    </row>
    <row r="56730" spans="20:20" s="566" customFormat="1">
      <c r="T56730" s="41"/>
    </row>
    <row r="56731" spans="20:20" s="566" customFormat="1">
      <c r="T56731" s="41"/>
    </row>
    <row r="56732" spans="20:20" s="566" customFormat="1">
      <c r="T56732" s="41"/>
    </row>
    <row r="56733" spans="20:20" s="566" customFormat="1">
      <c r="T56733" s="41"/>
    </row>
    <row r="56734" spans="20:20" s="566" customFormat="1">
      <c r="T56734" s="41"/>
    </row>
    <row r="56735" spans="20:20" s="566" customFormat="1">
      <c r="T56735" s="41"/>
    </row>
    <row r="56736" spans="20:20" s="566" customFormat="1">
      <c r="T56736" s="41"/>
    </row>
    <row r="56737" spans="20:20" s="566" customFormat="1">
      <c r="T56737" s="41"/>
    </row>
    <row r="56738" spans="20:20" s="566" customFormat="1">
      <c r="T56738" s="41"/>
    </row>
    <row r="56739" spans="20:20" s="566" customFormat="1">
      <c r="T56739" s="41"/>
    </row>
    <row r="56740" spans="20:20" s="566" customFormat="1">
      <c r="T56740" s="41"/>
    </row>
    <row r="56741" spans="20:20" s="566" customFormat="1">
      <c r="T56741" s="41"/>
    </row>
    <row r="56742" spans="20:20" s="566" customFormat="1">
      <c r="T56742" s="41"/>
    </row>
    <row r="56743" spans="20:20" s="566" customFormat="1">
      <c r="T56743" s="41"/>
    </row>
    <row r="56744" spans="20:20" s="566" customFormat="1">
      <c r="T56744" s="41"/>
    </row>
    <row r="56745" spans="20:20" s="566" customFormat="1">
      <c r="T56745" s="41"/>
    </row>
    <row r="56746" spans="20:20" s="566" customFormat="1">
      <c r="T56746" s="41"/>
    </row>
    <row r="56747" spans="20:20" s="566" customFormat="1">
      <c r="T56747" s="41"/>
    </row>
    <row r="56748" spans="20:20" s="566" customFormat="1">
      <c r="T56748" s="41"/>
    </row>
    <row r="56749" spans="20:20" s="566" customFormat="1">
      <c r="T56749" s="41"/>
    </row>
    <row r="56750" spans="20:20" s="566" customFormat="1">
      <c r="T56750" s="41"/>
    </row>
    <row r="56751" spans="20:20" s="566" customFormat="1">
      <c r="T56751" s="41"/>
    </row>
    <row r="56752" spans="20:20" s="566" customFormat="1">
      <c r="T56752" s="41"/>
    </row>
    <row r="56753" spans="20:20" s="566" customFormat="1">
      <c r="T56753" s="41"/>
    </row>
    <row r="56754" spans="20:20" s="566" customFormat="1">
      <c r="T56754" s="41"/>
    </row>
    <row r="56755" spans="20:20" s="566" customFormat="1">
      <c r="T56755" s="41"/>
    </row>
    <row r="56756" spans="20:20" s="566" customFormat="1">
      <c r="T56756" s="41"/>
    </row>
    <row r="56757" spans="20:20" s="566" customFormat="1">
      <c r="T56757" s="41"/>
    </row>
    <row r="56758" spans="20:20" s="566" customFormat="1">
      <c r="T56758" s="41"/>
    </row>
    <row r="56759" spans="20:20" s="566" customFormat="1">
      <c r="T56759" s="41"/>
    </row>
    <row r="56760" spans="20:20" s="566" customFormat="1">
      <c r="T56760" s="41"/>
    </row>
    <row r="56761" spans="20:20" s="566" customFormat="1">
      <c r="T56761" s="41"/>
    </row>
    <row r="56762" spans="20:20" s="566" customFormat="1">
      <c r="T56762" s="41"/>
    </row>
    <row r="56763" spans="20:20" s="566" customFormat="1">
      <c r="T56763" s="41"/>
    </row>
    <row r="56764" spans="20:20" s="566" customFormat="1">
      <c r="T56764" s="41"/>
    </row>
    <row r="56765" spans="20:20" s="566" customFormat="1">
      <c r="T56765" s="41"/>
    </row>
    <row r="56766" spans="20:20" s="566" customFormat="1">
      <c r="T56766" s="41"/>
    </row>
    <row r="56767" spans="20:20" s="566" customFormat="1">
      <c r="T56767" s="41"/>
    </row>
    <row r="56768" spans="20:20" s="566" customFormat="1">
      <c r="T56768" s="41"/>
    </row>
    <row r="56769" spans="20:20" s="566" customFormat="1">
      <c r="T56769" s="41"/>
    </row>
    <row r="56770" spans="20:20" s="566" customFormat="1">
      <c r="T56770" s="41"/>
    </row>
    <row r="56771" spans="20:20" s="566" customFormat="1">
      <c r="T56771" s="41"/>
    </row>
    <row r="56772" spans="20:20" s="566" customFormat="1">
      <c r="T56772" s="41"/>
    </row>
    <row r="56773" spans="20:20" s="566" customFormat="1">
      <c r="T56773" s="41"/>
    </row>
    <row r="56774" spans="20:20" s="566" customFormat="1">
      <c r="T56774" s="41"/>
    </row>
    <row r="56775" spans="20:20" s="566" customFormat="1">
      <c r="T56775" s="41"/>
    </row>
    <row r="56776" spans="20:20" s="566" customFormat="1">
      <c r="T56776" s="41"/>
    </row>
    <row r="56777" spans="20:20" s="566" customFormat="1">
      <c r="T56777" s="41"/>
    </row>
    <row r="56778" spans="20:20" s="566" customFormat="1">
      <c r="T56778" s="41"/>
    </row>
    <row r="56779" spans="20:20" s="566" customFormat="1">
      <c r="T56779" s="41"/>
    </row>
    <row r="56780" spans="20:20" s="566" customFormat="1">
      <c r="T56780" s="41"/>
    </row>
    <row r="56781" spans="20:20" s="566" customFormat="1">
      <c r="T56781" s="41"/>
    </row>
    <row r="56782" spans="20:20" s="566" customFormat="1">
      <c r="T56782" s="41"/>
    </row>
    <row r="56783" spans="20:20" s="566" customFormat="1">
      <c r="T56783" s="41"/>
    </row>
    <row r="56784" spans="20:20" s="566" customFormat="1">
      <c r="T56784" s="41"/>
    </row>
    <row r="56785" spans="20:20" s="566" customFormat="1">
      <c r="T56785" s="41"/>
    </row>
    <row r="56786" spans="20:20" s="566" customFormat="1">
      <c r="T56786" s="41"/>
    </row>
    <row r="56787" spans="20:20" s="566" customFormat="1">
      <c r="T56787" s="41"/>
    </row>
    <row r="56788" spans="20:20" s="566" customFormat="1">
      <c r="T56788" s="41"/>
    </row>
    <row r="56789" spans="20:20" s="566" customFormat="1">
      <c r="T56789" s="41"/>
    </row>
    <row r="56790" spans="20:20" s="566" customFormat="1">
      <c r="T56790" s="41"/>
    </row>
    <row r="56791" spans="20:20" s="566" customFormat="1">
      <c r="T56791" s="41"/>
    </row>
    <row r="56792" spans="20:20" s="566" customFormat="1">
      <c r="T56792" s="41"/>
    </row>
    <row r="56793" spans="20:20" s="566" customFormat="1">
      <c r="T56793" s="41"/>
    </row>
    <row r="56794" spans="20:20" s="566" customFormat="1">
      <c r="T56794" s="41"/>
    </row>
    <row r="56795" spans="20:20" s="566" customFormat="1">
      <c r="T56795" s="41"/>
    </row>
    <row r="56796" spans="20:20" s="566" customFormat="1">
      <c r="T56796" s="41"/>
    </row>
    <row r="56797" spans="20:20" s="566" customFormat="1">
      <c r="T56797" s="41"/>
    </row>
    <row r="56798" spans="20:20" s="566" customFormat="1">
      <c r="T56798" s="41"/>
    </row>
    <row r="56799" spans="20:20" s="566" customFormat="1">
      <c r="T56799" s="41"/>
    </row>
    <row r="56800" spans="20:20" s="566" customFormat="1">
      <c r="T56800" s="41"/>
    </row>
    <row r="56801" spans="20:20" s="566" customFormat="1">
      <c r="T56801" s="41"/>
    </row>
    <row r="56802" spans="20:20" s="566" customFormat="1">
      <c r="T56802" s="41"/>
    </row>
    <row r="56803" spans="20:20" s="566" customFormat="1">
      <c r="T56803" s="41"/>
    </row>
    <row r="56804" spans="20:20" s="566" customFormat="1">
      <c r="T56804" s="41"/>
    </row>
    <row r="56805" spans="20:20" s="566" customFormat="1">
      <c r="T56805" s="41"/>
    </row>
    <row r="56806" spans="20:20" s="566" customFormat="1">
      <c r="T56806" s="41"/>
    </row>
    <row r="56807" spans="20:20" s="566" customFormat="1">
      <c r="T56807" s="41"/>
    </row>
    <row r="56808" spans="20:20" s="566" customFormat="1">
      <c r="T56808" s="41"/>
    </row>
    <row r="56809" spans="20:20" s="566" customFormat="1">
      <c r="T56809" s="41"/>
    </row>
    <row r="56810" spans="20:20" s="566" customFormat="1">
      <c r="T56810" s="41"/>
    </row>
    <row r="56811" spans="20:20" s="566" customFormat="1">
      <c r="T56811" s="41"/>
    </row>
    <row r="56812" spans="20:20" s="566" customFormat="1">
      <c r="T56812" s="41"/>
    </row>
    <row r="56813" spans="20:20" s="566" customFormat="1">
      <c r="T56813" s="41"/>
    </row>
    <row r="56814" spans="20:20" s="566" customFormat="1">
      <c r="T56814" s="41"/>
    </row>
    <row r="56815" spans="20:20" s="566" customFormat="1">
      <c r="T56815" s="41"/>
    </row>
    <row r="56816" spans="20:20" s="566" customFormat="1">
      <c r="T56816" s="41"/>
    </row>
    <row r="56817" spans="20:20" s="566" customFormat="1">
      <c r="T56817" s="41"/>
    </row>
    <row r="56818" spans="20:20" s="566" customFormat="1">
      <c r="T56818" s="41"/>
    </row>
    <row r="56819" spans="20:20" s="566" customFormat="1">
      <c r="T56819" s="41"/>
    </row>
    <row r="56820" spans="20:20" s="566" customFormat="1">
      <c r="T56820" s="41"/>
    </row>
    <row r="56821" spans="20:20" s="566" customFormat="1">
      <c r="T56821" s="41"/>
    </row>
    <row r="56822" spans="20:20" s="566" customFormat="1">
      <c r="T56822" s="41"/>
    </row>
    <row r="56823" spans="20:20" s="566" customFormat="1">
      <c r="T56823" s="41"/>
    </row>
    <row r="56824" spans="20:20" s="566" customFormat="1">
      <c r="T56824" s="41"/>
    </row>
    <row r="56825" spans="20:20" s="566" customFormat="1">
      <c r="T56825" s="41"/>
    </row>
    <row r="56826" spans="20:20" s="566" customFormat="1">
      <c r="T56826" s="41"/>
    </row>
    <row r="56827" spans="20:20" s="566" customFormat="1">
      <c r="T56827" s="41"/>
    </row>
    <row r="56828" spans="20:20" s="566" customFormat="1">
      <c r="T56828" s="41"/>
    </row>
    <row r="56829" spans="20:20" s="566" customFormat="1">
      <c r="T56829" s="41"/>
    </row>
    <row r="56830" spans="20:20" s="566" customFormat="1">
      <c r="T56830" s="41"/>
    </row>
    <row r="56831" spans="20:20" s="566" customFormat="1">
      <c r="T56831" s="41"/>
    </row>
    <row r="56832" spans="20:20" s="566" customFormat="1">
      <c r="T56832" s="41"/>
    </row>
    <row r="56833" spans="20:20" s="566" customFormat="1">
      <c r="T56833" s="41"/>
    </row>
    <row r="56834" spans="20:20" s="566" customFormat="1">
      <c r="T56834" s="41"/>
    </row>
    <row r="56835" spans="20:20" s="566" customFormat="1">
      <c r="T56835" s="41"/>
    </row>
    <row r="56836" spans="20:20" s="566" customFormat="1">
      <c r="T56836" s="41"/>
    </row>
    <row r="56837" spans="20:20" s="566" customFormat="1">
      <c r="T56837" s="41"/>
    </row>
    <row r="56838" spans="20:20" s="566" customFormat="1">
      <c r="T56838" s="41"/>
    </row>
    <row r="56839" spans="20:20" s="566" customFormat="1">
      <c r="T56839" s="41"/>
    </row>
    <row r="56840" spans="20:20" s="566" customFormat="1">
      <c r="T56840" s="41"/>
    </row>
    <row r="56841" spans="20:20" s="566" customFormat="1">
      <c r="T56841" s="41"/>
    </row>
    <row r="56842" spans="20:20" s="566" customFormat="1">
      <c r="T56842" s="41"/>
    </row>
    <row r="56843" spans="20:20" s="566" customFormat="1">
      <c r="T56843" s="41"/>
    </row>
    <row r="56844" spans="20:20" s="566" customFormat="1">
      <c r="T56844" s="41"/>
    </row>
    <row r="56845" spans="20:20" s="566" customFormat="1">
      <c r="T56845" s="41"/>
    </row>
    <row r="56846" spans="20:20" s="566" customFormat="1">
      <c r="T56846" s="41"/>
    </row>
    <row r="56847" spans="20:20" s="566" customFormat="1">
      <c r="T56847" s="41"/>
    </row>
    <row r="56848" spans="20:20" s="566" customFormat="1">
      <c r="T56848" s="41"/>
    </row>
    <row r="56849" spans="20:20" s="566" customFormat="1">
      <c r="T56849" s="41"/>
    </row>
    <row r="56850" spans="20:20" s="566" customFormat="1">
      <c r="T56850" s="41"/>
    </row>
    <row r="56851" spans="20:20" s="566" customFormat="1">
      <c r="T56851" s="41"/>
    </row>
    <row r="56852" spans="20:20" s="566" customFormat="1">
      <c r="T56852" s="41"/>
    </row>
    <row r="56853" spans="20:20" s="566" customFormat="1">
      <c r="T56853" s="41"/>
    </row>
    <row r="56854" spans="20:20" s="566" customFormat="1">
      <c r="T56854" s="41"/>
    </row>
    <row r="56855" spans="20:20" s="566" customFormat="1">
      <c r="T56855" s="41"/>
    </row>
    <row r="56856" spans="20:20" s="566" customFormat="1">
      <c r="T56856" s="41"/>
    </row>
    <row r="56857" spans="20:20" s="566" customFormat="1">
      <c r="T56857" s="41"/>
    </row>
    <row r="56858" spans="20:20" s="566" customFormat="1">
      <c r="T56858" s="41"/>
    </row>
    <row r="56859" spans="20:20" s="566" customFormat="1">
      <c r="T56859" s="41"/>
    </row>
    <row r="56860" spans="20:20" s="566" customFormat="1">
      <c r="T56860" s="41"/>
    </row>
    <row r="56861" spans="20:20" s="566" customFormat="1">
      <c r="T56861" s="41"/>
    </row>
    <row r="56862" spans="20:20" s="566" customFormat="1">
      <c r="T56862" s="41"/>
    </row>
    <row r="56863" spans="20:20" s="566" customFormat="1">
      <c r="T56863" s="41"/>
    </row>
    <row r="56864" spans="20:20" s="566" customFormat="1">
      <c r="T56864" s="41"/>
    </row>
    <row r="56865" spans="20:20" s="566" customFormat="1">
      <c r="T56865" s="41"/>
    </row>
    <row r="56866" spans="20:20" s="566" customFormat="1">
      <c r="T56866" s="41"/>
    </row>
    <row r="56867" spans="20:20" s="566" customFormat="1">
      <c r="T56867" s="41"/>
    </row>
    <row r="56868" spans="20:20" s="566" customFormat="1">
      <c r="T56868" s="41"/>
    </row>
    <row r="56869" spans="20:20" s="566" customFormat="1">
      <c r="T56869" s="41"/>
    </row>
    <row r="56870" spans="20:20" s="566" customFormat="1">
      <c r="T56870" s="41"/>
    </row>
    <row r="56871" spans="20:20" s="566" customFormat="1">
      <c r="T56871" s="41"/>
    </row>
    <row r="56872" spans="20:20" s="566" customFormat="1">
      <c r="T56872" s="41"/>
    </row>
    <row r="56873" spans="20:20" s="566" customFormat="1">
      <c r="T56873" s="41"/>
    </row>
    <row r="56874" spans="20:20" s="566" customFormat="1">
      <c r="T56874" s="41"/>
    </row>
    <row r="56875" spans="20:20" s="566" customFormat="1">
      <c r="T56875" s="41"/>
    </row>
    <row r="56876" spans="20:20" s="566" customFormat="1">
      <c r="T56876" s="41"/>
    </row>
    <row r="56877" spans="20:20" s="566" customFormat="1">
      <c r="T56877" s="41"/>
    </row>
    <row r="56878" spans="20:20" s="566" customFormat="1">
      <c r="T56878" s="41"/>
    </row>
    <row r="56879" spans="20:20" s="566" customFormat="1">
      <c r="T56879" s="41"/>
    </row>
    <row r="56880" spans="20:20" s="566" customFormat="1">
      <c r="T56880" s="41"/>
    </row>
    <row r="56881" spans="20:20" s="566" customFormat="1">
      <c r="T56881" s="41"/>
    </row>
    <row r="56882" spans="20:20" s="566" customFormat="1">
      <c r="T56882" s="41"/>
    </row>
    <row r="56883" spans="20:20" s="566" customFormat="1">
      <c r="T56883" s="41"/>
    </row>
    <row r="56884" spans="20:20" s="566" customFormat="1">
      <c r="T56884" s="41"/>
    </row>
    <row r="56885" spans="20:20" s="566" customFormat="1">
      <c r="T56885" s="41"/>
    </row>
    <row r="56886" spans="20:20" s="566" customFormat="1">
      <c r="T56886" s="41"/>
    </row>
    <row r="56887" spans="20:20" s="566" customFormat="1">
      <c r="T56887" s="41"/>
    </row>
    <row r="56888" spans="20:20" s="566" customFormat="1">
      <c r="T56888" s="41"/>
    </row>
    <row r="56889" spans="20:20" s="566" customFormat="1">
      <c r="T56889" s="41"/>
    </row>
    <row r="56890" spans="20:20" s="566" customFormat="1">
      <c r="T56890" s="41"/>
    </row>
    <row r="56891" spans="20:20" s="566" customFormat="1">
      <c r="T56891" s="41"/>
    </row>
    <row r="56892" spans="20:20" s="566" customFormat="1">
      <c r="T56892" s="41"/>
    </row>
    <row r="56893" spans="20:20" s="566" customFormat="1">
      <c r="T56893" s="41"/>
    </row>
    <row r="56894" spans="20:20" s="566" customFormat="1">
      <c r="T56894" s="41"/>
    </row>
    <row r="56895" spans="20:20" s="566" customFormat="1">
      <c r="T56895" s="41"/>
    </row>
    <row r="56896" spans="20:20" s="566" customFormat="1">
      <c r="T56896" s="41"/>
    </row>
    <row r="56897" spans="20:20" s="566" customFormat="1">
      <c r="T56897" s="41"/>
    </row>
    <row r="56898" spans="20:20" s="566" customFormat="1">
      <c r="T56898" s="41"/>
    </row>
    <row r="56899" spans="20:20" s="566" customFormat="1">
      <c r="T56899" s="41"/>
    </row>
    <row r="56900" spans="20:20" s="566" customFormat="1">
      <c r="T56900" s="41"/>
    </row>
    <row r="56901" spans="20:20" s="566" customFormat="1">
      <c r="T56901" s="41"/>
    </row>
    <row r="56902" spans="20:20" s="566" customFormat="1">
      <c r="T56902" s="41"/>
    </row>
    <row r="56903" spans="20:20" s="566" customFormat="1">
      <c r="T56903" s="41"/>
    </row>
    <row r="56904" spans="20:20" s="566" customFormat="1">
      <c r="T56904" s="41"/>
    </row>
    <row r="56905" spans="20:20" s="566" customFormat="1">
      <c r="T56905" s="41"/>
    </row>
    <row r="56906" spans="20:20" s="566" customFormat="1">
      <c r="T56906" s="41"/>
    </row>
    <row r="56907" spans="20:20" s="566" customFormat="1">
      <c r="T56907" s="41"/>
    </row>
    <row r="56908" spans="20:20" s="566" customFormat="1">
      <c r="T56908" s="41"/>
    </row>
    <row r="56909" spans="20:20" s="566" customFormat="1">
      <c r="T56909" s="41"/>
    </row>
    <row r="56910" spans="20:20" s="566" customFormat="1">
      <c r="T56910" s="41"/>
    </row>
    <row r="56911" spans="20:20" s="566" customFormat="1">
      <c r="T56911" s="41"/>
    </row>
    <row r="56912" spans="20:20" s="566" customFormat="1">
      <c r="T56912" s="41"/>
    </row>
    <row r="56913" spans="20:20" s="566" customFormat="1">
      <c r="T56913" s="41"/>
    </row>
    <row r="56914" spans="20:20" s="566" customFormat="1">
      <c r="T56914" s="41"/>
    </row>
    <row r="56915" spans="20:20" s="566" customFormat="1">
      <c r="T56915" s="41"/>
    </row>
    <row r="56916" spans="20:20" s="566" customFormat="1">
      <c r="T56916" s="41"/>
    </row>
    <row r="56917" spans="20:20" s="566" customFormat="1">
      <c r="T56917" s="41"/>
    </row>
    <row r="56918" spans="20:20" s="566" customFormat="1">
      <c r="T56918" s="41"/>
    </row>
    <row r="56919" spans="20:20" s="566" customFormat="1">
      <c r="T56919" s="41"/>
    </row>
    <row r="56920" spans="20:20" s="566" customFormat="1">
      <c r="T56920" s="41"/>
    </row>
    <row r="56921" spans="20:20" s="566" customFormat="1">
      <c r="T56921" s="41"/>
    </row>
    <row r="56922" spans="20:20" s="566" customFormat="1">
      <c r="T56922" s="41"/>
    </row>
    <row r="56923" spans="20:20" s="566" customFormat="1">
      <c r="T56923" s="41"/>
    </row>
    <row r="56924" spans="20:20" s="566" customFormat="1">
      <c r="T56924" s="41"/>
    </row>
    <row r="56925" spans="20:20" s="566" customFormat="1">
      <c r="T56925" s="41"/>
    </row>
    <row r="56926" spans="20:20" s="566" customFormat="1">
      <c r="T56926" s="41"/>
    </row>
    <row r="56927" spans="20:20" s="566" customFormat="1">
      <c r="T56927" s="41"/>
    </row>
    <row r="56928" spans="20:20" s="566" customFormat="1">
      <c r="T56928" s="41"/>
    </row>
    <row r="56929" spans="20:20" s="566" customFormat="1">
      <c r="T56929" s="41"/>
    </row>
    <row r="56930" spans="20:20" s="566" customFormat="1">
      <c r="T56930" s="41"/>
    </row>
    <row r="56931" spans="20:20" s="566" customFormat="1">
      <c r="T56931" s="41"/>
    </row>
    <row r="56932" spans="20:20" s="566" customFormat="1">
      <c r="T56932" s="41"/>
    </row>
    <row r="56933" spans="20:20" s="566" customFormat="1">
      <c r="T56933" s="41"/>
    </row>
    <row r="56934" spans="20:20" s="566" customFormat="1">
      <c r="T56934" s="41"/>
    </row>
    <row r="56935" spans="20:20" s="566" customFormat="1">
      <c r="T56935" s="41"/>
    </row>
    <row r="56936" spans="20:20" s="566" customFormat="1">
      <c r="T56936" s="41"/>
    </row>
    <row r="56937" spans="20:20" s="566" customFormat="1">
      <c r="T56937" s="41"/>
    </row>
    <row r="56938" spans="20:20" s="566" customFormat="1">
      <c r="T56938" s="41"/>
    </row>
    <row r="56939" spans="20:20" s="566" customFormat="1">
      <c r="T56939" s="41"/>
    </row>
    <row r="56940" spans="20:20" s="566" customFormat="1">
      <c r="T56940" s="41"/>
    </row>
    <row r="56941" spans="20:20" s="566" customFormat="1">
      <c r="T56941" s="41"/>
    </row>
    <row r="56942" spans="20:20" s="566" customFormat="1">
      <c r="T56942" s="41"/>
    </row>
    <row r="56943" spans="20:20" s="566" customFormat="1">
      <c r="T56943" s="41"/>
    </row>
    <row r="56944" spans="20:20" s="566" customFormat="1">
      <c r="T56944" s="41"/>
    </row>
    <row r="56945" spans="20:20" s="566" customFormat="1">
      <c r="T56945" s="41"/>
    </row>
    <row r="56946" spans="20:20" s="566" customFormat="1">
      <c r="T56946" s="41"/>
    </row>
    <row r="56947" spans="20:20" s="566" customFormat="1">
      <c r="T56947" s="41"/>
    </row>
    <row r="56948" spans="20:20" s="566" customFormat="1">
      <c r="T56948" s="41"/>
    </row>
    <row r="56949" spans="20:20" s="566" customFormat="1">
      <c r="T56949" s="41"/>
    </row>
    <row r="56950" spans="20:20" s="566" customFormat="1">
      <c r="T56950" s="41"/>
    </row>
    <row r="56951" spans="20:20" s="566" customFormat="1">
      <c r="T56951" s="41"/>
    </row>
    <row r="56952" spans="20:20" s="566" customFormat="1">
      <c r="T56952" s="41"/>
    </row>
    <row r="56953" spans="20:20" s="566" customFormat="1">
      <c r="T56953" s="41"/>
    </row>
    <row r="56954" spans="20:20" s="566" customFormat="1">
      <c r="T56954" s="41"/>
    </row>
    <row r="56955" spans="20:20" s="566" customFormat="1">
      <c r="T56955" s="41"/>
    </row>
    <row r="56956" spans="20:20" s="566" customFormat="1">
      <c r="T56956" s="41"/>
    </row>
    <row r="56957" spans="20:20" s="566" customFormat="1">
      <c r="T56957" s="41"/>
    </row>
    <row r="56958" spans="20:20" s="566" customFormat="1">
      <c r="T56958" s="41"/>
    </row>
    <row r="56959" spans="20:20" s="566" customFormat="1">
      <c r="T56959" s="41"/>
    </row>
    <row r="56960" spans="20:20" s="566" customFormat="1">
      <c r="T56960" s="41"/>
    </row>
    <row r="56961" spans="20:20" s="566" customFormat="1">
      <c r="T56961" s="41"/>
    </row>
    <row r="56962" spans="20:20" s="566" customFormat="1">
      <c r="T56962" s="41"/>
    </row>
    <row r="56963" spans="20:20" s="566" customFormat="1">
      <c r="T56963" s="41"/>
    </row>
    <row r="56964" spans="20:20" s="566" customFormat="1">
      <c r="T56964" s="41"/>
    </row>
    <row r="56965" spans="20:20" s="566" customFormat="1">
      <c r="T56965" s="41"/>
    </row>
    <row r="56966" spans="20:20" s="566" customFormat="1">
      <c r="T56966" s="41"/>
    </row>
    <row r="56967" spans="20:20" s="566" customFormat="1">
      <c r="T56967" s="41"/>
    </row>
    <row r="56968" spans="20:20" s="566" customFormat="1">
      <c r="T56968" s="41"/>
    </row>
    <row r="56969" spans="20:20" s="566" customFormat="1">
      <c r="T56969" s="41"/>
    </row>
    <row r="56970" spans="20:20" s="566" customFormat="1">
      <c r="T56970" s="41"/>
    </row>
    <row r="56971" spans="20:20" s="566" customFormat="1">
      <c r="T56971" s="41"/>
    </row>
    <row r="56972" spans="20:20" s="566" customFormat="1">
      <c r="T56972" s="41"/>
    </row>
    <row r="56973" spans="20:20" s="566" customFormat="1">
      <c r="T56973" s="41"/>
    </row>
    <row r="56974" spans="20:20" s="566" customFormat="1">
      <c r="T56974" s="41"/>
    </row>
    <row r="56975" spans="20:20" s="566" customFormat="1">
      <c r="T56975" s="41"/>
    </row>
    <row r="56976" spans="20:20" s="566" customFormat="1">
      <c r="T56976" s="41"/>
    </row>
    <row r="56977" spans="20:20" s="566" customFormat="1">
      <c r="T56977" s="41"/>
    </row>
    <row r="56978" spans="20:20" s="566" customFormat="1">
      <c r="T56978" s="41"/>
    </row>
    <row r="56979" spans="20:20" s="566" customFormat="1">
      <c r="T56979" s="41"/>
    </row>
    <row r="56980" spans="20:20" s="566" customFormat="1">
      <c r="T56980" s="41"/>
    </row>
    <row r="56981" spans="20:20" s="566" customFormat="1">
      <c r="T56981" s="41"/>
    </row>
    <row r="56982" spans="20:20" s="566" customFormat="1">
      <c r="T56982" s="41"/>
    </row>
    <row r="56983" spans="20:20" s="566" customFormat="1">
      <c r="T56983" s="41"/>
    </row>
    <row r="56984" spans="20:20" s="566" customFormat="1">
      <c r="T56984" s="41"/>
    </row>
    <row r="56985" spans="20:20" s="566" customFormat="1">
      <c r="T56985" s="41"/>
    </row>
    <row r="56986" spans="20:20" s="566" customFormat="1">
      <c r="T56986" s="41"/>
    </row>
    <row r="56987" spans="20:20" s="566" customFormat="1">
      <c r="T56987" s="41"/>
    </row>
    <row r="56988" spans="20:20" s="566" customFormat="1">
      <c r="T56988" s="41"/>
    </row>
    <row r="56989" spans="20:20" s="566" customFormat="1">
      <c r="T56989" s="41"/>
    </row>
    <row r="56990" spans="20:20" s="566" customFormat="1">
      <c r="T56990" s="41"/>
    </row>
    <row r="56991" spans="20:20" s="566" customFormat="1">
      <c r="T56991" s="41"/>
    </row>
    <row r="56992" spans="20:20" s="566" customFormat="1">
      <c r="T56992" s="41"/>
    </row>
    <row r="56993" spans="20:20" s="566" customFormat="1">
      <c r="T56993" s="41"/>
    </row>
    <row r="56994" spans="20:20" s="566" customFormat="1">
      <c r="T56994" s="41"/>
    </row>
    <row r="56995" spans="20:20" s="566" customFormat="1">
      <c r="T56995" s="41"/>
    </row>
    <row r="56996" spans="20:20" s="566" customFormat="1">
      <c r="T56996" s="41"/>
    </row>
    <row r="56997" spans="20:20" s="566" customFormat="1">
      <c r="T56997" s="41"/>
    </row>
    <row r="56998" spans="20:20" s="566" customFormat="1">
      <c r="T56998" s="41"/>
    </row>
    <row r="56999" spans="20:20" s="566" customFormat="1">
      <c r="T56999" s="41"/>
    </row>
    <row r="57000" spans="20:20" s="566" customFormat="1">
      <c r="T57000" s="41"/>
    </row>
    <row r="57001" spans="20:20" s="566" customFormat="1">
      <c r="T57001" s="41"/>
    </row>
    <row r="57002" spans="20:20" s="566" customFormat="1">
      <c r="T57002" s="41"/>
    </row>
    <row r="57003" spans="20:20" s="566" customFormat="1">
      <c r="T57003" s="41"/>
    </row>
    <row r="57004" spans="20:20" s="566" customFormat="1">
      <c r="T57004" s="41"/>
    </row>
    <row r="57005" spans="20:20" s="566" customFormat="1">
      <c r="T57005" s="41"/>
    </row>
    <row r="57006" spans="20:20" s="566" customFormat="1">
      <c r="T57006" s="41"/>
    </row>
    <row r="57007" spans="20:20" s="566" customFormat="1">
      <c r="T57007" s="41"/>
    </row>
    <row r="57008" spans="20:20" s="566" customFormat="1">
      <c r="T57008" s="41"/>
    </row>
    <row r="57009" spans="20:20" s="566" customFormat="1">
      <c r="T57009" s="41"/>
    </row>
    <row r="57010" spans="20:20" s="566" customFormat="1">
      <c r="T57010" s="41"/>
    </row>
    <row r="57011" spans="20:20" s="566" customFormat="1">
      <c r="T57011" s="41"/>
    </row>
    <row r="57012" spans="20:20" s="566" customFormat="1">
      <c r="T57012" s="41"/>
    </row>
    <row r="57013" spans="20:20" s="566" customFormat="1">
      <c r="T57013" s="41"/>
    </row>
    <row r="57014" spans="20:20" s="566" customFormat="1">
      <c r="T57014" s="41"/>
    </row>
    <row r="57015" spans="20:20" s="566" customFormat="1">
      <c r="T57015" s="41"/>
    </row>
    <row r="57016" spans="20:20" s="566" customFormat="1">
      <c r="T57016" s="41"/>
    </row>
    <row r="57017" spans="20:20" s="566" customFormat="1">
      <c r="T57017" s="41"/>
    </row>
    <row r="57018" spans="20:20" s="566" customFormat="1">
      <c r="T57018" s="41"/>
    </row>
    <row r="57019" spans="20:20" s="566" customFormat="1">
      <c r="T57019" s="41"/>
    </row>
    <row r="57020" spans="20:20" s="566" customFormat="1">
      <c r="T57020" s="41"/>
    </row>
    <row r="57021" spans="20:20" s="566" customFormat="1">
      <c r="T57021" s="41"/>
    </row>
    <row r="57022" spans="20:20" s="566" customFormat="1">
      <c r="T57022" s="41"/>
    </row>
    <row r="57023" spans="20:20" s="566" customFormat="1">
      <c r="T57023" s="41"/>
    </row>
    <row r="57024" spans="20:20" s="566" customFormat="1">
      <c r="T57024" s="41"/>
    </row>
    <row r="57025" spans="20:20" s="566" customFormat="1">
      <c r="T57025" s="41"/>
    </row>
    <row r="57026" spans="20:20" s="566" customFormat="1">
      <c r="T57026" s="41"/>
    </row>
    <row r="57027" spans="20:20" s="566" customFormat="1">
      <c r="T57027" s="41"/>
    </row>
    <row r="57028" spans="20:20" s="566" customFormat="1">
      <c r="T57028" s="41"/>
    </row>
    <row r="57029" spans="20:20" s="566" customFormat="1">
      <c r="T57029" s="41"/>
    </row>
    <row r="57030" spans="20:20" s="566" customFormat="1">
      <c r="T57030" s="41"/>
    </row>
    <row r="57031" spans="20:20" s="566" customFormat="1">
      <c r="T57031" s="41"/>
    </row>
    <row r="57032" spans="20:20" s="566" customFormat="1">
      <c r="T57032" s="41"/>
    </row>
    <row r="57033" spans="20:20" s="566" customFormat="1">
      <c r="T57033" s="41"/>
    </row>
    <row r="57034" spans="20:20" s="566" customFormat="1">
      <c r="T57034" s="41"/>
    </row>
    <row r="57035" spans="20:20" s="566" customFormat="1">
      <c r="T57035" s="41"/>
    </row>
    <row r="57036" spans="20:20" s="566" customFormat="1">
      <c r="T57036" s="41"/>
    </row>
    <row r="57037" spans="20:20" s="566" customFormat="1">
      <c r="T57037" s="41"/>
    </row>
    <row r="57038" spans="20:20" s="566" customFormat="1">
      <c r="T57038" s="41"/>
    </row>
    <row r="57039" spans="20:20" s="566" customFormat="1">
      <c r="T57039" s="41"/>
    </row>
    <row r="57040" spans="20:20" s="566" customFormat="1">
      <c r="T57040" s="41"/>
    </row>
    <row r="57041" spans="20:20" s="566" customFormat="1">
      <c r="T57041" s="41"/>
    </row>
    <row r="57042" spans="20:20" s="566" customFormat="1">
      <c r="T57042" s="41"/>
    </row>
    <row r="57043" spans="20:20" s="566" customFormat="1">
      <c r="T57043" s="41"/>
    </row>
    <row r="57044" spans="20:20" s="566" customFormat="1">
      <c r="T57044" s="41"/>
    </row>
    <row r="57045" spans="20:20" s="566" customFormat="1">
      <c r="T57045" s="41"/>
    </row>
    <row r="57046" spans="20:20" s="566" customFormat="1">
      <c r="T57046" s="41"/>
    </row>
    <row r="57047" spans="20:20" s="566" customFormat="1">
      <c r="T57047" s="41"/>
    </row>
    <row r="57048" spans="20:20" s="566" customFormat="1">
      <c r="T57048" s="41"/>
    </row>
    <row r="57049" spans="20:20" s="566" customFormat="1">
      <c r="T57049" s="41"/>
    </row>
    <row r="57050" spans="20:20" s="566" customFormat="1">
      <c r="T57050" s="41"/>
    </row>
    <row r="57051" spans="20:20" s="566" customFormat="1">
      <c r="T57051" s="41"/>
    </row>
    <row r="57052" spans="20:20" s="566" customFormat="1">
      <c r="T57052" s="41"/>
    </row>
    <row r="57053" spans="20:20" s="566" customFormat="1">
      <c r="T57053" s="41"/>
    </row>
    <row r="57054" spans="20:20" s="566" customFormat="1">
      <c r="T57054" s="41"/>
    </row>
    <row r="57055" spans="20:20" s="566" customFormat="1">
      <c r="T57055" s="41"/>
    </row>
    <row r="57056" spans="20:20" s="566" customFormat="1">
      <c r="T57056" s="41"/>
    </row>
    <row r="57057" spans="20:20" s="566" customFormat="1">
      <c r="T57057" s="41"/>
    </row>
    <row r="57058" spans="20:20" s="566" customFormat="1">
      <c r="T57058" s="41"/>
    </row>
    <row r="57059" spans="20:20" s="566" customFormat="1">
      <c r="T57059" s="41"/>
    </row>
    <row r="57060" spans="20:20" s="566" customFormat="1">
      <c r="T57060" s="41"/>
    </row>
    <row r="57061" spans="20:20" s="566" customFormat="1">
      <c r="T57061" s="41"/>
    </row>
    <row r="57062" spans="20:20" s="566" customFormat="1">
      <c r="T57062" s="41"/>
    </row>
    <row r="57063" spans="20:20" s="566" customFormat="1">
      <c r="T57063" s="41"/>
    </row>
    <row r="57064" spans="20:20" s="566" customFormat="1">
      <c r="T57064" s="41"/>
    </row>
    <row r="57065" spans="20:20" s="566" customFormat="1">
      <c r="T57065" s="41"/>
    </row>
    <row r="57066" spans="20:20" s="566" customFormat="1">
      <c r="T57066" s="41"/>
    </row>
    <row r="57067" spans="20:20" s="566" customFormat="1">
      <c r="T57067" s="41"/>
    </row>
    <row r="57068" spans="20:20" s="566" customFormat="1">
      <c r="T57068" s="41"/>
    </row>
    <row r="57069" spans="20:20" s="566" customFormat="1">
      <c r="T57069" s="41"/>
    </row>
    <row r="57070" spans="20:20" s="566" customFormat="1">
      <c r="T57070" s="41"/>
    </row>
    <row r="57071" spans="20:20" s="566" customFormat="1">
      <c r="T57071" s="41"/>
    </row>
    <row r="57072" spans="20:20" s="566" customFormat="1">
      <c r="T57072" s="41"/>
    </row>
    <row r="57073" spans="20:20" s="566" customFormat="1">
      <c r="T57073" s="41"/>
    </row>
    <row r="57074" spans="20:20" s="566" customFormat="1">
      <c r="T57074" s="41"/>
    </row>
    <row r="57075" spans="20:20" s="566" customFormat="1">
      <c r="T57075" s="41"/>
    </row>
    <row r="57076" spans="20:20" s="566" customFormat="1">
      <c r="T57076" s="41"/>
    </row>
    <row r="57077" spans="20:20" s="566" customFormat="1">
      <c r="T57077" s="41"/>
    </row>
    <row r="57078" spans="20:20" s="566" customFormat="1">
      <c r="T57078" s="41"/>
    </row>
    <row r="57079" spans="20:20" s="566" customFormat="1">
      <c r="T57079" s="41"/>
    </row>
    <row r="57080" spans="20:20" s="566" customFormat="1">
      <c r="T57080" s="41"/>
    </row>
    <row r="57081" spans="20:20" s="566" customFormat="1">
      <c r="T57081" s="41"/>
    </row>
    <row r="57082" spans="20:20" s="566" customFormat="1">
      <c r="T57082" s="41"/>
    </row>
    <row r="57083" spans="20:20" s="566" customFormat="1">
      <c r="T57083" s="41"/>
    </row>
    <row r="57084" spans="20:20" s="566" customFormat="1">
      <c r="T57084" s="41"/>
    </row>
    <row r="57085" spans="20:20" s="566" customFormat="1">
      <c r="T57085" s="41"/>
    </row>
    <row r="57086" spans="20:20" s="566" customFormat="1">
      <c r="T57086" s="41"/>
    </row>
    <row r="57087" spans="20:20" s="566" customFormat="1">
      <c r="T57087" s="41"/>
    </row>
    <row r="57088" spans="20:20" s="566" customFormat="1">
      <c r="T57088" s="41"/>
    </row>
    <row r="57089" spans="20:20" s="566" customFormat="1">
      <c r="T57089" s="41"/>
    </row>
    <row r="57090" spans="20:20" s="566" customFormat="1">
      <c r="T57090" s="41"/>
    </row>
    <row r="57091" spans="20:20" s="566" customFormat="1">
      <c r="T57091" s="41"/>
    </row>
    <row r="57092" spans="20:20" s="566" customFormat="1">
      <c r="T57092" s="41"/>
    </row>
    <row r="57093" spans="20:20" s="566" customFormat="1">
      <c r="T57093" s="41"/>
    </row>
    <row r="57094" spans="20:20" s="566" customFormat="1">
      <c r="T57094" s="41"/>
    </row>
    <row r="57095" spans="20:20" s="566" customFormat="1">
      <c r="T57095" s="41"/>
    </row>
    <row r="57096" spans="20:20" s="566" customFormat="1">
      <c r="T57096" s="41"/>
    </row>
    <row r="57097" spans="20:20" s="566" customFormat="1">
      <c r="T57097" s="41"/>
    </row>
    <row r="57098" spans="20:20" s="566" customFormat="1">
      <c r="T57098" s="41"/>
    </row>
    <row r="57099" spans="20:20" s="566" customFormat="1">
      <c r="T57099" s="41"/>
    </row>
    <row r="57100" spans="20:20" s="566" customFormat="1">
      <c r="T57100" s="41"/>
    </row>
    <row r="57101" spans="20:20" s="566" customFormat="1">
      <c r="T57101" s="41"/>
    </row>
    <row r="57102" spans="20:20" s="566" customFormat="1">
      <c r="T57102" s="41"/>
    </row>
    <row r="57103" spans="20:20" s="566" customFormat="1">
      <c r="T57103" s="41"/>
    </row>
    <row r="57104" spans="20:20" s="566" customFormat="1">
      <c r="T57104" s="41"/>
    </row>
    <row r="57105" spans="20:20" s="566" customFormat="1">
      <c r="T57105" s="41"/>
    </row>
    <row r="57106" spans="20:20" s="566" customFormat="1">
      <c r="T57106" s="41"/>
    </row>
    <row r="57107" spans="20:20" s="566" customFormat="1">
      <c r="T57107" s="41"/>
    </row>
    <row r="57108" spans="20:20" s="566" customFormat="1">
      <c r="T57108" s="41"/>
    </row>
    <row r="57109" spans="20:20" s="566" customFormat="1">
      <c r="T57109" s="41"/>
    </row>
    <row r="57110" spans="20:20" s="566" customFormat="1">
      <c r="T57110" s="41"/>
    </row>
    <row r="57111" spans="20:20" s="566" customFormat="1">
      <c r="T57111" s="41"/>
    </row>
    <row r="57112" spans="20:20" s="566" customFormat="1">
      <c r="T57112" s="41"/>
    </row>
    <row r="57113" spans="20:20" s="566" customFormat="1">
      <c r="T57113" s="41"/>
    </row>
    <row r="57114" spans="20:20" s="566" customFormat="1">
      <c r="T57114" s="41"/>
    </row>
    <row r="57115" spans="20:20" s="566" customFormat="1">
      <c r="T57115" s="41"/>
    </row>
    <row r="57116" spans="20:20" s="566" customFormat="1">
      <c r="T57116" s="41"/>
    </row>
    <row r="57117" spans="20:20" s="566" customFormat="1">
      <c r="T57117" s="41"/>
    </row>
    <row r="57118" spans="20:20" s="566" customFormat="1">
      <c r="T57118" s="41"/>
    </row>
    <row r="57119" spans="20:20" s="566" customFormat="1">
      <c r="T57119" s="41"/>
    </row>
    <row r="57120" spans="20:20" s="566" customFormat="1">
      <c r="T57120" s="41"/>
    </row>
    <row r="57121" spans="20:20" s="566" customFormat="1">
      <c r="T57121" s="41"/>
    </row>
    <row r="57122" spans="20:20" s="566" customFormat="1">
      <c r="T57122" s="41"/>
    </row>
    <row r="57123" spans="20:20" s="566" customFormat="1">
      <c r="T57123" s="41"/>
    </row>
    <row r="57124" spans="20:20" s="566" customFormat="1">
      <c r="T57124" s="41"/>
    </row>
    <row r="57125" spans="20:20" s="566" customFormat="1">
      <c r="T57125" s="41"/>
    </row>
    <row r="57126" spans="20:20" s="566" customFormat="1">
      <c r="T57126" s="41"/>
    </row>
    <row r="57127" spans="20:20" s="566" customFormat="1">
      <c r="T57127" s="41"/>
    </row>
    <row r="57128" spans="20:20" s="566" customFormat="1">
      <c r="T57128" s="41"/>
    </row>
    <row r="57129" spans="20:20" s="566" customFormat="1">
      <c r="T57129" s="41"/>
    </row>
    <row r="57130" spans="20:20" s="566" customFormat="1">
      <c r="T57130" s="41"/>
    </row>
    <row r="57131" spans="20:20" s="566" customFormat="1">
      <c r="T57131" s="41"/>
    </row>
    <row r="57132" spans="20:20" s="566" customFormat="1">
      <c r="T57132" s="41"/>
    </row>
    <row r="57133" spans="20:20" s="566" customFormat="1">
      <c r="T57133" s="41"/>
    </row>
    <row r="57134" spans="20:20" s="566" customFormat="1">
      <c r="T57134" s="41"/>
    </row>
    <row r="57135" spans="20:20" s="566" customFormat="1">
      <c r="T57135" s="41"/>
    </row>
    <row r="57136" spans="20:20" s="566" customFormat="1">
      <c r="T57136" s="41"/>
    </row>
    <row r="57137" spans="20:20" s="566" customFormat="1">
      <c r="T57137" s="41"/>
    </row>
    <row r="57138" spans="20:20" s="566" customFormat="1">
      <c r="T57138" s="41"/>
    </row>
    <row r="57139" spans="20:20" s="566" customFormat="1">
      <c r="T57139" s="41"/>
    </row>
    <row r="57140" spans="20:20" s="566" customFormat="1">
      <c r="T57140" s="41"/>
    </row>
    <row r="57141" spans="20:20" s="566" customFormat="1">
      <c r="T57141" s="41"/>
    </row>
    <row r="57142" spans="20:20" s="566" customFormat="1">
      <c r="T57142" s="41"/>
    </row>
    <row r="57143" spans="20:20" s="566" customFormat="1">
      <c r="T57143" s="41"/>
    </row>
    <row r="57144" spans="20:20" s="566" customFormat="1">
      <c r="T57144" s="41"/>
    </row>
    <row r="57145" spans="20:20" s="566" customFormat="1">
      <c r="T57145" s="41"/>
    </row>
    <row r="57146" spans="20:20" s="566" customFormat="1">
      <c r="T57146" s="41"/>
    </row>
    <row r="57147" spans="20:20" s="566" customFormat="1">
      <c r="T57147" s="41"/>
    </row>
    <row r="57148" spans="20:20" s="566" customFormat="1">
      <c r="T57148" s="41"/>
    </row>
    <row r="57149" spans="20:20" s="566" customFormat="1">
      <c r="T57149" s="41"/>
    </row>
    <row r="57150" spans="20:20" s="566" customFormat="1">
      <c r="T57150" s="41"/>
    </row>
    <row r="57151" spans="20:20" s="566" customFormat="1">
      <c r="T57151" s="41"/>
    </row>
    <row r="57152" spans="20:20" s="566" customFormat="1">
      <c r="T57152" s="41"/>
    </row>
    <row r="57153" spans="20:20" s="566" customFormat="1">
      <c r="T57153" s="41"/>
    </row>
    <row r="57154" spans="20:20" s="566" customFormat="1">
      <c r="T57154" s="41"/>
    </row>
    <row r="57155" spans="20:20" s="566" customFormat="1">
      <c r="T57155" s="41"/>
    </row>
    <row r="57156" spans="20:20" s="566" customFormat="1">
      <c r="T57156" s="41"/>
    </row>
    <row r="57157" spans="20:20" s="566" customFormat="1">
      <c r="T57157" s="41"/>
    </row>
    <row r="57158" spans="20:20" s="566" customFormat="1">
      <c r="T57158" s="41"/>
    </row>
    <row r="57159" spans="20:20" s="566" customFormat="1">
      <c r="T57159" s="41"/>
    </row>
    <row r="57160" spans="20:20" s="566" customFormat="1">
      <c r="T57160" s="41"/>
    </row>
    <row r="57161" spans="20:20" s="566" customFormat="1">
      <c r="T57161" s="41"/>
    </row>
    <row r="57162" spans="20:20" s="566" customFormat="1">
      <c r="T57162" s="41"/>
    </row>
    <row r="57163" spans="20:20" s="566" customFormat="1">
      <c r="T57163" s="41"/>
    </row>
    <row r="57164" spans="20:20" s="566" customFormat="1">
      <c r="T57164" s="41"/>
    </row>
    <row r="57165" spans="20:20" s="566" customFormat="1">
      <c r="T57165" s="41"/>
    </row>
    <row r="57166" spans="20:20" s="566" customFormat="1">
      <c r="T57166" s="41"/>
    </row>
    <row r="57167" spans="20:20" s="566" customFormat="1">
      <c r="T57167" s="41"/>
    </row>
    <row r="57168" spans="20:20" s="566" customFormat="1">
      <c r="T57168" s="41"/>
    </row>
    <row r="57169" spans="20:20" s="566" customFormat="1">
      <c r="T57169" s="41"/>
    </row>
    <row r="57170" spans="20:20" s="566" customFormat="1">
      <c r="T57170" s="41"/>
    </row>
    <row r="57171" spans="20:20" s="566" customFormat="1">
      <c r="T57171" s="41"/>
    </row>
    <row r="57172" spans="20:20" s="566" customFormat="1">
      <c r="T57172" s="41"/>
    </row>
    <row r="57173" spans="20:20" s="566" customFormat="1">
      <c r="T57173" s="41"/>
    </row>
    <row r="57174" spans="20:20" s="566" customFormat="1">
      <c r="T57174" s="41"/>
    </row>
    <row r="57175" spans="20:20" s="566" customFormat="1">
      <c r="T57175" s="41"/>
    </row>
    <row r="57176" spans="20:20" s="566" customFormat="1">
      <c r="T57176" s="41"/>
    </row>
    <row r="57177" spans="20:20" s="566" customFormat="1">
      <c r="T57177" s="41"/>
    </row>
    <row r="57178" spans="20:20" s="566" customFormat="1">
      <c r="T57178" s="41"/>
    </row>
    <row r="57179" spans="20:20" s="566" customFormat="1">
      <c r="T57179" s="41"/>
    </row>
    <row r="57180" spans="20:20" s="566" customFormat="1">
      <c r="T57180" s="41"/>
    </row>
    <row r="57181" spans="20:20" s="566" customFormat="1">
      <c r="T57181" s="41"/>
    </row>
    <row r="57182" spans="20:20" s="566" customFormat="1">
      <c r="T57182" s="41"/>
    </row>
    <row r="57183" spans="20:20" s="566" customFormat="1">
      <c r="T57183" s="41"/>
    </row>
    <row r="57184" spans="20:20" s="566" customFormat="1">
      <c r="T57184" s="41"/>
    </row>
    <row r="57185" spans="20:20" s="566" customFormat="1">
      <c r="T57185" s="41"/>
    </row>
    <row r="57186" spans="20:20" s="566" customFormat="1">
      <c r="T57186" s="41"/>
    </row>
    <row r="57187" spans="20:20" s="566" customFormat="1">
      <c r="T57187" s="41"/>
    </row>
    <row r="57188" spans="20:20" s="566" customFormat="1">
      <c r="T57188" s="41"/>
    </row>
    <row r="57189" spans="20:20" s="566" customFormat="1">
      <c r="T57189" s="41"/>
    </row>
    <row r="57190" spans="20:20" s="566" customFormat="1">
      <c r="T57190" s="41"/>
    </row>
    <row r="57191" spans="20:20" s="566" customFormat="1">
      <c r="T57191" s="41"/>
    </row>
    <row r="57192" spans="20:20" s="566" customFormat="1">
      <c r="T57192" s="41"/>
    </row>
    <row r="57193" spans="20:20" s="566" customFormat="1">
      <c r="T57193" s="41"/>
    </row>
    <row r="57194" spans="20:20" s="566" customFormat="1">
      <c r="T57194" s="41"/>
    </row>
    <row r="57195" spans="20:20" s="566" customFormat="1">
      <c r="T57195" s="41"/>
    </row>
    <row r="57196" spans="20:20" s="566" customFormat="1">
      <c r="T57196" s="41"/>
    </row>
    <row r="57197" spans="20:20" s="566" customFormat="1">
      <c r="T57197" s="41"/>
    </row>
    <row r="57198" spans="20:20" s="566" customFormat="1">
      <c r="T57198" s="41"/>
    </row>
    <row r="57199" spans="20:20" s="566" customFormat="1">
      <c r="T57199" s="41"/>
    </row>
    <row r="57200" spans="20:20" s="566" customFormat="1">
      <c r="T57200" s="41"/>
    </row>
    <row r="57201" spans="20:20" s="566" customFormat="1">
      <c r="T57201" s="41"/>
    </row>
    <row r="57202" spans="20:20" s="566" customFormat="1">
      <c r="T57202" s="41"/>
    </row>
    <row r="57203" spans="20:20" s="566" customFormat="1">
      <c r="T57203" s="41"/>
    </row>
    <row r="57204" spans="20:20" s="566" customFormat="1">
      <c r="T57204" s="41"/>
    </row>
    <row r="57205" spans="20:20" s="566" customFormat="1">
      <c r="T57205" s="41"/>
    </row>
    <row r="57206" spans="20:20" s="566" customFormat="1">
      <c r="T57206" s="41"/>
    </row>
    <row r="57207" spans="20:20" s="566" customFormat="1">
      <c r="T57207" s="41"/>
    </row>
    <row r="57208" spans="20:20" s="566" customFormat="1">
      <c r="T57208" s="41"/>
    </row>
    <row r="57209" spans="20:20" s="566" customFormat="1">
      <c r="T57209" s="41"/>
    </row>
    <row r="57210" spans="20:20" s="566" customFormat="1">
      <c r="T57210" s="41"/>
    </row>
    <row r="57211" spans="20:20" s="566" customFormat="1">
      <c r="T57211" s="41"/>
    </row>
    <row r="57212" spans="20:20" s="566" customFormat="1">
      <c r="T57212" s="41"/>
    </row>
    <row r="57213" spans="20:20" s="566" customFormat="1">
      <c r="T57213" s="41"/>
    </row>
    <row r="57214" spans="20:20" s="566" customFormat="1">
      <c r="T57214" s="41"/>
    </row>
    <row r="57215" spans="20:20" s="566" customFormat="1">
      <c r="T57215" s="41"/>
    </row>
    <row r="57216" spans="20:20" s="566" customFormat="1">
      <c r="T57216" s="41"/>
    </row>
    <row r="57217" spans="20:20" s="566" customFormat="1">
      <c r="T57217" s="41"/>
    </row>
    <row r="57218" spans="20:20" s="566" customFormat="1">
      <c r="T57218" s="41"/>
    </row>
    <row r="57219" spans="20:20" s="566" customFormat="1">
      <c r="T57219" s="41"/>
    </row>
    <row r="57220" spans="20:20" s="566" customFormat="1">
      <c r="T57220" s="41"/>
    </row>
    <row r="57221" spans="20:20" s="566" customFormat="1">
      <c r="T57221" s="41"/>
    </row>
    <row r="57222" spans="20:20" s="566" customFormat="1">
      <c r="T57222" s="41"/>
    </row>
    <row r="57223" spans="20:20" s="566" customFormat="1">
      <c r="T57223" s="41"/>
    </row>
    <row r="57224" spans="20:20" s="566" customFormat="1">
      <c r="T57224" s="41"/>
    </row>
    <row r="57225" spans="20:20" s="566" customFormat="1">
      <c r="T57225" s="41"/>
    </row>
    <row r="57226" spans="20:20" s="566" customFormat="1">
      <c r="T57226" s="41"/>
    </row>
    <row r="57227" spans="20:20" s="566" customFormat="1">
      <c r="T57227" s="41"/>
    </row>
    <row r="57228" spans="20:20" s="566" customFormat="1">
      <c r="T57228" s="41"/>
    </row>
    <row r="57229" spans="20:20" s="566" customFormat="1">
      <c r="T57229" s="41"/>
    </row>
    <row r="57230" spans="20:20" s="566" customFormat="1">
      <c r="T57230" s="41"/>
    </row>
    <row r="57231" spans="20:20" s="566" customFormat="1">
      <c r="T57231" s="41"/>
    </row>
    <row r="57232" spans="20:20" s="566" customFormat="1">
      <c r="T57232" s="41"/>
    </row>
    <row r="57233" spans="20:20" s="566" customFormat="1">
      <c r="T57233" s="41"/>
    </row>
    <row r="57234" spans="20:20" s="566" customFormat="1">
      <c r="T57234" s="41"/>
    </row>
    <row r="57235" spans="20:20" s="566" customFormat="1">
      <c r="T57235" s="41"/>
    </row>
    <row r="57236" spans="20:20" s="566" customFormat="1">
      <c r="T57236" s="41"/>
    </row>
    <row r="57237" spans="20:20" s="566" customFormat="1">
      <c r="T57237" s="41"/>
    </row>
    <row r="57238" spans="20:20" s="566" customFormat="1">
      <c r="T57238" s="41"/>
    </row>
    <row r="57239" spans="20:20" s="566" customFormat="1">
      <c r="T57239" s="41"/>
    </row>
    <row r="57240" spans="20:20" s="566" customFormat="1">
      <c r="T57240" s="41"/>
    </row>
    <row r="57241" spans="20:20" s="566" customFormat="1">
      <c r="T57241" s="41"/>
    </row>
    <row r="57242" spans="20:20" s="566" customFormat="1">
      <c r="T57242" s="41"/>
    </row>
    <row r="57243" spans="20:20" s="566" customFormat="1">
      <c r="T57243" s="41"/>
    </row>
    <row r="57244" spans="20:20" s="566" customFormat="1">
      <c r="T57244" s="41"/>
    </row>
    <row r="57245" spans="20:20" s="566" customFormat="1">
      <c r="T57245" s="41"/>
    </row>
    <row r="57246" spans="20:20" s="566" customFormat="1">
      <c r="T57246" s="41"/>
    </row>
    <row r="57247" spans="20:20" s="566" customFormat="1">
      <c r="T57247" s="41"/>
    </row>
    <row r="57248" spans="20:20" s="566" customFormat="1">
      <c r="T57248" s="41"/>
    </row>
    <row r="57249" spans="20:20" s="566" customFormat="1">
      <c r="T57249" s="41"/>
    </row>
    <row r="57250" spans="20:20" s="566" customFormat="1">
      <c r="T57250" s="41"/>
    </row>
    <row r="57251" spans="20:20" s="566" customFormat="1">
      <c r="T57251" s="41"/>
    </row>
    <row r="57252" spans="20:20" s="566" customFormat="1">
      <c r="T57252" s="41"/>
    </row>
    <row r="57253" spans="20:20" s="566" customFormat="1">
      <c r="T57253" s="41"/>
    </row>
    <row r="57254" spans="20:20" s="566" customFormat="1">
      <c r="T57254" s="41"/>
    </row>
    <row r="57255" spans="20:20" s="566" customFormat="1">
      <c r="T57255" s="41"/>
    </row>
    <row r="57256" spans="20:20" s="566" customFormat="1">
      <c r="T57256" s="41"/>
    </row>
    <row r="57257" spans="20:20" s="566" customFormat="1">
      <c r="T57257" s="41"/>
    </row>
    <row r="57258" spans="20:20" s="566" customFormat="1">
      <c r="T57258" s="41"/>
    </row>
    <row r="57259" spans="20:20" s="566" customFormat="1">
      <c r="T57259" s="41"/>
    </row>
    <row r="57260" spans="20:20" s="566" customFormat="1">
      <c r="T57260" s="41"/>
    </row>
    <row r="57261" spans="20:20" s="566" customFormat="1">
      <c r="T57261" s="41"/>
    </row>
    <row r="57262" spans="20:20" s="566" customFormat="1">
      <c r="T57262" s="41"/>
    </row>
    <row r="57263" spans="20:20" s="566" customFormat="1">
      <c r="T57263" s="41"/>
    </row>
    <row r="57264" spans="20:20" s="566" customFormat="1">
      <c r="T57264" s="41"/>
    </row>
    <row r="57265" spans="20:20" s="566" customFormat="1">
      <c r="T57265" s="41"/>
    </row>
    <row r="57266" spans="20:20" s="566" customFormat="1">
      <c r="T57266" s="41"/>
    </row>
    <row r="57267" spans="20:20" s="566" customFormat="1">
      <c r="T57267" s="41"/>
    </row>
    <row r="57268" spans="20:20" s="566" customFormat="1">
      <c r="T57268" s="41"/>
    </row>
    <row r="57269" spans="20:20" s="566" customFormat="1">
      <c r="T57269" s="41"/>
    </row>
    <row r="57270" spans="20:20" s="566" customFormat="1">
      <c r="T57270" s="41"/>
    </row>
    <row r="57271" spans="20:20" s="566" customFormat="1">
      <c r="T57271" s="41"/>
    </row>
    <row r="57272" spans="20:20" s="566" customFormat="1">
      <c r="T57272" s="41"/>
    </row>
    <row r="57273" spans="20:20" s="566" customFormat="1">
      <c r="T57273" s="41"/>
    </row>
    <row r="57274" spans="20:20" s="566" customFormat="1">
      <c r="T57274" s="41"/>
    </row>
    <row r="57275" spans="20:20" s="566" customFormat="1">
      <c r="T57275" s="41"/>
    </row>
    <row r="57276" spans="20:20" s="566" customFormat="1">
      <c r="T57276" s="41"/>
    </row>
    <row r="57277" spans="20:20" s="566" customFormat="1">
      <c r="T57277" s="41"/>
    </row>
    <row r="57278" spans="20:20" s="566" customFormat="1">
      <c r="T57278" s="41"/>
    </row>
    <row r="57279" spans="20:20" s="566" customFormat="1">
      <c r="T57279" s="41"/>
    </row>
    <row r="57280" spans="20:20" s="566" customFormat="1">
      <c r="T57280" s="41"/>
    </row>
    <row r="57281" spans="20:20" s="566" customFormat="1">
      <c r="T57281" s="41"/>
    </row>
    <row r="57282" spans="20:20" s="566" customFormat="1">
      <c r="T57282" s="41"/>
    </row>
    <row r="57283" spans="20:20" s="566" customFormat="1">
      <c r="T57283" s="41"/>
    </row>
    <row r="57284" spans="20:20" s="566" customFormat="1">
      <c r="T57284" s="41"/>
    </row>
    <row r="57285" spans="20:20" s="566" customFormat="1">
      <c r="T57285" s="41"/>
    </row>
    <row r="57286" spans="20:20" s="566" customFormat="1">
      <c r="T57286" s="41"/>
    </row>
    <row r="57287" spans="20:20" s="566" customFormat="1">
      <c r="T57287" s="41"/>
    </row>
    <row r="57288" spans="20:20" s="566" customFormat="1">
      <c r="T57288" s="41"/>
    </row>
    <row r="57289" spans="20:20" s="566" customFormat="1">
      <c r="T57289" s="41"/>
    </row>
    <row r="57290" spans="20:20" s="566" customFormat="1">
      <c r="T57290" s="41"/>
    </row>
    <row r="57291" spans="20:20" s="566" customFormat="1">
      <c r="T57291" s="41"/>
    </row>
    <row r="57292" spans="20:20" s="566" customFormat="1">
      <c r="T57292" s="41"/>
    </row>
    <row r="57293" spans="20:20" s="566" customFormat="1">
      <c r="T57293" s="41"/>
    </row>
    <row r="57294" spans="20:20" s="566" customFormat="1">
      <c r="T57294" s="41"/>
    </row>
    <row r="57295" spans="20:20" s="566" customFormat="1">
      <c r="T57295" s="41"/>
    </row>
    <row r="57296" spans="20:20" s="566" customFormat="1">
      <c r="T57296" s="41"/>
    </row>
    <row r="57297" spans="20:20" s="566" customFormat="1">
      <c r="T57297" s="41"/>
    </row>
    <row r="57298" spans="20:20" s="566" customFormat="1">
      <c r="T57298" s="41"/>
    </row>
    <row r="57299" spans="20:20" s="566" customFormat="1">
      <c r="T57299" s="41"/>
    </row>
    <row r="57300" spans="20:20" s="566" customFormat="1">
      <c r="T57300" s="41"/>
    </row>
    <row r="57301" spans="20:20" s="566" customFormat="1">
      <c r="T57301" s="41"/>
    </row>
    <row r="57302" spans="20:20" s="566" customFormat="1">
      <c r="T57302" s="41"/>
    </row>
    <row r="57303" spans="20:20" s="566" customFormat="1">
      <c r="T57303" s="41"/>
    </row>
    <row r="57304" spans="20:20" s="566" customFormat="1">
      <c r="T57304" s="41"/>
    </row>
    <row r="57305" spans="20:20" s="566" customFormat="1">
      <c r="T57305" s="41"/>
    </row>
    <row r="57306" spans="20:20" s="566" customFormat="1">
      <c r="T57306" s="41"/>
    </row>
    <row r="57307" spans="20:20" s="566" customFormat="1">
      <c r="T57307" s="41"/>
    </row>
    <row r="57308" spans="20:20" s="566" customFormat="1">
      <c r="T57308" s="41"/>
    </row>
    <row r="57309" spans="20:20" s="566" customFormat="1">
      <c r="T57309" s="41"/>
    </row>
    <row r="57310" spans="20:20" s="566" customFormat="1">
      <c r="T57310" s="41"/>
    </row>
    <row r="57311" spans="20:20" s="566" customFormat="1">
      <c r="T57311" s="41"/>
    </row>
    <row r="57312" spans="20:20" s="566" customFormat="1">
      <c r="T57312" s="41"/>
    </row>
    <row r="57313" spans="20:20" s="566" customFormat="1">
      <c r="T57313" s="41"/>
    </row>
    <row r="57314" spans="20:20" s="566" customFormat="1">
      <c r="T57314" s="41"/>
    </row>
    <row r="57315" spans="20:20" s="566" customFormat="1">
      <c r="T57315" s="41"/>
    </row>
    <row r="57316" spans="20:20" s="566" customFormat="1">
      <c r="T57316" s="41"/>
    </row>
    <row r="57317" spans="20:20" s="566" customFormat="1">
      <c r="T57317" s="41"/>
    </row>
    <row r="57318" spans="20:20" s="566" customFormat="1">
      <c r="T57318" s="41"/>
    </row>
    <row r="57319" spans="20:20" s="566" customFormat="1">
      <c r="T57319" s="41"/>
    </row>
    <row r="57320" spans="20:20" s="566" customFormat="1">
      <c r="T57320" s="41"/>
    </row>
    <row r="57321" spans="20:20" s="566" customFormat="1">
      <c r="T57321" s="41"/>
    </row>
    <row r="57322" spans="20:20" s="566" customFormat="1">
      <c r="T57322" s="41"/>
    </row>
    <row r="57323" spans="20:20" s="566" customFormat="1">
      <c r="T57323" s="41"/>
    </row>
    <row r="57324" spans="20:20" s="566" customFormat="1">
      <c r="T57324" s="41"/>
    </row>
    <row r="57325" spans="20:20" s="566" customFormat="1">
      <c r="T57325" s="41"/>
    </row>
    <row r="57326" spans="20:20" s="566" customFormat="1">
      <c r="T57326" s="41"/>
    </row>
    <row r="57327" spans="20:20" s="566" customFormat="1">
      <c r="T57327" s="41"/>
    </row>
    <row r="57328" spans="20:20" s="566" customFormat="1">
      <c r="T57328" s="41"/>
    </row>
    <row r="57329" spans="20:20" s="566" customFormat="1">
      <c r="T57329" s="41"/>
    </row>
    <row r="57330" spans="20:20" s="566" customFormat="1">
      <c r="T57330" s="41"/>
    </row>
    <row r="57331" spans="20:20" s="566" customFormat="1">
      <c r="T57331" s="41"/>
    </row>
    <row r="57332" spans="20:20" s="566" customFormat="1">
      <c r="T57332" s="41"/>
    </row>
    <row r="57333" spans="20:20" s="566" customFormat="1">
      <c r="T57333" s="41"/>
    </row>
    <row r="57334" spans="20:20" s="566" customFormat="1">
      <c r="T57334" s="41"/>
    </row>
    <row r="57335" spans="20:20" s="566" customFormat="1">
      <c r="T57335" s="41"/>
    </row>
    <row r="57336" spans="20:20" s="566" customFormat="1">
      <c r="T57336" s="41"/>
    </row>
    <row r="57337" spans="20:20" s="566" customFormat="1">
      <c r="T57337" s="41"/>
    </row>
    <row r="57338" spans="20:20" s="566" customFormat="1">
      <c r="T57338" s="41"/>
    </row>
    <row r="57339" spans="20:20" s="566" customFormat="1">
      <c r="T57339" s="41"/>
    </row>
    <row r="57340" spans="20:20" s="566" customFormat="1">
      <c r="T57340" s="41"/>
    </row>
    <row r="57341" spans="20:20" s="566" customFormat="1">
      <c r="T57341" s="41"/>
    </row>
    <row r="57342" spans="20:20" s="566" customFormat="1">
      <c r="T57342" s="41"/>
    </row>
    <row r="57343" spans="20:20" s="566" customFormat="1">
      <c r="T57343" s="41"/>
    </row>
    <row r="57344" spans="20:20" s="566" customFormat="1">
      <c r="T57344" s="41"/>
    </row>
    <row r="57345" spans="20:20" s="566" customFormat="1">
      <c r="T57345" s="41"/>
    </row>
    <row r="57346" spans="20:20" s="566" customFormat="1">
      <c r="T57346" s="41"/>
    </row>
    <row r="57347" spans="20:20" s="566" customFormat="1">
      <c r="T57347" s="41"/>
    </row>
    <row r="57348" spans="20:20" s="566" customFormat="1">
      <c r="T57348" s="41"/>
    </row>
    <row r="57349" spans="20:20" s="566" customFormat="1">
      <c r="T57349" s="41"/>
    </row>
    <row r="57350" spans="20:20" s="566" customFormat="1">
      <c r="T57350" s="41"/>
    </row>
    <row r="57351" spans="20:20" s="566" customFormat="1">
      <c r="T57351" s="41"/>
    </row>
    <row r="57352" spans="20:20" s="566" customFormat="1">
      <c r="T57352" s="41"/>
    </row>
    <row r="57353" spans="20:20" s="566" customFormat="1">
      <c r="T57353" s="41"/>
    </row>
    <row r="57354" spans="20:20" s="566" customFormat="1">
      <c r="T57354" s="41"/>
    </row>
    <row r="57355" spans="20:20" s="566" customFormat="1">
      <c r="T57355" s="41"/>
    </row>
    <row r="57356" spans="20:20" s="566" customFormat="1">
      <c r="T57356" s="41"/>
    </row>
    <row r="57357" spans="20:20" s="566" customFormat="1">
      <c r="T57357" s="41"/>
    </row>
    <row r="57358" spans="20:20" s="566" customFormat="1">
      <c r="T57358" s="41"/>
    </row>
    <row r="57359" spans="20:20" s="566" customFormat="1">
      <c r="T57359" s="41"/>
    </row>
    <row r="57360" spans="20:20" s="566" customFormat="1">
      <c r="T57360" s="41"/>
    </row>
    <row r="57361" spans="20:20" s="566" customFormat="1">
      <c r="T57361" s="41"/>
    </row>
    <row r="57362" spans="20:20" s="566" customFormat="1">
      <c r="T57362" s="41"/>
    </row>
    <row r="57363" spans="20:20" s="566" customFormat="1">
      <c r="T57363" s="41"/>
    </row>
    <row r="57364" spans="20:20" s="566" customFormat="1">
      <c r="T57364" s="41"/>
    </row>
    <row r="57365" spans="20:20" s="566" customFormat="1">
      <c r="T57365" s="41"/>
    </row>
    <row r="57366" spans="20:20" s="566" customFormat="1">
      <c r="T57366" s="41"/>
    </row>
    <row r="57367" spans="20:20" s="566" customFormat="1">
      <c r="T57367" s="41"/>
    </row>
    <row r="57368" spans="20:20" s="566" customFormat="1">
      <c r="T57368" s="41"/>
    </row>
    <row r="57369" spans="20:20" s="566" customFormat="1">
      <c r="T57369" s="41"/>
    </row>
    <row r="57370" spans="20:20" s="566" customFormat="1">
      <c r="T57370" s="41"/>
    </row>
    <row r="57371" spans="20:20" s="566" customFormat="1">
      <c r="T57371" s="41"/>
    </row>
    <row r="57372" spans="20:20" s="566" customFormat="1">
      <c r="T57372" s="41"/>
    </row>
    <row r="57373" spans="20:20" s="566" customFormat="1">
      <c r="T57373" s="41"/>
    </row>
    <row r="57374" spans="20:20" s="566" customFormat="1">
      <c r="T57374" s="41"/>
    </row>
    <row r="57375" spans="20:20" s="566" customFormat="1">
      <c r="T57375" s="41"/>
    </row>
    <row r="57376" spans="20:20" s="566" customFormat="1">
      <c r="T57376" s="41"/>
    </row>
    <row r="57377" spans="20:20" s="566" customFormat="1">
      <c r="T57377" s="41"/>
    </row>
    <row r="57378" spans="20:20" s="566" customFormat="1">
      <c r="T57378" s="41"/>
    </row>
    <row r="57379" spans="20:20" s="566" customFormat="1">
      <c r="T57379" s="41"/>
    </row>
    <row r="57380" spans="20:20" s="566" customFormat="1">
      <c r="T57380" s="41"/>
    </row>
    <row r="57381" spans="20:20" s="566" customFormat="1">
      <c r="T57381" s="41"/>
    </row>
    <row r="57382" spans="20:20" s="566" customFormat="1">
      <c r="T57382" s="41"/>
    </row>
    <row r="57383" spans="20:20" s="566" customFormat="1">
      <c r="T57383" s="41"/>
    </row>
    <row r="57384" spans="20:20" s="566" customFormat="1">
      <c r="T57384" s="41"/>
    </row>
    <row r="57385" spans="20:20" s="566" customFormat="1">
      <c r="T57385" s="41"/>
    </row>
    <row r="57386" spans="20:20" s="566" customFormat="1">
      <c r="T57386" s="41"/>
    </row>
    <row r="57387" spans="20:20" s="566" customFormat="1">
      <c r="T57387" s="41"/>
    </row>
    <row r="57388" spans="20:20" s="566" customFormat="1">
      <c r="T57388" s="41"/>
    </row>
    <row r="57389" spans="20:20" s="566" customFormat="1">
      <c r="T57389" s="41"/>
    </row>
    <row r="57390" spans="20:20" s="566" customFormat="1">
      <c r="T57390" s="41"/>
    </row>
    <row r="57391" spans="20:20" s="566" customFormat="1">
      <c r="T57391" s="41"/>
    </row>
    <row r="57392" spans="20:20" s="566" customFormat="1">
      <c r="T57392" s="41"/>
    </row>
    <row r="57393" spans="20:20" s="566" customFormat="1">
      <c r="T57393" s="41"/>
    </row>
    <row r="57394" spans="20:20" s="566" customFormat="1">
      <c r="T57394" s="41"/>
    </row>
    <row r="57395" spans="20:20" s="566" customFormat="1">
      <c r="T57395" s="41"/>
    </row>
    <row r="57396" spans="20:20" s="566" customFormat="1">
      <c r="T57396" s="41"/>
    </row>
    <row r="57397" spans="20:20" s="566" customFormat="1">
      <c r="T57397" s="41"/>
    </row>
    <row r="57398" spans="20:20" s="566" customFormat="1">
      <c r="T57398" s="41"/>
    </row>
    <row r="57399" spans="20:20" s="566" customFormat="1">
      <c r="T57399" s="41"/>
    </row>
    <row r="57400" spans="20:20" s="566" customFormat="1">
      <c r="T57400" s="41"/>
    </row>
    <row r="57401" spans="20:20" s="566" customFormat="1">
      <c r="T57401" s="41"/>
    </row>
    <row r="57402" spans="20:20" s="566" customFormat="1">
      <c r="T57402" s="41"/>
    </row>
    <row r="57403" spans="20:20" s="566" customFormat="1">
      <c r="T57403" s="41"/>
    </row>
    <row r="57404" spans="20:20" s="566" customFormat="1">
      <c r="T57404" s="41"/>
    </row>
    <row r="57405" spans="20:20" s="566" customFormat="1">
      <c r="T57405" s="41"/>
    </row>
    <row r="57406" spans="20:20" s="566" customFormat="1">
      <c r="T57406" s="41"/>
    </row>
    <row r="57407" spans="20:20" s="566" customFormat="1">
      <c r="T57407" s="41"/>
    </row>
    <row r="57408" spans="20:20" s="566" customFormat="1">
      <c r="T57408" s="41"/>
    </row>
    <row r="57409" spans="20:20" s="566" customFormat="1">
      <c r="T57409" s="41"/>
    </row>
    <row r="57410" spans="20:20" s="566" customFormat="1">
      <c r="T57410" s="41"/>
    </row>
    <row r="57411" spans="20:20" s="566" customFormat="1">
      <c r="T57411" s="41"/>
    </row>
    <row r="57412" spans="20:20" s="566" customFormat="1">
      <c r="T57412" s="41"/>
    </row>
    <row r="57413" spans="20:20" s="566" customFormat="1">
      <c r="T57413" s="41"/>
    </row>
    <row r="57414" spans="20:20" s="566" customFormat="1">
      <c r="T57414" s="41"/>
    </row>
    <row r="57415" spans="20:20" s="566" customFormat="1">
      <c r="T57415" s="41"/>
    </row>
    <row r="57416" spans="20:20" s="566" customFormat="1">
      <c r="T57416" s="41"/>
    </row>
    <row r="57417" spans="20:20" s="566" customFormat="1">
      <c r="T57417" s="41"/>
    </row>
    <row r="57418" spans="20:20" s="566" customFormat="1">
      <c r="T57418" s="41"/>
    </row>
    <row r="57419" spans="20:20" s="566" customFormat="1">
      <c r="T57419" s="41"/>
    </row>
    <row r="57420" spans="20:20" s="566" customFormat="1">
      <c r="T57420" s="41"/>
    </row>
    <row r="57421" spans="20:20" s="566" customFormat="1">
      <c r="T57421" s="41"/>
    </row>
    <row r="57422" spans="20:20" s="566" customFormat="1">
      <c r="T57422" s="41"/>
    </row>
    <row r="57423" spans="20:20" s="566" customFormat="1">
      <c r="T57423" s="41"/>
    </row>
    <row r="57424" spans="20:20" s="566" customFormat="1">
      <c r="T57424" s="41"/>
    </row>
    <row r="57425" spans="20:20" s="566" customFormat="1">
      <c r="T57425" s="41"/>
    </row>
    <row r="57426" spans="20:20" s="566" customFormat="1">
      <c r="T57426" s="41"/>
    </row>
    <row r="57427" spans="20:20" s="566" customFormat="1">
      <c r="T57427" s="41"/>
    </row>
    <row r="57428" spans="20:20" s="566" customFormat="1">
      <c r="T57428" s="41"/>
    </row>
    <row r="57429" spans="20:20" s="566" customFormat="1">
      <c r="T57429" s="41"/>
    </row>
    <row r="57430" spans="20:20" s="566" customFormat="1">
      <c r="T57430" s="41"/>
    </row>
    <row r="57431" spans="20:20" s="566" customFormat="1">
      <c r="T57431" s="41"/>
    </row>
    <row r="57432" spans="20:20" s="566" customFormat="1">
      <c r="T57432" s="41"/>
    </row>
    <row r="57433" spans="20:20" s="566" customFormat="1">
      <c r="T57433" s="41"/>
    </row>
    <row r="57434" spans="20:20" s="566" customFormat="1">
      <c r="T57434" s="41"/>
    </row>
    <row r="57435" spans="20:20" s="566" customFormat="1">
      <c r="T57435" s="41"/>
    </row>
    <row r="57436" spans="20:20" s="566" customFormat="1">
      <c r="T57436" s="41"/>
    </row>
    <row r="57437" spans="20:20" s="566" customFormat="1">
      <c r="T57437" s="41"/>
    </row>
    <row r="57438" spans="20:20" s="566" customFormat="1">
      <c r="T57438" s="41"/>
    </row>
    <row r="57439" spans="20:20" s="566" customFormat="1">
      <c r="T57439" s="41"/>
    </row>
    <row r="57440" spans="20:20" s="566" customFormat="1">
      <c r="T57440" s="41"/>
    </row>
    <row r="57441" spans="20:20" s="566" customFormat="1">
      <c r="T57441" s="41"/>
    </row>
    <row r="57442" spans="20:20" s="566" customFormat="1">
      <c r="T57442" s="41"/>
    </row>
    <row r="57443" spans="20:20" s="566" customFormat="1">
      <c r="T57443" s="41"/>
    </row>
    <row r="57444" spans="20:20" s="566" customFormat="1">
      <c r="T57444" s="41"/>
    </row>
    <row r="57445" spans="20:20" s="566" customFormat="1">
      <c r="T57445" s="41"/>
    </row>
    <row r="57446" spans="20:20" s="566" customFormat="1">
      <c r="T57446" s="41"/>
    </row>
    <row r="57447" spans="20:20" s="566" customFormat="1">
      <c r="T57447" s="41"/>
    </row>
    <row r="57448" spans="20:20" s="566" customFormat="1">
      <c r="T57448" s="41"/>
    </row>
    <row r="57449" spans="20:20" s="566" customFormat="1">
      <c r="T57449" s="41"/>
    </row>
    <row r="57450" spans="20:20" s="566" customFormat="1">
      <c r="T57450" s="41"/>
    </row>
    <row r="57451" spans="20:20" s="566" customFormat="1">
      <c r="T57451" s="41"/>
    </row>
    <row r="57452" spans="20:20" s="566" customFormat="1">
      <c r="T57452" s="41"/>
    </row>
    <row r="57453" spans="20:20" s="566" customFormat="1">
      <c r="T57453" s="41"/>
    </row>
    <row r="57454" spans="20:20" s="566" customFormat="1">
      <c r="T57454" s="41"/>
    </row>
    <row r="57455" spans="20:20" s="566" customFormat="1">
      <c r="T57455" s="41"/>
    </row>
    <row r="57456" spans="20:20" s="566" customFormat="1">
      <c r="T57456" s="41"/>
    </row>
    <row r="57457" spans="20:20" s="566" customFormat="1">
      <c r="T57457" s="41"/>
    </row>
    <row r="57458" spans="20:20" s="566" customFormat="1">
      <c r="T57458" s="41"/>
    </row>
    <row r="57459" spans="20:20" s="566" customFormat="1">
      <c r="T57459" s="41"/>
    </row>
    <row r="57460" spans="20:20" s="566" customFormat="1">
      <c r="T57460" s="41"/>
    </row>
    <row r="57461" spans="20:20" s="566" customFormat="1">
      <c r="T57461" s="41"/>
    </row>
    <row r="57462" spans="20:20" s="566" customFormat="1">
      <c r="T57462" s="41"/>
    </row>
    <row r="57463" spans="20:20" s="566" customFormat="1">
      <c r="T57463" s="41"/>
    </row>
    <row r="57464" spans="20:20" s="566" customFormat="1">
      <c r="T57464" s="41"/>
    </row>
    <row r="57465" spans="20:20" s="566" customFormat="1">
      <c r="T57465" s="41"/>
    </row>
    <row r="57466" spans="20:20" s="566" customFormat="1">
      <c r="T57466" s="41"/>
    </row>
    <row r="57467" spans="20:20" s="566" customFormat="1">
      <c r="T57467" s="41"/>
    </row>
    <row r="57468" spans="20:20" s="566" customFormat="1">
      <c r="T57468" s="41"/>
    </row>
    <row r="57469" spans="20:20" s="566" customFormat="1">
      <c r="T57469" s="41"/>
    </row>
    <row r="57470" spans="20:20" s="566" customFormat="1">
      <c r="T57470" s="41"/>
    </row>
    <row r="57471" spans="20:20" s="566" customFormat="1">
      <c r="T57471" s="41"/>
    </row>
    <row r="57472" spans="20:20" s="566" customFormat="1">
      <c r="T57472" s="41"/>
    </row>
    <row r="57473" spans="20:20" s="566" customFormat="1">
      <c r="T57473" s="41"/>
    </row>
    <row r="57474" spans="20:20" s="566" customFormat="1">
      <c r="T57474" s="41"/>
    </row>
    <row r="57475" spans="20:20" s="566" customFormat="1">
      <c r="T57475" s="41"/>
    </row>
    <row r="57476" spans="20:20" s="566" customFormat="1">
      <c r="T57476" s="41"/>
    </row>
    <row r="57477" spans="20:20" s="566" customFormat="1">
      <c r="T57477" s="41"/>
    </row>
    <row r="57478" spans="20:20" s="566" customFormat="1">
      <c r="T57478" s="41"/>
    </row>
    <row r="57479" spans="20:20" s="566" customFormat="1">
      <c r="T57479" s="41"/>
    </row>
    <row r="57480" spans="20:20" s="566" customFormat="1">
      <c r="T57480" s="41"/>
    </row>
    <row r="57481" spans="20:20" s="566" customFormat="1">
      <c r="T57481" s="41"/>
    </row>
    <row r="57482" spans="20:20" s="566" customFormat="1">
      <c r="T57482" s="41"/>
    </row>
    <row r="57483" spans="20:20" s="566" customFormat="1">
      <c r="T57483" s="41"/>
    </row>
    <row r="57484" spans="20:20" s="566" customFormat="1">
      <c r="T57484" s="41"/>
    </row>
    <row r="57485" spans="20:20" s="566" customFormat="1">
      <c r="T57485" s="41"/>
    </row>
    <row r="57486" spans="20:20" s="566" customFormat="1">
      <c r="T57486" s="41"/>
    </row>
    <row r="57487" spans="20:20" s="566" customFormat="1">
      <c r="T57487" s="41"/>
    </row>
    <row r="57488" spans="20:20" s="566" customFormat="1">
      <c r="T57488" s="41"/>
    </row>
    <row r="57489" spans="20:20" s="566" customFormat="1">
      <c r="T57489" s="41"/>
    </row>
    <row r="57490" spans="20:20" s="566" customFormat="1">
      <c r="T57490" s="41"/>
    </row>
    <row r="57491" spans="20:20" s="566" customFormat="1">
      <c r="T57491" s="41"/>
    </row>
    <row r="57492" spans="20:20" s="566" customFormat="1">
      <c r="T57492" s="41"/>
    </row>
    <row r="57493" spans="20:20" s="566" customFormat="1">
      <c r="T57493" s="41"/>
    </row>
    <row r="57494" spans="20:20" s="566" customFormat="1">
      <c r="T57494" s="41"/>
    </row>
    <row r="57495" spans="20:20" s="566" customFormat="1">
      <c r="T57495" s="41"/>
    </row>
    <row r="57496" spans="20:20" s="566" customFormat="1">
      <c r="T57496" s="41"/>
    </row>
    <row r="57497" spans="20:20" s="566" customFormat="1">
      <c r="T57497" s="41"/>
    </row>
    <row r="57498" spans="20:20" s="566" customFormat="1">
      <c r="T57498" s="41"/>
    </row>
    <row r="57499" spans="20:20" s="566" customFormat="1">
      <c r="T57499" s="41"/>
    </row>
    <row r="57500" spans="20:20" s="566" customFormat="1">
      <c r="T57500" s="41"/>
    </row>
    <row r="57501" spans="20:20" s="566" customFormat="1">
      <c r="T57501" s="41"/>
    </row>
    <row r="57502" spans="20:20" s="566" customFormat="1">
      <c r="T57502" s="41"/>
    </row>
    <row r="57503" spans="20:20" s="566" customFormat="1">
      <c r="T57503" s="41"/>
    </row>
    <row r="57504" spans="20:20" s="566" customFormat="1">
      <c r="T57504" s="41"/>
    </row>
    <row r="57505" spans="20:20" s="566" customFormat="1">
      <c r="T57505" s="41"/>
    </row>
    <row r="57506" spans="20:20" s="566" customFormat="1">
      <c r="T57506" s="41"/>
    </row>
    <row r="57507" spans="20:20" s="566" customFormat="1">
      <c r="T57507" s="41"/>
    </row>
    <row r="57508" spans="20:20" s="566" customFormat="1">
      <c r="T57508" s="41"/>
    </row>
    <row r="57509" spans="20:20" s="566" customFormat="1">
      <c r="T57509" s="41"/>
    </row>
    <row r="57510" spans="20:20" s="566" customFormat="1">
      <c r="T57510" s="41"/>
    </row>
    <row r="57511" spans="20:20" s="566" customFormat="1">
      <c r="T57511" s="41"/>
    </row>
    <row r="57512" spans="20:20" s="566" customFormat="1">
      <c r="T57512" s="41"/>
    </row>
    <row r="57513" spans="20:20" s="566" customFormat="1">
      <c r="T57513" s="41"/>
    </row>
    <row r="57514" spans="20:20" s="566" customFormat="1">
      <c r="T57514" s="41"/>
    </row>
    <row r="57515" spans="20:20" s="566" customFormat="1">
      <c r="T57515" s="41"/>
    </row>
    <row r="57516" spans="20:20" s="566" customFormat="1">
      <c r="T57516" s="41"/>
    </row>
    <row r="57517" spans="20:20" s="566" customFormat="1">
      <c r="T57517" s="41"/>
    </row>
    <row r="57518" spans="20:20" s="566" customFormat="1">
      <c r="T57518" s="41"/>
    </row>
    <row r="57519" spans="20:20" s="566" customFormat="1">
      <c r="T57519" s="41"/>
    </row>
    <row r="57520" spans="20:20" s="566" customFormat="1">
      <c r="T57520" s="41"/>
    </row>
    <row r="57521" spans="20:20" s="566" customFormat="1">
      <c r="T57521" s="41"/>
    </row>
    <row r="57522" spans="20:20" s="566" customFormat="1">
      <c r="T57522" s="41"/>
    </row>
    <row r="57523" spans="20:20" s="566" customFormat="1">
      <c r="T57523" s="41"/>
    </row>
    <row r="57524" spans="20:20" s="566" customFormat="1">
      <c r="T57524" s="41"/>
    </row>
    <row r="57525" spans="20:20" s="566" customFormat="1">
      <c r="T57525" s="41"/>
    </row>
    <row r="57526" spans="20:20" s="566" customFormat="1">
      <c r="T57526" s="41"/>
    </row>
    <row r="57527" spans="20:20" s="566" customFormat="1">
      <c r="T57527" s="41"/>
    </row>
    <row r="57528" spans="20:20" s="566" customFormat="1">
      <c r="T57528" s="41"/>
    </row>
    <row r="57529" spans="20:20" s="566" customFormat="1">
      <c r="T57529" s="41"/>
    </row>
    <row r="57530" spans="20:20" s="566" customFormat="1">
      <c r="T57530" s="41"/>
    </row>
    <row r="57531" spans="20:20" s="566" customFormat="1">
      <c r="T57531" s="41"/>
    </row>
    <row r="57532" spans="20:20" s="566" customFormat="1">
      <c r="T57532" s="41"/>
    </row>
    <row r="57533" spans="20:20" s="566" customFormat="1">
      <c r="T57533" s="41"/>
    </row>
    <row r="57534" spans="20:20" s="566" customFormat="1">
      <c r="T57534" s="41"/>
    </row>
    <row r="57535" spans="20:20" s="566" customFormat="1">
      <c r="T57535" s="41"/>
    </row>
    <row r="57536" spans="20:20" s="566" customFormat="1">
      <c r="T57536" s="41"/>
    </row>
    <row r="57537" spans="20:20" s="566" customFormat="1">
      <c r="T57537" s="41"/>
    </row>
    <row r="57538" spans="20:20" s="566" customFormat="1">
      <c r="T57538" s="41"/>
    </row>
    <row r="57539" spans="20:20" s="566" customFormat="1">
      <c r="T57539" s="41"/>
    </row>
    <row r="57540" spans="20:20" s="566" customFormat="1">
      <c r="T57540" s="41"/>
    </row>
    <row r="57541" spans="20:20" s="566" customFormat="1">
      <c r="T57541" s="41"/>
    </row>
    <row r="57542" spans="20:20" s="566" customFormat="1">
      <c r="T57542" s="41"/>
    </row>
    <row r="57543" spans="20:20" s="566" customFormat="1">
      <c r="T57543" s="41"/>
    </row>
    <row r="57544" spans="20:20" s="566" customFormat="1">
      <c r="T57544" s="41"/>
    </row>
    <row r="57545" spans="20:20" s="566" customFormat="1">
      <c r="T57545" s="41"/>
    </row>
    <row r="57546" spans="20:20" s="566" customFormat="1">
      <c r="T57546" s="41"/>
    </row>
    <row r="57547" spans="20:20" s="566" customFormat="1">
      <c r="T57547" s="41"/>
    </row>
    <row r="57548" spans="20:20" s="566" customFormat="1">
      <c r="T57548" s="41"/>
    </row>
    <row r="57549" spans="20:20" s="566" customFormat="1">
      <c r="T57549" s="41"/>
    </row>
    <row r="57550" spans="20:20" s="566" customFormat="1">
      <c r="T57550" s="41"/>
    </row>
    <row r="57551" spans="20:20" s="566" customFormat="1">
      <c r="T57551" s="41"/>
    </row>
    <row r="57552" spans="20:20" s="566" customFormat="1">
      <c r="T57552" s="41"/>
    </row>
    <row r="57553" spans="20:20" s="566" customFormat="1">
      <c r="T57553" s="41"/>
    </row>
    <row r="57554" spans="20:20" s="566" customFormat="1">
      <c r="T57554" s="41"/>
    </row>
    <row r="57555" spans="20:20" s="566" customFormat="1">
      <c r="T57555" s="41"/>
    </row>
    <row r="57556" spans="20:20" s="566" customFormat="1">
      <c r="T57556" s="41"/>
    </row>
    <row r="57557" spans="20:20" s="566" customFormat="1">
      <c r="T57557" s="41"/>
    </row>
    <row r="57558" spans="20:20" s="566" customFormat="1">
      <c r="T57558" s="41"/>
    </row>
    <row r="57559" spans="20:20" s="566" customFormat="1">
      <c r="T57559" s="41"/>
    </row>
    <row r="57560" spans="20:20" s="566" customFormat="1">
      <c r="T57560" s="41"/>
    </row>
    <row r="57561" spans="20:20" s="566" customFormat="1">
      <c r="T57561" s="41"/>
    </row>
    <row r="57562" spans="20:20" s="566" customFormat="1">
      <c r="T57562" s="41"/>
    </row>
    <row r="57563" spans="20:20" s="566" customFormat="1">
      <c r="T57563" s="41"/>
    </row>
    <row r="57564" spans="20:20" s="566" customFormat="1">
      <c r="T57564" s="41"/>
    </row>
    <row r="57565" spans="20:20" s="566" customFormat="1">
      <c r="T57565" s="41"/>
    </row>
    <row r="57566" spans="20:20" s="566" customFormat="1">
      <c r="T57566" s="41"/>
    </row>
    <row r="57567" spans="20:20" s="566" customFormat="1">
      <c r="T57567" s="41"/>
    </row>
    <row r="57568" spans="20:20" s="566" customFormat="1">
      <c r="T57568" s="41"/>
    </row>
    <row r="57569" spans="20:20" s="566" customFormat="1">
      <c r="T57569" s="41"/>
    </row>
    <row r="57570" spans="20:20" s="566" customFormat="1">
      <c r="T57570" s="41"/>
    </row>
    <row r="57571" spans="20:20" s="566" customFormat="1">
      <c r="T57571" s="41"/>
    </row>
    <row r="57572" spans="20:20" s="566" customFormat="1">
      <c r="T57572" s="41"/>
    </row>
    <row r="57573" spans="20:20" s="566" customFormat="1">
      <c r="T57573" s="41"/>
    </row>
    <row r="57574" spans="20:20" s="566" customFormat="1">
      <c r="T57574" s="41"/>
    </row>
    <row r="57575" spans="20:20" s="566" customFormat="1">
      <c r="T57575" s="41"/>
    </row>
    <row r="57576" spans="20:20" s="566" customFormat="1">
      <c r="T57576" s="41"/>
    </row>
    <row r="57577" spans="20:20" s="566" customFormat="1">
      <c r="T57577" s="41"/>
    </row>
    <row r="57578" spans="20:20" s="566" customFormat="1">
      <c r="T57578" s="41"/>
    </row>
    <row r="57579" spans="20:20" s="566" customFormat="1">
      <c r="T57579" s="41"/>
    </row>
    <row r="57580" spans="20:20" s="566" customFormat="1">
      <c r="T57580" s="41"/>
    </row>
    <row r="57581" spans="20:20" s="566" customFormat="1">
      <c r="T57581" s="41"/>
    </row>
    <row r="57582" spans="20:20" s="566" customFormat="1">
      <c r="T57582" s="41"/>
    </row>
    <row r="57583" spans="20:20" s="566" customFormat="1">
      <c r="T57583" s="41"/>
    </row>
    <row r="57584" spans="20:20" s="566" customFormat="1">
      <c r="T57584" s="41"/>
    </row>
    <row r="57585" spans="20:20" s="566" customFormat="1">
      <c r="T57585" s="41"/>
    </row>
    <row r="57586" spans="20:20" s="566" customFormat="1">
      <c r="T57586" s="41"/>
    </row>
    <row r="57587" spans="20:20" s="566" customFormat="1">
      <c r="T57587" s="41"/>
    </row>
    <row r="57588" spans="20:20" s="566" customFormat="1">
      <c r="T57588" s="41"/>
    </row>
    <row r="57589" spans="20:20" s="566" customFormat="1">
      <c r="T57589" s="41"/>
    </row>
    <row r="57590" spans="20:20" s="566" customFormat="1">
      <c r="T57590" s="41"/>
    </row>
    <row r="57591" spans="20:20" s="566" customFormat="1">
      <c r="T57591" s="41"/>
    </row>
    <row r="57592" spans="20:20" s="566" customFormat="1">
      <c r="T57592" s="41"/>
    </row>
    <row r="57593" spans="20:20" s="566" customFormat="1">
      <c r="T57593" s="41"/>
    </row>
    <row r="57594" spans="20:20" s="566" customFormat="1">
      <c r="T57594" s="41"/>
    </row>
    <row r="57595" spans="20:20" s="566" customFormat="1">
      <c r="T57595" s="41"/>
    </row>
    <row r="57596" spans="20:20" s="566" customFormat="1">
      <c r="T57596" s="41"/>
    </row>
    <row r="57597" spans="20:20" s="566" customFormat="1">
      <c r="T57597" s="41"/>
    </row>
    <row r="57598" spans="20:20" s="566" customFormat="1">
      <c r="T57598" s="41"/>
    </row>
    <row r="57599" spans="20:20" s="566" customFormat="1">
      <c r="T57599" s="41"/>
    </row>
    <row r="57600" spans="20:20" s="566" customFormat="1">
      <c r="T57600" s="41"/>
    </row>
    <row r="57601" spans="20:20" s="566" customFormat="1">
      <c r="T57601" s="41"/>
    </row>
    <row r="57602" spans="20:20" s="566" customFormat="1">
      <c r="T57602" s="41"/>
    </row>
    <row r="57603" spans="20:20" s="566" customFormat="1">
      <c r="T57603" s="41"/>
    </row>
    <row r="57604" spans="20:20" s="566" customFormat="1">
      <c r="T57604" s="41"/>
    </row>
    <row r="57605" spans="20:20" s="566" customFormat="1">
      <c r="T57605" s="41"/>
    </row>
    <row r="57606" spans="20:20" s="566" customFormat="1">
      <c r="T57606" s="41"/>
    </row>
    <row r="57607" spans="20:20" s="566" customFormat="1">
      <c r="T57607" s="41"/>
    </row>
    <row r="57608" spans="20:20" s="566" customFormat="1">
      <c r="T57608" s="41"/>
    </row>
    <row r="57609" spans="20:20" s="566" customFormat="1">
      <c r="T57609" s="41"/>
    </row>
    <row r="57610" spans="20:20" s="566" customFormat="1">
      <c r="T57610" s="41"/>
    </row>
    <row r="57611" spans="20:20" s="566" customFormat="1">
      <c r="T57611" s="41"/>
    </row>
    <row r="57612" spans="20:20" s="566" customFormat="1">
      <c r="T57612" s="41"/>
    </row>
    <row r="57613" spans="20:20" s="566" customFormat="1">
      <c r="T57613" s="41"/>
    </row>
    <row r="57614" spans="20:20" s="566" customFormat="1">
      <c r="T57614" s="41"/>
    </row>
    <row r="57615" spans="20:20" s="566" customFormat="1">
      <c r="T57615" s="41"/>
    </row>
    <row r="57616" spans="20:20" s="566" customFormat="1">
      <c r="T57616" s="41"/>
    </row>
    <row r="57617" spans="20:20" s="566" customFormat="1">
      <c r="T57617" s="41"/>
    </row>
    <row r="57618" spans="20:20" s="566" customFormat="1">
      <c r="T57618" s="41"/>
    </row>
    <row r="57619" spans="20:20" s="566" customFormat="1">
      <c r="T57619" s="41"/>
    </row>
    <row r="57620" spans="20:20" s="566" customFormat="1">
      <c r="T57620" s="41"/>
    </row>
    <row r="57621" spans="20:20" s="566" customFormat="1">
      <c r="T57621" s="41"/>
    </row>
    <row r="57622" spans="20:20" s="566" customFormat="1">
      <c r="T57622" s="41"/>
    </row>
    <row r="57623" spans="20:20" s="566" customFormat="1">
      <c r="T57623" s="41"/>
    </row>
    <row r="57624" spans="20:20" s="566" customFormat="1">
      <c r="T57624" s="41"/>
    </row>
    <row r="57625" spans="20:20" s="566" customFormat="1">
      <c r="T57625" s="41"/>
    </row>
    <row r="57626" spans="20:20" s="566" customFormat="1">
      <c r="T57626" s="41"/>
    </row>
    <row r="57627" spans="20:20" s="566" customFormat="1">
      <c r="T57627" s="41"/>
    </row>
    <row r="57628" spans="20:20" s="566" customFormat="1">
      <c r="T57628" s="41"/>
    </row>
    <row r="57629" spans="20:20" s="566" customFormat="1">
      <c r="T57629" s="41"/>
    </row>
    <row r="57630" spans="20:20" s="566" customFormat="1">
      <c r="T57630" s="41"/>
    </row>
    <row r="57631" spans="20:20" s="566" customFormat="1">
      <c r="T57631" s="41"/>
    </row>
    <row r="57632" spans="20:20" s="566" customFormat="1">
      <c r="T57632" s="41"/>
    </row>
    <row r="57633" spans="20:20" s="566" customFormat="1">
      <c r="T57633" s="41"/>
    </row>
    <row r="57634" spans="20:20" s="566" customFormat="1">
      <c r="T57634" s="41"/>
    </row>
    <row r="57635" spans="20:20" s="566" customFormat="1">
      <c r="T57635" s="41"/>
    </row>
    <row r="57636" spans="20:20" s="566" customFormat="1">
      <c r="T57636" s="41"/>
    </row>
    <row r="57637" spans="20:20" s="566" customFormat="1">
      <c r="T57637" s="41"/>
    </row>
    <row r="57638" spans="20:20" s="566" customFormat="1">
      <c r="T57638" s="41"/>
    </row>
    <row r="57639" spans="20:20" s="566" customFormat="1">
      <c r="T57639" s="41"/>
    </row>
    <row r="57640" spans="20:20" s="566" customFormat="1">
      <c r="T57640" s="41"/>
    </row>
    <row r="57641" spans="20:20" s="566" customFormat="1">
      <c r="T57641" s="41"/>
    </row>
    <row r="57642" spans="20:20" s="566" customFormat="1">
      <c r="T57642" s="41"/>
    </row>
    <row r="57643" spans="20:20" s="566" customFormat="1">
      <c r="T57643" s="41"/>
    </row>
    <row r="57644" spans="20:20" s="566" customFormat="1">
      <c r="T57644" s="41"/>
    </row>
    <row r="57645" spans="20:20" s="566" customFormat="1">
      <c r="T57645" s="41"/>
    </row>
    <row r="57646" spans="20:20" s="566" customFormat="1">
      <c r="T57646" s="41"/>
    </row>
    <row r="57647" spans="20:20" s="566" customFormat="1">
      <c r="T57647" s="41"/>
    </row>
    <row r="57648" spans="20:20" s="566" customFormat="1">
      <c r="T57648" s="41"/>
    </row>
    <row r="57649" spans="20:20" s="566" customFormat="1">
      <c r="T57649" s="41"/>
    </row>
    <row r="57650" spans="20:20" s="566" customFormat="1">
      <c r="T57650" s="41"/>
    </row>
    <row r="57651" spans="20:20" s="566" customFormat="1">
      <c r="T57651" s="41"/>
    </row>
    <row r="57652" spans="20:20" s="566" customFormat="1">
      <c r="T57652" s="41"/>
    </row>
    <row r="57653" spans="20:20" s="566" customFormat="1">
      <c r="T57653" s="41"/>
    </row>
    <row r="57654" spans="20:20" s="566" customFormat="1">
      <c r="T57654" s="41"/>
    </row>
    <row r="57655" spans="20:20" s="566" customFormat="1">
      <c r="T57655" s="41"/>
    </row>
    <row r="57656" spans="20:20" s="566" customFormat="1">
      <c r="T57656" s="41"/>
    </row>
    <row r="57657" spans="20:20" s="566" customFormat="1">
      <c r="T57657" s="41"/>
    </row>
    <row r="57658" spans="20:20" s="566" customFormat="1">
      <c r="T57658" s="41"/>
    </row>
    <row r="57659" spans="20:20" s="566" customFormat="1">
      <c r="T57659" s="41"/>
    </row>
    <row r="57660" spans="20:20" s="566" customFormat="1">
      <c r="T57660" s="41"/>
    </row>
    <row r="57661" spans="20:20" s="566" customFormat="1">
      <c r="T57661" s="41"/>
    </row>
    <row r="57662" spans="20:20" s="566" customFormat="1">
      <c r="T57662" s="41"/>
    </row>
    <row r="57663" spans="20:20" s="566" customFormat="1">
      <c r="T57663" s="41"/>
    </row>
    <row r="57664" spans="20:20" s="566" customFormat="1">
      <c r="T57664" s="41"/>
    </row>
    <row r="57665" spans="20:20" s="566" customFormat="1">
      <c r="T57665" s="41"/>
    </row>
    <row r="57666" spans="20:20" s="566" customFormat="1">
      <c r="T57666" s="41"/>
    </row>
    <row r="57667" spans="20:20" s="566" customFormat="1">
      <c r="T57667" s="41"/>
    </row>
    <row r="57668" spans="20:20" s="566" customFormat="1">
      <c r="T57668" s="41"/>
    </row>
    <row r="57669" spans="20:20" s="566" customFormat="1">
      <c r="T57669" s="41"/>
    </row>
    <row r="57670" spans="20:20" s="566" customFormat="1">
      <c r="T57670" s="41"/>
    </row>
    <row r="57671" spans="20:20" s="566" customFormat="1">
      <c r="T57671" s="41"/>
    </row>
    <row r="57672" spans="20:20" s="566" customFormat="1">
      <c r="T57672" s="41"/>
    </row>
    <row r="57673" spans="20:20" s="566" customFormat="1">
      <c r="T57673" s="41"/>
    </row>
    <row r="57674" spans="20:20" s="566" customFormat="1">
      <c r="T57674" s="41"/>
    </row>
    <row r="57675" spans="20:20" s="566" customFormat="1">
      <c r="T57675" s="41"/>
    </row>
    <row r="57676" spans="20:20" s="566" customFormat="1">
      <c r="T57676" s="41"/>
    </row>
    <row r="57677" spans="20:20" s="566" customFormat="1">
      <c r="T57677" s="41"/>
    </row>
    <row r="57678" spans="20:20" s="566" customFormat="1">
      <c r="T57678" s="41"/>
    </row>
    <row r="57679" spans="20:20" s="566" customFormat="1">
      <c r="T57679" s="41"/>
    </row>
    <row r="57680" spans="20:20" s="566" customFormat="1">
      <c r="T57680" s="41"/>
    </row>
    <row r="57681" spans="20:20" s="566" customFormat="1">
      <c r="T57681" s="41"/>
    </row>
    <row r="57682" spans="20:20" s="566" customFormat="1">
      <c r="T57682" s="41"/>
    </row>
    <row r="57683" spans="20:20" s="566" customFormat="1">
      <c r="T57683" s="41"/>
    </row>
    <row r="57684" spans="20:20" s="566" customFormat="1">
      <c r="T57684" s="41"/>
    </row>
    <row r="57685" spans="20:20" s="566" customFormat="1">
      <c r="T57685" s="41"/>
    </row>
    <row r="57686" spans="20:20" s="566" customFormat="1">
      <c r="T57686" s="41"/>
    </row>
    <row r="57687" spans="20:20" s="566" customFormat="1">
      <c r="T57687" s="41"/>
    </row>
    <row r="57688" spans="20:20" s="566" customFormat="1">
      <c r="T57688" s="41"/>
    </row>
    <row r="57689" spans="20:20" s="566" customFormat="1">
      <c r="T57689" s="41"/>
    </row>
    <row r="57690" spans="20:20" s="566" customFormat="1">
      <c r="T57690" s="41"/>
    </row>
    <row r="57691" spans="20:20" s="566" customFormat="1">
      <c r="T57691" s="41"/>
    </row>
    <row r="57692" spans="20:20" s="566" customFormat="1">
      <c r="T57692" s="41"/>
    </row>
    <row r="57693" spans="20:20" s="566" customFormat="1">
      <c r="T57693" s="41"/>
    </row>
    <row r="57694" spans="20:20" s="566" customFormat="1">
      <c r="T57694" s="41"/>
    </row>
    <row r="57695" spans="20:20" s="566" customFormat="1">
      <c r="T57695" s="41"/>
    </row>
    <row r="57696" spans="20:20" s="566" customFormat="1">
      <c r="T57696" s="41"/>
    </row>
    <row r="57697" spans="20:20" s="566" customFormat="1">
      <c r="T57697" s="41"/>
    </row>
    <row r="57698" spans="20:20" s="566" customFormat="1">
      <c r="T57698" s="41"/>
    </row>
    <row r="57699" spans="20:20" s="566" customFormat="1">
      <c r="T57699" s="41"/>
    </row>
    <row r="57700" spans="20:20" s="566" customFormat="1">
      <c r="T57700" s="41"/>
    </row>
    <row r="57701" spans="20:20" s="566" customFormat="1">
      <c r="T57701" s="41"/>
    </row>
    <row r="57702" spans="20:20" s="566" customFormat="1">
      <c r="T57702" s="41"/>
    </row>
    <row r="57703" spans="20:20" s="566" customFormat="1">
      <c r="T57703" s="41"/>
    </row>
    <row r="57704" spans="20:20" s="566" customFormat="1">
      <c r="T57704" s="41"/>
    </row>
    <row r="57705" spans="20:20" s="566" customFormat="1">
      <c r="T57705" s="41"/>
    </row>
    <row r="57706" spans="20:20" s="566" customFormat="1">
      <c r="T57706" s="41"/>
    </row>
    <row r="57707" spans="20:20" s="566" customFormat="1">
      <c r="T57707" s="41"/>
    </row>
    <row r="57708" spans="20:20" s="566" customFormat="1">
      <c r="T57708" s="41"/>
    </row>
    <row r="57709" spans="20:20" s="566" customFormat="1">
      <c r="T57709" s="41"/>
    </row>
    <row r="57710" spans="20:20" s="566" customFormat="1">
      <c r="T57710" s="41"/>
    </row>
    <row r="57711" spans="20:20" s="566" customFormat="1">
      <c r="T57711" s="41"/>
    </row>
    <row r="57712" spans="20:20" s="566" customFormat="1">
      <c r="T57712" s="41"/>
    </row>
    <row r="57713" spans="20:20" s="566" customFormat="1">
      <c r="T57713" s="41"/>
    </row>
    <row r="57714" spans="20:20" s="566" customFormat="1">
      <c r="T57714" s="41"/>
    </row>
    <row r="57715" spans="20:20" s="566" customFormat="1">
      <c r="T57715" s="41"/>
    </row>
    <row r="57716" spans="20:20" s="566" customFormat="1">
      <c r="T57716" s="41"/>
    </row>
    <row r="57717" spans="20:20" s="566" customFormat="1">
      <c r="T57717" s="41"/>
    </row>
    <row r="57718" spans="20:20" s="566" customFormat="1">
      <c r="T57718" s="41"/>
    </row>
    <row r="57719" spans="20:20" s="566" customFormat="1">
      <c r="T57719" s="41"/>
    </row>
    <row r="57720" spans="20:20" s="566" customFormat="1">
      <c r="T57720" s="41"/>
    </row>
    <row r="57721" spans="20:20" s="566" customFormat="1">
      <c r="T57721" s="41"/>
    </row>
    <row r="57722" spans="20:20" s="566" customFormat="1">
      <c r="T57722" s="41"/>
    </row>
    <row r="57723" spans="20:20" s="566" customFormat="1">
      <c r="T57723" s="41"/>
    </row>
    <row r="57724" spans="20:20" s="566" customFormat="1">
      <c r="T57724" s="41"/>
    </row>
    <row r="57725" spans="20:20" s="566" customFormat="1">
      <c r="T57725" s="41"/>
    </row>
    <row r="57726" spans="20:20" s="566" customFormat="1">
      <c r="T57726" s="41"/>
    </row>
    <row r="57727" spans="20:20" s="566" customFormat="1">
      <c r="T57727" s="41"/>
    </row>
    <row r="57728" spans="20:20" s="566" customFormat="1">
      <c r="T57728" s="41"/>
    </row>
    <row r="57729" spans="20:20" s="566" customFormat="1">
      <c r="T57729" s="41"/>
    </row>
    <row r="57730" spans="20:20" s="566" customFormat="1">
      <c r="T57730" s="41"/>
    </row>
    <row r="57731" spans="20:20" s="566" customFormat="1">
      <c r="T57731" s="41"/>
    </row>
    <row r="57732" spans="20:20" s="566" customFormat="1">
      <c r="T57732" s="41"/>
    </row>
    <row r="57733" spans="20:20" s="566" customFormat="1">
      <c r="T57733" s="41"/>
    </row>
    <row r="57734" spans="20:20" s="566" customFormat="1">
      <c r="T57734" s="41"/>
    </row>
    <row r="57735" spans="20:20" s="566" customFormat="1">
      <c r="T57735" s="41"/>
    </row>
    <row r="57736" spans="20:20" s="566" customFormat="1">
      <c r="T57736" s="41"/>
    </row>
    <row r="57737" spans="20:20" s="566" customFormat="1">
      <c r="T57737" s="41"/>
    </row>
    <row r="57738" spans="20:20" s="566" customFormat="1">
      <c r="T57738" s="41"/>
    </row>
    <row r="57739" spans="20:20" s="566" customFormat="1">
      <c r="T57739" s="41"/>
    </row>
    <row r="57740" spans="20:20" s="566" customFormat="1">
      <c r="T57740" s="41"/>
    </row>
    <row r="57741" spans="20:20" s="566" customFormat="1">
      <c r="T57741" s="41"/>
    </row>
    <row r="57742" spans="20:20" s="566" customFormat="1">
      <c r="T57742" s="41"/>
    </row>
    <row r="57743" spans="20:20" s="566" customFormat="1">
      <c r="T57743" s="41"/>
    </row>
    <row r="57744" spans="20:20" s="566" customFormat="1">
      <c r="T57744" s="41"/>
    </row>
    <row r="57745" spans="20:20" s="566" customFormat="1">
      <c r="T57745" s="41"/>
    </row>
    <row r="57746" spans="20:20" s="566" customFormat="1">
      <c r="T57746" s="41"/>
    </row>
    <row r="57747" spans="20:20" s="566" customFormat="1">
      <c r="T57747" s="41"/>
    </row>
    <row r="57748" spans="20:20" s="566" customFormat="1">
      <c r="T57748" s="41"/>
    </row>
    <row r="57749" spans="20:20" s="566" customFormat="1">
      <c r="T57749" s="41"/>
    </row>
    <row r="57750" spans="20:20" s="566" customFormat="1">
      <c r="T57750" s="41"/>
    </row>
    <row r="57751" spans="20:20" s="566" customFormat="1">
      <c r="T57751" s="41"/>
    </row>
    <row r="57752" spans="20:20" s="566" customFormat="1">
      <c r="T57752" s="41"/>
    </row>
    <row r="57753" spans="20:20" s="566" customFormat="1">
      <c r="T57753" s="41"/>
    </row>
    <row r="57754" spans="20:20" s="566" customFormat="1">
      <c r="T57754" s="41"/>
    </row>
    <row r="57755" spans="20:20" s="566" customFormat="1">
      <c r="T57755" s="41"/>
    </row>
    <row r="57756" spans="20:20" s="566" customFormat="1">
      <c r="T57756" s="41"/>
    </row>
    <row r="57757" spans="20:20" s="566" customFormat="1">
      <c r="T57757" s="41"/>
    </row>
    <row r="57758" spans="20:20" s="566" customFormat="1">
      <c r="T57758" s="41"/>
    </row>
    <row r="57759" spans="20:20" s="566" customFormat="1">
      <c r="T57759" s="41"/>
    </row>
    <row r="57760" spans="20:20" s="566" customFormat="1">
      <c r="T57760" s="41"/>
    </row>
    <row r="57761" spans="20:20" s="566" customFormat="1">
      <c r="T57761" s="41"/>
    </row>
    <row r="57762" spans="20:20" s="566" customFormat="1">
      <c r="T57762" s="41"/>
    </row>
    <row r="57763" spans="20:20" s="566" customFormat="1">
      <c r="T57763" s="41"/>
    </row>
    <row r="57764" spans="20:20" s="566" customFormat="1">
      <c r="T57764" s="41"/>
    </row>
    <row r="57765" spans="20:20" s="566" customFormat="1">
      <c r="T57765" s="41"/>
    </row>
    <row r="57766" spans="20:20" s="566" customFormat="1">
      <c r="T57766" s="41"/>
    </row>
    <row r="57767" spans="20:20" s="566" customFormat="1">
      <c r="T57767" s="41"/>
    </row>
    <row r="57768" spans="20:20" s="566" customFormat="1">
      <c r="T57768" s="41"/>
    </row>
    <row r="57769" spans="20:20" s="566" customFormat="1">
      <c r="T57769" s="41"/>
    </row>
    <row r="57770" spans="20:20" s="566" customFormat="1">
      <c r="T57770" s="41"/>
    </row>
    <row r="57771" spans="20:20" s="566" customFormat="1">
      <c r="T57771" s="41"/>
    </row>
    <row r="57772" spans="20:20" s="566" customFormat="1">
      <c r="T57772" s="41"/>
    </row>
    <row r="57773" spans="20:20" s="566" customFormat="1">
      <c r="T57773" s="41"/>
    </row>
    <row r="57774" spans="20:20" s="566" customFormat="1">
      <c r="T57774" s="41"/>
    </row>
    <row r="57775" spans="20:20" s="566" customFormat="1">
      <c r="T57775" s="41"/>
    </row>
    <row r="57776" spans="20:20" s="566" customFormat="1">
      <c r="T57776" s="41"/>
    </row>
    <row r="57777" spans="20:20" s="566" customFormat="1">
      <c r="T57777" s="41"/>
    </row>
    <row r="57778" spans="20:20" s="566" customFormat="1">
      <c r="T57778" s="41"/>
    </row>
    <row r="57779" spans="20:20" s="566" customFormat="1">
      <c r="T57779" s="41"/>
    </row>
    <row r="57780" spans="20:20" s="566" customFormat="1">
      <c r="T57780" s="41"/>
    </row>
    <row r="57781" spans="20:20" s="566" customFormat="1">
      <c r="T57781" s="41"/>
    </row>
    <row r="57782" spans="20:20" s="566" customFormat="1">
      <c r="T57782" s="41"/>
    </row>
    <row r="57783" spans="20:20" s="566" customFormat="1">
      <c r="T57783" s="41"/>
    </row>
    <row r="57784" spans="20:20" s="566" customFormat="1">
      <c r="T57784" s="41"/>
    </row>
    <row r="57785" spans="20:20" s="566" customFormat="1">
      <c r="T57785" s="41"/>
    </row>
    <row r="57786" spans="20:20" s="566" customFormat="1">
      <c r="T57786" s="41"/>
    </row>
    <row r="57787" spans="20:20" s="566" customFormat="1">
      <c r="T57787" s="41"/>
    </row>
    <row r="57788" spans="20:20" s="566" customFormat="1">
      <c r="T57788" s="41"/>
    </row>
    <row r="57789" spans="20:20" s="566" customFormat="1">
      <c r="T57789" s="41"/>
    </row>
    <row r="57790" spans="20:20" s="566" customFormat="1">
      <c r="T57790" s="41"/>
    </row>
    <row r="57791" spans="20:20" s="566" customFormat="1">
      <c r="T57791" s="41"/>
    </row>
    <row r="57792" spans="20:20" s="566" customFormat="1">
      <c r="T57792" s="41"/>
    </row>
    <row r="57793" spans="20:20" s="566" customFormat="1">
      <c r="T57793" s="41"/>
    </row>
    <row r="57794" spans="20:20" s="566" customFormat="1">
      <c r="T57794" s="41"/>
    </row>
    <row r="57795" spans="20:20" s="566" customFormat="1">
      <c r="T57795" s="41"/>
    </row>
    <row r="57796" spans="20:20" s="566" customFormat="1">
      <c r="T57796" s="41"/>
    </row>
    <row r="57797" spans="20:20" s="566" customFormat="1">
      <c r="T57797" s="41"/>
    </row>
    <row r="57798" spans="20:20" s="566" customFormat="1">
      <c r="T57798" s="41"/>
    </row>
    <row r="57799" spans="20:20" s="566" customFormat="1">
      <c r="T57799" s="41"/>
    </row>
    <row r="57800" spans="20:20" s="566" customFormat="1">
      <c r="T57800" s="41"/>
    </row>
    <row r="57801" spans="20:20" s="566" customFormat="1">
      <c r="T57801" s="41"/>
    </row>
    <row r="57802" spans="20:20" s="566" customFormat="1">
      <c r="T57802" s="41"/>
    </row>
    <row r="57803" spans="20:20" s="566" customFormat="1">
      <c r="T57803" s="41"/>
    </row>
    <row r="57804" spans="20:20" s="566" customFormat="1">
      <c r="T57804" s="41"/>
    </row>
    <row r="57805" spans="20:20" s="566" customFormat="1">
      <c r="T57805" s="41"/>
    </row>
    <row r="57806" spans="20:20" s="566" customFormat="1">
      <c r="T57806" s="41"/>
    </row>
    <row r="57807" spans="20:20" s="566" customFormat="1">
      <c r="T57807" s="41"/>
    </row>
    <row r="57808" spans="20:20" s="566" customFormat="1">
      <c r="T57808" s="41"/>
    </row>
    <row r="57809" spans="20:20" s="566" customFormat="1">
      <c r="T57809" s="41"/>
    </row>
    <row r="57810" spans="20:20" s="566" customFormat="1">
      <c r="T57810" s="41"/>
    </row>
    <row r="57811" spans="20:20" s="566" customFormat="1">
      <c r="T57811" s="41"/>
    </row>
    <row r="57812" spans="20:20" s="566" customFormat="1">
      <c r="T57812" s="41"/>
    </row>
    <row r="57813" spans="20:20" s="566" customFormat="1">
      <c r="T57813" s="41"/>
    </row>
    <row r="57814" spans="20:20" s="566" customFormat="1">
      <c r="T57814" s="41"/>
    </row>
    <row r="57815" spans="20:20" s="566" customFormat="1">
      <c r="T57815" s="41"/>
    </row>
    <row r="57816" spans="20:20" s="566" customFormat="1">
      <c r="T57816" s="41"/>
    </row>
    <row r="57817" spans="20:20" s="566" customFormat="1">
      <c r="T57817" s="41"/>
    </row>
    <row r="57818" spans="20:20" s="566" customFormat="1">
      <c r="T57818" s="41"/>
    </row>
    <row r="57819" spans="20:20" s="566" customFormat="1">
      <c r="T57819" s="41"/>
    </row>
    <row r="57820" spans="20:20" s="566" customFormat="1">
      <c r="T57820" s="41"/>
    </row>
    <row r="57821" spans="20:20" s="566" customFormat="1">
      <c r="T57821" s="41"/>
    </row>
    <row r="57822" spans="20:20" s="566" customFormat="1">
      <c r="T57822" s="41"/>
    </row>
    <row r="57823" spans="20:20" s="566" customFormat="1">
      <c r="T57823" s="41"/>
    </row>
    <row r="57824" spans="20:20" s="566" customFormat="1">
      <c r="T57824" s="41"/>
    </row>
    <row r="57825" spans="20:20" s="566" customFormat="1">
      <c r="T57825" s="41"/>
    </row>
    <row r="57826" spans="20:20" s="566" customFormat="1">
      <c r="T57826" s="41"/>
    </row>
    <row r="57827" spans="20:20" s="566" customFormat="1">
      <c r="T57827" s="41"/>
    </row>
    <row r="57828" spans="20:20" s="566" customFormat="1">
      <c r="T57828" s="41"/>
    </row>
    <row r="57829" spans="20:20" s="566" customFormat="1">
      <c r="T57829" s="41"/>
    </row>
    <row r="57830" spans="20:20" s="566" customFormat="1">
      <c r="T57830" s="41"/>
    </row>
    <row r="57831" spans="20:20" s="566" customFormat="1">
      <c r="T57831" s="41"/>
    </row>
    <row r="57832" spans="20:20" s="566" customFormat="1">
      <c r="T57832" s="41"/>
    </row>
    <row r="57833" spans="20:20" s="566" customFormat="1">
      <c r="T57833" s="41"/>
    </row>
    <row r="57834" spans="20:20" s="566" customFormat="1">
      <c r="T57834" s="41"/>
    </row>
    <row r="57835" spans="20:20" s="566" customFormat="1">
      <c r="T57835" s="41"/>
    </row>
    <row r="57836" spans="20:20" s="566" customFormat="1">
      <c r="T57836" s="41"/>
    </row>
    <row r="57837" spans="20:20" s="566" customFormat="1">
      <c r="T57837" s="41"/>
    </row>
    <row r="57838" spans="20:20" s="566" customFormat="1">
      <c r="T57838" s="41"/>
    </row>
    <row r="57839" spans="20:20" s="566" customFormat="1">
      <c r="T57839" s="41"/>
    </row>
    <row r="57840" spans="20:20" s="566" customFormat="1">
      <c r="T57840" s="41"/>
    </row>
    <row r="57841" spans="20:20" s="566" customFormat="1">
      <c r="T57841" s="41"/>
    </row>
    <row r="57842" spans="20:20" s="566" customFormat="1">
      <c r="T57842" s="41"/>
    </row>
    <row r="57843" spans="20:20" s="566" customFormat="1">
      <c r="T57843" s="41"/>
    </row>
    <row r="57844" spans="20:20" s="566" customFormat="1">
      <c r="T57844" s="41"/>
    </row>
    <row r="57845" spans="20:20" s="566" customFormat="1">
      <c r="T57845" s="41"/>
    </row>
    <row r="57846" spans="20:20" s="566" customFormat="1">
      <c r="T57846" s="41"/>
    </row>
    <row r="57847" spans="20:20" s="566" customFormat="1">
      <c r="T57847" s="41"/>
    </row>
    <row r="57848" spans="20:20" s="566" customFormat="1">
      <c r="T57848" s="41"/>
    </row>
    <row r="57849" spans="20:20" s="566" customFormat="1">
      <c r="T57849" s="41"/>
    </row>
    <row r="57850" spans="20:20" s="566" customFormat="1">
      <c r="T57850" s="41"/>
    </row>
    <row r="57851" spans="20:20" s="566" customFormat="1">
      <c r="T57851" s="41"/>
    </row>
    <row r="57852" spans="20:20" s="566" customFormat="1">
      <c r="T57852" s="41"/>
    </row>
    <row r="57853" spans="20:20" s="566" customFormat="1">
      <c r="T57853" s="41"/>
    </row>
    <row r="57854" spans="20:20" s="566" customFormat="1">
      <c r="T57854" s="41"/>
    </row>
    <row r="57855" spans="20:20" s="566" customFormat="1">
      <c r="T57855" s="41"/>
    </row>
    <row r="57856" spans="20:20" s="566" customFormat="1">
      <c r="T57856" s="41"/>
    </row>
    <row r="57857" spans="20:20" s="566" customFormat="1">
      <c r="T57857" s="41"/>
    </row>
    <row r="57858" spans="20:20" s="566" customFormat="1">
      <c r="T57858" s="41"/>
    </row>
    <row r="57859" spans="20:20" s="566" customFormat="1">
      <c r="T57859" s="41"/>
    </row>
    <row r="57860" spans="20:20" s="566" customFormat="1">
      <c r="T57860" s="41"/>
    </row>
    <row r="57861" spans="20:20" s="566" customFormat="1">
      <c r="T57861" s="41"/>
    </row>
    <row r="57862" spans="20:20" s="566" customFormat="1">
      <c r="T57862" s="41"/>
    </row>
    <row r="57863" spans="20:20" s="566" customFormat="1">
      <c r="T57863" s="41"/>
    </row>
    <row r="57864" spans="20:20" s="566" customFormat="1">
      <c r="T57864" s="41"/>
    </row>
    <row r="57865" spans="20:20" s="566" customFormat="1">
      <c r="T57865" s="41"/>
    </row>
    <row r="57866" spans="20:20" s="566" customFormat="1">
      <c r="T57866" s="41"/>
    </row>
    <row r="57867" spans="20:20" s="566" customFormat="1">
      <c r="T57867" s="41"/>
    </row>
    <row r="57868" spans="20:20" s="566" customFormat="1">
      <c r="T57868" s="41"/>
    </row>
    <row r="57869" spans="20:20" s="566" customFormat="1">
      <c r="T57869" s="41"/>
    </row>
    <row r="57870" spans="20:20" s="566" customFormat="1">
      <c r="T57870" s="41"/>
    </row>
    <row r="57871" spans="20:20" s="566" customFormat="1">
      <c r="T57871" s="41"/>
    </row>
    <row r="57872" spans="20:20" s="566" customFormat="1">
      <c r="T57872" s="41"/>
    </row>
    <row r="57873" spans="20:20" s="566" customFormat="1">
      <c r="T57873" s="41"/>
    </row>
    <row r="57874" spans="20:20" s="566" customFormat="1">
      <c r="T57874" s="41"/>
    </row>
    <row r="57875" spans="20:20" s="566" customFormat="1">
      <c r="T57875" s="41"/>
    </row>
    <row r="57876" spans="20:20" s="566" customFormat="1">
      <c r="T57876" s="41"/>
    </row>
    <row r="57877" spans="20:20" s="566" customFormat="1">
      <c r="T57877" s="41"/>
    </row>
    <row r="57878" spans="20:20" s="566" customFormat="1">
      <c r="T57878" s="41"/>
    </row>
    <row r="57879" spans="20:20" s="566" customFormat="1">
      <c r="T57879" s="41"/>
    </row>
    <row r="57880" spans="20:20" s="566" customFormat="1">
      <c r="T57880" s="41"/>
    </row>
    <row r="57881" spans="20:20" s="566" customFormat="1">
      <c r="T57881" s="41"/>
    </row>
    <row r="57882" spans="20:20" s="566" customFormat="1">
      <c r="T57882" s="41"/>
    </row>
    <row r="57883" spans="20:20" s="566" customFormat="1">
      <c r="T57883" s="41"/>
    </row>
    <row r="57884" spans="20:20" s="566" customFormat="1">
      <c r="T57884" s="41"/>
    </row>
    <row r="57885" spans="20:20" s="566" customFormat="1">
      <c r="T57885" s="41"/>
    </row>
    <row r="57886" spans="20:20" s="566" customFormat="1">
      <c r="T57886" s="41"/>
    </row>
    <row r="57887" spans="20:20" s="566" customFormat="1">
      <c r="T57887" s="41"/>
    </row>
    <row r="57888" spans="20:20" s="566" customFormat="1">
      <c r="T57888" s="41"/>
    </row>
    <row r="57889" spans="20:20" s="566" customFormat="1">
      <c r="T57889" s="41"/>
    </row>
    <row r="57890" spans="20:20" s="566" customFormat="1">
      <c r="T57890" s="41"/>
    </row>
    <row r="57891" spans="20:20" s="566" customFormat="1">
      <c r="T57891" s="41"/>
    </row>
    <row r="57892" spans="20:20" s="566" customFormat="1">
      <c r="T57892" s="41"/>
    </row>
    <row r="57893" spans="20:20" s="566" customFormat="1">
      <c r="T57893" s="41"/>
    </row>
    <row r="57894" spans="20:20" s="566" customFormat="1">
      <c r="T57894" s="41"/>
    </row>
    <row r="57895" spans="20:20" s="566" customFormat="1">
      <c r="T57895" s="41"/>
    </row>
    <row r="57896" spans="20:20" s="566" customFormat="1">
      <c r="T57896" s="41"/>
    </row>
    <row r="57897" spans="20:20" s="566" customFormat="1">
      <c r="T57897" s="41"/>
    </row>
    <row r="57898" spans="20:20" s="566" customFormat="1">
      <c r="T57898" s="41"/>
    </row>
    <row r="57899" spans="20:20" s="566" customFormat="1">
      <c r="T57899" s="41"/>
    </row>
    <row r="57900" spans="20:20" s="566" customFormat="1">
      <c r="T57900" s="41"/>
    </row>
    <row r="57901" spans="20:20" s="566" customFormat="1">
      <c r="T57901" s="41"/>
    </row>
    <row r="57902" spans="20:20" s="566" customFormat="1">
      <c r="T57902" s="41"/>
    </row>
    <row r="57903" spans="20:20" s="566" customFormat="1">
      <c r="T57903" s="41"/>
    </row>
    <row r="57904" spans="20:20" s="566" customFormat="1">
      <c r="T57904" s="41"/>
    </row>
    <row r="57905" spans="20:20" s="566" customFormat="1">
      <c r="T57905" s="41"/>
    </row>
    <row r="57906" spans="20:20" s="566" customFormat="1">
      <c r="T57906" s="41"/>
    </row>
    <row r="57907" spans="20:20" s="566" customFormat="1">
      <c r="T57907" s="41"/>
    </row>
    <row r="57908" spans="20:20" s="566" customFormat="1">
      <c r="T57908" s="41"/>
    </row>
    <row r="57909" spans="20:20" s="566" customFormat="1">
      <c r="T57909" s="41"/>
    </row>
    <row r="57910" spans="20:20" s="566" customFormat="1">
      <c r="T57910" s="41"/>
    </row>
    <row r="57911" spans="20:20" s="566" customFormat="1">
      <c r="T57911" s="41"/>
    </row>
    <row r="57912" spans="20:20" s="566" customFormat="1">
      <c r="T57912" s="41"/>
    </row>
    <row r="57913" spans="20:20" s="566" customFormat="1">
      <c r="T57913" s="41"/>
    </row>
    <row r="57914" spans="20:20" s="566" customFormat="1">
      <c r="T57914" s="41"/>
    </row>
    <row r="57915" spans="20:20" s="566" customFormat="1">
      <c r="T57915" s="41"/>
    </row>
    <row r="57916" spans="20:20" s="566" customFormat="1">
      <c r="T57916" s="41"/>
    </row>
    <row r="57917" spans="20:20" s="566" customFormat="1">
      <c r="T57917" s="41"/>
    </row>
    <row r="57918" spans="20:20" s="566" customFormat="1">
      <c r="T57918" s="41"/>
    </row>
    <row r="57919" spans="20:20" s="566" customFormat="1">
      <c r="T57919" s="41"/>
    </row>
    <row r="57920" spans="20:20" s="566" customFormat="1">
      <c r="T57920" s="41"/>
    </row>
    <row r="57921" spans="20:20" s="566" customFormat="1">
      <c r="T57921" s="41"/>
    </row>
    <row r="57922" spans="20:20" s="566" customFormat="1">
      <c r="T57922" s="41"/>
    </row>
    <row r="57923" spans="20:20" s="566" customFormat="1">
      <c r="T57923" s="41"/>
    </row>
    <row r="57924" spans="20:20" s="566" customFormat="1">
      <c r="T57924" s="41"/>
    </row>
    <row r="57925" spans="20:20" s="566" customFormat="1">
      <c r="T57925" s="41"/>
    </row>
    <row r="57926" spans="20:20" s="566" customFormat="1">
      <c r="T57926" s="41"/>
    </row>
    <row r="57927" spans="20:20" s="566" customFormat="1">
      <c r="T57927" s="41"/>
    </row>
    <row r="57928" spans="20:20" s="566" customFormat="1">
      <c r="T57928" s="41"/>
    </row>
    <row r="57929" spans="20:20" s="566" customFormat="1">
      <c r="T57929" s="41"/>
    </row>
    <row r="57930" spans="20:20" s="566" customFormat="1">
      <c r="T57930" s="41"/>
    </row>
    <row r="57931" spans="20:20" s="566" customFormat="1">
      <c r="T57931" s="41"/>
    </row>
    <row r="57932" spans="20:20" s="566" customFormat="1">
      <c r="T57932" s="41"/>
    </row>
    <row r="57933" spans="20:20" s="566" customFormat="1">
      <c r="T57933" s="41"/>
    </row>
    <row r="57934" spans="20:20" s="566" customFormat="1">
      <c r="T57934" s="41"/>
    </row>
    <row r="57935" spans="20:20" s="566" customFormat="1">
      <c r="T57935" s="41"/>
    </row>
    <row r="57936" spans="20:20" s="566" customFormat="1">
      <c r="T57936" s="41"/>
    </row>
    <row r="57937" spans="20:20" s="566" customFormat="1">
      <c r="T57937" s="41"/>
    </row>
    <row r="57938" spans="20:20" s="566" customFormat="1">
      <c r="T57938" s="41"/>
    </row>
    <row r="57939" spans="20:20" s="566" customFormat="1">
      <c r="T57939" s="41"/>
    </row>
    <row r="57940" spans="20:20" s="566" customFormat="1">
      <c r="T57940" s="41"/>
    </row>
    <row r="57941" spans="20:20" s="566" customFormat="1">
      <c r="T57941" s="41"/>
    </row>
    <row r="57942" spans="20:20" s="566" customFormat="1">
      <c r="T57942" s="41"/>
    </row>
    <row r="57943" spans="20:20" s="566" customFormat="1">
      <c r="T57943" s="41"/>
    </row>
    <row r="57944" spans="20:20" s="566" customFormat="1">
      <c r="T57944" s="41"/>
    </row>
    <row r="57945" spans="20:20" s="566" customFormat="1">
      <c r="T57945" s="41"/>
    </row>
    <row r="57946" spans="20:20" s="566" customFormat="1">
      <c r="T57946" s="41"/>
    </row>
    <row r="57947" spans="20:20" s="566" customFormat="1">
      <c r="T57947" s="41"/>
    </row>
    <row r="57948" spans="20:20" s="566" customFormat="1">
      <c r="T57948" s="41"/>
    </row>
    <row r="57949" spans="20:20" s="566" customFormat="1">
      <c r="T57949" s="41"/>
    </row>
    <row r="57950" spans="20:20" s="566" customFormat="1">
      <c r="T57950" s="41"/>
    </row>
    <row r="57951" spans="20:20" s="566" customFormat="1">
      <c r="T57951" s="41"/>
    </row>
    <row r="57952" spans="20:20" s="566" customFormat="1">
      <c r="T57952" s="41"/>
    </row>
    <row r="57953" spans="20:20" s="566" customFormat="1">
      <c r="T57953" s="41"/>
    </row>
    <row r="57954" spans="20:20" s="566" customFormat="1">
      <c r="T57954" s="41"/>
    </row>
    <row r="57955" spans="20:20" s="566" customFormat="1">
      <c r="T57955" s="41"/>
    </row>
    <row r="57956" spans="20:20" s="566" customFormat="1">
      <c r="T57956" s="41"/>
    </row>
    <row r="57957" spans="20:20" s="566" customFormat="1">
      <c r="T57957" s="41"/>
    </row>
    <row r="57958" spans="20:20" s="566" customFormat="1">
      <c r="T57958" s="41"/>
    </row>
    <row r="57959" spans="20:20" s="566" customFormat="1">
      <c r="T57959" s="41"/>
    </row>
    <row r="57960" spans="20:20" s="566" customFormat="1">
      <c r="T57960" s="41"/>
    </row>
    <row r="57961" spans="20:20" s="566" customFormat="1">
      <c r="T57961" s="41"/>
    </row>
    <row r="57962" spans="20:20" s="566" customFormat="1">
      <c r="T57962" s="41"/>
    </row>
    <row r="57963" spans="20:20" s="566" customFormat="1">
      <c r="T57963" s="41"/>
    </row>
    <row r="57964" spans="20:20" s="566" customFormat="1">
      <c r="T57964" s="41"/>
    </row>
    <row r="57965" spans="20:20" s="566" customFormat="1">
      <c r="T57965" s="41"/>
    </row>
    <row r="57966" spans="20:20" s="566" customFormat="1">
      <c r="T57966" s="41"/>
    </row>
    <row r="57967" spans="20:20" s="566" customFormat="1">
      <c r="T57967" s="41"/>
    </row>
    <row r="57968" spans="20:20" s="566" customFormat="1">
      <c r="T57968" s="41"/>
    </row>
    <row r="57969" spans="20:20" s="566" customFormat="1">
      <c r="T57969" s="41"/>
    </row>
    <row r="57970" spans="20:20" s="566" customFormat="1">
      <c r="T57970" s="41"/>
    </row>
    <row r="57971" spans="20:20" s="566" customFormat="1">
      <c r="T57971" s="41"/>
    </row>
    <row r="57972" spans="20:20" s="566" customFormat="1">
      <c r="T57972" s="41"/>
    </row>
    <row r="57973" spans="20:20" s="566" customFormat="1">
      <c r="T57973" s="41"/>
    </row>
    <row r="57974" spans="20:20" s="566" customFormat="1">
      <c r="T57974" s="41"/>
    </row>
    <row r="57975" spans="20:20" s="566" customFormat="1">
      <c r="T57975" s="41"/>
    </row>
    <row r="57976" spans="20:20" s="566" customFormat="1">
      <c r="T57976" s="41"/>
    </row>
    <row r="57977" spans="20:20" s="566" customFormat="1">
      <c r="T57977" s="41"/>
    </row>
    <row r="57978" spans="20:20" s="566" customFormat="1">
      <c r="T57978" s="41"/>
    </row>
    <row r="57979" spans="20:20" s="566" customFormat="1">
      <c r="T57979" s="41"/>
    </row>
    <row r="57980" spans="20:20" s="566" customFormat="1">
      <c r="T57980" s="41"/>
    </row>
    <row r="57981" spans="20:20" s="566" customFormat="1">
      <c r="T57981" s="41"/>
    </row>
    <row r="57982" spans="20:20" s="566" customFormat="1">
      <c r="T57982" s="41"/>
    </row>
    <row r="57983" spans="20:20" s="566" customFormat="1">
      <c r="T57983" s="41"/>
    </row>
    <row r="57984" spans="20:20" s="566" customFormat="1">
      <c r="T57984" s="41"/>
    </row>
    <row r="57985" spans="20:20" s="566" customFormat="1">
      <c r="T57985" s="41"/>
    </row>
    <row r="57986" spans="20:20" s="566" customFormat="1">
      <c r="T57986" s="41"/>
    </row>
    <row r="57987" spans="20:20" s="566" customFormat="1">
      <c r="T57987" s="41"/>
    </row>
    <row r="57988" spans="20:20" s="566" customFormat="1">
      <c r="T57988" s="41"/>
    </row>
    <row r="57989" spans="20:20" s="566" customFormat="1">
      <c r="T57989" s="41"/>
    </row>
    <row r="57990" spans="20:20" s="566" customFormat="1">
      <c r="T57990" s="41"/>
    </row>
    <row r="57991" spans="20:20" s="566" customFormat="1">
      <c r="T57991" s="41"/>
    </row>
    <row r="57992" spans="20:20" s="566" customFormat="1">
      <c r="T57992" s="41"/>
    </row>
    <row r="57993" spans="20:20" s="566" customFormat="1">
      <c r="T57993" s="41"/>
    </row>
    <row r="57994" spans="20:20" s="566" customFormat="1">
      <c r="T57994" s="41"/>
    </row>
    <row r="57995" spans="20:20" s="566" customFormat="1">
      <c r="T57995" s="41"/>
    </row>
    <row r="57996" spans="20:20" s="566" customFormat="1">
      <c r="T57996" s="41"/>
    </row>
    <row r="57997" spans="20:20" s="566" customFormat="1">
      <c r="T57997" s="41"/>
    </row>
    <row r="57998" spans="20:20" s="566" customFormat="1">
      <c r="T57998" s="41"/>
    </row>
    <row r="57999" spans="20:20" s="566" customFormat="1">
      <c r="T57999" s="41"/>
    </row>
    <row r="58000" spans="20:20" s="566" customFormat="1">
      <c r="T58000" s="41"/>
    </row>
    <row r="58001" spans="20:20" s="566" customFormat="1">
      <c r="T58001" s="41"/>
    </row>
    <row r="58002" spans="20:20" s="566" customFormat="1">
      <c r="T58002" s="41"/>
    </row>
    <row r="58003" spans="20:20" s="566" customFormat="1">
      <c r="T58003" s="41"/>
    </row>
    <row r="58004" spans="20:20" s="566" customFormat="1">
      <c r="T58004" s="41"/>
    </row>
    <row r="58005" spans="20:20" s="566" customFormat="1">
      <c r="T58005" s="41"/>
    </row>
    <row r="58006" spans="20:20" s="566" customFormat="1">
      <c r="T58006" s="41"/>
    </row>
    <row r="58007" spans="20:20" s="566" customFormat="1">
      <c r="T58007" s="41"/>
    </row>
    <row r="58008" spans="20:20" s="566" customFormat="1">
      <c r="T58008" s="41"/>
    </row>
    <row r="58009" spans="20:20" s="566" customFormat="1">
      <c r="T58009" s="41"/>
    </row>
    <row r="58010" spans="20:20" s="566" customFormat="1">
      <c r="T58010" s="41"/>
    </row>
    <row r="58011" spans="20:20" s="566" customFormat="1">
      <c r="T58011" s="41"/>
    </row>
    <row r="58012" spans="20:20" s="566" customFormat="1">
      <c r="T58012" s="41"/>
    </row>
    <row r="58013" spans="20:20" s="566" customFormat="1">
      <c r="T58013" s="41"/>
    </row>
    <row r="58014" spans="20:20" s="566" customFormat="1">
      <c r="T58014" s="41"/>
    </row>
    <row r="58015" spans="20:20" s="566" customFormat="1">
      <c r="T58015" s="41"/>
    </row>
    <row r="58016" spans="20:20" s="566" customFormat="1">
      <c r="T58016" s="41"/>
    </row>
    <row r="58017" spans="20:20" s="566" customFormat="1">
      <c r="T58017" s="41"/>
    </row>
    <row r="58018" spans="20:20" s="566" customFormat="1">
      <c r="T58018" s="41"/>
    </row>
    <row r="58019" spans="20:20" s="566" customFormat="1">
      <c r="T58019" s="41"/>
    </row>
    <row r="58020" spans="20:20" s="566" customFormat="1">
      <c r="T58020" s="41"/>
    </row>
    <row r="58021" spans="20:20" s="566" customFormat="1">
      <c r="T58021" s="41"/>
    </row>
    <row r="58022" spans="20:20" s="566" customFormat="1">
      <c r="T58022" s="41"/>
    </row>
    <row r="58023" spans="20:20" s="566" customFormat="1">
      <c r="T58023" s="41"/>
    </row>
    <row r="58024" spans="20:20" s="566" customFormat="1">
      <c r="T58024" s="41"/>
    </row>
    <row r="58025" spans="20:20" s="566" customFormat="1">
      <c r="T58025" s="41"/>
    </row>
    <row r="58026" spans="20:20" s="566" customFormat="1">
      <c r="T58026" s="41"/>
    </row>
    <row r="58027" spans="20:20" s="566" customFormat="1">
      <c r="T58027" s="41"/>
    </row>
    <row r="58028" spans="20:20" s="566" customFormat="1">
      <c r="T58028" s="41"/>
    </row>
    <row r="58029" spans="20:20" s="566" customFormat="1">
      <c r="T58029" s="41"/>
    </row>
    <row r="58030" spans="20:20" s="566" customFormat="1">
      <c r="T58030" s="41"/>
    </row>
    <row r="58031" spans="20:20" s="566" customFormat="1">
      <c r="T58031" s="41"/>
    </row>
    <row r="58032" spans="20:20" s="566" customFormat="1">
      <c r="T58032" s="41"/>
    </row>
    <row r="58033" spans="20:20" s="566" customFormat="1">
      <c r="T58033" s="41"/>
    </row>
    <row r="58034" spans="20:20" s="566" customFormat="1">
      <c r="T58034" s="41"/>
    </row>
    <row r="58035" spans="20:20" s="566" customFormat="1">
      <c r="T58035" s="41"/>
    </row>
    <row r="58036" spans="20:20" s="566" customFormat="1">
      <c r="T58036" s="41"/>
    </row>
    <row r="58037" spans="20:20" s="566" customFormat="1">
      <c r="T58037" s="41"/>
    </row>
    <row r="58038" spans="20:20" s="566" customFormat="1">
      <c r="T58038" s="41"/>
    </row>
    <row r="58039" spans="20:20" s="566" customFormat="1">
      <c r="T58039" s="41"/>
    </row>
    <row r="58040" spans="20:20" s="566" customFormat="1">
      <c r="T58040" s="41"/>
    </row>
    <row r="58041" spans="20:20" s="566" customFormat="1">
      <c r="T58041" s="41"/>
    </row>
    <row r="58042" spans="20:20" s="566" customFormat="1">
      <c r="T58042" s="41"/>
    </row>
    <row r="58043" spans="20:20" s="566" customFormat="1">
      <c r="T58043" s="41"/>
    </row>
    <row r="58044" spans="20:20" s="566" customFormat="1">
      <c r="T58044" s="41"/>
    </row>
    <row r="58045" spans="20:20" s="566" customFormat="1">
      <c r="T58045" s="41"/>
    </row>
    <row r="58046" spans="20:20" s="566" customFormat="1">
      <c r="T58046" s="41"/>
    </row>
    <row r="58047" spans="20:20" s="566" customFormat="1">
      <c r="T58047" s="41"/>
    </row>
    <row r="58048" spans="20:20" s="566" customFormat="1">
      <c r="T58048" s="41"/>
    </row>
    <row r="58049" spans="20:20" s="566" customFormat="1">
      <c r="T58049" s="41"/>
    </row>
    <row r="58050" spans="20:20" s="566" customFormat="1">
      <c r="T58050" s="41"/>
    </row>
    <row r="58051" spans="20:20" s="566" customFormat="1">
      <c r="T58051" s="41"/>
    </row>
    <row r="58052" spans="20:20" s="566" customFormat="1">
      <c r="T58052" s="41"/>
    </row>
    <row r="58053" spans="20:20" s="566" customFormat="1">
      <c r="T58053" s="41"/>
    </row>
    <row r="58054" spans="20:20" s="566" customFormat="1">
      <c r="T58054" s="41"/>
    </row>
    <row r="58055" spans="20:20" s="566" customFormat="1">
      <c r="T58055" s="41"/>
    </row>
    <row r="58056" spans="20:20" s="566" customFormat="1">
      <c r="T58056" s="41"/>
    </row>
    <row r="58057" spans="20:20" s="566" customFormat="1">
      <c r="T58057" s="41"/>
    </row>
    <row r="58058" spans="20:20" s="566" customFormat="1">
      <c r="T58058" s="41"/>
    </row>
    <row r="58059" spans="20:20" s="566" customFormat="1">
      <c r="T58059" s="41"/>
    </row>
    <row r="58060" spans="20:20" s="566" customFormat="1">
      <c r="T58060" s="41"/>
    </row>
    <row r="58061" spans="20:20" s="566" customFormat="1">
      <c r="T58061" s="41"/>
    </row>
    <row r="58062" spans="20:20" s="566" customFormat="1">
      <c r="T58062" s="41"/>
    </row>
    <row r="58063" spans="20:20" s="566" customFormat="1">
      <c r="T58063" s="41"/>
    </row>
    <row r="58064" spans="20:20" s="566" customFormat="1">
      <c r="T58064" s="41"/>
    </row>
    <row r="58065" spans="20:20" s="566" customFormat="1">
      <c r="T58065" s="41"/>
    </row>
    <row r="58066" spans="20:20" s="566" customFormat="1">
      <c r="T58066" s="41"/>
    </row>
    <row r="58067" spans="20:20" s="566" customFormat="1">
      <c r="T58067" s="41"/>
    </row>
    <row r="58068" spans="20:20" s="566" customFormat="1">
      <c r="T58068" s="41"/>
    </row>
    <row r="58069" spans="20:20" s="566" customFormat="1">
      <c r="T58069" s="41"/>
    </row>
    <row r="58070" spans="20:20" s="566" customFormat="1">
      <c r="T58070" s="41"/>
    </row>
    <row r="58071" spans="20:20" s="566" customFormat="1">
      <c r="T58071" s="41"/>
    </row>
    <row r="58072" spans="20:20" s="566" customFormat="1">
      <c r="T58072" s="41"/>
    </row>
    <row r="58073" spans="20:20" s="566" customFormat="1">
      <c r="T58073" s="41"/>
    </row>
    <row r="58074" spans="20:20" s="566" customFormat="1">
      <c r="T58074" s="41"/>
    </row>
    <row r="58075" spans="20:20" s="566" customFormat="1">
      <c r="T58075" s="41"/>
    </row>
    <row r="58076" spans="20:20" s="566" customFormat="1">
      <c r="T58076" s="41"/>
    </row>
    <row r="58077" spans="20:20" s="566" customFormat="1">
      <c r="T58077" s="41"/>
    </row>
    <row r="58078" spans="20:20" s="566" customFormat="1">
      <c r="T58078" s="41"/>
    </row>
    <row r="58079" spans="20:20" s="566" customFormat="1">
      <c r="T58079" s="41"/>
    </row>
    <row r="58080" spans="20:20" s="566" customFormat="1">
      <c r="T58080" s="41"/>
    </row>
    <row r="58081" spans="20:20" s="566" customFormat="1">
      <c r="T58081" s="41"/>
    </row>
    <row r="58082" spans="20:20" s="566" customFormat="1">
      <c r="T58082" s="41"/>
    </row>
    <row r="58083" spans="20:20" s="566" customFormat="1">
      <c r="T58083" s="41"/>
    </row>
    <row r="58084" spans="20:20" s="566" customFormat="1">
      <c r="T58084" s="41"/>
    </row>
    <row r="58085" spans="20:20" s="566" customFormat="1">
      <c r="T58085" s="41"/>
    </row>
    <row r="58086" spans="20:20" s="566" customFormat="1">
      <c r="T58086" s="41"/>
    </row>
    <row r="58087" spans="20:20" s="566" customFormat="1">
      <c r="T58087" s="41"/>
    </row>
    <row r="58088" spans="20:20" s="566" customFormat="1">
      <c r="T58088" s="41"/>
    </row>
    <row r="58089" spans="20:20" s="566" customFormat="1">
      <c r="T58089" s="41"/>
    </row>
    <row r="58090" spans="20:20" s="566" customFormat="1">
      <c r="T58090" s="41"/>
    </row>
    <row r="58091" spans="20:20" s="566" customFormat="1">
      <c r="T58091" s="41"/>
    </row>
    <row r="58092" spans="20:20" s="566" customFormat="1">
      <c r="T58092" s="41"/>
    </row>
    <row r="58093" spans="20:20" s="566" customFormat="1">
      <c r="T58093" s="41"/>
    </row>
    <row r="58094" spans="20:20" s="566" customFormat="1">
      <c r="T58094" s="41"/>
    </row>
    <row r="58095" spans="20:20" s="566" customFormat="1">
      <c r="T58095" s="41"/>
    </row>
    <row r="58096" spans="20:20" s="566" customFormat="1">
      <c r="T58096" s="41"/>
    </row>
    <row r="58097" spans="20:20" s="566" customFormat="1">
      <c r="T58097" s="41"/>
    </row>
    <row r="58098" spans="20:20" s="566" customFormat="1">
      <c r="T58098" s="41"/>
    </row>
    <row r="58099" spans="20:20" s="566" customFormat="1">
      <c r="T58099" s="41"/>
    </row>
    <row r="58100" spans="20:20" s="566" customFormat="1">
      <c r="T58100" s="41"/>
    </row>
    <row r="58101" spans="20:20" s="566" customFormat="1">
      <c r="T58101" s="41"/>
    </row>
    <row r="58102" spans="20:20" s="566" customFormat="1">
      <c r="T58102" s="41"/>
    </row>
    <row r="58103" spans="20:20" s="566" customFormat="1">
      <c r="T58103" s="41"/>
    </row>
    <row r="58104" spans="20:20" s="566" customFormat="1">
      <c r="T58104" s="41"/>
    </row>
    <row r="58105" spans="20:20" s="566" customFormat="1">
      <c r="T58105" s="41"/>
    </row>
    <row r="58106" spans="20:20" s="566" customFormat="1">
      <c r="T58106" s="41"/>
    </row>
    <row r="58107" spans="20:20" s="566" customFormat="1">
      <c r="T58107" s="41"/>
    </row>
    <row r="58108" spans="20:20" s="566" customFormat="1">
      <c r="T58108" s="41"/>
    </row>
    <row r="58109" spans="20:20" s="566" customFormat="1">
      <c r="T58109" s="41"/>
    </row>
    <row r="58110" spans="20:20" s="566" customFormat="1">
      <c r="T58110" s="41"/>
    </row>
    <row r="58111" spans="20:20" s="566" customFormat="1">
      <c r="T58111" s="41"/>
    </row>
    <row r="58112" spans="20:20" s="566" customFormat="1">
      <c r="T58112" s="41"/>
    </row>
    <row r="58113" spans="20:20" s="566" customFormat="1">
      <c r="T58113" s="41"/>
    </row>
    <row r="58114" spans="20:20" s="566" customFormat="1">
      <c r="T58114" s="41"/>
    </row>
    <row r="58115" spans="20:20" s="566" customFormat="1">
      <c r="T58115" s="41"/>
    </row>
    <row r="58116" spans="20:20" s="566" customFormat="1">
      <c r="T58116" s="41"/>
    </row>
    <row r="58117" spans="20:20" s="566" customFormat="1">
      <c r="T58117" s="41"/>
    </row>
    <row r="58118" spans="20:20" s="566" customFormat="1">
      <c r="T58118" s="41"/>
    </row>
    <row r="58119" spans="20:20" s="566" customFormat="1">
      <c r="T58119" s="41"/>
    </row>
    <row r="58120" spans="20:20" s="566" customFormat="1">
      <c r="T58120" s="41"/>
    </row>
    <row r="58121" spans="20:20" s="566" customFormat="1">
      <c r="T58121" s="41"/>
    </row>
    <row r="58122" spans="20:20" s="566" customFormat="1">
      <c r="T58122" s="41"/>
    </row>
    <row r="58123" spans="20:20" s="566" customFormat="1">
      <c r="T58123" s="41"/>
    </row>
    <row r="58124" spans="20:20" s="566" customFormat="1">
      <c r="T58124" s="41"/>
    </row>
    <row r="58125" spans="20:20" s="566" customFormat="1">
      <c r="T58125" s="41"/>
    </row>
    <row r="58126" spans="20:20" s="566" customFormat="1">
      <c r="T58126" s="41"/>
    </row>
    <row r="58127" spans="20:20" s="566" customFormat="1">
      <c r="T58127" s="41"/>
    </row>
    <row r="58128" spans="20:20" s="566" customFormat="1">
      <c r="T58128" s="41"/>
    </row>
    <row r="58129" spans="20:20" s="566" customFormat="1">
      <c r="T58129" s="41"/>
    </row>
    <row r="58130" spans="20:20" s="566" customFormat="1">
      <c r="T58130" s="41"/>
    </row>
    <row r="58131" spans="20:20" s="566" customFormat="1">
      <c r="T58131" s="41"/>
    </row>
    <row r="58132" spans="20:20" s="566" customFormat="1">
      <c r="T58132" s="41"/>
    </row>
    <row r="58133" spans="20:20" s="566" customFormat="1">
      <c r="T58133" s="41"/>
    </row>
    <row r="58134" spans="20:20" s="566" customFormat="1">
      <c r="T58134" s="41"/>
    </row>
    <row r="58135" spans="20:20" s="566" customFormat="1">
      <c r="T58135" s="41"/>
    </row>
    <row r="58136" spans="20:20" s="566" customFormat="1">
      <c r="T58136" s="41"/>
    </row>
    <row r="58137" spans="20:20" s="566" customFormat="1">
      <c r="T58137" s="41"/>
    </row>
    <row r="58138" spans="20:20" s="566" customFormat="1">
      <c r="T58138" s="41"/>
    </row>
    <row r="58139" spans="20:20" s="566" customFormat="1">
      <c r="T58139" s="41"/>
    </row>
    <row r="58140" spans="20:20" s="566" customFormat="1">
      <c r="T58140" s="41"/>
    </row>
    <row r="58141" spans="20:20" s="566" customFormat="1">
      <c r="T58141" s="41"/>
    </row>
    <row r="58142" spans="20:20" s="566" customFormat="1">
      <c r="T58142" s="41"/>
    </row>
    <row r="58143" spans="20:20" s="566" customFormat="1">
      <c r="T58143" s="41"/>
    </row>
    <row r="58144" spans="20:20" s="566" customFormat="1">
      <c r="T58144" s="41"/>
    </row>
    <row r="58145" spans="20:20" s="566" customFormat="1">
      <c r="T58145" s="41"/>
    </row>
    <row r="58146" spans="20:20" s="566" customFormat="1">
      <c r="T58146" s="41"/>
    </row>
    <row r="58147" spans="20:20" s="566" customFormat="1">
      <c r="T58147" s="41"/>
    </row>
    <row r="58148" spans="20:20" s="566" customFormat="1">
      <c r="T58148" s="41"/>
    </row>
    <row r="58149" spans="20:20" s="566" customFormat="1">
      <c r="T58149" s="41"/>
    </row>
    <row r="58150" spans="20:20" s="566" customFormat="1">
      <c r="T58150" s="41"/>
    </row>
    <row r="58151" spans="20:20" s="566" customFormat="1">
      <c r="T58151" s="41"/>
    </row>
    <row r="58152" spans="20:20" s="566" customFormat="1">
      <c r="T58152" s="41"/>
    </row>
    <row r="58153" spans="20:20" s="566" customFormat="1">
      <c r="T58153" s="41"/>
    </row>
    <row r="58154" spans="20:20" s="566" customFormat="1">
      <c r="T58154" s="41"/>
    </row>
    <row r="58155" spans="20:20" s="566" customFormat="1">
      <c r="T58155" s="41"/>
    </row>
    <row r="58156" spans="20:20" s="566" customFormat="1">
      <c r="T58156" s="41"/>
    </row>
    <row r="58157" spans="20:20" s="566" customFormat="1">
      <c r="T58157" s="41"/>
    </row>
    <row r="58158" spans="20:20" s="566" customFormat="1">
      <c r="T58158" s="41"/>
    </row>
    <row r="58159" spans="20:20" s="566" customFormat="1">
      <c r="T58159" s="41"/>
    </row>
    <row r="58160" spans="20:20" s="566" customFormat="1">
      <c r="T58160" s="41"/>
    </row>
    <row r="58161" spans="20:20" s="566" customFormat="1">
      <c r="T58161" s="41"/>
    </row>
    <row r="58162" spans="20:20" s="566" customFormat="1">
      <c r="T58162" s="41"/>
    </row>
    <row r="58163" spans="20:20" s="566" customFormat="1">
      <c r="T58163" s="41"/>
    </row>
    <row r="58164" spans="20:20" s="566" customFormat="1">
      <c r="T58164" s="41"/>
    </row>
    <row r="58165" spans="20:20" s="566" customFormat="1">
      <c r="T58165" s="41"/>
    </row>
    <row r="58166" spans="20:20" s="566" customFormat="1">
      <c r="T58166" s="41"/>
    </row>
    <row r="58167" spans="20:20" s="566" customFormat="1">
      <c r="T58167" s="41"/>
    </row>
    <row r="58168" spans="20:20" s="566" customFormat="1">
      <c r="T58168" s="41"/>
    </row>
    <row r="58169" spans="20:20" s="566" customFormat="1">
      <c r="T58169" s="41"/>
    </row>
    <row r="58170" spans="20:20" s="566" customFormat="1">
      <c r="T58170" s="41"/>
    </row>
    <row r="58171" spans="20:20" s="566" customFormat="1">
      <c r="T58171" s="41"/>
    </row>
    <row r="58172" spans="20:20" s="566" customFormat="1">
      <c r="T58172" s="41"/>
    </row>
    <row r="58173" spans="20:20" s="566" customFormat="1">
      <c r="T58173" s="41"/>
    </row>
    <row r="58174" spans="20:20" s="566" customFormat="1">
      <c r="T58174" s="41"/>
    </row>
    <row r="58175" spans="20:20" s="566" customFormat="1">
      <c r="T58175" s="41"/>
    </row>
    <row r="58176" spans="20:20" s="566" customFormat="1">
      <c r="T58176" s="41"/>
    </row>
    <row r="58177" spans="20:20" s="566" customFormat="1">
      <c r="T58177" s="41"/>
    </row>
    <row r="58178" spans="20:20" s="566" customFormat="1">
      <c r="T58178" s="41"/>
    </row>
    <row r="58179" spans="20:20" s="566" customFormat="1">
      <c r="T58179" s="41"/>
    </row>
    <row r="58180" spans="20:20" s="566" customFormat="1">
      <c r="T58180" s="41"/>
    </row>
    <row r="58181" spans="20:20" s="566" customFormat="1">
      <c r="T58181" s="41"/>
    </row>
    <row r="58182" spans="20:20" s="566" customFormat="1">
      <c r="T58182" s="41"/>
    </row>
    <row r="58183" spans="20:20" s="566" customFormat="1">
      <c r="T58183" s="41"/>
    </row>
    <row r="58184" spans="20:20" s="566" customFormat="1">
      <c r="T58184" s="41"/>
    </row>
    <row r="58185" spans="20:20" s="566" customFormat="1">
      <c r="T58185" s="41"/>
    </row>
    <row r="58186" spans="20:20" s="566" customFormat="1">
      <c r="T58186" s="41"/>
    </row>
    <row r="58187" spans="20:20" s="566" customFormat="1">
      <c r="T58187" s="41"/>
    </row>
    <row r="58188" spans="20:20" s="566" customFormat="1">
      <c r="T58188" s="41"/>
    </row>
    <row r="58189" spans="20:20" s="566" customFormat="1">
      <c r="T58189" s="41"/>
    </row>
    <row r="58190" spans="20:20" s="566" customFormat="1">
      <c r="T58190" s="41"/>
    </row>
    <row r="58191" spans="20:20" s="566" customFormat="1">
      <c r="T58191" s="41"/>
    </row>
    <row r="58192" spans="20:20" s="566" customFormat="1">
      <c r="T58192" s="41"/>
    </row>
    <row r="58193" spans="20:20" s="566" customFormat="1">
      <c r="T58193" s="41"/>
    </row>
    <row r="58194" spans="20:20" s="566" customFormat="1">
      <c r="T58194" s="41"/>
    </row>
    <row r="58195" spans="20:20" s="566" customFormat="1">
      <c r="T58195" s="41"/>
    </row>
    <row r="58196" spans="20:20" s="566" customFormat="1">
      <c r="T58196" s="41"/>
    </row>
    <row r="58197" spans="20:20" s="566" customFormat="1">
      <c r="T58197" s="41"/>
    </row>
    <row r="58198" spans="20:20" s="566" customFormat="1">
      <c r="T58198" s="41"/>
    </row>
    <row r="58199" spans="20:20" s="566" customFormat="1">
      <c r="T58199" s="41"/>
    </row>
    <row r="58200" spans="20:20" s="566" customFormat="1">
      <c r="T58200" s="41"/>
    </row>
    <row r="58201" spans="20:20" s="566" customFormat="1">
      <c r="T58201" s="41"/>
    </row>
    <row r="58202" spans="20:20" s="566" customFormat="1">
      <c r="T58202" s="41"/>
    </row>
    <row r="58203" spans="20:20" s="566" customFormat="1">
      <c r="T58203" s="41"/>
    </row>
    <row r="58204" spans="20:20" s="566" customFormat="1">
      <c r="T58204" s="41"/>
    </row>
    <row r="58205" spans="20:20" s="566" customFormat="1">
      <c r="T58205" s="41"/>
    </row>
    <row r="58206" spans="20:20" s="566" customFormat="1">
      <c r="T58206" s="41"/>
    </row>
    <row r="58207" spans="20:20" s="566" customFormat="1">
      <c r="T58207" s="41"/>
    </row>
    <row r="58208" spans="20:20" s="566" customFormat="1">
      <c r="T58208" s="41"/>
    </row>
    <row r="58209" spans="20:20" s="566" customFormat="1">
      <c r="T58209" s="41"/>
    </row>
    <row r="58210" spans="20:20" s="566" customFormat="1">
      <c r="T58210" s="41"/>
    </row>
    <row r="58211" spans="20:20" s="566" customFormat="1">
      <c r="T58211" s="41"/>
    </row>
    <row r="58212" spans="20:20" s="566" customFormat="1">
      <c r="T58212" s="41"/>
    </row>
    <row r="58213" spans="20:20" s="566" customFormat="1">
      <c r="T58213" s="41"/>
    </row>
    <row r="58214" spans="20:20" s="566" customFormat="1">
      <c r="T58214" s="41"/>
    </row>
    <row r="58215" spans="20:20" s="566" customFormat="1">
      <c r="T58215" s="41"/>
    </row>
    <row r="58216" spans="20:20" s="566" customFormat="1">
      <c r="T58216" s="41"/>
    </row>
    <row r="58217" spans="20:20" s="566" customFormat="1">
      <c r="T58217" s="41"/>
    </row>
    <row r="58218" spans="20:20" s="566" customFormat="1">
      <c r="T58218" s="41"/>
    </row>
    <row r="58219" spans="20:20" s="566" customFormat="1">
      <c r="T58219" s="41"/>
    </row>
    <row r="58220" spans="20:20" s="566" customFormat="1">
      <c r="T58220" s="41"/>
    </row>
    <row r="58221" spans="20:20" s="566" customFormat="1">
      <c r="T58221" s="41"/>
    </row>
    <row r="58222" spans="20:20" s="566" customFormat="1">
      <c r="T58222" s="41"/>
    </row>
    <row r="58223" spans="20:20" s="566" customFormat="1">
      <c r="T58223" s="41"/>
    </row>
    <row r="58224" spans="20:20" s="566" customFormat="1">
      <c r="T58224" s="41"/>
    </row>
    <row r="58225" spans="20:20" s="566" customFormat="1">
      <c r="T58225" s="41"/>
    </row>
    <row r="58226" spans="20:20" s="566" customFormat="1">
      <c r="T58226" s="41"/>
    </row>
    <row r="58227" spans="20:20" s="566" customFormat="1">
      <c r="T58227" s="41"/>
    </row>
    <row r="58228" spans="20:20" s="566" customFormat="1">
      <c r="T58228" s="41"/>
    </row>
    <row r="58229" spans="20:20" s="566" customFormat="1">
      <c r="T58229" s="41"/>
    </row>
    <row r="58230" spans="20:20" s="566" customFormat="1">
      <c r="T58230" s="41"/>
    </row>
    <row r="58231" spans="20:20" s="566" customFormat="1">
      <c r="T58231" s="41"/>
    </row>
    <row r="58232" spans="20:20" s="566" customFormat="1">
      <c r="T58232" s="41"/>
    </row>
    <row r="58233" spans="20:20" s="566" customFormat="1">
      <c r="T58233" s="41"/>
    </row>
    <row r="58234" spans="20:20" s="566" customFormat="1">
      <c r="T58234" s="41"/>
    </row>
    <row r="58235" spans="20:20" s="566" customFormat="1">
      <c r="T58235" s="41"/>
    </row>
    <row r="58236" spans="20:20" s="566" customFormat="1">
      <c r="T58236" s="41"/>
    </row>
    <row r="58237" spans="20:20" s="566" customFormat="1">
      <c r="T58237" s="41"/>
    </row>
    <row r="58238" spans="20:20" s="566" customFormat="1">
      <c r="T58238" s="41"/>
    </row>
    <row r="58239" spans="20:20" s="566" customFormat="1">
      <c r="T58239" s="41"/>
    </row>
    <row r="58240" spans="20:20" s="566" customFormat="1">
      <c r="T58240" s="41"/>
    </row>
    <row r="58241" spans="20:20" s="566" customFormat="1">
      <c r="T58241" s="41"/>
    </row>
    <row r="58242" spans="20:20" s="566" customFormat="1">
      <c r="T58242" s="41"/>
    </row>
    <row r="58243" spans="20:20" s="566" customFormat="1">
      <c r="T58243" s="41"/>
    </row>
    <row r="58244" spans="20:20" s="566" customFormat="1">
      <c r="T58244" s="41"/>
    </row>
    <row r="58245" spans="20:20" s="566" customFormat="1">
      <c r="T58245" s="41"/>
    </row>
    <row r="58246" spans="20:20" s="566" customFormat="1">
      <c r="T58246" s="41"/>
    </row>
    <row r="58247" spans="20:20" s="566" customFormat="1">
      <c r="T58247" s="41"/>
    </row>
    <row r="58248" spans="20:20" s="566" customFormat="1">
      <c r="T58248" s="41"/>
    </row>
    <row r="58249" spans="20:20" s="566" customFormat="1">
      <c r="T58249" s="41"/>
    </row>
    <row r="58250" spans="20:20" s="566" customFormat="1">
      <c r="T58250" s="41"/>
    </row>
    <row r="58251" spans="20:20" s="566" customFormat="1">
      <c r="T58251" s="41"/>
    </row>
    <row r="58252" spans="20:20" s="566" customFormat="1">
      <c r="T58252" s="41"/>
    </row>
    <row r="58253" spans="20:20" s="566" customFormat="1">
      <c r="T58253" s="41"/>
    </row>
    <row r="58254" spans="20:20" s="566" customFormat="1">
      <c r="T58254" s="41"/>
    </row>
    <row r="58255" spans="20:20" s="566" customFormat="1">
      <c r="T58255" s="41"/>
    </row>
    <row r="58256" spans="20:20" s="566" customFormat="1">
      <c r="T58256" s="41"/>
    </row>
    <row r="58257" spans="20:20" s="566" customFormat="1">
      <c r="T58257" s="41"/>
    </row>
    <row r="58258" spans="20:20" s="566" customFormat="1">
      <c r="T58258" s="41"/>
    </row>
    <row r="58259" spans="20:20" s="566" customFormat="1">
      <c r="T58259" s="41"/>
    </row>
    <row r="58260" spans="20:20" s="566" customFormat="1">
      <c r="T58260" s="41"/>
    </row>
    <row r="58261" spans="20:20" s="566" customFormat="1">
      <c r="T58261" s="41"/>
    </row>
    <row r="58262" spans="20:20" s="566" customFormat="1">
      <c r="T58262" s="41"/>
    </row>
    <row r="58263" spans="20:20" s="566" customFormat="1">
      <c r="T58263" s="41"/>
    </row>
    <row r="58264" spans="20:20" s="566" customFormat="1">
      <c r="T58264" s="41"/>
    </row>
    <row r="58265" spans="20:20" s="566" customFormat="1">
      <c r="T58265" s="41"/>
    </row>
    <row r="58266" spans="20:20" s="566" customFormat="1">
      <c r="T58266" s="41"/>
    </row>
    <row r="58267" spans="20:20" s="566" customFormat="1">
      <c r="T58267" s="41"/>
    </row>
    <row r="58268" spans="20:20" s="566" customFormat="1">
      <c r="T58268" s="41"/>
    </row>
    <row r="58269" spans="20:20" s="566" customFormat="1">
      <c r="T58269" s="41"/>
    </row>
    <row r="58270" spans="20:20" s="566" customFormat="1">
      <c r="T58270" s="41"/>
    </row>
    <row r="58271" spans="20:20" s="566" customFormat="1">
      <c r="T58271" s="41"/>
    </row>
    <row r="58272" spans="20:20" s="566" customFormat="1">
      <c r="T58272" s="41"/>
    </row>
    <row r="58273" spans="20:20" s="566" customFormat="1">
      <c r="T58273" s="41"/>
    </row>
    <row r="58274" spans="20:20" s="566" customFormat="1">
      <c r="T58274" s="41"/>
    </row>
    <row r="58275" spans="20:20" s="566" customFormat="1">
      <c r="T58275" s="41"/>
    </row>
    <row r="58276" spans="20:20" s="566" customFormat="1">
      <c r="T58276" s="41"/>
    </row>
    <row r="58277" spans="20:20" s="566" customFormat="1">
      <c r="T58277" s="41"/>
    </row>
    <row r="58278" spans="20:20" s="566" customFormat="1">
      <c r="T58278" s="41"/>
    </row>
    <row r="58279" spans="20:20" s="566" customFormat="1">
      <c r="T58279" s="41"/>
    </row>
    <row r="58280" spans="20:20" s="566" customFormat="1">
      <c r="T58280" s="41"/>
    </row>
    <row r="58281" spans="20:20" s="566" customFormat="1">
      <c r="T58281" s="41"/>
    </row>
    <row r="58282" spans="20:20" s="566" customFormat="1">
      <c r="T58282" s="41"/>
    </row>
    <row r="58283" spans="20:20" s="566" customFormat="1">
      <c r="T58283" s="41"/>
    </row>
    <row r="58284" spans="20:20" s="566" customFormat="1">
      <c r="T58284" s="41"/>
    </row>
    <row r="58285" spans="20:20" s="566" customFormat="1">
      <c r="T58285" s="41"/>
    </row>
    <row r="58286" spans="20:20" s="566" customFormat="1">
      <c r="T58286" s="41"/>
    </row>
    <row r="58287" spans="20:20" s="566" customFormat="1">
      <c r="T58287" s="41"/>
    </row>
    <row r="58288" spans="20:20" s="566" customFormat="1">
      <c r="T58288" s="41"/>
    </row>
    <row r="58289" spans="20:20" s="566" customFormat="1">
      <c r="T58289" s="41"/>
    </row>
    <row r="58290" spans="20:20" s="566" customFormat="1">
      <c r="T58290" s="41"/>
    </row>
    <row r="58291" spans="20:20" s="566" customFormat="1">
      <c r="T58291" s="41"/>
    </row>
    <row r="58292" spans="20:20" s="566" customFormat="1">
      <c r="T58292" s="41"/>
    </row>
    <row r="58293" spans="20:20" s="566" customFormat="1">
      <c r="T58293" s="41"/>
    </row>
    <row r="58294" spans="20:20" s="566" customFormat="1">
      <c r="T58294" s="41"/>
    </row>
    <row r="58295" spans="20:20" s="566" customFormat="1">
      <c r="T58295" s="41"/>
    </row>
    <row r="58296" spans="20:20" s="566" customFormat="1">
      <c r="T58296" s="41"/>
    </row>
    <row r="58297" spans="20:20" s="566" customFormat="1">
      <c r="T58297" s="41"/>
    </row>
    <row r="58298" spans="20:20" s="566" customFormat="1">
      <c r="T58298" s="41"/>
    </row>
    <row r="58299" spans="20:20" s="566" customFormat="1">
      <c r="T58299" s="41"/>
    </row>
    <row r="58300" spans="20:20" s="566" customFormat="1">
      <c r="T58300" s="41"/>
    </row>
    <row r="58301" spans="20:20" s="566" customFormat="1">
      <c r="T58301" s="41"/>
    </row>
    <row r="58302" spans="20:20" s="566" customFormat="1">
      <c r="T58302" s="41"/>
    </row>
    <row r="58303" spans="20:20" s="566" customFormat="1">
      <c r="T58303" s="41"/>
    </row>
    <row r="58304" spans="20:20" s="566" customFormat="1">
      <c r="T58304" s="41"/>
    </row>
    <row r="58305" spans="20:20" s="566" customFormat="1">
      <c r="T58305" s="41"/>
    </row>
    <row r="58306" spans="20:20" s="566" customFormat="1">
      <c r="T58306" s="41"/>
    </row>
    <row r="58307" spans="20:20" s="566" customFormat="1">
      <c r="T58307" s="41"/>
    </row>
    <row r="58308" spans="20:20" s="566" customFormat="1">
      <c r="T58308" s="41"/>
    </row>
    <row r="58309" spans="20:20" s="566" customFormat="1">
      <c r="T58309" s="41"/>
    </row>
    <row r="58310" spans="20:20" s="566" customFormat="1">
      <c r="T58310" s="41"/>
    </row>
    <row r="58311" spans="20:20" s="566" customFormat="1">
      <c r="T58311" s="41"/>
    </row>
    <row r="58312" spans="20:20" s="566" customFormat="1">
      <c r="T58312" s="41"/>
    </row>
    <row r="58313" spans="20:20" s="566" customFormat="1">
      <c r="T58313" s="41"/>
    </row>
    <row r="58314" spans="20:20" s="566" customFormat="1">
      <c r="T58314" s="41"/>
    </row>
    <row r="58315" spans="20:20" s="566" customFormat="1">
      <c r="T58315" s="41"/>
    </row>
    <row r="58316" spans="20:20" s="566" customFormat="1">
      <c r="T58316" s="41"/>
    </row>
    <row r="58317" spans="20:20" s="566" customFormat="1">
      <c r="T58317" s="41"/>
    </row>
    <row r="58318" spans="20:20" s="566" customFormat="1">
      <c r="T58318" s="41"/>
    </row>
    <row r="58319" spans="20:20" s="566" customFormat="1">
      <c r="T58319" s="41"/>
    </row>
    <row r="58320" spans="20:20" s="566" customFormat="1">
      <c r="T58320" s="41"/>
    </row>
    <row r="58321" spans="20:20" s="566" customFormat="1">
      <c r="T58321" s="41"/>
    </row>
    <row r="58322" spans="20:20" s="566" customFormat="1">
      <c r="T58322" s="41"/>
    </row>
    <row r="58323" spans="20:20" s="566" customFormat="1">
      <c r="T58323" s="41"/>
    </row>
    <row r="58324" spans="20:20" s="566" customFormat="1">
      <c r="T58324" s="41"/>
    </row>
    <row r="58325" spans="20:20" s="566" customFormat="1">
      <c r="T58325" s="41"/>
    </row>
    <row r="58326" spans="20:20" s="566" customFormat="1">
      <c r="T58326" s="41"/>
    </row>
    <row r="58327" spans="20:20" s="566" customFormat="1">
      <c r="T58327" s="41"/>
    </row>
    <row r="58328" spans="20:20" s="566" customFormat="1">
      <c r="T58328" s="41"/>
    </row>
    <row r="58329" spans="20:20" s="566" customFormat="1">
      <c r="T58329" s="41"/>
    </row>
    <row r="58330" spans="20:20" s="566" customFormat="1">
      <c r="T58330" s="41"/>
    </row>
    <row r="58331" spans="20:20" s="566" customFormat="1">
      <c r="T58331" s="41"/>
    </row>
    <row r="58332" spans="20:20" s="566" customFormat="1">
      <c r="T58332" s="41"/>
    </row>
    <row r="58333" spans="20:20" s="566" customFormat="1">
      <c r="T58333" s="41"/>
    </row>
    <row r="58334" spans="20:20" s="566" customFormat="1">
      <c r="T58334" s="41"/>
    </row>
    <row r="58335" spans="20:20" s="566" customFormat="1">
      <c r="T58335" s="41"/>
    </row>
    <row r="58336" spans="20:20" s="566" customFormat="1">
      <c r="T58336" s="41"/>
    </row>
    <row r="58337" spans="20:20" s="566" customFormat="1">
      <c r="T58337" s="41"/>
    </row>
    <row r="58338" spans="20:20" s="566" customFormat="1">
      <c r="T58338" s="41"/>
    </row>
    <row r="58339" spans="20:20" s="566" customFormat="1">
      <c r="T58339" s="41"/>
    </row>
    <row r="58340" spans="20:20" s="566" customFormat="1">
      <c r="T58340" s="41"/>
    </row>
    <row r="58341" spans="20:20" s="566" customFormat="1">
      <c r="T58341" s="41"/>
    </row>
    <row r="58342" spans="20:20" s="566" customFormat="1">
      <c r="T58342" s="41"/>
    </row>
    <row r="58343" spans="20:20" s="566" customFormat="1">
      <c r="T58343" s="41"/>
    </row>
    <row r="58344" spans="20:20" s="566" customFormat="1">
      <c r="T58344" s="41"/>
    </row>
    <row r="58345" spans="20:20" s="566" customFormat="1">
      <c r="T58345" s="41"/>
    </row>
    <row r="58346" spans="20:20" s="566" customFormat="1">
      <c r="T58346" s="41"/>
    </row>
    <row r="58347" spans="20:20" s="566" customFormat="1">
      <c r="T58347" s="41"/>
    </row>
    <row r="58348" spans="20:20" s="566" customFormat="1">
      <c r="T58348" s="41"/>
    </row>
    <row r="58349" spans="20:20" s="566" customFormat="1">
      <c r="T58349" s="41"/>
    </row>
    <row r="58350" spans="20:20" s="566" customFormat="1">
      <c r="T58350" s="41"/>
    </row>
    <row r="58351" spans="20:20" s="566" customFormat="1">
      <c r="T58351" s="41"/>
    </row>
    <row r="58352" spans="20:20" s="566" customFormat="1">
      <c r="T58352" s="41"/>
    </row>
    <row r="58353" spans="20:20" s="566" customFormat="1">
      <c r="T58353" s="41"/>
    </row>
    <row r="58354" spans="20:20" s="566" customFormat="1">
      <c r="T58354" s="41"/>
    </row>
    <row r="58355" spans="20:20" s="566" customFormat="1">
      <c r="T58355" s="41"/>
    </row>
    <row r="58356" spans="20:20" s="566" customFormat="1">
      <c r="T58356" s="41"/>
    </row>
    <row r="58357" spans="20:20" s="566" customFormat="1">
      <c r="T58357" s="41"/>
    </row>
    <row r="58358" spans="20:20" s="566" customFormat="1">
      <c r="T58358" s="41"/>
    </row>
    <row r="58359" spans="20:20" s="566" customFormat="1">
      <c r="T58359" s="41"/>
    </row>
    <row r="58360" spans="20:20" s="566" customFormat="1">
      <c r="T58360" s="41"/>
    </row>
    <row r="58361" spans="20:20" s="566" customFormat="1">
      <c r="T58361" s="41"/>
    </row>
    <row r="58362" spans="20:20" s="566" customFormat="1">
      <c r="T58362" s="41"/>
    </row>
    <row r="58363" spans="20:20" s="566" customFormat="1">
      <c r="T58363" s="41"/>
    </row>
    <row r="58364" spans="20:20" s="566" customFormat="1">
      <c r="T58364" s="41"/>
    </row>
    <row r="58365" spans="20:20" s="566" customFormat="1">
      <c r="T58365" s="41"/>
    </row>
    <row r="58366" spans="20:20" s="566" customFormat="1">
      <c r="T58366" s="41"/>
    </row>
    <row r="58367" spans="20:20" s="566" customFormat="1">
      <c r="T58367" s="41"/>
    </row>
    <row r="58368" spans="20:20" s="566" customFormat="1">
      <c r="T58368" s="41"/>
    </row>
    <row r="58369" spans="20:20" s="566" customFormat="1">
      <c r="T58369" s="41"/>
    </row>
    <row r="58370" spans="20:20" s="566" customFormat="1">
      <c r="T58370" s="41"/>
    </row>
    <row r="58371" spans="20:20" s="566" customFormat="1">
      <c r="T58371" s="41"/>
    </row>
    <row r="58372" spans="20:20" s="566" customFormat="1">
      <c r="T58372" s="41"/>
    </row>
    <row r="58373" spans="20:20" s="566" customFormat="1">
      <c r="T58373" s="41"/>
    </row>
    <row r="58374" spans="20:20" s="566" customFormat="1">
      <c r="T58374" s="41"/>
    </row>
    <row r="58375" spans="20:20" s="566" customFormat="1">
      <c r="T58375" s="41"/>
    </row>
    <row r="58376" spans="20:20" s="566" customFormat="1">
      <c r="T58376" s="41"/>
    </row>
    <row r="58377" spans="20:20" s="566" customFormat="1">
      <c r="T58377" s="41"/>
    </row>
    <row r="58378" spans="20:20" s="566" customFormat="1">
      <c r="T58378" s="41"/>
    </row>
    <row r="58379" spans="20:20" s="566" customFormat="1">
      <c r="T58379" s="41"/>
    </row>
    <row r="58380" spans="20:20" s="566" customFormat="1">
      <c r="T58380" s="41"/>
    </row>
    <row r="58381" spans="20:20" s="566" customFormat="1">
      <c r="T58381" s="41"/>
    </row>
    <row r="58382" spans="20:20" s="566" customFormat="1">
      <c r="T58382" s="41"/>
    </row>
    <row r="58383" spans="20:20" s="566" customFormat="1">
      <c r="T58383" s="41"/>
    </row>
    <row r="58384" spans="20:20" s="566" customFormat="1">
      <c r="T58384" s="41"/>
    </row>
    <row r="58385" spans="20:20" s="566" customFormat="1">
      <c r="T58385" s="41"/>
    </row>
    <row r="58386" spans="20:20" s="566" customFormat="1">
      <c r="T58386" s="41"/>
    </row>
    <row r="58387" spans="20:20" s="566" customFormat="1">
      <c r="T58387" s="41"/>
    </row>
    <row r="58388" spans="20:20" s="566" customFormat="1">
      <c r="T58388" s="41"/>
    </row>
    <row r="58389" spans="20:20" s="566" customFormat="1">
      <c r="T58389" s="41"/>
    </row>
    <row r="58390" spans="20:20" s="566" customFormat="1">
      <c r="T58390" s="41"/>
    </row>
    <row r="58391" spans="20:20" s="566" customFormat="1">
      <c r="T58391" s="41"/>
    </row>
    <row r="58392" spans="20:20" s="566" customFormat="1">
      <c r="T58392" s="41"/>
    </row>
    <row r="58393" spans="20:20" s="566" customFormat="1">
      <c r="T58393" s="41"/>
    </row>
    <row r="58394" spans="20:20" s="566" customFormat="1">
      <c r="T58394" s="41"/>
    </row>
    <row r="58395" spans="20:20" s="566" customFormat="1">
      <c r="T58395" s="41"/>
    </row>
    <row r="58396" spans="20:20" s="566" customFormat="1">
      <c r="T58396" s="41"/>
    </row>
    <row r="58397" spans="20:20" s="566" customFormat="1">
      <c r="T58397" s="41"/>
    </row>
    <row r="58398" spans="20:20" s="566" customFormat="1">
      <c r="T58398" s="41"/>
    </row>
    <row r="58399" spans="20:20" s="566" customFormat="1">
      <c r="T58399" s="41"/>
    </row>
    <row r="58400" spans="20:20" s="566" customFormat="1">
      <c r="T58400" s="41"/>
    </row>
    <row r="58401" spans="20:20" s="566" customFormat="1">
      <c r="T58401" s="41"/>
    </row>
    <row r="58402" spans="20:20" s="566" customFormat="1">
      <c r="T58402" s="41"/>
    </row>
    <row r="58403" spans="20:20" s="566" customFormat="1">
      <c r="T58403" s="41"/>
    </row>
    <row r="58404" spans="20:20" s="566" customFormat="1">
      <c r="T58404" s="41"/>
    </row>
    <row r="58405" spans="20:20" s="566" customFormat="1">
      <c r="T58405" s="41"/>
    </row>
    <row r="58406" spans="20:20" s="566" customFormat="1">
      <c r="T58406" s="41"/>
    </row>
    <row r="58407" spans="20:20" s="566" customFormat="1">
      <c r="T58407" s="41"/>
    </row>
    <row r="58408" spans="20:20" s="566" customFormat="1">
      <c r="T58408" s="41"/>
    </row>
    <row r="58409" spans="20:20" s="566" customFormat="1">
      <c r="T58409" s="41"/>
    </row>
    <row r="58410" spans="20:20" s="566" customFormat="1">
      <c r="T58410" s="41"/>
    </row>
    <row r="58411" spans="20:20" s="566" customFormat="1">
      <c r="T58411" s="41"/>
    </row>
    <row r="58412" spans="20:20" s="566" customFormat="1">
      <c r="T58412" s="41"/>
    </row>
    <row r="58413" spans="20:20" s="566" customFormat="1">
      <c r="T58413" s="41"/>
    </row>
    <row r="58414" spans="20:20" s="566" customFormat="1">
      <c r="T58414" s="41"/>
    </row>
    <row r="58415" spans="20:20" s="566" customFormat="1">
      <c r="T58415" s="41"/>
    </row>
    <row r="58416" spans="20:20" s="566" customFormat="1">
      <c r="T58416" s="41"/>
    </row>
    <row r="58417" spans="20:20" s="566" customFormat="1">
      <c r="T58417" s="41"/>
    </row>
    <row r="58418" spans="20:20" s="566" customFormat="1">
      <c r="T58418" s="41"/>
    </row>
    <row r="58419" spans="20:20" s="566" customFormat="1">
      <c r="T58419" s="41"/>
    </row>
    <row r="58420" spans="20:20" s="566" customFormat="1">
      <c r="T58420" s="41"/>
    </row>
    <row r="58421" spans="20:20" s="566" customFormat="1">
      <c r="T58421" s="41"/>
    </row>
    <row r="58422" spans="20:20" s="566" customFormat="1">
      <c r="T58422" s="41"/>
    </row>
    <row r="58423" spans="20:20" s="566" customFormat="1">
      <c r="T58423" s="41"/>
    </row>
    <row r="58424" spans="20:20" s="566" customFormat="1">
      <c r="T58424" s="41"/>
    </row>
    <row r="58425" spans="20:20" s="566" customFormat="1">
      <c r="T58425" s="41"/>
    </row>
    <row r="58426" spans="20:20" s="566" customFormat="1">
      <c r="T58426" s="41"/>
    </row>
    <row r="58427" spans="20:20" s="566" customFormat="1">
      <c r="T58427" s="41"/>
    </row>
    <row r="58428" spans="20:20" s="566" customFormat="1">
      <c r="T58428" s="41"/>
    </row>
    <row r="58429" spans="20:20" s="566" customFormat="1">
      <c r="T58429" s="41"/>
    </row>
    <row r="58430" spans="20:20" s="566" customFormat="1">
      <c r="T58430" s="41"/>
    </row>
    <row r="58431" spans="20:20" s="566" customFormat="1">
      <c r="T58431" s="41"/>
    </row>
    <row r="58432" spans="20:20" s="566" customFormat="1">
      <c r="T58432" s="41"/>
    </row>
    <row r="58433" spans="20:20" s="566" customFormat="1">
      <c r="T58433" s="41"/>
    </row>
    <row r="58434" spans="20:20" s="566" customFormat="1">
      <c r="T58434" s="41"/>
    </row>
    <row r="58435" spans="20:20" s="566" customFormat="1">
      <c r="T58435" s="41"/>
    </row>
    <row r="58436" spans="20:20" s="566" customFormat="1">
      <c r="T58436" s="41"/>
    </row>
    <row r="58437" spans="20:20" s="566" customFormat="1">
      <c r="T58437" s="41"/>
    </row>
    <row r="58438" spans="20:20" s="566" customFormat="1">
      <c r="T58438" s="41"/>
    </row>
    <row r="58439" spans="20:20" s="566" customFormat="1">
      <c r="T58439" s="41"/>
    </row>
    <row r="58440" spans="20:20" s="566" customFormat="1">
      <c r="T58440" s="41"/>
    </row>
    <row r="58441" spans="20:20" s="566" customFormat="1">
      <c r="T58441" s="41"/>
    </row>
    <row r="58442" spans="20:20" s="566" customFormat="1">
      <c r="T58442" s="41"/>
    </row>
    <row r="58443" spans="20:20" s="566" customFormat="1">
      <c r="T58443" s="41"/>
    </row>
    <row r="58444" spans="20:20" s="566" customFormat="1">
      <c r="T58444" s="41"/>
    </row>
    <row r="58445" spans="20:20" s="566" customFormat="1">
      <c r="T58445" s="41"/>
    </row>
    <row r="58446" spans="20:20" s="566" customFormat="1">
      <c r="T58446" s="41"/>
    </row>
    <row r="58447" spans="20:20" s="566" customFormat="1">
      <c r="T58447" s="41"/>
    </row>
    <row r="58448" spans="20:20" s="566" customFormat="1">
      <c r="T58448" s="41"/>
    </row>
    <row r="58449" spans="20:20" s="566" customFormat="1">
      <c r="T58449" s="41"/>
    </row>
    <row r="58450" spans="20:20" s="566" customFormat="1">
      <c r="T58450" s="41"/>
    </row>
    <row r="58451" spans="20:20" s="566" customFormat="1">
      <c r="T58451" s="41"/>
    </row>
    <row r="58452" spans="20:20" s="566" customFormat="1">
      <c r="T58452" s="41"/>
    </row>
    <row r="58453" spans="20:20" s="566" customFormat="1">
      <c r="T58453" s="41"/>
    </row>
    <row r="58454" spans="20:20" s="566" customFormat="1">
      <c r="T58454" s="41"/>
    </row>
    <row r="58455" spans="20:20" s="566" customFormat="1">
      <c r="T58455" s="41"/>
    </row>
    <row r="58456" spans="20:20" s="566" customFormat="1">
      <c r="T58456" s="41"/>
    </row>
    <row r="58457" spans="20:20" s="566" customFormat="1">
      <c r="T58457" s="41"/>
    </row>
    <row r="58458" spans="20:20" s="566" customFormat="1">
      <c r="T58458" s="41"/>
    </row>
    <row r="58459" spans="20:20" s="566" customFormat="1">
      <c r="T58459" s="41"/>
    </row>
    <row r="58460" spans="20:20" s="566" customFormat="1">
      <c r="T58460" s="41"/>
    </row>
    <row r="58461" spans="20:20" s="566" customFormat="1">
      <c r="T58461" s="41"/>
    </row>
    <row r="58462" spans="20:20" s="566" customFormat="1">
      <c r="T58462" s="41"/>
    </row>
    <row r="58463" spans="20:20" s="566" customFormat="1">
      <c r="T58463" s="41"/>
    </row>
    <row r="58464" spans="20:20" s="566" customFormat="1">
      <c r="T58464" s="41"/>
    </row>
    <row r="58465" spans="20:20" s="566" customFormat="1">
      <c r="T58465" s="41"/>
    </row>
    <row r="58466" spans="20:20" s="566" customFormat="1">
      <c r="T58466" s="41"/>
    </row>
    <row r="58467" spans="20:20" s="566" customFormat="1">
      <c r="T58467" s="41"/>
    </row>
    <row r="58468" spans="20:20" s="566" customFormat="1">
      <c r="T58468" s="41"/>
    </row>
    <row r="58469" spans="20:20" s="566" customFormat="1">
      <c r="T58469" s="41"/>
    </row>
    <row r="58470" spans="20:20" s="566" customFormat="1">
      <c r="T58470" s="41"/>
    </row>
    <row r="58471" spans="20:20" s="566" customFormat="1">
      <c r="T58471" s="41"/>
    </row>
    <row r="58472" spans="20:20" s="566" customFormat="1">
      <c r="T58472" s="41"/>
    </row>
    <row r="58473" spans="20:20" s="566" customFormat="1">
      <c r="T58473" s="41"/>
    </row>
    <row r="58474" spans="20:20" s="566" customFormat="1">
      <c r="T58474" s="41"/>
    </row>
    <row r="58475" spans="20:20" s="566" customFormat="1">
      <c r="T58475" s="41"/>
    </row>
    <row r="58476" spans="20:20" s="566" customFormat="1">
      <c r="T58476" s="41"/>
    </row>
    <row r="58477" spans="20:20" s="566" customFormat="1">
      <c r="T58477" s="41"/>
    </row>
    <row r="58478" spans="20:20" s="566" customFormat="1">
      <c r="T58478" s="41"/>
    </row>
    <row r="58479" spans="20:20" s="566" customFormat="1">
      <c r="T58479" s="41"/>
    </row>
    <row r="58480" spans="20:20" s="566" customFormat="1">
      <c r="T58480" s="41"/>
    </row>
    <row r="58481" spans="20:20" s="566" customFormat="1">
      <c r="T58481" s="41"/>
    </row>
    <row r="58482" spans="20:20" s="566" customFormat="1">
      <c r="T58482" s="41"/>
    </row>
    <row r="58483" spans="20:20" s="566" customFormat="1">
      <c r="T58483" s="41"/>
    </row>
    <row r="58484" spans="20:20" s="566" customFormat="1">
      <c r="T58484" s="41"/>
    </row>
    <row r="58485" spans="20:20" s="566" customFormat="1">
      <c r="T58485" s="41"/>
    </row>
    <row r="58486" spans="20:20" s="566" customFormat="1">
      <c r="T58486" s="41"/>
    </row>
    <row r="58487" spans="20:20" s="566" customFormat="1">
      <c r="T58487" s="41"/>
    </row>
    <row r="58488" spans="20:20" s="566" customFormat="1">
      <c r="T58488" s="41"/>
    </row>
    <row r="58489" spans="20:20" s="566" customFormat="1">
      <c r="T58489" s="41"/>
    </row>
    <row r="58490" spans="20:20" s="566" customFormat="1">
      <c r="T58490" s="41"/>
    </row>
    <row r="58491" spans="20:20" s="566" customFormat="1">
      <c r="T58491" s="41"/>
    </row>
    <row r="58492" spans="20:20" s="566" customFormat="1">
      <c r="T58492" s="41"/>
    </row>
    <row r="58493" spans="20:20" s="566" customFormat="1">
      <c r="T58493" s="41"/>
    </row>
    <row r="58494" spans="20:20" s="566" customFormat="1">
      <c r="T58494" s="41"/>
    </row>
    <row r="58495" spans="20:20" s="566" customFormat="1">
      <c r="T58495" s="41"/>
    </row>
    <row r="58496" spans="20:20" s="566" customFormat="1">
      <c r="T58496" s="41"/>
    </row>
    <row r="58497" spans="20:20" s="566" customFormat="1">
      <c r="T58497" s="41"/>
    </row>
    <row r="58498" spans="20:20" s="566" customFormat="1">
      <c r="T58498" s="41"/>
    </row>
    <row r="58499" spans="20:20" s="566" customFormat="1">
      <c r="T58499" s="41"/>
    </row>
    <row r="58500" spans="20:20" s="566" customFormat="1">
      <c r="T58500" s="41"/>
    </row>
    <row r="58501" spans="20:20" s="566" customFormat="1">
      <c r="T58501" s="41"/>
    </row>
    <row r="58502" spans="20:20" s="566" customFormat="1">
      <c r="T58502" s="41"/>
    </row>
    <row r="58503" spans="20:20" s="566" customFormat="1">
      <c r="T58503" s="41"/>
    </row>
    <row r="58504" spans="20:20" s="566" customFormat="1">
      <c r="T58504" s="41"/>
    </row>
    <row r="58505" spans="20:20" s="566" customFormat="1">
      <c r="T58505" s="41"/>
    </row>
    <row r="58506" spans="20:20" s="566" customFormat="1">
      <c r="T58506" s="41"/>
    </row>
    <row r="58507" spans="20:20" s="566" customFormat="1">
      <c r="T58507" s="41"/>
    </row>
    <row r="58508" spans="20:20" s="566" customFormat="1">
      <c r="T58508" s="41"/>
    </row>
    <row r="58509" spans="20:20" s="566" customFormat="1">
      <c r="T58509" s="41"/>
    </row>
    <row r="58510" spans="20:20" s="566" customFormat="1">
      <c r="T58510" s="41"/>
    </row>
    <row r="58511" spans="20:20" s="566" customFormat="1">
      <c r="T58511" s="41"/>
    </row>
    <row r="58512" spans="20:20" s="566" customFormat="1">
      <c r="T58512" s="41"/>
    </row>
    <row r="58513" spans="20:20" s="566" customFormat="1">
      <c r="T58513" s="41"/>
    </row>
    <row r="58514" spans="20:20" s="566" customFormat="1">
      <c r="T58514" s="41"/>
    </row>
    <row r="58515" spans="20:20" s="566" customFormat="1">
      <c r="T58515" s="41"/>
    </row>
    <row r="58516" spans="20:20" s="566" customFormat="1">
      <c r="T58516" s="41"/>
    </row>
    <row r="58517" spans="20:20" s="566" customFormat="1">
      <c r="T58517" s="41"/>
    </row>
    <row r="58518" spans="20:20" s="566" customFormat="1">
      <c r="T58518" s="41"/>
    </row>
    <row r="58519" spans="20:20" s="566" customFormat="1">
      <c r="T58519" s="41"/>
    </row>
    <row r="58520" spans="20:20" s="566" customFormat="1">
      <c r="T58520" s="41"/>
    </row>
    <row r="58521" spans="20:20" s="566" customFormat="1">
      <c r="T58521" s="41"/>
    </row>
    <row r="58522" spans="20:20" s="566" customFormat="1">
      <c r="T58522" s="41"/>
    </row>
    <row r="58523" spans="20:20" s="566" customFormat="1">
      <c r="T58523" s="41"/>
    </row>
    <row r="58524" spans="20:20" s="566" customFormat="1">
      <c r="T58524" s="41"/>
    </row>
    <row r="58525" spans="20:20" s="566" customFormat="1">
      <c r="T58525" s="41"/>
    </row>
    <row r="58526" spans="20:20" s="566" customFormat="1">
      <c r="T58526" s="41"/>
    </row>
    <row r="58527" spans="20:20" s="566" customFormat="1">
      <c r="T58527" s="41"/>
    </row>
    <row r="58528" spans="20:20" s="566" customFormat="1">
      <c r="T58528" s="41"/>
    </row>
    <row r="58529" spans="20:20" s="566" customFormat="1">
      <c r="T58529" s="41"/>
    </row>
    <row r="58530" spans="20:20" s="566" customFormat="1">
      <c r="T58530" s="41"/>
    </row>
    <row r="58531" spans="20:20" s="566" customFormat="1">
      <c r="T58531" s="41"/>
    </row>
    <row r="58532" spans="20:20" s="566" customFormat="1">
      <c r="T58532" s="41"/>
    </row>
    <row r="58533" spans="20:20" s="566" customFormat="1">
      <c r="T58533" s="41"/>
    </row>
    <row r="58534" spans="20:20" s="566" customFormat="1">
      <c r="T58534" s="41"/>
    </row>
    <row r="58535" spans="20:20" s="566" customFormat="1">
      <c r="T58535" s="41"/>
    </row>
    <row r="58536" spans="20:20" s="566" customFormat="1">
      <c r="T58536" s="41"/>
    </row>
    <row r="58537" spans="20:20" s="566" customFormat="1">
      <c r="T58537" s="41"/>
    </row>
    <row r="58538" spans="20:20" s="566" customFormat="1">
      <c r="T58538" s="41"/>
    </row>
    <row r="58539" spans="20:20" s="566" customFormat="1">
      <c r="T58539" s="41"/>
    </row>
    <row r="58540" spans="20:20" s="566" customFormat="1">
      <c r="T58540" s="41"/>
    </row>
    <row r="58541" spans="20:20" s="566" customFormat="1">
      <c r="T58541" s="41"/>
    </row>
    <row r="58542" spans="20:20" s="566" customFormat="1">
      <c r="T58542" s="41"/>
    </row>
    <row r="58543" spans="20:20" s="566" customFormat="1">
      <c r="T58543" s="41"/>
    </row>
    <row r="58544" spans="20:20" s="566" customFormat="1">
      <c r="T58544" s="41"/>
    </row>
    <row r="58545" spans="20:20" s="566" customFormat="1">
      <c r="T58545" s="41"/>
    </row>
    <row r="58546" spans="20:20" s="566" customFormat="1">
      <c r="T58546" s="41"/>
    </row>
    <row r="58547" spans="20:20" s="566" customFormat="1">
      <c r="T58547" s="41"/>
    </row>
    <row r="58548" spans="20:20" s="566" customFormat="1">
      <c r="T58548" s="41"/>
    </row>
    <row r="58549" spans="20:20" s="566" customFormat="1">
      <c r="T58549" s="41"/>
    </row>
    <row r="58550" spans="20:20" s="566" customFormat="1">
      <c r="T58550" s="41"/>
    </row>
    <row r="58551" spans="20:20" s="566" customFormat="1">
      <c r="T58551" s="41"/>
    </row>
    <row r="58552" spans="20:20" s="566" customFormat="1">
      <c r="T58552" s="41"/>
    </row>
    <row r="58553" spans="20:20" s="566" customFormat="1">
      <c r="T58553" s="41"/>
    </row>
    <row r="58554" spans="20:20" s="566" customFormat="1">
      <c r="T58554" s="41"/>
    </row>
    <row r="58555" spans="20:20" s="566" customFormat="1">
      <c r="T58555" s="41"/>
    </row>
    <row r="58556" spans="20:20" s="566" customFormat="1">
      <c r="T58556" s="41"/>
    </row>
    <row r="58557" spans="20:20" s="566" customFormat="1">
      <c r="T58557" s="41"/>
    </row>
    <row r="58558" spans="20:20" s="566" customFormat="1">
      <c r="T58558" s="41"/>
    </row>
    <row r="58559" spans="20:20" s="566" customFormat="1">
      <c r="T58559" s="41"/>
    </row>
    <row r="58560" spans="20:20" s="566" customFormat="1">
      <c r="T58560" s="41"/>
    </row>
    <row r="58561" spans="20:20" s="566" customFormat="1">
      <c r="T58561" s="41"/>
    </row>
    <row r="58562" spans="20:20" s="566" customFormat="1">
      <c r="T58562" s="41"/>
    </row>
    <row r="58563" spans="20:20" s="566" customFormat="1">
      <c r="T58563" s="41"/>
    </row>
    <row r="58564" spans="20:20" s="566" customFormat="1">
      <c r="T58564" s="41"/>
    </row>
    <row r="58565" spans="20:20" s="566" customFormat="1">
      <c r="T58565" s="41"/>
    </row>
    <row r="58566" spans="20:20" s="566" customFormat="1">
      <c r="T58566" s="41"/>
    </row>
    <row r="58567" spans="20:20" s="566" customFormat="1">
      <c r="T58567" s="41"/>
    </row>
    <row r="58568" spans="20:20" s="566" customFormat="1">
      <c r="T58568" s="41"/>
    </row>
    <row r="58569" spans="20:20" s="566" customFormat="1">
      <c r="T58569" s="41"/>
    </row>
    <row r="58570" spans="20:20" s="566" customFormat="1">
      <c r="T58570" s="41"/>
    </row>
    <row r="58571" spans="20:20" s="566" customFormat="1">
      <c r="T58571" s="41"/>
    </row>
    <row r="58572" spans="20:20" s="566" customFormat="1">
      <c r="T58572" s="41"/>
    </row>
    <row r="58573" spans="20:20" s="566" customFormat="1">
      <c r="T58573" s="41"/>
    </row>
    <row r="58574" spans="20:20" s="566" customFormat="1">
      <c r="T58574" s="41"/>
    </row>
    <row r="58575" spans="20:20" s="566" customFormat="1">
      <c r="T58575" s="41"/>
    </row>
    <row r="58576" spans="20:20" s="566" customFormat="1">
      <c r="T58576" s="41"/>
    </row>
    <row r="58577" spans="20:20" s="566" customFormat="1">
      <c r="T58577" s="41"/>
    </row>
    <row r="58578" spans="20:20" s="566" customFormat="1">
      <c r="T58578" s="41"/>
    </row>
    <row r="58579" spans="20:20" s="566" customFormat="1">
      <c r="T58579" s="41"/>
    </row>
    <row r="58580" spans="20:20" s="566" customFormat="1">
      <c r="T58580" s="41"/>
    </row>
    <row r="58581" spans="20:20" s="566" customFormat="1">
      <c r="T58581" s="41"/>
    </row>
    <row r="58582" spans="20:20" s="566" customFormat="1">
      <c r="T58582" s="41"/>
    </row>
    <row r="58583" spans="20:20" s="566" customFormat="1">
      <c r="T58583" s="41"/>
    </row>
    <row r="58584" spans="20:20" s="566" customFormat="1">
      <c r="T58584" s="41"/>
    </row>
    <row r="58585" spans="20:20" s="566" customFormat="1">
      <c r="T58585" s="41"/>
    </row>
    <row r="58586" spans="20:20" s="566" customFormat="1">
      <c r="T58586" s="41"/>
    </row>
    <row r="58587" spans="20:20" s="566" customFormat="1">
      <c r="T58587" s="41"/>
    </row>
    <row r="58588" spans="20:20" s="566" customFormat="1">
      <c r="T58588" s="41"/>
    </row>
    <row r="58589" spans="20:20" s="566" customFormat="1">
      <c r="T58589" s="41"/>
    </row>
    <row r="58590" spans="20:20" s="566" customFormat="1">
      <c r="T58590" s="41"/>
    </row>
    <row r="58591" spans="20:20" s="566" customFormat="1">
      <c r="T58591" s="41"/>
    </row>
    <row r="58592" spans="20:20" s="566" customFormat="1">
      <c r="T58592" s="41"/>
    </row>
    <row r="58593" spans="20:20" s="566" customFormat="1">
      <c r="T58593" s="41"/>
    </row>
    <row r="58594" spans="20:20" s="566" customFormat="1">
      <c r="T58594" s="41"/>
    </row>
    <row r="58595" spans="20:20" s="566" customFormat="1">
      <c r="T58595" s="41"/>
    </row>
    <row r="58596" spans="20:20" s="566" customFormat="1">
      <c r="T58596" s="41"/>
    </row>
    <row r="58597" spans="20:20" s="566" customFormat="1">
      <c r="T58597" s="41"/>
    </row>
    <row r="58598" spans="20:20" s="566" customFormat="1">
      <c r="T58598" s="41"/>
    </row>
    <row r="58599" spans="20:20" s="566" customFormat="1">
      <c r="T58599" s="41"/>
    </row>
    <row r="58600" spans="20:20" s="566" customFormat="1">
      <c r="T58600" s="41"/>
    </row>
    <row r="58601" spans="20:20" s="566" customFormat="1">
      <c r="T58601" s="41"/>
    </row>
    <row r="58602" spans="20:20" s="566" customFormat="1">
      <c r="T58602" s="41"/>
    </row>
    <row r="58603" spans="20:20" s="566" customFormat="1">
      <c r="T58603" s="41"/>
    </row>
    <row r="58604" spans="20:20" s="566" customFormat="1">
      <c r="T58604" s="41"/>
    </row>
    <row r="58605" spans="20:20" s="566" customFormat="1">
      <c r="T58605" s="41"/>
    </row>
    <row r="58606" spans="20:20" s="566" customFormat="1">
      <c r="T58606" s="41"/>
    </row>
    <row r="58607" spans="20:20" s="566" customFormat="1">
      <c r="T58607" s="41"/>
    </row>
    <row r="58608" spans="20:20" s="566" customFormat="1">
      <c r="T58608" s="41"/>
    </row>
    <row r="58609" spans="20:20" s="566" customFormat="1">
      <c r="T58609" s="41"/>
    </row>
    <row r="58610" spans="20:20" s="566" customFormat="1">
      <c r="T58610" s="41"/>
    </row>
    <row r="58611" spans="20:20" s="566" customFormat="1">
      <c r="T58611" s="41"/>
    </row>
    <row r="58612" spans="20:20" s="566" customFormat="1">
      <c r="T58612" s="41"/>
    </row>
    <row r="58613" spans="20:20" s="566" customFormat="1">
      <c r="T58613" s="41"/>
    </row>
    <row r="58614" spans="20:20" s="566" customFormat="1">
      <c r="T58614" s="41"/>
    </row>
    <row r="58615" spans="20:20" s="566" customFormat="1">
      <c r="T58615" s="41"/>
    </row>
    <row r="58616" spans="20:20" s="566" customFormat="1">
      <c r="T58616" s="41"/>
    </row>
    <row r="58617" spans="20:20" s="566" customFormat="1">
      <c r="T58617" s="41"/>
    </row>
    <row r="58618" spans="20:20" s="566" customFormat="1">
      <c r="T58618" s="41"/>
    </row>
    <row r="58619" spans="20:20" s="566" customFormat="1">
      <c r="T58619" s="41"/>
    </row>
    <row r="58620" spans="20:20" s="566" customFormat="1">
      <c r="T58620" s="41"/>
    </row>
    <row r="58621" spans="20:20" s="566" customFormat="1">
      <c r="T58621" s="41"/>
    </row>
    <row r="58622" spans="20:20" s="566" customFormat="1">
      <c r="T58622" s="41"/>
    </row>
    <row r="58623" spans="20:20" s="566" customFormat="1">
      <c r="T58623" s="41"/>
    </row>
    <row r="58624" spans="20:20" s="566" customFormat="1">
      <c r="T58624" s="41"/>
    </row>
    <row r="58625" spans="20:20" s="566" customFormat="1">
      <c r="T58625" s="41"/>
    </row>
    <row r="58626" spans="20:20" s="566" customFormat="1">
      <c r="T58626" s="41"/>
    </row>
    <row r="58627" spans="20:20" s="566" customFormat="1">
      <c r="T58627" s="41"/>
    </row>
    <row r="58628" spans="20:20" s="566" customFormat="1">
      <c r="T58628" s="41"/>
    </row>
    <row r="58629" spans="20:20" s="566" customFormat="1">
      <c r="T58629" s="41"/>
    </row>
    <row r="58630" spans="20:20" s="566" customFormat="1">
      <c r="T58630" s="41"/>
    </row>
    <row r="58631" spans="20:20" s="566" customFormat="1">
      <c r="T58631" s="41"/>
    </row>
    <row r="58632" spans="20:20" s="566" customFormat="1">
      <c r="T58632" s="41"/>
    </row>
    <row r="58633" spans="20:20" s="566" customFormat="1">
      <c r="T58633" s="41"/>
    </row>
    <row r="58634" spans="20:20" s="566" customFormat="1">
      <c r="T58634" s="41"/>
    </row>
    <row r="58635" spans="20:20" s="566" customFormat="1">
      <c r="T58635" s="41"/>
    </row>
    <row r="58636" spans="20:20" s="566" customFormat="1">
      <c r="T58636" s="41"/>
    </row>
    <row r="58637" spans="20:20" s="566" customFormat="1">
      <c r="T58637" s="41"/>
    </row>
    <row r="58638" spans="20:20" s="566" customFormat="1">
      <c r="T58638" s="41"/>
    </row>
    <row r="58639" spans="20:20" s="566" customFormat="1">
      <c r="T58639" s="41"/>
    </row>
    <row r="58640" spans="20:20" s="566" customFormat="1">
      <c r="T58640" s="41"/>
    </row>
    <row r="58641" spans="20:20" s="566" customFormat="1">
      <c r="T58641" s="41"/>
    </row>
    <row r="58642" spans="20:20" s="566" customFormat="1">
      <c r="T58642" s="41"/>
    </row>
    <row r="58643" spans="20:20" s="566" customFormat="1">
      <c r="T58643" s="41"/>
    </row>
    <row r="58644" spans="20:20" s="566" customFormat="1">
      <c r="T58644" s="41"/>
    </row>
    <row r="58645" spans="20:20" s="566" customFormat="1">
      <c r="T58645" s="41"/>
    </row>
    <row r="58646" spans="20:20" s="566" customFormat="1">
      <c r="T58646" s="41"/>
    </row>
    <row r="58647" spans="20:20" s="566" customFormat="1">
      <c r="T58647" s="41"/>
    </row>
    <row r="58648" spans="20:20" s="566" customFormat="1">
      <c r="T58648" s="41"/>
    </row>
    <row r="58649" spans="20:20" s="566" customFormat="1">
      <c r="T58649" s="41"/>
    </row>
    <row r="58650" spans="20:20" s="566" customFormat="1">
      <c r="T58650" s="41"/>
    </row>
    <row r="58651" spans="20:20" s="566" customFormat="1">
      <c r="T58651" s="41"/>
    </row>
    <row r="58652" spans="20:20" s="566" customFormat="1">
      <c r="T58652" s="41"/>
    </row>
    <row r="58653" spans="20:20" s="566" customFormat="1">
      <c r="T58653" s="41"/>
    </row>
    <row r="58654" spans="20:20" s="566" customFormat="1">
      <c r="T58654" s="41"/>
    </row>
    <row r="58655" spans="20:20" s="566" customFormat="1">
      <c r="T58655" s="41"/>
    </row>
    <row r="58656" spans="20:20" s="566" customFormat="1">
      <c r="T58656" s="41"/>
    </row>
    <row r="58657" spans="20:20" s="566" customFormat="1">
      <c r="T58657" s="41"/>
    </row>
    <row r="58658" spans="20:20" s="566" customFormat="1">
      <c r="T58658" s="41"/>
    </row>
    <row r="58659" spans="20:20" s="566" customFormat="1">
      <c r="T58659" s="41"/>
    </row>
    <row r="58660" spans="20:20" s="566" customFormat="1">
      <c r="T58660" s="41"/>
    </row>
    <row r="58661" spans="20:20" s="566" customFormat="1">
      <c r="T58661" s="41"/>
    </row>
    <row r="58662" spans="20:20" s="566" customFormat="1">
      <c r="T58662" s="41"/>
    </row>
    <row r="58663" spans="20:20" s="566" customFormat="1">
      <c r="T58663" s="41"/>
    </row>
    <row r="58664" spans="20:20" s="566" customFormat="1">
      <c r="T58664" s="41"/>
    </row>
    <row r="58665" spans="20:20" s="566" customFormat="1">
      <c r="T58665" s="41"/>
    </row>
    <row r="58666" spans="20:20" s="566" customFormat="1">
      <c r="T58666" s="41"/>
    </row>
    <row r="58667" spans="20:20" s="566" customFormat="1">
      <c r="T58667" s="41"/>
    </row>
    <row r="58668" spans="20:20" s="566" customFormat="1">
      <c r="T58668" s="41"/>
    </row>
    <row r="58669" spans="20:20" s="566" customFormat="1">
      <c r="T58669" s="41"/>
    </row>
    <row r="58670" spans="20:20" s="566" customFormat="1">
      <c r="T58670" s="41"/>
    </row>
    <row r="58671" spans="20:20" s="566" customFormat="1">
      <c r="T58671" s="41"/>
    </row>
    <row r="58672" spans="20:20" s="566" customFormat="1">
      <c r="T58672" s="41"/>
    </row>
    <row r="58673" spans="20:20" s="566" customFormat="1">
      <c r="T58673" s="41"/>
    </row>
    <row r="58674" spans="20:20" s="566" customFormat="1">
      <c r="T58674" s="41"/>
    </row>
    <row r="58675" spans="20:20" s="566" customFormat="1">
      <c r="T58675" s="41"/>
    </row>
    <row r="58676" spans="20:20" s="566" customFormat="1">
      <c r="T58676" s="41"/>
    </row>
    <row r="58677" spans="20:20" s="566" customFormat="1">
      <c r="T58677" s="41"/>
    </row>
    <row r="58678" spans="20:20" s="566" customFormat="1">
      <c r="T58678" s="41"/>
    </row>
    <row r="58679" spans="20:20" s="566" customFormat="1">
      <c r="T58679" s="41"/>
    </row>
    <row r="58680" spans="20:20" s="566" customFormat="1">
      <c r="T58680" s="41"/>
    </row>
    <row r="58681" spans="20:20" s="566" customFormat="1">
      <c r="T58681" s="41"/>
    </row>
    <row r="58682" spans="20:20" s="566" customFormat="1">
      <c r="T58682" s="41"/>
    </row>
    <row r="58683" spans="20:20" s="566" customFormat="1">
      <c r="T58683" s="41"/>
    </row>
    <row r="58684" spans="20:20" s="566" customFormat="1">
      <c r="T58684" s="41"/>
    </row>
    <row r="58685" spans="20:20" s="566" customFormat="1">
      <c r="T58685" s="41"/>
    </row>
    <row r="58686" spans="20:20" s="566" customFormat="1">
      <c r="T58686" s="41"/>
    </row>
    <row r="58687" spans="20:20" s="566" customFormat="1">
      <c r="T58687" s="41"/>
    </row>
    <row r="58688" spans="20:20" s="566" customFormat="1">
      <c r="T58688" s="41"/>
    </row>
    <row r="58689" spans="20:20" s="566" customFormat="1">
      <c r="T58689" s="41"/>
    </row>
    <row r="58690" spans="20:20" s="566" customFormat="1">
      <c r="T58690" s="41"/>
    </row>
    <row r="58691" spans="20:20" s="566" customFormat="1">
      <c r="T58691" s="41"/>
    </row>
    <row r="58692" spans="20:20" s="566" customFormat="1">
      <c r="T58692" s="41"/>
    </row>
    <row r="58693" spans="20:20" s="566" customFormat="1">
      <c r="T58693" s="41"/>
    </row>
    <row r="58694" spans="20:20" s="566" customFormat="1">
      <c r="T58694" s="41"/>
    </row>
    <row r="58695" spans="20:20" s="566" customFormat="1">
      <c r="T58695" s="41"/>
    </row>
    <row r="58696" spans="20:20" s="566" customFormat="1">
      <c r="T58696" s="41"/>
    </row>
    <row r="58697" spans="20:20" s="566" customFormat="1">
      <c r="T58697" s="41"/>
    </row>
    <row r="58698" spans="20:20" s="566" customFormat="1">
      <c r="T58698" s="41"/>
    </row>
    <row r="58699" spans="20:20" s="566" customFormat="1">
      <c r="T58699" s="41"/>
    </row>
    <row r="58700" spans="20:20" s="566" customFormat="1">
      <c r="T58700" s="41"/>
    </row>
    <row r="58701" spans="20:20" s="566" customFormat="1">
      <c r="T58701" s="41"/>
    </row>
    <row r="58702" spans="20:20" s="566" customFormat="1">
      <c r="T58702" s="41"/>
    </row>
    <row r="58703" spans="20:20" s="566" customFormat="1">
      <c r="T58703" s="41"/>
    </row>
    <row r="58704" spans="20:20" s="566" customFormat="1">
      <c r="T58704" s="41"/>
    </row>
    <row r="58705" spans="20:20" s="566" customFormat="1">
      <c r="T58705" s="41"/>
    </row>
    <row r="58706" spans="20:20" s="566" customFormat="1">
      <c r="T58706" s="41"/>
    </row>
    <row r="58707" spans="20:20" s="566" customFormat="1">
      <c r="T58707" s="41"/>
    </row>
    <row r="58708" spans="20:20" s="566" customFormat="1">
      <c r="T58708" s="41"/>
    </row>
    <row r="58709" spans="20:20" s="566" customFormat="1">
      <c r="T58709" s="41"/>
    </row>
    <row r="58710" spans="20:20" s="566" customFormat="1">
      <c r="T58710" s="41"/>
    </row>
    <row r="58711" spans="20:20" s="566" customFormat="1">
      <c r="T58711" s="41"/>
    </row>
    <row r="58712" spans="20:20" s="566" customFormat="1">
      <c r="T58712" s="41"/>
    </row>
    <row r="58713" spans="20:20" s="566" customFormat="1">
      <c r="T58713" s="41"/>
    </row>
    <row r="58714" spans="20:20" s="566" customFormat="1">
      <c r="T58714" s="41"/>
    </row>
    <row r="58715" spans="20:20" s="566" customFormat="1">
      <c r="T58715" s="41"/>
    </row>
    <row r="58716" spans="20:20" s="566" customFormat="1">
      <c r="T58716" s="41"/>
    </row>
    <row r="58717" spans="20:20" s="566" customFormat="1">
      <c r="T58717" s="41"/>
    </row>
    <row r="58718" spans="20:20" s="566" customFormat="1">
      <c r="T58718" s="41"/>
    </row>
    <row r="58719" spans="20:20" s="566" customFormat="1">
      <c r="T58719" s="41"/>
    </row>
    <row r="58720" spans="20:20" s="566" customFormat="1">
      <c r="T58720" s="41"/>
    </row>
    <row r="58721" spans="20:20" s="566" customFormat="1">
      <c r="T58721" s="41"/>
    </row>
    <row r="58722" spans="20:20" s="566" customFormat="1">
      <c r="T58722" s="41"/>
    </row>
    <row r="58723" spans="20:20" s="566" customFormat="1">
      <c r="T58723" s="41"/>
    </row>
    <row r="58724" spans="20:20" s="566" customFormat="1">
      <c r="T58724" s="41"/>
    </row>
    <row r="58725" spans="20:20" s="566" customFormat="1">
      <c r="T58725" s="41"/>
    </row>
    <row r="58726" spans="20:20" s="566" customFormat="1">
      <c r="T58726" s="41"/>
    </row>
    <row r="58727" spans="20:20" s="566" customFormat="1">
      <c r="T58727" s="41"/>
    </row>
    <row r="58728" spans="20:20" s="566" customFormat="1">
      <c r="T58728" s="41"/>
    </row>
    <row r="58729" spans="20:20" s="566" customFormat="1">
      <c r="T58729" s="41"/>
    </row>
    <row r="58730" spans="20:20" s="566" customFormat="1">
      <c r="T58730" s="41"/>
    </row>
    <row r="58731" spans="20:20" s="566" customFormat="1">
      <c r="T58731" s="41"/>
    </row>
    <row r="58732" spans="20:20" s="566" customFormat="1">
      <c r="T58732" s="41"/>
    </row>
    <row r="58733" spans="20:20" s="566" customFormat="1">
      <c r="T58733" s="41"/>
    </row>
    <row r="58734" spans="20:20" s="566" customFormat="1">
      <c r="T58734" s="41"/>
    </row>
    <row r="58735" spans="20:20" s="566" customFormat="1">
      <c r="T58735" s="41"/>
    </row>
    <row r="58736" spans="20:20" s="566" customFormat="1">
      <c r="T58736" s="41"/>
    </row>
    <row r="58737" spans="20:20" s="566" customFormat="1">
      <c r="T58737" s="41"/>
    </row>
    <row r="58738" spans="20:20" s="566" customFormat="1">
      <c r="T58738" s="41"/>
    </row>
    <row r="58739" spans="20:20" s="566" customFormat="1">
      <c r="T58739" s="41"/>
    </row>
    <row r="58740" spans="20:20" s="566" customFormat="1">
      <c r="T58740" s="41"/>
    </row>
    <row r="58741" spans="20:20" s="566" customFormat="1">
      <c r="T58741" s="41"/>
    </row>
    <row r="58742" spans="20:20" s="566" customFormat="1">
      <c r="T58742" s="41"/>
    </row>
    <row r="58743" spans="20:20" s="566" customFormat="1">
      <c r="T58743" s="41"/>
    </row>
    <row r="58744" spans="20:20" s="566" customFormat="1">
      <c r="T58744" s="41"/>
    </row>
    <row r="58745" spans="20:20" s="566" customFormat="1">
      <c r="T58745" s="41"/>
    </row>
    <row r="58746" spans="20:20" s="566" customFormat="1">
      <c r="T58746" s="41"/>
    </row>
    <row r="58747" spans="20:20" s="566" customFormat="1">
      <c r="T58747" s="41"/>
    </row>
    <row r="58748" spans="20:20" s="566" customFormat="1">
      <c r="T58748" s="41"/>
    </row>
    <row r="58749" spans="20:20" s="566" customFormat="1">
      <c r="T58749" s="41"/>
    </row>
    <row r="58750" spans="20:20" s="566" customFormat="1">
      <c r="T58750" s="41"/>
    </row>
    <row r="58751" spans="20:20" s="566" customFormat="1">
      <c r="T58751" s="41"/>
    </row>
    <row r="58752" spans="20:20" s="566" customFormat="1">
      <c r="T58752" s="41"/>
    </row>
    <row r="58753" spans="20:20" s="566" customFormat="1">
      <c r="T58753" s="41"/>
    </row>
    <row r="58754" spans="20:20" s="566" customFormat="1">
      <c r="T58754" s="41"/>
    </row>
    <row r="58755" spans="20:20" s="566" customFormat="1">
      <c r="T58755" s="41"/>
    </row>
    <row r="58756" spans="20:20" s="566" customFormat="1">
      <c r="T58756" s="41"/>
    </row>
    <row r="58757" spans="20:20" s="566" customFormat="1">
      <c r="T58757" s="41"/>
    </row>
    <row r="58758" spans="20:20" s="566" customFormat="1">
      <c r="T58758" s="41"/>
    </row>
    <row r="58759" spans="20:20" s="566" customFormat="1">
      <c r="T58759" s="41"/>
    </row>
    <row r="58760" spans="20:20" s="566" customFormat="1">
      <c r="T58760" s="41"/>
    </row>
    <row r="58761" spans="20:20" s="566" customFormat="1">
      <c r="T58761" s="41"/>
    </row>
    <row r="58762" spans="20:20" s="566" customFormat="1">
      <c r="T58762" s="41"/>
    </row>
    <row r="58763" spans="20:20" s="566" customFormat="1">
      <c r="T58763" s="41"/>
    </row>
    <row r="58764" spans="20:20" s="566" customFormat="1">
      <c r="T58764" s="41"/>
    </row>
    <row r="58765" spans="20:20" s="566" customFormat="1">
      <c r="T58765" s="41"/>
    </row>
    <row r="58766" spans="20:20" s="566" customFormat="1">
      <c r="T58766" s="41"/>
    </row>
    <row r="58767" spans="20:20" s="566" customFormat="1">
      <c r="T58767" s="41"/>
    </row>
    <row r="58768" spans="20:20" s="566" customFormat="1">
      <c r="T58768" s="41"/>
    </row>
    <row r="58769" spans="20:20" s="566" customFormat="1">
      <c r="T58769" s="41"/>
    </row>
    <row r="58770" spans="20:20" s="566" customFormat="1">
      <c r="T58770" s="41"/>
    </row>
    <row r="58771" spans="20:20" s="566" customFormat="1">
      <c r="T58771" s="41"/>
    </row>
    <row r="58772" spans="20:20" s="566" customFormat="1">
      <c r="T58772" s="41"/>
    </row>
    <row r="58773" spans="20:20" s="566" customFormat="1">
      <c r="T58773" s="41"/>
    </row>
    <row r="58774" spans="20:20" s="566" customFormat="1">
      <c r="T58774" s="41"/>
    </row>
    <row r="58775" spans="20:20" s="566" customFormat="1">
      <c r="T58775" s="41"/>
    </row>
    <row r="58776" spans="20:20" s="566" customFormat="1">
      <c r="T58776" s="41"/>
    </row>
    <row r="58777" spans="20:20" s="566" customFormat="1">
      <c r="T58777" s="41"/>
    </row>
    <row r="58778" spans="20:20" s="566" customFormat="1">
      <c r="T58778" s="41"/>
    </row>
    <row r="58779" spans="20:20" s="566" customFormat="1">
      <c r="T58779" s="41"/>
    </row>
    <row r="58780" spans="20:20" s="566" customFormat="1">
      <c r="T58780" s="41"/>
    </row>
    <row r="58781" spans="20:20" s="566" customFormat="1">
      <c r="T58781" s="41"/>
    </row>
    <row r="58782" spans="20:20" s="566" customFormat="1">
      <c r="T58782" s="41"/>
    </row>
    <row r="58783" spans="20:20" s="566" customFormat="1">
      <c r="T58783" s="41"/>
    </row>
    <row r="58784" spans="20:20" s="566" customFormat="1">
      <c r="T58784" s="41"/>
    </row>
    <row r="58785" spans="20:20" s="566" customFormat="1">
      <c r="T58785" s="41"/>
    </row>
    <row r="58786" spans="20:20" s="566" customFormat="1">
      <c r="T58786" s="41"/>
    </row>
    <row r="58787" spans="20:20" s="566" customFormat="1">
      <c r="T58787" s="41"/>
    </row>
    <row r="58788" spans="20:20" s="566" customFormat="1">
      <c r="T58788" s="41"/>
    </row>
    <row r="58789" spans="20:20" s="566" customFormat="1">
      <c r="T58789" s="41"/>
    </row>
    <row r="58790" spans="20:20" s="566" customFormat="1">
      <c r="T58790" s="41"/>
    </row>
    <row r="58791" spans="20:20" s="566" customFormat="1">
      <c r="T58791" s="41"/>
    </row>
    <row r="58792" spans="20:20" s="566" customFormat="1">
      <c r="T58792" s="41"/>
    </row>
    <row r="58793" spans="20:20" s="566" customFormat="1">
      <c r="T58793" s="41"/>
    </row>
    <row r="58794" spans="20:20" s="566" customFormat="1">
      <c r="T58794" s="41"/>
    </row>
    <row r="58795" spans="20:20" s="566" customFormat="1">
      <c r="T58795" s="41"/>
    </row>
    <row r="58796" spans="20:20" s="566" customFormat="1">
      <c r="T58796" s="41"/>
    </row>
    <row r="58797" spans="20:20" s="566" customFormat="1">
      <c r="T58797" s="41"/>
    </row>
    <row r="58798" spans="20:20" s="566" customFormat="1">
      <c r="T58798" s="41"/>
    </row>
    <row r="58799" spans="20:20" s="566" customFormat="1">
      <c r="T58799" s="41"/>
    </row>
    <row r="58800" spans="20:20" s="566" customFormat="1">
      <c r="T58800" s="41"/>
    </row>
    <row r="58801" spans="20:20" s="566" customFormat="1">
      <c r="T58801" s="41"/>
    </row>
    <row r="58802" spans="20:20" s="566" customFormat="1">
      <c r="T58802" s="41"/>
    </row>
    <row r="58803" spans="20:20" s="566" customFormat="1">
      <c r="T58803" s="41"/>
    </row>
    <row r="58804" spans="20:20" s="566" customFormat="1">
      <c r="T58804" s="41"/>
    </row>
    <row r="58805" spans="20:20" s="566" customFormat="1">
      <c r="T58805" s="41"/>
    </row>
    <row r="58806" spans="20:20" s="566" customFormat="1">
      <c r="T58806" s="41"/>
    </row>
    <row r="58807" spans="20:20" s="566" customFormat="1">
      <c r="T58807" s="41"/>
    </row>
    <row r="58808" spans="20:20" s="566" customFormat="1">
      <c r="T58808" s="41"/>
    </row>
    <row r="58809" spans="20:20" s="566" customFormat="1">
      <c r="T58809" s="41"/>
    </row>
    <row r="58810" spans="20:20" s="566" customFormat="1">
      <c r="T58810" s="41"/>
    </row>
    <row r="58811" spans="20:20" s="566" customFormat="1">
      <c r="T58811" s="41"/>
    </row>
    <row r="58812" spans="20:20" s="566" customFormat="1">
      <c r="T58812" s="41"/>
    </row>
    <row r="58813" spans="20:20" s="566" customFormat="1">
      <c r="T58813" s="41"/>
    </row>
    <row r="58814" spans="20:20" s="566" customFormat="1">
      <c r="T58814" s="41"/>
    </row>
    <row r="58815" spans="20:20" s="566" customFormat="1">
      <c r="T58815" s="41"/>
    </row>
    <row r="58816" spans="20:20" s="566" customFormat="1">
      <c r="T58816" s="41"/>
    </row>
    <row r="58817" spans="20:20" s="566" customFormat="1">
      <c r="T58817" s="41"/>
    </row>
    <row r="58818" spans="20:20" s="566" customFormat="1">
      <c r="T58818" s="41"/>
    </row>
    <row r="58819" spans="20:20" s="566" customFormat="1">
      <c r="T58819" s="41"/>
    </row>
    <row r="58820" spans="20:20" s="566" customFormat="1">
      <c r="T58820" s="41"/>
    </row>
    <row r="58821" spans="20:20" s="566" customFormat="1">
      <c r="T58821" s="41"/>
    </row>
    <row r="58822" spans="20:20" s="566" customFormat="1">
      <c r="T58822" s="41"/>
    </row>
    <row r="58823" spans="20:20" s="566" customFormat="1">
      <c r="T58823" s="41"/>
    </row>
    <row r="58824" spans="20:20" s="566" customFormat="1">
      <c r="T58824" s="41"/>
    </row>
    <row r="58825" spans="20:20" s="566" customFormat="1">
      <c r="T58825" s="41"/>
    </row>
    <row r="58826" spans="20:20" s="566" customFormat="1">
      <c r="T58826" s="41"/>
    </row>
    <row r="58827" spans="20:20" s="566" customFormat="1">
      <c r="T58827" s="41"/>
    </row>
    <row r="58828" spans="20:20" s="566" customFormat="1">
      <c r="T58828" s="41"/>
    </row>
    <row r="58829" spans="20:20" s="566" customFormat="1">
      <c r="T58829" s="41"/>
    </row>
    <row r="58830" spans="20:20" s="566" customFormat="1">
      <c r="T58830" s="41"/>
    </row>
    <row r="58831" spans="20:20" s="566" customFormat="1">
      <c r="T58831" s="41"/>
    </row>
    <row r="58832" spans="20:20" s="566" customFormat="1">
      <c r="T58832" s="41"/>
    </row>
    <row r="58833" spans="20:20" s="566" customFormat="1">
      <c r="T58833" s="41"/>
    </row>
    <row r="58834" spans="20:20" s="566" customFormat="1">
      <c r="T58834" s="41"/>
    </row>
    <row r="58835" spans="20:20" s="566" customFormat="1">
      <c r="T58835" s="41"/>
    </row>
    <row r="58836" spans="20:20" s="566" customFormat="1">
      <c r="T58836" s="41"/>
    </row>
    <row r="58837" spans="20:20" s="566" customFormat="1">
      <c r="T58837" s="41"/>
    </row>
    <row r="58838" spans="20:20" s="566" customFormat="1">
      <c r="T58838" s="41"/>
    </row>
    <row r="58839" spans="20:20" s="566" customFormat="1">
      <c r="T58839" s="41"/>
    </row>
    <row r="58840" spans="20:20" s="566" customFormat="1">
      <c r="T58840" s="41"/>
    </row>
    <row r="58841" spans="20:20" s="566" customFormat="1">
      <c r="T58841" s="41"/>
    </row>
    <row r="58842" spans="20:20" s="566" customFormat="1">
      <c r="T58842" s="41"/>
    </row>
    <row r="58843" spans="20:20" s="566" customFormat="1">
      <c r="T58843" s="41"/>
    </row>
    <row r="58844" spans="20:20" s="566" customFormat="1">
      <c r="T58844" s="41"/>
    </row>
    <row r="58845" spans="20:20" s="566" customFormat="1">
      <c r="T58845" s="41"/>
    </row>
    <row r="58846" spans="20:20" s="566" customFormat="1">
      <c r="T58846" s="41"/>
    </row>
    <row r="58847" spans="20:20" s="566" customFormat="1">
      <c r="T58847" s="41"/>
    </row>
    <row r="58848" spans="20:20" s="566" customFormat="1">
      <c r="T58848" s="41"/>
    </row>
    <row r="58849" spans="20:20" s="566" customFormat="1">
      <c r="T58849" s="41"/>
    </row>
    <row r="58850" spans="20:20" s="566" customFormat="1">
      <c r="T58850" s="41"/>
    </row>
    <row r="58851" spans="20:20" s="566" customFormat="1">
      <c r="T58851" s="41"/>
    </row>
    <row r="58852" spans="20:20" s="566" customFormat="1">
      <c r="T58852" s="41"/>
    </row>
    <row r="58853" spans="20:20" s="566" customFormat="1">
      <c r="T58853" s="41"/>
    </row>
    <row r="58854" spans="20:20" s="566" customFormat="1">
      <c r="T58854" s="41"/>
    </row>
    <row r="58855" spans="20:20" s="566" customFormat="1">
      <c r="T58855" s="41"/>
    </row>
    <row r="58856" spans="20:20" s="566" customFormat="1">
      <c r="T58856" s="41"/>
    </row>
    <row r="58857" spans="20:20" s="566" customFormat="1">
      <c r="T58857" s="41"/>
    </row>
    <row r="58858" spans="20:20" s="566" customFormat="1">
      <c r="T58858" s="41"/>
    </row>
    <row r="58859" spans="20:20" s="566" customFormat="1">
      <c r="T58859" s="41"/>
    </row>
    <row r="58860" spans="20:20" s="566" customFormat="1">
      <c r="T58860" s="41"/>
    </row>
    <row r="58861" spans="20:20" s="566" customFormat="1">
      <c r="T58861" s="41"/>
    </row>
    <row r="58862" spans="20:20" s="566" customFormat="1">
      <c r="T58862" s="41"/>
    </row>
    <row r="58863" spans="20:20" s="566" customFormat="1">
      <c r="T58863" s="41"/>
    </row>
    <row r="58864" spans="20:20" s="566" customFormat="1">
      <c r="T58864" s="41"/>
    </row>
    <row r="58865" spans="20:20" s="566" customFormat="1">
      <c r="T58865" s="41"/>
    </row>
    <row r="58866" spans="20:20" s="566" customFormat="1">
      <c r="T58866" s="41"/>
    </row>
    <row r="58867" spans="20:20" s="566" customFormat="1">
      <c r="T58867" s="41"/>
    </row>
    <row r="58868" spans="20:20" s="566" customFormat="1">
      <c r="T58868" s="41"/>
    </row>
    <row r="58869" spans="20:20" s="566" customFormat="1">
      <c r="T58869" s="41"/>
    </row>
    <row r="58870" spans="20:20" s="566" customFormat="1">
      <c r="T58870" s="41"/>
    </row>
    <row r="58871" spans="20:20" s="566" customFormat="1">
      <c r="T58871" s="41"/>
    </row>
    <row r="58872" spans="20:20" s="566" customFormat="1">
      <c r="T58872" s="41"/>
    </row>
    <row r="58873" spans="20:20" s="566" customFormat="1">
      <c r="T58873" s="41"/>
    </row>
    <row r="58874" spans="20:20" s="566" customFormat="1">
      <c r="T58874" s="41"/>
    </row>
    <row r="58875" spans="20:20" s="566" customFormat="1">
      <c r="T58875" s="41"/>
    </row>
    <row r="58876" spans="20:20" s="566" customFormat="1">
      <c r="T58876" s="41"/>
    </row>
    <row r="58877" spans="20:20" s="566" customFormat="1">
      <c r="T58877" s="41"/>
    </row>
    <row r="58878" spans="20:20" s="566" customFormat="1">
      <c r="T58878" s="41"/>
    </row>
    <row r="58879" spans="20:20" s="566" customFormat="1">
      <c r="T58879" s="41"/>
    </row>
    <row r="58880" spans="20:20" s="566" customFormat="1">
      <c r="T58880" s="41"/>
    </row>
    <row r="58881" spans="20:20" s="566" customFormat="1">
      <c r="T58881" s="41"/>
    </row>
    <row r="58882" spans="20:20" s="566" customFormat="1">
      <c r="T58882" s="41"/>
    </row>
    <row r="58883" spans="20:20" s="566" customFormat="1">
      <c r="T58883" s="41"/>
    </row>
    <row r="58884" spans="20:20" s="566" customFormat="1">
      <c r="T58884" s="41"/>
    </row>
    <row r="58885" spans="20:20" s="566" customFormat="1">
      <c r="T58885" s="41"/>
    </row>
    <row r="58886" spans="20:20" s="566" customFormat="1">
      <c r="T58886" s="41"/>
    </row>
    <row r="58887" spans="20:20" s="566" customFormat="1">
      <c r="T58887" s="41"/>
    </row>
    <row r="58888" spans="20:20" s="566" customFormat="1">
      <c r="T58888" s="41"/>
    </row>
    <row r="58889" spans="20:20" s="566" customFormat="1">
      <c r="T58889" s="41"/>
    </row>
    <row r="58890" spans="20:20" s="566" customFormat="1">
      <c r="T58890" s="41"/>
    </row>
    <row r="58891" spans="20:20" s="566" customFormat="1">
      <c r="T58891" s="41"/>
    </row>
    <row r="58892" spans="20:20" s="566" customFormat="1">
      <c r="T58892" s="41"/>
    </row>
    <row r="58893" spans="20:20" s="566" customFormat="1">
      <c r="T58893" s="41"/>
    </row>
    <row r="58894" spans="20:20" s="566" customFormat="1">
      <c r="T58894" s="41"/>
    </row>
    <row r="58895" spans="20:20" s="566" customFormat="1">
      <c r="T58895" s="41"/>
    </row>
    <row r="58896" spans="20:20" s="566" customFormat="1">
      <c r="T58896" s="41"/>
    </row>
    <row r="58897" spans="20:20" s="566" customFormat="1">
      <c r="T58897" s="41"/>
    </row>
    <row r="58898" spans="20:20" s="566" customFormat="1">
      <c r="T58898" s="41"/>
    </row>
    <row r="58899" spans="20:20" s="566" customFormat="1">
      <c r="T58899" s="41"/>
    </row>
    <row r="58900" spans="20:20" s="566" customFormat="1">
      <c r="T58900" s="41"/>
    </row>
    <row r="58901" spans="20:20" s="566" customFormat="1">
      <c r="T58901" s="41"/>
    </row>
    <row r="58902" spans="20:20" s="566" customFormat="1">
      <c r="T58902" s="41"/>
    </row>
    <row r="58903" spans="20:20" s="566" customFormat="1">
      <c r="T58903" s="41"/>
    </row>
    <row r="58904" spans="20:20" s="566" customFormat="1">
      <c r="T58904" s="41"/>
    </row>
    <row r="58905" spans="20:20" s="566" customFormat="1">
      <c r="T58905" s="41"/>
    </row>
    <row r="58906" spans="20:20" s="566" customFormat="1">
      <c r="T58906" s="41"/>
    </row>
    <row r="58907" spans="20:20" s="566" customFormat="1">
      <c r="T58907" s="41"/>
    </row>
    <row r="58908" spans="20:20" s="566" customFormat="1">
      <c r="T58908" s="41"/>
    </row>
    <row r="58909" spans="20:20" s="566" customFormat="1">
      <c r="T58909" s="41"/>
    </row>
    <row r="58910" spans="20:20" s="566" customFormat="1">
      <c r="T58910" s="41"/>
    </row>
    <row r="58911" spans="20:20" s="566" customFormat="1">
      <c r="T58911" s="41"/>
    </row>
    <row r="58912" spans="20:20" s="566" customFormat="1">
      <c r="T58912" s="41"/>
    </row>
    <row r="58913" spans="20:20" s="566" customFormat="1">
      <c r="T58913" s="41"/>
    </row>
    <row r="58914" spans="20:20" s="566" customFormat="1">
      <c r="T58914" s="41"/>
    </row>
    <row r="58915" spans="20:20" s="566" customFormat="1">
      <c r="T58915" s="41"/>
    </row>
    <row r="58916" spans="20:20" s="566" customFormat="1">
      <c r="T58916" s="41"/>
    </row>
    <row r="58917" spans="20:20" s="566" customFormat="1">
      <c r="T58917" s="41"/>
    </row>
    <row r="58918" spans="20:20" s="566" customFormat="1">
      <c r="T58918" s="41"/>
    </row>
    <row r="58919" spans="20:20" s="566" customFormat="1">
      <c r="T58919" s="41"/>
    </row>
    <row r="58920" spans="20:20" s="566" customFormat="1">
      <c r="T58920" s="41"/>
    </row>
    <row r="58921" spans="20:20" s="566" customFormat="1">
      <c r="T58921" s="41"/>
    </row>
    <row r="58922" spans="20:20" s="566" customFormat="1">
      <c r="T58922" s="41"/>
    </row>
    <row r="58923" spans="20:20" s="566" customFormat="1">
      <c r="T58923" s="41"/>
    </row>
    <row r="58924" spans="20:20" s="566" customFormat="1">
      <c r="T58924" s="41"/>
    </row>
    <row r="58925" spans="20:20" s="566" customFormat="1">
      <c r="T58925" s="41"/>
    </row>
    <row r="58926" spans="20:20" s="566" customFormat="1">
      <c r="T58926" s="41"/>
    </row>
    <row r="58927" spans="20:20" s="566" customFormat="1">
      <c r="T58927" s="41"/>
    </row>
    <row r="58928" spans="20:20" s="566" customFormat="1">
      <c r="T58928" s="41"/>
    </row>
    <row r="58929" spans="20:20" s="566" customFormat="1">
      <c r="T58929" s="41"/>
    </row>
    <row r="58930" spans="20:20" s="566" customFormat="1">
      <c r="T58930" s="41"/>
    </row>
    <row r="58931" spans="20:20" s="566" customFormat="1">
      <c r="T58931" s="41"/>
    </row>
    <row r="58932" spans="20:20" s="566" customFormat="1">
      <c r="T58932" s="41"/>
    </row>
    <row r="58933" spans="20:20" s="566" customFormat="1">
      <c r="T58933" s="41"/>
    </row>
    <row r="58934" spans="20:20" s="566" customFormat="1">
      <c r="T58934" s="41"/>
    </row>
    <row r="58935" spans="20:20" s="566" customFormat="1">
      <c r="T58935" s="41"/>
    </row>
    <row r="58936" spans="20:20" s="566" customFormat="1">
      <c r="T58936" s="41"/>
    </row>
    <row r="58937" spans="20:20" s="566" customFormat="1">
      <c r="T58937" s="41"/>
    </row>
    <row r="58938" spans="20:20" s="566" customFormat="1">
      <c r="T58938" s="41"/>
    </row>
    <row r="58939" spans="20:20" s="566" customFormat="1">
      <c r="T58939" s="41"/>
    </row>
    <row r="58940" spans="20:20" s="566" customFormat="1">
      <c r="T58940" s="41"/>
    </row>
    <row r="58941" spans="20:20" s="566" customFormat="1">
      <c r="T58941" s="41"/>
    </row>
    <row r="58942" spans="20:20" s="566" customFormat="1">
      <c r="T58942" s="41"/>
    </row>
    <row r="58943" spans="20:20" s="566" customFormat="1">
      <c r="T58943" s="41"/>
    </row>
    <row r="58944" spans="20:20" s="566" customFormat="1">
      <c r="T58944" s="41"/>
    </row>
    <row r="58945" spans="20:20" s="566" customFormat="1">
      <c r="T58945" s="41"/>
    </row>
    <row r="58946" spans="20:20" s="566" customFormat="1">
      <c r="T58946" s="41"/>
    </row>
    <row r="58947" spans="20:20" s="566" customFormat="1">
      <c r="T58947" s="41"/>
    </row>
    <row r="58948" spans="20:20" s="566" customFormat="1">
      <c r="T58948" s="41"/>
    </row>
    <row r="58949" spans="20:20" s="566" customFormat="1">
      <c r="T58949" s="41"/>
    </row>
    <row r="58950" spans="20:20" s="566" customFormat="1">
      <c r="T58950" s="41"/>
    </row>
    <row r="58951" spans="20:20" s="566" customFormat="1">
      <c r="T58951" s="41"/>
    </row>
    <row r="58952" spans="20:20" s="566" customFormat="1">
      <c r="T58952" s="41"/>
    </row>
    <row r="58953" spans="20:20" s="566" customFormat="1">
      <c r="T58953" s="41"/>
    </row>
    <row r="58954" spans="20:20" s="566" customFormat="1">
      <c r="T58954" s="41"/>
    </row>
    <row r="58955" spans="20:20" s="566" customFormat="1">
      <c r="T58955" s="41"/>
    </row>
    <row r="58956" spans="20:20" s="566" customFormat="1">
      <c r="T58956" s="41"/>
    </row>
    <row r="58957" spans="20:20" s="566" customFormat="1">
      <c r="T58957" s="41"/>
    </row>
    <row r="58958" spans="20:20" s="566" customFormat="1">
      <c r="T58958" s="41"/>
    </row>
    <row r="58959" spans="20:20" s="566" customFormat="1">
      <c r="T58959" s="41"/>
    </row>
    <row r="58960" spans="20:20" s="566" customFormat="1">
      <c r="T58960" s="41"/>
    </row>
    <row r="58961" spans="20:20" s="566" customFormat="1">
      <c r="T58961" s="41"/>
    </row>
    <row r="58962" spans="20:20" s="566" customFormat="1">
      <c r="T58962" s="41"/>
    </row>
    <row r="58963" spans="20:20" s="566" customFormat="1">
      <c r="T58963" s="41"/>
    </row>
    <row r="58964" spans="20:20" s="566" customFormat="1">
      <c r="T58964" s="41"/>
    </row>
    <row r="58965" spans="20:20" s="566" customFormat="1">
      <c r="T58965" s="41"/>
    </row>
    <row r="58966" spans="20:20" s="566" customFormat="1">
      <c r="T58966" s="41"/>
    </row>
    <row r="58967" spans="20:20" s="566" customFormat="1">
      <c r="T58967" s="41"/>
    </row>
    <row r="58968" spans="20:20" s="566" customFormat="1">
      <c r="T58968" s="41"/>
    </row>
    <row r="58969" spans="20:20" s="566" customFormat="1">
      <c r="T58969" s="41"/>
    </row>
    <row r="58970" spans="20:20" s="566" customFormat="1">
      <c r="T58970" s="41"/>
    </row>
    <row r="58971" spans="20:20" s="566" customFormat="1">
      <c r="T58971" s="41"/>
    </row>
    <row r="58972" spans="20:20" s="566" customFormat="1">
      <c r="T58972" s="41"/>
    </row>
    <row r="58973" spans="20:20" s="566" customFormat="1">
      <c r="T58973" s="41"/>
    </row>
    <row r="58974" spans="20:20" s="566" customFormat="1">
      <c r="T58974" s="41"/>
    </row>
    <row r="58975" spans="20:20" s="566" customFormat="1">
      <c r="T58975" s="41"/>
    </row>
    <row r="58976" spans="20:20" s="566" customFormat="1">
      <c r="T58976" s="41"/>
    </row>
    <row r="58977" spans="20:20" s="566" customFormat="1">
      <c r="T58977" s="41"/>
    </row>
    <row r="58978" spans="20:20" s="566" customFormat="1">
      <c r="T58978" s="41"/>
    </row>
    <row r="58979" spans="20:20" s="566" customFormat="1">
      <c r="T58979" s="41"/>
    </row>
    <row r="58980" spans="20:20" s="566" customFormat="1">
      <c r="T58980" s="41"/>
    </row>
    <row r="58981" spans="20:20" s="566" customFormat="1">
      <c r="T58981" s="41"/>
    </row>
    <row r="58982" spans="20:20" s="566" customFormat="1">
      <c r="T58982" s="41"/>
    </row>
    <row r="58983" spans="20:20" s="566" customFormat="1">
      <c r="T58983" s="41"/>
    </row>
    <row r="58984" spans="20:20" s="566" customFormat="1">
      <c r="T58984" s="41"/>
    </row>
    <row r="58985" spans="20:20" s="566" customFormat="1">
      <c r="T58985" s="41"/>
    </row>
    <row r="58986" spans="20:20" s="566" customFormat="1">
      <c r="T58986" s="41"/>
    </row>
    <row r="58987" spans="20:20" s="566" customFormat="1">
      <c r="T58987" s="41"/>
    </row>
    <row r="58988" spans="20:20" s="566" customFormat="1">
      <c r="T58988" s="41"/>
    </row>
    <row r="58989" spans="20:20" s="566" customFormat="1">
      <c r="T58989" s="41"/>
    </row>
    <row r="58990" spans="20:20" s="566" customFormat="1">
      <c r="T58990" s="41"/>
    </row>
    <row r="58991" spans="20:20" s="566" customFormat="1">
      <c r="T58991" s="41"/>
    </row>
    <row r="58992" spans="20:20" s="566" customFormat="1">
      <c r="T58992" s="41"/>
    </row>
    <row r="58993" spans="20:20" s="566" customFormat="1">
      <c r="T58993" s="41"/>
    </row>
    <row r="58994" spans="20:20" s="566" customFormat="1">
      <c r="T58994" s="41"/>
    </row>
    <row r="58995" spans="20:20" s="566" customFormat="1">
      <c r="T58995" s="41"/>
    </row>
    <row r="58996" spans="20:20" s="566" customFormat="1">
      <c r="T58996" s="41"/>
    </row>
    <row r="58997" spans="20:20" s="566" customFormat="1">
      <c r="T58997" s="41"/>
    </row>
    <row r="58998" spans="20:20" s="566" customFormat="1">
      <c r="T58998" s="41"/>
    </row>
    <row r="58999" spans="20:20" s="566" customFormat="1">
      <c r="T58999" s="41"/>
    </row>
    <row r="59000" spans="20:20" s="566" customFormat="1">
      <c r="T59000" s="41"/>
    </row>
    <row r="59001" spans="20:20" s="566" customFormat="1">
      <c r="T59001" s="41"/>
    </row>
    <row r="59002" spans="20:20" s="566" customFormat="1">
      <c r="T59002" s="41"/>
    </row>
    <row r="59003" spans="20:20" s="566" customFormat="1">
      <c r="T59003" s="41"/>
    </row>
    <row r="59004" spans="20:20" s="566" customFormat="1">
      <c r="T59004" s="41"/>
    </row>
    <row r="59005" spans="20:20" s="566" customFormat="1">
      <c r="T59005" s="41"/>
    </row>
    <row r="59006" spans="20:20" s="566" customFormat="1">
      <c r="T59006" s="41"/>
    </row>
    <row r="59007" spans="20:20" s="566" customFormat="1">
      <c r="T59007" s="41"/>
    </row>
    <row r="59008" spans="20:20" s="566" customFormat="1">
      <c r="T59008" s="41"/>
    </row>
    <row r="59009" spans="20:20" s="566" customFormat="1">
      <c r="T59009" s="41"/>
    </row>
    <row r="59010" spans="20:20" s="566" customFormat="1">
      <c r="T59010" s="41"/>
    </row>
    <row r="59011" spans="20:20" s="566" customFormat="1">
      <c r="T59011" s="41"/>
    </row>
    <row r="59012" spans="20:20" s="566" customFormat="1">
      <c r="T59012" s="41"/>
    </row>
    <row r="59013" spans="20:20" s="566" customFormat="1">
      <c r="T59013" s="41"/>
    </row>
    <row r="59014" spans="20:20" s="566" customFormat="1">
      <c r="T59014" s="41"/>
    </row>
    <row r="59015" spans="20:20" s="566" customFormat="1">
      <c r="T59015" s="41"/>
    </row>
    <row r="59016" spans="20:20" s="566" customFormat="1">
      <c r="T59016" s="41"/>
    </row>
    <row r="59017" spans="20:20" s="566" customFormat="1">
      <c r="T59017" s="41"/>
    </row>
    <row r="59018" spans="20:20" s="566" customFormat="1">
      <c r="T59018" s="41"/>
    </row>
    <row r="59019" spans="20:20" s="566" customFormat="1">
      <c r="T59019" s="41"/>
    </row>
    <row r="59020" spans="20:20" s="566" customFormat="1">
      <c r="T59020" s="41"/>
    </row>
    <row r="59021" spans="20:20" s="566" customFormat="1">
      <c r="T59021" s="41"/>
    </row>
    <row r="59022" spans="20:20" s="566" customFormat="1">
      <c r="T59022" s="41"/>
    </row>
    <row r="59023" spans="20:20" s="566" customFormat="1">
      <c r="T59023" s="41"/>
    </row>
    <row r="59024" spans="20:20" s="566" customFormat="1">
      <c r="T59024" s="41"/>
    </row>
    <row r="59025" spans="20:20" s="566" customFormat="1">
      <c r="T59025" s="41"/>
    </row>
    <row r="59026" spans="20:20" s="566" customFormat="1">
      <c r="T59026" s="41"/>
    </row>
    <row r="59027" spans="20:20" s="566" customFormat="1">
      <c r="T59027" s="41"/>
    </row>
    <row r="59028" spans="20:20" s="566" customFormat="1">
      <c r="T59028" s="41"/>
    </row>
    <row r="59029" spans="20:20" s="566" customFormat="1">
      <c r="T59029" s="41"/>
    </row>
    <row r="59030" spans="20:20" s="566" customFormat="1">
      <c r="T59030" s="41"/>
    </row>
    <row r="59031" spans="20:20" s="566" customFormat="1">
      <c r="T59031" s="41"/>
    </row>
    <row r="59032" spans="20:20" s="566" customFormat="1">
      <c r="T59032" s="41"/>
    </row>
    <row r="59033" spans="20:20" s="566" customFormat="1">
      <c r="T59033" s="41"/>
    </row>
    <row r="59034" spans="20:20" s="566" customFormat="1">
      <c r="T59034" s="41"/>
    </row>
    <row r="59035" spans="20:20" s="566" customFormat="1">
      <c r="T59035" s="41"/>
    </row>
    <row r="59036" spans="20:20" s="566" customFormat="1">
      <c r="T59036" s="41"/>
    </row>
    <row r="59037" spans="20:20" s="566" customFormat="1">
      <c r="T59037" s="41"/>
    </row>
    <row r="59038" spans="20:20" s="566" customFormat="1">
      <c r="T59038" s="41"/>
    </row>
    <row r="59039" spans="20:20" s="566" customFormat="1">
      <c r="T59039" s="41"/>
    </row>
    <row r="59040" spans="20:20" s="566" customFormat="1">
      <c r="T59040" s="41"/>
    </row>
    <row r="59041" spans="20:20" s="566" customFormat="1">
      <c r="T59041" s="41"/>
    </row>
    <row r="59042" spans="20:20" s="566" customFormat="1">
      <c r="T59042" s="41"/>
    </row>
    <row r="59043" spans="20:20" s="566" customFormat="1">
      <c r="T59043" s="41"/>
    </row>
    <row r="59044" spans="20:20" s="566" customFormat="1">
      <c r="T59044" s="41"/>
    </row>
    <row r="59045" spans="20:20" s="566" customFormat="1">
      <c r="T59045" s="41"/>
    </row>
    <row r="59046" spans="20:20" s="566" customFormat="1">
      <c r="T59046" s="41"/>
    </row>
    <row r="59047" spans="20:20" s="566" customFormat="1">
      <c r="T59047" s="41"/>
    </row>
    <row r="59048" spans="20:20" s="566" customFormat="1">
      <c r="T59048" s="41"/>
    </row>
    <row r="59049" spans="20:20" s="566" customFormat="1">
      <c r="T59049" s="41"/>
    </row>
    <row r="59050" spans="20:20" s="566" customFormat="1">
      <c r="T59050" s="41"/>
    </row>
    <row r="59051" spans="20:20" s="566" customFormat="1">
      <c r="T59051" s="41"/>
    </row>
    <row r="59052" spans="20:20" s="566" customFormat="1">
      <c r="T59052" s="41"/>
    </row>
    <row r="59053" spans="20:20" s="566" customFormat="1">
      <c r="T59053" s="41"/>
    </row>
    <row r="59054" spans="20:20" s="566" customFormat="1">
      <c r="T59054" s="41"/>
    </row>
    <row r="59055" spans="20:20" s="566" customFormat="1">
      <c r="T59055" s="41"/>
    </row>
    <row r="59056" spans="20:20" s="566" customFormat="1">
      <c r="T59056" s="41"/>
    </row>
    <row r="59057" spans="20:20" s="566" customFormat="1">
      <c r="T59057" s="41"/>
    </row>
    <row r="59058" spans="20:20" s="566" customFormat="1">
      <c r="T59058" s="41"/>
    </row>
    <row r="59059" spans="20:20" s="566" customFormat="1">
      <c r="T59059" s="41"/>
    </row>
    <row r="59060" spans="20:20" s="566" customFormat="1">
      <c r="T59060" s="41"/>
    </row>
    <row r="59061" spans="20:20" s="566" customFormat="1">
      <c r="T59061" s="41"/>
    </row>
    <row r="59062" spans="20:20" s="566" customFormat="1">
      <c r="T59062" s="41"/>
    </row>
    <row r="59063" spans="20:20" s="566" customFormat="1">
      <c r="T59063" s="41"/>
    </row>
    <row r="59064" spans="20:20" s="566" customFormat="1">
      <c r="T59064" s="41"/>
    </row>
    <row r="59065" spans="20:20" s="566" customFormat="1">
      <c r="T59065" s="41"/>
    </row>
    <row r="59066" spans="20:20" s="566" customFormat="1">
      <c r="T59066" s="41"/>
    </row>
    <row r="59067" spans="20:20" s="566" customFormat="1">
      <c r="T59067" s="41"/>
    </row>
    <row r="59068" spans="20:20" s="566" customFormat="1">
      <c r="T59068" s="41"/>
    </row>
    <row r="59069" spans="20:20" s="566" customFormat="1">
      <c r="T59069" s="41"/>
    </row>
    <row r="59070" spans="20:20" s="566" customFormat="1">
      <c r="T59070" s="41"/>
    </row>
    <row r="59071" spans="20:20" s="566" customFormat="1">
      <c r="T59071" s="41"/>
    </row>
    <row r="59072" spans="20:20" s="566" customFormat="1">
      <c r="T59072" s="41"/>
    </row>
    <row r="59073" spans="20:20" s="566" customFormat="1">
      <c r="T59073" s="41"/>
    </row>
    <row r="59074" spans="20:20" s="566" customFormat="1">
      <c r="T59074" s="41"/>
    </row>
    <row r="59075" spans="20:20" s="566" customFormat="1">
      <c r="T59075" s="41"/>
    </row>
    <row r="59076" spans="20:20" s="566" customFormat="1">
      <c r="T59076" s="41"/>
    </row>
    <row r="59077" spans="20:20" s="566" customFormat="1">
      <c r="T59077" s="41"/>
    </row>
    <row r="59078" spans="20:20" s="566" customFormat="1">
      <c r="T59078" s="41"/>
    </row>
    <row r="59079" spans="20:20" s="566" customFormat="1">
      <c r="T59079" s="41"/>
    </row>
    <row r="59080" spans="20:20" s="566" customFormat="1">
      <c r="T59080" s="41"/>
    </row>
    <row r="59081" spans="20:20" s="566" customFormat="1">
      <c r="T59081" s="41"/>
    </row>
    <row r="59082" spans="20:20" s="566" customFormat="1">
      <c r="T59082" s="41"/>
    </row>
    <row r="59083" spans="20:20" s="566" customFormat="1">
      <c r="T59083" s="41"/>
    </row>
    <row r="59084" spans="20:20" s="566" customFormat="1">
      <c r="T59084" s="41"/>
    </row>
    <row r="59085" spans="20:20" s="566" customFormat="1">
      <c r="T59085" s="41"/>
    </row>
    <row r="59086" spans="20:20" s="566" customFormat="1">
      <c r="T59086" s="41"/>
    </row>
    <row r="59087" spans="20:20" s="566" customFormat="1">
      <c r="T59087" s="41"/>
    </row>
    <row r="59088" spans="20:20" s="566" customFormat="1">
      <c r="T59088" s="41"/>
    </row>
    <row r="59089" spans="20:20" s="566" customFormat="1">
      <c r="T59089" s="41"/>
    </row>
    <row r="59090" spans="20:20" s="566" customFormat="1">
      <c r="T59090" s="41"/>
    </row>
    <row r="59091" spans="20:20" s="566" customFormat="1">
      <c r="T59091" s="41"/>
    </row>
    <row r="59092" spans="20:20" s="566" customFormat="1">
      <c r="T59092" s="41"/>
    </row>
    <row r="59093" spans="20:20" s="566" customFormat="1">
      <c r="T59093" s="41"/>
    </row>
    <row r="59094" spans="20:20" s="566" customFormat="1">
      <c r="T59094" s="41"/>
    </row>
    <row r="59095" spans="20:20" s="566" customFormat="1">
      <c r="T59095" s="41"/>
    </row>
    <row r="59096" spans="20:20" s="566" customFormat="1">
      <c r="T59096" s="41"/>
    </row>
    <row r="59097" spans="20:20" s="566" customFormat="1">
      <c r="T59097" s="41"/>
    </row>
    <row r="59098" spans="20:20" s="566" customFormat="1">
      <c r="T59098" s="41"/>
    </row>
    <row r="59099" spans="20:20" s="566" customFormat="1">
      <c r="T59099" s="41"/>
    </row>
    <row r="59100" spans="20:20" s="566" customFormat="1">
      <c r="T59100" s="41"/>
    </row>
    <row r="59101" spans="20:20" s="566" customFormat="1">
      <c r="T59101" s="41"/>
    </row>
    <row r="59102" spans="20:20" s="566" customFormat="1">
      <c r="T59102" s="41"/>
    </row>
    <row r="59103" spans="20:20" s="566" customFormat="1">
      <c r="T59103" s="41"/>
    </row>
    <row r="59104" spans="20:20" s="566" customFormat="1">
      <c r="T59104" s="41"/>
    </row>
    <row r="59105" spans="20:20" s="566" customFormat="1">
      <c r="T59105" s="41"/>
    </row>
    <row r="59106" spans="20:20" s="566" customFormat="1">
      <c r="T59106" s="41"/>
    </row>
    <row r="59107" spans="20:20" s="566" customFormat="1">
      <c r="T59107" s="41"/>
    </row>
    <row r="59108" spans="20:20" s="566" customFormat="1">
      <c r="T59108" s="41"/>
    </row>
    <row r="59109" spans="20:20" s="566" customFormat="1">
      <c r="T59109" s="41"/>
    </row>
    <row r="59110" spans="20:20" s="566" customFormat="1">
      <c r="T59110" s="41"/>
    </row>
    <row r="59111" spans="20:20" s="566" customFormat="1">
      <c r="T59111" s="41"/>
    </row>
    <row r="59112" spans="20:20" s="566" customFormat="1">
      <c r="T59112" s="41"/>
    </row>
    <row r="59113" spans="20:20" s="566" customFormat="1">
      <c r="T59113" s="41"/>
    </row>
    <row r="59114" spans="20:20" s="566" customFormat="1">
      <c r="T59114" s="41"/>
    </row>
    <row r="59115" spans="20:20" s="566" customFormat="1">
      <c r="T59115" s="41"/>
    </row>
    <row r="59116" spans="20:20" s="566" customFormat="1">
      <c r="T59116" s="41"/>
    </row>
    <row r="59117" spans="20:20" s="566" customFormat="1">
      <c r="T59117" s="41"/>
    </row>
    <row r="59118" spans="20:20" s="566" customFormat="1">
      <c r="T59118" s="41"/>
    </row>
    <row r="59119" spans="20:20" s="566" customFormat="1">
      <c r="T59119" s="41"/>
    </row>
    <row r="59120" spans="20:20" s="566" customFormat="1">
      <c r="T59120" s="41"/>
    </row>
    <row r="59121" spans="20:20" s="566" customFormat="1">
      <c r="T59121" s="41"/>
    </row>
    <row r="59122" spans="20:20" s="566" customFormat="1">
      <c r="T59122" s="41"/>
    </row>
    <row r="59123" spans="20:20" s="566" customFormat="1">
      <c r="T59123" s="41"/>
    </row>
    <row r="59124" spans="20:20" s="566" customFormat="1">
      <c r="T59124" s="41"/>
    </row>
    <row r="59125" spans="20:20" s="566" customFormat="1">
      <c r="T59125" s="41"/>
    </row>
    <row r="59126" spans="20:20" s="566" customFormat="1">
      <c r="T59126" s="41"/>
    </row>
    <row r="59127" spans="20:20" s="566" customFormat="1">
      <c r="T59127" s="41"/>
    </row>
    <row r="59128" spans="20:20" s="566" customFormat="1">
      <c r="T59128" s="41"/>
    </row>
    <row r="59129" spans="20:20" s="566" customFormat="1">
      <c r="T59129" s="41"/>
    </row>
    <row r="59130" spans="20:20" s="566" customFormat="1">
      <c r="T59130" s="41"/>
    </row>
    <row r="59131" spans="20:20" s="566" customFormat="1">
      <c r="T59131" s="41"/>
    </row>
    <row r="59132" spans="20:20" s="566" customFormat="1">
      <c r="T59132" s="41"/>
    </row>
    <row r="59133" spans="20:20" s="566" customFormat="1">
      <c r="T59133" s="41"/>
    </row>
    <row r="59134" spans="20:20" s="566" customFormat="1">
      <c r="T59134" s="41"/>
    </row>
    <row r="59135" spans="20:20" s="566" customFormat="1">
      <c r="T59135" s="41"/>
    </row>
    <row r="59136" spans="20:20" s="566" customFormat="1">
      <c r="T59136" s="41"/>
    </row>
    <row r="59137" spans="20:20" s="566" customFormat="1">
      <c r="T59137" s="41"/>
    </row>
    <row r="59138" spans="20:20" s="566" customFormat="1">
      <c r="T59138" s="41"/>
    </row>
    <row r="59139" spans="20:20" s="566" customFormat="1">
      <c r="T59139" s="41"/>
    </row>
    <row r="59140" spans="20:20" s="566" customFormat="1">
      <c r="T59140" s="41"/>
    </row>
    <row r="59141" spans="20:20" s="566" customFormat="1">
      <c r="T59141" s="41"/>
    </row>
    <row r="59142" spans="20:20" s="566" customFormat="1">
      <c r="T59142" s="41"/>
    </row>
    <row r="59143" spans="20:20" s="566" customFormat="1">
      <c r="T59143" s="41"/>
    </row>
    <row r="59144" spans="20:20" s="566" customFormat="1">
      <c r="T59144" s="41"/>
    </row>
    <row r="59145" spans="20:20" s="566" customFormat="1">
      <c r="T59145" s="41"/>
    </row>
    <row r="59146" spans="20:20" s="566" customFormat="1">
      <c r="T59146" s="41"/>
    </row>
    <row r="59147" spans="20:20" s="566" customFormat="1">
      <c r="T59147" s="41"/>
    </row>
    <row r="59148" spans="20:20" s="566" customFormat="1">
      <c r="T59148" s="41"/>
    </row>
    <row r="59149" spans="20:20" s="566" customFormat="1">
      <c r="T59149" s="41"/>
    </row>
    <row r="59150" spans="20:20" s="566" customFormat="1">
      <c r="T59150" s="41"/>
    </row>
    <row r="59151" spans="20:20" s="566" customFormat="1">
      <c r="T59151" s="41"/>
    </row>
    <row r="59152" spans="20:20" s="566" customFormat="1">
      <c r="T59152" s="41"/>
    </row>
    <row r="59153" spans="20:20" s="566" customFormat="1">
      <c r="T59153" s="41"/>
    </row>
    <row r="59154" spans="20:20" s="566" customFormat="1">
      <c r="T59154" s="41"/>
    </row>
    <row r="59155" spans="20:20" s="566" customFormat="1">
      <c r="T59155" s="41"/>
    </row>
    <row r="59156" spans="20:20" s="566" customFormat="1">
      <c r="T59156" s="41"/>
    </row>
    <row r="59157" spans="20:20" s="566" customFormat="1">
      <c r="T59157" s="41"/>
    </row>
    <row r="59158" spans="20:20" s="566" customFormat="1">
      <c r="T59158" s="41"/>
    </row>
    <row r="59159" spans="20:20" s="566" customFormat="1">
      <c r="T59159" s="41"/>
    </row>
    <row r="59160" spans="20:20" s="566" customFormat="1">
      <c r="T59160" s="41"/>
    </row>
    <row r="59161" spans="20:20" s="566" customFormat="1">
      <c r="T59161" s="41"/>
    </row>
    <row r="59162" spans="20:20" s="566" customFormat="1">
      <c r="T59162" s="41"/>
    </row>
    <row r="59163" spans="20:20" s="566" customFormat="1">
      <c r="T59163" s="41"/>
    </row>
    <row r="59164" spans="20:20" s="566" customFormat="1">
      <c r="T59164" s="41"/>
    </row>
    <row r="59165" spans="20:20" s="566" customFormat="1">
      <c r="T59165" s="41"/>
    </row>
    <row r="59166" spans="20:20" s="566" customFormat="1">
      <c r="T59166" s="41"/>
    </row>
    <row r="59167" spans="20:20" s="566" customFormat="1">
      <c r="T59167" s="41"/>
    </row>
    <row r="59168" spans="20:20" s="566" customFormat="1">
      <c r="T59168" s="41"/>
    </row>
    <row r="59169" spans="20:20" s="566" customFormat="1">
      <c r="T59169" s="41"/>
    </row>
    <row r="59170" spans="20:20" s="566" customFormat="1">
      <c r="T59170" s="41"/>
    </row>
    <row r="59171" spans="20:20" s="566" customFormat="1">
      <c r="T59171" s="41"/>
    </row>
    <row r="59172" spans="20:20" s="566" customFormat="1">
      <c r="T59172" s="41"/>
    </row>
    <row r="59173" spans="20:20" s="566" customFormat="1">
      <c r="T59173" s="41"/>
    </row>
    <row r="59174" spans="20:20" s="566" customFormat="1">
      <c r="T59174" s="41"/>
    </row>
    <row r="59175" spans="20:20" s="566" customFormat="1">
      <c r="T59175" s="41"/>
    </row>
    <row r="59176" spans="20:20" s="566" customFormat="1">
      <c r="T59176" s="41"/>
    </row>
    <row r="59177" spans="20:20" s="566" customFormat="1">
      <c r="T59177" s="41"/>
    </row>
    <row r="59178" spans="20:20" s="566" customFormat="1">
      <c r="T59178" s="41"/>
    </row>
    <row r="59179" spans="20:20" s="566" customFormat="1">
      <c r="T59179" s="41"/>
    </row>
    <row r="59180" spans="20:20" s="566" customFormat="1">
      <c r="T59180" s="41"/>
    </row>
    <row r="59181" spans="20:20" s="566" customFormat="1">
      <c r="T59181" s="41"/>
    </row>
    <row r="59182" spans="20:20" s="566" customFormat="1">
      <c r="T59182" s="41"/>
    </row>
    <row r="59183" spans="20:20" s="566" customFormat="1">
      <c r="T59183" s="41"/>
    </row>
    <row r="59184" spans="20:20" s="566" customFormat="1">
      <c r="T59184" s="41"/>
    </row>
    <row r="59185" spans="20:20" s="566" customFormat="1">
      <c r="T59185" s="41"/>
    </row>
    <row r="59186" spans="20:20" s="566" customFormat="1">
      <c r="T59186" s="41"/>
    </row>
    <row r="59187" spans="20:20" s="566" customFormat="1">
      <c r="T59187" s="41"/>
    </row>
    <row r="59188" spans="20:20" s="566" customFormat="1">
      <c r="T59188" s="41"/>
    </row>
    <row r="59189" spans="20:20" s="566" customFormat="1">
      <c r="T59189" s="41"/>
    </row>
    <row r="59190" spans="20:20" s="566" customFormat="1">
      <c r="T59190" s="41"/>
    </row>
    <row r="59191" spans="20:20" s="566" customFormat="1">
      <c r="T59191" s="41"/>
    </row>
    <row r="59192" spans="20:20" s="566" customFormat="1">
      <c r="T59192" s="41"/>
    </row>
    <row r="59193" spans="20:20" s="566" customFormat="1">
      <c r="T59193" s="41"/>
    </row>
    <row r="59194" spans="20:20" s="566" customFormat="1">
      <c r="T59194" s="41"/>
    </row>
    <row r="59195" spans="20:20" s="566" customFormat="1">
      <c r="T59195" s="41"/>
    </row>
    <row r="59196" spans="20:20" s="566" customFormat="1">
      <c r="T59196" s="41"/>
    </row>
    <row r="59197" spans="20:20" s="566" customFormat="1">
      <c r="T59197" s="41"/>
    </row>
    <row r="59198" spans="20:20" s="566" customFormat="1">
      <c r="T59198" s="41"/>
    </row>
    <row r="59199" spans="20:20" s="566" customFormat="1">
      <c r="T59199" s="41"/>
    </row>
    <row r="59200" spans="20:20" s="566" customFormat="1">
      <c r="T59200" s="41"/>
    </row>
    <row r="59201" spans="20:20" s="566" customFormat="1">
      <c r="T59201" s="41"/>
    </row>
    <row r="59202" spans="20:20" s="566" customFormat="1">
      <c r="T59202" s="41"/>
    </row>
    <row r="59203" spans="20:20" s="566" customFormat="1">
      <c r="T59203" s="41"/>
    </row>
    <row r="59204" spans="20:20" s="566" customFormat="1">
      <c r="T59204" s="41"/>
    </row>
    <row r="59205" spans="20:20" s="566" customFormat="1">
      <c r="T59205" s="41"/>
    </row>
    <row r="59206" spans="20:20" s="566" customFormat="1">
      <c r="T59206" s="41"/>
    </row>
    <row r="59207" spans="20:20" s="566" customFormat="1">
      <c r="T59207" s="41"/>
    </row>
    <row r="59208" spans="20:20" s="566" customFormat="1">
      <c r="T59208" s="41"/>
    </row>
    <row r="59209" spans="20:20" s="566" customFormat="1">
      <c r="T59209" s="41"/>
    </row>
    <row r="59210" spans="20:20" s="566" customFormat="1">
      <c r="T59210" s="41"/>
    </row>
    <row r="59211" spans="20:20" s="566" customFormat="1">
      <c r="T59211" s="41"/>
    </row>
    <row r="59212" spans="20:20" s="566" customFormat="1">
      <c r="T59212" s="41"/>
    </row>
    <row r="59213" spans="20:20" s="566" customFormat="1">
      <c r="T59213" s="41"/>
    </row>
    <row r="59214" spans="20:20" s="566" customFormat="1">
      <c r="T59214" s="41"/>
    </row>
    <row r="59215" spans="20:20" s="566" customFormat="1">
      <c r="T59215" s="41"/>
    </row>
    <row r="59216" spans="20:20" s="566" customFormat="1">
      <c r="T59216" s="41"/>
    </row>
    <row r="59217" spans="20:20" s="566" customFormat="1">
      <c r="T59217" s="41"/>
    </row>
    <row r="59218" spans="20:20" s="566" customFormat="1">
      <c r="T59218" s="41"/>
    </row>
    <row r="59219" spans="20:20" s="566" customFormat="1">
      <c r="T59219" s="41"/>
    </row>
    <row r="59220" spans="20:20" s="566" customFormat="1">
      <c r="T59220" s="41"/>
    </row>
    <row r="59221" spans="20:20" s="566" customFormat="1">
      <c r="T59221" s="41"/>
    </row>
    <row r="59222" spans="20:20" s="566" customFormat="1">
      <c r="T59222" s="41"/>
    </row>
    <row r="59223" spans="20:20" s="566" customFormat="1">
      <c r="T59223" s="41"/>
    </row>
    <row r="59224" spans="20:20" s="566" customFormat="1">
      <c r="T59224" s="41"/>
    </row>
    <row r="59225" spans="20:20" s="566" customFormat="1">
      <c r="T59225" s="41"/>
    </row>
    <row r="59226" spans="20:20" s="566" customFormat="1">
      <c r="T59226" s="41"/>
    </row>
    <row r="59227" spans="20:20" s="566" customFormat="1">
      <c r="T59227" s="41"/>
    </row>
    <row r="59228" spans="20:20" s="566" customFormat="1">
      <c r="T59228" s="41"/>
    </row>
    <row r="59229" spans="20:20" s="566" customFormat="1">
      <c r="T59229" s="41"/>
    </row>
    <row r="59230" spans="20:20" s="566" customFormat="1">
      <c r="T59230" s="41"/>
    </row>
    <row r="59231" spans="20:20" s="566" customFormat="1">
      <c r="T59231" s="41"/>
    </row>
    <row r="59232" spans="20:20" s="566" customFormat="1">
      <c r="T59232" s="41"/>
    </row>
    <row r="59233" spans="20:20" s="566" customFormat="1">
      <c r="T59233" s="41"/>
    </row>
    <row r="59234" spans="20:20" s="566" customFormat="1">
      <c r="T59234" s="41"/>
    </row>
    <row r="59235" spans="20:20" s="566" customFormat="1">
      <c r="T59235" s="41"/>
    </row>
    <row r="59236" spans="20:20" s="566" customFormat="1">
      <c r="T59236" s="41"/>
    </row>
    <row r="59237" spans="20:20" s="566" customFormat="1">
      <c r="T59237" s="41"/>
    </row>
    <row r="59238" spans="20:20" s="566" customFormat="1">
      <c r="T59238" s="41"/>
    </row>
    <row r="59239" spans="20:20" s="566" customFormat="1">
      <c r="T59239" s="41"/>
    </row>
    <row r="59240" spans="20:20" s="566" customFormat="1">
      <c r="T59240" s="41"/>
    </row>
    <row r="59241" spans="20:20" s="566" customFormat="1">
      <c r="T59241" s="41"/>
    </row>
    <row r="59242" spans="20:20" s="566" customFormat="1">
      <c r="T59242" s="41"/>
    </row>
    <row r="59243" spans="20:20" s="566" customFormat="1">
      <c r="T59243" s="41"/>
    </row>
    <row r="59244" spans="20:20" s="566" customFormat="1">
      <c r="T59244" s="41"/>
    </row>
    <row r="59245" spans="20:20" s="566" customFormat="1">
      <c r="T59245" s="41"/>
    </row>
    <row r="59246" spans="20:20" s="566" customFormat="1">
      <c r="T59246" s="41"/>
    </row>
    <row r="59247" spans="20:20" s="566" customFormat="1">
      <c r="T59247" s="41"/>
    </row>
    <row r="59248" spans="20:20" s="566" customFormat="1">
      <c r="T59248" s="41"/>
    </row>
    <row r="59249" spans="20:20" s="566" customFormat="1">
      <c r="T59249" s="41"/>
    </row>
    <row r="59250" spans="20:20" s="566" customFormat="1">
      <c r="T59250" s="41"/>
    </row>
    <row r="59251" spans="20:20" s="566" customFormat="1">
      <c r="T59251" s="41"/>
    </row>
    <row r="59252" spans="20:20" s="566" customFormat="1">
      <c r="T59252" s="41"/>
    </row>
    <row r="59253" spans="20:20" s="566" customFormat="1">
      <c r="T59253" s="41"/>
    </row>
    <row r="59254" spans="20:20" s="566" customFormat="1">
      <c r="T59254" s="41"/>
    </row>
    <row r="59255" spans="20:20" s="566" customFormat="1">
      <c r="T59255" s="41"/>
    </row>
    <row r="59256" spans="20:20" s="566" customFormat="1">
      <c r="T59256" s="41"/>
    </row>
    <row r="59257" spans="20:20" s="566" customFormat="1">
      <c r="T59257" s="41"/>
    </row>
    <row r="59258" spans="20:20" s="566" customFormat="1">
      <c r="T59258" s="41"/>
    </row>
    <row r="59259" spans="20:20" s="566" customFormat="1">
      <c r="T59259" s="41"/>
    </row>
    <row r="59260" spans="20:20" s="566" customFormat="1">
      <c r="T59260" s="41"/>
    </row>
    <row r="59261" spans="20:20" s="566" customFormat="1">
      <c r="T59261" s="41"/>
    </row>
    <row r="59262" spans="20:20" s="566" customFormat="1">
      <c r="T59262" s="41"/>
    </row>
    <row r="59263" spans="20:20" s="566" customFormat="1">
      <c r="T59263" s="41"/>
    </row>
    <row r="59264" spans="20:20" s="566" customFormat="1">
      <c r="T59264" s="41"/>
    </row>
    <row r="59265" spans="20:20" s="566" customFormat="1">
      <c r="T59265" s="41"/>
    </row>
    <row r="59266" spans="20:20" s="566" customFormat="1">
      <c r="T59266" s="41"/>
    </row>
    <row r="59267" spans="20:20" s="566" customFormat="1">
      <c r="T59267" s="41"/>
    </row>
    <row r="59268" spans="20:20" s="566" customFormat="1">
      <c r="T59268" s="41"/>
    </row>
    <row r="59269" spans="20:20" s="566" customFormat="1">
      <c r="T59269" s="41"/>
    </row>
    <row r="59270" spans="20:20" s="566" customFormat="1">
      <c r="T59270" s="41"/>
    </row>
    <row r="59271" spans="20:20" s="566" customFormat="1">
      <c r="T59271" s="41"/>
    </row>
    <row r="59272" spans="20:20" s="566" customFormat="1">
      <c r="T59272" s="41"/>
    </row>
    <row r="59273" spans="20:20" s="566" customFormat="1">
      <c r="T59273" s="41"/>
    </row>
    <row r="59274" spans="20:20" s="566" customFormat="1">
      <c r="T59274" s="41"/>
    </row>
    <row r="59275" spans="20:20" s="566" customFormat="1">
      <c r="T59275" s="41"/>
    </row>
    <row r="59276" spans="20:20" s="566" customFormat="1">
      <c r="T59276" s="41"/>
    </row>
    <row r="59277" spans="20:20" s="566" customFormat="1">
      <c r="T59277" s="41"/>
    </row>
    <row r="59278" spans="20:20" s="566" customFormat="1">
      <c r="T59278" s="41"/>
    </row>
    <row r="59279" spans="20:20" s="566" customFormat="1">
      <c r="T59279" s="41"/>
    </row>
    <row r="59280" spans="20:20" s="566" customFormat="1">
      <c r="T59280" s="41"/>
    </row>
    <row r="59281" spans="20:20" s="566" customFormat="1">
      <c r="T59281" s="41"/>
    </row>
    <row r="59282" spans="20:20" s="566" customFormat="1">
      <c r="T59282" s="41"/>
    </row>
    <row r="59283" spans="20:20" s="566" customFormat="1">
      <c r="T59283" s="41"/>
    </row>
    <row r="59284" spans="20:20" s="566" customFormat="1">
      <c r="T59284" s="41"/>
    </row>
    <row r="59285" spans="20:20" s="566" customFormat="1">
      <c r="T59285" s="41"/>
    </row>
    <row r="59286" spans="20:20" s="566" customFormat="1">
      <c r="T59286" s="41"/>
    </row>
    <row r="59287" spans="20:20" s="566" customFormat="1">
      <c r="T59287" s="41"/>
    </row>
    <row r="59288" spans="20:20" s="566" customFormat="1">
      <c r="T59288" s="41"/>
    </row>
    <row r="59289" spans="20:20" s="566" customFormat="1">
      <c r="T59289" s="41"/>
    </row>
    <row r="59290" spans="20:20" s="566" customFormat="1">
      <c r="T59290" s="41"/>
    </row>
    <row r="59291" spans="20:20" s="566" customFormat="1">
      <c r="T59291" s="41"/>
    </row>
    <row r="59292" spans="20:20" s="566" customFormat="1">
      <c r="T59292" s="41"/>
    </row>
    <row r="59293" spans="20:20" s="566" customFormat="1">
      <c r="T59293" s="41"/>
    </row>
    <row r="59294" spans="20:20" s="566" customFormat="1">
      <c r="T59294" s="41"/>
    </row>
    <row r="59295" spans="20:20" s="566" customFormat="1">
      <c r="T59295" s="41"/>
    </row>
    <row r="59296" spans="20:20" s="566" customFormat="1">
      <c r="T59296" s="41"/>
    </row>
    <row r="59297" spans="20:20" s="566" customFormat="1">
      <c r="T59297" s="41"/>
    </row>
    <row r="59298" spans="20:20" s="566" customFormat="1">
      <c r="T59298" s="41"/>
    </row>
    <row r="59299" spans="20:20" s="566" customFormat="1">
      <c r="T59299" s="41"/>
    </row>
    <row r="59300" spans="20:20" s="566" customFormat="1">
      <c r="T59300" s="41"/>
    </row>
    <row r="59301" spans="20:20" s="566" customFormat="1">
      <c r="T59301" s="41"/>
    </row>
    <row r="59302" spans="20:20" s="566" customFormat="1">
      <c r="T59302" s="41"/>
    </row>
    <row r="59303" spans="20:20" s="566" customFormat="1">
      <c r="T59303" s="41"/>
    </row>
    <row r="59304" spans="20:20" s="566" customFormat="1">
      <c r="T59304" s="41"/>
    </row>
    <row r="59305" spans="20:20" s="566" customFormat="1">
      <c r="T59305" s="41"/>
    </row>
    <row r="59306" spans="20:20" s="566" customFormat="1">
      <c r="T59306" s="41"/>
    </row>
    <row r="59307" spans="20:20" s="566" customFormat="1">
      <c r="T59307" s="41"/>
    </row>
    <row r="59308" spans="20:20" s="566" customFormat="1">
      <c r="T59308" s="41"/>
    </row>
    <row r="59309" spans="20:20" s="566" customFormat="1">
      <c r="T59309" s="41"/>
    </row>
    <row r="59310" spans="20:20" s="566" customFormat="1">
      <c r="T59310" s="41"/>
    </row>
    <row r="59311" spans="20:20" s="566" customFormat="1">
      <c r="T59311" s="41"/>
    </row>
    <row r="59312" spans="20:20" s="566" customFormat="1">
      <c r="T59312" s="41"/>
    </row>
    <row r="59313" spans="20:20" s="566" customFormat="1">
      <c r="T59313" s="41"/>
    </row>
    <row r="59314" spans="20:20" s="566" customFormat="1">
      <c r="T59314" s="41"/>
    </row>
    <row r="59315" spans="20:20" s="566" customFormat="1">
      <c r="T59315" s="41"/>
    </row>
    <row r="59316" spans="20:20" s="566" customFormat="1">
      <c r="T59316" s="41"/>
    </row>
    <row r="59317" spans="20:20" s="566" customFormat="1">
      <c r="T59317" s="41"/>
    </row>
    <row r="59318" spans="20:20" s="566" customFormat="1">
      <c r="T59318" s="41"/>
    </row>
    <row r="59319" spans="20:20" s="566" customFormat="1">
      <c r="T59319" s="41"/>
    </row>
    <row r="59320" spans="20:20" s="566" customFormat="1">
      <c r="T59320" s="41"/>
    </row>
    <row r="59321" spans="20:20" s="566" customFormat="1">
      <c r="T59321" s="41"/>
    </row>
    <row r="59322" spans="20:20" s="566" customFormat="1">
      <c r="T59322" s="41"/>
    </row>
    <row r="59323" spans="20:20" s="566" customFormat="1">
      <c r="T59323" s="41"/>
    </row>
    <row r="59324" spans="20:20" s="566" customFormat="1">
      <c r="T59324" s="41"/>
    </row>
    <row r="59325" spans="20:20" s="566" customFormat="1">
      <c r="T59325" s="41"/>
    </row>
    <row r="59326" spans="20:20" s="566" customFormat="1">
      <c r="T59326" s="41"/>
    </row>
    <row r="59327" spans="20:20" s="566" customFormat="1">
      <c r="T59327" s="41"/>
    </row>
    <row r="59328" spans="20:20" s="566" customFormat="1">
      <c r="T59328" s="41"/>
    </row>
    <row r="59329" spans="20:20" s="566" customFormat="1">
      <c r="T59329" s="41"/>
    </row>
    <row r="59330" spans="20:20" s="566" customFormat="1">
      <c r="T59330" s="41"/>
    </row>
    <row r="59331" spans="20:20" s="566" customFormat="1">
      <c r="T59331" s="41"/>
    </row>
    <row r="59332" spans="20:20" s="566" customFormat="1">
      <c r="T59332" s="41"/>
    </row>
    <row r="59333" spans="20:20" s="566" customFormat="1">
      <c r="T59333" s="41"/>
    </row>
    <row r="59334" spans="20:20" s="566" customFormat="1">
      <c r="T59334" s="41"/>
    </row>
    <row r="59335" spans="20:20" s="566" customFormat="1">
      <c r="T59335" s="41"/>
    </row>
    <row r="59336" spans="20:20" s="566" customFormat="1">
      <c r="T59336" s="41"/>
    </row>
    <row r="59337" spans="20:20" s="566" customFormat="1">
      <c r="T59337" s="41"/>
    </row>
    <row r="59338" spans="20:20" s="566" customFormat="1">
      <c r="T59338" s="41"/>
    </row>
    <row r="59339" spans="20:20" s="566" customFormat="1">
      <c r="T59339" s="41"/>
    </row>
    <row r="59340" spans="20:20" s="566" customFormat="1">
      <c r="T59340" s="41"/>
    </row>
    <row r="59341" spans="20:20" s="566" customFormat="1">
      <c r="T59341" s="41"/>
    </row>
    <row r="59342" spans="20:20" s="566" customFormat="1">
      <c r="T59342" s="41"/>
    </row>
    <row r="59343" spans="20:20" s="566" customFormat="1">
      <c r="T59343" s="41"/>
    </row>
    <row r="59344" spans="20:20" s="566" customFormat="1">
      <c r="T59344" s="41"/>
    </row>
    <row r="59345" spans="20:20" s="566" customFormat="1">
      <c r="T59345" s="41"/>
    </row>
    <row r="59346" spans="20:20" s="566" customFormat="1">
      <c r="T59346" s="41"/>
    </row>
    <row r="59347" spans="20:20" s="566" customFormat="1">
      <c r="T59347" s="41"/>
    </row>
    <row r="59348" spans="20:20" s="566" customFormat="1">
      <c r="T59348" s="41"/>
    </row>
    <row r="59349" spans="20:20" s="566" customFormat="1">
      <c r="T59349" s="41"/>
    </row>
    <row r="59350" spans="20:20" s="566" customFormat="1">
      <c r="T59350" s="41"/>
    </row>
    <row r="59351" spans="20:20" s="566" customFormat="1">
      <c r="T59351" s="41"/>
    </row>
    <row r="59352" spans="20:20" s="566" customFormat="1">
      <c r="T59352" s="41"/>
    </row>
    <row r="59353" spans="20:20" s="566" customFormat="1">
      <c r="T59353" s="41"/>
    </row>
    <row r="59354" spans="20:20" s="566" customFormat="1">
      <c r="T59354" s="41"/>
    </row>
    <row r="59355" spans="20:20" s="566" customFormat="1">
      <c r="T59355" s="41"/>
    </row>
    <row r="59356" spans="20:20" s="566" customFormat="1">
      <c r="T59356" s="41"/>
    </row>
    <row r="59357" spans="20:20" s="566" customFormat="1">
      <c r="T59357" s="41"/>
    </row>
    <row r="59358" spans="20:20" s="566" customFormat="1">
      <c r="T59358" s="41"/>
    </row>
    <row r="59359" spans="20:20" s="566" customFormat="1">
      <c r="T59359" s="41"/>
    </row>
    <row r="59360" spans="20:20" s="566" customFormat="1">
      <c r="T59360" s="41"/>
    </row>
    <row r="59361" spans="20:20" s="566" customFormat="1">
      <c r="T59361" s="41"/>
    </row>
    <row r="59362" spans="20:20" s="566" customFormat="1">
      <c r="T59362" s="41"/>
    </row>
    <row r="59363" spans="20:20" s="566" customFormat="1">
      <c r="T59363" s="41"/>
    </row>
    <row r="59364" spans="20:20" s="566" customFormat="1">
      <c r="T59364" s="41"/>
    </row>
    <row r="59365" spans="20:20" s="566" customFormat="1">
      <c r="T59365" s="41"/>
    </row>
    <row r="59366" spans="20:20" s="566" customFormat="1">
      <c r="T59366" s="41"/>
    </row>
    <row r="59367" spans="20:20" s="566" customFormat="1">
      <c r="T59367" s="41"/>
    </row>
    <row r="59368" spans="20:20" s="566" customFormat="1">
      <c r="T59368" s="41"/>
    </row>
    <row r="59369" spans="20:20" s="566" customFormat="1">
      <c r="T59369" s="41"/>
    </row>
    <row r="59370" spans="20:20" s="566" customFormat="1">
      <c r="T59370" s="41"/>
    </row>
    <row r="59371" spans="20:20" s="566" customFormat="1">
      <c r="T59371" s="41"/>
    </row>
    <row r="59372" spans="20:20" s="566" customFormat="1">
      <c r="T59372" s="41"/>
    </row>
    <row r="59373" spans="20:20" s="566" customFormat="1">
      <c r="T59373" s="41"/>
    </row>
    <row r="59374" spans="20:20" s="566" customFormat="1">
      <c r="T59374" s="41"/>
    </row>
    <row r="59375" spans="20:20" s="566" customFormat="1">
      <c r="T59375" s="41"/>
    </row>
    <row r="59376" spans="20:20" s="566" customFormat="1">
      <c r="T59376" s="41"/>
    </row>
    <row r="59377" spans="20:20" s="566" customFormat="1">
      <c r="T59377" s="41"/>
    </row>
    <row r="59378" spans="20:20" s="566" customFormat="1">
      <c r="T59378" s="41"/>
    </row>
    <row r="59379" spans="20:20" s="566" customFormat="1">
      <c r="T59379" s="41"/>
    </row>
    <row r="59380" spans="20:20" s="566" customFormat="1">
      <c r="T59380" s="41"/>
    </row>
    <row r="59381" spans="20:20" s="566" customFormat="1">
      <c r="T59381" s="41"/>
    </row>
    <row r="59382" spans="20:20" s="566" customFormat="1">
      <c r="T59382" s="41"/>
    </row>
    <row r="59383" spans="20:20" s="566" customFormat="1">
      <c r="T59383" s="41"/>
    </row>
    <row r="59384" spans="20:20" s="566" customFormat="1">
      <c r="T59384" s="41"/>
    </row>
    <row r="59385" spans="20:20" s="566" customFormat="1">
      <c r="T59385" s="41"/>
    </row>
    <row r="59386" spans="20:20" s="566" customFormat="1">
      <c r="T59386" s="41"/>
    </row>
    <row r="59387" spans="20:20" s="566" customFormat="1">
      <c r="T59387" s="41"/>
    </row>
    <row r="59388" spans="20:20" s="566" customFormat="1">
      <c r="T59388" s="41"/>
    </row>
    <row r="59389" spans="20:20" s="566" customFormat="1">
      <c r="T59389" s="41"/>
    </row>
    <row r="59390" spans="20:20" s="566" customFormat="1">
      <c r="T59390" s="41"/>
    </row>
    <row r="59391" spans="20:20" s="566" customFormat="1">
      <c r="T59391" s="41"/>
    </row>
    <row r="59392" spans="20:20" s="566" customFormat="1">
      <c r="T59392" s="41"/>
    </row>
    <row r="59393" spans="20:20" s="566" customFormat="1">
      <c r="T59393" s="41"/>
    </row>
    <row r="59394" spans="20:20" s="566" customFormat="1">
      <c r="T59394" s="41"/>
    </row>
    <row r="59395" spans="20:20" s="566" customFormat="1">
      <c r="T59395" s="41"/>
    </row>
    <row r="59396" spans="20:20" s="566" customFormat="1">
      <c r="T59396" s="41"/>
    </row>
    <row r="59397" spans="20:20" s="566" customFormat="1">
      <c r="T59397" s="41"/>
    </row>
    <row r="59398" spans="20:20" s="566" customFormat="1">
      <c r="T59398" s="41"/>
    </row>
    <row r="59399" spans="20:20" s="566" customFormat="1">
      <c r="T59399" s="41"/>
    </row>
    <row r="59400" spans="20:20" s="566" customFormat="1">
      <c r="T59400" s="41"/>
    </row>
    <row r="59401" spans="20:20" s="566" customFormat="1">
      <c r="T59401" s="41"/>
    </row>
    <row r="59402" spans="20:20" s="566" customFormat="1">
      <c r="T59402" s="41"/>
    </row>
    <row r="59403" spans="20:20" s="566" customFormat="1">
      <c r="T59403" s="41"/>
    </row>
    <row r="59404" spans="20:20" s="566" customFormat="1">
      <c r="T59404" s="41"/>
    </row>
    <row r="59405" spans="20:20" s="566" customFormat="1">
      <c r="T59405" s="41"/>
    </row>
    <row r="59406" spans="20:20" s="566" customFormat="1">
      <c r="T59406" s="41"/>
    </row>
    <row r="59407" spans="20:20" s="566" customFormat="1">
      <c r="T59407" s="41"/>
    </row>
    <row r="59408" spans="20:20" s="566" customFormat="1">
      <c r="T59408" s="41"/>
    </row>
    <row r="59409" spans="20:20" s="566" customFormat="1">
      <c r="T59409" s="41"/>
    </row>
    <row r="59410" spans="20:20" s="566" customFormat="1">
      <c r="T59410" s="41"/>
    </row>
    <row r="59411" spans="20:20" s="566" customFormat="1">
      <c r="T59411" s="41"/>
    </row>
    <row r="59412" spans="20:20" s="566" customFormat="1">
      <c r="T59412" s="41"/>
    </row>
    <row r="59413" spans="20:20" s="566" customFormat="1">
      <c r="T59413" s="41"/>
    </row>
    <row r="59414" spans="20:20" s="566" customFormat="1">
      <c r="T59414" s="41"/>
    </row>
    <row r="59415" spans="20:20" s="566" customFormat="1">
      <c r="T59415" s="41"/>
    </row>
    <row r="59416" spans="20:20" s="566" customFormat="1">
      <c r="T59416" s="41"/>
    </row>
    <row r="59417" spans="20:20" s="566" customFormat="1">
      <c r="T59417" s="41"/>
    </row>
    <row r="59418" spans="20:20" s="566" customFormat="1">
      <c r="T59418" s="41"/>
    </row>
    <row r="59419" spans="20:20" s="566" customFormat="1">
      <c r="T59419" s="41"/>
    </row>
    <row r="59420" spans="20:20" s="566" customFormat="1">
      <c r="T59420" s="41"/>
    </row>
    <row r="59421" spans="20:20" s="566" customFormat="1">
      <c r="T59421" s="41"/>
    </row>
    <row r="59422" spans="20:20" s="566" customFormat="1">
      <c r="T59422" s="41"/>
    </row>
    <row r="59423" spans="20:20" s="566" customFormat="1">
      <c r="T59423" s="41"/>
    </row>
    <row r="59424" spans="20:20" s="566" customFormat="1">
      <c r="T59424" s="41"/>
    </row>
    <row r="59425" spans="20:20" s="566" customFormat="1">
      <c r="T59425" s="41"/>
    </row>
    <row r="59426" spans="20:20" s="566" customFormat="1">
      <c r="T59426" s="41"/>
    </row>
    <row r="59427" spans="20:20" s="566" customFormat="1">
      <c r="T59427" s="41"/>
    </row>
    <row r="59428" spans="20:20" s="566" customFormat="1">
      <c r="T59428" s="41"/>
    </row>
    <row r="59429" spans="20:20" s="566" customFormat="1">
      <c r="T59429" s="41"/>
    </row>
    <row r="59430" spans="20:20" s="566" customFormat="1">
      <c r="T59430" s="41"/>
    </row>
    <row r="59431" spans="20:20" s="566" customFormat="1">
      <c r="T59431" s="41"/>
    </row>
    <row r="59432" spans="20:20" s="566" customFormat="1">
      <c r="T59432" s="41"/>
    </row>
    <row r="59433" spans="20:20" s="566" customFormat="1">
      <c r="T59433" s="41"/>
    </row>
    <row r="59434" spans="20:20" s="566" customFormat="1">
      <c r="T59434" s="41"/>
    </row>
    <row r="59435" spans="20:20" s="566" customFormat="1">
      <c r="T59435" s="41"/>
    </row>
    <row r="59436" spans="20:20" s="566" customFormat="1">
      <c r="T59436" s="41"/>
    </row>
    <row r="59437" spans="20:20" s="566" customFormat="1">
      <c r="T59437" s="41"/>
    </row>
    <row r="59438" spans="20:20" s="566" customFormat="1">
      <c r="T59438" s="41"/>
    </row>
    <row r="59439" spans="20:20" s="566" customFormat="1">
      <c r="T59439" s="41"/>
    </row>
    <row r="59440" spans="20:20" s="566" customFormat="1">
      <c r="T59440" s="41"/>
    </row>
    <row r="59441" spans="20:20" s="566" customFormat="1">
      <c r="T59441" s="41"/>
    </row>
    <row r="59442" spans="20:20" s="566" customFormat="1">
      <c r="T59442" s="41"/>
    </row>
    <row r="59443" spans="20:20" s="566" customFormat="1">
      <c r="T59443" s="41"/>
    </row>
    <row r="59444" spans="20:20" s="566" customFormat="1">
      <c r="T59444" s="41"/>
    </row>
    <row r="59445" spans="20:20" s="566" customFormat="1">
      <c r="T59445" s="41"/>
    </row>
    <row r="59446" spans="20:20" s="566" customFormat="1">
      <c r="T59446" s="41"/>
    </row>
    <row r="59447" spans="20:20" s="566" customFormat="1">
      <c r="T59447" s="41"/>
    </row>
    <row r="59448" spans="20:20" s="566" customFormat="1">
      <c r="T59448" s="41"/>
    </row>
    <row r="59449" spans="20:20" s="566" customFormat="1">
      <c r="T59449" s="41"/>
    </row>
    <row r="59450" spans="20:20" s="566" customFormat="1">
      <c r="T59450" s="41"/>
    </row>
    <row r="59451" spans="20:20" s="566" customFormat="1">
      <c r="T59451" s="41"/>
    </row>
    <row r="59452" spans="20:20" s="566" customFormat="1">
      <c r="T59452" s="41"/>
    </row>
    <row r="59453" spans="20:20" s="566" customFormat="1">
      <c r="T59453" s="41"/>
    </row>
    <row r="59454" spans="20:20" s="566" customFormat="1">
      <c r="T59454" s="41"/>
    </row>
    <row r="59455" spans="20:20" s="566" customFormat="1">
      <c r="T59455" s="41"/>
    </row>
    <row r="59456" spans="20:20" s="566" customFormat="1">
      <c r="T59456" s="41"/>
    </row>
    <row r="59457" spans="20:20" s="566" customFormat="1">
      <c r="T59457" s="41"/>
    </row>
    <row r="59458" spans="20:20" s="566" customFormat="1">
      <c r="T59458" s="41"/>
    </row>
    <row r="59459" spans="20:20" s="566" customFormat="1">
      <c r="T59459" s="41"/>
    </row>
    <row r="59460" spans="20:20" s="566" customFormat="1">
      <c r="T59460" s="41"/>
    </row>
    <row r="59461" spans="20:20" s="566" customFormat="1">
      <c r="T59461" s="41"/>
    </row>
    <row r="59462" spans="20:20" s="566" customFormat="1">
      <c r="T59462" s="41"/>
    </row>
    <row r="59463" spans="20:20" s="566" customFormat="1">
      <c r="T59463" s="41"/>
    </row>
    <row r="59464" spans="20:20" s="566" customFormat="1">
      <c r="T59464" s="41"/>
    </row>
    <row r="59465" spans="20:20" s="566" customFormat="1">
      <c r="T59465" s="41"/>
    </row>
    <row r="59466" spans="20:20" s="566" customFormat="1">
      <c r="T59466" s="41"/>
    </row>
    <row r="59467" spans="20:20" s="566" customFormat="1">
      <c r="T59467" s="41"/>
    </row>
    <row r="59468" spans="20:20" s="566" customFormat="1">
      <c r="T59468" s="41"/>
    </row>
    <row r="59469" spans="20:20" s="566" customFormat="1">
      <c r="T59469" s="41"/>
    </row>
    <row r="59470" spans="20:20" s="566" customFormat="1">
      <c r="T59470" s="41"/>
    </row>
    <row r="59471" spans="20:20" s="566" customFormat="1">
      <c r="T59471" s="41"/>
    </row>
    <row r="59472" spans="20:20" s="566" customFormat="1">
      <c r="T59472" s="41"/>
    </row>
    <row r="59473" spans="20:20" s="566" customFormat="1">
      <c r="T59473" s="41"/>
    </row>
    <row r="59474" spans="20:20" s="566" customFormat="1">
      <c r="T59474" s="41"/>
    </row>
    <row r="59475" spans="20:20" s="566" customFormat="1">
      <c r="T59475" s="41"/>
    </row>
    <row r="59476" spans="20:20" s="566" customFormat="1">
      <c r="T59476" s="41"/>
    </row>
    <row r="59477" spans="20:20" s="566" customFormat="1">
      <c r="T59477" s="41"/>
    </row>
    <row r="59478" spans="20:20" s="566" customFormat="1">
      <c r="T59478" s="41"/>
    </row>
    <row r="59479" spans="20:20" s="566" customFormat="1">
      <c r="T59479" s="41"/>
    </row>
    <row r="59480" spans="20:20" s="566" customFormat="1">
      <c r="T59480" s="41"/>
    </row>
    <row r="59481" spans="20:20" s="566" customFormat="1">
      <c r="T59481" s="41"/>
    </row>
    <row r="59482" spans="20:20" s="566" customFormat="1">
      <c r="T59482" s="41"/>
    </row>
    <row r="59483" spans="20:20" s="566" customFormat="1">
      <c r="T59483" s="41"/>
    </row>
    <row r="59484" spans="20:20" s="566" customFormat="1">
      <c r="T59484" s="41"/>
    </row>
    <row r="59485" spans="20:20" s="566" customFormat="1">
      <c r="T59485" s="41"/>
    </row>
    <row r="59486" spans="20:20" s="566" customFormat="1">
      <c r="T59486" s="41"/>
    </row>
    <row r="59487" spans="20:20" s="566" customFormat="1">
      <c r="T59487" s="41"/>
    </row>
    <row r="59488" spans="20:20" s="566" customFormat="1">
      <c r="T59488" s="41"/>
    </row>
    <row r="59489" spans="20:20" s="566" customFormat="1">
      <c r="T59489" s="41"/>
    </row>
    <row r="59490" spans="20:20" s="566" customFormat="1">
      <c r="T59490" s="41"/>
    </row>
    <row r="59491" spans="20:20" s="566" customFormat="1">
      <c r="T59491" s="41"/>
    </row>
    <row r="59492" spans="20:20" s="566" customFormat="1">
      <c r="T59492" s="41"/>
    </row>
    <row r="59493" spans="20:20" s="566" customFormat="1">
      <c r="T59493" s="41"/>
    </row>
    <row r="59494" spans="20:20" s="566" customFormat="1">
      <c r="T59494" s="41"/>
    </row>
    <row r="59495" spans="20:20" s="566" customFormat="1">
      <c r="T59495" s="41"/>
    </row>
    <row r="59496" spans="20:20" s="566" customFormat="1">
      <c r="T59496" s="41"/>
    </row>
    <row r="59497" spans="20:20" s="566" customFormat="1">
      <c r="T59497" s="41"/>
    </row>
    <row r="59498" spans="20:20" s="566" customFormat="1">
      <c r="T59498" s="41"/>
    </row>
    <row r="59499" spans="20:20" s="566" customFormat="1">
      <c r="T59499" s="41"/>
    </row>
    <row r="59500" spans="20:20" s="566" customFormat="1">
      <c r="T59500" s="41"/>
    </row>
    <row r="59501" spans="20:20" s="566" customFormat="1">
      <c r="T59501" s="41"/>
    </row>
    <row r="59502" spans="20:20" s="566" customFormat="1">
      <c r="T59502" s="41"/>
    </row>
    <row r="59503" spans="20:20" s="566" customFormat="1">
      <c r="T59503" s="41"/>
    </row>
    <row r="59504" spans="20:20" s="566" customFormat="1">
      <c r="T59504" s="41"/>
    </row>
    <row r="59505" spans="20:20" s="566" customFormat="1">
      <c r="T59505" s="41"/>
    </row>
    <row r="59506" spans="20:20" s="566" customFormat="1">
      <c r="T59506" s="41"/>
    </row>
    <row r="59507" spans="20:20" s="566" customFormat="1">
      <c r="T59507" s="41"/>
    </row>
    <row r="59508" spans="20:20" s="566" customFormat="1">
      <c r="T59508" s="41"/>
    </row>
    <row r="59509" spans="20:20" s="566" customFormat="1">
      <c r="T59509" s="41"/>
    </row>
    <row r="59510" spans="20:20" s="566" customFormat="1">
      <c r="T59510" s="41"/>
    </row>
    <row r="59511" spans="20:20" s="566" customFormat="1">
      <c r="T59511" s="41"/>
    </row>
    <row r="59512" spans="20:20" s="566" customFormat="1">
      <c r="T59512" s="41"/>
    </row>
    <row r="59513" spans="20:20" s="566" customFormat="1">
      <c r="T59513" s="41"/>
    </row>
    <row r="59514" spans="20:20" s="566" customFormat="1">
      <c r="T59514" s="41"/>
    </row>
    <row r="59515" spans="20:20" s="566" customFormat="1">
      <c r="T59515" s="41"/>
    </row>
    <row r="59516" spans="20:20" s="566" customFormat="1">
      <c r="T59516" s="41"/>
    </row>
    <row r="59517" spans="20:20" s="566" customFormat="1">
      <c r="T59517" s="41"/>
    </row>
    <row r="59518" spans="20:20" s="566" customFormat="1">
      <c r="T59518" s="41"/>
    </row>
    <row r="59519" spans="20:20" s="566" customFormat="1">
      <c r="T59519" s="41"/>
    </row>
    <row r="59520" spans="20:20" s="566" customFormat="1">
      <c r="T59520" s="41"/>
    </row>
    <row r="59521" spans="20:20" s="566" customFormat="1">
      <c r="T59521" s="41"/>
    </row>
    <row r="59522" spans="20:20" s="566" customFormat="1">
      <c r="T59522" s="41"/>
    </row>
    <row r="59523" spans="20:20" s="566" customFormat="1">
      <c r="T59523" s="41"/>
    </row>
    <row r="59524" spans="20:20" s="566" customFormat="1">
      <c r="T59524" s="41"/>
    </row>
    <row r="59525" spans="20:20" s="566" customFormat="1">
      <c r="T59525" s="41"/>
    </row>
    <row r="59526" spans="20:20" s="566" customFormat="1">
      <c r="T59526" s="41"/>
    </row>
    <row r="59527" spans="20:20" s="566" customFormat="1">
      <c r="T59527" s="41"/>
    </row>
    <row r="59528" spans="20:20" s="566" customFormat="1">
      <c r="T59528" s="41"/>
    </row>
    <row r="59529" spans="20:20" s="566" customFormat="1">
      <c r="T59529" s="41"/>
    </row>
    <row r="59530" spans="20:20" s="566" customFormat="1">
      <c r="T59530" s="41"/>
    </row>
    <row r="59531" spans="20:20" s="566" customFormat="1">
      <c r="T59531" s="41"/>
    </row>
    <row r="59532" spans="20:20" s="566" customFormat="1">
      <c r="T59532" s="41"/>
    </row>
    <row r="59533" spans="20:20" s="566" customFormat="1">
      <c r="T59533" s="41"/>
    </row>
    <row r="59534" spans="20:20" s="566" customFormat="1">
      <c r="T59534" s="41"/>
    </row>
    <row r="59535" spans="20:20" s="566" customFormat="1">
      <c r="T59535" s="41"/>
    </row>
    <row r="59536" spans="20:20" s="566" customFormat="1">
      <c r="T59536" s="41"/>
    </row>
    <row r="59537" spans="20:20" s="566" customFormat="1">
      <c r="T59537" s="41"/>
    </row>
    <row r="59538" spans="20:20" s="566" customFormat="1">
      <c r="T59538" s="41"/>
    </row>
    <row r="59539" spans="20:20" s="566" customFormat="1">
      <c r="T59539" s="41"/>
    </row>
    <row r="59540" spans="20:20" s="566" customFormat="1">
      <c r="T59540" s="41"/>
    </row>
    <row r="59541" spans="20:20" s="566" customFormat="1">
      <c r="T59541" s="41"/>
    </row>
    <row r="59542" spans="20:20" s="566" customFormat="1">
      <c r="T59542" s="41"/>
    </row>
    <row r="59543" spans="20:20" s="566" customFormat="1">
      <c r="T59543" s="41"/>
    </row>
    <row r="59544" spans="20:20" s="566" customFormat="1">
      <c r="T59544" s="41"/>
    </row>
    <row r="59545" spans="20:20" s="566" customFormat="1">
      <c r="T59545" s="41"/>
    </row>
    <row r="59546" spans="20:20" s="566" customFormat="1">
      <c r="T59546" s="41"/>
    </row>
    <row r="59547" spans="20:20" s="566" customFormat="1">
      <c r="T59547" s="41"/>
    </row>
    <row r="59548" spans="20:20" s="566" customFormat="1">
      <c r="T59548" s="41"/>
    </row>
    <row r="59549" spans="20:20" s="566" customFormat="1">
      <c r="T59549" s="41"/>
    </row>
    <row r="59550" spans="20:20" s="566" customFormat="1">
      <c r="T59550" s="41"/>
    </row>
    <row r="59551" spans="20:20" s="566" customFormat="1">
      <c r="T59551" s="41"/>
    </row>
    <row r="59552" spans="20:20" s="566" customFormat="1">
      <c r="T59552" s="41"/>
    </row>
    <row r="59553" spans="20:20" s="566" customFormat="1">
      <c r="T59553" s="41"/>
    </row>
    <row r="59554" spans="20:20" s="566" customFormat="1">
      <c r="T59554" s="41"/>
    </row>
    <row r="59555" spans="20:20" s="566" customFormat="1">
      <c r="T59555" s="41"/>
    </row>
    <row r="59556" spans="20:20" s="566" customFormat="1">
      <c r="T59556" s="41"/>
    </row>
    <row r="59557" spans="20:20" s="566" customFormat="1">
      <c r="T59557" s="41"/>
    </row>
    <row r="59558" spans="20:20" s="566" customFormat="1">
      <c r="T59558" s="41"/>
    </row>
    <row r="59559" spans="20:20" s="566" customFormat="1">
      <c r="T59559" s="41"/>
    </row>
    <row r="59560" spans="20:20" s="566" customFormat="1">
      <c r="T59560" s="41"/>
    </row>
    <row r="59561" spans="20:20" s="566" customFormat="1">
      <c r="T59561" s="41"/>
    </row>
    <row r="59562" spans="20:20" s="566" customFormat="1">
      <c r="T59562" s="41"/>
    </row>
    <row r="59563" spans="20:20" s="566" customFormat="1">
      <c r="T59563" s="41"/>
    </row>
    <row r="59564" spans="20:20" s="566" customFormat="1">
      <c r="T59564" s="41"/>
    </row>
    <row r="59565" spans="20:20" s="566" customFormat="1">
      <c r="T59565" s="41"/>
    </row>
    <row r="59566" spans="20:20" s="566" customFormat="1">
      <c r="T59566" s="41"/>
    </row>
    <row r="59567" spans="20:20" s="566" customFormat="1">
      <c r="T59567" s="41"/>
    </row>
    <row r="59568" spans="20:20" s="566" customFormat="1">
      <c r="T59568" s="41"/>
    </row>
    <row r="59569" spans="20:20" s="566" customFormat="1">
      <c r="T59569" s="41"/>
    </row>
    <row r="59570" spans="20:20" s="566" customFormat="1">
      <c r="T59570" s="41"/>
    </row>
    <row r="59571" spans="20:20" s="566" customFormat="1">
      <c r="T59571" s="41"/>
    </row>
    <row r="59572" spans="20:20" s="566" customFormat="1">
      <c r="T59572" s="41"/>
    </row>
    <row r="59573" spans="20:20" s="566" customFormat="1">
      <c r="T59573" s="41"/>
    </row>
    <row r="59574" spans="20:20" s="566" customFormat="1">
      <c r="T59574" s="41"/>
    </row>
    <row r="59575" spans="20:20" s="566" customFormat="1">
      <c r="T59575" s="41"/>
    </row>
    <row r="59576" spans="20:20" s="566" customFormat="1">
      <c r="T59576" s="41"/>
    </row>
    <row r="59577" spans="20:20" s="566" customFormat="1">
      <c r="T59577" s="41"/>
    </row>
    <row r="59578" spans="20:20" s="566" customFormat="1">
      <c r="T59578" s="41"/>
    </row>
    <row r="59579" spans="20:20" s="566" customFormat="1">
      <c r="T59579" s="41"/>
    </row>
    <row r="59580" spans="20:20" s="566" customFormat="1">
      <c r="T59580" s="41"/>
    </row>
    <row r="59581" spans="20:20" s="566" customFormat="1">
      <c r="T59581" s="41"/>
    </row>
    <row r="59582" spans="20:20" s="566" customFormat="1">
      <c r="T59582" s="41"/>
    </row>
    <row r="59583" spans="20:20" s="566" customFormat="1">
      <c r="T59583" s="41"/>
    </row>
    <row r="59584" spans="20:20" s="566" customFormat="1">
      <c r="T59584" s="41"/>
    </row>
    <row r="59585" spans="20:20" s="566" customFormat="1">
      <c r="T59585" s="41"/>
    </row>
    <row r="59586" spans="20:20" s="566" customFormat="1">
      <c r="T59586" s="41"/>
    </row>
    <row r="59587" spans="20:20" s="566" customFormat="1">
      <c r="T59587" s="41"/>
    </row>
    <row r="59588" spans="20:20" s="566" customFormat="1">
      <c r="T59588" s="41"/>
    </row>
    <row r="59589" spans="20:20" s="566" customFormat="1">
      <c r="T59589" s="41"/>
    </row>
    <row r="59590" spans="20:20" s="566" customFormat="1">
      <c r="T59590" s="41"/>
    </row>
    <row r="59591" spans="20:20" s="566" customFormat="1">
      <c r="T59591" s="41"/>
    </row>
    <row r="59592" spans="20:20" s="566" customFormat="1">
      <c r="T59592" s="41"/>
    </row>
    <row r="59593" spans="20:20" s="566" customFormat="1">
      <c r="T59593" s="41"/>
    </row>
    <row r="59594" spans="20:20" s="566" customFormat="1">
      <c r="T59594" s="41"/>
    </row>
    <row r="59595" spans="20:20" s="566" customFormat="1">
      <c r="T59595" s="41"/>
    </row>
    <row r="59596" spans="20:20" s="566" customFormat="1">
      <c r="T59596" s="41"/>
    </row>
    <row r="59597" spans="20:20" s="566" customFormat="1">
      <c r="T59597" s="41"/>
    </row>
    <row r="59598" spans="20:20" s="566" customFormat="1">
      <c r="T59598" s="41"/>
    </row>
    <row r="59599" spans="20:20" s="566" customFormat="1">
      <c r="T59599" s="41"/>
    </row>
    <row r="59600" spans="20:20" s="566" customFormat="1">
      <c r="T59600" s="41"/>
    </row>
    <row r="59601" spans="20:20" s="566" customFormat="1">
      <c r="T59601" s="41"/>
    </row>
    <row r="59602" spans="20:20" s="566" customFormat="1">
      <c r="T59602" s="41"/>
    </row>
    <row r="59603" spans="20:20" s="566" customFormat="1">
      <c r="T59603" s="41"/>
    </row>
    <row r="59604" spans="20:20" s="566" customFormat="1">
      <c r="T59604" s="41"/>
    </row>
    <row r="59605" spans="20:20" s="566" customFormat="1">
      <c r="T59605" s="41"/>
    </row>
    <row r="59606" spans="20:20" s="566" customFormat="1">
      <c r="T59606" s="41"/>
    </row>
    <row r="59607" spans="20:20" s="566" customFormat="1">
      <c r="T59607" s="41"/>
    </row>
    <row r="59608" spans="20:20" s="566" customFormat="1">
      <c r="T59608" s="41"/>
    </row>
    <row r="59609" spans="20:20" s="566" customFormat="1">
      <c r="T59609" s="41"/>
    </row>
    <row r="59610" spans="20:20" s="566" customFormat="1">
      <c r="T59610" s="41"/>
    </row>
    <row r="59611" spans="20:20" s="566" customFormat="1">
      <c r="T59611" s="41"/>
    </row>
    <row r="59612" spans="20:20" s="566" customFormat="1">
      <c r="T59612" s="41"/>
    </row>
    <row r="59613" spans="20:20" s="566" customFormat="1">
      <c r="T59613" s="41"/>
    </row>
    <row r="59614" spans="20:20" s="566" customFormat="1">
      <c r="T59614" s="41"/>
    </row>
    <row r="59615" spans="20:20" s="566" customFormat="1">
      <c r="T59615" s="41"/>
    </row>
    <row r="59616" spans="20:20" s="566" customFormat="1">
      <c r="T59616" s="41"/>
    </row>
    <row r="59617" spans="20:20" s="566" customFormat="1">
      <c r="T59617" s="41"/>
    </row>
    <row r="59618" spans="20:20" s="566" customFormat="1">
      <c r="T59618" s="41"/>
    </row>
    <row r="59619" spans="20:20" s="566" customFormat="1">
      <c r="T59619" s="41"/>
    </row>
    <row r="59620" spans="20:20" s="566" customFormat="1">
      <c r="T59620" s="41"/>
    </row>
    <row r="59621" spans="20:20" s="566" customFormat="1">
      <c r="T59621" s="41"/>
    </row>
    <row r="59622" spans="20:20" s="566" customFormat="1">
      <c r="T59622" s="41"/>
    </row>
    <row r="59623" spans="20:20" s="566" customFormat="1">
      <c r="T59623" s="41"/>
    </row>
    <row r="59624" spans="20:20" s="566" customFormat="1">
      <c r="T59624" s="41"/>
    </row>
    <row r="59625" spans="20:20" s="566" customFormat="1">
      <c r="T59625" s="41"/>
    </row>
    <row r="59626" spans="20:20" s="566" customFormat="1">
      <c r="T59626" s="41"/>
    </row>
    <row r="59627" spans="20:20" s="566" customFormat="1">
      <c r="T59627" s="41"/>
    </row>
    <row r="59628" spans="20:20" s="566" customFormat="1">
      <c r="T59628" s="41"/>
    </row>
    <row r="59629" spans="20:20" s="566" customFormat="1">
      <c r="T59629" s="41"/>
    </row>
    <row r="59630" spans="20:20" s="566" customFormat="1">
      <c r="T59630" s="41"/>
    </row>
    <row r="59631" spans="20:20" s="566" customFormat="1">
      <c r="T59631" s="41"/>
    </row>
    <row r="59632" spans="20:20" s="566" customFormat="1">
      <c r="T59632" s="41"/>
    </row>
    <row r="59633" spans="20:20" s="566" customFormat="1">
      <c r="T59633" s="41"/>
    </row>
    <row r="59634" spans="20:20" s="566" customFormat="1">
      <c r="T59634" s="41"/>
    </row>
    <row r="59635" spans="20:20" s="566" customFormat="1">
      <c r="T59635" s="41"/>
    </row>
    <row r="59636" spans="20:20" s="566" customFormat="1">
      <c r="T59636" s="41"/>
    </row>
    <row r="59637" spans="20:20" s="566" customFormat="1">
      <c r="T59637" s="41"/>
    </row>
    <row r="59638" spans="20:20" s="566" customFormat="1">
      <c r="T59638" s="41"/>
    </row>
    <row r="59639" spans="20:20" s="566" customFormat="1">
      <c r="T59639" s="41"/>
    </row>
    <row r="59640" spans="20:20" s="566" customFormat="1">
      <c r="T59640" s="41"/>
    </row>
    <row r="59641" spans="20:20" s="566" customFormat="1">
      <c r="T59641" s="41"/>
    </row>
    <row r="59642" spans="20:20" s="566" customFormat="1">
      <c r="T59642" s="41"/>
    </row>
    <row r="59643" spans="20:20" s="566" customFormat="1">
      <c r="T59643" s="41"/>
    </row>
    <row r="59644" spans="20:20" s="566" customFormat="1">
      <c r="T59644" s="41"/>
    </row>
    <row r="59645" spans="20:20" s="566" customFormat="1">
      <c r="T59645" s="41"/>
    </row>
    <row r="59646" spans="20:20" s="566" customFormat="1">
      <c r="T59646" s="41"/>
    </row>
    <row r="59647" spans="20:20" s="566" customFormat="1">
      <c r="T59647" s="41"/>
    </row>
    <row r="59648" spans="20:20" s="566" customFormat="1">
      <c r="T59648" s="41"/>
    </row>
    <row r="59649" spans="20:20" s="566" customFormat="1">
      <c r="T59649" s="41"/>
    </row>
    <row r="59650" spans="20:20" s="566" customFormat="1">
      <c r="T59650" s="41"/>
    </row>
    <row r="59651" spans="20:20" s="566" customFormat="1">
      <c r="T59651" s="41"/>
    </row>
    <row r="59652" spans="20:20" s="566" customFormat="1">
      <c r="T59652" s="41"/>
    </row>
    <row r="59653" spans="20:20" s="566" customFormat="1">
      <c r="T59653" s="41"/>
    </row>
    <row r="59654" spans="20:20" s="566" customFormat="1">
      <c r="T59654" s="41"/>
    </row>
    <row r="59655" spans="20:20" s="566" customFormat="1">
      <c r="T59655" s="41"/>
    </row>
    <row r="59656" spans="20:20" s="566" customFormat="1">
      <c r="T59656" s="41"/>
    </row>
    <row r="59657" spans="20:20" s="566" customFormat="1">
      <c r="T59657" s="41"/>
    </row>
    <row r="59658" spans="20:20" s="566" customFormat="1">
      <c r="T59658" s="41"/>
    </row>
    <row r="59659" spans="20:20" s="566" customFormat="1">
      <c r="T59659" s="41"/>
    </row>
    <row r="59660" spans="20:20" s="566" customFormat="1">
      <c r="T59660" s="41"/>
    </row>
    <row r="59661" spans="20:20" s="566" customFormat="1">
      <c r="T59661" s="41"/>
    </row>
    <row r="59662" spans="20:20" s="566" customFormat="1">
      <c r="T59662" s="41"/>
    </row>
    <row r="59663" spans="20:20" s="566" customFormat="1">
      <c r="T59663" s="41"/>
    </row>
    <row r="59664" spans="20:20" s="566" customFormat="1">
      <c r="T59664" s="41"/>
    </row>
    <row r="59665" spans="20:20" s="566" customFormat="1">
      <c r="T59665" s="41"/>
    </row>
    <row r="59666" spans="20:20" s="566" customFormat="1">
      <c r="T59666" s="41"/>
    </row>
    <row r="59667" spans="20:20" s="566" customFormat="1">
      <c r="T59667" s="41"/>
    </row>
    <row r="59668" spans="20:20" s="566" customFormat="1">
      <c r="T59668" s="41"/>
    </row>
    <row r="59669" spans="20:20" s="566" customFormat="1">
      <c r="T59669" s="41"/>
    </row>
    <row r="59670" spans="20:20" s="566" customFormat="1">
      <c r="T59670" s="41"/>
    </row>
    <row r="59671" spans="20:20" s="566" customFormat="1">
      <c r="T59671" s="41"/>
    </row>
    <row r="59672" spans="20:20" s="566" customFormat="1">
      <c r="T59672" s="41"/>
    </row>
    <row r="59673" spans="20:20" s="566" customFormat="1">
      <c r="T59673" s="41"/>
    </row>
    <row r="59674" spans="20:20" s="566" customFormat="1">
      <c r="T59674" s="41"/>
    </row>
    <row r="59675" spans="20:20" s="566" customFormat="1">
      <c r="T59675" s="41"/>
    </row>
    <row r="59676" spans="20:20" s="566" customFormat="1">
      <c r="T59676" s="41"/>
    </row>
    <row r="59677" spans="20:20" s="566" customFormat="1">
      <c r="T59677" s="41"/>
    </row>
    <row r="59678" spans="20:20" s="566" customFormat="1">
      <c r="T59678" s="41"/>
    </row>
    <row r="59679" spans="20:20" s="566" customFormat="1">
      <c r="T59679" s="41"/>
    </row>
    <row r="59680" spans="20:20" s="566" customFormat="1">
      <c r="T59680" s="41"/>
    </row>
    <row r="59681" spans="20:20" s="566" customFormat="1">
      <c r="T59681" s="41"/>
    </row>
    <row r="59682" spans="20:20" s="566" customFormat="1">
      <c r="T59682" s="41"/>
    </row>
    <row r="59683" spans="20:20" s="566" customFormat="1">
      <c r="T59683" s="41"/>
    </row>
    <row r="59684" spans="20:20" s="566" customFormat="1">
      <c r="T59684" s="41"/>
    </row>
    <row r="59685" spans="20:20" s="566" customFormat="1">
      <c r="T59685" s="41"/>
    </row>
    <row r="59686" spans="20:20" s="566" customFormat="1">
      <c r="T59686" s="41"/>
    </row>
    <row r="59687" spans="20:20" s="566" customFormat="1">
      <c r="T59687" s="41"/>
    </row>
    <row r="59688" spans="20:20" s="566" customFormat="1">
      <c r="T59688" s="41"/>
    </row>
    <row r="59689" spans="20:20" s="566" customFormat="1">
      <c r="T59689" s="41"/>
    </row>
    <row r="59690" spans="20:20" s="566" customFormat="1">
      <c r="T59690" s="41"/>
    </row>
    <row r="59691" spans="20:20" s="566" customFormat="1">
      <c r="T59691" s="41"/>
    </row>
    <row r="59692" spans="20:20" s="566" customFormat="1">
      <c r="T59692" s="41"/>
    </row>
    <row r="59693" spans="20:20" s="566" customFormat="1">
      <c r="T59693" s="41"/>
    </row>
    <row r="59694" spans="20:20" s="566" customFormat="1">
      <c r="T59694" s="41"/>
    </row>
    <row r="59695" spans="20:20" s="566" customFormat="1">
      <c r="T59695" s="41"/>
    </row>
    <row r="59696" spans="20:20" s="566" customFormat="1">
      <c r="T59696" s="41"/>
    </row>
    <row r="59697" spans="20:20" s="566" customFormat="1">
      <c r="T59697" s="41"/>
    </row>
    <row r="59698" spans="20:20" s="566" customFormat="1">
      <c r="T59698" s="41"/>
    </row>
    <row r="59699" spans="20:20" s="566" customFormat="1">
      <c r="T59699" s="41"/>
    </row>
    <row r="59700" spans="20:20" s="566" customFormat="1">
      <c r="T59700" s="41"/>
    </row>
    <row r="59701" spans="20:20" s="566" customFormat="1">
      <c r="T59701" s="41"/>
    </row>
    <row r="59702" spans="20:20" s="566" customFormat="1">
      <c r="T59702" s="41"/>
    </row>
    <row r="59703" spans="20:20" s="566" customFormat="1">
      <c r="T59703" s="41"/>
    </row>
    <row r="59704" spans="20:20" s="566" customFormat="1">
      <c r="T59704" s="41"/>
    </row>
    <row r="59705" spans="20:20" s="566" customFormat="1">
      <c r="T59705" s="41"/>
    </row>
    <row r="59706" spans="20:20" s="566" customFormat="1">
      <c r="T59706" s="41"/>
    </row>
    <row r="59707" spans="20:20" s="566" customFormat="1">
      <c r="T59707" s="41"/>
    </row>
    <row r="59708" spans="20:20" s="566" customFormat="1">
      <c r="T59708" s="41"/>
    </row>
    <row r="59709" spans="20:20" s="566" customFormat="1">
      <c r="T59709" s="41"/>
    </row>
    <row r="59710" spans="20:20" s="566" customFormat="1">
      <c r="T59710" s="41"/>
    </row>
    <row r="59711" spans="20:20" s="566" customFormat="1">
      <c r="T59711" s="41"/>
    </row>
    <row r="59712" spans="20:20" s="566" customFormat="1">
      <c r="T59712" s="41"/>
    </row>
    <row r="59713" spans="20:20" s="566" customFormat="1">
      <c r="T59713" s="41"/>
    </row>
    <row r="59714" spans="20:20" s="566" customFormat="1">
      <c r="T59714" s="41"/>
    </row>
    <row r="59715" spans="20:20" s="566" customFormat="1">
      <c r="T59715" s="41"/>
    </row>
    <row r="59716" spans="20:20" s="566" customFormat="1">
      <c r="T59716" s="41"/>
    </row>
    <row r="59717" spans="20:20" s="566" customFormat="1">
      <c r="T59717" s="41"/>
    </row>
    <row r="59718" spans="20:20" s="566" customFormat="1">
      <c r="T59718" s="41"/>
    </row>
    <row r="59719" spans="20:20" s="566" customFormat="1">
      <c r="T59719" s="41"/>
    </row>
    <row r="59720" spans="20:20" s="566" customFormat="1">
      <c r="T59720" s="41"/>
    </row>
    <row r="59721" spans="20:20" s="566" customFormat="1">
      <c r="T59721" s="41"/>
    </row>
    <row r="59722" spans="20:20" s="566" customFormat="1">
      <c r="T59722" s="41"/>
    </row>
    <row r="59723" spans="20:20" s="566" customFormat="1">
      <c r="T59723" s="41"/>
    </row>
    <row r="59724" spans="20:20" s="566" customFormat="1">
      <c r="T59724" s="41"/>
    </row>
    <row r="59725" spans="20:20" s="566" customFormat="1">
      <c r="T59725" s="41"/>
    </row>
    <row r="59726" spans="20:20" s="566" customFormat="1">
      <c r="T59726" s="41"/>
    </row>
    <row r="59727" spans="20:20" s="566" customFormat="1">
      <c r="T59727" s="41"/>
    </row>
    <row r="59728" spans="20:20" s="566" customFormat="1">
      <c r="T59728" s="41"/>
    </row>
    <row r="59729" spans="20:20" s="566" customFormat="1">
      <c r="T59729" s="41"/>
    </row>
    <row r="59730" spans="20:20" s="566" customFormat="1">
      <c r="T59730" s="41"/>
    </row>
    <row r="59731" spans="20:20" s="566" customFormat="1">
      <c r="T59731" s="41"/>
    </row>
    <row r="59732" spans="20:20" s="566" customFormat="1">
      <c r="T59732" s="41"/>
    </row>
    <row r="59733" spans="20:20" s="566" customFormat="1">
      <c r="T59733" s="41"/>
    </row>
    <row r="59734" spans="20:20" s="566" customFormat="1">
      <c r="T59734" s="41"/>
    </row>
    <row r="59735" spans="20:20" s="566" customFormat="1">
      <c r="T59735" s="41"/>
    </row>
    <row r="59736" spans="20:20" s="566" customFormat="1">
      <c r="T59736" s="41"/>
    </row>
    <row r="59737" spans="20:20" s="566" customFormat="1">
      <c r="T59737" s="41"/>
    </row>
    <row r="59738" spans="20:20" s="566" customFormat="1">
      <c r="T59738" s="41"/>
    </row>
    <row r="59739" spans="20:20" s="566" customFormat="1">
      <c r="T59739" s="41"/>
    </row>
    <row r="59740" spans="20:20" s="566" customFormat="1">
      <c r="T59740" s="41"/>
    </row>
    <row r="59741" spans="20:20" s="566" customFormat="1">
      <c r="T59741" s="41"/>
    </row>
    <row r="59742" spans="20:20" s="566" customFormat="1">
      <c r="T59742" s="41"/>
    </row>
    <row r="59743" spans="20:20" s="566" customFormat="1">
      <c r="T59743" s="41"/>
    </row>
    <row r="59744" spans="20:20" s="566" customFormat="1">
      <c r="T59744" s="41"/>
    </row>
    <row r="59745" spans="20:20" s="566" customFormat="1">
      <c r="T59745" s="41"/>
    </row>
    <row r="59746" spans="20:20" s="566" customFormat="1">
      <c r="T59746" s="41"/>
    </row>
    <row r="59747" spans="20:20" s="566" customFormat="1">
      <c r="T59747" s="41"/>
    </row>
    <row r="59748" spans="20:20" s="566" customFormat="1">
      <c r="T59748" s="41"/>
    </row>
    <row r="59749" spans="20:20" s="566" customFormat="1">
      <c r="T59749" s="41"/>
    </row>
    <row r="59750" spans="20:20" s="566" customFormat="1">
      <c r="T59750" s="41"/>
    </row>
    <row r="59751" spans="20:20" s="566" customFormat="1">
      <c r="T59751" s="41"/>
    </row>
    <row r="59752" spans="20:20" s="566" customFormat="1">
      <c r="T59752" s="41"/>
    </row>
    <row r="59753" spans="20:20" s="566" customFormat="1">
      <c r="T59753" s="41"/>
    </row>
    <row r="59754" spans="20:20" s="566" customFormat="1">
      <c r="T59754" s="41"/>
    </row>
    <row r="59755" spans="20:20" s="566" customFormat="1">
      <c r="T59755" s="41"/>
    </row>
    <row r="59756" spans="20:20" s="566" customFormat="1">
      <c r="T59756" s="41"/>
    </row>
    <row r="59757" spans="20:20" s="566" customFormat="1">
      <c r="T59757" s="41"/>
    </row>
    <row r="59758" spans="20:20" s="566" customFormat="1">
      <c r="T59758" s="41"/>
    </row>
    <row r="59759" spans="20:20" s="566" customFormat="1">
      <c r="T59759" s="41"/>
    </row>
    <row r="59760" spans="20:20" s="566" customFormat="1">
      <c r="T59760" s="41"/>
    </row>
    <row r="59761" spans="20:20" s="566" customFormat="1">
      <c r="T59761" s="41"/>
    </row>
    <row r="59762" spans="20:20" s="566" customFormat="1">
      <c r="T59762" s="41"/>
    </row>
    <row r="59763" spans="20:20" s="566" customFormat="1">
      <c r="T59763" s="41"/>
    </row>
    <row r="59764" spans="20:20" s="566" customFormat="1">
      <c r="T59764" s="41"/>
    </row>
    <row r="59765" spans="20:20" s="566" customFormat="1">
      <c r="T59765" s="41"/>
    </row>
    <row r="59766" spans="20:20" s="566" customFormat="1">
      <c r="T59766" s="41"/>
    </row>
    <row r="59767" spans="20:20" s="566" customFormat="1">
      <c r="T59767" s="41"/>
    </row>
    <row r="59768" spans="20:20" s="566" customFormat="1">
      <c r="T59768" s="41"/>
    </row>
    <row r="59769" spans="20:20" s="566" customFormat="1">
      <c r="T59769" s="41"/>
    </row>
    <row r="59770" spans="20:20" s="566" customFormat="1">
      <c r="T59770" s="41"/>
    </row>
    <row r="59771" spans="20:20" s="566" customFormat="1">
      <c r="T59771" s="41"/>
    </row>
    <row r="59772" spans="20:20" s="566" customFormat="1">
      <c r="T59772" s="41"/>
    </row>
    <row r="59773" spans="20:20" s="566" customFormat="1">
      <c r="T59773" s="41"/>
    </row>
    <row r="59774" spans="20:20" s="566" customFormat="1">
      <c r="T59774" s="41"/>
    </row>
    <row r="59775" spans="20:20" s="566" customFormat="1">
      <c r="T59775" s="41"/>
    </row>
    <row r="59776" spans="20:20" s="566" customFormat="1">
      <c r="T59776" s="41"/>
    </row>
    <row r="59777" spans="20:20" s="566" customFormat="1">
      <c r="T59777" s="41"/>
    </row>
    <row r="59778" spans="20:20" s="566" customFormat="1">
      <c r="T59778" s="41"/>
    </row>
    <row r="59779" spans="20:20" s="566" customFormat="1">
      <c r="T59779" s="41"/>
    </row>
    <row r="59780" spans="20:20" s="566" customFormat="1">
      <c r="T59780" s="41"/>
    </row>
    <row r="59781" spans="20:20" s="566" customFormat="1">
      <c r="T59781" s="41"/>
    </row>
    <row r="59782" spans="20:20" s="566" customFormat="1">
      <c r="T59782" s="41"/>
    </row>
    <row r="59783" spans="20:20" s="566" customFormat="1">
      <c r="T59783" s="41"/>
    </row>
    <row r="59784" spans="20:20" s="566" customFormat="1">
      <c r="T59784" s="41"/>
    </row>
    <row r="59785" spans="20:20" s="566" customFormat="1">
      <c r="T59785" s="41"/>
    </row>
    <row r="59786" spans="20:20" s="566" customFormat="1">
      <c r="T59786" s="41"/>
    </row>
    <row r="59787" spans="20:20" s="566" customFormat="1">
      <c r="T59787" s="41"/>
    </row>
    <row r="59788" spans="20:20" s="566" customFormat="1">
      <c r="T59788" s="41"/>
    </row>
    <row r="59789" spans="20:20" s="566" customFormat="1">
      <c r="T59789" s="41"/>
    </row>
    <row r="59790" spans="20:20" s="566" customFormat="1">
      <c r="T59790" s="41"/>
    </row>
    <row r="59791" spans="20:20" s="566" customFormat="1">
      <c r="T59791" s="41"/>
    </row>
    <row r="59792" spans="20:20" s="566" customFormat="1">
      <c r="T59792" s="41"/>
    </row>
    <row r="59793" spans="20:20" s="566" customFormat="1">
      <c r="T59793" s="41"/>
    </row>
    <row r="59794" spans="20:20" s="566" customFormat="1">
      <c r="T59794" s="41"/>
    </row>
    <row r="59795" spans="20:20" s="566" customFormat="1">
      <c r="T59795" s="41"/>
    </row>
    <row r="59796" spans="20:20" s="566" customFormat="1">
      <c r="T59796" s="41"/>
    </row>
    <row r="59797" spans="20:20" s="566" customFormat="1">
      <c r="T59797" s="41"/>
    </row>
    <row r="59798" spans="20:20" s="566" customFormat="1">
      <c r="T59798" s="41"/>
    </row>
    <row r="59799" spans="20:20" s="566" customFormat="1">
      <c r="T59799" s="41"/>
    </row>
    <row r="59800" spans="20:20" s="566" customFormat="1">
      <c r="T59800" s="41"/>
    </row>
    <row r="59801" spans="20:20" s="566" customFormat="1">
      <c r="T59801" s="41"/>
    </row>
    <row r="59802" spans="20:20" s="566" customFormat="1">
      <c r="T59802" s="41"/>
    </row>
    <row r="59803" spans="20:20" s="566" customFormat="1">
      <c r="T59803" s="41"/>
    </row>
    <row r="59804" spans="20:20" s="566" customFormat="1">
      <c r="T59804" s="41"/>
    </row>
    <row r="59805" spans="20:20" s="566" customFormat="1">
      <c r="T59805" s="41"/>
    </row>
    <row r="59806" spans="20:20" s="566" customFormat="1">
      <c r="T59806" s="41"/>
    </row>
    <row r="59807" spans="20:20" s="566" customFormat="1">
      <c r="T59807" s="41"/>
    </row>
    <row r="59808" spans="20:20" s="566" customFormat="1">
      <c r="T59808" s="41"/>
    </row>
    <row r="59809" spans="20:20" s="566" customFormat="1">
      <c r="T59809" s="41"/>
    </row>
    <row r="59810" spans="20:20" s="566" customFormat="1">
      <c r="T59810" s="41"/>
    </row>
    <row r="59811" spans="20:20" s="566" customFormat="1">
      <c r="T59811" s="41"/>
    </row>
    <row r="59812" spans="20:20" s="566" customFormat="1">
      <c r="T59812" s="41"/>
    </row>
    <row r="59813" spans="20:20" s="566" customFormat="1">
      <c r="T59813" s="41"/>
    </row>
    <row r="59814" spans="20:20" s="566" customFormat="1">
      <c r="T59814" s="41"/>
    </row>
    <row r="59815" spans="20:20" s="566" customFormat="1">
      <c r="T59815" s="41"/>
    </row>
    <row r="59816" spans="20:20" s="566" customFormat="1">
      <c r="T59816" s="41"/>
    </row>
    <row r="59817" spans="20:20" s="566" customFormat="1">
      <c r="T59817" s="41"/>
    </row>
    <row r="59818" spans="20:20" s="566" customFormat="1">
      <c r="T59818" s="41"/>
    </row>
    <row r="59819" spans="20:20" s="566" customFormat="1">
      <c r="T59819" s="41"/>
    </row>
    <row r="59820" spans="20:20" s="566" customFormat="1">
      <c r="T59820" s="41"/>
    </row>
    <row r="59821" spans="20:20" s="566" customFormat="1">
      <c r="T59821" s="41"/>
    </row>
    <row r="59822" spans="20:20" s="566" customFormat="1">
      <c r="T59822" s="41"/>
    </row>
    <row r="59823" spans="20:20" s="566" customFormat="1">
      <c r="T59823" s="41"/>
    </row>
    <row r="59824" spans="20:20" s="566" customFormat="1">
      <c r="T59824" s="41"/>
    </row>
    <row r="59825" spans="20:20" s="566" customFormat="1">
      <c r="T59825" s="41"/>
    </row>
    <row r="59826" spans="20:20" s="566" customFormat="1">
      <c r="T59826" s="41"/>
    </row>
    <row r="59827" spans="20:20" s="566" customFormat="1">
      <c r="T59827" s="41"/>
    </row>
    <row r="59828" spans="20:20" s="566" customFormat="1">
      <c r="T59828" s="41"/>
    </row>
    <row r="59829" spans="20:20" s="566" customFormat="1">
      <c r="T59829" s="41"/>
    </row>
    <row r="59830" spans="20:20" s="566" customFormat="1">
      <c r="T59830" s="41"/>
    </row>
    <row r="59831" spans="20:20" s="566" customFormat="1">
      <c r="T59831" s="41"/>
    </row>
    <row r="59832" spans="20:20" s="566" customFormat="1">
      <c r="T59832" s="41"/>
    </row>
    <row r="59833" spans="20:20" s="566" customFormat="1">
      <c r="T59833" s="41"/>
    </row>
    <row r="59834" spans="20:20" s="566" customFormat="1">
      <c r="T59834" s="41"/>
    </row>
    <row r="59835" spans="20:20" s="566" customFormat="1">
      <c r="T59835" s="41"/>
    </row>
    <row r="59836" spans="20:20" s="566" customFormat="1">
      <c r="T59836" s="41"/>
    </row>
    <row r="59837" spans="20:20" s="566" customFormat="1">
      <c r="T59837" s="41"/>
    </row>
    <row r="59838" spans="20:20" s="566" customFormat="1">
      <c r="T59838" s="41"/>
    </row>
    <row r="59839" spans="20:20" s="566" customFormat="1">
      <c r="T59839" s="41"/>
    </row>
    <row r="59840" spans="20:20" s="566" customFormat="1">
      <c r="T59840" s="41"/>
    </row>
    <row r="59841" spans="20:20" s="566" customFormat="1">
      <c r="T59841" s="41"/>
    </row>
    <row r="59842" spans="20:20" s="566" customFormat="1">
      <c r="T59842" s="41"/>
    </row>
    <row r="59843" spans="20:20" s="566" customFormat="1">
      <c r="T59843" s="41"/>
    </row>
    <row r="59844" spans="20:20" s="566" customFormat="1">
      <c r="T59844" s="41"/>
    </row>
    <row r="59845" spans="20:20" s="566" customFormat="1">
      <c r="T59845" s="41"/>
    </row>
    <row r="59846" spans="20:20" s="566" customFormat="1">
      <c r="T59846" s="41"/>
    </row>
    <row r="59847" spans="20:20" s="566" customFormat="1">
      <c r="T59847" s="41"/>
    </row>
    <row r="59848" spans="20:20" s="566" customFormat="1">
      <c r="T59848" s="41"/>
    </row>
    <row r="59849" spans="20:20" s="566" customFormat="1">
      <c r="T59849" s="41"/>
    </row>
    <row r="59850" spans="20:20" s="566" customFormat="1">
      <c r="T59850" s="41"/>
    </row>
    <row r="59851" spans="20:20" s="566" customFormat="1">
      <c r="T59851" s="41"/>
    </row>
    <row r="59852" spans="20:20" s="566" customFormat="1">
      <c r="T59852" s="41"/>
    </row>
    <row r="59853" spans="20:20" s="566" customFormat="1">
      <c r="T59853" s="41"/>
    </row>
    <row r="59854" spans="20:20" s="566" customFormat="1">
      <c r="T59854" s="41"/>
    </row>
    <row r="59855" spans="20:20" s="566" customFormat="1">
      <c r="T59855" s="41"/>
    </row>
    <row r="59856" spans="20:20" s="566" customFormat="1">
      <c r="T59856" s="41"/>
    </row>
    <row r="59857" spans="20:20" s="566" customFormat="1">
      <c r="T59857" s="41"/>
    </row>
    <row r="59858" spans="20:20" s="566" customFormat="1">
      <c r="T59858" s="41"/>
    </row>
    <row r="59859" spans="20:20" s="566" customFormat="1">
      <c r="T59859" s="41"/>
    </row>
    <row r="59860" spans="20:20" s="566" customFormat="1">
      <c r="T59860" s="41"/>
    </row>
    <row r="59861" spans="20:20" s="566" customFormat="1">
      <c r="T59861" s="41"/>
    </row>
    <row r="59862" spans="20:20" s="566" customFormat="1">
      <c r="T59862" s="41"/>
    </row>
    <row r="59863" spans="20:20" s="566" customFormat="1">
      <c r="T59863" s="41"/>
    </row>
    <row r="59864" spans="20:20" s="566" customFormat="1">
      <c r="T59864" s="41"/>
    </row>
    <row r="59865" spans="20:20" s="566" customFormat="1">
      <c r="T59865" s="41"/>
    </row>
    <row r="59866" spans="20:20" s="566" customFormat="1">
      <c r="T59866" s="41"/>
    </row>
    <row r="59867" spans="20:20" s="566" customFormat="1">
      <c r="T59867" s="41"/>
    </row>
    <row r="59868" spans="20:20" s="566" customFormat="1">
      <c r="T59868" s="41"/>
    </row>
    <row r="59869" spans="20:20" s="566" customFormat="1">
      <c r="T59869" s="41"/>
    </row>
    <row r="59870" spans="20:20" s="566" customFormat="1">
      <c r="T59870" s="41"/>
    </row>
    <row r="59871" spans="20:20" s="566" customFormat="1">
      <c r="T59871" s="41"/>
    </row>
    <row r="59872" spans="20:20" s="566" customFormat="1">
      <c r="T59872" s="41"/>
    </row>
    <row r="59873" spans="20:20" s="566" customFormat="1">
      <c r="T59873" s="41"/>
    </row>
    <row r="59874" spans="20:20" s="566" customFormat="1">
      <c r="T59874" s="41"/>
    </row>
    <row r="59875" spans="20:20" s="566" customFormat="1">
      <c r="T59875" s="41"/>
    </row>
    <row r="59876" spans="20:20" s="566" customFormat="1">
      <c r="T59876" s="41"/>
    </row>
    <row r="59877" spans="20:20" s="566" customFormat="1">
      <c r="T59877" s="41"/>
    </row>
    <row r="59878" spans="20:20" s="566" customFormat="1">
      <c r="T59878" s="41"/>
    </row>
    <row r="59879" spans="20:20" s="566" customFormat="1">
      <c r="T59879" s="41"/>
    </row>
    <row r="59880" spans="20:20" s="566" customFormat="1">
      <c r="T59880" s="41"/>
    </row>
    <row r="59881" spans="20:20" s="566" customFormat="1">
      <c r="T59881" s="41"/>
    </row>
    <row r="59882" spans="20:20" s="566" customFormat="1">
      <c r="T59882" s="41"/>
    </row>
    <row r="59883" spans="20:20" s="566" customFormat="1">
      <c r="T59883" s="41"/>
    </row>
    <row r="59884" spans="20:20" s="566" customFormat="1">
      <c r="T59884" s="41"/>
    </row>
    <row r="59885" spans="20:20" s="566" customFormat="1">
      <c r="T59885" s="41"/>
    </row>
    <row r="59886" spans="20:20" s="566" customFormat="1">
      <c r="T59886" s="41"/>
    </row>
    <row r="59887" spans="20:20" s="566" customFormat="1">
      <c r="T59887" s="41"/>
    </row>
    <row r="59888" spans="20:20" s="566" customFormat="1">
      <c r="T59888" s="41"/>
    </row>
    <row r="59889" spans="20:20" s="566" customFormat="1">
      <c r="T59889" s="41"/>
    </row>
    <row r="59890" spans="20:20" s="566" customFormat="1">
      <c r="T59890" s="41"/>
    </row>
    <row r="59891" spans="20:20" s="566" customFormat="1">
      <c r="T59891" s="41"/>
    </row>
    <row r="59892" spans="20:20" s="566" customFormat="1">
      <c r="T59892" s="41"/>
    </row>
    <row r="59893" spans="20:20" s="566" customFormat="1">
      <c r="T59893" s="41"/>
    </row>
    <row r="59894" spans="20:20" s="566" customFormat="1">
      <c r="T59894" s="41"/>
    </row>
    <row r="59895" spans="20:20" s="566" customFormat="1">
      <c r="T59895" s="41"/>
    </row>
    <row r="59896" spans="20:20" s="566" customFormat="1">
      <c r="T59896" s="41"/>
    </row>
    <row r="59897" spans="20:20" s="566" customFormat="1">
      <c r="T59897" s="41"/>
    </row>
    <row r="59898" spans="20:20" s="566" customFormat="1">
      <c r="T59898" s="41"/>
    </row>
    <row r="59899" spans="20:20" s="566" customFormat="1">
      <c r="T59899" s="41"/>
    </row>
    <row r="59900" spans="20:20" s="566" customFormat="1">
      <c r="T59900" s="41"/>
    </row>
    <row r="59901" spans="20:20" s="566" customFormat="1">
      <c r="T59901" s="41"/>
    </row>
    <row r="59902" spans="20:20" s="566" customFormat="1">
      <c r="T59902" s="41"/>
    </row>
    <row r="59903" spans="20:20" s="566" customFormat="1">
      <c r="T59903" s="41"/>
    </row>
    <row r="59904" spans="20:20" s="566" customFormat="1">
      <c r="T59904" s="41"/>
    </row>
    <row r="59905" spans="20:20" s="566" customFormat="1">
      <c r="T59905" s="41"/>
    </row>
    <row r="59906" spans="20:20" s="566" customFormat="1">
      <c r="T59906" s="41"/>
    </row>
    <row r="59907" spans="20:20" s="566" customFormat="1">
      <c r="T59907" s="41"/>
    </row>
    <row r="59908" spans="20:20" s="566" customFormat="1">
      <c r="T59908" s="41"/>
    </row>
    <row r="59909" spans="20:20" s="566" customFormat="1">
      <c r="T59909" s="41"/>
    </row>
    <row r="59910" spans="20:20" s="566" customFormat="1">
      <c r="T59910" s="41"/>
    </row>
    <row r="59911" spans="20:20" s="566" customFormat="1">
      <c r="T59911" s="41"/>
    </row>
    <row r="59912" spans="20:20" s="566" customFormat="1">
      <c r="T59912" s="41"/>
    </row>
    <row r="59913" spans="20:20" s="566" customFormat="1">
      <c r="T59913" s="41"/>
    </row>
    <row r="59914" spans="20:20" s="566" customFormat="1">
      <c r="T59914" s="41"/>
    </row>
    <row r="59915" spans="20:20" s="566" customFormat="1">
      <c r="T59915" s="41"/>
    </row>
    <row r="59916" spans="20:20" s="566" customFormat="1">
      <c r="T59916" s="41"/>
    </row>
    <row r="59917" spans="20:20" s="566" customFormat="1">
      <c r="T59917" s="41"/>
    </row>
    <row r="59918" spans="20:20" s="566" customFormat="1">
      <c r="T59918" s="41"/>
    </row>
    <row r="59919" spans="20:20" s="566" customFormat="1">
      <c r="T59919" s="41"/>
    </row>
    <row r="59920" spans="20:20" s="566" customFormat="1">
      <c r="T59920" s="41"/>
    </row>
    <row r="59921" spans="20:20" s="566" customFormat="1">
      <c r="T59921" s="41"/>
    </row>
    <row r="59922" spans="20:20" s="566" customFormat="1">
      <c r="T59922" s="41"/>
    </row>
    <row r="59923" spans="20:20" s="566" customFormat="1">
      <c r="T59923" s="41"/>
    </row>
    <row r="59924" spans="20:20" s="566" customFormat="1">
      <c r="T59924" s="41"/>
    </row>
    <row r="59925" spans="20:20" s="566" customFormat="1">
      <c r="T59925" s="41"/>
    </row>
    <row r="59926" spans="20:20" s="566" customFormat="1">
      <c r="T59926" s="41"/>
    </row>
    <row r="59927" spans="20:20" s="566" customFormat="1">
      <c r="T59927" s="41"/>
    </row>
    <row r="59928" spans="20:20" s="566" customFormat="1">
      <c r="T59928" s="41"/>
    </row>
    <row r="59929" spans="20:20" s="566" customFormat="1">
      <c r="T59929" s="41"/>
    </row>
    <row r="59930" spans="20:20" s="566" customFormat="1">
      <c r="T59930" s="41"/>
    </row>
    <row r="59931" spans="20:20" s="566" customFormat="1">
      <c r="T59931" s="41"/>
    </row>
    <row r="59932" spans="20:20" s="566" customFormat="1">
      <c r="T59932" s="41"/>
    </row>
    <row r="59933" spans="20:20" s="566" customFormat="1">
      <c r="T59933" s="41"/>
    </row>
    <row r="59934" spans="20:20" s="566" customFormat="1">
      <c r="T59934" s="41"/>
    </row>
    <row r="59935" spans="20:20" s="566" customFormat="1">
      <c r="T59935" s="41"/>
    </row>
    <row r="59936" spans="20:20" s="566" customFormat="1">
      <c r="T59936" s="41"/>
    </row>
    <row r="59937" spans="20:20" s="566" customFormat="1">
      <c r="T59937" s="41"/>
    </row>
    <row r="59938" spans="20:20" s="566" customFormat="1">
      <c r="T59938" s="41"/>
    </row>
    <row r="59939" spans="20:20" s="566" customFormat="1">
      <c r="T59939" s="41"/>
    </row>
    <row r="59940" spans="20:20" s="566" customFormat="1">
      <c r="T59940" s="41"/>
    </row>
    <row r="59941" spans="20:20" s="566" customFormat="1">
      <c r="T59941" s="41"/>
    </row>
    <row r="59942" spans="20:20" s="566" customFormat="1">
      <c r="T59942" s="41"/>
    </row>
    <row r="59943" spans="20:20" s="566" customFormat="1">
      <c r="T59943" s="41"/>
    </row>
    <row r="59944" spans="20:20" s="566" customFormat="1">
      <c r="T59944" s="41"/>
    </row>
    <row r="59945" spans="20:20" s="566" customFormat="1">
      <c r="T59945" s="41"/>
    </row>
    <row r="59946" spans="20:20" s="566" customFormat="1">
      <c r="T59946" s="41"/>
    </row>
    <row r="59947" spans="20:20" s="566" customFormat="1">
      <c r="T59947" s="41"/>
    </row>
    <row r="59948" spans="20:20" s="566" customFormat="1">
      <c r="T59948" s="41"/>
    </row>
    <row r="59949" spans="20:20" s="566" customFormat="1">
      <c r="T59949" s="41"/>
    </row>
    <row r="59950" spans="20:20" s="566" customFormat="1">
      <c r="T59950" s="41"/>
    </row>
    <row r="59951" spans="20:20" s="566" customFormat="1">
      <c r="T59951" s="41"/>
    </row>
    <row r="59952" spans="20:20" s="566" customFormat="1">
      <c r="T59952" s="41"/>
    </row>
    <row r="59953" spans="20:20" s="566" customFormat="1">
      <c r="T59953" s="41"/>
    </row>
    <row r="59954" spans="20:20" s="566" customFormat="1">
      <c r="T59954" s="41"/>
    </row>
    <row r="59955" spans="20:20" s="566" customFormat="1">
      <c r="T59955" s="41"/>
    </row>
    <row r="59956" spans="20:20" s="566" customFormat="1">
      <c r="T59956" s="41"/>
    </row>
    <row r="59957" spans="20:20" s="566" customFormat="1">
      <c r="T59957" s="41"/>
    </row>
    <row r="59958" spans="20:20" s="566" customFormat="1">
      <c r="T59958" s="41"/>
    </row>
    <row r="59959" spans="20:20" s="566" customFormat="1">
      <c r="T59959" s="41"/>
    </row>
    <row r="59960" spans="20:20" s="566" customFormat="1">
      <c r="T59960" s="41"/>
    </row>
    <row r="59961" spans="20:20" s="566" customFormat="1">
      <c r="T59961" s="41"/>
    </row>
    <row r="59962" spans="20:20" s="566" customFormat="1">
      <c r="T59962" s="41"/>
    </row>
    <row r="59963" spans="20:20" s="566" customFormat="1">
      <c r="T59963" s="41"/>
    </row>
    <row r="59964" spans="20:20" s="566" customFormat="1">
      <c r="T59964" s="41"/>
    </row>
    <row r="59965" spans="20:20" s="566" customFormat="1">
      <c r="T59965" s="41"/>
    </row>
    <row r="59966" spans="20:20" s="566" customFormat="1">
      <c r="T59966" s="41"/>
    </row>
    <row r="59967" spans="20:20" s="566" customFormat="1">
      <c r="T59967" s="41"/>
    </row>
    <row r="59968" spans="20:20" s="566" customFormat="1">
      <c r="T59968" s="41"/>
    </row>
    <row r="59969" spans="20:20" s="566" customFormat="1">
      <c r="T59969" s="41"/>
    </row>
    <row r="59970" spans="20:20" s="566" customFormat="1">
      <c r="T59970" s="41"/>
    </row>
    <row r="59971" spans="20:20" s="566" customFormat="1">
      <c r="T59971" s="41"/>
    </row>
    <row r="59972" spans="20:20" s="566" customFormat="1">
      <c r="T59972" s="41"/>
    </row>
    <row r="59973" spans="20:20" s="566" customFormat="1">
      <c r="T59973" s="41"/>
    </row>
    <row r="59974" spans="20:20" s="566" customFormat="1">
      <c r="T59974" s="41"/>
    </row>
    <row r="59975" spans="20:20" s="566" customFormat="1">
      <c r="T59975" s="41"/>
    </row>
    <row r="59976" spans="20:20" s="566" customFormat="1">
      <c r="T59976" s="41"/>
    </row>
    <row r="59977" spans="20:20" s="566" customFormat="1">
      <c r="T59977" s="41"/>
    </row>
    <row r="59978" spans="20:20" s="566" customFormat="1">
      <c r="T59978" s="41"/>
    </row>
    <row r="59979" spans="20:20" s="566" customFormat="1">
      <c r="T59979" s="41"/>
    </row>
    <row r="59980" spans="20:20" s="566" customFormat="1">
      <c r="T59980" s="41"/>
    </row>
    <row r="59981" spans="20:20" s="566" customFormat="1">
      <c r="T59981" s="41"/>
    </row>
    <row r="59982" spans="20:20" s="566" customFormat="1">
      <c r="T59982" s="41"/>
    </row>
    <row r="59983" spans="20:20" s="566" customFormat="1">
      <c r="T59983" s="41"/>
    </row>
    <row r="59984" spans="20:20" s="566" customFormat="1">
      <c r="T59984" s="41"/>
    </row>
    <row r="59985" spans="20:20" s="566" customFormat="1">
      <c r="T59985" s="41"/>
    </row>
    <row r="59986" spans="20:20" s="566" customFormat="1">
      <c r="T59986" s="41"/>
    </row>
    <row r="59987" spans="20:20" s="566" customFormat="1">
      <c r="T59987" s="41"/>
    </row>
    <row r="59988" spans="20:20" s="566" customFormat="1">
      <c r="T59988" s="41"/>
    </row>
    <row r="59989" spans="20:20" s="566" customFormat="1">
      <c r="T59989" s="41"/>
    </row>
    <row r="59990" spans="20:20" s="566" customFormat="1">
      <c r="T59990" s="41"/>
    </row>
    <row r="59991" spans="20:20" s="566" customFormat="1">
      <c r="T59991" s="41"/>
    </row>
    <row r="59992" spans="20:20" s="566" customFormat="1">
      <c r="T59992" s="41"/>
    </row>
    <row r="59993" spans="20:20" s="566" customFormat="1">
      <c r="T59993" s="41"/>
    </row>
    <row r="59994" spans="20:20" s="566" customFormat="1">
      <c r="T59994" s="41"/>
    </row>
    <row r="59995" spans="20:20" s="566" customFormat="1">
      <c r="T59995" s="41"/>
    </row>
    <row r="59996" spans="20:20" s="566" customFormat="1">
      <c r="T59996" s="41"/>
    </row>
    <row r="59997" spans="20:20" s="566" customFormat="1">
      <c r="T59997" s="41"/>
    </row>
    <row r="59998" spans="20:20" s="566" customFormat="1">
      <c r="T59998" s="41"/>
    </row>
    <row r="59999" spans="20:20" s="566" customFormat="1">
      <c r="T59999" s="41"/>
    </row>
    <row r="60000" spans="20:20" s="566" customFormat="1">
      <c r="T60000" s="41"/>
    </row>
    <row r="60001" spans="20:20" s="566" customFormat="1">
      <c r="T60001" s="41"/>
    </row>
    <row r="60002" spans="20:20" s="566" customFormat="1">
      <c r="T60002" s="41"/>
    </row>
    <row r="60003" spans="20:20" s="566" customFormat="1">
      <c r="T60003" s="41"/>
    </row>
    <row r="60004" spans="20:20" s="566" customFormat="1">
      <c r="T60004" s="41"/>
    </row>
    <row r="60005" spans="20:20" s="566" customFormat="1">
      <c r="T60005" s="41"/>
    </row>
    <row r="60006" spans="20:20" s="566" customFormat="1">
      <c r="T60006" s="41"/>
    </row>
    <row r="60007" spans="20:20" s="566" customFormat="1">
      <c r="T60007" s="41"/>
    </row>
    <row r="60008" spans="20:20" s="566" customFormat="1">
      <c r="T60008" s="41"/>
    </row>
    <row r="60009" spans="20:20" s="566" customFormat="1">
      <c r="T60009" s="41"/>
    </row>
    <row r="60010" spans="20:20" s="566" customFormat="1">
      <c r="T60010" s="41"/>
    </row>
    <row r="60011" spans="20:20" s="566" customFormat="1">
      <c r="T60011" s="41"/>
    </row>
    <row r="60012" spans="20:20" s="566" customFormat="1">
      <c r="T60012" s="41"/>
    </row>
    <row r="60013" spans="20:20" s="566" customFormat="1">
      <c r="T60013" s="41"/>
    </row>
    <row r="60014" spans="20:20" s="566" customFormat="1">
      <c r="T60014" s="41"/>
    </row>
    <row r="60015" spans="20:20" s="566" customFormat="1">
      <c r="T60015" s="41"/>
    </row>
    <row r="60016" spans="20:20" s="566" customFormat="1">
      <c r="T60016" s="41"/>
    </row>
    <row r="60017" spans="20:20" s="566" customFormat="1">
      <c r="T60017" s="41"/>
    </row>
    <row r="60018" spans="20:20" s="566" customFormat="1">
      <c r="T60018" s="41"/>
    </row>
    <row r="60019" spans="20:20" s="566" customFormat="1">
      <c r="T60019" s="41"/>
    </row>
    <row r="60020" spans="20:20" s="566" customFormat="1">
      <c r="T60020" s="41"/>
    </row>
    <row r="60021" spans="20:20" s="566" customFormat="1">
      <c r="T60021" s="41"/>
    </row>
    <row r="60022" spans="20:20" s="566" customFormat="1">
      <c r="T60022" s="41"/>
    </row>
    <row r="60023" spans="20:20" s="566" customFormat="1">
      <c r="T60023" s="41"/>
    </row>
    <row r="60024" spans="20:20" s="566" customFormat="1">
      <c r="T60024" s="41"/>
    </row>
    <row r="60025" spans="20:20" s="566" customFormat="1">
      <c r="T60025" s="41"/>
    </row>
    <row r="60026" spans="20:20" s="566" customFormat="1">
      <c r="T60026" s="41"/>
    </row>
    <row r="60027" spans="20:20" s="566" customFormat="1">
      <c r="T60027" s="41"/>
    </row>
    <row r="60028" spans="20:20" s="566" customFormat="1">
      <c r="T60028" s="41"/>
    </row>
    <row r="60029" spans="20:20" s="566" customFormat="1">
      <c r="T60029" s="41"/>
    </row>
    <row r="60030" spans="20:20" s="566" customFormat="1">
      <c r="T60030" s="41"/>
    </row>
    <row r="60031" spans="20:20" s="566" customFormat="1">
      <c r="T60031" s="41"/>
    </row>
    <row r="60032" spans="20:20" s="566" customFormat="1">
      <c r="T60032" s="41"/>
    </row>
    <row r="60033" spans="20:20" s="566" customFormat="1">
      <c r="T60033" s="41"/>
    </row>
    <row r="60034" spans="20:20" s="566" customFormat="1">
      <c r="T60034" s="41"/>
    </row>
    <row r="60035" spans="20:20" s="566" customFormat="1">
      <c r="T60035" s="41"/>
    </row>
    <row r="60036" spans="20:20" s="566" customFormat="1">
      <c r="T60036" s="41"/>
    </row>
    <row r="60037" spans="20:20" s="566" customFormat="1">
      <c r="T60037" s="41"/>
    </row>
    <row r="60038" spans="20:20" s="566" customFormat="1">
      <c r="T60038" s="41"/>
    </row>
    <row r="60039" spans="20:20" s="566" customFormat="1">
      <c r="T60039" s="41"/>
    </row>
    <row r="60040" spans="20:20" s="566" customFormat="1">
      <c r="T60040" s="41"/>
    </row>
    <row r="60041" spans="20:20" s="566" customFormat="1">
      <c r="T60041" s="41"/>
    </row>
    <row r="60042" spans="20:20" s="566" customFormat="1">
      <c r="T60042" s="41"/>
    </row>
    <row r="60043" spans="20:20" s="566" customFormat="1">
      <c r="T60043" s="41"/>
    </row>
    <row r="60044" spans="20:20" s="566" customFormat="1">
      <c r="T60044" s="41"/>
    </row>
    <row r="60045" spans="20:20" s="566" customFormat="1">
      <c r="T60045" s="41"/>
    </row>
    <row r="60046" spans="20:20" s="566" customFormat="1">
      <c r="T60046" s="41"/>
    </row>
    <row r="60047" spans="20:20" s="566" customFormat="1">
      <c r="T60047" s="41"/>
    </row>
    <row r="60048" spans="20:20" s="566" customFormat="1">
      <c r="T60048" s="41"/>
    </row>
    <row r="60049" spans="20:20" s="566" customFormat="1">
      <c r="T60049" s="41"/>
    </row>
    <row r="60050" spans="20:20" s="566" customFormat="1">
      <c r="T60050" s="41"/>
    </row>
    <row r="60051" spans="20:20" s="566" customFormat="1">
      <c r="T60051" s="41"/>
    </row>
    <row r="60052" spans="20:20" s="566" customFormat="1">
      <c r="T60052" s="41"/>
    </row>
    <row r="60053" spans="20:20" s="566" customFormat="1">
      <c r="T60053" s="41"/>
    </row>
    <row r="60054" spans="20:20" s="566" customFormat="1">
      <c r="T60054" s="41"/>
    </row>
    <row r="60055" spans="20:20" s="566" customFormat="1">
      <c r="T60055" s="41"/>
    </row>
    <row r="60056" spans="20:20" s="566" customFormat="1">
      <c r="T60056" s="41"/>
    </row>
    <row r="60057" spans="20:20" s="566" customFormat="1">
      <c r="T60057" s="41"/>
    </row>
    <row r="60058" spans="20:20" s="566" customFormat="1">
      <c r="T60058" s="41"/>
    </row>
    <row r="60059" spans="20:20" s="566" customFormat="1">
      <c r="T60059" s="41"/>
    </row>
    <row r="60060" spans="20:20" s="566" customFormat="1">
      <c r="T60060" s="41"/>
    </row>
    <row r="60061" spans="20:20" s="566" customFormat="1">
      <c r="T60061" s="41"/>
    </row>
    <row r="60062" spans="20:20" s="566" customFormat="1">
      <c r="T60062" s="41"/>
    </row>
    <row r="60063" spans="20:20" s="566" customFormat="1">
      <c r="T60063" s="41"/>
    </row>
    <row r="60064" spans="20:20" s="566" customFormat="1">
      <c r="T60064" s="41"/>
    </row>
    <row r="60065" spans="20:20" s="566" customFormat="1">
      <c r="T60065" s="41"/>
    </row>
    <row r="60066" spans="20:20" s="566" customFormat="1">
      <c r="T60066" s="41"/>
    </row>
    <row r="60067" spans="20:20" s="566" customFormat="1">
      <c r="T60067" s="41"/>
    </row>
    <row r="60068" spans="20:20" s="566" customFormat="1">
      <c r="T60068" s="41"/>
    </row>
    <row r="60069" spans="20:20" s="566" customFormat="1">
      <c r="T60069" s="41"/>
    </row>
    <row r="60070" spans="20:20" s="566" customFormat="1">
      <c r="T60070" s="41"/>
    </row>
    <row r="60071" spans="20:20" s="566" customFormat="1">
      <c r="T60071" s="41"/>
    </row>
    <row r="60072" spans="20:20" s="566" customFormat="1">
      <c r="T60072" s="41"/>
    </row>
    <row r="60073" spans="20:20" s="566" customFormat="1">
      <c r="T60073" s="41"/>
    </row>
    <row r="60074" spans="20:20" s="566" customFormat="1">
      <c r="T60074" s="41"/>
    </row>
    <row r="60075" spans="20:20" s="566" customFormat="1">
      <c r="T60075" s="41"/>
    </row>
    <row r="60076" spans="20:20" s="566" customFormat="1">
      <c r="T60076" s="41"/>
    </row>
    <row r="60077" spans="20:20" s="566" customFormat="1">
      <c r="T60077" s="41"/>
    </row>
    <row r="60078" spans="20:20" s="566" customFormat="1">
      <c r="T60078" s="41"/>
    </row>
    <row r="60079" spans="20:20" s="566" customFormat="1">
      <c r="T60079" s="41"/>
    </row>
    <row r="60080" spans="20:20" s="566" customFormat="1">
      <c r="T60080" s="41"/>
    </row>
    <row r="60081" spans="20:20" s="566" customFormat="1">
      <c r="T60081" s="41"/>
    </row>
    <row r="60082" spans="20:20" s="566" customFormat="1">
      <c r="T60082" s="41"/>
    </row>
    <row r="60083" spans="20:20" s="566" customFormat="1">
      <c r="T60083" s="41"/>
    </row>
    <row r="60084" spans="20:20" s="566" customFormat="1">
      <c r="T60084" s="41"/>
    </row>
    <row r="60085" spans="20:20" s="566" customFormat="1">
      <c r="T60085" s="41"/>
    </row>
    <row r="60086" spans="20:20" s="566" customFormat="1">
      <c r="T60086" s="41"/>
    </row>
    <row r="60087" spans="20:20" s="566" customFormat="1">
      <c r="T60087" s="41"/>
    </row>
    <row r="60088" spans="20:20" s="566" customFormat="1">
      <c r="T60088" s="41"/>
    </row>
    <row r="60089" spans="20:20" s="566" customFormat="1">
      <c r="T60089" s="41"/>
    </row>
    <row r="60090" spans="20:20" s="566" customFormat="1">
      <c r="T60090" s="41"/>
    </row>
    <row r="60091" spans="20:20" s="566" customFormat="1">
      <c r="T60091" s="41"/>
    </row>
    <row r="60092" spans="20:20" s="566" customFormat="1">
      <c r="T60092" s="41"/>
    </row>
    <row r="60093" spans="20:20" s="566" customFormat="1">
      <c r="T60093" s="41"/>
    </row>
    <row r="60094" spans="20:20" s="566" customFormat="1">
      <c r="T60094" s="41"/>
    </row>
    <row r="60095" spans="20:20" s="566" customFormat="1">
      <c r="T60095" s="41"/>
    </row>
    <row r="60096" spans="20:20" s="566" customFormat="1">
      <c r="T60096" s="41"/>
    </row>
    <row r="60097" spans="20:20" s="566" customFormat="1">
      <c r="T60097" s="41"/>
    </row>
    <row r="60098" spans="20:20" s="566" customFormat="1">
      <c r="T60098" s="41"/>
    </row>
    <row r="60099" spans="20:20" s="566" customFormat="1">
      <c r="T60099" s="41"/>
    </row>
    <row r="60100" spans="20:20" s="566" customFormat="1">
      <c r="T60100" s="41"/>
    </row>
    <row r="60101" spans="20:20" s="566" customFormat="1">
      <c r="T60101" s="41"/>
    </row>
    <row r="60102" spans="20:20" s="566" customFormat="1">
      <c r="T60102" s="41"/>
    </row>
    <row r="60103" spans="20:20" s="566" customFormat="1">
      <c r="T60103" s="41"/>
    </row>
    <row r="60104" spans="20:20" s="566" customFormat="1">
      <c r="T60104" s="41"/>
    </row>
    <row r="60105" spans="20:20" s="566" customFormat="1">
      <c r="T60105" s="41"/>
    </row>
    <row r="60106" spans="20:20" s="566" customFormat="1">
      <c r="T60106" s="41"/>
    </row>
    <row r="60107" spans="20:20" s="566" customFormat="1">
      <c r="T60107" s="41"/>
    </row>
    <row r="60108" spans="20:20" s="566" customFormat="1">
      <c r="T60108" s="41"/>
    </row>
    <row r="60109" spans="20:20" s="566" customFormat="1">
      <c r="T60109" s="41"/>
    </row>
    <row r="60110" spans="20:20" s="566" customFormat="1">
      <c r="T60110" s="41"/>
    </row>
    <row r="60111" spans="20:20" s="566" customFormat="1">
      <c r="T60111" s="41"/>
    </row>
    <row r="60112" spans="20:20" s="566" customFormat="1">
      <c r="T60112" s="41"/>
    </row>
    <row r="60113" spans="20:20" s="566" customFormat="1">
      <c r="T60113" s="41"/>
    </row>
    <row r="60114" spans="20:20" s="566" customFormat="1">
      <c r="T60114" s="41"/>
    </row>
    <row r="60115" spans="20:20" s="566" customFormat="1">
      <c r="T60115" s="41"/>
    </row>
    <row r="60116" spans="20:20" s="566" customFormat="1">
      <c r="T60116" s="41"/>
    </row>
    <row r="60117" spans="20:20" s="566" customFormat="1">
      <c r="T60117" s="41"/>
    </row>
    <row r="60118" spans="20:20" s="566" customFormat="1">
      <c r="T60118" s="41"/>
    </row>
    <row r="60119" spans="20:20" s="566" customFormat="1">
      <c r="T60119" s="41"/>
    </row>
    <row r="60120" spans="20:20" s="566" customFormat="1">
      <c r="T60120" s="41"/>
    </row>
    <row r="60121" spans="20:20" s="566" customFormat="1">
      <c r="T60121" s="41"/>
    </row>
    <row r="60122" spans="20:20" s="566" customFormat="1">
      <c r="T60122" s="41"/>
    </row>
    <row r="60123" spans="20:20" s="566" customFormat="1">
      <c r="T60123" s="41"/>
    </row>
    <row r="60124" spans="20:20" s="566" customFormat="1">
      <c r="T60124" s="41"/>
    </row>
    <row r="60125" spans="20:20" s="566" customFormat="1">
      <c r="T60125" s="41"/>
    </row>
    <row r="60126" spans="20:20" s="566" customFormat="1">
      <c r="T60126" s="41"/>
    </row>
    <row r="60127" spans="20:20" s="566" customFormat="1">
      <c r="T60127" s="41"/>
    </row>
    <row r="60128" spans="20:20" s="566" customFormat="1">
      <c r="T60128" s="41"/>
    </row>
    <row r="60129" spans="20:20" s="566" customFormat="1">
      <c r="T60129" s="41"/>
    </row>
    <row r="60130" spans="20:20" s="566" customFormat="1">
      <c r="T60130" s="41"/>
    </row>
    <row r="60131" spans="20:20" s="566" customFormat="1">
      <c r="T60131" s="41"/>
    </row>
    <row r="60132" spans="20:20" s="566" customFormat="1">
      <c r="T60132" s="41"/>
    </row>
    <row r="60133" spans="20:20" s="566" customFormat="1">
      <c r="T60133" s="41"/>
    </row>
    <row r="60134" spans="20:20" s="566" customFormat="1">
      <c r="T60134" s="41"/>
    </row>
    <row r="60135" spans="20:20" s="566" customFormat="1">
      <c r="T60135" s="41"/>
    </row>
    <row r="60136" spans="20:20" s="566" customFormat="1">
      <c r="T60136" s="41"/>
    </row>
    <row r="60137" spans="20:20" s="566" customFormat="1">
      <c r="T60137" s="41"/>
    </row>
    <row r="60138" spans="20:20" s="566" customFormat="1">
      <c r="T60138" s="41"/>
    </row>
    <row r="60139" spans="20:20" s="566" customFormat="1">
      <c r="T60139" s="41"/>
    </row>
    <row r="60140" spans="20:20" s="566" customFormat="1">
      <c r="T60140" s="41"/>
    </row>
    <row r="60141" spans="20:20" s="566" customFormat="1">
      <c r="T60141" s="41"/>
    </row>
    <row r="60142" spans="20:20" s="566" customFormat="1">
      <c r="T60142" s="41"/>
    </row>
    <row r="60143" spans="20:20" s="566" customFormat="1">
      <c r="T60143" s="41"/>
    </row>
    <row r="60144" spans="20:20" s="566" customFormat="1">
      <c r="T60144" s="41"/>
    </row>
    <row r="60145" spans="20:20" s="566" customFormat="1">
      <c r="T60145" s="41"/>
    </row>
    <row r="60146" spans="20:20" s="566" customFormat="1">
      <c r="T60146" s="41"/>
    </row>
    <row r="60147" spans="20:20" s="566" customFormat="1">
      <c r="T60147" s="41"/>
    </row>
    <row r="60148" spans="20:20" s="566" customFormat="1">
      <c r="T60148" s="41"/>
    </row>
    <row r="60149" spans="20:20" s="566" customFormat="1">
      <c r="T60149" s="41"/>
    </row>
    <row r="60150" spans="20:20" s="566" customFormat="1">
      <c r="T60150" s="41"/>
    </row>
    <row r="60151" spans="20:20" s="566" customFormat="1">
      <c r="T60151" s="41"/>
    </row>
    <row r="60152" spans="20:20" s="566" customFormat="1">
      <c r="T60152" s="41"/>
    </row>
    <row r="60153" spans="20:20" s="566" customFormat="1">
      <c r="T60153" s="41"/>
    </row>
    <row r="60154" spans="20:20" s="566" customFormat="1">
      <c r="T60154" s="41"/>
    </row>
    <row r="60155" spans="20:20" s="566" customFormat="1">
      <c r="T60155" s="41"/>
    </row>
    <row r="60156" spans="20:20" s="566" customFormat="1">
      <c r="T60156" s="41"/>
    </row>
    <row r="60157" spans="20:20" s="566" customFormat="1">
      <c r="T60157" s="41"/>
    </row>
    <row r="60158" spans="20:20" s="566" customFormat="1">
      <c r="T60158" s="41"/>
    </row>
    <row r="60159" spans="20:20" s="566" customFormat="1">
      <c r="T60159" s="41"/>
    </row>
    <row r="60160" spans="20:20" s="566" customFormat="1">
      <c r="T60160" s="41"/>
    </row>
    <row r="60161" spans="20:20" s="566" customFormat="1">
      <c r="T60161" s="41"/>
    </row>
    <row r="60162" spans="20:20" s="566" customFormat="1">
      <c r="T60162" s="41"/>
    </row>
    <row r="60163" spans="20:20" s="566" customFormat="1">
      <c r="T60163" s="41"/>
    </row>
    <row r="60164" spans="20:20" s="566" customFormat="1">
      <c r="T60164" s="41"/>
    </row>
    <row r="60165" spans="20:20" s="566" customFormat="1">
      <c r="T60165" s="41"/>
    </row>
    <row r="60166" spans="20:20" s="566" customFormat="1">
      <c r="T60166" s="41"/>
    </row>
    <row r="60167" spans="20:20" s="566" customFormat="1">
      <c r="T60167" s="41"/>
    </row>
    <row r="60168" spans="20:20" s="566" customFormat="1">
      <c r="T60168" s="41"/>
    </row>
    <row r="60169" spans="20:20" s="566" customFormat="1">
      <c r="T60169" s="41"/>
    </row>
    <row r="60170" spans="20:20" s="566" customFormat="1">
      <c r="T60170" s="41"/>
    </row>
    <row r="60171" spans="20:20" s="566" customFormat="1">
      <c r="T60171" s="41"/>
    </row>
    <row r="60172" spans="20:20" s="566" customFormat="1">
      <c r="T60172" s="41"/>
    </row>
    <row r="60173" spans="20:20" s="566" customFormat="1">
      <c r="T60173" s="41"/>
    </row>
    <row r="60174" spans="20:20" s="566" customFormat="1">
      <c r="T60174" s="41"/>
    </row>
    <row r="60175" spans="20:20" s="566" customFormat="1">
      <c r="T60175" s="41"/>
    </row>
    <row r="60176" spans="20:20" s="566" customFormat="1">
      <c r="T60176" s="41"/>
    </row>
    <row r="60177" spans="20:20" s="566" customFormat="1">
      <c r="T60177" s="41"/>
    </row>
    <row r="60178" spans="20:20" s="566" customFormat="1">
      <c r="T60178" s="41"/>
    </row>
    <row r="60179" spans="20:20" s="566" customFormat="1">
      <c r="T60179" s="41"/>
    </row>
    <row r="60180" spans="20:20" s="566" customFormat="1">
      <c r="T60180" s="41"/>
    </row>
    <row r="60181" spans="20:20" s="566" customFormat="1">
      <c r="T60181" s="41"/>
    </row>
    <row r="60182" spans="20:20" s="566" customFormat="1">
      <c r="T60182" s="41"/>
    </row>
    <row r="60183" spans="20:20" s="566" customFormat="1">
      <c r="T60183" s="41"/>
    </row>
    <row r="60184" spans="20:20" s="566" customFormat="1">
      <c r="T60184" s="41"/>
    </row>
    <row r="60185" spans="20:20" s="566" customFormat="1">
      <c r="T60185" s="41"/>
    </row>
    <row r="60186" spans="20:20" s="566" customFormat="1">
      <c r="T60186" s="41"/>
    </row>
    <row r="60187" spans="20:20" s="566" customFormat="1">
      <c r="T60187" s="41"/>
    </row>
    <row r="60188" spans="20:20" s="566" customFormat="1">
      <c r="T60188" s="41"/>
    </row>
    <row r="60189" spans="20:20" s="566" customFormat="1">
      <c r="T60189" s="41"/>
    </row>
    <row r="60190" spans="20:20" s="566" customFormat="1">
      <c r="T60190" s="41"/>
    </row>
    <row r="60191" spans="20:20" s="566" customFormat="1">
      <c r="T60191" s="41"/>
    </row>
    <row r="60192" spans="20:20" s="566" customFormat="1">
      <c r="T60192" s="41"/>
    </row>
    <row r="60193" spans="20:20" s="566" customFormat="1">
      <c r="T60193" s="41"/>
    </row>
    <row r="60194" spans="20:20" s="566" customFormat="1">
      <c r="T60194" s="41"/>
    </row>
    <row r="60195" spans="20:20" s="566" customFormat="1">
      <c r="T60195" s="41"/>
    </row>
    <row r="60196" spans="20:20" s="566" customFormat="1">
      <c r="T60196" s="41"/>
    </row>
    <row r="60197" spans="20:20" s="566" customFormat="1">
      <c r="T60197" s="41"/>
    </row>
    <row r="60198" spans="20:20" s="566" customFormat="1">
      <c r="T60198" s="41"/>
    </row>
    <row r="60199" spans="20:20" s="566" customFormat="1">
      <c r="T60199" s="41"/>
    </row>
    <row r="60200" spans="20:20" s="566" customFormat="1">
      <c r="T60200" s="41"/>
    </row>
    <row r="60201" spans="20:20" s="566" customFormat="1">
      <c r="T60201" s="41"/>
    </row>
    <row r="60202" spans="20:20" s="566" customFormat="1">
      <c r="T60202" s="41"/>
    </row>
    <row r="60203" spans="20:20" s="566" customFormat="1">
      <c r="T60203" s="41"/>
    </row>
    <row r="60204" spans="20:20" s="566" customFormat="1">
      <c r="T60204" s="41"/>
    </row>
    <row r="60205" spans="20:20" s="566" customFormat="1">
      <c r="T60205" s="41"/>
    </row>
    <row r="60206" spans="20:20" s="566" customFormat="1">
      <c r="T60206" s="41"/>
    </row>
    <row r="60207" spans="20:20" s="566" customFormat="1">
      <c r="T60207" s="41"/>
    </row>
    <row r="60208" spans="20:20" s="566" customFormat="1">
      <c r="T60208" s="41"/>
    </row>
    <row r="60209" spans="20:20" s="566" customFormat="1">
      <c r="T60209" s="41"/>
    </row>
    <row r="60210" spans="20:20" s="566" customFormat="1">
      <c r="T60210" s="41"/>
    </row>
    <row r="60211" spans="20:20" s="566" customFormat="1">
      <c r="T60211" s="41"/>
    </row>
    <row r="60212" spans="20:20" s="566" customFormat="1">
      <c r="T60212" s="41"/>
    </row>
    <row r="60213" spans="20:20" s="566" customFormat="1">
      <c r="T60213" s="41"/>
    </row>
    <row r="60214" spans="20:20" s="566" customFormat="1">
      <c r="T60214" s="41"/>
    </row>
    <row r="60215" spans="20:20" s="566" customFormat="1">
      <c r="T60215" s="41"/>
    </row>
    <row r="60216" spans="20:20" s="566" customFormat="1">
      <c r="T60216" s="41"/>
    </row>
    <row r="60217" spans="20:20" s="566" customFormat="1">
      <c r="T60217" s="41"/>
    </row>
    <row r="60218" spans="20:20" s="566" customFormat="1">
      <c r="T60218" s="41"/>
    </row>
    <row r="60219" spans="20:20" s="566" customFormat="1">
      <c r="T60219" s="41"/>
    </row>
    <row r="60220" spans="20:20" s="566" customFormat="1">
      <c r="T60220" s="41"/>
    </row>
    <row r="60221" spans="20:20" s="566" customFormat="1">
      <c r="T60221" s="41"/>
    </row>
    <row r="60222" spans="20:20" s="566" customFormat="1">
      <c r="T60222" s="41"/>
    </row>
    <row r="60223" spans="20:20" s="566" customFormat="1">
      <c r="T60223" s="41"/>
    </row>
    <row r="60224" spans="20:20" s="566" customFormat="1">
      <c r="T60224" s="41"/>
    </row>
    <row r="60225" spans="20:20" s="566" customFormat="1">
      <c r="T60225" s="41"/>
    </row>
    <row r="60226" spans="20:20" s="566" customFormat="1">
      <c r="T60226" s="41"/>
    </row>
    <row r="60227" spans="20:20" s="566" customFormat="1">
      <c r="T60227" s="41"/>
    </row>
    <row r="60228" spans="20:20" s="566" customFormat="1">
      <c r="T60228" s="41"/>
    </row>
    <row r="60229" spans="20:20" s="566" customFormat="1">
      <c r="T60229" s="41"/>
    </row>
    <row r="60230" spans="20:20" s="566" customFormat="1">
      <c r="T60230" s="41"/>
    </row>
    <row r="60231" spans="20:20" s="566" customFormat="1">
      <c r="T60231" s="41"/>
    </row>
    <row r="60232" spans="20:20" s="566" customFormat="1">
      <c r="T60232" s="41"/>
    </row>
    <row r="60233" spans="20:20" s="566" customFormat="1">
      <c r="T60233" s="41"/>
    </row>
    <row r="60234" spans="20:20" s="566" customFormat="1">
      <c r="T60234" s="41"/>
    </row>
    <row r="60235" spans="20:20" s="566" customFormat="1">
      <c r="T60235" s="41"/>
    </row>
    <row r="60236" spans="20:20" s="566" customFormat="1">
      <c r="T60236" s="41"/>
    </row>
    <row r="60237" spans="20:20" s="566" customFormat="1">
      <c r="T60237" s="41"/>
    </row>
    <row r="60238" spans="20:20" s="566" customFormat="1">
      <c r="T60238" s="41"/>
    </row>
    <row r="60239" spans="20:20" s="566" customFormat="1">
      <c r="T60239" s="41"/>
    </row>
    <row r="60240" spans="20:20" s="566" customFormat="1">
      <c r="T60240" s="41"/>
    </row>
    <row r="60241" spans="20:20" s="566" customFormat="1">
      <c r="T60241" s="41"/>
    </row>
    <row r="60242" spans="20:20" s="566" customFormat="1">
      <c r="T60242" s="41"/>
    </row>
    <row r="60243" spans="20:20" s="566" customFormat="1">
      <c r="T60243" s="41"/>
    </row>
    <row r="60244" spans="20:20" s="566" customFormat="1">
      <c r="T60244" s="41"/>
    </row>
    <row r="60245" spans="20:20" s="566" customFormat="1">
      <c r="T60245" s="41"/>
    </row>
    <row r="60246" spans="20:20" s="566" customFormat="1">
      <c r="T60246" s="41"/>
    </row>
    <row r="60247" spans="20:20" s="566" customFormat="1">
      <c r="T60247" s="41"/>
    </row>
    <row r="60248" spans="20:20" s="566" customFormat="1">
      <c r="T60248" s="41"/>
    </row>
    <row r="60249" spans="20:20" s="566" customFormat="1">
      <c r="T60249" s="41"/>
    </row>
    <row r="60250" spans="20:20" s="566" customFormat="1">
      <c r="T60250" s="41"/>
    </row>
    <row r="60251" spans="20:20" s="566" customFormat="1">
      <c r="T60251" s="41"/>
    </row>
    <row r="60252" spans="20:20" s="566" customFormat="1">
      <c r="T60252" s="41"/>
    </row>
    <row r="60253" spans="20:20" s="566" customFormat="1">
      <c r="T60253" s="41"/>
    </row>
    <row r="60254" spans="20:20" s="566" customFormat="1">
      <c r="T60254" s="41"/>
    </row>
    <row r="60255" spans="20:20" s="566" customFormat="1">
      <c r="T60255" s="41"/>
    </row>
    <row r="60256" spans="20:20" s="566" customFormat="1">
      <c r="T60256" s="41"/>
    </row>
    <row r="60257" spans="20:20" s="566" customFormat="1">
      <c r="T60257" s="41"/>
    </row>
    <row r="60258" spans="20:20" s="566" customFormat="1">
      <c r="T60258" s="41"/>
    </row>
    <row r="60259" spans="20:20" s="566" customFormat="1">
      <c r="T60259" s="41"/>
    </row>
    <row r="60260" spans="20:20" s="566" customFormat="1">
      <c r="T60260" s="41"/>
    </row>
    <row r="60261" spans="20:20" s="566" customFormat="1">
      <c r="T60261" s="41"/>
    </row>
    <row r="60262" spans="20:20" s="566" customFormat="1">
      <c r="T60262" s="41"/>
    </row>
    <row r="60263" spans="20:20" s="566" customFormat="1">
      <c r="T60263" s="41"/>
    </row>
    <row r="60264" spans="20:20" s="566" customFormat="1">
      <c r="T60264" s="41"/>
    </row>
    <row r="60265" spans="20:20" s="566" customFormat="1">
      <c r="T60265" s="41"/>
    </row>
    <row r="60266" spans="20:20" s="566" customFormat="1">
      <c r="T60266" s="41"/>
    </row>
    <row r="60267" spans="20:20" s="566" customFormat="1">
      <c r="T60267" s="41"/>
    </row>
    <row r="60268" spans="20:20" s="566" customFormat="1">
      <c r="T60268" s="41"/>
    </row>
    <row r="60269" spans="20:20" s="566" customFormat="1">
      <c r="T60269" s="41"/>
    </row>
    <row r="60270" spans="20:20" s="566" customFormat="1">
      <c r="T60270" s="41"/>
    </row>
    <row r="60271" spans="20:20" s="566" customFormat="1">
      <c r="T60271" s="41"/>
    </row>
    <row r="60272" spans="20:20" s="566" customFormat="1">
      <c r="T60272" s="41"/>
    </row>
    <row r="60273" spans="20:20" s="566" customFormat="1">
      <c r="T60273" s="41"/>
    </row>
    <row r="60274" spans="20:20" s="566" customFormat="1">
      <c r="T60274" s="41"/>
    </row>
    <row r="60275" spans="20:20" s="566" customFormat="1">
      <c r="T60275" s="41"/>
    </row>
    <row r="60276" spans="20:20" s="566" customFormat="1">
      <c r="T60276" s="41"/>
    </row>
    <row r="60277" spans="20:20" s="566" customFormat="1">
      <c r="T60277" s="41"/>
    </row>
    <row r="60278" spans="20:20" s="566" customFormat="1">
      <c r="T60278" s="41"/>
    </row>
    <row r="60279" spans="20:20" s="566" customFormat="1">
      <c r="T60279" s="41"/>
    </row>
    <row r="60280" spans="20:20" s="566" customFormat="1">
      <c r="T60280" s="41"/>
    </row>
    <row r="60281" spans="20:20" s="566" customFormat="1">
      <c r="T60281" s="41"/>
    </row>
    <row r="60282" spans="20:20" s="566" customFormat="1">
      <c r="T60282" s="41"/>
    </row>
    <row r="60283" spans="20:20" s="566" customFormat="1">
      <c r="T60283" s="41"/>
    </row>
    <row r="60284" spans="20:20" s="566" customFormat="1">
      <c r="T60284" s="41"/>
    </row>
    <row r="60285" spans="20:20" s="566" customFormat="1">
      <c r="T60285" s="41"/>
    </row>
    <row r="60286" spans="20:20" s="566" customFormat="1">
      <c r="T60286" s="41"/>
    </row>
    <row r="60287" spans="20:20" s="566" customFormat="1">
      <c r="T60287" s="41"/>
    </row>
    <row r="60288" spans="20:20" s="566" customFormat="1">
      <c r="T60288" s="41"/>
    </row>
    <row r="60289" spans="20:20" s="566" customFormat="1">
      <c r="T60289" s="41"/>
    </row>
    <row r="60290" spans="20:20" s="566" customFormat="1">
      <c r="T60290" s="41"/>
    </row>
    <row r="60291" spans="20:20" s="566" customFormat="1">
      <c r="T60291" s="41"/>
    </row>
    <row r="60292" spans="20:20" s="566" customFormat="1">
      <c r="T60292" s="41"/>
    </row>
    <row r="60293" spans="20:20" s="566" customFormat="1">
      <c r="T60293" s="41"/>
    </row>
    <row r="60294" spans="20:20" s="566" customFormat="1">
      <c r="T60294" s="41"/>
    </row>
    <row r="60295" spans="20:20" s="566" customFormat="1">
      <c r="T60295" s="41"/>
    </row>
    <row r="60296" spans="20:20" s="566" customFormat="1">
      <c r="T60296" s="41"/>
    </row>
    <row r="60297" spans="20:20" s="566" customFormat="1">
      <c r="T60297" s="41"/>
    </row>
    <row r="60298" spans="20:20" s="566" customFormat="1">
      <c r="T60298" s="41"/>
    </row>
    <row r="60299" spans="20:20" s="566" customFormat="1">
      <c r="T60299" s="41"/>
    </row>
    <row r="60300" spans="20:20" s="566" customFormat="1">
      <c r="T60300" s="41"/>
    </row>
    <row r="60301" spans="20:20" s="566" customFormat="1">
      <c r="T60301" s="41"/>
    </row>
    <row r="60302" spans="20:20" s="566" customFormat="1">
      <c r="T60302" s="41"/>
    </row>
    <row r="60303" spans="20:20" s="566" customFormat="1">
      <c r="T60303" s="41"/>
    </row>
    <row r="60304" spans="20:20" s="566" customFormat="1">
      <c r="T60304" s="41"/>
    </row>
    <row r="60305" spans="20:20" s="566" customFormat="1">
      <c r="T60305" s="41"/>
    </row>
    <row r="60306" spans="20:20" s="566" customFormat="1">
      <c r="T60306" s="41"/>
    </row>
    <row r="60307" spans="20:20" s="566" customFormat="1">
      <c r="T60307" s="41"/>
    </row>
    <row r="60308" spans="20:20" s="566" customFormat="1">
      <c r="T60308" s="41"/>
    </row>
    <row r="60309" spans="20:20" s="566" customFormat="1">
      <c r="T60309" s="41"/>
    </row>
    <row r="60310" spans="20:20" s="566" customFormat="1">
      <c r="T60310" s="41"/>
    </row>
    <row r="60311" spans="20:20" s="566" customFormat="1">
      <c r="T60311" s="41"/>
    </row>
    <row r="60312" spans="20:20" s="566" customFormat="1">
      <c r="T60312" s="41"/>
    </row>
    <row r="60313" spans="20:20" s="566" customFormat="1">
      <c r="T60313" s="41"/>
    </row>
    <row r="60314" spans="20:20" s="566" customFormat="1">
      <c r="T60314" s="41"/>
    </row>
    <row r="60315" spans="20:20" s="566" customFormat="1">
      <c r="T60315" s="41"/>
    </row>
    <row r="60316" spans="20:20" s="566" customFormat="1">
      <c r="T60316" s="41"/>
    </row>
    <row r="60317" spans="20:20" s="566" customFormat="1">
      <c r="T60317" s="41"/>
    </row>
    <row r="60318" spans="20:20" s="566" customFormat="1">
      <c r="T60318" s="41"/>
    </row>
    <row r="60319" spans="20:20" s="566" customFormat="1">
      <c r="T60319" s="41"/>
    </row>
    <row r="60320" spans="20:20" s="566" customFormat="1">
      <c r="T60320" s="41"/>
    </row>
    <row r="60321" spans="20:20" s="566" customFormat="1">
      <c r="T60321" s="41"/>
    </row>
    <row r="60322" spans="20:20" s="566" customFormat="1">
      <c r="T60322" s="41"/>
    </row>
    <row r="60323" spans="20:20" s="566" customFormat="1">
      <c r="T60323" s="41"/>
    </row>
    <row r="60324" spans="20:20" s="566" customFormat="1">
      <c r="T60324" s="41"/>
    </row>
    <row r="60325" spans="20:20" s="566" customFormat="1">
      <c r="T60325" s="41"/>
    </row>
    <row r="60326" spans="20:20" s="566" customFormat="1">
      <c r="T60326" s="41"/>
    </row>
    <row r="60327" spans="20:20" s="566" customFormat="1">
      <c r="T60327" s="41"/>
    </row>
    <row r="60328" spans="20:20" s="566" customFormat="1">
      <c r="T60328" s="41"/>
    </row>
    <row r="60329" spans="20:20" s="566" customFormat="1">
      <c r="T60329" s="41"/>
    </row>
    <row r="60330" spans="20:20" s="566" customFormat="1">
      <c r="T60330" s="41"/>
    </row>
    <row r="60331" spans="20:20" s="566" customFormat="1">
      <c r="T60331" s="41"/>
    </row>
    <row r="60332" spans="20:20" s="566" customFormat="1">
      <c r="T60332" s="41"/>
    </row>
    <row r="60333" spans="20:20" s="566" customFormat="1">
      <c r="T60333" s="41"/>
    </row>
    <row r="60334" spans="20:20" s="566" customFormat="1">
      <c r="T60334" s="41"/>
    </row>
    <row r="60335" spans="20:20" s="566" customFormat="1">
      <c r="T60335" s="41"/>
    </row>
    <row r="60336" spans="20:20" s="566" customFormat="1">
      <c r="T60336" s="41"/>
    </row>
    <row r="60337" spans="20:20" s="566" customFormat="1">
      <c r="T60337" s="41"/>
    </row>
    <row r="60338" spans="20:20" s="566" customFormat="1">
      <c r="T60338" s="41"/>
    </row>
    <row r="60339" spans="20:20" s="566" customFormat="1">
      <c r="T60339" s="41"/>
    </row>
    <row r="60340" spans="20:20" s="566" customFormat="1">
      <c r="T60340" s="41"/>
    </row>
    <row r="60341" spans="20:20" s="566" customFormat="1">
      <c r="T60341" s="41"/>
    </row>
    <row r="60342" spans="20:20" s="566" customFormat="1">
      <c r="T60342" s="41"/>
    </row>
    <row r="60343" spans="20:20" s="566" customFormat="1">
      <c r="T60343" s="41"/>
    </row>
    <row r="60344" spans="20:20" s="566" customFormat="1">
      <c r="T60344" s="41"/>
    </row>
    <row r="60345" spans="20:20" s="566" customFormat="1">
      <c r="T60345" s="41"/>
    </row>
    <row r="60346" spans="20:20" s="566" customFormat="1">
      <c r="T60346" s="41"/>
    </row>
    <row r="60347" spans="20:20" s="566" customFormat="1">
      <c r="T60347" s="41"/>
    </row>
    <row r="60348" spans="20:20" s="566" customFormat="1">
      <c r="T60348" s="41"/>
    </row>
    <row r="60349" spans="20:20" s="566" customFormat="1">
      <c r="T60349" s="41"/>
    </row>
    <row r="60350" spans="20:20" s="566" customFormat="1">
      <c r="T60350" s="41"/>
    </row>
    <row r="60351" spans="20:20" s="566" customFormat="1">
      <c r="T60351" s="41"/>
    </row>
    <row r="60352" spans="20:20" s="566" customFormat="1">
      <c r="T60352" s="41"/>
    </row>
    <row r="60353" spans="20:20" s="566" customFormat="1">
      <c r="T60353" s="41"/>
    </row>
    <row r="60354" spans="20:20" s="566" customFormat="1">
      <c r="T60354" s="41"/>
    </row>
    <row r="60355" spans="20:20" s="566" customFormat="1">
      <c r="T60355" s="41"/>
    </row>
    <row r="60356" spans="20:20" s="566" customFormat="1">
      <c r="T60356" s="41"/>
    </row>
    <row r="60357" spans="20:20" s="566" customFormat="1">
      <c r="T60357" s="41"/>
    </row>
    <row r="60358" spans="20:20" s="566" customFormat="1">
      <c r="T60358" s="41"/>
    </row>
    <row r="60359" spans="20:20" s="566" customFormat="1">
      <c r="T60359" s="41"/>
    </row>
    <row r="60360" spans="20:20" s="566" customFormat="1">
      <c r="T60360" s="41"/>
    </row>
    <row r="60361" spans="20:20" s="566" customFormat="1">
      <c r="T60361" s="41"/>
    </row>
    <row r="60362" spans="20:20" s="566" customFormat="1">
      <c r="T60362" s="41"/>
    </row>
    <row r="60363" spans="20:20" s="566" customFormat="1">
      <c r="T60363" s="41"/>
    </row>
    <row r="60364" spans="20:20" s="566" customFormat="1">
      <c r="T60364" s="41"/>
    </row>
    <row r="60365" spans="20:20" s="566" customFormat="1">
      <c r="T60365" s="41"/>
    </row>
    <row r="60366" spans="20:20" s="566" customFormat="1">
      <c r="T60366" s="41"/>
    </row>
    <row r="60367" spans="20:20" s="566" customFormat="1">
      <c r="T60367" s="41"/>
    </row>
    <row r="60368" spans="20:20" s="566" customFormat="1">
      <c r="T60368" s="41"/>
    </row>
    <row r="60369" spans="20:20" s="566" customFormat="1">
      <c r="T60369" s="41"/>
    </row>
    <row r="60370" spans="20:20" s="566" customFormat="1">
      <c r="T60370" s="41"/>
    </row>
    <row r="60371" spans="20:20" s="566" customFormat="1">
      <c r="T60371" s="41"/>
    </row>
    <row r="60372" spans="20:20" s="566" customFormat="1">
      <c r="T60372" s="41"/>
    </row>
    <row r="60373" spans="20:20" s="566" customFormat="1">
      <c r="T60373" s="41"/>
    </row>
    <row r="60374" spans="20:20" s="566" customFormat="1">
      <c r="T60374" s="41"/>
    </row>
    <row r="60375" spans="20:20" s="566" customFormat="1">
      <c r="T60375" s="41"/>
    </row>
    <row r="60376" spans="20:20" s="566" customFormat="1">
      <c r="T60376" s="41"/>
    </row>
    <row r="60377" spans="20:20" s="566" customFormat="1">
      <c r="T60377" s="41"/>
    </row>
    <row r="60378" spans="20:20" s="566" customFormat="1">
      <c r="T60378" s="41"/>
    </row>
    <row r="60379" spans="20:20" s="566" customFormat="1">
      <c r="T60379" s="41"/>
    </row>
    <row r="60380" spans="20:20" s="566" customFormat="1">
      <c r="T60380" s="41"/>
    </row>
    <row r="60381" spans="20:20" s="566" customFormat="1">
      <c r="T60381" s="41"/>
    </row>
    <row r="60382" spans="20:20" s="566" customFormat="1">
      <c r="T60382" s="41"/>
    </row>
    <row r="60383" spans="20:20" s="566" customFormat="1">
      <c r="T60383" s="41"/>
    </row>
    <row r="60384" spans="20:20" s="566" customFormat="1">
      <c r="T60384" s="41"/>
    </row>
    <row r="60385" spans="20:20" s="566" customFormat="1">
      <c r="T60385" s="41"/>
    </row>
    <row r="60386" spans="20:20" s="566" customFormat="1">
      <c r="T60386" s="41"/>
    </row>
    <row r="60387" spans="20:20" s="566" customFormat="1">
      <c r="T60387" s="41"/>
    </row>
    <row r="60388" spans="20:20" s="566" customFormat="1">
      <c r="T60388" s="41"/>
    </row>
    <row r="60389" spans="20:20" s="566" customFormat="1">
      <c r="T60389" s="41"/>
    </row>
    <row r="60390" spans="20:20" s="566" customFormat="1">
      <c r="T60390" s="41"/>
    </row>
    <row r="60391" spans="20:20" s="566" customFormat="1">
      <c r="T60391" s="41"/>
    </row>
    <row r="60392" spans="20:20" s="566" customFormat="1">
      <c r="T60392" s="41"/>
    </row>
    <row r="60393" spans="20:20" s="566" customFormat="1">
      <c r="T60393" s="41"/>
    </row>
    <row r="60394" spans="20:20" s="566" customFormat="1">
      <c r="T60394" s="41"/>
    </row>
    <row r="60395" spans="20:20" s="566" customFormat="1">
      <c r="T60395" s="41"/>
    </row>
    <row r="60396" spans="20:20" s="566" customFormat="1">
      <c r="T60396" s="41"/>
    </row>
    <row r="60397" spans="20:20" s="566" customFormat="1">
      <c r="T60397" s="41"/>
    </row>
    <row r="60398" spans="20:20" s="566" customFormat="1">
      <c r="T60398" s="41"/>
    </row>
    <row r="60399" spans="20:20" s="566" customFormat="1">
      <c r="T60399" s="41"/>
    </row>
    <row r="60400" spans="20:20" s="566" customFormat="1">
      <c r="T60400" s="41"/>
    </row>
    <row r="60401" spans="20:20" s="566" customFormat="1">
      <c r="T60401" s="41"/>
    </row>
    <row r="60402" spans="20:20" s="566" customFormat="1">
      <c r="T60402" s="41"/>
    </row>
    <row r="60403" spans="20:20" s="566" customFormat="1">
      <c r="T60403" s="41"/>
    </row>
    <row r="60404" spans="20:20" s="566" customFormat="1">
      <c r="T60404" s="41"/>
    </row>
    <row r="60405" spans="20:20" s="566" customFormat="1">
      <c r="T60405" s="41"/>
    </row>
    <row r="60406" spans="20:20" s="566" customFormat="1">
      <c r="T60406" s="41"/>
    </row>
    <row r="60407" spans="20:20" s="566" customFormat="1">
      <c r="T60407" s="41"/>
    </row>
    <row r="60408" spans="20:20" s="566" customFormat="1">
      <c r="T60408" s="41"/>
    </row>
    <row r="60409" spans="20:20" s="566" customFormat="1">
      <c r="T60409" s="41"/>
    </row>
    <row r="60410" spans="20:20" s="566" customFormat="1">
      <c r="T60410" s="41"/>
    </row>
    <row r="60411" spans="20:20" s="566" customFormat="1">
      <c r="T60411" s="41"/>
    </row>
    <row r="60412" spans="20:20" s="566" customFormat="1">
      <c r="T60412" s="41"/>
    </row>
    <row r="60413" spans="20:20" s="566" customFormat="1">
      <c r="T60413" s="41"/>
    </row>
    <row r="60414" spans="20:20" s="566" customFormat="1">
      <c r="T60414" s="41"/>
    </row>
    <row r="60415" spans="20:20" s="566" customFormat="1">
      <c r="T60415" s="41"/>
    </row>
    <row r="60416" spans="20:20" s="566" customFormat="1">
      <c r="T60416" s="41"/>
    </row>
    <row r="60417" spans="20:20" s="566" customFormat="1">
      <c r="T60417" s="41"/>
    </row>
    <row r="60418" spans="20:20" s="566" customFormat="1">
      <c r="T60418" s="41"/>
    </row>
    <row r="60419" spans="20:20" s="566" customFormat="1">
      <c r="T60419" s="41"/>
    </row>
    <row r="60420" spans="20:20" s="566" customFormat="1">
      <c r="T60420" s="41"/>
    </row>
    <row r="60421" spans="20:20" s="566" customFormat="1">
      <c r="T60421" s="41"/>
    </row>
    <row r="60422" spans="20:20" s="566" customFormat="1">
      <c r="T60422" s="41"/>
    </row>
    <row r="60423" spans="20:20" s="566" customFormat="1">
      <c r="T60423" s="41"/>
    </row>
    <row r="60424" spans="20:20" s="566" customFormat="1">
      <c r="T60424" s="41"/>
    </row>
    <row r="60425" spans="20:20" s="566" customFormat="1">
      <c r="T60425" s="41"/>
    </row>
    <row r="60426" spans="20:20" s="566" customFormat="1">
      <c r="T60426" s="41"/>
    </row>
    <row r="60427" spans="20:20" s="566" customFormat="1">
      <c r="T60427" s="41"/>
    </row>
    <row r="60428" spans="20:20" s="566" customFormat="1">
      <c r="T60428" s="41"/>
    </row>
    <row r="60429" spans="20:20" s="566" customFormat="1">
      <c r="T60429" s="41"/>
    </row>
    <row r="60430" spans="20:20" s="566" customFormat="1">
      <c r="T60430" s="41"/>
    </row>
    <row r="60431" spans="20:20" s="566" customFormat="1">
      <c r="T60431" s="41"/>
    </row>
    <row r="60432" spans="20:20" s="566" customFormat="1">
      <c r="T60432" s="41"/>
    </row>
    <row r="60433" spans="20:20" s="566" customFormat="1">
      <c r="T60433" s="41"/>
    </row>
    <row r="60434" spans="20:20" s="566" customFormat="1">
      <c r="T60434" s="41"/>
    </row>
    <row r="60435" spans="20:20" s="566" customFormat="1">
      <c r="T60435" s="41"/>
    </row>
    <row r="60436" spans="20:20" s="566" customFormat="1">
      <c r="T60436" s="41"/>
    </row>
    <row r="60437" spans="20:20" s="566" customFormat="1">
      <c r="T60437" s="41"/>
    </row>
    <row r="60438" spans="20:20" s="566" customFormat="1">
      <c r="T60438" s="41"/>
    </row>
    <row r="60439" spans="20:20" s="566" customFormat="1">
      <c r="T60439" s="41"/>
    </row>
    <row r="60440" spans="20:20" s="566" customFormat="1">
      <c r="T60440" s="41"/>
    </row>
    <row r="60441" spans="20:20" s="566" customFormat="1">
      <c r="T60441" s="41"/>
    </row>
    <row r="60442" spans="20:20" s="566" customFormat="1">
      <c r="T60442" s="41"/>
    </row>
    <row r="60443" spans="20:20" s="566" customFormat="1">
      <c r="T60443" s="41"/>
    </row>
    <row r="60444" spans="20:20" s="566" customFormat="1">
      <c r="T60444" s="41"/>
    </row>
    <row r="60445" spans="20:20" s="566" customFormat="1">
      <c r="T60445" s="41"/>
    </row>
    <row r="60446" spans="20:20" s="566" customFormat="1">
      <c r="T60446" s="41"/>
    </row>
    <row r="60447" spans="20:20" s="566" customFormat="1">
      <c r="T60447" s="41"/>
    </row>
    <row r="60448" spans="20:20" s="566" customFormat="1">
      <c r="T60448" s="41"/>
    </row>
    <row r="60449" spans="20:20" s="566" customFormat="1">
      <c r="T60449" s="41"/>
    </row>
    <row r="60450" spans="20:20" s="566" customFormat="1">
      <c r="T60450" s="41"/>
    </row>
    <row r="60451" spans="20:20" s="566" customFormat="1">
      <c r="T60451" s="41"/>
    </row>
    <row r="60452" spans="20:20" s="566" customFormat="1">
      <c r="T60452" s="41"/>
    </row>
    <row r="60453" spans="20:20" s="566" customFormat="1">
      <c r="T60453" s="41"/>
    </row>
    <row r="60454" spans="20:20" s="566" customFormat="1">
      <c r="T60454" s="41"/>
    </row>
    <row r="60455" spans="20:20" s="566" customFormat="1">
      <c r="T60455" s="41"/>
    </row>
    <row r="60456" spans="20:20" s="566" customFormat="1">
      <c r="T60456" s="41"/>
    </row>
    <row r="60457" spans="20:20" s="566" customFormat="1">
      <c r="T60457" s="41"/>
    </row>
    <row r="60458" spans="20:20" s="566" customFormat="1">
      <c r="T60458" s="41"/>
    </row>
    <row r="60459" spans="20:20" s="566" customFormat="1">
      <c r="T60459" s="41"/>
    </row>
    <row r="60460" spans="20:20" s="566" customFormat="1">
      <c r="T60460" s="41"/>
    </row>
    <row r="60461" spans="20:20" s="566" customFormat="1">
      <c r="T60461" s="41"/>
    </row>
    <row r="60462" spans="20:20" s="566" customFormat="1">
      <c r="T60462" s="41"/>
    </row>
    <row r="60463" spans="20:20" s="566" customFormat="1">
      <c r="T60463" s="41"/>
    </row>
    <row r="60464" spans="20:20" s="566" customFormat="1">
      <c r="T60464" s="41"/>
    </row>
    <row r="60465" spans="20:20" s="566" customFormat="1">
      <c r="T60465" s="41"/>
    </row>
    <row r="60466" spans="20:20" s="566" customFormat="1">
      <c r="T60466" s="41"/>
    </row>
    <row r="60467" spans="20:20" s="566" customFormat="1">
      <c r="T60467" s="41"/>
    </row>
    <row r="60468" spans="20:20" s="566" customFormat="1">
      <c r="T60468" s="41"/>
    </row>
    <row r="60469" spans="20:20" s="566" customFormat="1">
      <c r="T60469" s="41"/>
    </row>
    <row r="60470" spans="20:20" s="566" customFormat="1">
      <c r="T60470" s="41"/>
    </row>
    <row r="60471" spans="20:20" s="566" customFormat="1">
      <c r="T60471" s="41"/>
    </row>
    <row r="60472" spans="20:20" s="566" customFormat="1">
      <c r="T60472" s="41"/>
    </row>
    <row r="60473" spans="20:20" s="566" customFormat="1">
      <c r="T60473" s="41"/>
    </row>
    <row r="60474" spans="20:20" s="566" customFormat="1">
      <c r="T60474" s="41"/>
    </row>
    <row r="60475" spans="20:20" s="566" customFormat="1">
      <c r="T60475" s="41"/>
    </row>
    <row r="60476" spans="20:20" s="566" customFormat="1">
      <c r="T60476" s="41"/>
    </row>
    <row r="60477" spans="20:20" s="566" customFormat="1">
      <c r="T60477" s="41"/>
    </row>
    <row r="60478" spans="20:20" s="566" customFormat="1">
      <c r="T60478" s="41"/>
    </row>
    <row r="60479" spans="20:20" s="566" customFormat="1">
      <c r="T60479" s="41"/>
    </row>
    <row r="60480" spans="20:20" s="566" customFormat="1">
      <c r="T60480" s="41"/>
    </row>
    <row r="60481" spans="20:20" s="566" customFormat="1">
      <c r="T60481" s="41"/>
    </row>
    <row r="60482" spans="20:20" s="566" customFormat="1">
      <c r="T60482" s="41"/>
    </row>
    <row r="60483" spans="20:20" s="566" customFormat="1">
      <c r="T60483" s="41"/>
    </row>
    <row r="60484" spans="20:20" s="566" customFormat="1">
      <c r="T60484" s="41"/>
    </row>
    <row r="60485" spans="20:20" s="566" customFormat="1">
      <c r="T60485" s="41"/>
    </row>
    <row r="60486" spans="20:20" s="566" customFormat="1">
      <c r="T60486" s="41"/>
    </row>
    <row r="60487" spans="20:20" s="566" customFormat="1">
      <c r="T60487" s="41"/>
    </row>
    <row r="60488" spans="20:20" s="566" customFormat="1">
      <c r="T60488" s="41"/>
    </row>
    <row r="60489" spans="20:20" s="566" customFormat="1">
      <c r="T60489" s="41"/>
    </row>
    <row r="60490" spans="20:20" s="566" customFormat="1">
      <c r="T60490" s="41"/>
    </row>
    <row r="60491" spans="20:20" s="566" customFormat="1">
      <c r="T60491" s="41"/>
    </row>
    <row r="60492" spans="20:20" s="566" customFormat="1">
      <c r="T60492" s="41"/>
    </row>
    <row r="60493" spans="20:20" s="566" customFormat="1">
      <c r="T60493" s="41"/>
    </row>
    <row r="60494" spans="20:20" s="566" customFormat="1">
      <c r="T60494" s="41"/>
    </row>
    <row r="60495" spans="20:20" s="566" customFormat="1">
      <c r="T60495" s="41"/>
    </row>
    <row r="60496" spans="20:20" s="566" customFormat="1">
      <c r="T60496" s="41"/>
    </row>
    <row r="60497" spans="20:20" s="566" customFormat="1">
      <c r="T60497" s="41"/>
    </row>
    <row r="60498" spans="20:20" s="566" customFormat="1">
      <c r="T60498" s="41"/>
    </row>
    <row r="60499" spans="20:20" s="566" customFormat="1">
      <c r="T60499" s="41"/>
    </row>
    <row r="60500" spans="20:20" s="566" customFormat="1">
      <c r="T60500" s="41"/>
    </row>
    <row r="60501" spans="20:20" s="566" customFormat="1">
      <c r="T60501" s="41"/>
    </row>
    <row r="60502" spans="20:20" s="566" customFormat="1">
      <c r="T60502" s="41"/>
    </row>
    <row r="60503" spans="20:20" s="566" customFormat="1">
      <c r="T60503" s="41"/>
    </row>
    <row r="60504" spans="20:20" s="566" customFormat="1">
      <c r="T60504" s="41"/>
    </row>
    <row r="60505" spans="20:20" s="566" customFormat="1">
      <c r="T60505" s="41"/>
    </row>
    <row r="60506" spans="20:20" s="566" customFormat="1">
      <c r="T60506" s="41"/>
    </row>
    <row r="60507" spans="20:20" s="566" customFormat="1">
      <c r="T60507" s="41"/>
    </row>
    <row r="60508" spans="20:20" s="566" customFormat="1">
      <c r="T60508" s="41"/>
    </row>
    <row r="60509" spans="20:20" s="566" customFormat="1">
      <c r="T60509" s="41"/>
    </row>
    <row r="60510" spans="20:20" s="566" customFormat="1">
      <c r="T60510" s="41"/>
    </row>
    <row r="60511" spans="20:20" s="566" customFormat="1">
      <c r="T60511" s="41"/>
    </row>
    <row r="60512" spans="20:20" s="566" customFormat="1">
      <c r="T60512" s="41"/>
    </row>
    <row r="60513" spans="20:20" s="566" customFormat="1">
      <c r="T60513" s="41"/>
    </row>
    <row r="60514" spans="20:20" s="566" customFormat="1">
      <c r="T60514" s="41"/>
    </row>
    <row r="60515" spans="20:20" s="566" customFormat="1">
      <c r="T60515" s="41"/>
    </row>
    <row r="60516" spans="20:20" s="566" customFormat="1">
      <c r="T60516" s="41"/>
    </row>
    <row r="60517" spans="20:20" s="566" customFormat="1">
      <c r="T60517" s="41"/>
    </row>
    <row r="60518" spans="20:20" s="566" customFormat="1">
      <c r="T60518" s="41"/>
    </row>
    <row r="60519" spans="20:20" s="566" customFormat="1">
      <c r="T60519" s="41"/>
    </row>
    <row r="60520" spans="20:20" s="566" customFormat="1">
      <c r="T60520" s="41"/>
    </row>
    <row r="60521" spans="20:20" s="566" customFormat="1">
      <c r="T60521" s="41"/>
    </row>
    <row r="60522" spans="20:20" s="566" customFormat="1">
      <c r="T60522" s="41"/>
    </row>
    <row r="60523" spans="20:20" s="566" customFormat="1">
      <c r="T60523" s="41"/>
    </row>
    <row r="60524" spans="20:20" s="566" customFormat="1">
      <c r="T60524" s="41"/>
    </row>
    <row r="60525" spans="20:20" s="566" customFormat="1">
      <c r="T60525" s="41"/>
    </row>
    <row r="60526" spans="20:20" s="566" customFormat="1">
      <c r="T60526" s="41"/>
    </row>
    <row r="60527" spans="20:20" s="566" customFormat="1">
      <c r="T60527" s="41"/>
    </row>
    <row r="60528" spans="20:20" s="566" customFormat="1">
      <c r="T60528" s="41"/>
    </row>
    <row r="60529" spans="20:20" s="566" customFormat="1">
      <c r="T60529" s="41"/>
    </row>
    <row r="60530" spans="20:20" s="566" customFormat="1">
      <c r="T60530" s="41"/>
    </row>
    <row r="60531" spans="20:20" s="566" customFormat="1">
      <c r="T60531" s="41"/>
    </row>
    <row r="60532" spans="20:20" s="566" customFormat="1">
      <c r="T60532" s="41"/>
    </row>
    <row r="60533" spans="20:20" s="566" customFormat="1">
      <c r="T60533" s="41"/>
    </row>
    <row r="60534" spans="20:20" s="566" customFormat="1">
      <c r="T60534" s="41"/>
    </row>
    <row r="60535" spans="20:20" s="566" customFormat="1">
      <c r="T60535" s="41"/>
    </row>
    <row r="60536" spans="20:20" s="566" customFormat="1">
      <c r="T60536" s="41"/>
    </row>
    <row r="60537" spans="20:20" s="566" customFormat="1">
      <c r="T60537" s="41"/>
    </row>
    <row r="60538" spans="20:20" s="566" customFormat="1">
      <c r="T60538" s="41"/>
    </row>
    <row r="60539" spans="20:20" s="566" customFormat="1">
      <c r="T60539" s="41"/>
    </row>
    <row r="60540" spans="20:20" s="566" customFormat="1">
      <c r="T60540" s="41"/>
    </row>
    <row r="60541" spans="20:20" s="566" customFormat="1">
      <c r="T60541" s="41"/>
    </row>
    <row r="60542" spans="20:20" s="566" customFormat="1">
      <c r="T60542" s="41"/>
    </row>
    <row r="60543" spans="20:20" s="566" customFormat="1">
      <c r="T60543" s="41"/>
    </row>
    <row r="60544" spans="20:20" s="566" customFormat="1">
      <c r="T60544" s="41"/>
    </row>
    <row r="60545" spans="20:20" s="566" customFormat="1">
      <c r="T60545" s="41"/>
    </row>
    <row r="60546" spans="20:20" s="566" customFormat="1">
      <c r="T60546" s="41"/>
    </row>
    <row r="60547" spans="20:20" s="566" customFormat="1">
      <c r="T60547" s="41"/>
    </row>
    <row r="60548" spans="20:20" s="566" customFormat="1">
      <c r="T60548" s="41"/>
    </row>
    <row r="60549" spans="20:20" s="566" customFormat="1">
      <c r="T60549" s="41"/>
    </row>
    <row r="60550" spans="20:20" s="566" customFormat="1">
      <c r="T60550" s="41"/>
    </row>
    <row r="60551" spans="20:20" s="566" customFormat="1">
      <c r="T60551" s="41"/>
    </row>
    <row r="60552" spans="20:20" s="566" customFormat="1">
      <c r="T60552" s="41"/>
    </row>
    <row r="60553" spans="20:20" s="566" customFormat="1">
      <c r="T60553" s="41"/>
    </row>
    <row r="60554" spans="20:20" s="566" customFormat="1">
      <c r="T60554" s="41"/>
    </row>
    <row r="60555" spans="20:20" s="566" customFormat="1">
      <c r="T60555" s="41"/>
    </row>
    <row r="60556" spans="20:20" s="566" customFormat="1">
      <c r="T60556" s="41"/>
    </row>
    <row r="60557" spans="20:20" s="566" customFormat="1">
      <c r="T60557" s="41"/>
    </row>
    <row r="60558" spans="20:20" s="566" customFormat="1">
      <c r="T60558" s="41"/>
    </row>
    <row r="60559" spans="20:20" s="566" customFormat="1">
      <c r="T60559" s="41"/>
    </row>
    <row r="60560" spans="20:20" s="566" customFormat="1">
      <c r="T60560" s="41"/>
    </row>
    <row r="60561" spans="20:20" s="566" customFormat="1">
      <c r="T60561" s="41"/>
    </row>
    <row r="60562" spans="20:20" s="566" customFormat="1">
      <c r="T60562" s="41"/>
    </row>
    <row r="60563" spans="20:20" s="566" customFormat="1">
      <c r="T60563" s="41"/>
    </row>
    <row r="60564" spans="20:20" s="566" customFormat="1">
      <c r="T60564" s="41"/>
    </row>
    <row r="60565" spans="20:20" s="566" customFormat="1">
      <c r="T60565" s="41"/>
    </row>
    <row r="60566" spans="20:20" s="566" customFormat="1">
      <c r="T60566" s="41"/>
    </row>
    <row r="60567" spans="20:20" s="566" customFormat="1">
      <c r="T60567" s="41"/>
    </row>
    <row r="60568" spans="20:20" s="566" customFormat="1">
      <c r="T60568" s="41"/>
    </row>
    <row r="60569" spans="20:20" s="566" customFormat="1">
      <c r="T60569" s="41"/>
    </row>
    <row r="60570" spans="20:20" s="566" customFormat="1">
      <c r="T60570" s="41"/>
    </row>
    <row r="60571" spans="20:20" s="566" customFormat="1">
      <c r="T60571" s="41"/>
    </row>
    <row r="60572" spans="20:20" s="566" customFormat="1">
      <c r="T60572" s="41"/>
    </row>
    <row r="60573" spans="20:20" s="566" customFormat="1">
      <c r="T60573" s="41"/>
    </row>
    <row r="60574" spans="20:20" s="566" customFormat="1">
      <c r="T60574" s="41"/>
    </row>
    <row r="60575" spans="20:20" s="566" customFormat="1">
      <c r="T60575" s="41"/>
    </row>
    <row r="60576" spans="20:20" s="566" customFormat="1">
      <c r="T60576" s="41"/>
    </row>
    <row r="60577" spans="20:20" s="566" customFormat="1">
      <c r="T60577" s="41"/>
    </row>
    <row r="60578" spans="20:20" s="566" customFormat="1">
      <c r="T60578" s="41"/>
    </row>
    <row r="60579" spans="20:20" s="566" customFormat="1">
      <c r="T60579" s="41"/>
    </row>
    <row r="60580" spans="20:20" s="566" customFormat="1">
      <c r="T60580" s="41"/>
    </row>
    <row r="60581" spans="20:20" s="566" customFormat="1">
      <c r="T60581" s="41"/>
    </row>
    <row r="60582" spans="20:20" s="566" customFormat="1">
      <c r="T60582" s="41"/>
    </row>
    <row r="60583" spans="20:20" s="566" customFormat="1">
      <c r="T60583" s="41"/>
    </row>
    <row r="60584" spans="20:20" s="566" customFormat="1">
      <c r="T60584" s="41"/>
    </row>
    <row r="60585" spans="20:20" s="566" customFormat="1">
      <c r="T60585" s="41"/>
    </row>
    <row r="60586" spans="20:20" s="566" customFormat="1">
      <c r="T60586" s="41"/>
    </row>
    <row r="60587" spans="20:20" s="566" customFormat="1">
      <c r="T60587" s="41"/>
    </row>
    <row r="60588" spans="20:20" s="566" customFormat="1">
      <c r="T60588" s="41"/>
    </row>
    <row r="60589" spans="20:20" s="566" customFormat="1">
      <c r="T60589" s="41"/>
    </row>
    <row r="60590" spans="20:20" s="566" customFormat="1">
      <c r="T60590" s="41"/>
    </row>
    <row r="60591" spans="20:20" s="566" customFormat="1">
      <c r="T60591" s="41"/>
    </row>
    <row r="60592" spans="20:20" s="566" customFormat="1">
      <c r="T60592" s="41"/>
    </row>
    <row r="60593" spans="20:20" s="566" customFormat="1">
      <c r="T60593" s="41"/>
    </row>
    <row r="60594" spans="20:20" s="566" customFormat="1">
      <c r="T60594" s="41"/>
    </row>
    <row r="60595" spans="20:20" s="566" customFormat="1">
      <c r="T60595" s="41"/>
    </row>
    <row r="60596" spans="20:20" s="566" customFormat="1">
      <c r="T60596" s="41"/>
    </row>
    <row r="60597" spans="20:20" s="566" customFormat="1">
      <c r="T60597" s="41"/>
    </row>
    <row r="60598" spans="20:20" s="566" customFormat="1">
      <c r="T60598" s="41"/>
    </row>
    <row r="60599" spans="20:20" s="566" customFormat="1">
      <c r="T60599" s="41"/>
    </row>
    <row r="60600" spans="20:20" s="566" customFormat="1">
      <c r="T60600" s="41"/>
    </row>
    <row r="60601" spans="20:20" s="566" customFormat="1">
      <c r="T60601" s="41"/>
    </row>
    <row r="60602" spans="20:20" s="566" customFormat="1">
      <c r="T60602" s="41"/>
    </row>
    <row r="60603" spans="20:20" s="566" customFormat="1">
      <c r="T60603" s="41"/>
    </row>
    <row r="60604" spans="20:20" s="566" customFormat="1">
      <c r="T60604" s="41"/>
    </row>
    <row r="60605" spans="20:20" s="566" customFormat="1">
      <c r="T60605" s="41"/>
    </row>
    <row r="60606" spans="20:20" s="566" customFormat="1">
      <c r="T60606" s="41"/>
    </row>
    <row r="60607" spans="20:20" s="566" customFormat="1">
      <c r="T60607" s="41"/>
    </row>
    <row r="60608" spans="20:20" s="566" customFormat="1">
      <c r="T60608" s="41"/>
    </row>
    <row r="60609" spans="20:20" s="566" customFormat="1">
      <c r="T60609" s="41"/>
    </row>
    <row r="60610" spans="20:20" s="566" customFormat="1">
      <c r="T60610" s="41"/>
    </row>
    <row r="60611" spans="20:20" s="566" customFormat="1">
      <c r="T60611" s="41"/>
    </row>
    <row r="60612" spans="20:20" s="566" customFormat="1">
      <c r="T60612" s="41"/>
    </row>
    <row r="60613" spans="20:20" s="566" customFormat="1">
      <c r="T60613" s="41"/>
    </row>
    <row r="60614" spans="20:20" s="566" customFormat="1">
      <c r="T60614" s="41"/>
    </row>
    <row r="60615" spans="20:20" s="566" customFormat="1">
      <c r="T60615" s="41"/>
    </row>
    <row r="60616" spans="20:20" s="566" customFormat="1">
      <c r="T60616" s="41"/>
    </row>
    <row r="60617" spans="20:20" s="566" customFormat="1">
      <c r="T60617" s="41"/>
    </row>
    <row r="60618" spans="20:20" s="566" customFormat="1">
      <c r="T60618" s="41"/>
    </row>
    <row r="60619" spans="20:20" s="566" customFormat="1">
      <c r="T60619" s="41"/>
    </row>
    <row r="60620" spans="20:20" s="566" customFormat="1">
      <c r="T60620" s="41"/>
    </row>
    <row r="60621" spans="20:20" s="566" customFormat="1">
      <c r="T60621" s="41"/>
    </row>
    <row r="60622" spans="20:20" s="566" customFormat="1">
      <c r="T60622" s="41"/>
    </row>
    <row r="60623" spans="20:20" s="566" customFormat="1">
      <c r="T60623" s="41"/>
    </row>
    <row r="60624" spans="20:20" s="566" customFormat="1">
      <c r="T60624" s="41"/>
    </row>
    <row r="60625" spans="20:20" s="566" customFormat="1">
      <c r="T60625" s="41"/>
    </row>
    <row r="60626" spans="20:20" s="566" customFormat="1">
      <c r="T60626" s="41"/>
    </row>
    <row r="60627" spans="20:20" s="566" customFormat="1">
      <c r="T60627" s="41"/>
    </row>
    <row r="60628" spans="20:20" s="566" customFormat="1">
      <c r="T60628" s="41"/>
    </row>
    <row r="60629" spans="20:20" s="566" customFormat="1">
      <c r="T60629" s="41"/>
    </row>
    <row r="60630" spans="20:20" s="566" customFormat="1">
      <c r="T60630" s="41"/>
    </row>
    <row r="60631" spans="20:20" s="566" customFormat="1">
      <c r="T60631" s="41"/>
    </row>
    <row r="60632" spans="20:20" s="566" customFormat="1">
      <c r="T60632" s="41"/>
    </row>
    <row r="60633" spans="20:20" s="566" customFormat="1">
      <c r="T60633" s="41"/>
    </row>
    <row r="60634" spans="20:20" s="566" customFormat="1">
      <c r="T60634" s="41"/>
    </row>
    <row r="60635" spans="20:20" s="566" customFormat="1">
      <c r="T60635" s="41"/>
    </row>
    <row r="60636" spans="20:20" s="566" customFormat="1">
      <c r="T60636" s="41"/>
    </row>
    <row r="60637" spans="20:20" s="566" customFormat="1">
      <c r="T60637" s="41"/>
    </row>
    <row r="60638" spans="20:20" s="566" customFormat="1">
      <c r="T60638" s="41"/>
    </row>
    <row r="60639" spans="20:20" s="566" customFormat="1">
      <c r="T60639" s="41"/>
    </row>
    <row r="60640" spans="20:20" s="566" customFormat="1">
      <c r="T60640" s="41"/>
    </row>
    <row r="60641" spans="20:20" s="566" customFormat="1">
      <c r="T60641" s="41"/>
    </row>
    <row r="60642" spans="20:20" s="566" customFormat="1">
      <c r="T60642" s="41"/>
    </row>
    <row r="60643" spans="20:20" s="566" customFormat="1">
      <c r="T60643" s="41"/>
    </row>
    <row r="60644" spans="20:20" s="566" customFormat="1">
      <c r="T60644" s="41"/>
    </row>
    <row r="60645" spans="20:20" s="566" customFormat="1">
      <c r="T60645" s="41"/>
    </row>
    <row r="60646" spans="20:20" s="566" customFormat="1">
      <c r="T60646" s="41"/>
    </row>
    <row r="60647" spans="20:20" s="566" customFormat="1">
      <c r="T60647" s="41"/>
    </row>
    <row r="60648" spans="20:20" s="566" customFormat="1">
      <c r="T60648" s="41"/>
    </row>
    <row r="60649" spans="20:20" s="566" customFormat="1">
      <c r="T60649" s="41"/>
    </row>
    <row r="60650" spans="20:20" s="566" customFormat="1">
      <c r="T60650" s="41"/>
    </row>
    <row r="60651" spans="20:20" s="566" customFormat="1">
      <c r="T60651" s="41"/>
    </row>
    <row r="60652" spans="20:20" s="566" customFormat="1">
      <c r="T60652" s="41"/>
    </row>
    <row r="60653" spans="20:20" s="566" customFormat="1">
      <c r="T60653" s="41"/>
    </row>
    <row r="60654" spans="20:20" s="566" customFormat="1">
      <c r="T60654" s="41"/>
    </row>
    <row r="60655" spans="20:20" s="566" customFormat="1">
      <c r="T60655" s="41"/>
    </row>
    <row r="60656" spans="20:20" s="566" customFormat="1">
      <c r="T60656" s="41"/>
    </row>
    <row r="60657" spans="20:20" s="566" customFormat="1">
      <c r="T60657" s="41"/>
    </row>
    <row r="60658" spans="20:20" s="566" customFormat="1">
      <c r="T60658" s="41"/>
    </row>
    <row r="60659" spans="20:20" s="566" customFormat="1">
      <c r="T60659" s="41"/>
    </row>
    <row r="60660" spans="20:20" s="566" customFormat="1">
      <c r="T60660" s="41"/>
    </row>
    <row r="60661" spans="20:20" s="566" customFormat="1">
      <c r="T60661" s="41"/>
    </row>
    <row r="60662" spans="20:20" s="566" customFormat="1">
      <c r="T60662" s="41"/>
    </row>
    <row r="60663" spans="20:20" s="566" customFormat="1">
      <c r="T60663" s="41"/>
    </row>
    <row r="60664" spans="20:20" s="566" customFormat="1">
      <c r="T60664" s="41"/>
    </row>
    <row r="60665" spans="20:20" s="566" customFormat="1">
      <c r="T60665" s="41"/>
    </row>
    <row r="60666" spans="20:20" s="566" customFormat="1">
      <c r="T60666" s="41"/>
    </row>
    <row r="60667" spans="20:20" s="566" customFormat="1">
      <c r="T60667" s="41"/>
    </row>
    <row r="60668" spans="20:20" s="566" customFormat="1">
      <c r="T60668" s="41"/>
    </row>
    <row r="60669" spans="20:20" s="566" customFormat="1">
      <c r="T60669" s="41"/>
    </row>
    <row r="60670" spans="20:20" s="566" customFormat="1">
      <c r="T60670" s="41"/>
    </row>
    <row r="60671" spans="20:20" s="566" customFormat="1">
      <c r="T60671" s="41"/>
    </row>
    <row r="60672" spans="20:20" s="566" customFormat="1">
      <c r="T60672" s="41"/>
    </row>
    <row r="60673" spans="20:20" s="566" customFormat="1">
      <c r="T60673" s="41"/>
    </row>
    <row r="60674" spans="20:20" s="566" customFormat="1">
      <c r="T60674" s="41"/>
    </row>
    <row r="60675" spans="20:20" s="566" customFormat="1">
      <c r="T60675" s="41"/>
    </row>
    <row r="60676" spans="20:20" s="566" customFormat="1">
      <c r="T60676" s="41"/>
    </row>
    <row r="60677" spans="20:20" s="566" customFormat="1">
      <c r="T60677" s="41"/>
    </row>
    <row r="60678" spans="20:20" s="566" customFormat="1">
      <c r="T60678" s="41"/>
    </row>
    <row r="60679" spans="20:20" s="566" customFormat="1">
      <c r="T60679" s="41"/>
    </row>
    <row r="60680" spans="20:20" s="566" customFormat="1">
      <c r="T60680" s="41"/>
    </row>
    <row r="60681" spans="20:20" s="566" customFormat="1">
      <c r="T60681" s="41"/>
    </row>
    <row r="60682" spans="20:20" s="566" customFormat="1">
      <c r="T60682" s="41"/>
    </row>
    <row r="60683" spans="20:20" s="566" customFormat="1">
      <c r="T60683" s="41"/>
    </row>
    <row r="60684" spans="20:20" s="566" customFormat="1">
      <c r="T60684" s="41"/>
    </row>
    <row r="60685" spans="20:20" s="566" customFormat="1">
      <c r="T60685" s="41"/>
    </row>
    <row r="60686" spans="20:20" s="566" customFormat="1">
      <c r="T60686" s="41"/>
    </row>
    <row r="60687" spans="20:20" s="566" customFormat="1">
      <c r="T60687" s="41"/>
    </row>
    <row r="60688" spans="20:20" s="566" customFormat="1">
      <c r="T60688" s="41"/>
    </row>
    <row r="60689" spans="20:20" s="566" customFormat="1">
      <c r="T60689" s="41"/>
    </row>
    <row r="60690" spans="20:20" s="566" customFormat="1">
      <c r="T60690" s="41"/>
    </row>
    <row r="60691" spans="20:20" s="566" customFormat="1">
      <c r="T60691" s="41"/>
    </row>
    <row r="60692" spans="20:20" s="566" customFormat="1">
      <c r="T60692" s="41"/>
    </row>
    <row r="60693" spans="20:20" s="566" customFormat="1">
      <c r="T60693" s="41"/>
    </row>
    <row r="60694" spans="20:20" s="566" customFormat="1">
      <c r="T60694" s="41"/>
    </row>
    <row r="60695" spans="20:20" s="566" customFormat="1">
      <c r="T60695" s="41"/>
    </row>
    <row r="60696" spans="20:20" s="566" customFormat="1">
      <c r="T60696" s="41"/>
    </row>
    <row r="60697" spans="20:20" s="566" customFormat="1">
      <c r="T60697" s="41"/>
    </row>
    <row r="60698" spans="20:20" s="566" customFormat="1">
      <c r="T60698" s="41"/>
    </row>
    <row r="60699" spans="20:20" s="566" customFormat="1">
      <c r="T60699" s="41"/>
    </row>
    <row r="60700" spans="20:20" s="566" customFormat="1">
      <c r="T60700" s="41"/>
    </row>
    <row r="60701" spans="20:20" s="566" customFormat="1">
      <c r="T60701" s="41"/>
    </row>
    <row r="60702" spans="20:20" s="566" customFormat="1">
      <c r="T60702" s="41"/>
    </row>
    <row r="60703" spans="20:20" s="566" customFormat="1">
      <c r="T60703" s="41"/>
    </row>
    <row r="60704" spans="20:20" s="566" customFormat="1">
      <c r="T60704" s="41"/>
    </row>
    <row r="60705" spans="20:20" s="566" customFormat="1">
      <c r="T60705" s="41"/>
    </row>
    <row r="60706" spans="20:20" s="566" customFormat="1">
      <c r="T60706" s="41"/>
    </row>
    <row r="60707" spans="20:20" s="566" customFormat="1">
      <c r="T60707" s="41"/>
    </row>
    <row r="60708" spans="20:20" s="566" customFormat="1">
      <c r="T60708" s="41"/>
    </row>
    <row r="60709" spans="20:20" s="566" customFormat="1">
      <c r="T60709" s="41"/>
    </row>
    <row r="60710" spans="20:20" s="566" customFormat="1">
      <c r="T60710" s="41"/>
    </row>
    <row r="60711" spans="20:20" s="566" customFormat="1">
      <c r="T60711" s="41"/>
    </row>
    <row r="60712" spans="20:20" s="566" customFormat="1">
      <c r="T60712" s="41"/>
    </row>
    <row r="60713" spans="20:20" s="566" customFormat="1">
      <c r="T60713" s="41"/>
    </row>
    <row r="60714" spans="20:20" s="566" customFormat="1">
      <c r="T60714" s="41"/>
    </row>
    <row r="60715" spans="20:20" s="566" customFormat="1">
      <c r="T60715" s="41"/>
    </row>
    <row r="60716" spans="20:20" s="566" customFormat="1">
      <c r="T60716" s="41"/>
    </row>
    <row r="60717" spans="20:20" s="566" customFormat="1">
      <c r="T60717" s="41"/>
    </row>
    <row r="60718" spans="20:20" s="566" customFormat="1">
      <c r="T60718" s="41"/>
    </row>
    <row r="60719" spans="20:20" s="566" customFormat="1">
      <c r="T60719" s="41"/>
    </row>
    <row r="60720" spans="20:20" s="566" customFormat="1">
      <c r="T60720" s="41"/>
    </row>
    <row r="60721" spans="20:20" s="566" customFormat="1">
      <c r="T60721" s="41"/>
    </row>
    <row r="60722" spans="20:20" s="566" customFormat="1">
      <c r="T60722" s="41"/>
    </row>
    <row r="60723" spans="20:20" s="566" customFormat="1">
      <c r="T60723" s="41"/>
    </row>
    <row r="60724" spans="20:20" s="566" customFormat="1">
      <c r="T60724" s="41"/>
    </row>
    <row r="60725" spans="20:20" s="566" customFormat="1">
      <c r="T60725" s="41"/>
    </row>
    <row r="60726" spans="20:20" s="566" customFormat="1">
      <c r="T60726" s="41"/>
    </row>
    <row r="60727" spans="20:20" s="566" customFormat="1">
      <c r="T60727" s="41"/>
    </row>
    <row r="60728" spans="20:20" s="566" customFormat="1">
      <c r="T60728" s="41"/>
    </row>
    <row r="60729" spans="20:20" s="566" customFormat="1">
      <c r="T60729" s="41"/>
    </row>
    <row r="60730" spans="20:20" s="566" customFormat="1">
      <c r="T60730" s="41"/>
    </row>
    <row r="60731" spans="20:20" s="566" customFormat="1">
      <c r="T60731" s="41"/>
    </row>
    <row r="60732" spans="20:20" s="566" customFormat="1">
      <c r="T60732" s="41"/>
    </row>
    <row r="60733" spans="20:20" s="566" customFormat="1">
      <c r="T60733" s="41"/>
    </row>
    <row r="60734" spans="20:20" s="566" customFormat="1">
      <c r="T60734" s="41"/>
    </row>
    <row r="60735" spans="20:20" s="566" customFormat="1">
      <c r="T60735" s="41"/>
    </row>
    <row r="60736" spans="20:20" s="566" customFormat="1">
      <c r="T60736" s="41"/>
    </row>
    <row r="60737" spans="20:20" s="566" customFormat="1">
      <c r="T60737" s="41"/>
    </row>
    <row r="60738" spans="20:20" s="566" customFormat="1">
      <c r="T60738" s="41"/>
    </row>
    <row r="60739" spans="20:20" s="566" customFormat="1">
      <c r="T60739" s="41"/>
    </row>
    <row r="60740" spans="20:20" s="566" customFormat="1">
      <c r="T60740" s="41"/>
    </row>
    <row r="60741" spans="20:20" s="566" customFormat="1">
      <c r="T60741" s="41"/>
    </row>
    <row r="60742" spans="20:20" s="566" customFormat="1">
      <c r="T60742" s="41"/>
    </row>
    <row r="60743" spans="20:20" s="566" customFormat="1">
      <c r="T60743" s="41"/>
    </row>
    <row r="60744" spans="20:20" s="566" customFormat="1">
      <c r="T60744" s="41"/>
    </row>
    <row r="60745" spans="20:20" s="566" customFormat="1">
      <c r="T60745" s="41"/>
    </row>
    <row r="60746" spans="20:20" s="566" customFormat="1">
      <c r="T60746" s="41"/>
    </row>
    <row r="60747" spans="20:20" s="566" customFormat="1">
      <c r="T60747" s="41"/>
    </row>
    <row r="60748" spans="20:20" s="566" customFormat="1">
      <c r="T60748" s="41"/>
    </row>
    <row r="60749" spans="20:20" s="566" customFormat="1">
      <c r="T60749" s="41"/>
    </row>
    <row r="60750" spans="20:20" s="566" customFormat="1">
      <c r="T60750" s="41"/>
    </row>
    <row r="60751" spans="20:20" s="566" customFormat="1">
      <c r="T60751" s="41"/>
    </row>
    <row r="60752" spans="20:20" s="566" customFormat="1">
      <c r="T60752" s="41"/>
    </row>
    <row r="60753" spans="20:20" s="566" customFormat="1">
      <c r="T60753" s="41"/>
    </row>
    <row r="60754" spans="20:20" s="566" customFormat="1">
      <c r="T60754" s="41"/>
    </row>
    <row r="60755" spans="20:20" s="566" customFormat="1">
      <c r="T60755" s="41"/>
    </row>
    <row r="60756" spans="20:20" s="566" customFormat="1">
      <c r="T60756" s="41"/>
    </row>
    <row r="60757" spans="20:20" s="566" customFormat="1">
      <c r="T60757" s="41"/>
    </row>
    <row r="60758" spans="20:20" s="566" customFormat="1">
      <c r="T60758" s="41"/>
    </row>
    <row r="60759" spans="20:20" s="566" customFormat="1">
      <c r="T60759" s="41"/>
    </row>
    <row r="60760" spans="20:20" s="566" customFormat="1">
      <c r="T60760" s="41"/>
    </row>
    <row r="60761" spans="20:20" s="566" customFormat="1">
      <c r="T60761" s="41"/>
    </row>
    <row r="60762" spans="20:20" s="566" customFormat="1">
      <c r="T60762" s="41"/>
    </row>
    <row r="60763" spans="20:20" s="566" customFormat="1">
      <c r="T60763" s="41"/>
    </row>
    <row r="60764" spans="20:20" s="566" customFormat="1">
      <c r="T60764" s="41"/>
    </row>
    <row r="60765" spans="20:20" s="566" customFormat="1">
      <c r="T60765" s="41"/>
    </row>
    <row r="60766" spans="20:20" s="566" customFormat="1">
      <c r="T60766" s="41"/>
    </row>
    <row r="60767" spans="20:20" s="566" customFormat="1">
      <c r="T60767" s="41"/>
    </row>
    <row r="60768" spans="20:20" s="566" customFormat="1">
      <c r="T60768" s="41"/>
    </row>
    <row r="60769" spans="20:20" s="566" customFormat="1">
      <c r="T60769" s="41"/>
    </row>
    <row r="60770" spans="20:20" s="566" customFormat="1">
      <c r="T60770" s="41"/>
    </row>
    <row r="60771" spans="20:20" s="566" customFormat="1">
      <c r="T60771" s="41"/>
    </row>
    <row r="60772" spans="20:20" s="566" customFormat="1">
      <c r="T60772" s="41"/>
    </row>
    <row r="60773" spans="20:20" s="566" customFormat="1">
      <c r="T60773" s="41"/>
    </row>
    <row r="60774" spans="20:20" s="566" customFormat="1">
      <c r="T60774" s="41"/>
    </row>
    <row r="60775" spans="20:20" s="566" customFormat="1">
      <c r="T60775" s="41"/>
    </row>
    <row r="60776" spans="20:20" s="566" customFormat="1">
      <c r="T60776" s="41"/>
    </row>
    <row r="60777" spans="20:20" s="566" customFormat="1">
      <c r="T60777" s="41"/>
    </row>
    <row r="60778" spans="20:20" s="566" customFormat="1">
      <c r="T60778" s="41"/>
    </row>
    <row r="60779" spans="20:20" s="566" customFormat="1">
      <c r="T60779" s="41"/>
    </row>
    <row r="60780" spans="20:20" s="566" customFormat="1">
      <c r="T60780" s="41"/>
    </row>
    <row r="60781" spans="20:20" s="566" customFormat="1">
      <c r="T60781" s="41"/>
    </row>
    <row r="60782" spans="20:20" s="566" customFormat="1">
      <c r="T60782" s="41"/>
    </row>
    <row r="60783" spans="20:20" s="566" customFormat="1">
      <c r="T60783" s="41"/>
    </row>
    <row r="60784" spans="20:20" s="566" customFormat="1">
      <c r="T60784" s="41"/>
    </row>
    <row r="60785" spans="20:20" s="566" customFormat="1">
      <c r="T60785" s="41"/>
    </row>
    <row r="60786" spans="20:20" s="566" customFormat="1">
      <c r="T60786" s="41"/>
    </row>
    <row r="60787" spans="20:20" s="566" customFormat="1">
      <c r="T60787" s="41"/>
    </row>
    <row r="60788" spans="20:20" s="566" customFormat="1">
      <c r="T60788" s="41"/>
    </row>
    <row r="60789" spans="20:20" s="566" customFormat="1">
      <c r="T60789" s="41"/>
    </row>
    <row r="60790" spans="20:20" s="566" customFormat="1">
      <c r="T60790" s="41"/>
    </row>
    <row r="60791" spans="20:20" s="566" customFormat="1">
      <c r="T60791" s="41"/>
    </row>
    <row r="60792" spans="20:20" s="566" customFormat="1">
      <c r="T60792" s="41"/>
    </row>
    <row r="60793" spans="20:20" s="566" customFormat="1">
      <c r="T60793" s="41"/>
    </row>
    <row r="60794" spans="20:20" s="566" customFormat="1">
      <c r="T60794" s="41"/>
    </row>
    <row r="60795" spans="20:20" s="566" customFormat="1">
      <c r="T60795" s="41"/>
    </row>
    <row r="60796" spans="20:20" s="566" customFormat="1">
      <c r="T60796" s="41"/>
    </row>
    <row r="60797" spans="20:20" s="566" customFormat="1">
      <c r="T60797" s="41"/>
    </row>
    <row r="60798" spans="20:20" s="566" customFormat="1">
      <c r="T60798" s="41"/>
    </row>
    <row r="60799" spans="20:20" s="566" customFormat="1">
      <c r="T60799" s="41"/>
    </row>
    <row r="60800" spans="20:20" s="566" customFormat="1">
      <c r="T60800" s="41"/>
    </row>
    <row r="60801" spans="20:20" s="566" customFormat="1">
      <c r="T60801" s="41"/>
    </row>
    <row r="60802" spans="20:20" s="566" customFormat="1">
      <c r="T60802" s="41"/>
    </row>
    <row r="60803" spans="20:20" s="566" customFormat="1">
      <c r="T60803" s="41"/>
    </row>
    <row r="60804" spans="20:20" s="566" customFormat="1">
      <c r="T60804" s="41"/>
    </row>
    <row r="60805" spans="20:20" s="566" customFormat="1">
      <c r="T60805" s="41"/>
    </row>
    <row r="60806" spans="20:20" s="566" customFormat="1">
      <c r="T60806" s="41"/>
    </row>
    <row r="60807" spans="20:20" s="566" customFormat="1">
      <c r="T60807" s="41"/>
    </row>
    <row r="60808" spans="20:20" s="566" customFormat="1">
      <c r="T60808" s="41"/>
    </row>
    <row r="60809" spans="20:20" s="566" customFormat="1">
      <c r="T60809" s="41"/>
    </row>
    <row r="60810" spans="20:20" s="566" customFormat="1">
      <c r="T60810" s="41"/>
    </row>
    <row r="60811" spans="20:20" s="566" customFormat="1">
      <c r="T60811" s="41"/>
    </row>
    <row r="60812" spans="20:20" s="566" customFormat="1">
      <c r="T60812" s="41"/>
    </row>
    <row r="60813" spans="20:20" s="566" customFormat="1">
      <c r="T60813" s="41"/>
    </row>
    <row r="60814" spans="20:20" s="566" customFormat="1">
      <c r="T60814" s="41"/>
    </row>
    <row r="60815" spans="20:20" s="566" customFormat="1">
      <c r="T60815" s="41"/>
    </row>
    <row r="60816" spans="20:20" s="566" customFormat="1">
      <c r="T60816" s="41"/>
    </row>
    <row r="60817" spans="20:20" s="566" customFormat="1">
      <c r="T60817" s="41"/>
    </row>
    <row r="60818" spans="20:20" s="566" customFormat="1">
      <c r="T60818" s="41"/>
    </row>
    <row r="60819" spans="20:20" s="566" customFormat="1">
      <c r="T60819" s="41"/>
    </row>
    <row r="60820" spans="20:20" s="566" customFormat="1">
      <c r="T60820" s="41"/>
    </row>
    <row r="60821" spans="20:20" s="566" customFormat="1">
      <c r="T60821" s="41"/>
    </row>
    <row r="60822" spans="20:20" s="566" customFormat="1">
      <c r="T60822" s="41"/>
    </row>
    <row r="60823" spans="20:20" s="566" customFormat="1">
      <c r="T60823" s="41"/>
    </row>
    <row r="60824" spans="20:20" s="566" customFormat="1">
      <c r="T60824" s="41"/>
    </row>
    <row r="60825" spans="20:20" s="566" customFormat="1">
      <c r="T60825" s="41"/>
    </row>
    <row r="60826" spans="20:20" s="566" customFormat="1">
      <c r="T60826" s="41"/>
    </row>
    <row r="60827" spans="20:20" s="566" customFormat="1">
      <c r="T60827" s="41"/>
    </row>
    <row r="60828" spans="20:20" s="566" customFormat="1">
      <c r="T60828" s="41"/>
    </row>
    <row r="60829" spans="20:20" s="566" customFormat="1">
      <c r="T60829" s="41"/>
    </row>
    <row r="60830" spans="20:20" s="566" customFormat="1">
      <c r="T60830" s="41"/>
    </row>
    <row r="60831" spans="20:20" s="566" customFormat="1">
      <c r="T60831" s="41"/>
    </row>
    <row r="60832" spans="20:20" s="566" customFormat="1">
      <c r="T60832" s="41"/>
    </row>
    <row r="60833" spans="20:20" s="566" customFormat="1">
      <c r="T60833" s="41"/>
    </row>
    <row r="60834" spans="20:20" s="566" customFormat="1">
      <c r="T60834" s="41"/>
    </row>
    <row r="60835" spans="20:20" s="566" customFormat="1">
      <c r="T60835" s="41"/>
    </row>
    <row r="60836" spans="20:20" s="566" customFormat="1">
      <c r="T60836" s="41"/>
    </row>
    <row r="60837" spans="20:20" s="566" customFormat="1">
      <c r="T60837" s="41"/>
    </row>
    <row r="60838" spans="20:20" s="566" customFormat="1">
      <c r="T60838" s="41"/>
    </row>
    <row r="60839" spans="20:20" s="566" customFormat="1">
      <c r="T60839" s="41"/>
    </row>
    <row r="60840" spans="20:20" s="566" customFormat="1">
      <c r="T60840" s="41"/>
    </row>
    <row r="60841" spans="20:20" s="566" customFormat="1">
      <c r="T60841" s="41"/>
    </row>
    <row r="60842" spans="20:20" s="566" customFormat="1">
      <c r="T60842" s="41"/>
    </row>
    <row r="60843" spans="20:20" s="566" customFormat="1">
      <c r="T60843" s="41"/>
    </row>
    <row r="60844" spans="20:20" s="566" customFormat="1">
      <c r="T60844" s="41"/>
    </row>
    <row r="60845" spans="20:20" s="566" customFormat="1">
      <c r="T60845" s="41"/>
    </row>
    <row r="60846" spans="20:20" s="566" customFormat="1">
      <c r="T60846" s="41"/>
    </row>
    <row r="60847" spans="20:20" s="566" customFormat="1">
      <c r="T60847" s="41"/>
    </row>
    <row r="60848" spans="20:20" s="566" customFormat="1">
      <c r="T60848" s="41"/>
    </row>
    <row r="60849" spans="20:20" s="566" customFormat="1">
      <c r="T60849" s="41"/>
    </row>
    <row r="60850" spans="20:20" s="566" customFormat="1">
      <c r="T60850" s="41"/>
    </row>
    <row r="60851" spans="20:20" s="566" customFormat="1">
      <c r="T60851" s="41"/>
    </row>
    <row r="60852" spans="20:20" s="566" customFormat="1">
      <c r="T60852" s="41"/>
    </row>
    <row r="60853" spans="20:20" s="566" customFormat="1">
      <c r="T60853" s="41"/>
    </row>
    <row r="60854" spans="20:20" s="566" customFormat="1">
      <c r="T60854" s="41"/>
    </row>
    <row r="60855" spans="20:20" s="566" customFormat="1">
      <c r="T60855" s="41"/>
    </row>
    <row r="60856" spans="20:20" s="566" customFormat="1">
      <c r="T60856" s="41"/>
    </row>
    <row r="60857" spans="20:20" s="566" customFormat="1">
      <c r="T60857" s="41"/>
    </row>
    <row r="60858" spans="20:20" s="566" customFormat="1">
      <c r="T60858" s="41"/>
    </row>
    <row r="60859" spans="20:20" s="566" customFormat="1">
      <c r="T60859" s="41"/>
    </row>
    <row r="60860" spans="20:20" s="566" customFormat="1">
      <c r="T60860" s="41"/>
    </row>
    <row r="60861" spans="20:20" s="566" customFormat="1">
      <c r="T60861" s="41"/>
    </row>
    <row r="60862" spans="20:20" s="566" customFormat="1">
      <c r="T60862" s="41"/>
    </row>
    <row r="60863" spans="20:20" s="566" customFormat="1">
      <c r="T60863" s="41"/>
    </row>
    <row r="60864" spans="20:20" s="566" customFormat="1">
      <c r="T60864" s="41"/>
    </row>
    <row r="60865" spans="20:20" s="566" customFormat="1">
      <c r="T60865" s="41"/>
    </row>
    <row r="60866" spans="20:20" s="566" customFormat="1">
      <c r="T60866" s="41"/>
    </row>
    <row r="60867" spans="20:20" s="566" customFormat="1">
      <c r="T60867" s="41"/>
    </row>
    <row r="60868" spans="20:20" s="566" customFormat="1">
      <c r="T60868" s="41"/>
    </row>
    <row r="60869" spans="20:20" s="566" customFormat="1">
      <c r="T60869" s="41"/>
    </row>
    <row r="60870" spans="20:20" s="566" customFormat="1">
      <c r="T60870" s="41"/>
    </row>
    <row r="60871" spans="20:20" s="566" customFormat="1">
      <c r="T60871" s="41"/>
    </row>
    <row r="60872" spans="20:20" s="566" customFormat="1">
      <c r="T60872" s="41"/>
    </row>
    <row r="60873" spans="20:20" s="566" customFormat="1">
      <c r="T60873" s="41"/>
    </row>
    <row r="60874" spans="20:20" s="566" customFormat="1">
      <c r="T60874" s="41"/>
    </row>
    <row r="60875" spans="20:20" s="566" customFormat="1">
      <c r="T60875" s="41"/>
    </row>
    <row r="60876" spans="20:20" s="566" customFormat="1">
      <c r="T60876" s="41"/>
    </row>
    <row r="60877" spans="20:20" s="566" customFormat="1">
      <c r="T60877" s="41"/>
    </row>
    <row r="60878" spans="20:20" s="566" customFormat="1">
      <c r="T60878" s="41"/>
    </row>
    <row r="60879" spans="20:20" s="566" customFormat="1">
      <c r="T60879" s="41"/>
    </row>
    <row r="60880" spans="20:20" s="566" customFormat="1">
      <c r="T60880" s="41"/>
    </row>
    <row r="60881" spans="20:20" s="566" customFormat="1">
      <c r="T60881" s="41"/>
    </row>
    <row r="60882" spans="20:20" s="566" customFormat="1">
      <c r="T60882" s="41"/>
    </row>
    <row r="60883" spans="20:20" s="566" customFormat="1">
      <c r="T60883" s="41"/>
    </row>
    <row r="60884" spans="20:20" s="566" customFormat="1">
      <c r="T60884" s="41"/>
    </row>
    <row r="60885" spans="20:20" s="566" customFormat="1">
      <c r="T60885" s="41"/>
    </row>
    <row r="60886" spans="20:20" s="566" customFormat="1">
      <c r="T60886" s="41"/>
    </row>
    <row r="60887" spans="20:20" s="566" customFormat="1">
      <c r="T60887" s="41"/>
    </row>
    <row r="60888" spans="20:20" s="566" customFormat="1">
      <c r="T60888" s="41"/>
    </row>
    <row r="60889" spans="20:20" s="566" customFormat="1">
      <c r="T60889" s="41"/>
    </row>
    <row r="60890" spans="20:20" s="566" customFormat="1">
      <c r="T60890" s="41"/>
    </row>
    <row r="60891" spans="20:20" s="566" customFormat="1">
      <c r="T60891" s="41"/>
    </row>
    <row r="60892" spans="20:20" s="566" customFormat="1">
      <c r="T60892" s="41"/>
    </row>
    <row r="60893" spans="20:20" s="566" customFormat="1">
      <c r="T60893" s="41"/>
    </row>
    <row r="60894" spans="20:20" s="566" customFormat="1">
      <c r="T60894" s="41"/>
    </row>
    <row r="60895" spans="20:20" s="566" customFormat="1">
      <c r="T60895" s="41"/>
    </row>
    <row r="60896" spans="20:20" s="566" customFormat="1">
      <c r="T60896" s="41"/>
    </row>
    <row r="60897" spans="20:20" s="566" customFormat="1">
      <c r="T60897" s="41"/>
    </row>
    <row r="60898" spans="20:20" s="566" customFormat="1">
      <c r="T60898" s="41"/>
    </row>
    <row r="60899" spans="20:20" s="566" customFormat="1">
      <c r="T60899" s="41"/>
    </row>
    <row r="60900" spans="20:20" s="566" customFormat="1">
      <c r="T60900" s="41"/>
    </row>
    <row r="60901" spans="20:20" s="566" customFormat="1">
      <c r="T60901" s="41"/>
    </row>
    <row r="60902" spans="20:20" s="566" customFormat="1">
      <c r="T60902" s="41"/>
    </row>
    <row r="60903" spans="20:20" s="566" customFormat="1">
      <c r="T60903" s="41"/>
    </row>
    <row r="60904" spans="20:20" s="566" customFormat="1">
      <c r="T60904" s="41"/>
    </row>
    <row r="60905" spans="20:20" s="566" customFormat="1">
      <c r="T60905" s="41"/>
    </row>
    <row r="60906" spans="20:20" s="566" customFormat="1">
      <c r="T60906" s="41"/>
    </row>
    <row r="60907" spans="20:20" s="566" customFormat="1">
      <c r="T60907" s="41"/>
    </row>
    <row r="60908" spans="20:20" s="566" customFormat="1">
      <c r="T60908" s="41"/>
    </row>
    <row r="60909" spans="20:20" s="566" customFormat="1">
      <c r="T60909" s="41"/>
    </row>
    <row r="60910" spans="20:20" s="566" customFormat="1">
      <c r="T60910" s="41"/>
    </row>
    <row r="60911" spans="20:20" s="566" customFormat="1">
      <c r="T60911" s="41"/>
    </row>
    <row r="60912" spans="20:20" s="566" customFormat="1">
      <c r="T60912" s="41"/>
    </row>
    <row r="60913" spans="20:20" s="566" customFormat="1">
      <c r="T60913" s="41"/>
    </row>
    <row r="60914" spans="20:20" s="566" customFormat="1">
      <c r="T60914" s="41"/>
    </row>
    <row r="60915" spans="20:20" s="566" customFormat="1">
      <c r="T60915" s="41"/>
    </row>
    <row r="60916" spans="20:20" s="566" customFormat="1">
      <c r="T60916" s="41"/>
    </row>
    <row r="60917" spans="20:20" s="566" customFormat="1">
      <c r="T60917" s="41"/>
    </row>
    <row r="60918" spans="20:20" s="566" customFormat="1">
      <c r="T60918" s="41"/>
    </row>
    <row r="60919" spans="20:20" s="566" customFormat="1">
      <c r="T60919" s="41"/>
    </row>
    <row r="60920" spans="20:20" s="566" customFormat="1">
      <c r="T60920" s="41"/>
    </row>
    <row r="60921" spans="20:20" s="566" customFormat="1">
      <c r="T60921" s="41"/>
    </row>
    <row r="60922" spans="20:20" s="566" customFormat="1">
      <c r="T60922" s="41"/>
    </row>
    <row r="60923" spans="20:20" s="566" customFormat="1">
      <c r="T60923" s="41"/>
    </row>
    <row r="60924" spans="20:20" s="566" customFormat="1">
      <c r="T60924" s="41"/>
    </row>
    <row r="60925" spans="20:20" s="566" customFormat="1">
      <c r="T60925" s="41"/>
    </row>
    <row r="60926" spans="20:20" s="566" customFormat="1">
      <c r="T60926" s="41"/>
    </row>
    <row r="60927" spans="20:20" s="566" customFormat="1">
      <c r="T60927" s="41"/>
    </row>
    <row r="60928" spans="20:20" s="566" customFormat="1">
      <c r="T60928" s="41"/>
    </row>
    <row r="60929" spans="20:20" s="566" customFormat="1">
      <c r="T60929" s="41"/>
    </row>
    <row r="60930" spans="20:20" s="566" customFormat="1">
      <c r="T60930" s="41"/>
    </row>
    <row r="60931" spans="20:20" s="566" customFormat="1">
      <c r="T60931" s="41"/>
    </row>
    <row r="60932" spans="20:20" s="566" customFormat="1">
      <c r="T60932" s="41"/>
    </row>
    <row r="60933" spans="20:20" s="566" customFormat="1">
      <c r="T60933" s="41"/>
    </row>
    <row r="60934" spans="20:20" s="566" customFormat="1">
      <c r="T60934" s="41"/>
    </row>
    <row r="60935" spans="20:20" s="566" customFormat="1">
      <c r="T60935" s="41"/>
    </row>
    <row r="60936" spans="20:20" s="566" customFormat="1">
      <c r="T60936" s="41"/>
    </row>
    <row r="60937" spans="20:20" s="566" customFormat="1">
      <c r="T60937" s="41"/>
    </row>
    <row r="60938" spans="20:20" s="566" customFormat="1">
      <c r="T60938" s="41"/>
    </row>
    <row r="60939" spans="20:20" s="566" customFormat="1">
      <c r="T60939" s="41"/>
    </row>
    <row r="60940" spans="20:20" s="566" customFormat="1">
      <c r="T60940" s="41"/>
    </row>
    <row r="60941" spans="20:20" s="566" customFormat="1">
      <c r="T60941" s="41"/>
    </row>
    <row r="60942" spans="20:20" s="566" customFormat="1">
      <c r="T60942" s="41"/>
    </row>
    <row r="60943" spans="20:20" s="566" customFormat="1">
      <c r="T60943" s="41"/>
    </row>
    <row r="60944" spans="20:20" s="566" customFormat="1">
      <c r="T60944" s="41"/>
    </row>
    <row r="60945" spans="20:20" s="566" customFormat="1">
      <c r="T60945" s="41"/>
    </row>
    <row r="60946" spans="20:20" s="566" customFormat="1">
      <c r="T60946" s="41"/>
    </row>
    <row r="60947" spans="20:20" s="566" customFormat="1">
      <c r="T60947" s="41"/>
    </row>
    <row r="60948" spans="20:20" s="566" customFormat="1">
      <c r="T60948" s="41"/>
    </row>
    <row r="60949" spans="20:20" s="566" customFormat="1">
      <c r="T60949" s="41"/>
    </row>
    <row r="60950" spans="20:20" s="566" customFormat="1">
      <c r="T60950" s="41"/>
    </row>
    <row r="60951" spans="20:20" s="566" customFormat="1">
      <c r="T60951" s="41"/>
    </row>
    <row r="60952" spans="20:20" s="566" customFormat="1">
      <c r="T60952" s="41"/>
    </row>
    <row r="60953" spans="20:20" s="566" customFormat="1">
      <c r="T60953" s="41"/>
    </row>
    <row r="60954" spans="20:20" s="566" customFormat="1">
      <c r="T60954" s="41"/>
    </row>
    <row r="60955" spans="20:20" s="566" customFormat="1">
      <c r="T60955" s="41"/>
    </row>
    <row r="60956" spans="20:20" s="566" customFormat="1">
      <c r="T60956" s="41"/>
    </row>
    <row r="60957" spans="20:20" s="566" customFormat="1">
      <c r="T60957" s="41"/>
    </row>
    <row r="60958" spans="20:20" s="566" customFormat="1">
      <c r="T60958" s="41"/>
    </row>
    <row r="60959" spans="20:20" s="566" customFormat="1">
      <c r="T60959" s="41"/>
    </row>
    <row r="60960" spans="20:20" s="566" customFormat="1">
      <c r="T60960" s="41"/>
    </row>
    <row r="60961" spans="20:20" s="566" customFormat="1">
      <c r="T60961" s="41"/>
    </row>
    <row r="60962" spans="20:20" s="566" customFormat="1">
      <c r="T60962" s="41"/>
    </row>
    <row r="60963" spans="20:20" s="566" customFormat="1">
      <c r="T60963" s="41"/>
    </row>
    <row r="60964" spans="20:20" s="566" customFormat="1">
      <c r="T60964" s="41"/>
    </row>
    <row r="60965" spans="20:20" s="566" customFormat="1">
      <c r="T60965" s="41"/>
    </row>
    <row r="60966" spans="20:20" s="566" customFormat="1">
      <c r="T60966" s="41"/>
    </row>
    <row r="60967" spans="20:20" s="566" customFormat="1">
      <c r="T60967" s="41"/>
    </row>
    <row r="60968" spans="20:20" s="566" customFormat="1">
      <c r="T60968" s="41"/>
    </row>
    <row r="60969" spans="20:20" s="566" customFormat="1">
      <c r="T60969" s="41"/>
    </row>
    <row r="60970" spans="20:20" s="566" customFormat="1">
      <c r="T60970" s="41"/>
    </row>
    <row r="60971" spans="20:20" s="566" customFormat="1">
      <c r="T60971" s="41"/>
    </row>
    <row r="60972" spans="20:20" s="566" customFormat="1">
      <c r="T60972" s="41"/>
    </row>
    <row r="60973" spans="20:20" s="566" customFormat="1">
      <c r="T60973" s="41"/>
    </row>
    <row r="60974" spans="20:20" s="566" customFormat="1">
      <c r="T60974" s="41"/>
    </row>
    <row r="60975" spans="20:20" s="566" customFormat="1">
      <c r="T60975" s="41"/>
    </row>
    <row r="60976" spans="20:20" s="566" customFormat="1">
      <c r="T60976" s="41"/>
    </row>
    <row r="60977" spans="20:20" s="566" customFormat="1">
      <c r="T60977" s="41"/>
    </row>
    <row r="60978" spans="20:20" s="566" customFormat="1">
      <c r="T60978" s="41"/>
    </row>
    <row r="60979" spans="20:20" s="566" customFormat="1">
      <c r="T60979" s="41"/>
    </row>
    <row r="60980" spans="20:20" s="566" customFormat="1">
      <c r="T60980" s="41"/>
    </row>
    <row r="60981" spans="20:20" s="566" customFormat="1">
      <c r="T60981" s="41"/>
    </row>
    <row r="60982" spans="20:20" s="566" customFormat="1">
      <c r="T60982" s="41"/>
    </row>
    <row r="60983" spans="20:20" s="566" customFormat="1">
      <c r="T60983" s="41"/>
    </row>
    <row r="60984" spans="20:20" s="566" customFormat="1">
      <c r="T60984" s="41"/>
    </row>
    <row r="60985" spans="20:20" s="566" customFormat="1">
      <c r="T60985" s="41"/>
    </row>
    <row r="60986" spans="20:20" s="566" customFormat="1">
      <c r="T60986" s="41"/>
    </row>
    <row r="60987" spans="20:20" s="566" customFormat="1">
      <c r="T60987" s="41"/>
    </row>
    <row r="60988" spans="20:20" s="566" customFormat="1">
      <c r="T60988" s="41"/>
    </row>
    <row r="60989" spans="20:20" s="566" customFormat="1">
      <c r="T60989" s="41"/>
    </row>
    <row r="60990" spans="20:20" s="566" customFormat="1">
      <c r="T60990" s="41"/>
    </row>
    <row r="60991" spans="20:20" s="566" customFormat="1">
      <c r="T60991" s="41"/>
    </row>
    <row r="60992" spans="20:20" s="566" customFormat="1">
      <c r="T60992" s="41"/>
    </row>
    <row r="60993" spans="20:20" s="566" customFormat="1">
      <c r="T60993" s="41"/>
    </row>
    <row r="60994" spans="20:20" s="566" customFormat="1">
      <c r="T60994" s="41"/>
    </row>
    <row r="60995" spans="20:20" s="566" customFormat="1">
      <c r="T60995" s="41"/>
    </row>
    <row r="60996" spans="20:20" s="566" customFormat="1">
      <c r="T60996" s="41"/>
    </row>
    <row r="60997" spans="20:20" s="566" customFormat="1">
      <c r="T60997" s="41"/>
    </row>
    <row r="60998" spans="20:20" s="566" customFormat="1">
      <c r="T60998" s="41"/>
    </row>
    <row r="60999" spans="20:20" s="566" customFormat="1">
      <c r="T60999" s="41"/>
    </row>
    <row r="61000" spans="20:20" s="566" customFormat="1">
      <c r="T61000" s="41"/>
    </row>
    <row r="61001" spans="20:20" s="566" customFormat="1">
      <c r="T61001" s="41"/>
    </row>
    <row r="61002" spans="20:20" s="566" customFormat="1">
      <c r="T61002" s="41"/>
    </row>
    <row r="61003" spans="20:20" s="566" customFormat="1">
      <c r="T61003" s="41"/>
    </row>
    <row r="61004" spans="20:20" s="566" customFormat="1">
      <c r="T61004" s="41"/>
    </row>
    <row r="61005" spans="20:20" s="566" customFormat="1">
      <c r="T61005" s="41"/>
    </row>
    <row r="61006" spans="20:20" s="566" customFormat="1">
      <c r="T61006" s="41"/>
    </row>
    <row r="61007" spans="20:20" s="566" customFormat="1">
      <c r="T61007" s="41"/>
    </row>
    <row r="61008" spans="20:20" s="566" customFormat="1">
      <c r="T61008" s="41"/>
    </row>
    <row r="61009" spans="20:20" s="566" customFormat="1">
      <c r="T61009" s="41"/>
    </row>
    <row r="61010" spans="20:20" s="566" customFormat="1">
      <c r="T61010" s="41"/>
    </row>
    <row r="61011" spans="20:20" s="566" customFormat="1">
      <c r="T61011" s="41"/>
    </row>
    <row r="61012" spans="20:20" s="566" customFormat="1">
      <c r="T61012" s="41"/>
    </row>
    <row r="61013" spans="20:20" s="566" customFormat="1">
      <c r="T61013" s="41"/>
    </row>
    <row r="61014" spans="20:20" s="566" customFormat="1">
      <c r="T61014" s="41"/>
    </row>
    <row r="61015" spans="20:20" s="566" customFormat="1">
      <c r="T61015" s="41"/>
    </row>
    <row r="61016" spans="20:20" s="566" customFormat="1">
      <c r="T61016" s="41"/>
    </row>
    <row r="61017" spans="20:20" s="566" customFormat="1">
      <c r="T61017" s="41"/>
    </row>
    <row r="61018" spans="20:20" s="566" customFormat="1">
      <c r="T61018" s="41"/>
    </row>
    <row r="61019" spans="20:20" s="566" customFormat="1">
      <c r="T61019" s="41"/>
    </row>
    <row r="61020" spans="20:20" s="566" customFormat="1">
      <c r="T61020" s="41"/>
    </row>
    <row r="61021" spans="20:20" s="566" customFormat="1">
      <c r="T61021" s="41"/>
    </row>
    <row r="61022" spans="20:20" s="566" customFormat="1">
      <c r="T61022" s="41"/>
    </row>
    <row r="61023" spans="20:20" s="566" customFormat="1">
      <c r="T61023" s="41"/>
    </row>
    <row r="61024" spans="20:20" s="566" customFormat="1">
      <c r="T61024" s="41"/>
    </row>
    <row r="61025" spans="20:20" s="566" customFormat="1">
      <c r="T61025" s="41"/>
    </row>
    <row r="61026" spans="20:20" s="566" customFormat="1">
      <c r="T61026" s="41"/>
    </row>
    <row r="61027" spans="20:20" s="566" customFormat="1">
      <c r="T61027" s="41"/>
    </row>
    <row r="61028" spans="20:20" s="566" customFormat="1">
      <c r="T61028" s="41"/>
    </row>
    <row r="61029" spans="20:20" s="566" customFormat="1">
      <c r="T61029" s="41"/>
    </row>
    <row r="61030" spans="20:20" s="566" customFormat="1">
      <c r="T61030" s="41"/>
    </row>
    <row r="61031" spans="20:20" s="566" customFormat="1">
      <c r="T61031" s="41"/>
    </row>
    <row r="61032" spans="20:20" s="566" customFormat="1">
      <c r="T61032" s="41"/>
    </row>
    <row r="61033" spans="20:20" s="566" customFormat="1">
      <c r="T61033" s="41"/>
    </row>
    <row r="61034" spans="20:20" s="566" customFormat="1">
      <c r="T61034" s="41"/>
    </row>
    <row r="61035" spans="20:20" s="566" customFormat="1">
      <c r="T61035" s="41"/>
    </row>
    <row r="61036" spans="20:20" s="566" customFormat="1">
      <c r="T61036" s="41"/>
    </row>
    <row r="61037" spans="20:20" s="566" customFormat="1">
      <c r="T61037" s="41"/>
    </row>
    <row r="61038" spans="20:20" s="566" customFormat="1">
      <c r="T61038" s="41"/>
    </row>
    <row r="61039" spans="20:20" s="566" customFormat="1">
      <c r="T61039" s="41"/>
    </row>
    <row r="61040" spans="20:20" s="566" customFormat="1">
      <c r="T61040" s="41"/>
    </row>
    <row r="61041" spans="20:20" s="566" customFormat="1">
      <c r="T61041" s="41"/>
    </row>
    <row r="61042" spans="20:20" s="566" customFormat="1">
      <c r="T61042" s="41"/>
    </row>
    <row r="61043" spans="20:20" s="566" customFormat="1">
      <c r="T61043" s="41"/>
    </row>
    <row r="61044" spans="20:20" s="566" customFormat="1">
      <c r="T61044" s="41"/>
    </row>
    <row r="61045" spans="20:20" s="566" customFormat="1">
      <c r="T61045" s="41"/>
    </row>
    <row r="61046" spans="20:20" s="566" customFormat="1">
      <c r="T61046" s="41"/>
    </row>
    <row r="61047" spans="20:20" s="566" customFormat="1">
      <c r="T61047" s="41"/>
    </row>
    <row r="61048" spans="20:20" s="566" customFormat="1">
      <c r="T61048" s="41"/>
    </row>
    <row r="61049" spans="20:20" s="566" customFormat="1">
      <c r="T61049" s="41"/>
    </row>
    <row r="61050" spans="20:20" s="566" customFormat="1">
      <c r="T61050" s="41"/>
    </row>
    <row r="61051" spans="20:20" s="566" customFormat="1">
      <c r="T61051" s="41"/>
    </row>
    <row r="61052" spans="20:20" s="566" customFormat="1">
      <c r="T61052" s="41"/>
    </row>
    <row r="61053" spans="20:20" s="566" customFormat="1">
      <c r="T61053" s="41"/>
    </row>
    <row r="61054" spans="20:20" s="566" customFormat="1">
      <c r="T61054" s="41"/>
    </row>
    <row r="61055" spans="20:20" s="566" customFormat="1">
      <c r="T61055" s="41"/>
    </row>
    <row r="61056" spans="20:20" s="566" customFormat="1">
      <c r="T61056" s="41"/>
    </row>
    <row r="61057" spans="20:20" s="566" customFormat="1">
      <c r="T61057" s="41"/>
    </row>
    <row r="61058" spans="20:20" s="566" customFormat="1">
      <c r="T61058" s="41"/>
    </row>
    <row r="61059" spans="20:20" s="566" customFormat="1">
      <c r="T61059" s="41"/>
    </row>
    <row r="61060" spans="20:20" s="566" customFormat="1">
      <c r="T61060" s="41"/>
    </row>
    <row r="61061" spans="20:20" s="566" customFormat="1">
      <c r="T61061" s="41"/>
    </row>
    <row r="61062" spans="20:20" s="566" customFormat="1">
      <c r="T61062" s="41"/>
    </row>
    <row r="61063" spans="20:20" s="566" customFormat="1">
      <c r="T61063" s="41"/>
    </row>
    <row r="61064" spans="20:20" s="566" customFormat="1">
      <c r="T61064" s="41"/>
    </row>
    <row r="61065" spans="20:20" s="566" customFormat="1">
      <c r="T61065" s="41"/>
    </row>
    <row r="61066" spans="20:20" s="566" customFormat="1">
      <c r="T61066" s="41"/>
    </row>
    <row r="61067" spans="20:20" s="566" customFormat="1">
      <c r="T61067" s="41"/>
    </row>
    <row r="61068" spans="20:20" s="566" customFormat="1">
      <c r="T61068" s="41"/>
    </row>
    <row r="61069" spans="20:20" s="566" customFormat="1">
      <c r="T61069" s="41"/>
    </row>
    <row r="61070" spans="20:20" s="566" customFormat="1">
      <c r="T61070" s="41"/>
    </row>
    <row r="61071" spans="20:20" s="566" customFormat="1">
      <c r="T61071" s="41"/>
    </row>
    <row r="61072" spans="20:20" s="566" customFormat="1">
      <c r="T61072" s="41"/>
    </row>
    <row r="61073" spans="20:20" s="566" customFormat="1">
      <c r="T61073" s="41"/>
    </row>
    <row r="61074" spans="20:20" s="566" customFormat="1">
      <c r="T61074" s="41"/>
    </row>
    <row r="61075" spans="20:20" s="566" customFormat="1">
      <c r="T61075" s="41"/>
    </row>
    <row r="61076" spans="20:20" s="566" customFormat="1">
      <c r="T61076" s="41"/>
    </row>
    <row r="61077" spans="20:20" s="566" customFormat="1">
      <c r="T61077" s="41"/>
    </row>
    <row r="61078" spans="20:20" s="566" customFormat="1">
      <c r="T61078" s="41"/>
    </row>
    <row r="61079" spans="20:20" s="566" customFormat="1">
      <c r="T61079" s="41"/>
    </row>
    <row r="61080" spans="20:20" s="566" customFormat="1">
      <c r="T61080" s="41"/>
    </row>
    <row r="61081" spans="20:20" s="566" customFormat="1">
      <c r="T61081" s="41"/>
    </row>
    <row r="61082" spans="20:20" s="566" customFormat="1">
      <c r="T61082" s="41"/>
    </row>
    <row r="61083" spans="20:20" s="566" customFormat="1">
      <c r="T61083" s="41"/>
    </row>
    <row r="61084" spans="20:20" s="566" customFormat="1">
      <c r="T61084" s="41"/>
    </row>
    <row r="61085" spans="20:20" s="566" customFormat="1">
      <c r="T61085" s="41"/>
    </row>
    <row r="61086" spans="20:20" s="566" customFormat="1">
      <c r="T61086" s="41"/>
    </row>
    <row r="61087" spans="20:20" s="566" customFormat="1">
      <c r="T61087" s="41"/>
    </row>
    <row r="61088" spans="20:20" s="566" customFormat="1">
      <c r="T61088" s="41"/>
    </row>
    <row r="61089" spans="20:20" s="566" customFormat="1">
      <c r="T61089" s="41"/>
    </row>
    <row r="61090" spans="20:20" s="566" customFormat="1">
      <c r="T61090" s="41"/>
    </row>
    <row r="61091" spans="20:20" s="566" customFormat="1">
      <c r="T61091" s="41"/>
    </row>
    <row r="61092" spans="20:20" s="566" customFormat="1">
      <c r="T61092" s="41"/>
    </row>
    <row r="61093" spans="20:20" s="566" customFormat="1">
      <c r="T61093" s="41"/>
    </row>
    <row r="61094" spans="20:20" s="566" customFormat="1">
      <c r="T61094" s="41"/>
    </row>
    <row r="61095" spans="20:20" s="566" customFormat="1">
      <c r="T61095" s="41"/>
    </row>
    <row r="61096" spans="20:20" s="566" customFormat="1">
      <c r="T61096" s="41"/>
    </row>
    <row r="61097" spans="20:20" s="566" customFormat="1">
      <c r="T61097" s="41"/>
    </row>
    <row r="61098" spans="20:20" s="566" customFormat="1">
      <c r="T61098" s="41"/>
    </row>
    <row r="61099" spans="20:20" s="566" customFormat="1">
      <c r="T61099" s="41"/>
    </row>
    <row r="61100" spans="20:20" s="566" customFormat="1">
      <c r="T61100" s="41"/>
    </row>
    <row r="61101" spans="20:20" s="566" customFormat="1">
      <c r="T61101" s="41"/>
    </row>
    <row r="61102" spans="20:20" s="566" customFormat="1">
      <c r="T61102" s="41"/>
    </row>
    <row r="61103" spans="20:20" s="566" customFormat="1">
      <c r="T61103" s="41"/>
    </row>
    <row r="61104" spans="20:20" s="566" customFormat="1">
      <c r="T61104" s="41"/>
    </row>
    <row r="61105" spans="20:20" s="566" customFormat="1">
      <c r="T61105" s="41"/>
    </row>
    <row r="61106" spans="20:20" s="566" customFormat="1">
      <c r="T61106" s="41"/>
    </row>
    <row r="61107" spans="20:20" s="566" customFormat="1">
      <c r="T61107" s="41"/>
    </row>
    <row r="61108" spans="20:20" s="566" customFormat="1">
      <c r="T61108" s="41"/>
    </row>
    <row r="61109" spans="20:20" s="566" customFormat="1">
      <c r="T61109" s="41"/>
    </row>
    <row r="61110" spans="20:20" s="566" customFormat="1">
      <c r="T61110" s="41"/>
    </row>
    <row r="61111" spans="20:20" s="566" customFormat="1">
      <c r="T61111" s="41"/>
    </row>
    <row r="61112" spans="20:20" s="566" customFormat="1">
      <c r="T61112" s="41"/>
    </row>
    <row r="61113" spans="20:20" s="566" customFormat="1">
      <c r="T61113" s="41"/>
    </row>
    <row r="61114" spans="20:20" s="566" customFormat="1">
      <c r="T61114" s="41"/>
    </row>
    <row r="61115" spans="20:20" s="566" customFormat="1">
      <c r="T61115" s="41"/>
    </row>
    <row r="61116" spans="20:20" s="566" customFormat="1">
      <c r="T61116" s="41"/>
    </row>
    <row r="61117" spans="20:20" s="566" customFormat="1">
      <c r="T61117" s="41"/>
    </row>
    <row r="61118" spans="20:20" s="566" customFormat="1">
      <c r="T61118" s="41"/>
    </row>
    <row r="61119" spans="20:20" s="566" customFormat="1">
      <c r="T61119" s="41"/>
    </row>
    <row r="61120" spans="20:20" s="566" customFormat="1">
      <c r="T61120" s="41"/>
    </row>
    <row r="61121" spans="20:20" s="566" customFormat="1">
      <c r="T61121" s="41"/>
    </row>
    <row r="61122" spans="20:20" s="566" customFormat="1">
      <c r="T61122" s="41"/>
    </row>
    <row r="61123" spans="20:20" s="566" customFormat="1">
      <c r="T61123" s="41"/>
    </row>
    <row r="61124" spans="20:20" s="566" customFormat="1">
      <c r="T61124" s="41"/>
    </row>
    <row r="61125" spans="20:20" s="566" customFormat="1">
      <c r="T61125" s="41"/>
    </row>
    <row r="61126" spans="20:20" s="566" customFormat="1">
      <c r="T61126" s="41"/>
    </row>
    <row r="61127" spans="20:20" s="566" customFormat="1">
      <c r="T61127" s="41"/>
    </row>
    <row r="61128" spans="20:20" s="566" customFormat="1">
      <c r="T61128" s="41"/>
    </row>
    <row r="61129" spans="20:20" s="566" customFormat="1">
      <c r="T61129" s="41"/>
    </row>
    <row r="61130" spans="20:20" s="566" customFormat="1">
      <c r="T61130" s="41"/>
    </row>
    <row r="61131" spans="20:20" s="566" customFormat="1">
      <c r="T61131" s="41"/>
    </row>
    <row r="61132" spans="20:20" s="566" customFormat="1">
      <c r="T61132" s="41"/>
    </row>
    <row r="61133" spans="20:20" s="566" customFormat="1">
      <c r="T61133" s="41"/>
    </row>
    <row r="61134" spans="20:20" s="566" customFormat="1">
      <c r="T61134" s="41"/>
    </row>
    <row r="61135" spans="20:20" s="566" customFormat="1">
      <c r="T61135" s="41"/>
    </row>
    <row r="61136" spans="20:20" s="566" customFormat="1">
      <c r="T61136" s="41"/>
    </row>
    <row r="61137" spans="20:20" s="566" customFormat="1">
      <c r="T61137" s="41"/>
    </row>
    <row r="61138" spans="20:20" s="566" customFormat="1">
      <c r="T61138" s="41"/>
    </row>
    <row r="61139" spans="20:20" s="566" customFormat="1">
      <c r="T61139" s="41"/>
    </row>
    <row r="61140" spans="20:20" s="566" customFormat="1">
      <c r="T61140" s="41"/>
    </row>
    <row r="61141" spans="20:20" s="566" customFormat="1">
      <c r="T61141" s="41"/>
    </row>
    <row r="61142" spans="20:20" s="566" customFormat="1">
      <c r="T61142" s="41"/>
    </row>
    <row r="61143" spans="20:20" s="566" customFormat="1">
      <c r="T61143" s="41"/>
    </row>
    <row r="61144" spans="20:20" s="566" customFormat="1">
      <c r="T61144" s="41"/>
    </row>
    <row r="61145" spans="20:20" s="566" customFormat="1">
      <c r="T61145" s="41"/>
    </row>
    <row r="61146" spans="20:20" s="566" customFormat="1">
      <c r="T61146" s="41"/>
    </row>
    <row r="61147" spans="20:20" s="566" customFormat="1">
      <c r="T61147" s="41"/>
    </row>
    <row r="61148" spans="20:20" s="566" customFormat="1">
      <c r="T61148" s="41"/>
    </row>
    <row r="61149" spans="20:20" s="566" customFormat="1">
      <c r="T61149" s="41"/>
    </row>
    <row r="61150" spans="20:20" s="566" customFormat="1">
      <c r="T61150" s="41"/>
    </row>
    <row r="61151" spans="20:20" s="566" customFormat="1">
      <c r="T61151" s="41"/>
    </row>
    <row r="61152" spans="20:20" s="566" customFormat="1">
      <c r="T61152" s="41"/>
    </row>
    <row r="61153" spans="20:20" s="566" customFormat="1">
      <c r="T61153" s="41"/>
    </row>
    <row r="61154" spans="20:20" s="566" customFormat="1">
      <c r="T61154" s="41"/>
    </row>
    <row r="61155" spans="20:20" s="566" customFormat="1">
      <c r="T61155" s="41"/>
    </row>
    <row r="61156" spans="20:20" s="566" customFormat="1">
      <c r="T61156" s="41"/>
    </row>
    <row r="61157" spans="20:20" s="566" customFormat="1">
      <c r="T61157" s="41"/>
    </row>
    <row r="61158" spans="20:20" s="566" customFormat="1">
      <c r="T61158" s="41"/>
    </row>
    <row r="61159" spans="20:20" s="566" customFormat="1">
      <c r="T61159" s="41"/>
    </row>
    <row r="61160" spans="20:20" s="566" customFormat="1">
      <c r="T61160" s="41"/>
    </row>
    <row r="61161" spans="20:20" s="566" customFormat="1">
      <c r="T61161" s="41"/>
    </row>
    <row r="61162" spans="20:20" s="566" customFormat="1">
      <c r="T61162" s="41"/>
    </row>
    <row r="61163" spans="20:20" s="566" customFormat="1">
      <c r="T61163" s="41"/>
    </row>
    <row r="61164" spans="20:20" s="566" customFormat="1">
      <c r="T61164" s="41"/>
    </row>
    <row r="61165" spans="20:20" s="566" customFormat="1">
      <c r="T61165" s="41"/>
    </row>
    <row r="61166" spans="20:20" s="566" customFormat="1">
      <c r="T61166" s="41"/>
    </row>
    <row r="61167" spans="20:20" s="566" customFormat="1">
      <c r="T61167" s="41"/>
    </row>
    <row r="61168" spans="20:20" s="566" customFormat="1">
      <c r="T61168" s="41"/>
    </row>
    <row r="61169" spans="20:20" s="566" customFormat="1">
      <c r="T61169" s="41"/>
    </row>
    <row r="61170" spans="20:20" s="566" customFormat="1">
      <c r="T61170" s="41"/>
    </row>
    <row r="61171" spans="20:20" s="566" customFormat="1">
      <c r="T61171" s="41"/>
    </row>
    <row r="61172" spans="20:20" s="566" customFormat="1">
      <c r="T61172" s="41"/>
    </row>
    <row r="61173" spans="20:20" s="566" customFormat="1">
      <c r="T61173" s="41"/>
    </row>
    <row r="61174" spans="20:20" s="566" customFormat="1">
      <c r="T61174" s="41"/>
    </row>
    <row r="61175" spans="20:20" s="566" customFormat="1">
      <c r="T61175" s="41"/>
    </row>
    <row r="61176" spans="20:20" s="566" customFormat="1">
      <c r="T61176" s="41"/>
    </row>
    <row r="61177" spans="20:20" s="566" customFormat="1">
      <c r="T61177" s="41"/>
    </row>
    <row r="61178" spans="20:20" s="566" customFormat="1">
      <c r="T61178" s="41"/>
    </row>
    <row r="61179" spans="20:20" s="566" customFormat="1">
      <c r="T61179" s="41"/>
    </row>
    <row r="61180" spans="20:20" s="566" customFormat="1">
      <c r="T61180" s="41"/>
    </row>
    <row r="61181" spans="20:20" s="566" customFormat="1">
      <c r="T61181" s="41"/>
    </row>
    <row r="61182" spans="20:20" s="566" customFormat="1">
      <c r="T61182" s="41"/>
    </row>
    <row r="61183" spans="20:20" s="566" customFormat="1">
      <c r="T61183" s="41"/>
    </row>
    <row r="61184" spans="20:20" s="566" customFormat="1">
      <c r="T61184" s="41"/>
    </row>
    <row r="61185" spans="20:20" s="566" customFormat="1">
      <c r="T61185" s="41"/>
    </row>
    <row r="61186" spans="20:20" s="566" customFormat="1">
      <c r="T61186" s="41"/>
    </row>
    <row r="61187" spans="20:20" s="566" customFormat="1">
      <c r="T61187" s="41"/>
    </row>
    <row r="61188" spans="20:20" s="566" customFormat="1">
      <c r="T61188" s="41"/>
    </row>
    <row r="61189" spans="20:20" s="566" customFormat="1">
      <c r="T61189" s="41"/>
    </row>
    <row r="61190" spans="20:20" s="566" customFormat="1">
      <c r="T61190" s="41"/>
    </row>
    <row r="61191" spans="20:20" s="566" customFormat="1">
      <c r="T61191" s="41"/>
    </row>
    <row r="61192" spans="20:20" s="566" customFormat="1">
      <c r="T61192" s="41"/>
    </row>
    <row r="61193" spans="20:20" s="566" customFormat="1">
      <c r="T61193" s="41"/>
    </row>
    <row r="61194" spans="20:20" s="566" customFormat="1">
      <c r="T61194" s="41"/>
    </row>
    <row r="61195" spans="20:20" s="566" customFormat="1">
      <c r="T61195" s="41"/>
    </row>
    <row r="61196" spans="20:20" s="566" customFormat="1">
      <c r="T61196" s="41"/>
    </row>
    <row r="61197" spans="20:20" s="566" customFormat="1">
      <c r="T61197" s="41"/>
    </row>
    <row r="61198" spans="20:20" s="566" customFormat="1">
      <c r="T61198" s="41"/>
    </row>
    <row r="61199" spans="20:20" s="566" customFormat="1">
      <c r="T61199" s="41"/>
    </row>
    <row r="61200" spans="20:20" s="566" customFormat="1">
      <c r="T61200" s="41"/>
    </row>
    <row r="61201" spans="20:20" s="566" customFormat="1">
      <c r="T61201" s="41"/>
    </row>
    <row r="61202" spans="20:20" s="566" customFormat="1">
      <c r="T61202" s="41"/>
    </row>
    <row r="61203" spans="20:20" s="566" customFormat="1">
      <c r="T61203" s="41"/>
    </row>
    <row r="61204" spans="20:20" s="566" customFormat="1">
      <c r="T61204" s="41"/>
    </row>
    <row r="61205" spans="20:20" s="566" customFormat="1">
      <c r="T61205" s="41"/>
    </row>
    <row r="61206" spans="20:20" s="566" customFormat="1">
      <c r="T61206" s="41"/>
    </row>
    <row r="61207" spans="20:20" s="566" customFormat="1">
      <c r="T61207" s="41"/>
    </row>
    <row r="61208" spans="20:20" s="566" customFormat="1">
      <c r="T61208" s="41"/>
    </row>
    <row r="61209" spans="20:20" s="566" customFormat="1">
      <c r="T61209" s="41"/>
    </row>
    <row r="61210" spans="20:20" s="566" customFormat="1">
      <c r="T61210" s="41"/>
    </row>
    <row r="61211" spans="20:20" s="566" customFormat="1">
      <c r="T61211" s="41"/>
    </row>
    <row r="61212" spans="20:20" s="566" customFormat="1">
      <c r="T61212" s="41"/>
    </row>
    <row r="61213" spans="20:20" s="566" customFormat="1">
      <c r="T61213" s="41"/>
    </row>
    <row r="61214" spans="20:20" s="566" customFormat="1">
      <c r="T61214" s="41"/>
    </row>
    <row r="61215" spans="20:20" s="566" customFormat="1">
      <c r="T61215" s="41"/>
    </row>
    <row r="61216" spans="20:20" s="566" customFormat="1">
      <c r="T61216" s="41"/>
    </row>
    <row r="61217" spans="20:20" s="566" customFormat="1">
      <c r="T61217" s="41"/>
    </row>
    <row r="61218" spans="20:20" s="566" customFormat="1">
      <c r="T61218" s="41"/>
    </row>
    <row r="61219" spans="20:20" s="566" customFormat="1">
      <c r="T61219" s="41"/>
    </row>
    <row r="61220" spans="20:20" s="566" customFormat="1">
      <c r="T61220" s="41"/>
    </row>
    <row r="61221" spans="20:20" s="566" customFormat="1">
      <c r="T61221" s="41"/>
    </row>
    <row r="61222" spans="20:20" s="566" customFormat="1">
      <c r="T61222" s="41"/>
    </row>
    <row r="61223" spans="20:20" s="566" customFormat="1">
      <c r="T61223" s="41"/>
    </row>
    <row r="61224" spans="20:20" s="566" customFormat="1">
      <c r="T61224" s="41"/>
    </row>
    <row r="61225" spans="20:20" s="566" customFormat="1">
      <c r="T61225" s="41"/>
    </row>
    <row r="61226" spans="20:20" s="566" customFormat="1">
      <c r="T61226" s="41"/>
    </row>
    <row r="61227" spans="20:20" s="566" customFormat="1">
      <c r="T61227" s="41"/>
    </row>
    <row r="61228" spans="20:20" s="566" customFormat="1">
      <c r="T61228" s="41"/>
    </row>
    <row r="61229" spans="20:20" s="566" customFormat="1">
      <c r="T61229" s="41"/>
    </row>
    <row r="61230" spans="20:20" s="566" customFormat="1">
      <c r="T61230" s="41"/>
    </row>
    <row r="61231" spans="20:20" s="566" customFormat="1">
      <c r="T61231" s="41"/>
    </row>
    <row r="61232" spans="20:20" s="566" customFormat="1">
      <c r="T61232" s="41"/>
    </row>
    <row r="61233" spans="20:20" s="566" customFormat="1">
      <c r="T61233" s="41"/>
    </row>
    <row r="61234" spans="20:20" s="566" customFormat="1">
      <c r="T61234" s="41"/>
    </row>
    <row r="61235" spans="20:20" s="566" customFormat="1">
      <c r="T61235" s="41"/>
    </row>
    <row r="61236" spans="20:20" s="566" customFormat="1">
      <c r="T61236" s="41"/>
    </row>
    <row r="61237" spans="20:20" s="566" customFormat="1">
      <c r="T61237" s="41"/>
    </row>
    <row r="61238" spans="20:20" s="566" customFormat="1">
      <c r="T61238" s="41"/>
    </row>
    <row r="61239" spans="20:20" s="566" customFormat="1">
      <c r="T61239" s="41"/>
    </row>
    <row r="61240" spans="20:20" s="566" customFormat="1">
      <c r="T61240" s="41"/>
    </row>
    <row r="61241" spans="20:20" s="566" customFormat="1">
      <c r="T61241" s="41"/>
    </row>
    <row r="61242" spans="20:20" s="566" customFormat="1">
      <c r="T61242" s="41"/>
    </row>
    <row r="61243" spans="20:20" s="566" customFormat="1">
      <c r="T61243" s="41"/>
    </row>
    <row r="61244" spans="20:20" s="566" customFormat="1">
      <c r="T61244" s="41"/>
    </row>
    <row r="61245" spans="20:20" s="566" customFormat="1">
      <c r="T61245" s="41"/>
    </row>
    <row r="61246" spans="20:20" s="566" customFormat="1">
      <c r="T61246" s="41"/>
    </row>
    <row r="61247" spans="20:20" s="566" customFormat="1">
      <c r="T61247" s="41"/>
    </row>
    <row r="61248" spans="20:20" s="566" customFormat="1">
      <c r="T61248" s="41"/>
    </row>
    <row r="61249" spans="20:20" s="566" customFormat="1">
      <c r="T61249" s="41"/>
    </row>
    <row r="61250" spans="20:20" s="566" customFormat="1">
      <c r="T61250" s="41"/>
    </row>
    <row r="61251" spans="20:20" s="566" customFormat="1">
      <c r="T61251" s="41"/>
    </row>
    <row r="61252" spans="20:20" s="566" customFormat="1">
      <c r="T61252" s="41"/>
    </row>
    <row r="61253" spans="20:20" s="566" customFormat="1">
      <c r="T61253" s="41"/>
    </row>
    <row r="61254" spans="20:20" s="566" customFormat="1">
      <c r="T61254" s="41"/>
    </row>
    <row r="61255" spans="20:20" s="566" customFormat="1">
      <c r="T61255" s="41"/>
    </row>
    <row r="61256" spans="20:20" s="566" customFormat="1">
      <c r="T61256" s="41"/>
    </row>
    <row r="61257" spans="20:20" s="566" customFormat="1">
      <c r="T61257" s="41"/>
    </row>
    <row r="61258" spans="20:20" s="566" customFormat="1">
      <c r="T61258" s="41"/>
    </row>
    <row r="61259" spans="20:20" s="566" customFormat="1">
      <c r="T61259" s="41"/>
    </row>
    <row r="61260" spans="20:20" s="566" customFormat="1">
      <c r="T61260" s="41"/>
    </row>
    <row r="61261" spans="20:20" s="566" customFormat="1">
      <c r="T61261" s="41"/>
    </row>
    <row r="61262" spans="20:20" s="566" customFormat="1">
      <c r="T61262" s="41"/>
    </row>
    <row r="61263" spans="20:20" s="566" customFormat="1">
      <c r="T61263" s="41"/>
    </row>
    <row r="61264" spans="20:20" s="566" customFormat="1">
      <c r="T61264" s="41"/>
    </row>
    <row r="61265" spans="20:20" s="566" customFormat="1">
      <c r="T61265" s="41"/>
    </row>
    <row r="61266" spans="20:20" s="566" customFormat="1">
      <c r="T61266" s="41"/>
    </row>
    <row r="61267" spans="20:20" s="566" customFormat="1">
      <c r="T61267" s="41"/>
    </row>
    <row r="61268" spans="20:20" s="566" customFormat="1">
      <c r="T61268" s="41"/>
    </row>
    <row r="61269" spans="20:20" s="566" customFormat="1">
      <c r="T61269" s="41"/>
    </row>
    <row r="61270" spans="20:20" s="566" customFormat="1">
      <c r="T61270" s="41"/>
    </row>
    <row r="61271" spans="20:20" s="566" customFormat="1">
      <c r="T61271" s="41"/>
    </row>
    <row r="61272" spans="20:20" s="566" customFormat="1">
      <c r="T61272" s="41"/>
    </row>
    <row r="61273" spans="20:20" s="566" customFormat="1">
      <c r="T61273" s="41"/>
    </row>
    <row r="61274" spans="20:20" s="566" customFormat="1">
      <c r="T61274" s="41"/>
    </row>
    <row r="61275" spans="20:20" s="566" customFormat="1">
      <c r="T61275" s="41"/>
    </row>
    <row r="61276" spans="20:20" s="566" customFormat="1">
      <c r="T61276" s="41"/>
    </row>
    <row r="61277" spans="20:20" s="566" customFormat="1">
      <c r="T61277" s="41"/>
    </row>
    <row r="61278" spans="20:20" s="566" customFormat="1">
      <c r="T61278" s="41"/>
    </row>
    <row r="61279" spans="20:20" s="566" customFormat="1">
      <c r="T61279" s="41"/>
    </row>
    <row r="61280" spans="20:20" s="566" customFormat="1">
      <c r="T61280" s="41"/>
    </row>
    <row r="61281" spans="20:20" s="566" customFormat="1">
      <c r="T61281" s="41"/>
    </row>
    <row r="61282" spans="20:20" s="566" customFormat="1">
      <c r="T61282" s="41"/>
    </row>
    <row r="61283" spans="20:20" s="566" customFormat="1">
      <c r="T61283" s="41"/>
    </row>
    <row r="61284" spans="20:20" s="566" customFormat="1">
      <c r="T61284" s="41"/>
    </row>
    <row r="61285" spans="20:20" s="566" customFormat="1">
      <c r="T61285" s="41"/>
    </row>
    <row r="61286" spans="20:20" s="566" customFormat="1">
      <c r="T61286" s="41"/>
    </row>
    <row r="61287" spans="20:20" s="566" customFormat="1">
      <c r="T61287" s="41"/>
    </row>
    <row r="61288" spans="20:20" s="566" customFormat="1">
      <c r="T61288" s="41"/>
    </row>
    <row r="61289" spans="20:20" s="566" customFormat="1">
      <c r="T61289" s="41"/>
    </row>
    <row r="61290" spans="20:20" s="566" customFormat="1">
      <c r="T61290" s="41"/>
    </row>
    <row r="61291" spans="20:20" s="566" customFormat="1">
      <c r="T61291" s="41"/>
    </row>
    <row r="61292" spans="20:20" s="566" customFormat="1">
      <c r="T61292" s="41"/>
    </row>
    <row r="61293" spans="20:20" s="566" customFormat="1">
      <c r="T61293" s="41"/>
    </row>
    <row r="61294" spans="20:20" s="566" customFormat="1">
      <c r="T61294" s="41"/>
    </row>
    <row r="61295" spans="20:20" s="566" customFormat="1">
      <c r="T61295" s="41"/>
    </row>
    <row r="61296" spans="20:20" s="566" customFormat="1">
      <c r="T61296" s="41"/>
    </row>
    <row r="61297" spans="20:20" s="566" customFormat="1">
      <c r="T61297" s="41"/>
    </row>
    <row r="61298" spans="20:20" s="566" customFormat="1">
      <c r="T61298" s="41"/>
    </row>
    <row r="61299" spans="20:20" s="566" customFormat="1">
      <c r="T61299" s="41"/>
    </row>
    <row r="61300" spans="20:20" s="566" customFormat="1">
      <c r="T61300" s="41"/>
    </row>
    <row r="61301" spans="20:20" s="566" customFormat="1">
      <c r="T61301" s="41"/>
    </row>
    <row r="61302" spans="20:20" s="566" customFormat="1">
      <c r="T61302" s="41"/>
    </row>
    <row r="61303" spans="20:20" s="566" customFormat="1">
      <c r="T61303" s="41"/>
    </row>
    <row r="61304" spans="20:20" s="566" customFormat="1">
      <c r="T61304" s="41"/>
    </row>
    <row r="61305" spans="20:20" s="566" customFormat="1">
      <c r="T61305" s="41"/>
    </row>
    <row r="61306" spans="20:20" s="566" customFormat="1">
      <c r="T61306" s="41"/>
    </row>
    <row r="61307" spans="20:20" s="566" customFormat="1">
      <c r="T61307" s="41"/>
    </row>
    <row r="61308" spans="20:20" s="566" customFormat="1">
      <c r="T61308" s="41"/>
    </row>
    <row r="61309" spans="20:20" s="566" customFormat="1">
      <c r="T61309" s="41"/>
    </row>
    <row r="61310" spans="20:20" s="566" customFormat="1">
      <c r="T61310" s="41"/>
    </row>
    <row r="61311" spans="20:20" s="566" customFormat="1">
      <c r="T61311" s="41"/>
    </row>
    <row r="61312" spans="20:20" s="566" customFormat="1">
      <c r="T61312" s="41"/>
    </row>
    <row r="61313" spans="20:20" s="566" customFormat="1">
      <c r="T61313" s="41"/>
    </row>
    <row r="61314" spans="20:20" s="566" customFormat="1">
      <c r="T61314" s="41"/>
    </row>
    <row r="61315" spans="20:20" s="566" customFormat="1">
      <c r="T61315" s="41"/>
    </row>
    <row r="61316" spans="20:20" s="566" customFormat="1">
      <c r="T61316" s="41"/>
    </row>
    <row r="61317" spans="20:20" s="566" customFormat="1">
      <c r="T61317" s="41"/>
    </row>
    <row r="61318" spans="20:20" s="566" customFormat="1">
      <c r="T61318" s="41"/>
    </row>
    <row r="61319" spans="20:20" s="566" customFormat="1">
      <c r="T61319" s="41"/>
    </row>
    <row r="61320" spans="20:20" s="566" customFormat="1">
      <c r="T61320" s="41"/>
    </row>
    <row r="61321" spans="20:20" s="566" customFormat="1">
      <c r="T61321" s="41"/>
    </row>
    <row r="61322" spans="20:20" s="566" customFormat="1">
      <c r="T61322" s="41"/>
    </row>
    <row r="61323" spans="20:20" s="566" customFormat="1">
      <c r="T61323" s="41"/>
    </row>
    <row r="61324" spans="20:20" s="566" customFormat="1">
      <c r="T61324" s="41"/>
    </row>
    <row r="61325" spans="20:20" s="566" customFormat="1">
      <c r="T61325" s="41"/>
    </row>
    <row r="61326" spans="20:20" s="566" customFormat="1">
      <c r="T61326" s="41"/>
    </row>
    <row r="61327" spans="20:20" s="566" customFormat="1">
      <c r="T61327" s="41"/>
    </row>
    <row r="61328" spans="20:20" s="566" customFormat="1">
      <c r="T61328" s="41"/>
    </row>
    <row r="61329" spans="20:20" s="566" customFormat="1">
      <c r="T61329" s="41"/>
    </row>
    <row r="61330" spans="20:20" s="566" customFormat="1">
      <c r="T61330" s="41"/>
    </row>
    <row r="61331" spans="20:20" s="566" customFormat="1">
      <c r="T61331" s="41"/>
    </row>
    <row r="61332" spans="20:20" s="566" customFormat="1">
      <c r="T61332" s="41"/>
    </row>
    <row r="61333" spans="20:20" s="566" customFormat="1">
      <c r="T61333" s="41"/>
    </row>
    <row r="61334" spans="20:20" s="566" customFormat="1">
      <c r="T61334" s="41"/>
    </row>
    <row r="61335" spans="20:20" s="566" customFormat="1">
      <c r="T61335" s="41"/>
    </row>
    <row r="61336" spans="20:20" s="566" customFormat="1">
      <c r="T61336" s="41"/>
    </row>
    <row r="61337" spans="20:20" s="566" customFormat="1">
      <c r="T61337" s="41"/>
    </row>
    <row r="61338" spans="20:20" s="566" customFormat="1">
      <c r="T61338" s="41"/>
    </row>
    <row r="61339" spans="20:20" s="566" customFormat="1">
      <c r="T61339" s="41"/>
    </row>
    <row r="61340" spans="20:20" s="566" customFormat="1">
      <c r="T61340" s="41"/>
    </row>
    <row r="61341" spans="20:20" s="566" customFormat="1">
      <c r="T61341" s="41"/>
    </row>
    <row r="61342" spans="20:20" s="566" customFormat="1">
      <c r="T61342" s="41"/>
    </row>
    <row r="61343" spans="20:20" s="566" customFormat="1">
      <c r="T61343" s="41"/>
    </row>
    <row r="61344" spans="20:20" s="566" customFormat="1">
      <c r="T61344" s="41"/>
    </row>
    <row r="61345" spans="20:20" s="566" customFormat="1">
      <c r="T61345" s="41"/>
    </row>
    <row r="61346" spans="20:20" s="566" customFormat="1">
      <c r="T61346" s="41"/>
    </row>
    <row r="61347" spans="20:20" s="566" customFormat="1">
      <c r="T61347" s="41"/>
    </row>
    <row r="61348" spans="20:20" s="566" customFormat="1">
      <c r="T61348" s="41"/>
    </row>
    <row r="61349" spans="20:20" s="566" customFormat="1">
      <c r="T61349" s="41"/>
    </row>
    <row r="61350" spans="20:20" s="566" customFormat="1">
      <c r="T61350" s="41"/>
    </row>
    <row r="61351" spans="20:20" s="566" customFormat="1">
      <c r="T61351" s="41"/>
    </row>
    <row r="61352" spans="20:20" s="566" customFormat="1">
      <c r="T61352" s="41"/>
    </row>
    <row r="61353" spans="20:20" s="566" customFormat="1">
      <c r="T61353" s="41"/>
    </row>
    <row r="61354" spans="20:20" s="566" customFormat="1">
      <c r="T61354" s="41"/>
    </row>
    <row r="61355" spans="20:20" s="566" customFormat="1">
      <c r="T61355" s="41"/>
    </row>
    <row r="61356" spans="20:20" s="566" customFormat="1">
      <c r="T61356" s="41"/>
    </row>
    <row r="61357" spans="20:20" s="566" customFormat="1">
      <c r="T61357" s="41"/>
    </row>
    <row r="61358" spans="20:20" s="566" customFormat="1">
      <c r="T61358" s="41"/>
    </row>
    <row r="61359" spans="20:20" s="566" customFormat="1">
      <c r="T61359" s="41"/>
    </row>
    <row r="61360" spans="20:20" s="566" customFormat="1">
      <c r="T61360" s="41"/>
    </row>
    <row r="61361" spans="20:20" s="566" customFormat="1">
      <c r="T61361" s="41"/>
    </row>
    <row r="61362" spans="20:20" s="566" customFormat="1">
      <c r="T61362" s="41"/>
    </row>
    <row r="61363" spans="20:20" s="566" customFormat="1">
      <c r="T61363" s="41"/>
    </row>
    <row r="61364" spans="20:20" s="566" customFormat="1">
      <c r="T61364" s="41"/>
    </row>
    <row r="61365" spans="20:20" s="566" customFormat="1">
      <c r="T61365" s="41"/>
    </row>
    <row r="61366" spans="20:20" s="566" customFormat="1">
      <c r="T61366" s="41"/>
    </row>
    <row r="61367" spans="20:20" s="566" customFormat="1">
      <c r="T61367" s="41"/>
    </row>
    <row r="61368" spans="20:20" s="566" customFormat="1">
      <c r="T61368" s="41"/>
    </row>
    <row r="61369" spans="20:20" s="566" customFormat="1">
      <c r="T61369" s="41"/>
    </row>
    <row r="61370" spans="20:20" s="566" customFormat="1">
      <c r="T61370" s="41"/>
    </row>
    <row r="61371" spans="20:20" s="566" customFormat="1">
      <c r="T61371" s="41"/>
    </row>
    <row r="61372" spans="20:20" s="566" customFormat="1">
      <c r="T61372" s="41"/>
    </row>
    <row r="61373" spans="20:20" s="566" customFormat="1">
      <c r="T61373" s="41"/>
    </row>
    <row r="61374" spans="20:20" s="566" customFormat="1">
      <c r="T61374" s="41"/>
    </row>
    <row r="61375" spans="20:20" s="566" customFormat="1">
      <c r="T61375" s="41"/>
    </row>
    <row r="61376" spans="20:20" s="566" customFormat="1">
      <c r="T61376" s="41"/>
    </row>
    <row r="61377" spans="20:20" s="566" customFormat="1">
      <c r="T61377" s="41"/>
    </row>
    <row r="61378" spans="20:20" s="566" customFormat="1">
      <c r="T61378" s="41"/>
    </row>
    <row r="61379" spans="20:20" s="566" customFormat="1">
      <c r="T61379" s="41"/>
    </row>
    <row r="61380" spans="20:20" s="566" customFormat="1">
      <c r="T61380" s="41"/>
    </row>
    <row r="61381" spans="20:20" s="566" customFormat="1">
      <c r="T61381" s="41"/>
    </row>
    <row r="61382" spans="20:20" s="566" customFormat="1">
      <c r="T61382" s="41"/>
    </row>
    <row r="61383" spans="20:20" s="566" customFormat="1">
      <c r="T61383" s="41"/>
    </row>
    <row r="61384" spans="20:20" s="566" customFormat="1">
      <c r="T61384" s="41"/>
    </row>
    <row r="61385" spans="20:20" s="566" customFormat="1">
      <c r="T61385" s="41"/>
    </row>
    <row r="61386" spans="20:20" s="566" customFormat="1">
      <c r="T61386" s="41"/>
    </row>
    <row r="61387" spans="20:20" s="566" customFormat="1">
      <c r="T61387" s="41"/>
    </row>
    <row r="61388" spans="20:20" s="566" customFormat="1">
      <c r="T61388" s="41"/>
    </row>
    <row r="61389" spans="20:20" s="566" customFormat="1">
      <c r="T61389" s="41"/>
    </row>
    <row r="61390" spans="20:20" s="566" customFormat="1">
      <c r="T61390" s="41"/>
    </row>
    <row r="61391" spans="20:20" s="566" customFormat="1">
      <c r="T61391" s="41"/>
    </row>
    <row r="61392" spans="20:20" s="566" customFormat="1">
      <c r="T61392" s="41"/>
    </row>
    <row r="61393" spans="20:20" s="566" customFormat="1">
      <c r="T61393" s="41"/>
    </row>
    <row r="61394" spans="20:20" s="566" customFormat="1">
      <c r="T61394" s="41"/>
    </row>
    <row r="61395" spans="20:20" s="566" customFormat="1">
      <c r="T61395" s="41"/>
    </row>
    <row r="61396" spans="20:20" s="566" customFormat="1">
      <c r="T61396" s="41"/>
    </row>
    <row r="61397" spans="20:20" s="566" customFormat="1">
      <c r="T61397" s="41"/>
    </row>
    <row r="61398" spans="20:20" s="566" customFormat="1">
      <c r="T61398" s="41"/>
    </row>
    <row r="61399" spans="20:20" s="566" customFormat="1">
      <c r="T61399" s="41"/>
    </row>
    <row r="61400" spans="20:20" s="566" customFormat="1">
      <c r="T61400" s="41"/>
    </row>
    <row r="61401" spans="20:20" s="566" customFormat="1">
      <c r="T61401" s="41"/>
    </row>
    <row r="61402" spans="20:20" s="566" customFormat="1">
      <c r="T61402" s="41"/>
    </row>
    <row r="61403" spans="20:20" s="566" customFormat="1">
      <c r="T61403" s="41"/>
    </row>
    <row r="61404" spans="20:20" s="566" customFormat="1">
      <c r="T61404" s="41"/>
    </row>
    <row r="61405" spans="20:20" s="566" customFormat="1">
      <c r="T61405" s="41"/>
    </row>
    <row r="61406" spans="20:20" s="566" customFormat="1">
      <c r="T61406" s="41"/>
    </row>
    <row r="61407" spans="20:20" s="566" customFormat="1">
      <c r="T61407" s="41"/>
    </row>
    <row r="61408" spans="20:20" s="566" customFormat="1">
      <c r="T61408" s="41"/>
    </row>
    <row r="61409" spans="20:20" s="566" customFormat="1">
      <c r="T61409" s="41"/>
    </row>
    <row r="61410" spans="20:20" s="566" customFormat="1">
      <c r="T61410" s="41"/>
    </row>
    <row r="61411" spans="20:20" s="566" customFormat="1">
      <c r="T61411" s="41"/>
    </row>
    <row r="61412" spans="20:20" s="566" customFormat="1">
      <c r="T61412" s="41"/>
    </row>
    <row r="61413" spans="20:20" s="566" customFormat="1">
      <c r="T61413" s="41"/>
    </row>
    <row r="61414" spans="20:20" s="566" customFormat="1">
      <c r="T61414" s="41"/>
    </row>
    <row r="61415" spans="20:20" s="566" customFormat="1">
      <c r="T61415" s="41"/>
    </row>
    <row r="61416" spans="20:20" s="566" customFormat="1">
      <c r="T61416" s="41"/>
    </row>
    <row r="61417" spans="20:20" s="566" customFormat="1">
      <c r="T61417" s="41"/>
    </row>
    <row r="61418" spans="20:20" s="566" customFormat="1">
      <c r="T61418" s="41"/>
    </row>
    <row r="61419" spans="20:20" s="566" customFormat="1">
      <c r="T61419" s="41"/>
    </row>
    <row r="61420" spans="20:20" s="566" customFormat="1">
      <c r="T61420" s="41"/>
    </row>
    <row r="61421" spans="20:20" s="566" customFormat="1">
      <c r="T61421" s="41"/>
    </row>
    <row r="61422" spans="20:20" s="566" customFormat="1">
      <c r="T61422" s="41"/>
    </row>
    <row r="61423" spans="20:20" s="566" customFormat="1">
      <c r="T61423" s="41"/>
    </row>
    <row r="61424" spans="20:20" s="566" customFormat="1">
      <c r="T61424" s="41"/>
    </row>
    <row r="61425" spans="20:20" s="566" customFormat="1">
      <c r="T61425" s="41"/>
    </row>
    <row r="61426" spans="20:20" s="566" customFormat="1">
      <c r="T61426" s="41"/>
    </row>
    <row r="61427" spans="20:20" s="566" customFormat="1">
      <c r="T61427" s="41"/>
    </row>
    <row r="61428" spans="20:20" s="566" customFormat="1">
      <c r="T61428" s="41"/>
    </row>
    <row r="61429" spans="20:20" s="566" customFormat="1">
      <c r="T61429" s="41"/>
    </row>
    <row r="61430" spans="20:20" s="566" customFormat="1">
      <c r="T61430" s="41"/>
    </row>
    <row r="61431" spans="20:20" s="566" customFormat="1">
      <c r="T61431" s="41"/>
    </row>
    <row r="61432" spans="20:20" s="566" customFormat="1">
      <c r="T61432" s="41"/>
    </row>
    <row r="61433" spans="20:20" s="566" customFormat="1">
      <c r="T61433" s="41"/>
    </row>
    <row r="61434" spans="20:20" s="566" customFormat="1">
      <c r="T61434" s="41"/>
    </row>
    <row r="61435" spans="20:20" s="566" customFormat="1">
      <c r="T61435" s="41"/>
    </row>
    <row r="61436" spans="20:20" s="566" customFormat="1">
      <c r="T61436" s="41"/>
    </row>
    <row r="61437" spans="20:20" s="566" customFormat="1">
      <c r="T61437" s="41"/>
    </row>
    <row r="61438" spans="20:20" s="566" customFormat="1">
      <c r="T61438" s="41"/>
    </row>
    <row r="61439" spans="20:20" s="566" customFormat="1">
      <c r="T61439" s="41"/>
    </row>
    <row r="61440" spans="20:20" s="566" customFormat="1">
      <c r="T61440" s="41"/>
    </row>
    <row r="61441" spans="20:20" s="566" customFormat="1">
      <c r="T61441" s="41"/>
    </row>
    <row r="61442" spans="20:20" s="566" customFormat="1">
      <c r="T61442" s="41"/>
    </row>
    <row r="61443" spans="20:20" s="566" customFormat="1">
      <c r="T61443" s="41"/>
    </row>
    <row r="61444" spans="20:20" s="566" customFormat="1">
      <c r="T61444" s="41"/>
    </row>
    <row r="61445" spans="20:20" s="566" customFormat="1">
      <c r="T61445" s="41"/>
    </row>
    <row r="61446" spans="20:20" s="566" customFormat="1">
      <c r="T61446" s="41"/>
    </row>
    <row r="61447" spans="20:20" s="566" customFormat="1">
      <c r="T61447" s="41"/>
    </row>
    <row r="61448" spans="20:20" s="566" customFormat="1">
      <c r="T61448" s="41"/>
    </row>
    <row r="61449" spans="20:20" s="566" customFormat="1">
      <c r="T61449" s="41"/>
    </row>
    <row r="61450" spans="20:20" s="566" customFormat="1">
      <c r="T61450" s="41"/>
    </row>
    <row r="61451" spans="20:20" s="566" customFormat="1">
      <c r="T61451" s="41"/>
    </row>
    <row r="61452" spans="20:20" s="566" customFormat="1">
      <c r="T61452" s="41"/>
    </row>
    <row r="61453" spans="20:20" s="566" customFormat="1">
      <c r="T61453" s="41"/>
    </row>
    <row r="61454" spans="20:20" s="566" customFormat="1">
      <c r="T61454" s="41"/>
    </row>
    <row r="61455" spans="20:20" s="566" customFormat="1">
      <c r="T61455" s="41"/>
    </row>
    <row r="61456" spans="20:20" s="566" customFormat="1">
      <c r="T61456" s="41"/>
    </row>
    <row r="61457" spans="20:20" s="566" customFormat="1">
      <c r="T61457" s="41"/>
    </row>
    <row r="61458" spans="20:20" s="566" customFormat="1">
      <c r="T61458" s="41"/>
    </row>
    <row r="61459" spans="20:20" s="566" customFormat="1">
      <c r="T61459" s="41"/>
    </row>
    <row r="61460" spans="20:20" s="566" customFormat="1">
      <c r="T61460" s="41"/>
    </row>
    <row r="61461" spans="20:20" s="566" customFormat="1">
      <c r="T61461" s="41"/>
    </row>
    <row r="61462" spans="20:20" s="566" customFormat="1">
      <c r="T61462" s="41"/>
    </row>
    <row r="61463" spans="20:20" s="566" customFormat="1">
      <c r="T61463" s="41"/>
    </row>
    <row r="61464" spans="20:20" s="566" customFormat="1">
      <c r="T61464" s="41"/>
    </row>
    <row r="61465" spans="20:20" s="566" customFormat="1">
      <c r="T61465" s="41"/>
    </row>
    <row r="61466" spans="20:20" s="566" customFormat="1">
      <c r="T61466" s="41"/>
    </row>
    <row r="61467" spans="20:20" s="566" customFormat="1">
      <c r="T61467" s="41"/>
    </row>
    <row r="61468" spans="20:20" s="566" customFormat="1">
      <c r="T61468" s="41"/>
    </row>
    <row r="61469" spans="20:20" s="566" customFormat="1">
      <c r="T61469" s="41"/>
    </row>
    <row r="61470" spans="20:20" s="566" customFormat="1">
      <c r="T61470" s="41"/>
    </row>
    <row r="61471" spans="20:20" s="566" customFormat="1">
      <c r="T61471" s="41"/>
    </row>
    <row r="61472" spans="20:20" s="566" customFormat="1">
      <c r="T61472" s="41"/>
    </row>
    <row r="61473" spans="20:20" s="566" customFormat="1">
      <c r="T61473" s="41"/>
    </row>
    <row r="61474" spans="20:20" s="566" customFormat="1">
      <c r="T61474" s="41"/>
    </row>
    <row r="61475" spans="20:20" s="566" customFormat="1">
      <c r="T61475" s="41"/>
    </row>
    <row r="61476" spans="20:20" s="566" customFormat="1">
      <c r="T61476" s="41"/>
    </row>
    <row r="61477" spans="20:20" s="566" customFormat="1">
      <c r="T61477" s="41"/>
    </row>
    <row r="61478" spans="20:20" s="566" customFormat="1">
      <c r="T61478" s="41"/>
    </row>
    <row r="61479" spans="20:20" s="566" customFormat="1">
      <c r="T61479" s="41"/>
    </row>
    <row r="61480" spans="20:20" s="566" customFormat="1">
      <c r="T61480" s="41"/>
    </row>
    <row r="61481" spans="20:20" s="566" customFormat="1">
      <c r="T61481" s="41"/>
    </row>
    <row r="61482" spans="20:20" s="566" customFormat="1">
      <c r="T61482" s="41"/>
    </row>
    <row r="61483" spans="20:20" s="566" customFormat="1">
      <c r="T61483" s="41"/>
    </row>
    <row r="61484" spans="20:20" s="566" customFormat="1">
      <c r="T61484" s="41"/>
    </row>
    <row r="61485" spans="20:20" s="566" customFormat="1">
      <c r="T61485" s="41"/>
    </row>
    <row r="61486" spans="20:20" s="566" customFormat="1">
      <c r="T61486" s="41"/>
    </row>
    <row r="61487" spans="20:20" s="566" customFormat="1">
      <c r="T61487" s="41"/>
    </row>
    <row r="61488" spans="20:20" s="566" customFormat="1">
      <c r="T61488" s="41"/>
    </row>
    <row r="61489" spans="20:20" s="566" customFormat="1">
      <c r="T61489" s="41"/>
    </row>
    <row r="61490" spans="20:20" s="566" customFormat="1">
      <c r="T61490" s="41"/>
    </row>
    <row r="61491" spans="20:20" s="566" customFormat="1">
      <c r="T61491" s="41"/>
    </row>
    <row r="61492" spans="20:20" s="566" customFormat="1">
      <c r="T61492" s="41"/>
    </row>
    <row r="61493" spans="20:20" s="566" customFormat="1">
      <c r="T61493" s="41"/>
    </row>
    <row r="61494" spans="20:20" s="566" customFormat="1">
      <c r="T61494" s="41"/>
    </row>
    <row r="61495" spans="20:20" s="566" customFormat="1">
      <c r="T61495" s="41"/>
    </row>
    <row r="61496" spans="20:20" s="566" customFormat="1">
      <c r="T61496" s="41"/>
    </row>
    <row r="61497" spans="20:20" s="566" customFormat="1">
      <c r="T61497" s="41"/>
    </row>
    <row r="61498" spans="20:20" s="566" customFormat="1">
      <c r="T61498" s="41"/>
    </row>
    <row r="61499" spans="20:20" s="566" customFormat="1">
      <c r="T61499" s="41"/>
    </row>
    <row r="61500" spans="20:20" s="566" customFormat="1">
      <c r="T61500" s="41"/>
    </row>
    <row r="61501" spans="20:20" s="566" customFormat="1">
      <c r="T61501" s="41"/>
    </row>
    <row r="61502" spans="20:20" s="566" customFormat="1">
      <c r="T61502" s="41"/>
    </row>
    <row r="61503" spans="20:20" s="566" customFormat="1">
      <c r="T61503" s="41"/>
    </row>
    <row r="61504" spans="20:20" s="566" customFormat="1">
      <c r="T61504" s="41"/>
    </row>
    <row r="61505" spans="20:20" s="566" customFormat="1">
      <c r="T61505" s="41"/>
    </row>
    <row r="61506" spans="20:20" s="566" customFormat="1">
      <c r="T61506" s="41"/>
    </row>
    <row r="61507" spans="20:20" s="566" customFormat="1">
      <c r="T61507" s="41"/>
    </row>
    <row r="61508" spans="20:20" s="566" customFormat="1">
      <c r="T61508" s="41"/>
    </row>
    <row r="61509" spans="20:20" s="566" customFormat="1">
      <c r="T61509" s="41"/>
    </row>
    <row r="61510" spans="20:20" s="566" customFormat="1">
      <c r="T61510" s="41"/>
    </row>
    <row r="61511" spans="20:20" s="566" customFormat="1">
      <c r="T61511" s="41"/>
    </row>
    <row r="61512" spans="20:20" s="566" customFormat="1">
      <c r="T61512" s="41"/>
    </row>
    <row r="61513" spans="20:20" s="566" customFormat="1">
      <c r="T61513" s="41"/>
    </row>
    <row r="61514" spans="20:20" s="566" customFormat="1">
      <c r="T61514" s="41"/>
    </row>
    <row r="61515" spans="20:20" s="566" customFormat="1">
      <c r="T61515" s="41"/>
    </row>
    <row r="61516" spans="20:20" s="566" customFormat="1">
      <c r="T61516" s="41"/>
    </row>
    <row r="61517" spans="20:20" s="566" customFormat="1">
      <c r="T61517" s="41"/>
    </row>
    <row r="61518" spans="20:20" s="566" customFormat="1">
      <c r="T61518" s="41"/>
    </row>
    <row r="61519" spans="20:20" s="566" customFormat="1">
      <c r="T61519" s="41"/>
    </row>
    <row r="61520" spans="20:20" s="566" customFormat="1">
      <c r="T61520" s="41"/>
    </row>
    <row r="61521" spans="20:20" s="566" customFormat="1">
      <c r="T61521" s="41"/>
    </row>
    <row r="61522" spans="20:20" s="566" customFormat="1">
      <c r="T61522" s="41"/>
    </row>
    <row r="61523" spans="20:20" s="566" customFormat="1">
      <c r="T61523" s="41"/>
    </row>
    <row r="61524" spans="20:20" s="566" customFormat="1">
      <c r="T61524" s="41"/>
    </row>
    <row r="61525" spans="20:20" s="566" customFormat="1">
      <c r="T61525" s="41"/>
    </row>
    <row r="61526" spans="20:20" s="566" customFormat="1">
      <c r="T61526" s="41"/>
    </row>
    <row r="61527" spans="20:20" s="566" customFormat="1">
      <c r="T61527" s="41"/>
    </row>
    <row r="61528" spans="20:20" s="566" customFormat="1">
      <c r="T61528" s="41"/>
    </row>
    <row r="61529" spans="20:20" s="566" customFormat="1">
      <c r="T61529" s="41"/>
    </row>
    <row r="61530" spans="20:20" s="566" customFormat="1">
      <c r="T61530" s="41"/>
    </row>
    <row r="61531" spans="20:20" s="566" customFormat="1">
      <c r="T61531" s="41"/>
    </row>
    <row r="61532" spans="20:20" s="566" customFormat="1">
      <c r="T61532" s="41"/>
    </row>
    <row r="61533" spans="20:20" s="566" customFormat="1">
      <c r="T61533" s="41"/>
    </row>
    <row r="61534" spans="20:20" s="566" customFormat="1">
      <c r="T61534" s="41"/>
    </row>
    <row r="61535" spans="20:20" s="566" customFormat="1">
      <c r="T61535" s="41"/>
    </row>
    <row r="61536" spans="20:20" s="566" customFormat="1">
      <c r="T61536" s="41"/>
    </row>
    <row r="61537" spans="20:20" s="566" customFormat="1">
      <c r="T61537" s="41"/>
    </row>
    <row r="61538" spans="20:20" s="566" customFormat="1">
      <c r="T61538" s="41"/>
    </row>
    <row r="61539" spans="20:20" s="566" customFormat="1">
      <c r="T61539" s="41"/>
    </row>
    <row r="61540" spans="20:20" s="566" customFormat="1">
      <c r="T61540" s="41"/>
    </row>
    <row r="61541" spans="20:20" s="566" customFormat="1">
      <c r="T61541" s="41"/>
    </row>
    <row r="61542" spans="20:20" s="566" customFormat="1">
      <c r="T61542" s="41"/>
    </row>
    <row r="61543" spans="20:20" s="566" customFormat="1">
      <c r="T61543" s="41"/>
    </row>
    <row r="61544" spans="20:20" s="566" customFormat="1">
      <c r="T61544" s="41"/>
    </row>
    <row r="61545" spans="20:20" s="566" customFormat="1">
      <c r="T61545" s="41"/>
    </row>
    <row r="61546" spans="20:20" s="566" customFormat="1">
      <c r="T61546" s="41"/>
    </row>
    <row r="61547" spans="20:20" s="566" customFormat="1">
      <c r="T61547" s="41"/>
    </row>
    <row r="61548" spans="20:20" s="566" customFormat="1">
      <c r="T61548" s="41"/>
    </row>
    <row r="61549" spans="20:20" s="566" customFormat="1">
      <c r="T61549" s="41"/>
    </row>
    <row r="61550" spans="20:20" s="566" customFormat="1">
      <c r="T61550" s="41"/>
    </row>
    <row r="61551" spans="20:20" s="566" customFormat="1">
      <c r="T61551" s="41"/>
    </row>
    <row r="61552" spans="20:20" s="566" customFormat="1">
      <c r="T61552" s="41"/>
    </row>
    <row r="61553" spans="20:20" s="566" customFormat="1">
      <c r="T61553" s="41"/>
    </row>
    <row r="61554" spans="20:20" s="566" customFormat="1">
      <c r="T61554" s="41"/>
    </row>
    <row r="61555" spans="20:20" s="566" customFormat="1">
      <c r="T61555" s="41"/>
    </row>
    <row r="61556" spans="20:20" s="566" customFormat="1">
      <c r="T61556" s="41"/>
    </row>
    <row r="61557" spans="20:20" s="566" customFormat="1">
      <c r="T61557" s="41"/>
    </row>
    <row r="61558" spans="20:20" s="566" customFormat="1">
      <c r="T61558" s="41"/>
    </row>
    <row r="61559" spans="20:20" s="566" customFormat="1">
      <c r="T61559" s="41"/>
    </row>
    <row r="61560" spans="20:20" s="566" customFormat="1">
      <c r="T61560" s="41"/>
    </row>
    <row r="61561" spans="20:20" s="566" customFormat="1">
      <c r="T61561" s="41"/>
    </row>
    <row r="61562" spans="20:20" s="566" customFormat="1">
      <c r="T61562" s="41"/>
    </row>
    <row r="61563" spans="20:20" s="566" customFormat="1">
      <c r="T61563" s="41"/>
    </row>
    <row r="61564" spans="20:20" s="566" customFormat="1">
      <c r="T61564" s="41"/>
    </row>
    <row r="61565" spans="20:20" s="566" customFormat="1">
      <c r="T61565" s="41"/>
    </row>
    <row r="61566" spans="20:20" s="566" customFormat="1">
      <c r="T61566" s="41"/>
    </row>
    <row r="61567" spans="20:20" s="566" customFormat="1">
      <c r="T61567" s="41"/>
    </row>
    <row r="61568" spans="20:20" s="566" customFormat="1">
      <c r="T61568" s="41"/>
    </row>
    <row r="61569" spans="20:20" s="566" customFormat="1">
      <c r="T61569" s="41"/>
    </row>
    <row r="61570" spans="20:20" s="566" customFormat="1">
      <c r="T61570" s="41"/>
    </row>
    <row r="61571" spans="20:20" s="566" customFormat="1">
      <c r="T61571" s="41"/>
    </row>
    <row r="61572" spans="20:20" s="566" customFormat="1">
      <c r="T61572" s="41"/>
    </row>
    <row r="61573" spans="20:20" s="566" customFormat="1">
      <c r="T61573" s="41"/>
    </row>
    <row r="61574" spans="20:20" s="566" customFormat="1">
      <c r="T61574" s="41"/>
    </row>
    <row r="61575" spans="20:20" s="566" customFormat="1">
      <c r="T61575" s="41"/>
    </row>
    <row r="61576" spans="20:20" s="566" customFormat="1">
      <c r="T61576" s="41"/>
    </row>
    <row r="61577" spans="20:20" s="566" customFormat="1">
      <c r="T61577" s="41"/>
    </row>
    <row r="61578" spans="20:20" s="566" customFormat="1">
      <c r="T61578" s="41"/>
    </row>
    <row r="61579" spans="20:20" s="566" customFormat="1">
      <c r="T61579" s="41"/>
    </row>
    <row r="61580" spans="20:20" s="566" customFormat="1">
      <c r="T61580" s="41"/>
    </row>
    <row r="61581" spans="20:20" s="566" customFormat="1">
      <c r="T61581" s="41"/>
    </row>
    <row r="61582" spans="20:20" s="566" customFormat="1">
      <c r="T61582" s="41"/>
    </row>
    <row r="61583" spans="20:20" s="566" customFormat="1">
      <c r="T61583" s="41"/>
    </row>
    <row r="61584" spans="20:20" s="566" customFormat="1">
      <c r="T61584" s="41"/>
    </row>
    <row r="61585" spans="20:20" s="566" customFormat="1">
      <c r="T61585" s="41"/>
    </row>
    <row r="61586" spans="20:20" s="566" customFormat="1">
      <c r="T61586" s="41"/>
    </row>
    <row r="61587" spans="20:20" s="566" customFormat="1">
      <c r="T61587" s="41"/>
    </row>
    <row r="61588" spans="20:20" s="566" customFormat="1">
      <c r="T61588" s="41"/>
    </row>
    <row r="61589" spans="20:20" s="566" customFormat="1">
      <c r="T61589" s="41"/>
    </row>
    <row r="61590" spans="20:20" s="566" customFormat="1">
      <c r="T61590" s="41"/>
    </row>
    <row r="61591" spans="20:20" s="566" customFormat="1">
      <c r="T61591" s="41"/>
    </row>
    <row r="61592" spans="20:20" s="566" customFormat="1">
      <c r="T61592" s="41"/>
    </row>
    <row r="61593" spans="20:20" s="566" customFormat="1">
      <c r="T61593" s="41"/>
    </row>
    <row r="61594" spans="20:20" s="566" customFormat="1">
      <c r="T61594" s="41"/>
    </row>
    <row r="61595" spans="20:20" s="566" customFormat="1">
      <c r="T61595" s="41"/>
    </row>
    <row r="61596" spans="20:20" s="566" customFormat="1">
      <c r="T61596" s="41"/>
    </row>
    <row r="61597" spans="20:20" s="566" customFormat="1">
      <c r="T61597" s="41"/>
    </row>
    <row r="61598" spans="20:20" s="566" customFormat="1">
      <c r="T61598" s="41"/>
    </row>
    <row r="61599" spans="20:20" s="566" customFormat="1">
      <c r="T61599" s="41"/>
    </row>
    <row r="61600" spans="20:20" s="566" customFormat="1">
      <c r="T61600" s="41"/>
    </row>
    <row r="61601" spans="20:20" s="566" customFormat="1">
      <c r="T61601" s="41"/>
    </row>
    <row r="61602" spans="20:20" s="566" customFormat="1">
      <c r="T61602" s="41"/>
    </row>
    <row r="61603" spans="20:20" s="566" customFormat="1">
      <c r="T61603" s="41"/>
    </row>
    <row r="61604" spans="20:20" s="566" customFormat="1">
      <c r="T61604" s="41"/>
    </row>
    <row r="61605" spans="20:20" s="566" customFormat="1">
      <c r="T61605" s="41"/>
    </row>
    <row r="61606" spans="20:20" s="566" customFormat="1">
      <c r="T61606" s="41"/>
    </row>
    <row r="61607" spans="20:20" s="566" customFormat="1">
      <c r="T61607" s="41"/>
    </row>
    <row r="61608" spans="20:20" s="566" customFormat="1">
      <c r="T61608" s="41"/>
    </row>
    <row r="61609" spans="20:20" s="566" customFormat="1">
      <c r="T61609" s="41"/>
    </row>
    <row r="61610" spans="20:20" s="566" customFormat="1">
      <c r="T61610" s="41"/>
    </row>
    <row r="61611" spans="20:20" s="566" customFormat="1">
      <c r="T61611" s="41"/>
    </row>
    <row r="61612" spans="20:20" s="566" customFormat="1">
      <c r="T61612" s="41"/>
    </row>
    <row r="61613" spans="20:20" s="566" customFormat="1">
      <c r="T61613" s="41"/>
    </row>
    <row r="61614" spans="20:20" s="566" customFormat="1">
      <c r="T61614" s="41"/>
    </row>
    <row r="61615" spans="20:20" s="566" customFormat="1">
      <c r="T61615" s="41"/>
    </row>
    <row r="61616" spans="20:20" s="566" customFormat="1">
      <c r="T61616" s="41"/>
    </row>
    <row r="61617" spans="20:20" s="566" customFormat="1">
      <c r="T61617" s="41"/>
    </row>
    <row r="61618" spans="20:20" s="566" customFormat="1">
      <c r="T61618" s="41"/>
    </row>
    <row r="61619" spans="20:20" s="566" customFormat="1">
      <c r="T61619" s="41"/>
    </row>
    <row r="61620" spans="20:20" s="566" customFormat="1">
      <c r="T61620" s="41"/>
    </row>
    <row r="61621" spans="20:20" s="566" customFormat="1">
      <c r="T61621" s="41"/>
    </row>
    <row r="61622" spans="20:20" s="566" customFormat="1">
      <c r="T61622" s="41"/>
    </row>
    <row r="61623" spans="20:20" s="566" customFormat="1">
      <c r="T61623" s="41"/>
    </row>
    <row r="61624" spans="20:20" s="566" customFormat="1">
      <c r="T61624" s="41"/>
    </row>
    <row r="61625" spans="20:20" s="566" customFormat="1">
      <c r="T61625" s="41"/>
    </row>
    <row r="61626" spans="20:20" s="566" customFormat="1">
      <c r="T61626" s="41"/>
    </row>
    <row r="61627" spans="20:20" s="566" customFormat="1">
      <c r="T61627" s="41"/>
    </row>
    <row r="61628" spans="20:20" s="566" customFormat="1">
      <c r="T61628" s="41"/>
    </row>
    <row r="61629" spans="20:20" s="566" customFormat="1">
      <c r="T61629" s="41"/>
    </row>
    <row r="61630" spans="20:20" s="566" customFormat="1">
      <c r="T61630" s="41"/>
    </row>
    <row r="61631" spans="20:20" s="566" customFormat="1">
      <c r="T61631" s="41"/>
    </row>
    <row r="61632" spans="20:20" s="566" customFormat="1">
      <c r="T61632" s="41"/>
    </row>
    <row r="61633" spans="20:20" s="566" customFormat="1">
      <c r="T61633" s="41"/>
    </row>
    <row r="61634" spans="20:20" s="566" customFormat="1">
      <c r="T61634" s="41"/>
    </row>
    <row r="61635" spans="20:20" s="566" customFormat="1">
      <c r="T61635" s="41"/>
    </row>
    <row r="61636" spans="20:20" s="566" customFormat="1">
      <c r="T61636" s="41"/>
    </row>
    <row r="61637" spans="20:20" s="566" customFormat="1">
      <c r="T61637" s="41"/>
    </row>
    <row r="61638" spans="20:20" s="566" customFormat="1">
      <c r="T61638" s="41"/>
    </row>
    <row r="61639" spans="20:20" s="566" customFormat="1">
      <c r="T61639" s="41"/>
    </row>
    <row r="61640" spans="20:20" s="566" customFormat="1">
      <c r="T61640" s="41"/>
    </row>
    <row r="61641" spans="20:20" s="566" customFormat="1">
      <c r="T61641" s="41"/>
    </row>
    <row r="61642" spans="20:20" s="566" customFormat="1">
      <c r="T61642" s="41"/>
    </row>
    <row r="61643" spans="20:20" s="566" customFormat="1">
      <c r="T61643" s="41"/>
    </row>
    <row r="61644" spans="20:20" s="566" customFormat="1">
      <c r="T61644" s="41"/>
    </row>
    <row r="61645" spans="20:20" s="566" customFormat="1">
      <c r="T61645" s="41"/>
    </row>
    <row r="61646" spans="20:20" s="566" customFormat="1">
      <c r="T61646" s="41"/>
    </row>
    <row r="61647" spans="20:20" s="566" customFormat="1">
      <c r="T61647" s="41"/>
    </row>
    <row r="61648" spans="20:20" s="566" customFormat="1">
      <c r="T61648" s="41"/>
    </row>
    <row r="61649" spans="20:20" s="566" customFormat="1">
      <c r="T61649" s="41"/>
    </row>
    <row r="61650" spans="20:20" s="566" customFormat="1">
      <c r="T61650" s="41"/>
    </row>
    <row r="61651" spans="20:20" s="566" customFormat="1">
      <c r="T61651" s="41"/>
    </row>
    <row r="61652" spans="20:20" s="566" customFormat="1">
      <c r="T61652" s="41"/>
    </row>
    <row r="61653" spans="20:20" s="566" customFormat="1">
      <c r="T61653" s="41"/>
    </row>
    <row r="61654" spans="20:20" s="566" customFormat="1">
      <c r="T61654" s="41"/>
    </row>
    <row r="61655" spans="20:20" s="566" customFormat="1">
      <c r="T61655" s="41"/>
    </row>
    <row r="61656" spans="20:20" s="566" customFormat="1">
      <c r="T61656" s="41"/>
    </row>
    <row r="61657" spans="20:20" s="566" customFormat="1">
      <c r="T61657" s="41"/>
    </row>
    <row r="61658" spans="20:20" s="566" customFormat="1">
      <c r="T61658" s="41"/>
    </row>
    <row r="61659" spans="20:20" s="566" customFormat="1">
      <c r="T61659" s="41"/>
    </row>
    <row r="61660" spans="20:20" s="566" customFormat="1">
      <c r="T61660" s="41"/>
    </row>
    <row r="61661" spans="20:20" s="566" customFormat="1">
      <c r="T61661" s="41"/>
    </row>
    <row r="61662" spans="20:20" s="566" customFormat="1">
      <c r="T61662" s="41"/>
    </row>
    <row r="61663" spans="20:20" s="566" customFormat="1">
      <c r="T61663" s="41"/>
    </row>
    <row r="61664" spans="20:20" s="566" customFormat="1">
      <c r="T61664" s="41"/>
    </row>
    <row r="61665" spans="20:20" s="566" customFormat="1">
      <c r="T61665" s="41"/>
    </row>
    <row r="61666" spans="20:20" s="566" customFormat="1">
      <c r="T61666" s="41"/>
    </row>
    <row r="61667" spans="20:20" s="566" customFormat="1">
      <c r="T61667" s="41"/>
    </row>
    <row r="61668" spans="20:20" s="566" customFormat="1">
      <c r="T61668" s="41"/>
    </row>
    <row r="61669" spans="20:20" s="566" customFormat="1">
      <c r="T61669" s="41"/>
    </row>
    <row r="61670" spans="20:20" s="566" customFormat="1">
      <c r="T61670" s="41"/>
    </row>
    <row r="61671" spans="20:20" s="566" customFormat="1">
      <c r="T61671" s="41"/>
    </row>
    <row r="61672" spans="20:20" s="566" customFormat="1">
      <c r="T61672" s="41"/>
    </row>
    <row r="61673" spans="20:20" s="566" customFormat="1">
      <c r="T61673" s="41"/>
    </row>
    <row r="61674" spans="20:20" s="566" customFormat="1">
      <c r="T61674" s="41"/>
    </row>
    <row r="61675" spans="20:20" s="566" customFormat="1">
      <c r="T61675" s="41"/>
    </row>
    <row r="61676" spans="20:20" s="566" customFormat="1">
      <c r="T61676" s="41"/>
    </row>
    <row r="61677" spans="20:20" s="566" customFormat="1">
      <c r="T61677" s="41"/>
    </row>
    <row r="61678" spans="20:20" s="566" customFormat="1">
      <c r="T61678" s="41"/>
    </row>
    <row r="61679" spans="20:20" s="566" customFormat="1">
      <c r="T61679" s="41"/>
    </row>
    <row r="61680" spans="20:20" s="566" customFormat="1">
      <c r="T61680" s="41"/>
    </row>
    <row r="61681" spans="20:20" s="566" customFormat="1">
      <c r="T61681" s="41"/>
    </row>
    <row r="61682" spans="20:20" s="566" customFormat="1">
      <c r="T61682" s="41"/>
    </row>
    <row r="61683" spans="20:20" s="566" customFormat="1">
      <c r="T61683" s="41"/>
    </row>
    <row r="61684" spans="20:20" s="566" customFormat="1">
      <c r="T61684" s="41"/>
    </row>
    <row r="61685" spans="20:20" s="566" customFormat="1">
      <c r="T61685" s="41"/>
    </row>
    <row r="61686" spans="20:20" s="566" customFormat="1">
      <c r="T61686" s="41"/>
    </row>
    <row r="61687" spans="20:20" s="566" customFormat="1">
      <c r="T61687" s="41"/>
    </row>
    <row r="61688" spans="20:20" s="566" customFormat="1">
      <c r="T61688" s="41"/>
    </row>
    <row r="61689" spans="20:20" s="566" customFormat="1">
      <c r="T61689" s="41"/>
    </row>
    <row r="61690" spans="20:20" s="566" customFormat="1">
      <c r="T61690" s="41"/>
    </row>
    <row r="61691" spans="20:20" s="566" customFormat="1">
      <c r="T61691" s="41"/>
    </row>
    <row r="61692" spans="20:20" s="566" customFormat="1">
      <c r="T61692" s="41"/>
    </row>
    <row r="61693" spans="20:20" s="566" customFormat="1">
      <c r="T61693" s="41"/>
    </row>
    <row r="61694" spans="20:20" s="566" customFormat="1">
      <c r="T61694" s="41"/>
    </row>
    <row r="61695" spans="20:20" s="566" customFormat="1">
      <c r="T61695" s="41"/>
    </row>
    <row r="61696" spans="20:20" s="566" customFormat="1">
      <c r="T61696" s="41"/>
    </row>
    <row r="61697" spans="20:20" s="566" customFormat="1">
      <c r="T61697" s="41"/>
    </row>
    <row r="61698" spans="20:20" s="566" customFormat="1">
      <c r="T61698" s="41"/>
    </row>
    <row r="61699" spans="20:20" s="566" customFormat="1">
      <c r="T61699" s="41"/>
    </row>
    <row r="61700" spans="20:20" s="566" customFormat="1">
      <c r="T61700" s="41"/>
    </row>
    <row r="61701" spans="20:20" s="566" customFormat="1">
      <c r="T61701" s="41"/>
    </row>
    <row r="61702" spans="20:20" s="566" customFormat="1">
      <c r="T61702" s="41"/>
    </row>
    <row r="61703" spans="20:20" s="566" customFormat="1">
      <c r="T61703" s="41"/>
    </row>
    <row r="61704" spans="20:20" s="566" customFormat="1">
      <c r="T61704" s="41"/>
    </row>
    <row r="61705" spans="20:20" s="566" customFormat="1">
      <c r="T61705" s="41"/>
    </row>
    <row r="61706" spans="20:20" s="566" customFormat="1">
      <c r="T61706" s="41"/>
    </row>
    <row r="61707" spans="20:20" s="566" customFormat="1">
      <c r="T61707" s="41"/>
    </row>
    <row r="61708" spans="20:20" s="566" customFormat="1">
      <c r="T61708" s="41"/>
    </row>
    <row r="61709" spans="20:20" s="566" customFormat="1">
      <c r="T61709" s="41"/>
    </row>
    <row r="61710" spans="20:20" s="566" customFormat="1">
      <c r="T61710" s="41"/>
    </row>
    <row r="61711" spans="20:20" s="566" customFormat="1">
      <c r="T61711" s="41"/>
    </row>
    <row r="61712" spans="20:20" s="566" customFormat="1">
      <c r="T61712" s="41"/>
    </row>
    <row r="61713" spans="20:20" s="566" customFormat="1">
      <c r="T61713" s="41"/>
    </row>
    <row r="61714" spans="20:20" s="566" customFormat="1">
      <c r="T61714" s="41"/>
    </row>
    <row r="61715" spans="20:20" s="566" customFormat="1">
      <c r="T61715" s="41"/>
    </row>
    <row r="61716" spans="20:20" s="566" customFormat="1">
      <c r="T61716" s="41"/>
    </row>
    <row r="61717" spans="20:20" s="566" customFormat="1">
      <c r="T61717" s="41"/>
    </row>
    <row r="61718" spans="20:20" s="566" customFormat="1">
      <c r="T61718" s="41"/>
    </row>
    <row r="61719" spans="20:20" s="566" customFormat="1">
      <c r="T61719" s="41"/>
    </row>
    <row r="61720" spans="20:20" s="566" customFormat="1">
      <c r="T61720" s="41"/>
    </row>
    <row r="61721" spans="20:20" s="566" customFormat="1">
      <c r="T61721" s="41"/>
    </row>
    <row r="61722" spans="20:20" s="566" customFormat="1">
      <c r="T61722" s="41"/>
    </row>
    <row r="61723" spans="20:20" s="566" customFormat="1">
      <c r="T61723" s="41"/>
    </row>
    <row r="61724" spans="20:20" s="566" customFormat="1">
      <c r="T61724" s="41"/>
    </row>
    <row r="61725" spans="20:20" s="566" customFormat="1">
      <c r="T61725" s="41"/>
    </row>
    <row r="61726" spans="20:20" s="566" customFormat="1">
      <c r="T61726" s="41"/>
    </row>
    <row r="61727" spans="20:20" s="566" customFormat="1">
      <c r="T61727" s="41"/>
    </row>
    <row r="61728" spans="20:20" s="566" customFormat="1">
      <c r="T61728" s="41"/>
    </row>
    <row r="61729" spans="20:20" s="566" customFormat="1">
      <c r="T61729" s="41"/>
    </row>
    <row r="61730" spans="20:20" s="566" customFormat="1">
      <c r="T61730" s="41"/>
    </row>
    <row r="61731" spans="20:20" s="566" customFormat="1">
      <c r="T61731" s="41"/>
    </row>
    <row r="61732" spans="20:20" s="566" customFormat="1">
      <c r="T61732" s="41"/>
    </row>
    <row r="61733" spans="20:20" s="566" customFormat="1">
      <c r="T61733" s="41"/>
    </row>
    <row r="61734" spans="20:20" s="566" customFormat="1">
      <c r="T61734" s="41"/>
    </row>
    <row r="61735" spans="20:20" s="566" customFormat="1">
      <c r="T61735" s="41"/>
    </row>
    <row r="61736" spans="20:20" s="566" customFormat="1">
      <c r="T61736" s="41"/>
    </row>
    <row r="61737" spans="20:20" s="566" customFormat="1">
      <c r="T61737" s="41"/>
    </row>
    <row r="61738" spans="20:20" s="566" customFormat="1">
      <c r="T61738" s="41"/>
    </row>
    <row r="61739" spans="20:20" s="566" customFormat="1">
      <c r="T61739" s="41"/>
    </row>
    <row r="61740" spans="20:20" s="566" customFormat="1">
      <c r="T61740" s="41"/>
    </row>
    <row r="61741" spans="20:20" s="566" customFormat="1">
      <c r="T61741" s="41"/>
    </row>
    <row r="61742" spans="20:20" s="566" customFormat="1">
      <c r="T61742" s="41"/>
    </row>
    <row r="61743" spans="20:20" s="566" customFormat="1">
      <c r="T61743" s="41"/>
    </row>
    <row r="61744" spans="20:20" s="566" customFormat="1">
      <c r="T61744" s="41"/>
    </row>
    <row r="61745" spans="20:20" s="566" customFormat="1">
      <c r="T61745" s="41"/>
    </row>
    <row r="61746" spans="20:20" s="566" customFormat="1">
      <c r="T61746" s="41"/>
    </row>
    <row r="61747" spans="20:20" s="566" customFormat="1">
      <c r="T61747" s="41"/>
    </row>
    <row r="61748" spans="20:20" s="566" customFormat="1">
      <c r="T61748" s="41"/>
    </row>
    <row r="61749" spans="20:20" s="566" customFormat="1">
      <c r="T61749" s="41"/>
    </row>
    <row r="61750" spans="20:20" s="566" customFormat="1">
      <c r="T61750" s="41"/>
    </row>
    <row r="61751" spans="20:20" s="566" customFormat="1">
      <c r="T61751" s="41"/>
    </row>
    <row r="61752" spans="20:20" s="566" customFormat="1">
      <c r="T61752" s="41"/>
    </row>
    <row r="61753" spans="20:20" s="566" customFormat="1">
      <c r="T61753" s="41"/>
    </row>
    <row r="61754" spans="20:20" s="566" customFormat="1">
      <c r="T61754" s="41"/>
    </row>
    <row r="61755" spans="20:20" s="566" customFormat="1">
      <c r="T61755" s="41"/>
    </row>
    <row r="61756" spans="20:20" s="566" customFormat="1">
      <c r="T61756" s="41"/>
    </row>
    <row r="61757" spans="20:20" s="566" customFormat="1">
      <c r="T61757" s="41"/>
    </row>
    <row r="61758" spans="20:20" s="566" customFormat="1">
      <c r="T61758" s="41"/>
    </row>
    <row r="61759" spans="20:20" s="566" customFormat="1">
      <c r="T61759" s="41"/>
    </row>
    <row r="61760" spans="20:20" s="566" customFormat="1">
      <c r="T61760" s="41"/>
    </row>
    <row r="61761" spans="20:20" s="566" customFormat="1">
      <c r="T61761" s="41"/>
    </row>
    <row r="61762" spans="20:20" s="566" customFormat="1">
      <c r="T61762" s="41"/>
    </row>
    <row r="61763" spans="20:20" s="566" customFormat="1">
      <c r="T61763" s="41"/>
    </row>
    <row r="61764" spans="20:20" s="566" customFormat="1">
      <c r="T61764" s="41"/>
    </row>
    <row r="61765" spans="20:20" s="566" customFormat="1">
      <c r="T61765" s="41"/>
    </row>
    <row r="61766" spans="20:20" s="566" customFormat="1">
      <c r="T61766" s="41"/>
    </row>
    <row r="61767" spans="20:20" s="566" customFormat="1">
      <c r="T61767" s="41"/>
    </row>
    <row r="61768" spans="20:20" s="566" customFormat="1">
      <c r="T61768" s="41"/>
    </row>
    <row r="61769" spans="20:20" s="566" customFormat="1">
      <c r="T61769" s="41"/>
    </row>
    <row r="61770" spans="20:20" s="566" customFormat="1">
      <c r="T61770" s="41"/>
    </row>
    <row r="61771" spans="20:20" s="566" customFormat="1">
      <c r="T61771" s="41"/>
    </row>
    <row r="61772" spans="20:20" s="566" customFormat="1">
      <c r="T61772" s="41"/>
    </row>
    <row r="61773" spans="20:20" s="566" customFormat="1">
      <c r="T61773" s="41"/>
    </row>
    <row r="61774" spans="20:20" s="566" customFormat="1">
      <c r="T61774" s="41"/>
    </row>
    <row r="61775" spans="20:20" s="566" customFormat="1">
      <c r="T61775" s="41"/>
    </row>
    <row r="61776" spans="20:20" s="566" customFormat="1">
      <c r="T61776" s="41"/>
    </row>
    <row r="61777" spans="20:20" s="566" customFormat="1">
      <c r="T61777" s="41"/>
    </row>
    <row r="61778" spans="20:20" s="566" customFormat="1">
      <c r="T61778" s="41"/>
    </row>
    <row r="61779" spans="20:20" s="566" customFormat="1">
      <c r="T61779" s="41"/>
    </row>
    <row r="61780" spans="20:20" s="566" customFormat="1">
      <c r="T61780" s="41"/>
    </row>
    <row r="61781" spans="20:20" s="566" customFormat="1">
      <c r="T61781" s="41"/>
    </row>
    <row r="61782" spans="20:20" s="566" customFormat="1">
      <c r="T61782" s="41"/>
    </row>
    <row r="61783" spans="20:20" s="566" customFormat="1">
      <c r="T61783" s="41"/>
    </row>
    <row r="61784" spans="20:20" s="566" customFormat="1">
      <c r="T61784" s="41"/>
    </row>
    <row r="61785" spans="20:20" s="566" customFormat="1">
      <c r="T61785" s="41"/>
    </row>
    <row r="61786" spans="20:20" s="566" customFormat="1">
      <c r="T61786" s="41"/>
    </row>
    <row r="61787" spans="20:20" s="566" customFormat="1">
      <c r="T61787" s="41"/>
    </row>
    <row r="61788" spans="20:20" s="566" customFormat="1">
      <c r="T61788" s="41"/>
    </row>
    <row r="61789" spans="20:20" s="566" customFormat="1">
      <c r="T61789" s="41"/>
    </row>
    <row r="61790" spans="20:20" s="566" customFormat="1">
      <c r="T61790" s="41"/>
    </row>
    <row r="61791" spans="20:20" s="566" customFormat="1">
      <c r="T61791" s="41"/>
    </row>
    <row r="61792" spans="20:20" s="566" customFormat="1">
      <c r="T61792" s="41"/>
    </row>
    <row r="61793" spans="20:20" s="566" customFormat="1">
      <c r="T61793" s="41"/>
    </row>
    <row r="61794" spans="20:20" s="566" customFormat="1">
      <c r="T61794" s="41"/>
    </row>
    <row r="61795" spans="20:20" s="566" customFormat="1">
      <c r="T61795" s="41"/>
    </row>
    <row r="61796" spans="20:20" s="566" customFormat="1">
      <c r="T61796" s="41"/>
    </row>
    <row r="61797" spans="20:20" s="566" customFormat="1">
      <c r="T61797" s="41"/>
    </row>
    <row r="61798" spans="20:20" s="566" customFormat="1">
      <c r="T61798" s="41"/>
    </row>
    <row r="61799" spans="20:20" s="566" customFormat="1">
      <c r="T61799" s="41"/>
    </row>
    <row r="61800" spans="20:20" s="566" customFormat="1">
      <c r="T61800" s="41"/>
    </row>
    <row r="61801" spans="20:20" s="566" customFormat="1">
      <c r="T61801" s="41"/>
    </row>
    <row r="61802" spans="20:20" s="566" customFormat="1">
      <c r="T61802" s="41"/>
    </row>
    <row r="61803" spans="20:20" s="566" customFormat="1">
      <c r="T61803" s="41"/>
    </row>
    <row r="61804" spans="20:20" s="566" customFormat="1">
      <c r="T61804" s="41"/>
    </row>
    <row r="61805" spans="20:20" s="566" customFormat="1">
      <c r="T61805" s="41"/>
    </row>
    <row r="61806" spans="20:20" s="566" customFormat="1">
      <c r="T61806" s="41"/>
    </row>
    <row r="61807" spans="20:20" s="566" customFormat="1">
      <c r="T61807" s="41"/>
    </row>
    <row r="61808" spans="20:20" s="566" customFormat="1">
      <c r="T61808" s="41"/>
    </row>
    <row r="61809" spans="20:20" s="566" customFormat="1">
      <c r="T61809" s="41"/>
    </row>
    <row r="61810" spans="20:20" s="566" customFormat="1">
      <c r="T61810" s="41"/>
    </row>
    <row r="61811" spans="20:20" s="566" customFormat="1">
      <c r="T61811" s="41"/>
    </row>
    <row r="61812" spans="20:20" s="566" customFormat="1">
      <c r="T61812" s="41"/>
    </row>
    <row r="61813" spans="20:20" s="566" customFormat="1">
      <c r="T61813" s="41"/>
    </row>
    <row r="61814" spans="20:20" s="566" customFormat="1">
      <c r="T61814" s="41"/>
    </row>
    <row r="61815" spans="20:20" s="566" customFormat="1">
      <c r="T61815" s="41"/>
    </row>
    <row r="61816" spans="20:20" s="566" customFormat="1">
      <c r="T61816" s="41"/>
    </row>
    <row r="61817" spans="20:20" s="566" customFormat="1">
      <c r="T61817" s="41"/>
    </row>
    <row r="61818" spans="20:20" s="566" customFormat="1">
      <c r="T61818" s="41"/>
    </row>
    <row r="61819" spans="20:20" s="566" customFormat="1">
      <c r="T61819" s="41"/>
    </row>
    <row r="61820" spans="20:20" s="566" customFormat="1">
      <c r="T61820" s="41"/>
    </row>
    <row r="61821" spans="20:20" s="566" customFormat="1">
      <c r="T61821" s="41"/>
    </row>
    <row r="61822" spans="20:20" s="566" customFormat="1">
      <c r="T61822" s="41"/>
    </row>
    <row r="61823" spans="20:20" s="566" customFormat="1">
      <c r="T61823" s="41"/>
    </row>
    <row r="61824" spans="20:20" s="566" customFormat="1">
      <c r="T61824" s="41"/>
    </row>
    <row r="61825" spans="20:20" s="566" customFormat="1">
      <c r="T61825" s="41"/>
    </row>
    <row r="61826" spans="20:20" s="566" customFormat="1">
      <c r="T61826" s="41"/>
    </row>
    <row r="61827" spans="20:20" s="566" customFormat="1">
      <c r="T61827" s="41"/>
    </row>
    <row r="61828" spans="20:20" s="566" customFormat="1">
      <c r="T61828" s="41"/>
    </row>
    <row r="61829" spans="20:20" s="566" customFormat="1">
      <c r="T61829" s="41"/>
    </row>
    <row r="61830" spans="20:20" s="566" customFormat="1">
      <c r="T61830" s="41"/>
    </row>
    <row r="61831" spans="20:20" s="566" customFormat="1">
      <c r="T61831" s="41"/>
    </row>
    <row r="61832" spans="20:20" s="566" customFormat="1">
      <c r="T61832" s="41"/>
    </row>
    <row r="61833" spans="20:20" s="566" customFormat="1">
      <c r="T61833" s="41"/>
    </row>
    <row r="61834" spans="20:20" s="566" customFormat="1">
      <c r="T61834" s="41"/>
    </row>
    <row r="61835" spans="20:20" s="566" customFormat="1">
      <c r="T61835" s="41"/>
    </row>
    <row r="61836" spans="20:20" s="566" customFormat="1">
      <c r="T61836" s="41"/>
    </row>
    <row r="61837" spans="20:20" s="566" customFormat="1">
      <c r="T61837" s="41"/>
    </row>
    <row r="61838" spans="20:20" s="566" customFormat="1">
      <c r="T61838" s="41"/>
    </row>
    <row r="61839" spans="20:20" s="566" customFormat="1">
      <c r="T61839" s="41"/>
    </row>
    <row r="61840" spans="20:20" s="566" customFormat="1">
      <c r="T61840" s="41"/>
    </row>
    <row r="61841" spans="20:20" s="566" customFormat="1">
      <c r="T61841" s="41"/>
    </row>
    <row r="61842" spans="20:20" s="566" customFormat="1">
      <c r="T61842" s="41"/>
    </row>
    <row r="61843" spans="20:20" s="566" customFormat="1">
      <c r="T61843" s="41"/>
    </row>
    <row r="61844" spans="20:20" s="566" customFormat="1">
      <c r="T61844" s="41"/>
    </row>
    <row r="61845" spans="20:20" s="566" customFormat="1">
      <c r="T61845" s="41"/>
    </row>
    <row r="61846" spans="20:20" s="566" customFormat="1">
      <c r="T61846" s="41"/>
    </row>
    <row r="61847" spans="20:20" s="566" customFormat="1">
      <c r="T61847" s="41"/>
    </row>
    <row r="61848" spans="20:20" s="566" customFormat="1">
      <c r="T61848" s="41"/>
    </row>
    <row r="61849" spans="20:20" s="566" customFormat="1">
      <c r="T61849" s="41"/>
    </row>
    <row r="61850" spans="20:20" s="566" customFormat="1">
      <c r="T61850" s="41"/>
    </row>
    <row r="61851" spans="20:20" s="566" customFormat="1">
      <c r="T61851" s="41"/>
    </row>
    <row r="61852" spans="20:20" s="566" customFormat="1">
      <c r="T61852" s="41"/>
    </row>
    <row r="61853" spans="20:20" s="566" customFormat="1">
      <c r="T61853" s="41"/>
    </row>
    <row r="61854" spans="20:20" s="566" customFormat="1">
      <c r="T61854" s="41"/>
    </row>
    <row r="61855" spans="20:20" s="566" customFormat="1">
      <c r="T61855" s="41"/>
    </row>
    <row r="61856" spans="20:20" s="566" customFormat="1">
      <c r="T61856" s="41"/>
    </row>
    <row r="61857" spans="20:20" s="566" customFormat="1">
      <c r="T61857" s="41"/>
    </row>
    <row r="61858" spans="20:20" s="566" customFormat="1">
      <c r="T61858" s="41"/>
    </row>
    <row r="61859" spans="20:20" s="566" customFormat="1">
      <c r="T61859" s="41"/>
    </row>
    <row r="61860" spans="20:20" s="566" customFormat="1">
      <c r="T61860" s="41"/>
    </row>
    <row r="61861" spans="20:20" s="566" customFormat="1">
      <c r="T61861" s="41"/>
    </row>
    <row r="61862" spans="20:20" s="566" customFormat="1">
      <c r="T61862" s="41"/>
    </row>
    <row r="61863" spans="20:20" s="566" customFormat="1">
      <c r="T61863" s="41"/>
    </row>
    <row r="61864" spans="20:20" s="566" customFormat="1">
      <c r="T61864" s="41"/>
    </row>
    <row r="61865" spans="20:20" s="566" customFormat="1">
      <c r="T61865" s="41"/>
    </row>
    <row r="61866" spans="20:20" s="566" customFormat="1">
      <c r="T61866" s="41"/>
    </row>
    <row r="61867" spans="20:20" s="566" customFormat="1">
      <c r="T61867" s="41"/>
    </row>
    <row r="61868" spans="20:20" s="566" customFormat="1">
      <c r="T61868" s="41"/>
    </row>
    <row r="61869" spans="20:20" s="566" customFormat="1">
      <c r="T61869" s="41"/>
    </row>
    <row r="61870" spans="20:20" s="566" customFormat="1">
      <c r="T61870" s="41"/>
    </row>
    <row r="61871" spans="20:20" s="566" customFormat="1">
      <c r="T61871" s="41"/>
    </row>
    <row r="61872" spans="20:20" s="566" customFormat="1">
      <c r="T61872" s="41"/>
    </row>
    <row r="61873" spans="20:20" s="566" customFormat="1">
      <c r="T61873" s="41"/>
    </row>
    <row r="61874" spans="20:20" s="566" customFormat="1">
      <c r="T61874" s="41"/>
    </row>
    <row r="61875" spans="20:20" s="566" customFormat="1">
      <c r="T61875" s="41"/>
    </row>
    <row r="61876" spans="20:20" s="566" customFormat="1">
      <c r="T61876" s="41"/>
    </row>
    <row r="61877" spans="20:20" s="566" customFormat="1">
      <c r="T61877" s="41"/>
    </row>
    <row r="61878" spans="20:20" s="566" customFormat="1">
      <c r="T61878" s="41"/>
    </row>
    <row r="61879" spans="20:20" s="566" customFormat="1">
      <c r="T61879" s="41"/>
    </row>
    <row r="61880" spans="20:20" s="566" customFormat="1">
      <c r="T61880" s="41"/>
    </row>
    <row r="61881" spans="20:20" s="566" customFormat="1">
      <c r="T61881" s="41"/>
    </row>
    <row r="61882" spans="20:20" s="566" customFormat="1">
      <c r="T61882" s="41"/>
    </row>
    <row r="61883" spans="20:20" s="566" customFormat="1">
      <c r="T61883" s="41"/>
    </row>
    <row r="61884" spans="20:20" s="566" customFormat="1">
      <c r="T61884" s="41"/>
    </row>
    <row r="61885" spans="20:20" s="566" customFormat="1">
      <c r="T61885" s="41"/>
    </row>
    <row r="61886" spans="20:20" s="566" customFormat="1">
      <c r="T61886" s="41"/>
    </row>
    <row r="61887" spans="20:20" s="566" customFormat="1">
      <c r="T61887" s="41"/>
    </row>
    <row r="61888" spans="20:20" s="566" customFormat="1">
      <c r="T61888" s="41"/>
    </row>
    <row r="61889" spans="20:20" s="566" customFormat="1">
      <c r="T61889" s="41"/>
    </row>
    <row r="61890" spans="20:20" s="566" customFormat="1">
      <c r="T61890" s="41"/>
    </row>
    <row r="61891" spans="20:20" s="566" customFormat="1">
      <c r="T61891" s="41"/>
    </row>
    <row r="61892" spans="20:20" s="566" customFormat="1">
      <c r="T61892" s="41"/>
    </row>
    <row r="61893" spans="20:20" s="566" customFormat="1">
      <c r="T61893" s="41"/>
    </row>
    <row r="61894" spans="20:20" s="566" customFormat="1">
      <c r="T61894" s="41"/>
    </row>
    <row r="61895" spans="20:20" s="566" customFormat="1">
      <c r="T61895" s="41"/>
    </row>
    <row r="61896" spans="20:20" s="566" customFormat="1">
      <c r="T61896" s="41"/>
    </row>
    <row r="61897" spans="20:20" s="566" customFormat="1">
      <c r="T61897" s="41"/>
    </row>
    <row r="61898" spans="20:20" s="566" customFormat="1">
      <c r="T61898" s="41"/>
    </row>
    <row r="61899" spans="20:20" s="566" customFormat="1">
      <c r="T61899" s="41"/>
    </row>
    <row r="61900" spans="20:20" s="566" customFormat="1">
      <c r="T61900" s="41"/>
    </row>
    <row r="61901" spans="20:20" s="566" customFormat="1">
      <c r="T61901" s="41"/>
    </row>
    <row r="61902" spans="20:20" s="566" customFormat="1">
      <c r="T61902" s="41"/>
    </row>
    <row r="61903" spans="20:20" s="566" customFormat="1">
      <c r="T61903" s="41"/>
    </row>
    <row r="61904" spans="20:20" s="566" customFormat="1">
      <c r="T61904" s="41"/>
    </row>
    <row r="61905" spans="20:20" s="566" customFormat="1">
      <c r="T61905" s="41"/>
    </row>
    <row r="61906" spans="20:20" s="566" customFormat="1">
      <c r="T61906" s="41"/>
    </row>
    <row r="61907" spans="20:20" s="566" customFormat="1">
      <c r="T61907" s="41"/>
    </row>
    <row r="61908" spans="20:20" s="566" customFormat="1">
      <c r="T61908" s="41"/>
    </row>
    <row r="61909" spans="20:20" s="566" customFormat="1">
      <c r="T61909" s="41"/>
    </row>
    <row r="61910" spans="20:20" s="566" customFormat="1">
      <c r="T61910" s="41"/>
    </row>
    <row r="61911" spans="20:20" s="566" customFormat="1">
      <c r="T61911" s="41"/>
    </row>
    <row r="61912" spans="20:20" s="566" customFormat="1">
      <c r="T61912" s="41"/>
    </row>
    <row r="61913" spans="20:20" s="566" customFormat="1">
      <c r="T61913" s="41"/>
    </row>
    <row r="61914" spans="20:20" s="566" customFormat="1">
      <c r="T61914" s="41"/>
    </row>
    <row r="61915" spans="20:20" s="566" customFormat="1">
      <c r="T61915" s="41"/>
    </row>
    <row r="61916" spans="20:20" s="566" customFormat="1">
      <c r="T61916" s="41"/>
    </row>
    <row r="61917" spans="20:20" s="566" customFormat="1">
      <c r="T61917" s="41"/>
    </row>
    <row r="61918" spans="20:20" s="566" customFormat="1">
      <c r="T61918" s="41"/>
    </row>
    <row r="61919" spans="20:20" s="566" customFormat="1">
      <c r="T61919" s="41"/>
    </row>
    <row r="61920" spans="20:20" s="566" customFormat="1">
      <c r="T61920" s="41"/>
    </row>
    <row r="61921" spans="20:20" s="566" customFormat="1">
      <c r="T61921" s="41"/>
    </row>
    <row r="61922" spans="20:20" s="566" customFormat="1">
      <c r="T61922" s="41"/>
    </row>
    <row r="61923" spans="20:20" s="566" customFormat="1">
      <c r="T61923" s="41"/>
    </row>
    <row r="61924" spans="20:20" s="566" customFormat="1">
      <c r="T61924" s="41"/>
    </row>
    <row r="61925" spans="20:20" s="566" customFormat="1">
      <c r="T61925" s="41"/>
    </row>
    <row r="61926" spans="20:20" s="566" customFormat="1">
      <c r="T61926" s="41"/>
    </row>
    <row r="61927" spans="20:20" s="566" customFormat="1">
      <c r="T61927" s="41"/>
    </row>
    <row r="61928" spans="20:20" s="566" customFormat="1">
      <c r="T61928" s="41"/>
    </row>
    <row r="61929" spans="20:20" s="566" customFormat="1">
      <c r="T61929" s="41"/>
    </row>
    <row r="61930" spans="20:20" s="566" customFormat="1">
      <c r="T61930" s="41"/>
    </row>
    <row r="61931" spans="20:20" s="566" customFormat="1">
      <c r="T61931" s="41"/>
    </row>
    <row r="61932" spans="20:20" s="566" customFormat="1">
      <c r="T61932" s="41"/>
    </row>
    <row r="61933" spans="20:20" s="566" customFormat="1">
      <c r="T61933" s="41"/>
    </row>
    <row r="61934" spans="20:20" s="566" customFormat="1">
      <c r="T61934" s="41"/>
    </row>
    <row r="61935" spans="20:20" s="566" customFormat="1">
      <c r="T61935" s="41"/>
    </row>
    <row r="61936" spans="20:20" s="566" customFormat="1">
      <c r="T61936" s="41"/>
    </row>
    <row r="61937" spans="20:20" s="566" customFormat="1">
      <c r="T61937" s="41"/>
    </row>
    <row r="61938" spans="20:20" s="566" customFormat="1">
      <c r="T61938" s="41"/>
    </row>
    <row r="61939" spans="20:20" s="566" customFormat="1">
      <c r="T61939" s="41"/>
    </row>
    <row r="61940" spans="20:20" s="566" customFormat="1">
      <c r="T61940" s="41"/>
    </row>
    <row r="61941" spans="20:20" s="566" customFormat="1">
      <c r="T61941" s="41"/>
    </row>
    <row r="61942" spans="20:20" s="566" customFormat="1">
      <c r="T61942" s="41"/>
    </row>
    <row r="61943" spans="20:20" s="566" customFormat="1">
      <c r="T61943" s="41"/>
    </row>
    <row r="61944" spans="20:20" s="566" customFormat="1">
      <c r="T61944" s="41"/>
    </row>
    <row r="61945" spans="20:20" s="566" customFormat="1">
      <c r="T61945" s="41"/>
    </row>
    <row r="61946" spans="20:20" s="566" customFormat="1">
      <c r="T61946" s="41"/>
    </row>
    <row r="61947" spans="20:20" s="566" customFormat="1">
      <c r="T61947" s="41"/>
    </row>
    <row r="61948" spans="20:20" s="566" customFormat="1">
      <c r="T61948" s="41"/>
    </row>
    <row r="61949" spans="20:20" s="566" customFormat="1">
      <c r="T61949" s="41"/>
    </row>
    <row r="61950" spans="20:20" s="566" customFormat="1">
      <c r="T61950" s="41"/>
    </row>
    <row r="61951" spans="20:20" s="566" customFormat="1">
      <c r="T61951" s="41"/>
    </row>
    <row r="61952" spans="20:20" s="566" customFormat="1">
      <c r="T61952" s="41"/>
    </row>
    <row r="61953" spans="20:20" s="566" customFormat="1">
      <c r="T61953" s="41"/>
    </row>
    <row r="61954" spans="20:20" s="566" customFormat="1">
      <c r="T61954" s="41"/>
    </row>
    <row r="61955" spans="20:20" s="566" customFormat="1">
      <c r="T61955" s="41"/>
    </row>
    <row r="61956" spans="20:20" s="566" customFormat="1">
      <c r="T61956" s="41"/>
    </row>
    <row r="61957" spans="20:20" s="566" customFormat="1">
      <c r="T61957" s="41"/>
    </row>
    <row r="61958" spans="20:20" s="566" customFormat="1">
      <c r="T61958" s="41"/>
    </row>
    <row r="61959" spans="20:20" s="566" customFormat="1">
      <c r="T61959" s="41"/>
    </row>
    <row r="61960" spans="20:20" s="566" customFormat="1">
      <c r="T61960" s="41"/>
    </row>
    <row r="61961" spans="20:20" s="566" customFormat="1">
      <c r="T61961" s="41"/>
    </row>
    <row r="61962" spans="20:20" s="566" customFormat="1">
      <c r="T61962" s="41"/>
    </row>
    <row r="61963" spans="20:20" s="566" customFormat="1">
      <c r="T61963" s="41"/>
    </row>
    <row r="61964" spans="20:20" s="566" customFormat="1">
      <c r="T61964" s="41"/>
    </row>
    <row r="61965" spans="20:20" s="566" customFormat="1">
      <c r="T61965" s="41"/>
    </row>
    <row r="61966" spans="20:20" s="566" customFormat="1">
      <c r="T61966" s="41"/>
    </row>
    <row r="61967" spans="20:20" s="566" customFormat="1">
      <c r="T61967" s="41"/>
    </row>
    <row r="61968" spans="20:20" s="566" customFormat="1">
      <c r="T61968" s="41"/>
    </row>
    <row r="61969" spans="20:20" s="566" customFormat="1">
      <c r="T61969" s="41"/>
    </row>
    <row r="61970" spans="20:20" s="566" customFormat="1">
      <c r="T61970" s="41"/>
    </row>
    <row r="61971" spans="20:20" s="566" customFormat="1">
      <c r="T61971" s="41"/>
    </row>
    <row r="61972" spans="20:20" s="566" customFormat="1">
      <c r="T61972" s="41"/>
    </row>
    <row r="61973" spans="20:20" s="566" customFormat="1">
      <c r="T61973" s="41"/>
    </row>
    <row r="61974" spans="20:20" s="566" customFormat="1">
      <c r="T61974" s="41"/>
    </row>
    <row r="61975" spans="20:20" s="566" customFormat="1">
      <c r="T61975" s="41"/>
    </row>
    <row r="61976" spans="20:20" s="566" customFormat="1">
      <c r="T61976" s="41"/>
    </row>
    <row r="61977" spans="20:20" s="566" customFormat="1">
      <c r="T61977" s="41"/>
    </row>
    <row r="61978" spans="20:20" s="566" customFormat="1">
      <c r="T61978" s="41"/>
    </row>
    <row r="61979" spans="20:20" s="566" customFormat="1">
      <c r="T61979" s="41"/>
    </row>
    <row r="61980" spans="20:20" s="566" customFormat="1">
      <c r="T61980" s="41"/>
    </row>
    <row r="61981" spans="20:20" s="566" customFormat="1">
      <c r="T61981" s="41"/>
    </row>
    <row r="61982" spans="20:20" s="566" customFormat="1">
      <c r="T61982" s="41"/>
    </row>
    <row r="61983" spans="20:20" s="566" customFormat="1">
      <c r="T61983" s="41"/>
    </row>
    <row r="61984" spans="20:20" s="566" customFormat="1">
      <c r="T61984" s="41"/>
    </row>
    <row r="61985" spans="20:20" s="566" customFormat="1">
      <c r="T61985" s="41"/>
    </row>
    <row r="61986" spans="20:20" s="566" customFormat="1">
      <c r="T61986" s="41"/>
    </row>
    <row r="61987" spans="20:20" s="566" customFormat="1">
      <c r="T61987" s="41"/>
    </row>
    <row r="61988" spans="20:20" s="566" customFormat="1">
      <c r="T61988" s="41"/>
    </row>
    <row r="61989" spans="20:20" s="566" customFormat="1">
      <c r="T61989" s="41"/>
    </row>
    <row r="61990" spans="20:20" s="566" customFormat="1">
      <c r="T61990" s="41"/>
    </row>
    <row r="61991" spans="20:20" s="566" customFormat="1">
      <c r="T61991" s="41"/>
    </row>
    <row r="61992" spans="20:20" s="566" customFormat="1">
      <c r="T61992" s="41"/>
    </row>
    <row r="61993" spans="20:20" s="566" customFormat="1">
      <c r="T61993" s="41"/>
    </row>
    <row r="61994" spans="20:20" s="566" customFormat="1">
      <c r="T61994" s="41"/>
    </row>
    <row r="61995" spans="20:20" s="566" customFormat="1">
      <c r="T61995" s="41"/>
    </row>
    <row r="61996" spans="20:20" s="566" customFormat="1">
      <c r="T61996" s="41"/>
    </row>
    <row r="61997" spans="20:20" s="566" customFormat="1">
      <c r="T61997" s="41"/>
    </row>
    <row r="61998" spans="20:20" s="566" customFormat="1">
      <c r="T61998" s="41"/>
    </row>
    <row r="61999" spans="20:20" s="566" customFormat="1">
      <c r="T61999" s="41"/>
    </row>
    <row r="62000" spans="20:20" s="566" customFormat="1">
      <c r="T62000" s="41"/>
    </row>
    <row r="62001" spans="20:20" s="566" customFormat="1">
      <c r="T62001" s="41"/>
    </row>
    <row r="62002" spans="20:20" s="566" customFormat="1">
      <c r="T62002" s="41"/>
    </row>
    <row r="62003" spans="20:20" s="566" customFormat="1">
      <c r="T62003" s="41"/>
    </row>
    <row r="62004" spans="20:20" s="566" customFormat="1">
      <c r="T62004" s="41"/>
    </row>
    <row r="62005" spans="20:20" s="566" customFormat="1">
      <c r="T62005" s="41"/>
    </row>
    <row r="62006" spans="20:20" s="566" customFormat="1">
      <c r="T62006" s="41"/>
    </row>
    <row r="62007" spans="20:20" s="566" customFormat="1">
      <c r="T62007" s="41"/>
    </row>
    <row r="62008" spans="20:20" s="566" customFormat="1">
      <c r="T62008" s="41"/>
    </row>
    <row r="62009" spans="20:20" s="566" customFormat="1">
      <c r="T62009" s="41"/>
    </row>
    <row r="62010" spans="20:20" s="566" customFormat="1">
      <c r="T62010" s="41"/>
    </row>
    <row r="62011" spans="20:20" s="566" customFormat="1">
      <c r="T62011" s="41"/>
    </row>
    <row r="62012" spans="20:20" s="566" customFormat="1">
      <c r="T62012" s="41"/>
    </row>
    <row r="62013" spans="20:20" s="566" customFormat="1">
      <c r="T62013" s="41"/>
    </row>
    <row r="62014" spans="20:20" s="566" customFormat="1">
      <c r="T62014" s="41"/>
    </row>
    <row r="62015" spans="20:20" s="566" customFormat="1">
      <c r="T62015" s="41"/>
    </row>
    <row r="62016" spans="20:20" s="566" customFormat="1">
      <c r="T62016" s="41"/>
    </row>
    <row r="62017" spans="20:20" s="566" customFormat="1">
      <c r="T62017" s="41"/>
    </row>
    <row r="62018" spans="20:20" s="566" customFormat="1">
      <c r="T62018" s="41"/>
    </row>
    <row r="62019" spans="20:20" s="566" customFormat="1">
      <c r="T62019" s="41"/>
    </row>
    <row r="62020" spans="20:20" s="566" customFormat="1">
      <c r="T62020" s="41"/>
    </row>
    <row r="62021" spans="20:20" s="566" customFormat="1">
      <c r="T62021" s="41"/>
    </row>
    <row r="62022" spans="20:20" s="566" customFormat="1">
      <c r="T62022" s="41"/>
    </row>
    <row r="62023" spans="20:20" s="566" customFormat="1">
      <c r="T62023" s="41"/>
    </row>
    <row r="62024" spans="20:20" s="566" customFormat="1">
      <c r="T62024" s="41"/>
    </row>
    <row r="62025" spans="20:20" s="566" customFormat="1">
      <c r="T62025" s="41"/>
    </row>
    <row r="62026" spans="20:20" s="566" customFormat="1">
      <c r="T62026" s="41"/>
    </row>
    <row r="62027" spans="20:20" s="566" customFormat="1">
      <c r="T62027" s="41"/>
    </row>
    <row r="62028" spans="20:20" s="566" customFormat="1">
      <c r="T62028" s="41"/>
    </row>
    <row r="62029" spans="20:20" s="566" customFormat="1">
      <c r="T62029" s="41"/>
    </row>
    <row r="62030" spans="20:20" s="566" customFormat="1">
      <c r="T62030" s="41"/>
    </row>
    <row r="62031" spans="20:20" s="566" customFormat="1">
      <c r="T62031" s="41"/>
    </row>
    <row r="62032" spans="20:20" s="566" customFormat="1">
      <c r="T62032" s="41"/>
    </row>
    <row r="62033" spans="20:20" s="566" customFormat="1">
      <c r="T62033" s="41"/>
    </row>
    <row r="62034" spans="20:20" s="566" customFormat="1">
      <c r="T62034" s="41"/>
    </row>
    <row r="62035" spans="20:20" s="566" customFormat="1">
      <c r="T62035" s="41"/>
    </row>
    <row r="62036" spans="20:20" s="566" customFormat="1">
      <c r="T62036" s="41"/>
    </row>
    <row r="62037" spans="20:20" s="566" customFormat="1">
      <c r="T62037" s="41"/>
    </row>
    <row r="62038" spans="20:20" s="566" customFormat="1">
      <c r="T62038" s="41"/>
    </row>
    <row r="62039" spans="20:20" s="566" customFormat="1">
      <c r="T62039" s="41"/>
    </row>
    <row r="62040" spans="20:20" s="566" customFormat="1">
      <c r="T62040" s="41"/>
    </row>
    <row r="62041" spans="20:20" s="566" customFormat="1">
      <c r="T62041" s="41"/>
    </row>
    <row r="62042" spans="20:20" s="566" customFormat="1">
      <c r="T62042" s="41"/>
    </row>
    <row r="62043" spans="20:20" s="566" customFormat="1">
      <c r="T62043" s="41"/>
    </row>
    <row r="62044" spans="20:20" s="566" customFormat="1">
      <c r="T62044" s="41"/>
    </row>
    <row r="62045" spans="20:20" s="566" customFormat="1">
      <c r="T62045" s="41"/>
    </row>
    <row r="62046" spans="20:20" s="566" customFormat="1">
      <c r="T62046" s="41"/>
    </row>
    <row r="62047" spans="20:20" s="566" customFormat="1">
      <c r="T62047" s="41"/>
    </row>
    <row r="62048" spans="20:20" s="566" customFormat="1">
      <c r="T62048" s="41"/>
    </row>
    <row r="62049" spans="20:20" s="566" customFormat="1">
      <c r="T62049" s="41"/>
    </row>
    <row r="62050" spans="20:20" s="566" customFormat="1">
      <c r="T62050" s="41"/>
    </row>
    <row r="62051" spans="20:20" s="566" customFormat="1">
      <c r="T62051" s="41"/>
    </row>
    <row r="62052" spans="20:20" s="566" customFormat="1">
      <c r="T62052" s="41"/>
    </row>
    <row r="62053" spans="20:20" s="566" customFormat="1">
      <c r="T62053" s="41"/>
    </row>
    <row r="62054" spans="20:20" s="566" customFormat="1">
      <c r="T62054" s="41"/>
    </row>
    <row r="62055" spans="20:20" s="566" customFormat="1">
      <c r="T62055" s="41"/>
    </row>
    <row r="62056" spans="20:20" s="566" customFormat="1">
      <c r="T62056" s="41"/>
    </row>
    <row r="62057" spans="20:20" s="566" customFormat="1">
      <c r="T62057" s="41"/>
    </row>
    <row r="62058" spans="20:20" s="566" customFormat="1">
      <c r="T62058" s="41"/>
    </row>
    <row r="62059" spans="20:20" s="566" customFormat="1">
      <c r="T62059" s="41"/>
    </row>
    <row r="62060" spans="20:20" s="566" customFormat="1">
      <c r="T62060" s="41"/>
    </row>
    <row r="62061" spans="20:20" s="566" customFormat="1">
      <c r="T62061" s="41"/>
    </row>
    <row r="62062" spans="20:20" s="566" customFormat="1">
      <c r="T62062" s="41"/>
    </row>
    <row r="62063" spans="20:20" s="566" customFormat="1">
      <c r="T62063" s="41"/>
    </row>
    <row r="62064" spans="20:20" s="566" customFormat="1">
      <c r="T62064" s="41"/>
    </row>
    <row r="62065" spans="20:20" s="566" customFormat="1">
      <c r="T62065" s="41"/>
    </row>
    <row r="62066" spans="20:20" s="566" customFormat="1">
      <c r="T62066" s="41"/>
    </row>
    <row r="62067" spans="20:20" s="566" customFormat="1">
      <c r="T62067" s="41"/>
    </row>
    <row r="62068" spans="20:20" s="566" customFormat="1">
      <c r="T62068" s="41"/>
    </row>
    <row r="62069" spans="20:20" s="566" customFormat="1">
      <c r="T62069" s="41"/>
    </row>
    <row r="62070" spans="20:20" s="566" customFormat="1">
      <c r="T62070" s="41"/>
    </row>
    <row r="62071" spans="20:20" s="566" customFormat="1">
      <c r="T62071" s="41"/>
    </row>
    <row r="62072" spans="20:20" s="566" customFormat="1">
      <c r="T62072" s="41"/>
    </row>
    <row r="62073" spans="20:20" s="566" customFormat="1">
      <c r="T62073" s="41"/>
    </row>
    <row r="62074" spans="20:20" s="566" customFormat="1">
      <c r="T62074" s="41"/>
    </row>
    <row r="62075" spans="20:20" s="566" customFormat="1">
      <c r="T62075" s="41"/>
    </row>
    <row r="62076" spans="20:20" s="566" customFormat="1">
      <c r="T62076" s="41"/>
    </row>
    <row r="62077" spans="20:20" s="566" customFormat="1">
      <c r="T62077" s="41"/>
    </row>
    <row r="62078" spans="20:20" s="566" customFormat="1">
      <c r="T62078" s="41"/>
    </row>
    <row r="62079" spans="20:20" s="566" customFormat="1">
      <c r="T62079" s="41"/>
    </row>
    <row r="62080" spans="20:20" s="566" customFormat="1">
      <c r="T62080" s="41"/>
    </row>
    <row r="62081" spans="20:20" s="566" customFormat="1">
      <c r="T62081" s="41"/>
    </row>
    <row r="62082" spans="20:20" s="566" customFormat="1">
      <c r="T62082" s="41"/>
    </row>
    <row r="62083" spans="20:20" s="566" customFormat="1">
      <c r="T62083" s="41"/>
    </row>
    <row r="62084" spans="20:20" s="566" customFormat="1">
      <c r="T62084" s="41"/>
    </row>
    <row r="62085" spans="20:20" s="566" customFormat="1">
      <c r="T62085" s="41"/>
    </row>
    <row r="62086" spans="20:20" s="566" customFormat="1">
      <c r="T62086" s="41"/>
    </row>
    <row r="62087" spans="20:20" s="566" customFormat="1">
      <c r="T62087" s="41"/>
    </row>
    <row r="62088" spans="20:20" s="566" customFormat="1">
      <c r="T62088" s="41"/>
    </row>
    <row r="62089" spans="20:20" s="566" customFormat="1">
      <c r="T62089" s="41"/>
    </row>
    <row r="62090" spans="20:20" s="566" customFormat="1">
      <c r="T62090" s="41"/>
    </row>
    <row r="62091" spans="20:20" s="566" customFormat="1">
      <c r="T62091" s="41"/>
    </row>
    <row r="62092" spans="20:20" s="566" customFormat="1">
      <c r="T62092" s="41"/>
    </row>
    <row r="62093" spans="20:20" s="566" customFormat="1">
      <c r="T62093" s="41"/>
    </row>
    <row r="62094" spans="20:20" s="566" customFormat="1">
      <c r="T62094" s="41"/>
    </row>
    <row r="62095" spans="20:20" s="566" customFormat="1">
      <c r="T62095" s="41"/>
    </row>
    <row r="62096" spans="20:20" s="566" customFormat="1">
      <c r="T62096" s="41"/>
    </row>
    <row r="62097" spans="20:20" s="566" customFormat="1">
      <c r="T62097" s="41"/>
    </row>
    <row r="62098" spans="20:20" s="566" customFormat="1">
      <c r="T62098" s="41"/>
    </row>
    <row r="62099" spans="20:20" s="566" customFormat="1">
      <c r="T62099" s="41"/>
    </row>
    <row r="62100" spans="20:20" s="566" customFormat="1">
      <c r="T62100" s="41"/>
    </row>
    <row r="62101" spans="20:20" s="566" customFormat="1">
      <c r="T62101" s="41"/>
    </row>
    <row r="62102" spans="20:20" s="566" customFormat="1">
      <c r="T62102" s="41"/>
    </row>
    <row r="62103" spans="20:20" s="566" customFormat="1">
      <c r="T62103" s="41"/>
    </row>
    <row r="62104" spans="20:20" s="566" customFormat="1">
      <c r="T62104" s="41"/>
    </row>
    <row r="62105" spans="20:20" s="566" customFormat="1">
      <c r="T62105" s="41"/>
    </row>
    <row r="62106" spans="20:20" s="566" customFormat="1">
      <c r="T62106" s="41"/>
    </row>
    <row r="62107" spans="20:20" s="566" customFormat="1">
      <c r="T62107" s="41"/>
    </row>
    <row r="62108" spans="20:20" s="566" customFormat="1">
      <c r="T62108" s="41"/>
    </row>
    <row r="62109" spans="20:20" s="566" customFormat="1">
      <c r="T62109" s="41"/>
    </row>
    <row r="62110" spans="20:20" s="566" customFormat="1">
      <c r="T62110" s="41"/>
    </row>
    <row r="62111" spans="20:20" s="566" customFormat="1">
      <c r="T62111" s="41"/>
    </row>
    <row r="62112" spans="20:20" s="566" customFormat="1">
      <c r="T62112" s="41"/>
    </row>
    <row r="62113" spans="20:20" s="566" customFormat="1">
      <c r="T62113" s="41"/>
    </row>
    <row r="62114" spans="20:20" s="566" customFormat="1">
      <c r="T62114" s="41"/>
    </row>
    <row r="62115" spans="20:20" s="566" customFormat="1">
      <c r="T62115" s="41"/>
    </row>
    <row r="62116" spans="20:20" s="566" customFormat="1">
      <c r="T62116" s="41"/>
    </row>
    <row r="62117" spans="20:20" s="566" customFormat="1">
      <c r="T62117" s="41"/>
    </row>
    <row r="62118" spans="20:20" s="566" customFormat="1">
      <c r="T62118" s="41"/>
    </row>
    <row r="62119" spans="20:20" s="566" customFormat="1">
      <c r="T62119" s="41"/>
    </row>
    <row r="62120" spans="20:20" s="566" customFormat="1">
      <c r="T62120" s="41"/>
    </row>
    <row r="62121" spans="20:20" s="566" customFormat="1">
      <c r="T62121" s="41"/>
    </row>
    <row r="62122" spans="20:20" s="566" customFormat="1">
      <c r="T62122" s="41"/>
    </row>
    <row r="62123" spans="20:20" s="566" customFormat="1">
      <c r="T62123" s="41"/>
    </row>
    <row r="62124" spans="20:20" s="566" customFormat="1">
      <c r="T62124" s="41"/>
    </row>
    <row r="62125" spans="20:20" s="566" customFormat="1">
      <c r="T62125" s="41"/>
    </row>
    <row r="62126" spans="20:20" s="566" customFormat="1">
      <c r="T62126" s="41"/>
    </row>
    <row r="62127" spans="20:20" s="566" customFormat="1">
      <c r="T62127" s="41"/>
    </row>
    <row r="62128" spans="20:20" s="566" customFormat="1">
      <c r="T62128" s="41"/>
    </row>
    <row r="62129" spans="20:20" s="566" customFormat="1">
      <c r="T62129" s="41"/>
    </row>
    <row r="62130" spans="20:20" s="566" customFormat="1">
      <c r="T62130" s="41"/>
    </row>
    <row r="62131" spans="20:20" s="566" customFormat="1">
      <c r="T62131" s="41"/>
    </row>
    <row r="62132" spans="20:20" s="566" customFormat="1">
      <c r="T62132" s="41"/>
    </row>
    <row r="62133" spans="20:20" s="566" customFormat="1">
      <c r="T62133" s="41"/>
    </row>
    <row r="62134" spans="20:20" s="566" customFormat="1">
      <c r="T62134" s="41"/>
    </row>
    <row r="62135" spans="20:20" s="566" customFormat="1">
      <c r="T62135" s="41"/>
    </row>
    <row r="62136" spans="20:20" s="566" customFormat="1">
      <c r="T62136" s="41"/>
    </row>
    <row r="62137" spans="20:20" s="566" customFormat="1">
      <c r="T62137" s="41"/>
    </row>
    <row r="62138" spans="20:20" s="566" customFormat="1">
      <c r="T62138" s="41"/>
    </row>
    <row r="62139" spans="20:20" s="566" customFormat="1">
      <c r="T62139" s="41"/>
    </row>
    <row r="62140" spans="20:20" s="566" customFormat="1">
      <c r="T62140" s="41"/>
    </row>
    <row r="62141" spans="20:20" s="566" customFormat="1">
      <c r="T62141" s="41"/>
    </row>
    <row r="62142" spans="20:20" s="566" customFormat="1">
      <c r="T62142" s="41"/>
    </row>
    <row r="62143" spans="20:20" s="566" customFormat="1">
      <c r="T62143" s="41"/>
    </row>
    <row r="62144" spans="20:20" s="566" customFormat="1">
      <c r="T62144" s="41"/>
    </row>
    <row r="62145" spans="20:20" s="566" customFormat="1">
      <c r="T62145" s="41"/>
    </row>
    <row r="62146" spans="20:20" s="566" customFormat="1">
      <c r="T62146" s="41"/>
    </row>
    <row r="62147" spans="20:20" s="566" customFormat="1">
      <c r="T62147" s="41"/>
    </row>
    <row r="62148" spans="20:20" s="566" customFormat="1">
      <c r="T62148" s="41"/>
    </row>
    <row r="62149" spans="20:20" s="566" customFormat="1">
      <c r="T62149" s="41"/>
    </row>
    <row r="62150" spans="20:20" s="566" customFormat="1">
      <c r="T62150" s="41"/>
    </row>
    <row r="62151" spans="20:20" s="566" customFormat="1">
      <c r="T62151" s="41"/>
    </row>
    <row r="62152" spans="20:20" s="566" customFormat="1">
      <c r="T62152" s="41"/>
    </row>
    <row r="62153" spans="20:20" s="566" customFormat="1">
      <c r="T62153" s="41"/>
    </row>
    <row r="62154" spans="20:20" s="566" customFormat="1">
      <c r="T62154" s="41"/>
    </row>
    <row r="62155" spans="20:20" s="566" customFormat="1">
      <c r="T62155" s="41"/>
    </row>
    <row r="62156" spans="20:20" s="566" customFormat="1">
      <c r="T62156" s="41"/>
    </row>
    <row r="62157" spans="20:20" s="566" customFormat="1">
      <c r="T62157" s="41"/>
    </row>
    <row r="62158" spans="20:20" s="566" customFormat="1">
      <c r="T62158" s="41"/>
    </row>
    <row r="62159" spans="20:20" s="566" customFormat="1">
      <c r="T62159" s="41"/>
    </row>
    <row r="62160" spans="20:20" s="566" customFormat="1">
      <c r="T62160" s="41"/>
    </row>
    <row r="62161" spans="20:20" s="566" customFormat="1">
      <c r="T62161" s="41"/>
    </row>
    <row r="62162" spans="20:20" s="566" customFormat="1">
      <c r="T62162" s="41"/>
    </row>
    <row r="62163" spans="20:20" s="566" customFormat="1">
      <c r="T62163" s="41"/>
    </row>
    <row r="62164" spans="20:20" s="566" customFormat="1">
      <c r="T62164" s="41"/>
    </row>
    <row r="62165" spans="20:20" s="566" customFormat="1">
      <c r="T62165" s="41"/>
    </row>
    <row r="62166" spans="20:20" s="566" customFormat="1">
      <c r="T62166" s="41"/>
    </row>
    <row r="62167" spans="20:20" s="566" customFormat="1">
      <c r="T62167" s="41"/>
    </row>
    <row r="62168" spans="20:20" s="566" customFormat="1">
      <c r="T62168" s="41"/>
    </row>
    <row r="62169" spans="20:20" s="566" customFormat="1">
      <c r="T62169" s="41"/>
    </row>
    <row r="62170" spans="20:20" s="566" customFormat="1">
      <c r="T62170" s="41"/>
    </row>
    <row r="62171" spans="20:20" s="566" customFormat="1">
      <c r="T62171" s="41"/>
    </row>
    <row r="62172" spans="20:20" s="566" customFormat="1">
      <c r="T62172" s="41"/>
    </row>
    <row r="62173" spans="20:20" s="566" customFormat="1">
      <c r="T62173" s="41"/>
    </row>
    <row r="62174" spans="20:20" s="566" customFormat="1">
      <c r="T62174" s="41"/>
    </row>
    <row r="62175" spans="20:20" s="566" customFormat="1">
      <c r="T62175" s="41"/>
    </row>
    <row r="62176" spans="20:20" s="566" customFormat="1">
      <c r="T62176" s="41"/>
    </row>
    <row r="62177" spans="20:20" s="566" customFormat="1">
      <c r="T62177" s="41"/>
    </row>
    <row r="62178" spans="20:20" s="566" customFormat="1">
      <c r="T62178" s="41"/>
    </row>
    <row r="62179" spans="20:20" s="566" customFormat="1">
      <c r="T62179" s="41"/>
    </row>
    <row r="62180" spans="20:20" s="566" customFormat="1">
      <c r="T62180" s="41"/>
    </row>
    <row r="62181" spans="20:20" s="566" customFormat="1">
      <c r="T62181" s="41"/>
    </row>
    <row r="62182" spans="20:20" s="566" customFormat="1">
      <c r="T62182" s="41"/>
    </row>
    <row r="62183" spans="20:20" s="566" customFormat="1">
      <c r="T62183" s="41"/>
    </row>
    <row r="62184" spans="20:20" s="566" customFormat="1">
      <c r="T62184" s="41"/>
    </row>
    <row r="62185" spans="20:20" s="566" customFormat="1">
      <c r="T62185" s="41"/>
    </row>
    <row r="62186" spans="20:20" s="566" customFormat="1">
      <c r="T62186" s="41"/>
    </row>
    <row r="62187" spans="20:20" s="566" customFormat="1">
      <c r="T62187" s="41"/>
    </row>
    <row r="62188" spans="20:20" s="566" customFormat="1">
      <c r="T62188" s="41"/>
    </row>
    <row r="62189" spans="20:20" s="566" customFormat="1">
      <c r="T62189" s="41"/>
    </row>
    <row r="62190" spans="20:20" s="566" customFormat="1">
      <c r="T62190" s="41"/>
    </row>
    <row r="62191" spans="20:20" s="566" customFormat="1">
      <c r="T62191" s="41"/>
    </row>
    <row r="62192" spans="20:20" s="566" customFormat="1">
      <c r="T62192" s="41"/>
    </row>
    <row r="62193" spans="20:20" s="566" customFormat="1">
      <c r="T62193" s="41"/>
    </row>
    <row r="62194" spans="20:20" s="566" customFormat="1">
      <c r="T62194" s="41"/>
    </row>
    <row r="62195" spans="20:20" s="566" customFormat="1">
      <c r="T62195" s="41"/>
    </row>
    <row r="62196" spans="20:20" s="566" customFormat="1">
      <c r="T62196" s="41"/>
    </row>
    <row r="62197" spans="20:20" s="566" customFormat="1">
      <c r="T62197" s="41"/>
    </row>
    <row r="62198" spans="20:20" s="566" customFormat="1">
      <c r="T62198" s="41"/>
    </row>
    <row r="62199" spans="20:20" s="566" customFormat="1">
      <c r="T62199" s="41"/>
    </row>
    <row r="62200" spans="20:20" s="566" customFormat="1">
      <c r="T62200" s="41"/>
    </row>
    <row r="62201" spans="20:20" s="566" customFormat="1">
      <c r="T62201" s="41"/>
    </row>
    <row r="62202" spans="20:20" s="566" customFormat="1">
      <c r="T62202" s="41"/>
    </row>
    <row r="62203" spans="20:20" s="566" customFormat="1">
      <c r="T62203" s="41"/>
    </row>
    <row r="62204" spans="20:20" s="566" customFormat="1">
      <c r="T62204" s="41"/>
    </row>
    <row r="62205" spans="20:20" s="566" customFormat="1">
      <c r="T62205" s="41"/>
    </row>
    <row r="62206" spans="20:20" s="566" customFormat="1">
      <c r="T62206" s="41"/>
    </row>
    <row r="62207" spans="20:20" s="566" customFormat="1">
      <c r="T62207" s="41"/>
    </row>
    <row r="62208" spans="20:20" s="566" customFormat="1">
      <c r="T62208" s="41"/>
    </row>
    <row r="62209" spans="20:20" s="566" customFormat="1">
      <c r="T62209" s="41"/>
    </row>
    <row r="62210" spans="20:20" s="566" customFormat="1">
      <c r="T62210" s="41"/>
    </row>
    <row r="62211" spans="20:20" s="566" customFormat="1">
      <c r="T62211" s="41"/>
    </row>
    <row r="62212" spans="20:20" s="566" customFormat="1">
      <c r="T62212" s="41"/>
    </row>
    <row r="62213" spans="20:20" s="566" customFormat="1">
      <c r="T62213" s="41"/>
    </row>
    <row r="62214" spans="20:20" s="566" customFormat="1">
      <c r="T62214" s="41"/>
    </row>
    <row r="62215" spans="20:20" s="566" customFormat="1">
      <c r="T62215" s="41"/>
    </row>
    <row r="62216" spans="20:20" s="566" customFormat="1">
      <c r="T62216" s="41"/>
    </row>
    <row r="62217" spans="20:20" s="566" customFormat="1">
      <c r="T62217" s="41"/>
    </row>
    <row r="62218" spans="20:20" s="566" customFormat="1">
      <c r="T62218" s="41"/>
    </row>
    <row r="62219" spans="20:20" s="566" customFormat="1">
      <c r="T62219" s="41"/>
    </row>
    <row r="62220" spans="20:20" s="566" customFormat="1">
      <c r="T62220" s="41"/>
    </row>
    <row r="62221" spans="20:20" s="566" customFormat="1">
      <c r="T62221" s="41"/>
    </row>
    <row r="62222" spans="20:20" s="566" customFormat="1">
      <c r="T62222" s="41"/>
    </row>
    <row r="62223" spans="20:20" s="566" customFormat="1">
      <c r="T62223" s="41"/>
    </row>
    <row r="62224" spans="20:20" s="566" customFormat="1">
      <c r="T62224" s="41"/>
    </row>
    <row r="62225" spans="20:20" s="566" customFormat="1">
      <c r="T62225" s="41"/>
    </row>
    <row r="62226" spans="20:20" s="566" customFormat="1">
      <c r="T62226" s="41"/>
    </row>
    <row r="62227" spans="20:20" s="566" customFormat="1">
      <c r="T62227" s="41"/>
    </row>
    <row r="62228" spans="20:20" s="566" customFormat="1">
      <c r="T62228" s="41"/>
    </row>
    <row r="62229" spans="20:20" s="566" customFormat="1">
      <c r="T62229" s="41"/>
    </row>
    <row r="62230" spans="20:20" s="566" customFormat="1">
      <c r="T62230" s="41"/>
    </row>
    <row r="62231" spans="20:20" s="566" customFormat="1">
      <c r="T62231" s="41"/>
    </row>
    <row r="62232" spans="20:20" s="566" customFormat="1">
      <c r="T62232" s="41"/>
    </row>
    <row r="62233" spans="20:20" s="566" customFormat="1">
      <c r="T62233" s="41"/>
    </row>
    <row r="62234" spans="20:20" s="566" customFormat="1">
      <c r="T62234" s="41"/>
    </row>
    <row r="62235" spans="20:20" s="566" customFormat="1">
      <c r="T62235" s="41"/>
    </row>
    <row r="62236" spans="20:20" s="566" customFormat="1">
      <c r="T62236" s="41"/>
    </row>
    <row r="62237" spans="20:20" s="566" customFormat="1">
      <c r="T62237" s="41"/>
    </row>
    <row r="62238" spans="20:20" s="566" customFormat="1">
      <c r="T62238" s="41"/>
    </row>
    <row r="62239" spans="20:20" s="566" customFormat="1">
      <c r="T62239" s="41"/>
    </row>
    <row r="62240" spans="20:20" s="566" customFormat="1">
      <c r="T62240" s="41"/>
    </row>
    <row r="62241" spans="20:20" s="566" customFormat="1">
      <c r="T62241" s="41"/>
    </row>
    <row r="62242" spans="20:20" s="566" customFormat="1">
      <c r="T62242" s="41"/>
    </row>
    <row r="62243" spans="20:20" s="566" customFormat="1">
      <c r="T62243" s="41"/>
    </row>
    <row r="62244" spans="20:20" s="566" customFormat="1">
      <c r="T62244" s="41"/>
    </row>
    <row r="62245" spans="20:20" s="566" customFormat="1">
      <c r="T62245" s="41"/>
    </row>
    <row r="62246" spans="20:20" s="566" customFormat="1">
      <c r="T62246" s="41"/>
    </row>
    <row r="62247" spans="20:20" s="566" customFormat="1">
      <c r="T62247" s="41"/>
    </row>
    <row r="62248" spans="20:20" s="566" customFormat="1">
      <c r="T62248" s="41"/>
    </row>
    <row r="62249" spans="20:20" s="566" customFormat="1">
      <c r="T62249" s="41"/>
    </row>
    <row r="62250" spans="20:20" s="566" customFormat="1">
      <c r="T62250" s="41"/>
    </row>
    <row r="62251" spans="20:20" s="566" customFormat="1">
      <c r="T62251" s="41"/>
    </row>
    <row r="62252" spans="20:20" s="566" customFormat="1">
      <c r="T62252" s="41"/>
    </row>
    <row r="62253" spans="20:20" s="566" customFormat="1">
      <c r="T62253" s="41"/>
    </row>
    <row r="62254" spans="20:20" s="566" customFormat="1">
      <c r="T62254" s="41"/>
    </row>
    <row r="62255" spans="20:20" s="566" customFormat="1">
      <c r="T62255" s="41"/>
    </row>
    <row r="62256" spans="20:20" s="566" customFormat="1">
      <c r="T62256" s="41"/>
    </row>
    <row r="62257" spans="20:20" s="566" customFormat="1">
      <c r="T62257" s="41"/>
    </row>
    <row r="62258" spans="20:20" s="566" customFormat="1">
      <c r="T62258" s="41"/>
    </row>
    <row r="62259" spans="20:20" s="566" customFormat="1">
      <c r="T62259" s="41"/>
    </row>
    <row r="62260" spans="20:20" s="566" customFormat="1">
      <c r="T62260" s="41"/>
    </row>
    <row r="62261" spans="20:20" s="566" customFormat="1">
      <c r="T62261" s="41"/>
    </row>
    <row r="62262" spans="20:20" s="566" customFormat="1">
      <c r="T62262" s="41"/>
    </row>
    <row r="62263" spans="20:20" s="566" customFormat="1">
      <c r="T62263" s="41"/>
    </row>
    <row r="62264" spans="20:20" s="566" customFormat="1">
      <c r="T62264" s="41"/>
    </row>
    <row r="62265" spans="20:20" s="566" customFormat="1">
      <c r="T62265" s="41"/>
    </row>
    <row r="62266" spans="20:20" s="566" customFormat="1">
      <c r="T62266" s="41"/>
    </row>
    <row r="62267" spans="20:20" s="566" customFormat="1">
      <c r="T62267" s="41"/>
    </row>
    <row r="62268" spans="20:20" s="566" customFormat="1">
      <c r="T62268" s="41"/>
    </row>
    <row r="62269" spans="20:20" s="566" customFormat="1">
      <c r="T62269" s="41"/>
    </row>
    <row r="62270" spans="20:20" s="566" customFormat="1">
      <c r="T62270" s="41"/>
    </row>
    <row r="62271" spans="20:20" s="566" customFormat="1">
      <c r="T62271" s="41"/>
    </row>
    <row r="62272" spans="20:20" s="566" customFormat="1">
      <c r="T62272" s="41"/>
    </row>
    <row r="62273" spans="20:20" s="566" customFormat="1">
      <c r="T62273" s="41"/>
    </row>
    <row r="62274" spans="20:20" s="566" customFormat="1">
      <c r="T62274" s="41"/>
    </row>
    <row r="62275" spans="20:20" s="566" customFormat="1">
      <c r="T62275" s="41"/>
    </row>
    <row r="62276" spans="20:20" s="566" customFormat="1">
      <c r="T62276" s="41"/>
    </row>
    <row r="62277" spans="20:20" s="566" customFormat="1">
      <c r="T62277" s="41"/>
    </row>
    <row r="62278" spans="20:20" s="566" customFormat="1">
      <c r="T62278" s="41"/>
    </row>
    <row r="62279" spans="20:20" s="566" customFormat="1">
      <c r="T62279" s="41"/>
    </row>
    <row r="62280" spans="20:20" s="566" customFormat="1">
      <c r="T62280" s="41"/>
    </row>
    <row r="62281" spans="20:20" s="566" customFormat="1">
      <c r="T62281" s="41"/>
    </row>
    <row r="62282" spans="20:20" s="566" customFormat="1">
      <c r="T62282" s="41"/>
    </row>
    <row r="62283" spans="20:20" s="566" customFormat="1">
      <c r="T62283" s="41"/>
    </row>
    <row r="62284" spans="20:20" s="566" customFormat="1">
      <c r="T62284" s="41"/>
    </row>
    <row r="62285" spans="20:20" s="566" customFormat="1">
      <c r="T62285" s="41"/>
    </row>
    <row r="62286" spans="20:20" s="566" customFormat="1">
      <c r="T62286" s="41"/>
    </row>
    <row r="62287" spans="20:20" s="566" customFormat="1">
      <c r="T62287" s="41"/>
    </row>
    <row r="62288" spans="20:20" s="566" customFormat="1">
      <c r="T62288" s="41"/>
    </row>
    <row r="62289" spans="20:20" s="566" customFormat="1">
      <c r="T62289" s="41"/>
    </row>
    <row r="62290" spans="20:20" s="566" customFormat="1">
      <c r="T62290" s="41"/>
    </row>
    <row r="62291" spans="20:20" s="566" customFormat="1">
      <c r="T62291" s="41"/>
    </row>
    <row r="62292" spans="20:20" s="566" customFormat="1">
      <c r="T62292" s="41"/>
    </row>
    <row r="62293" spans="20:20" s="566" customFormat="1">
      <c r="T62293" s="41"/>
    </row>
    <row r="62294" spans="20:20" s="566" customFormat="1">
      <c r="T62294" s="41"/>
    </row>
    <row r="62295" spans="20:20" s="566" customFormat="1">
      <c r="T62295" s="41"/>
    </row>
    <row r="62296" spans="20:20" s="566" customFormat="1">
      <c r="T62296" s="41"/>
    </row>
    <row r="62297" spans="20:20" s="566" customFormat="1">
      <c r="T62297" s="41"/>
    </row>
    <row r="62298" spans="20:20" s="566" customFormat="1">
      <c r="T62298" s="41"/>
    </row>
    <row r="62299" spans="20:20" s="566" customFormat="1">
      <c r="T62299" s="41"/>
    </row>
    <row r="62300" spans="20:20" s="566" customFormat="1">
      <c r="T62300" s="41"/>
    </row>
    <row r="62301" spans="20:20" s="566" customFormat="1">
      <c r="T62301" s="41"/>
    </row>
    <row r="62302" spans="20:20" s="566" customFormat="1">
      <c r="T62302" s="41"/>
    </row>
    <row r="62303" spans="20:20" s="566" customFormat="1">
      <c r="T62303" s="41"/>
    </row>
    <row r="62304" spans="20:20" s="566" customFormat="1">
      <c r="T62304" s="41"/>
    </row>
    <row r="62305" spans="20:20" s="566" customFormat="1">
      <c r="T62305" s="41"/>
    </row>
    <row r="62306" spans="20:20" s="566" customFormat="1">
      <c r="T62306" s="41"/>
    </row>
    <row r="62307" spans="20:20" s="566" customFormat="1">
      <c r="T62307" s="41"/>
    </row>
    <row r="62308" spans="20:20" s="566" customFormat="1">
      <c r="T62308" s="41"/>
    </row>
    <row r="62309" spans="20:20" s="566" customFormat="1">
      <c r="T62309" s="41"/>
    </row>
    <row r="62310" spans="20:20" s="566" customFormat="1">
      <c r="T62310" s="41"/>
    </row>
    <row r="62311" spans="20:20" s="566" customFormat="1">
      <c r="T62311" s="41"/>
    </row>
    <row r="62312" spans="20:20" s="566" customFormat="1">
      <c r="T62312" s="41"/>
    </row>
    <row r="62313" spans="20:20" s="566" customFormat="1">
      <c r="T62313" s="41"/>
    </row>
    <row r="62314" spans="20:20" s="566" customFormat="1">
      <c r="T62314" s="41"/>
    </row>
    <row r="62315" spans="20:20" s="566" customFormat="1">
      <c r="T62315" s="41"/>
    </row>
    <row r="62316" spans="20:20" s="566" customFormat="1">
      <c r="T62316" s="41"/>
    </row>
    <row r="62317" spans="20:20" s="566" customFormat="1">
      <c r="T62317" s="41"/>
    </row>
    <row r="62318" spans="20:20" s="566" customFormat="1">
      <c r="T62318" s="41"/>
    </row>
    <row r="62319" spans="20:20" s="566" customFormat="1">
      <c r="T62319" s="41"/>
    </row>
    <row r="62320" spans="20:20" s="566" customFormat="1">
      <c r="T62320" s="41"/>
    </row>
    <row r="62321" spans="20:20" s="566" customFormat="1">
      <c r="T62321" s="41"/>
    </row>
    <row r="62322" spans="20:20" s="566" customFormat="1">
      <c r="T62322" s="41"/>
    </row>
    <row r="62323" spans="20:20" s="566" customFormat="1">
      <c r="T62323" s="41"/>
    </row>
    <row r="62324" spans="20:20" s="566" customFormat="1">
      <c r="T62324" s="41"/>
    </row>
    <row r="62325" spans="20:20" s="566" customFormat="1">
      <c r="T62325" s="41"/>
    </row>
    <row r="62326" spans="20:20" s="566" customFormat="1">
      <c r="T62326" s="41"/>
    </row>
    <row r="62327" spans="20:20" s="566" customFormat="1">
      <c r="T62327" s="41"/>
    </row>
    <row r="62328" spans="20:20" s="566" customFormat="1">
      <c r="T62328" s="41"/>
    </row>
    <row r="62329" spans="20:20" s="566" customFormat="1">
      <c r="T62329" s="41"/>
    </row>
    <row r="62330" spans="20:20" s="566" customFormat="1">
      <c r="T62330" s="41"/>
    </row>
    <row r="62331" spans="20:20" s="566" customFormat="1">
      <c r="T62331" s="41"/>
    </row>
    <row r="62332" spans="20:20" s="566" customFormat="1">
      <c r="T62332" s="41"/>
    </row>
    <row r="62333" spans="20:20" s="566" customFormat="1">
      <c r="T62333" s="41"/>
    </row>
    <row r="62334" spans="20:20" s="566" customFormat="1">
      <c r="T62334" s="41"/>
    </row>
    <row r="62335" spans="20:20" s="566" customFormat="1">
      <c r="T62335" s="41"/>
    </row>
    <row r="62336" spans="20:20" s="566" customFormat="1">
      <c r="T62336" s="41"/>
    </row>
    <row r="62337" spans="20:20" s="566" customFormat="1">
      <c r="T62337" s="41"/>
    </row>
    <row r="62338" spans="20:20" s="566" customFormat="1">
      <c r="T62338" s="41"/>
    </row>
    <row r="62339" spans="20:20" s="566" customFormat="1">
      <c r="T62339" s="41"/>
    </row>
    <row r="62340" spans="20:20" s="566" customFormat="1">
      <c r="T62340" s="41"/>
    </row>
    <row r="62341" spans="20:20" s="566" customFormat="1">
      <c r="T62341" s="41"/>
    </row>
    <row r="62342" spans="20:20" s="566" customFormat="1">
      <c r="T62342" s="41"/>
    </row>
    <row r="62343" spans="20:20" s="566" customFormat="1">
      <c r="T62343" s="41"/>
    </row>
    <row r="62344" spans="20:20" s="566" customFormat="1">
      <c r="T62344" s="41"/>
    </row>
    <row r="62345" spans="20:20" s="566" customFormat="1">
      <c r="T62345" s="41"/>
    </row>
    <row r="62346" spans="20:20" s="566" customFormat="1">
      <c r="T62346" s="41"/>
    </row>
    <row r="62347" spans="20:20" s="566" customFormat="1">
      <c r="T62347" s="41"/>
    </row>
    <row r="62348" spans="20:20" s="566" customFormat="1">
      <c r="T62348" s="41"/>
    </row>
    <row r="62349" spans="20:20" s="566" customFormat="1">
      <c r="T62349" s="41"/>
    </row>
    <row r="62350" spans="20:20" s="566" customFormat="1">
      <c r="T62350" s="41"/>
    </row>
    <row r="62351" spans="20:20" s="566" customFormat="1">
      <c r="T62351" s="41"/>
    </row>
    <row r="62352" spans="20:20" s="566" customFormat="1">
      <c r="T62352" s="41"/>
    </row>
    <row r="62353" spans="20:20" s="566" customFormat="1">
      <c r="T62353" s="41"/>
    </row>
    <row r="62354" spans="20:20" s="566" customFormat="1">
      <c r="T62354" s="41"/>
    </row>
    <row r="62355" spans="20:20" s="566" customFormat="1">
      <c r="T62355" s="41"/>
    </row>
    <row r="62356" spans="20:20" s="566" customFormat="1">
      <c r="T62356" s="41"/>
    </row>
    <row r="62357" spans="20:20" s="566" customFormat="1">
      <c r="T62357" s="41"/>
    </row>
    <row r="62358" spans="20:20" s="566" customFormat="1">
      <c r="T62358" s="41"/>
    </row>
    <row r="62359" spans="20:20" s="566" customFormat="1">
      <c r="T62359" s="41"/>
    </row>
    <row r="62360" spans="20:20" s="566" customFormat="1">
      <c r="T62360" s="41"/>
    </row>
    <row r="62361" spans="20:20" s="566" customFormat="1">
      <c r="T62361" s="41"/>
    </row>
    <row r="62362" spans="20:20" s="566" customFormat="1">
      <c r="T62362" s="41"/>
    </row>
    <row r="62363" spans="20:20" s="566" customFormat="1">
      <c r="T62363" s="41"/>
    </row>
    <row r="62364" spans="20:20" s="566" customFormat="1">
      <c r="T62364" s="41"/>
    </row>
    <row r="62365" spans="20:20" s="566" customFormat="1">
      <c r="T62365" s="41"/>
    </row>
    <row r="62366" spans="20:20" s="566" customFormat="1">
      <c r="T62366" s="41"/>
    </row>
    <row r="62367" spans="20:20" s="566" customFormat="1">
      <c r="T62367" s="41"/>
    </row>
    <row r="62368" spans="20:20" s="566" customFormat="1">
      <c r="T62368" s="41"/>
    </row>
    <row r="62369" spans="20:20" s="566" customFormat="1">
      <c r="T62369" s="41"/>
    </row>
    <row r="62370" spans="20:20" s="566" customFormat="1">
      <c r="T62370" s="41"/>
    </row>
    <row r="62371" spans="20:20" s="566" customFormat="1">
      <c r="T62371" s="41"/>
    </row>
    <row r="62372" spans="20:20" s="566" customFormat="1">
      <c r="T62372" s="41"/>
    </row>
    <row r="62373" spans="20:20" s="566" customFormat="1">
      <c r="T62373" s="41"/>
    </row>
    <row r="62374" spans="20:20" s="566" customFormat="1">
      <c r="T62374" s="41"/>
    </row>
    <row r="62375" spans="20:20" s="566" customFormat="1">
      <c r="T62375" s="41"/>
    </row>
    <row r="62376" spans="20:20" s="566" customFormat="1">
      <c r="T62376" s="41"/>
    </row>
    <row r="62377" spans="20:20" s="566" customFormat="1">
      <c r="T62377" s="41"/>
    </row>
    <row r="62378" spans="20:20" s="566" customFormat="1">
      <c r="T62378" s="41"/>
    </row>
    <row r="62379" spans="20:20" s="566" customFormat="1">
      <c r="T62379" s="41"/>
    </row>
    <row r="62380" spans="20:20" s="566" customFormat="1">
      <c r="T62380" s="41"/>
    </row>
    <row r="62381" spans="20:20" s="566" customFormat="1">
      <c r="T62381" s="41"/>
    </row>
    <row r="62382" spans="20:20" s="566" customFormat="1">
      <c r="T62382" s="41"/>
    </row>
    <row r="62383" spans="20:20" s="566" customFormat="1">
      <c r="T62383" s="41"/>
    </row>
    <row r="62384" spans="20:20" s="566" customFormat="1">
      <c r="T62384" s="41"/>
    </row>
    <row r="62385" spans="20:20" s="566" customFormat="1">
      <c r="T62385" s="41"/>
    </row>
    <row r="62386" spans="20:20" s="566" customFormat="1">
      <c r="T62386" s="41"/>
    </row>
    <row r="62387" spans="20:20" s="566" customFormat="1">
      <c r="T62387" s="41"/>
    </row>
    <row r="62388" spans="20:20" s="566" customFormat="1">
      <c r="T62388" s="41"/>
    </row>
    <row r="62389" spans="20:20" s="566" customFormat="1">
      <c r="T62389" s="41"/>
    </row>
    <row r="62390" spans="20:20" s="566" customFormat="1">
      <c r="T62390" s="41"/>
    </row>
    <row r="62391" spans="20:20" s="566" customFormat="1">
      <c r="T62391" s="41"/>
    </row>
    <row r="62392" spans="20:20" s="566" customFormat="1">
      <c r="T62392" s="41"/>
    </row>
    <row r="62393" spans="20:20" s="566" customFormat="1">
      <c r="T62393" s="41"/>
    </row>
    <row r="62394" spans="20:20" s="566" customFormat="1">
      <c r="T62394" s="41"/>
    </row>
    <row r="62395" spans="20:20" s="566" customFormat="1">
      <c r="T62395" s="41"/>
    </row>
    <row r="62396" spans="20:20" s="566" customFormat="1">
      <c r="T62396" s="41"/>
    </row>
    <row r="62397" spans="20:20" s="566" customFormat="1">
      <c r="T62397" s="41"/>
    </row>
    <row r="62398" spans="20:20" s="566" customFormat="1">
      <c r="T62398" s="41"/>
    </row>
    <row r="62399" spans="20:20" s="566" customFormat="1">
      <c r="T62399" s="41"/>
    </row>
    <row r="62400" spans="20:20" s="566" customFormat="1">
      <c r="T62400" s="41"/>
    </row>
    <row r="62401" spans="20:20" s="566" customFormat="1">
      <c r="T62401" s="41"/>
    </row>
    <row r="62402" spans="20:20" s="566" customFormat="1">
      <c r="T62402" s="41"/>
    </row>
    <row r="62403" spans="20:20" s="566" customFormat="1">
      <c r="T62403" s="41"/>
    </row>
    <row r="62404" spans="20:20" s="566" customFormat="1">
      <c r="T62404" s="41"/>
    </row>
    <row r="62405" spans="20:20" s="566" customFormat="1">
      <c r="T62405" s="41"/>
    </row>
    <row r="62406" spans="20:20" s="566" customFormat="1">
      <c r="T62406" s="41"/>
    </row>
    <row r="62407" spans="20:20" s="566" customFormat="1">
      <c r="T62407" s="41"/>
    </row>
    <row r="62408" spans="20:20" s="566" customFormat="1">
      <c r="T62408" s="41"/>
    </row>
    <row r="62409" spans="20:20" s="566" customFormat="1">
      <c r="T62409" s="41"/>
    </row>
    <row r="62410" spans="20:20" s="566" customFormat="1">
      <c r="T62410" s="41"/>
    </row>
    <row r="62411" spans="20:20" s="566" customFormat="1">
      <c r="T62411" s="41"/>
    </row>
    <row r="62412" spans="20:20" s="566" customFormat="1">
      <c r="T62412" s="41"/>
    </row>
    <row r="62413" spans="20:20" s="566" customFormat="1">
      <c r="T62413" s="41"/>
    </row>
    <row r="62414" spans="20:20" s="566" customFormat="1">
      <c r="T62414" s="41"/>
    </row>
    <row r="62415" spans="20:20" s="566" customFormat="1">
      <c r="T62415" s="41"/>
    </row>
    <row r="62416" spans="20:20" s="566" customFormat="1">
      <c r="T62416" s="41"/>
    </row>
    <row r="62417" spans="20:20" s="566" customFormat="1">
      <c r="T62417" s="41"/>
    </row>
    <row r="62418" spans="20:20" s="566" customFormat="1">
      <c r="T62418" s="41"/>
    </row>
    <row r="62419" spans="20:20" s="566" customFormat="1">
      <c r="T62419" s="41"/>
    </row>
    <row r="62420" spans="20:20" s="566" customFormat="1">
      <c r="T62420" s="41"/>
    </row>
    <row r="62421" spans="20:20" s="566" customFormat="1">
      <c r="T62421" s="41"/>
    </row>
    <row r="62422" spans="20:20" s="566" customFormat="1">
      <c r="T62422" s="41"/>
    </row>
    <row r="62423" spans="20:20" s="566" customFormat="1">
      <c r="T62423" s="41"/>
    </row>
    <row r="62424" spans="20:20" s="566" customFormat="1">
      <c r="T62424" s="41"/>
    </row>
    <row r="62425" spans="20:20" s="566" customFormat="1">
      <c r="T62425" s="41"/>
    </row>
    <row r="62426" spans="20:20" s="566" customFormat="1">
      <c r="T62426" s="41"/>
    </row>
    <row r="62427" spans="20:20" s="566" customFormat="1">
      <c r="T62427" s="41"/>
    </row>
    <row r="62428" spans="20:20" s="566" customFormat="1">
      <c r="T62428" s="41"/>
    </row>
    <row r="62429" spans="20:20" s="566" customFormat="1">
      <c r="T62429" s="41"/>
    </row>
    <row r="62430" spans="20:20" s="566" customFormat="1">
      <c r="T62430" s="41"/>
    </row>
    <row r="62431" spans="20:20" s="566" customFormat="1">
      <c r="T62431" s="41"/>
    </row>
    <row r="62432" spans="20:20" s="566" customFormat="1">
      <c r="T62432" s="41"/>
    </row>
    <row r="62433" spans="20:20" s="566" customFormat="1">
      <c r="T62433" s="41"/>
    </row>
    <row r="62434" spans="20:20" s="566" customFormat="1">
      <c r="T62434" s="41"/>
    </row>
    <row r="62435" spans="20:20" s="566" customFormat="1">
      <c r="T62435" s="41"/>
    </row>
    <row r="62436" spans="20:20" s="566" customFormat="1">
      <c r="T62436" s="41"/>
    </row>
    <row r="62437" spans="20:20" s="566" customFormat="1">
      <c r="T62437" s="41"/>
    </row>
    <row r="62438" spans="20:20" s="566" customFormat="1">
      <c r="T62438" s="41"/>
    </row>
    <row r="62439" spans="20:20" s="566" customFormat="1">
      <c r="T62439" s="41"/>
    </row>
    <row r="62440" spans="20:20" s="566" customFormat="1">
      <c r="T62440" s="41"/>
    </row>
    <row r="62441" spans="20:20" s="566" customFormat="1">
      <c r="T62441" s="41"/>
    </row>
    <row r="62442" spans="20:20" s="566" customFormat="1">
      <c r="T62442" s="41"/>
    </row>
    <row r="62443" spans="20:20" s="566" customFormat="1">
      <c r="T62443" s="41"/>
    </row>
    <row r="62444" spans="20:20" s="566" customFormat="1">
      <c r="T62444" s="41"/>
    </row>
    <row r="62445" spans="20:20" s="566" customFormat="1">
      <c r="T62445" s="41"/>
    </row>
    <row r="62446" spans="20:20" s="566" customFormat="1">
      <c r="T62446" s="41"/>
    </row>
    <row r="62447" spans="20:20" s="566" customFormat="1">
      <c r="T62447" s="41"/>
    </row>
    <row r="62448" spans="20:20" s="566" customFormat="1">
      <c r="T62448" s="41"/>
    </row>
    <row r="62449" spans="20:20" s="566" customFormat="1">
      <c r="T62449" s="41"/>
    </row>
    <row r="62450" spans="20:20" s="566" customFormat="1">
      <c r="T62450" s="41"/>
    </row>
    <row r="62451" spans="20:20" s="566" customFormat="1">
      <c r="T62451" s="41"/>
    </row>
    <row r="62452" spans="20:20" s="566" customFormat="1">
      <c r="T62452" s="41"/>
    </row>
    <row r="62453" spans="20:20" s="566" customFormat="1">
      <c r="T62453" s="41"/>
    </row>
    <row r="62454" spans="20:20" s="566" customFormat="1">
      <c r="T62454" s="41"/>
    </row>
    <row r="62455" spans="20:20" s="566" customFormat="1">
      <c r="T62455" s="41"/>
    </row>
    <row r="62456" spans="20:20" s="566" customFormat="1">
      <c r="T62456" s="41"/>
    </row>
    <row r="62457" spans="20:20" s="566" customFormat="1">
      <c r="T62457" s="41"/>
    </row>
    <row r="62458" spans="20:20" s="566" customFormat="1">
      <c r="T62458" s="41"/>
    </row>
    <row r="62459" spans="20:20" s="566" customFormat="1">
      <c r="T62459" s="41"/>
    </row>
    <row r="62460" spans="20:20" s="566" customFormat="1">
      <c r="T62460" s="41"/>
    </row>
    <row r="62461" spans="20:20" s="566" customFormat="1">
      <c r="T62461" s="41"/>
    </row>
    <row r="62462" spans="20:20" s="566" customFormat="1">
      <c r="T62462" s="41"/>
    </row>
    <row r="62463" spans="20:20" s="566" customFormat="1">
      <c r="T62463" s="41"/>
    </row>
    <row r="62464" spans="20:20" s="566" customFormat="1">
      <c r="T62464" s="41"/>
    </row>
    <row r="62465" spans="20:20" s="566" customFormat="1">
      <c r="T62465" s="41"/>
    </row>
    <row r="62466" spans="20:20" s="566" customFormat="1">
      <c r="T62466" s="41"/>
    </row>
    <row r="62467" spans="20:20" s="566" customFormat="1">
      <c r="T62467" s="41"/>
    </row>
    <row r="62468" spans="20:20" s="566" customFormat="1">
      <c r="T62468" s="41"/>
    </row>
    <row r="62469" spans="20:20" s="566" customFormat="1">
      <c r="T62469" s="41"/>
    </row>
    <row r="62470" spans="20:20" s="566" customFormat="1">
      <c r="T62470" s="41"/>
    </row>
    <row r="62471" spans="20:20" s="566" customFormat="1">
      <c r="T62471" s="41"/>
    </row>
    <row r="62472" spans="20:20" s="566" customFormat="1">
      <c r="T62472" s="41"/>
    </row>
    <row r="62473" spans="20:20" s="566" customFormat="1">
      <c r="T62473" s="41"/>
    </row>
    <row r="62474" spans="20:20" s="566" customFormat="1">
      <c r="T62474" s="41"/>
    </row>
    <row r="62475" spans="20:20" s="566" customFormat="1">
      <c r="T62475" s="41"/>
    </row>
    <row r="62476" spans="20:20" s="566" customFormat="1">
      <c r="T62476" s="41"/>
    </row>
    <row r="62477" spans="20:20" s="566" customFormat="1">
      <c r="T62477" s="41"/>
    </row>
    <row r="62478" spans="20:20" s="566" customFormat="1">
      <c r="T62478" s="41"/>
    </row>
    <row r="62479" spans="20:20" s="566" customFormat="1">
      <c r="T62479" s="41"/>
    </row>
    <row r="62480" spans="20:20" s="566" customFormat="1">
      <c r="T62480" s="41"/>
    </row>
    <row r="62481" spans="20:20" s="566" customFormat="1">
      <c r="T62481" s="41"/>
    </row>
    <row r="62482" spans="20:20" s="566" customFormat="1">
      <c r="T62482" s="41"/>
    </row>
    <row r="62483" spans="20:20" s="566" customFormat="1">
      <c r="T62483" s="41"/>
    </row>
    <row r="62484" spans="20:20" s="566" customFormat="1">
      <c r="T62484" s="41"/>
    </row>
    <row r="62485" spans="20:20" s="566" customFormat="1">
      <c r="T62485" s="41"/>
    </row>
    <row r="62486" spans="20:20" s="566" customFormat="1">
      <c r="T62486" s="41"/>
    </row>
    <row r="62487" spans="20:20" s="566" customFormat="1">
      <c r="T62487" s="41"/>
    </row>
    <row r="62488" spans="20:20" s="566" customFormat="1">
      <c r="T62488" s="41"/>
    </row>
    <row r="62489" spans="20:20" s="566" customFormat="1">
      <c r="T62489" s="41"/>
    </row>
    <row r="62490" spans="20:20" s="566" customFormat="1">
      <c r="T62490" s="41"/>
    </row>
    <row r="62491" spans="20:20" s="566" customFormat="1">
      <c r="T62491" s="41"/>
    </row>
    <row r="62492" spans="20:20" s="566" customFormat="1">
      <c r="T62492" s="41"/>
    </row>
    <row r="62493" spans="20:20" s="566" customFormat="1">
      <c r="T62493" s="41"/>
    </row>
    <row r="62494" spans="20:20" s="566" customFormat="1">
      <c r="T62494" s="41"/>
    </row>
    <row r="62495" spans="20:20" s="566" customFormat="1">
      <c r="T62495" s="41"/>
    </row>
    <row r="62496" spans="20:20" s="566" customFormat="1">
      <c r="T62496" s="41"/>
    </row>
    <row r="62497" spans="20:20" s="566" customFormat="1">
      <c r="T62497" s="41"/>
    </row>
    <row r="62498" spans="20:20" s="566" customFormat="1">
      <c r="T62498" s="41"/>
    </row>
    <row r="62499" spans="20:20" s="566" customFormat="1">
      <c r="T62499" s="41"/>
    </row>
    <row r="62500" spans="20:20" s="566" customFormat="1">
      <c r="T62500" s="41"/>
    </row>
    <row r="62501" spans="20:20" s="566" customFormat="1">
      <c r="T62501" s="41"/>
    </row>
    <row r="62502" spans="20:20" s="566" customFormat="1">
      <c r="T62502" s="41"/>
    </row>
    <row r="62503" spans="20:20" s="566" customFormat="1">
      <c r="T62503" s="41"/>
    </row>
    <row r="62504" spans="20:20" s="566" customFormat="1">
      <c r="T62504" s="41"/>
    </row>
    <row r="62505" spans="20:20" s="566" customFormat="1">
      <c r="T62505" s="41"/>
    </row>
    <row r="62506" spans="20:20" s="566" customFormat="1">
      <c r="T62506" s="41"/>
    </row>
    <row r="62507" spans="20:20" s="566" customFormat="1">
      <c r="T62507" s="41"/>
    </row>
    <row r="62508" spans="20:20" s="566" customFormat="1">
      <c r="T62508" s="41"/>
    </row>
    <row r="62509" spans="20:20" s="566" customFormat="1">
      <c r="T62509" s="41"/>
    </row>
    <row r="62510" spans="20:20" s="566" customFormat="1">
      <c r="T62510" s="41"/>
    </row>
    <row r="62511" spans="20:20" s="566" customFormat="1">
      <c r="T62511" s="41"/>
    </row>
    <row r="62512" spans="20:20" s="566" customFormat="1">
      <c r="T62512" s="41"/>
    </row>
    <row r="62513" spans="20:20" s="566" customFormat="1">
      <c r="T62513" s="41"/>
    </row>
    <row r="62514" spans="20:20" s="566" customFormat="1">
      <c r="T62514" s="41"/>
    </row>
    <row r="62515" spans="20:20" s="566" customFormat="1">
      <c r="T62515" s="41"/>
    </row>
    <row r="62516" spans="20:20" s="566" customFormat="1">
      <c r="T62516" s="41"/>
    </row>
    <row r="62517" spans="20:20" s="566" customFormat="1">
      <c r="T62517" s="41"/>
    </row>
    <row r="62518" spans="20:20" s="566" customFormat="1">
      <c r="T62518" s="41"/>
    </row>
    <row r="62519" spans="20:20" s="566" customFormat="1">
      <c r="T62519" s="41"/>
    </row>
    <row r="62520" spans="20:20" s="566" customFormat="1">
      <c r="T62520" s="41"/>
    </row>
    <row r="62521" spans="20:20" s="566" customFormat="1">
      <c r="T62521" s="41"/>
    </row>
    <row r="62522" spans="20:20" s="566" customFormat="1">
      <c r="T62522" s="41"/>
    </row>
    <row r="62523" spans="20:20" s="566" customFormat="1">
      <c r="T62523" s="41"/>
    </row>
    <row r="62524" spans="20:20" s="566" customFormat="1">
      <c r="T62524" s="41"/>
    </row>
    <row r="62525" spans="20:20" s="566" customFormat="1">
      <c r="T62525" s="41"/>
    </row>
    <row r="62526" spans="20:20" s="566" customFormat="1">
      <c r="T62526" s="41"/>
    </row>
    <row r="62527" spans="20:20" s="566" customFormat="1">
      <c r="T62527" s="41"/>
    </row>
    <row r="62528" spans="20:20" s="566" customFormat="1">
      <c r="T62528" s="41"/>
    </row>
    <row r="62529" spans="20:20" s="566" customFormat="1">
      <c r="T62529" s="41"/>
    </row>
    <row r="62530" spans="20:20" s="566" customFormat="1">
      <c r="T62530" s="41"/>
    </row>
    <row r="62531" spans="20:20" s="566" customFormat="1">
      <c r="T62531" s="41"/>
    </row>
    <row r="62532" spans="20:20" s="566" customFormat="1">
      <c r="T62532" s="41"/>
    </row>
    <row r="62533" spans="20:20" s="566" customFormat="1">
      <c r="T62533" s="41"/>
    </row>
    <row r="62534" spans="20:20" s="566" customFormat="1">
      <c r="T62534" s="41"/>
    </row>
    <row r="62535" spans="20:20" s="566" customFormat="1">
      <c r="T62535" s="41"/>
    </row>
    <row r="62536" spans="20:20" s="566" customFormat="1">
      <c r="T62536" s="41"/>
    </row>
    <row r="62537" spans="20:20" s="566" customFormat="1">
      <c r="T62537" s="41"/>
    </row>
    <row r="62538" spans="20:20" s="566" customFormat="1">
      <c r="T62538" s="41"/>
    </row>
    <row r="62539" spans="20:20" s="566" customFormat="1">
      <c r="T62539" s="41"/>
    </row>
    <row r="62540" spans="20:20" s="566" customFormat="1">
      <c r="T62540" s="41"/>
    </row>
    <row r="62541" spans="20:20" s="566" customFormat="1">
      <c r="T62541" s="41"/>
    </row>
    <row r="62542" spans="20:20" s="566" customFormat="1">
      <c r="T62542" s="41"/>
    </row>
    <row r="62543" spans="20:20" s="566" customFormat="1">
      <c r="T62543" s="41"/>
    </row>
    <row r="62544" spans="20:20" s="566" customFormat="1">
      <c r="T62544" s="41"/>
    </row>
    <row r="62545" spans="20:20" s="566" customFormat="1">
      <c r="T62545" s="41"/>
    </row>
    <row r="62546" spans="20:20" s="566" customFormat="1">
      <c r="T62546" s="41"/>
    </row>
    <row r="62547" spans="20:20" s="566" customFormat="1">
      <c r="T62547" s="41"/>
    </row>
    <row r="62548" spans="20:20" s="566" customFormat="1">
      <c r="T62548" s="41"/>
    </row>
    <row r="62549" spans="20:20" s="566" customFormat="1">
      <c r="T62549" s="41"/>
    </row>
    <row r="62550" spans="20:20" s="566" customFormat="1">
      <c r="T62550" s="41"/>
    </row>
    <row r="62551" spans="20:20" s="566" customFormat="1">
      <c r="T62551" s="41"/>
    </row>
    <row r="62552" spans="20:20" s="566" customFormat="1">
      <c r="T62552" s="41"/>
    </row>
    <row r="62553" spans="20:20" s="566" customFormat="1">
      <c r="T62553" s="41"/>
    </row>
    <row r="62554" spans="20:20" s="566" customFormat="1">
      <c r="T62554" s="41"/>
    </row>
    <row r="62555" spans="20:20" s="566" customFormat="1">
      <c r="T62555" s="41"/>
    </row>
    <row r="62556" spans="20:20" s="566" customFormat="1">
      <c r="T62556" s="41"/>
    </row>
    <row r="62557" spans="20:20" s="566" customFormat="1">
      <c r="T62557" s="41"/>
    </row>
    <row r="62558" spans="20:20" s="566" customFormat="1">
      <c r="T62558" s="41"/>
    </row>
    <row r="62559" spans="20:20" s="566" customFormat="1">
      <c r="T62559" s="41"/>
    </row>
    <row r="62560" spans="20:20" s="566" customFormat="1">
      <c r="T62560" s="41"/>
    </row>
    <row r="62561" spans="20:20" s="566" customFormat="1">
      <c r="T62561" s="41"/>
    </row>
    <row r="62562" spans="20:20" s="566" customFormat="1">
      <c r="T62562" s="41"/>
    </row>
    <row r="62563" spans="20:20" s="566" customFormat="1">
      <c r="T62563" s="41"/>
    </row>
    <row r="62564" spans="20:20" s="566" customFormat="1">
      <c r="T62564" s="41"/>
    </row>
    <row r="62565" spans="20:20" s="566" customFormat="1">
      <c r="T62565" s="41"/>
    </row>
    <row r="62566" spans="20:20" s="566" customFormat="1">
      <c r="T62566" s="41"/>
    </row>
    <row r="62567" spans="20:20" s="566" customFormat="1">
      <c r="T62567" s="41"/>
    </row>
    <row r="62568" spans="20:20" s="566" customFormat="1">
      <c r="T62568" s="41"/>
    </row>
    <row r="62569" spans="20:20" s="566" customFormat="1">
      <c r="T62569" s="41"/>
    </row>
    <row r="62570" spans="20:20" s="566" customFormat="1">
      <c r="T62570" s="41"/>
    </row>
    <row r="62571" spans="20:20" s="566" customFormat="1">
      <c r="T62571" s="41"/>
    </row>
    <row r="62572" spans="20:20" s="566" customFormat="1">
      <c r="T62572" s="41"/>
    </row>
    <row r="62573" spans="20:20" s="566" customFormat="1">
      <c r="T62573" s="41"/>
    </row>
    <row r="62574" spans="20:20" s="566" customFormat="1">
      <c r="T62574" s="41"/>
    </row>
    <row r="62575" spans="20:20" s="566" customFormat="1">
      <c r="T62575" s="41"/>
    </row>
    <row r="62576" spans="20:20" s="566" customFormat="1">
      <c r="T62576" s="41"/>
    </row>
    <row r="62577" spans="20:20" s="566" customFormat="1">
      <c r="T62577" s="41"/>
    </row>
    <row r="62578" spans="20:20" s="566" customFormat="1">
      <c r="T62578" s="41"/>
    </row>
    <row r="62579" spans="20:20" s="566" customFormat="1">
      <c r="T62579" s="41"/>
    </row>
    <row r="62580" spans="20:20" s="566" customFormat="1">
      <c r="T62580" s="41"/>
    </row>
    <row r="62581" spans="20:20" s="566" customFormat="1">
      <c r="T62581" s="41"/>
    </row>
    <row r="62582" spans="20:20" s="566" customFormat="1">
      <c r="T62582" s="41"/>
    </row>
    <row r="62583" spans="20:20" s="566" customFormat="1">
      <c r="T62583" s="41"/>
    </row>
    <row r="62584" spans="20:20" s="566" customFormat="1">
      <c r="T62584" s="41"/>
    </row>
    <row r="62585" spans="20:20" s="566" customFormat="1">
      <c r="T62585" s="41"/>
    </row>
    <row r="62586" spans="20:20" s="566" customFormat="1">
      <c r="T62586" s="41"/>
    </row>
    <row r="62587" spans="20:20" s="566" customFormat="1">
      <c r="T62587" s="41"/>
    </row>
    <row r="62588" spans="20:20" s="566" customFormat="1">
      <c r="T62588" s="41"/>
    </row>
    <row r="62589" spans="20:20" s="566" customFormat="1">
      <c r="T62589" s="41"/>
    </row>
    <row r="62590" spans="20:20" s="566" customFormat="1">
      <c r="T62590" s="41"/>
    </row>
    <row r="62591" spans="20:20" s="566" customFormat="1">
      <c r="T62591" s="41"/>
    </row>
    <row r="62592" spans="20:20" s="566" customFormat="1">
      <c r="T62592" s="41"/>
    </row>
    <row r="62593" spans="20:20" s="566" customFormat="1">
      <c r="T62593" s="41"/>
    </row>
    <row r="62594" spans="20:20" s="566" customFormat="1">
      <c r="T62594" s="41"/>
    </row>
    <row r="62595" spans="20:20" s="566" customFormat="1">
      <c r="T62595" s="41"/>
    </row>
    <row r="62596" spans="20:20" s="566" customFormat="1">
      <c r="T62596" s="41"/>
    </row>
    <row r="62597" spans="20:20" s="566" customFormat="1">
      <c r="T62597" s="41"/>
    </row>
    <row r="62598" spans="20:20" s="566" customFormat="1">
      <c r="T62598" s="41"/>
    </row>
    <row r="62599" spans="20:20" s="566" customFormat="1">
      <c r="T62599" s="41"/>
    </row>
    <row r="62600" spans="20:20" s="566" customFormat="1">
      <c r="T62600" s="41"/>
    </row>
    <row r="62601" spans="20:20" s="566" customFormat="1">
      <c r="T62601" s="41"/>
    </row>
    <row r="62602" spans="20:20" s="566" customFormat="1">
      <c r="T62602" s="41"/>
    </row>
    <row r="62603" spans="20:20" s="566" customFormat="1">
      <c r="T62603" s="41"/>
    </row>
    <row r="62604" spans="20:20" s="566" customFormat="1">
      <c r="T62604" s="41"/>
    </row>
    <row r="62605" spans="20:20" s="566" customFormat="1">
      <c r="T62605" s="41"/>
    </row>
    <row r="62606" spans="20:20" s="566" customFormat="1">
      <c r="T62606" s="41"/>
    </row>
    <row r="62607" spans="20:20" s="566" customFormat="1">
      <c r="T62607" s="41"/>
    </row>
    <row r="62608" spans="20:20" s="566" customFormat="1">
      <c r="T62608" s="41"/>
    </row>
    <row r="62609" spans="20:20" s="566" customFormat="1">
      <c r="T62609" s="41"/>
    </row>
    <row r="62610" spans="20:20" s="566" customFormat="1">
      <c r="T62610" s="41"/>
    </row>
    <row r="62611" spans="20:20" s="566" customFormat="1">
      <c r="T62611" s="41"/>
    </row>
    <row r="62612" spans="20:20" s="566" customFormat="1">
      <c r="T62612" s="41"/>
    </row>
    <row r="62613" spans="20:20" s="566" customFormat="1">
      <c r="T62613" s="41"/>
    </row>
    <row r="62614" spans="20:20" s="566" customFormat="1">
      <c r="T62614" s="41"/>
    </row>
    <row r="62615" spans="20:20" s="566" customFormat="1">
      <c r="T62615" s="41"/>
    </row>
    <row r="62616" spans="20:20" s="566" customFormat="1">
      <c r="T62616" s="41"/>
    </row>
    <row r="62617" spans="20:20" s="566" customFormat="1">
      <c r="T62617" s="41"/>
    </row>
    <row r="62618" spans="20:20" s="566" customFormat="1">
      <c r="T62618" s="41"/>
    </row>
    <row r="62619" spans="20:20" s="566" customFormat="1">
      <c r="T62619" s="41"/>
    </row>
    <row r="62620" spans="20:20" s="566" customFormat="1">
      <c r="T62620" s="41"/>
    </row>
    <row r="62621" spans="20:20" s="566" customFormat="1">
      <c r="T62621" s="41"/>
    </row>
    <row r="62622" spans="20:20" s="566" customFormat="1">
      <c r="T62622" s="41"/>
    </row>
    <row r="62623" spans="20:20" s="566" customFormat="1">
      <c r="T62623" s="41"/>
    </row>
    <row r="62624" spans="20:20" s="566" customFormat="1">
      <c r="T62624" s="41"/>
    </row>
    <row r="62625" spans="20:20" s="566" customFormat="1">
      <c r="T62625" s="41"/>
    </row>
    <row r="62626" spans="20:20" s="566" customFormat="1">
      <c r="T62626" s="41"/>
    </row>
    <row r="62627" spans="20:20" s="566" customFormat="1">
      <c r="T62627" s="41"/>
    </row>
    <row r="62628" spans="20:20" s="566" customFormat="1">
      <c r="T62628" s="41"/>
    </row>
    <row r="62629" spans="20:20" s="566" customFormat="1">
      <c r="T62629" s="41"/>
    </row>
    <row r="62630" spans="20:20" s="566" customFormat="1">
      <c r="T62630" s="41"/>
    </row>
    <row r="62631" spans="20:20" s="566" customFormat="1">
      <c r="T62631" s="41"/>
    </row>
    <row r="62632" spans="20:20" s="566" customFormat="1">
      <c r="T62632" s="41"/>
    </row>
    <row r="62633" spans="20:20" s="566" customFormat="1">
      <c r="T62633" s="41"/>
    </row>
    <row r="62634" spans="20:20" s="566" customFormat="1">
      <c r="T62634" s="41"/>
    </row>
    <row r="62635" spans="20:20" s="566" customFormat="1">
      <c r="T62635" s="41"/>
    </row>
    <row r="62636" spans="20:20" s="566" customFormat="1">
      <c r="T62636" s="41"/>
    </row>
    <row r="62637" spans="20:20" s="566" customFormat="1">
      <c r="T62637" s="41"/>
    </row>
    <row r="62638" spans="20:20" s="566" customFormat="1">
      <c r="T62638" s="41"/>
    </row>
    <row r="62639" spans="20:20" s="566" customFormat="1">
      <c r="T62639" s="41"/>
    </row>
    <row r="62640" spans="20:20" s="566" customFormat="1">
      <c r="T62640" s="41"/>
    </row>
    <row r="62641" spans="20:20" s="566" customFormat="1">
      <c r="T62641" s="41"/>
    </row>
    <row r="62642" spans="20:20" s="566" customFormat="1">
      <c r="T62642" s="41"/>
    </row>
    <row r="62643" spans="20:20" s="566" customFormat="1">
      <c r="T62643" s="41"/>
    </row>
    <row r="62644" spans="20:20" s="566" customFormat="1">
      <c r="T62644" s="41"/>
    </row>
    <row r="62645" spans="20:20" s="566" customFormat="1">
      <c r="T62645" s="41"/>
    </row>
    <row r="62646" spans="20:20" s="566" customFormat="1">
      <c r="T62646" s="41"/>
    </row>
    <row r="62647" spans="20:20" s="566" customFormat="1">
      <c r="T62647" s="41"/>
    </row>
    <row r="62648" spans="20:20" s="566" customFormat="1">
      <c r="T62648" s="41"/>
    </row>
    <row r="62649" spans="20:20" s="566" customFormat="1">
      <c r="T62649" s="41"/>
    </row>
    <row r="62650" spans="20:20" s="566" customFormat="1">
      <c r="T62650" s="41"/>
    </row>
    <row r="62651" spans="20:20" s="566" customFormat="1">
      <c r="T62651" s="41"/>
    </row>
    <row r="62652" spans="20:20" s="566" customFormat="1">
      <c r="T62652" s="41"/>
    </row>
    <row r="62653" spans="20:20" s="566" customFormat="1">
      <c r="T62653" s="41"/>
    </row>
    <row r="62654" spans="20:20" s="566" customFormat="1">
      <c r="T62654" s="41"/>
    </row>
    <row r="62655" spans="20:20" s="566" customFormat="1">
      <c r="T62655" s="41"/>
    </row>
    <row r="62656" spans="20:20" s="566" customFormat="1">
      <c r="T62656" s="41"/>
    </row>
    <row r="62657" spans="20:20" s="566" customFormat="1">
      <c r="T62657" s="41"/>
    </row>
    <row r="62658" spans="20:20" s="566" customFormat="1">
      <c r="T62658" s="41"/>
    </row>
    <row r="62659" spans="20:20" s="566" customFormat="1">
      <c r="T62659" s="41"/>
    </row>
    <row r="62660" spans="20:20" s="566" customFormat="1">
      <c r="T62660" s="41"/>
    </row>
    <row r="62661" spans="20:20" s="566" customFormat="1">
      <c r="T62661" s="41"/>
    </row>
    <row r="62662" spans="20:20" s="566" customFormat="1">
      <c r="T62662" s="41"/>
    </row>
    <row r="62663" spans="20:20" s="566" customFormat="1">
      <c r="T62663" s="41"/>
    </row>
    <row r="62664" spans="20:20" s="566" customFormat="1">
      <c r="T62664" s="41"/>
    </row>
    <row r="62665" spans="20:20" s="566" customFormat="1">
      <c r="T62665" s="41"/>
    </row>
    <row r="62666" spans="20:20" s="566" customFormat="1">
      <c r="T62666" s="41"/>
    </row>
    <row r="62667" spans="20:20" s="566" customFormat="1">
      <c r="T62667" s="41"/>
    </row>
    <row r="62668" spans="20:20" s="566" customFormat="1">
      <c r="T62668" s="41"/>
    </row>
    <row r="62669" spans="20:20" s="566" customFormat="1">
      <c r="T62669" s="41"/>
    </row>
    <row r="62670" spans="20:20" s="566" customFormat="1">
      <c r="T62670" s="41"/>
    </row>
    <row r="62671" spans="20:20" s="566" customFormat="1">
      <c r="T62671" s="41"/>
    </row>
    <row r="62672" spans="20:20" s="566" customFormat="1">
      <c r="T62672" s="41"/>
    </row>
    <row r="62673" spans="20:20" s="566" customFormat="1">
      <c r="T62673" s="41"/>
    </row>
    <row r="62674" spans="20:20" s="566" customFormat="1">
      <c r="T62674" s="41"/>
    </row>
    <row r="62675" spans="20:20" s="566" customFormat="1">
      <c r="T62675" s="41"/>
    </row>
    <row r="62676" spans="20:20" s="566" customFormat="1">
      <c r="T62676" s="41"/>
    </row>
    <row r="62677" spans="20:20" s="566" customFormat="1">
      <c r="T62677" s="41"/>
    </row>
    <row r="62678" spans="20:20" s="566" customFormat="1">
      <c r="T62678" s="41"/>
    </row>
    <row r="62679" spans="20:20" s="566" customFormat="1">
      <c r="T62679" s="41"/>
    </row>
    <row r="62680" spans="20:20" s="566" customFormat="1">
      <c r="T62680" s="41"/>
    </row>
    <row r="62681" spans="20:20" s="566" customFormat="1">
      <c r="T62681" s="41"/>
    </row>
    <row r="62682" spans="20:20" s="566" customFormat="1">
      <c r="T62682" s="41"/>
    </row>
    <row r="62683" spans="20:20" s="566" customFormat="1">
      <c r="T62683" s="41"/>
    </row>
    <row r="62684" spans="20:20" s="566" customFormat="1">
      <c r="T62684" s="41"/>
    </row>
    <row r="62685" spans="20:20" s="566" customFormat="1">
      <c r="T62685" s="41"/>
    </row>
    <row r="62686" spans="20:20" s="566" customFormat="1">
      <c r="T62686" s="41"/>
    </row>
    <row r="62687" spans="20:20" s="566" customFormat="1">
      <c r="T62687" s="41"/>
    </row>
    <row r="62688" spans="20:20" s="566" customFormat="1">
      <c r="T62688" s="41"/>
    </row>
    <row r="62689" spans="20:20" s="566" customFormat="1">
      <c r="T62689" s="41"/>
    </row>
    <row r="62690" spans="20:20" s="566" customFormat="1">
      <c r="T62690" s="41"/>
    </row>
    <row r="62691" spans="20:20" s="566" customFormat="1">
      <c r="T62691" s="41"/>
    </row>
    <row r="62692" spans="20:20" s="566" customFormat="1">
      <c r="T62692" s="41"/>
    </row>
    <row r="62693" spans="20:20" s="566" customFormat="1">
      <c r="T62693" s="41"/>
    </row>
    <row r="62694" spans="20:20" s="566" customFormat="1">
      <c r="T62694" s="41"/>
    </row>
    <row r="62695" spans="20:20" s="566" customFormat="1">
      <c r="T62695" s="41"/>
    </row>
    <row r="62696" spans="20:20" s="566" customFormat="1">
      <c r="T62696" s="41"/>
    </row>
    <row r="62697" spans="20:20" s="566" customFormat="1">
      <c r="T62697" s="41"/>
    </row>
    <row r="62698" spans="20:20" s="566" customFormat="1">
      <c r="T62698" s="41"/>
    </row>
    <row r="62699" spans="20:20" s="566" customFormat="1">
      <c r="T62699" s="41"/>
    </row>
    <row r="62700" spans="20:20" s="566" customFormat="1">
      <c r="T62700" s="41"/>
    </row>
    <row r="62701" spans="20:20" s="566" customFormat="1">
      <c r="T62701" s="41"/>
    </row>
    <row r="62702" spans="20:20" s="566" customFormat="1">
      <c r="T62702" s="41"/>
    </row>
    <row r="62703" spans="20:20" s="566" customFormat="1">
      <c r="T62703" s="41"/>
    </row>
    <row r="62704" spans="20:20" s="566" customFormat="1">
      <c r="T62704" s="41"/>
    </row>
    <row r="62705" spans="20:20" s="566" customFormat="1">
      <c r="T62705" s="41"/>
    </row>
    <row r="62706" spans="20:20" s="566" customFormat="1">
      <c r="T62706" s="41"/>
    </row>
    <row r="62707" spans="20:20" s="566" customFormat="1">
      <c r="T62707" s="41"/>
    </row>
    <row r="62708" spans="20:20" s="566" customFormat="1">
      <c r="T62708" s="41"/>
    </row>
    <row r="62709" spans="20:20" s="566" customFormat="1">
      <c r="T62709" s="41"/>
    </row>
    <row r="62710" spans="20:20" s="566" customFormat="1">
      <c r="T62710" s="41"/>
    </row>
    <row r="62711" spans="20:20" s="566" customFormat="1">
      <c r="T62711" s="41"/>
    </row>
    <row r="62712" spans="20:20" s="566" customFormat="1">
      <c r="T62712" s="41"/>
    </row>
    <row r="62713" spans="20:20" s="566" customFormat="1">
      <c r="T62713" s="41"/>
    </row>
    <row r="62714" spans="20:20" s="566" customFormat="1">
      <c r="T62714" s="41"/>
    </row>
    <row r="62715" spans="20:20" s="566" customFormat="1">
      <c r="T62715" s="41"/>
    </row>
    <row r="62716" spans="20:20" s="566" customFormat="1">
      <c r="T62716" s="41"/>
    </row>
    <row r="62717" spans="20:20" s="566" customFormat="1">
      <c r="T62717" s="41"/>
    </row>
    <row r="62718" spans="20:20" s="566" customFormat="1">
      <c r="T62718" s="41"/>
    </row>
    <row r="62719" spans="20:20" s="566" customFormat="1">
      <c r="T62719" s="41"/>
    </row>
    <row r="62720" spans="20:20" s="566" customFormat="1">
      <c r="T62720" s="41"/>
    </row>
    <row r="62721" spans="20:20" s="566" customFormat="1">
      <c r="T62721" s="41"/>
    </row>
    <row r="62722" spans="20:20" s="566" customFormat="1">
      <c r="T62722" s="41"/>
    </row>
    <row r="62723" spans="20:20" s="566" customFormat="1">
      <c r="T62723" s="41"/>
    </row>
    <row r="62724" spans="20:20" s="566" customFormat="1">
      <c r="T62724" s="41"/>
    </row>
    <row r="62725" spans="20:20" s="566" customFormat="1">
      <c r="T62725" s="41"/>
    </row>
    <row r="62726" spans="20:20" s="566" customFormat="1">
      <c r="T62726" s="41"/>
    </row>
    <row r="62727" spans="20:20" s="566" customFormat="1">
      <c r="T62727" s="41"/>
    </row>
    <row r="62728" spans="20:20" s="566" customFormat="1">
      <c r="T62728" s="41"/>
    </row>
    <row r="62729" spans="20:20" s="566" customFormat="1">
      <c r="T62729" s="41"/>
    </row>
    <row r="62730" spans="20:20" s="566" customFormat="1">
      <c r="T62730" s="41"/>
    </row>
    <row r="62731" spans="20:20" s="566" customFormat="1">
      <c r="T62731" s="41"/>
    </row>
    <row r="62732" spans="20:20" s="566" customFormat="1">
      <c r="T62732" s="41"/>
    </row>
    <row r="62733" spans="20:20" s="566" customFormat="1">
      <c r="T62733" s="41"/>
    </row>
    <row r="62734" spans="20:20" s="566" customFormat="1">
      <c r="T62734" s="41"/>
    </row>
    <row r="62735" spans="20:20" s="566" customFormat="1">
      <c r="T62735" s="41"/>
    </row>
    <row r="62736" spans="20:20" s="566" customFormat="1">
      <c r="T62736" s="41"/>
    </row>
    <row r="62737" spans="20:20" s="566" customFormat="1">
      <c r="T62737" s="41"/>
    </row>
    <row r="62738" spans="20:20" s="566" customFormat="1">
      <c r="T62738" s="41"/>
    </row>
    <row r="62739" spans="20:20" s="566" customFormat="1">
      <c r="T62739" s="41"/>
    </row>
    <row r="62740" spans="20:20" s="566" customFormat="1">
      <c r="T62740" s="41"/>
    </row>
    <row r="62741" spans="20:20" s="566" customFormat="1">
      <c r="T62741" s="41"/>
    </row>
    <row r="62742" spans="20:20" s="566" customFormat="1">
      <c r="T62742" s="41"/>
    </row>
    <row r="62743" spans="20:20" s="566" customFormat="1">
      <c r="T62743" s="41"/>
    </row>
    <row r="62744" spans="20:20" s="566" customFormat="1">
      <c r="T62744" s="41"/>
    </row>
    <row r="62745" spans="20:20" s="566" customFormat="1">
      <c r="T62745" s="41"/>
    </row>
    <row r="62746" spans="20:20" s="566" customFormat="1">
      <c r="T62746" s="41"/>
    </row>
    <row r="62747" spans="20:20" s="566" customFormat="1">
      <c r="T62747" s="41"/>
    </row>
    <row r="62748" spans="20:20" s="566" customFormat="1">
      <c r="T62748" s="41"/>
    </row>
    <row r="62749" spans="20:20" s="566" customFormat="1">
      <c r="T62749" s="41"/>
    </row>
    <row r="62750" spans="20:20" s="566" customFormat="1">
      <c r="T62750" s="41"/>
    </row>
    <row r="62751" spans="20:20" s="566" customFormat="1">
      <c r="T62751" s="41"/>
    </row>
    <row r="62752" spans="20:20" s="566" customFormat="1">
      <c r="T62752" s="41"/>
    </row>
    <row r="62753" spans="20:20" s="566" customFormat="1">
      <c r="T62753" s="41"/>
    </row>
    <row r="62754" spans="20:20" s="566" customFormat="1">
      <c r="T62754" s="41"/>
    </row>
    <row r="62755" spans="20:20" s="566" customFormat="1">
      <c r="T62755" s="41"/>
    </row>
    <row r="62756" spans="20:20" s="566" customFormat="1">
      <c r="T62756" s="41"/>
    </row>
    <row r="62757" spans="20:20" s="566" customFormat="1">
      <c r="T62757" s="41"/>
    </row>
    <row r="62758" spans="20:20" s="566" customFormat="1">
      <c r="T62758" s="41"/>
    </row>
    <row r="62759" spans="20:20" s="566" customFormat="1">
      <c r="T62759" s="41"/>
    </row>
    <row r="62760" spans="20:20" s="566" customFormat="1">
      <c r="T62760" s="41"/>
    </row>
    <row r="62761" spans="20:20" s="566" customFormat="1">
      <c r="T62761" s="41"/>
    </row>
    <row r="62762" spans="20:20" s="566" customFormat="1">
      <c r="T62762" s="41"/>
    </row>
    <row r="62763" spans="20:20" s="566" customFormat="1">
      <c r="T62763" s="41"/>
    </row>
    <row r="62764" spans="20:20" s="566" customFormat="1">
      <c r="T62764" s="41"/>
    </row>
    <row r="62765" spans="20:20" s="566" customFormat="1">
      <c r="T62765" s="41"/>
    </row>
    <row r="62766" spans="20:20" s="566" customFormat="1">
      <c r="T62766" s="41"/>
    </row>
    <row r="62767" spans="20:20" s="566" customFormat="1">
      <c r="T62767" s="41"/>
    </row>
    <row r="62768" spans="20:20" s="566" customFormat="1">
      <c r="T62768" s="41"/>
    </row>
    <row r="62769" spans="20:20" s="566" customFormat="1">
      <c r="T62769" s="41"/>
    </row>
    <row r="62770" spans="20:20" s="566" customFormat="1">
      <c r="T62770" s="41"/>
    </row>
    <row r="62771" spans="20:20" s="566" customFormat="1">
      <c r="T62771" s="41"/>
    </row>
    <row r="62772" spans="20:20" s="566" customFormat="1">
      <c r="T62772" s="41"/>
    </row>
    <row r="62773" spans="20:20" s="566" customFormat="1">
      <c r="T62773" s="41"/>
    </row>
    <row r="62774" spans="20:20" s="566" customFormat="1">
      <c r="T62774" s="41"/>
    </row>
    <row r="62775" spans="20:20" s="566" customFormat="1">
      <c r="T62775" s="41"/>
    </row>
    <row r="62776" spans="20:20" s="566" customFormat="1">
      <c r="T62776" s="41"/>
    </row>
    <row r="62777" spans="20:20" s="566" customFormat="1">
      <c r="T62777" s="41"/>
    </row>
    <row r="62778" spans="20:20" s="566" customFormat="1">
      <c r="T62778" s="41"/>
    </row>
    <row r="62779" spans="20:20" s="566" customFormat="1">
      <c r="T62779" s="41"/>
    </row>
    <row r="62780" spans="20:20" s="566" customFormat="1">
      <c r="T62780" s="41"/>
    </row>
    <row r="62781" spans="20:20" s="566" customFormat="1">
      <c r="T62781" s="41"/>
    </row>
    <row r="62782" spans="20:20" s="566" customFormat="1">
      <c r="T62782" s="41"/>
    </row>
    <row r="62783" spans="20:20" s="566" customFormat="1">
      <c r="T62783" s="41"/>
    </row>
    <row r="62784" spans="20:20" s="566" customFormat="1">
      <c r="T62784" s="41"/>
    </row>
    <row r="62785" spans="20:20" s="566" customFormat="1">
      <c r="T62785" s="41"/>
    </row>
    <row r="62786" spans="20:20" s="566" customFormat="1">
      <c r="T62786" s="41"/>
    </row>
    <row r="62787" spans="20:20" s="566" customFormat="1">
      <c r="T62787" s="41"/>
    </row>
    <row r="62788" spans="20:20" s="566" customFormat="1">
      <c r="T62788" s="41"/>
    </row>
    <row r="62789" spans="20:20" s="566" customFormat="1">
      <c r="T62789" s="41"/>
    </row>
    <row r="62790" spans="20:20" s="566" customFormat="1">
      <c r="T62790" s="41"/>
    </row>
    <row r="62791" spans="20:20" s="566" customFormat="1">
      <c r="T62791" s="41"/>
    </row>
    <row r="62792" spans="20:20" s="566" customFormat="1">
      <c r="T62792" s="41"/>
    </row>
    <row r="62793" spans="20:20" s="566" customFormat="1">
      <c r="T62793" s="41"/>
    </row>
    <row r="62794" spans="20:20" s="566" customFormat="1">
      <c r="T62794" s="41"/>
    </row>
    <row r="62795" spans="20:20" s="566" customFormat="1">
      <c r="T62795" s="41"/>
    </row>
    <row r="62796" spans="20:20" s="566" customFormat="1">
      <c r="T62796" s="41"/>
    </row>
    <row r="62797" spans="20:20" s="566" customFormat="1">
      <c r="T62797" s="41"/>
    </row>
    <row r="62798" spans="20:20" s="566" customFormat="1">
      <c r="T62798" s="41"/>
    </row>
    <row r="62799" spans="20:20" s="566" customFormat="1">
      <c r="T62799" s="41"/>
    </row>
    <row r="62800" spans="20:20" s="566" customFormat="1">
      <c r="T62800" s="41"/>
    </row>
    <row r="62801" spans="20:20" s="566" customFormat="1">
      <c r="T62801" s="41"/>
    </row>
    <row r="62802" spans="20:20" s="566" customFormat="1">
      <c r="T62802" s="41"/>
    </row>
    <row r="62803" spans="20:20" s="566" customFormat="1">
      <c r="T62803" s="41"/>
    </row>
    <row r="62804" spans="20:20" s="566" customFormat="1">
      <c r="T62804" s="41"/>
    </row>
    <row r="62805" spans="20:20" s="566" customFormat="1">
      <c r="T62805" s="41"/>
    </row>
    <row r="62806" spans="20:20" s="566" customFormat="1">
      <c r="T62806" s="41"/>
    </row>
    <row r="62807" spans="20:20" s="566" customFormat="1">
      <c r="T62807" s="41"/>
    </row>
    <row r="62808" spans="20:20" s="566" customFormat="1">
      <c r="T62808" s="41"/>
    </row>
    <row r="62809" spans="20:20" s="566" customFormat="1">
      <c r="T62809" s="41"/>
    </row>
    <row r="62810" spans="20:20" s="566" customFormat="1">
      <c r="T62810" s="41"/>
    </row>
    <row r="62811" spans="20:20" s="566" customFormat="1">
      <c r="T62811" s="41"/>
    </row>
    <row r="62812" spans="20:20" s="566" customFormat="1">
      <c r="T62812" s="41"/>
    </row>
    <row r="62813" spans="20:20" s="566" customFormat="1">
      <c r="T62813" s="41"/>
    </row>
    <row r="62814" spans="20:20" s="566" customFormat="1">
      <c r="T62814" s="41"/>
    </row>
    <row r="62815" spans="20:20" s="566" customFormat="1">
      <c r="T62815" s="41"/>
    </row>
    <row r="62816" spans="20:20" s="566" customFormat="1">
      <c r="T62816" s="41"/>
    </row>
    <row r="62817" spans="20:20" s="566" customFormat="1">
      <c r="T62817" s="41"/>
    </row>
    <row r="62818" spans="20:20" s="566" customFormat="1">
      <c r="T62818" s="41"/>
    </row>
    <row r="62819" spans="20:20" s="566" customFormat="1">
      <c r="T62819" s="41"/>
    </row>
    <row r="62820" spans="20:20" s="566" customFormat="1">
      <c r="T62820" s="41"/>
    </row>
    <row r="62821" spans="20:20" s="566" customFormat="1">
      <c r="T62821" s="41"/>
    </row>
    <row r="62822" spans="20:20" s="566" customFormat="1">
      <c r="T62822" s="41"/>
    </row>
    <row r="62823" spans="20:20" s="566" customFormat="1">
      <c r="T62823" s="41"/>
    </row>
    <row r="62824" spans="20:20" s="566" customFormat="1">
      <c r="T62824" s="41"/>
    </row>
    <row r="62825" spans="20:20" s="566" customFormat="1">
      <c r="T62825" s="41"/>
    </row>
    <row r="62826" spans="20:20" s="566" customFormat="1">
      <c r="T62826" s="41"/>
    </row>
    <row r="62827" spans="20:20" s="566" customFormat="1">
      <c r="T62827" s="41"/>
    </row>
    <row r="62828" spans="20:20" s="566" customFormat="1">
      <c r="T62828" s="41"/>
    </row>
    <row r="62829" spans="20:20" s="566" customFormat="1">
      <c r="T62829" s="41"/>
    </row>
    <row r="62830" spans="20:20" s="566" customFormat="1">
      <c r="T62830" s="41"/>
    </row>
    <row r="62831" spans="20:20" s="566" customFormat="1">
      <c r="T62831" s="41"/>
    </row>
    <row r="62832" spans="20:20" s="566" customFormat="1">
      <c r="T62832" s="41"/>
    </row>
    <row r="62833" spans="20:20" s="566" customFormat="1">
      <c r="T62833" s="41"/>
    </row>
    <row r="62834" spans="20:20" s="566" customFormat="1">
      <c r="T62834" s="41"/>
    </row>
    <row r="62835" spans="20:20" s="566" customFormat="1">
      <c r="T62835" s="41"/>
    </row>
    <row r="62836" spans="20:20" s="566" customFormat="1">
      <c r="T62836" s="41"/>
    </row>
    <row r="62837" spans="20:20" s="566" customFormat="1">
      <c r="T62837" s="41"/>
    </row>
    <row r="62838" spans="20:20" s="566" customFormat="1">
      <c r="T62838" s="41"/>
    </row>
    <row r="62839" spans="20:20" s="566" customFormat="1">
      <c r="T62839" s="41"/>
    </row>
    <row r="62840" spans="20:20" s="566" customFormat="1">
      <c r="T62840" s="41"/>
    </row>
    <row r="62841" spans="20:20" s="566" customFormat="1">
      <c r="T62841" s="41"/>
    </row>
    <row r="62842" spans="20:20" s="566" customFormat="1">
      <c r="T62842" s="41"/>
    </row>
    <row r="62843" spans="20:20" s="566" customFormat="1">
      <c r="T62843" s="41"/>
    </row>
    <row r="62844" spans="20:20" s="566" customFormat="1">
      <c r="T62844" s="41"/>
    </row>
    <row r="62845" spans="20:20" s="566" customFormat="1">
      <c r="T62845" s="41"/>
    </row>
    <row r="62846" spans="20:20" s="566" customFormat="1">
      <c r="T62846" s="41"/>
    </row>
    <row r="62847" spans="20:20" s="566" customFormat="1">
      <c r="T62847" s="41"/>
    </row>
    <row r="62848" spans="20:20" s="566" customFormat="1">
      <c r="T62848" s="41"/>
    </row>
    <row r="62849" spans="20:20" s="566" customFormat="1">
      <c r="T62849" s="41"/>
    </row>
    <row r="62850" spans="20:20" s="566" customFormat="1">
      <c r="T62850" s="41"/>
    </row>
    <row r="62851" spans="20:20" s="566" customFormat="1">
      <c r="T62851" s="41"/>
    </row>
    <row r="62852" spans="20:20" s="566" customFormat="1">
      <c r="T62852" s="41"/>
    </row>
    <row r="62853" spans="20:20" s="566" customFormat="1">
      <c r="T62853" s="41"/>
    </row>
    <row r="62854" spans="20:20" s="566" customFormat="1">
      <c r="T62854" s="41"/>
    </row>
    <row r="62855" spans="20:20" s="566" customFormat="1">
      <c r="T62855" s="41"/>
    </row>
    <row r="62856" spans="20:20" s="566" customFormat="1">
      <c r="T62856" s="41"/>
    </row>
    <row r="62857" spans="20:20" s="566" customFormat="1">
      <c r="T62857" s="41"/>
    </row>
    <row r="62858" spans="20:20" s="566" customFormat="1">
      <c r="T62858" s="41"/>
    </row>
    <row r="62859" spans="20:20" s="566" customFormat="1">
      <c r="T62859" s="41"/>
    </row>
    <row r="62860" spans="20:20" s="566" customFormat="1">
      <c r="T62860" s="41"/>
    </row>
    <row r="62861" spans="20:20" s="566" customFormat="1">
      <c r="T62861" s="41"/>
    </row>
    <row r="62862" spans="20:20" s="566" customFormat="1">
      <c r="T62862" s="41"/>
    </row>
    <row r="62863" spans="20:20" s="566" customFormat="1">
      <c r="T62863" s="41"/>
    </row>
    <row r="62864" spans="20:20" s="566" customFormat="1">
      <c r="T62864" s="41"/>
    </row>
    <row r="62865" spans="20:20" s="566" customFormat="1">
      <c r="T62865" s="41"/>
    </row>
    <row r="62866" spans="20:20" s="566" customFormat="1">
      <c r="T62866" s="41"/>
    </row>
    <row r="62867" spans="20:20" s="566" customFormat="1">
      <c r="T62867" s="41"/>
    </row>
    <row r="62868" spans="20:20" s="566" customFormat="1">
      <c r="T62868" s="41"/>
    </row>
    <row r="62869" spans="20:20" s="566" customFormat="1">
      <c r="T62869" s="41"/>
    </row>
    <row r="62870" spans="20:20" s="566" customFormat="1">
      <c r="T62870" s="41"/>
    </row>
    <row r="62871" spans="20:20" s="566" customFormat="1">
      <c r="T62871" s="41"/>
    </row>
    <row r="62872" spans="20:20" s="566" customFormat="1">
      <c r="T62872" s="41"/>
    </row>
    <row r="62873" spans="20:20" s="566" customFormat="1">
      <c r="T62873" s="41"/>
    </row>
    <row r="62874" spans="20:20" s="566" customFormat="1">
      <c r="T62874" s="41"/>
    </row>
    <row r="62875" spans="20:20" s="566" customFormat="1">
      <c r="T62875" s="41"/>
    </row>
    <row r="62876" spans="20:20" s="566" customFormat="1">
      <c r="T62876" s="41"/>
    </row>
    <row r="62877" spans="20:20" s="566" customFormat="1">
      <c r="T62877" s="41"/>
    </row>
    <row r="62878" spans="20:20" s="566" customFormat="1">
      <c r="T62878" s="41"/>
    </row>
    <row r="62879" spans="20:20" s="566" customFormat="1">
      <c r="T62879" s="41"/>
    </row>
    <row r="62880" spans="20:20" s="566" customFormat="1">
      <c r="T62880" s="41"/>
    </row>
    <row r="62881" spans="20:20" s="566" customFormat="1">
      <c r="T62881" s="41"/>
    </row>
    <row r="62882" spans="20:20" s="566" customFormat="1">
      <c r="T62882" s="41"/>
    </row>
    <row r="62883" spans="20:20" s="566" customFormat="1">
      <c r="T62883" s="41"/>
    </row>
    <row r="62884" spans="20:20" s="566" customFormat="1">
      <c r="T62884" s="41"/>
    </row>
    <row r="62885" spans="20:20" s="566" customFormat="1">
      <c r="T62885" s="41"/>
    </row>
    <row r="62886" spans="20:20" s="566" customFormat="1">
      <c r="T62886" s="41"/>
    </row>
    <row r="62887" spans="20:20" s="566" customFormat="1">
      <c r="T62887" s="41"/>
    </row>
    <row r="62888" spans="20:20" s="566" customFormat="1">
      <c r="T62888" s="41"/>
    </row>
    <row r="62889" spans="20:20" s="566" customFormat="1">
      <c r="T62889" s="41"/>
    </row>
    <row r="62890" spans="20:20" s="566" customFormat="1">
      <c r="T62890" s="41"/>
    </row>
    <row r="62891" spans="20:20" s="566" customFormat="1">
      <c r="T62891" s="41"/>
    </row>
    <row r="62892" spans="20:20" s="566" customFormat="1">
      <c r="T62892" s="41"/>
    </row>
    <row r="62893" spans="20:20" s="566" customFormat="1">
      <c r="T62893" s="41"/>
    </row>
    <row r="62894" spans="20:20" s="566" customFormat="1">
      <c r="T62894" s="41"/>
    </row>
    <row r="62895" spans="20:20" s="566" customFormat="1">
      <c r="T62895" s="41"/>
    </row>
    <row r="62896" spans="20:20" s="566" customFormat="1">
      <c r="T62896" s="41"/>
    </row>
    <row r="62897" spans="20:20" s="566" customFormat="1">
      <c r="T62897" s="41"/>
    </row>
    <row r="62898" spans="20:20" s="566" customFormat="1">
      <c r="T62898" s="41"/>
    </row>
    <row r="62899" spans="20:20" s="566" customFormat="1">
      <c r="T62899" s="41"/>
    </row>
    <row r="62900" spans="20:20" s="566" customFormat="1">
      <c r="T62900" s="41"/>
    </row>
    <row r="62901" spans="20:20" s="566" customFormat="1">
      <c r="T62901" s="41"/>
    </row>
    <row r="62902" spans="20:20" s="566" customFormat="1">
      <c r="T62902" s="41"/>
    </row>
    <row r="62903" spans="20:20" s="566" customFormat="1">
      <c r="T62903" s="41"/>
    </row>
    <row r="62904" spans="20:20" s="566" customFormat="1">
      <c r="T62904" s="41"/>
    </row>
    <row r="62905" spans="20:20" s="566" customFormat="1">
      <c r="T62905" s="41"/>
    </row>
    <row r="62906" spans="20:20" s="566" customFormat="1">
      <c r="T62906" s="41"/>
    </row>
    <row r="62907" spans="20:20" s="566" customFormat="1">
      <c r="T62907" s="41"/>
    </row>
    <row r="62908" spans="20:20" s="566" customFormat="1">
      <c r="T62908" s="41"/>
    </row>
    <row r="62909" spans="20:20" s="566" customFormat="1">
      <c r="T62909" s="41"/>
    </row>
    <row r="62910" spans="20:20" s="566" customFormat="1">
      <c r="T62910" s="41"/>
    </row>
    <row r="62911" spans="20:20" s="566" customFormat="1">
      <c r="T62911" s="41"/>
    </row>
    <row r="62912" spans="20:20" s="566" customFormat="1">
      <c r="T62912" s="41"/>
    </row>
    <row r="62913" spans="20:20" s="566" customFormat="1">
      <c r="T62913" s="41"/>
    </row>
    <row r="62914" spans="20:20" s="566" customFormat="1">
      <c r="T62914" s="41"/>
    </row>
    <row r="62915" spans="20:20" s="566" customFormat="1">
      <c r="T62915" s="41"/>
    </row>
    <row r="62916" spans="20:20" s="566" customFormat="1">
      <c r="T62916" s="41"/>
    </row>
    <row r="62917" spans="20:20" s="566" customFormat="1">
      <c r="T62917" s="41"/>
    </row>
    <row r="62918" spans="20:20" s="566" customFormat="1">
      <c r="T62918" s="41"/>
    </row>
    <row r="62919" spans="20:20" s="566" customFormat="1">
      <c r="T62919" s="41"/>
    </row>
    <row r="62920" spans="20:20" s="566" customFormat="1">
      <c r="T62920" s="41"/>
    </row>
    <row r="62921" spans="20:20" s="566" customFormat="1">
      <c r="T62921" s="41"/>
    </row>
    <row r="62922" spans="20:20" s="566" customFormat="1">
      <c r="T62922" s="41"/>
    </row>
    <row r="62923" spans="20:20" s="566" customFormat="1">
      <c r="T62923" s="41"/>
    </row>
    <row r="62924" spans="20:20" s="566" customFormat="1">
      <c r="T62924" s="41"/>
    </row>
    <row r="62925" spans="20:20" s="566" customFormat="1">
      <c r="T62925" s="41"/>
    </row>
    <row r="62926" spans="20:20" s="566" customFormat="1">
      <c r="T62926" s="41"/>
    </row>
    <row r="62927" spans="20:20" s="566" customFormat="1">
      <c r="T62927" s="41"/>
    </row>
    <row r="62928" spans="20:20" s="566" customFormat="1">
      <c r="T62928" s="41"/>
    </row>
    <row r="62929" spans="20:20" s="566" customFormat="1">
      <c r="T62929" s="41"/>
    </row>
    <row r="62930" spans="20:20" s="566" customFormat="1">
      <c r="T62930" s="41"/>
    </row>
    <row r="62931" spans="20:20" s="566" customFormat="1">
      <c r="T62931" s="41"/>
    </row>
    <row r="62932" spans="20:20" s="566" customFormat="1">
      <c r="T62932" s="41"/>
    </row>
    <row r="62933" spans="20:20" s="566" customFormat="1">
      <c r="T62933" s="41"/>
    </row>
    <row r="62934" spans="20:20" s="566" customFormat="1">
      <c r="T62934" s="41"/>
    </row>
    <row r="62935" spans="20:20" s="566" customFormat="1">
      <c r="T62935" s="41"/>
    </row>
    <row r="62936" spans="20:20" s="566" customFormat="1">
      <c r="T62936" s="41"/>
    </row>
    <row r="62937" spans="20:20" s="566" customFormat="1">
      <c r="T62937" s="41"/>
    </row>
    <row r="62938" spans="20:20" s="566" customFormat="1">
      <c r="T62938" s="41"/>
    </row>
    <row r="62939" spans="20:20" s="566" customFormat="1">
      <c r="T62939" s="41"/>
    </row>
    <row r="62940" spans="20:20" s="566" customFormat="1">
      <c r="T62940" s="41"/>
    </row>
    <row r="62941" spans="20:20" s="566" customFormat="1">
      <c r="T62941" s="41"/>
    </row>
    <row r="62942" spans="20:20" s="566" customFormat="1">
      <c r="T62942" s="41"/>
    </row>
    <row r="62943" spans="20:20" s="566" customFormat="1">
      <c r="T62943" s="41"/>
    </row>
    <row r="62944" spans="20:20" s="566" customFormat="1">
      <c r="T62944" s="41"/>
    </row>
    <row r="62945" spans="20:20" s="566" customFormat="1">
      <c r="T62945" s="41"/>
    </row>
    <row r="62946" spans="20:20" s="566" customFormat="1">
      <c r="T62946" s="41"/>
    </row>
    <row r="62947" spans="20:20" s="566" customFormat="1">
      <c r="T62947" s="41"/>
    </row>
    <row r="62948" spans="20:20" s="566" customFormat="1">
      <c r="T62948" s="41"/>
    </row>
    <row r="62949" spans="20:20" s="566" customFormat="1">
      <c r="T62949" s="41"/>
    </row>
    <row r="62950" spans="20:20" s="566" customFormat="1">
      <c r="T62950" s="41"/>
    </row>
    <row r="62951" spans="20:20" s="566" customFormat="1">
      <c r="T62951" s="41"/>
    </row>
    <row r="62952" spans="20:20" s="566" customFormat="1">
      <c r="T62952" s="41"/>
    </row>
    <row r="62953" spans="20:20" s="566" customFormat="1">
      <c r="T62953" s="41"/>
    </row>
    <row r="62954" spans="20:20" s="566" customFormat="1">
      <c r="T62954" s="41"/>
    </row>
    <row r="62955" spans="20:20" s="566" customFormat="1">
      <c r="T62955" s="41"/>
    </row>
    <row r="62956" spans="20:20" s="566" customFormat="1">
      <c r="T62956" s="41"/>
    </row>
    <row r="62957" spans="20:20" s="566" customFormat="1">
      <c r="T62957" s="41"/>
    </row>
    <row r="62958" spans="20:20" s="566" customFormat="1">
      <c r="T62958" s="41"/>
    </row>
    <row r="62959" spans="20:20" s="566" customFormat="1">
      <c r="T62959" s="41"/>
    </row>
    <row r="62960" spans="20:20" s="566" customFormat="1">
      <c r="T62960" s="41"/>
    </row>
    <row r="62961" spans="20:20" s="566" customFormat="1">
      <c r="T62961" s="41"/>
    </row>
    <row r="62962" spans="20:20" s="566" customFormat="1">
      <c r="T62962" s="41"/>
    </row>
    <row r="62963" spans="20:20" s="566" customFormat="1">
      <c r="T62963" s="41"/>
    </row>
    <row r="62964" spans="20:20" s="566" customFormat="1">
      <c r="T62964" s="41"/>
    </row>
    <row r="62965" spans="20:20" s="566" customFormat="1">
      <c r="T62965" s="41"/>
    </row>
    <row r="62966" spans="20:20" s="566" customFormat="1">
      <c r="T62966" s="41"/>
    </row>
    <row r="62967" spans="20:20" s="566" customFormat="1">
      <c r="T62967" s="41"/>
    </row>
    <row r="62968" spans="20:20" s="566" customFormat="1">
      <c r="T62968" s="41"/>
    </row>
    <row r="62969" spans="20:20" s="566" customFormat="1">
      <c r="T62969" s="41"/>
    </row>
    <row r="62970" spans="20:20" s="566" customFormat="1">
      <c r="T62970" s="41"/>
    </row>
    <row r="62971" spans="20:20" s="566" customFormat="1">
      <c r="T62971" s="41"/>
    </row>
    <row r="62972" spans="20:20" s="566" customFormat="1">
      <c r="T62972" s="41"/>
    </row>
    <row r="62973" spans="20:20" s="566" customFormat="1">
      <c r="T62973" s="41"/>
    </row>
    <row r="62974" spans="20:20" s="566" customFormat="1">
      <c r="T62974" s="41"/>
    </row>
    <row r="62975" spans="20:20" s="566" customFormat="1">
      <c r="T62975" s="41"/>
    </row>
    <row r="62976" spans="20:20" s="566" customFormat="1">
      <c r="T62976" s="41"/>
    </row>
    <row r="62977" spans="20:20" s="566" customFormat="1">
      <c r="T62977" s="41"/>
    </row>
    <row r="62978" spans="20:20" s="566" customFormat="1">
      <c r="T62978" s="41"/>
    </row>
    <row r="62979" spans="20:20" s="566" customFormat="1">
      <c r="T62979" s="41"/>
    </row>
    <row r="62980" spans="20:20" s="566" customFormat="1">
      <c r="T62980" s="41"/>
    </row>
    <row r="62981" spans="20:20" s="566" customFormat="1">
      <c r="T62981" s="41"/>
    </row>
    <row r="62982" spans="20:20" s="566" customFormat="1">
      <c r="T62982" s="41"/>
    </row>
    <row r="62983" spans="20:20" s="566" customFormat="1">
      <c r="T62983" s="41"/>
    </row>
    <row r="62984" spans="20:20" s="566" customFormat="1">
      <c r="T62984" s="41"/>
    </row>
    <row r="62985" spans="20:20" s="566" customFormat="1">
      <c r="T62985" s="41"/>
    </row>
    <row r="62986" spans="20:20" s="566" customFormat="1">
      <c r="T62986" s="41"/>
    </row>
    <row r="62987" spans="20:20" s="566" customFormat="1">
      <c r="T62987" s="41"/>
    </row>
    <row r="62988" spans="20:20" s="566" customFormat="1">
      <c r="T62988" s="41"/>
    </row>
    <row r="62989" spans="20:20" s="566" customFormat="1">
      <c r="T62989" s="41"/>
    </row>
    <row r="62990" spans="20:20" s="566" customFormat="1">
      <c r="T62990" s="41"/>
    </row>
    <row r="62991" spans="20:20" s="566" customFormat="1">
      <c r="T62991" s="41"/>
    </row>
    <row r="62992" spans="20:20" s="566" customFormat="1">
      <c r="T62992" s="41"/>
    </row>
    <row r="62993" spans="20:20" s="566" customFormat="1">
      <c r="T62993" s="41"/>
    </row>
    <row r="62994" spans="20:20" s="566" customFormat="1">
      <c r="T62994" s="41"/>
    </row>
    <row r="62995" spans="20:20" s="566" customFormat="1">
      <c r="T62995" s="41"/>
    </row>
    <row r="62996" spans="20:20" s="566" customFormat="1">
      <c r="T62996" s="41"/>
    </row>
    <row r="62997" spans="20:20" s="566" customFormat="1">
      <c r="T62997" s="41"/>
    </row>
    <row r="62998" spans="20:20" s="566" customFormat="1">
      <c r="T62998" s="41"/>
    </row>
    <row r="62999" spans="20:20" s="566" customFormat="1">
      <c r="T62999" s="41"/>
    </row>
    <row r="63000" spans="20:20" s="566" customFormat="1">
      <c r="T63000" s="41"/>
    </row>
    <row r="63001" spans="20:20" s="566" customFormat="1">
      <c r="T63001" s="41"/>
    </row>
    <row r="63002" spans="20:20" s="566" customFormat="1">
      <c r="T63002" s="41"/>
    </row>
    <row r="63003" spans="20:20" s="566" customFormat="1">
      <c r="T63003" s="41"/>
    </row>
    <row r="63004" spans="20:20" s="566" customFormat="1">
      <c r="T63004" s="41"/>
    </row>
    <row r="63005" spans="20:20" s="566" customFormat="1">
      <c r="T63005" s="41"/>
    </row>
    <row r="63006" spans="20:20" s="566" customFormat="1">
      <c r="T63006" s="41"/>
    </row>
    <row r="63007" spans="20:20" s="566" customFormat="1">
      <c r="T63007" s="41"/>
    </row>
    <row r="63008" spans="20:20" s="566" customFormat="1">
      <c r="T63008" s="41"/>
    </row>
    <row r="63009" spans="20:20" s="566" customFormat="1">
      <c r="T63009" s="41"/>
    </row>
    <row r="63010" spans="20:20" s="566" customFormat="1">
      <c r="T63010" s="41"/>
    </row>
    <row r="63011" spans="20:20" s="566" customFormat="1">
      <c r="T63011" s="41"/>
    </row>
    <row r="63012" spans="20:20" s="566" customFormat="1">
      <c r="T63012" s="41"/>
    </row>
    <row r="63013" spans="20:20" s="566" customFormat="1">
      <c r="T63013" s="41"/>
    </row>
    <row r="63014" spans="20:20" s="566" customFormat="1">
      <c r="T63014" s="41"/>
    </row>
    <row r="63015" spans="20:20" s="566" customFormat="1">
      <c r="T63015" s="41"/>
    </row>
    <row r="63016" spans="20:20" s="566" customFormat="1">
      <c r="T63016" s="41"/>
    </row>
    <row r="63017" spans="20:20" s="566" customFormat="1">
      <c r="T63017" s="41"/>
    </row>
    <row r="63018" spans="20:20" s="566" customFormat="1">
      <c r="T63018" s="41"/>
    </row>
    <row r="63019" spans="20:20" s="566" customFormat="1">
      <c r="T63019" s="41"/>
    </row>
    <row r="63020" spans="20:20" s="566" customFormat="1">
      <c r="T63020" s="41"/>
    </row>
    <row r="63021" spans="20:20" s="566" customFormat="1">
      <c r="T63021" s="41"/>
    </row>
    <row r="63022" spans="20:20" s="566" customFormat="1">
      <c r="T63022" s="41"/>
    </row>
    <row r="63023" spans="20:20" s="566" customFormat="1">
      <c r="T63023" s="41"/>
    </row>
    <row r="63024" spans="20:20" s="566" customFormat="1">
      <c r="T63024" s="41"/>
    </row>
    <row r="63025" spans="20:20" s="566" customFormat="1">
      <c r="T63025" s="41"/>
    </row>
    <row r="63026" spans="20:20" s="566" customFormat="1">
      <c r="T63026" s="41"/>
    </row>
    <row r="63027" spans="20:20" s="566" customFormat="1">
      <c r="T63027" s="41"/>
    </row>
    <row r="63028" spans="20:20" s="566" customFormat="1">
      <c r="T63028" s="41"/>
    </row>
    <row r="63029" spans="20:20" s="566" customFormat="1">
      <c r="T63029" s="41"/>
    </row>
    <row r="63030" spans="20:20" s="566" customFormat="1">
      <c r="T63030" s="41"/>
    </row>
    <row r="63031" spans="20:20" s="566" customFormat="1">
      <c r="T63031" s="41"/>
    </row>
    <row r="63032" spans="20:20" s="566" customFormat="1">
      <c r="T63032" s="41"/>
    </row>
    <row r="63033" spans="20:20" s="566" customFormat="1">
      <c r="T63033" s="41"/>
    </row>
    <row r="63034" spans="20:20" s="566" customFormat="1">
      <c r="T63034" s="41"/>
    </row>
    <row r="63035" spans="20:20" s="566" customFormat="1">
      <c r="T63035" s="41"/>
    </row>
    <row r="63036" spans="20:20" s="566" customFormat="1">
      <c r="T63036" s="41"/>
    </row>
    <row r="63037" spans="20:20" s="566" customFormat="1">
      <c r="T63037" s="41"/>
    </row>
    <row r="63038" spans="20:20" s="566" customFormat="1">
      <c r="T63038" s="41"/>
    </row>
    <row r="63039" spans="20:20" s="566" customFormat="1">
      <c r="T63039" s="41"/>
    </row>
    <row r="63040" spans="20:20" s="566" customFormat="1">
      <c r="T63040" s="41"/>
    </row>
    <row r="63041" spans="20:20" s="566" customFormat="1">
      <c r="T63041" s="41"/>
    </row>
    <row r="63042" spans="20:20" s="566" customFormat="1">
      <c r="T63042" s="41"/>
    </row>
    <row r="63043" spans="20:20" s="566" customFormat="1">
      <c r="T63043" s="41"/>
    </row>
    <row r="63044" spans="20:20" s="566" customFormat="1">
      <c r="T63044" s="41"/>
    </row>
    <row r="63045" spans="20:20" s="566" customFormat="1">
      <c r="T63045" s="41"/>
    </row>
    <row r="63046" spans="20:20" s="566" customFormat="1">
      <c r="T63046" s="41"/>
    </row>
    <row r="63047" spans="20:20" s="566" customFormat="1">
      <c r="T63047" s="41"/>
    </row>
    <row r="63048" spans="20:20" s="566" customFormat="1">
      <c r="T63048" s="41"/>
    </row>
    <row r="63049" spans="20:20" s="566" customFormat="1">
      <c r="T63049" s="41"/>
    </row>
    <row r="63050" spans="20:20" s="566" customFormat="1">
      <c r="T63050" s="41"/>
    </row>
    <row r="63051" spans="20:20" s="566" customFormat="1">
      <c r="T63051" s="41"/>
    </row>
    <row r="63052" spans="20:20" s="566" customFormat="1">
      <c r="T63052" s="41"/>
    </row>
    <row r="63053" spans="20:20" s="566" customFormat="1">
      <c r="T63053" s="41"/>
    </row>
    <row r="63054" spans="20:20" s="566" customFormat="1">
      <c r="T63054" s="41"/>
    </row>
    <row r="63055" spans="20:20" s="566" customFormat="1">
      <c r="T63055" s="41"/>
    </row>
    <row r="63056" spans="20:20" s="566" customFormat="1">
      <c r="T63056" s="41"/>
    </row>
    <row r="63057" spans="20:20" s="566" customFormat="1">
      <c r="T63057" s="41"/>
    </row>
    <row r="63058" spans="20:20" s="566" customFormat="1">
      <c r="T63058" s="41"/>
    </row>
    <row r="63059" spans="20:20" s="566" customFormat="1">
      <c r="T63059" s="41"/>
    </row>
    <row r="63060" spans="20:20" s="566" customFormat="1">
      <c r="T63060" s="41"/>
    </row>
    <row r="63061" spans="20:20" s="566" customFormat="1">
      <c r="T63061" s="41"/>
    </row>
    <row r="63062" spans="20:20" s="566" customFormat="1">
      <c r="T63062" s="41"/>
    </row>
    <row r="63063" spans="20:20" s="566" customFormat="1">
      <c r="T63063" s="41"/>
    </row>
    <row r="63064" spans="20:20" s="566" customFormat="1">
      <c r="T63064" s="41"/>
    </row>
    <row r="63065" spans="20:20" s="566" customFormat="1">
      <c r="T63065" s="41"/>
    </row>
    <row r="63066" spans="20:20" s="566" customFormat="1">
      <c r="T63066" s="41"/>
    </row>
    <row r="63067" spans="20:20" s="566" customFormat="1">
      <c r="T63067" s="41"/>
    </row>
    <row r="63068" spans="20:20" s="566" customFormat="1">
      <c r="T63068" s="41"/>
    </row>
    <row r="63069" spans="20:20" s="566" customFormat="1">
      <c r="T63069" s="41"/>
    </row>
    <row r="63070" spans="20:20" s="566" customFormat="1">
      <c r="T63070" s="41"/>
    </row>
    <row r="63071" spans="20:20" s="566" customFormat="1">
      <c r="T63071" s="41"/>
    </row>
    <row r="63072" spans="20:20" s="566" customFormat="1">
      <c r="T63072" s="41"/>
    </row>
    <row r="63073" spans="20:20" s="566" customFormat="1">
      <c r="T63073" s="41"/>
    </row>
    <row r="63074" spans="20:20" s="566" customFormat="1">
      <c r="T63074" s="41"/>
    </row>
    <row r="63075" spans="20:20" s="566" customFormat="1">
      <c r="T63075" s="41"/>
    </row>
    <row r="63076" spans="20:20" s="566" customFormat="1">
      <c r="T63076" s="41"/>
    </row>
    <row r="63077" spans="20:20" s="566" customFormat="1">
      <c r="T63077" s="41"/>
    </row>
    <row r="63078" spans="20:20" s="566" customFormat="1">
      <c r="T63078" s="41"/>
    </row>
    <row r="63079" spans="20:20" s="566" customFormat="1">
      <c r="T63079" s="41"/>
    </row>
    <row r="63080" spans="20:20" s="566" customFormat="1">
      <c r="T63080" s="41"/>
    </row>
    <row r="63081" spans="20:20" s="566" customFormat="1">
      <c r="T63081" s="41"/>
    </row>
    <row r="63082" spans="20:20" s="566" customFormat="1">
      <c r="T63082" s="41"/>
    </row>
    <row r="63083" spans="20:20" s="566" customFormat="1">
      <c r="T63083" s="41"/>
    </row>
    <row r="63084" spans="20:20" s="566" customFormat="1">
      <c r="T63084" s="41"/>
    </row>
    <row r="63085" spans="20:20" s="566" customFormat="1">
      <c r="T63085" s="41"/>
    </row>
    <row r="63086" spans="20:20" s="566" customFormat="1">
      <c r="T63086" s="41"/>
    </row>
    <row r="63087" spans="20:20" s="566" customFormat="1">
      <c r="T63087" s="41"/>
    </row>
    <row r="63088" spans="20:20" s="566" customFormat="1">
      <c r="T63088" s="41"/>
    </row>
    <row r="63089" spans="20:20" s="566" customFormat="1">
      <c r="T63089" s="41"/>
    </row>
    <row r="63090" spans="20:20" s="566" customFormat="1">
      <c r="T63090" s="41"/>
    </row>
    <row r="63091" spans="20:20" s="566" customFormat="1">
      <c r="T63091" s="41"/>
    </row>
    <row r="63092" spans="20:20" s="566" customFormat="1">
      <c r="T63092" s="41"/>
    </row>
    <row r="63093" spans="20:20" s="566" customFormat="1">
      <c r="T63093" s="41"/>
    </row>
    <row r="63094" spans="20:20" s="566" customFormat="1">
      <c r="T63094" s="41"/>
    </row>
    <row r="63095" spans="20:20" s="566" customFormat="1">
      <c r="T63095" s="41"/>
    </row>
    <row r="63096" spans="20:20" s="566" customFormat="1">
      <c r="T63096" s="41"/>
    </row>
    <row r="63097" spans="20:20" s="566" customFormat="1">
      <c r="T63097" s="41"/>
    </row>
    <row r="63098" spans="20:20" s="566" customFormat="1">
      <c r="T63098" s="41"/>
    </row>
    <row r="63099" spans="20:20" s="566" customFormat="1">
      <c r="T63099" s="41"/>
    </row>
    <row r="63100" spans="20:20" s="566" customFormat="1">
      <c r="T63100" s="41"/>
    </row>
    <row r="63101" spans="20:20" s="566" customFormat="1">
      <c r="T63101" s="41"/>
    </row>
    <row r="63102" spans="20:20" s="566" customFormat="1">
      <c r="T63102" s="41"/>
    </row>
    <row r="63103" spans="20:20" s="566" customFormat="1">
      <c r="T63103" s="41"/>
    </row>
    <row r="63104" spans="20:20" s="566" customFormat="1">
      <c r="T63104" s="41"/>
    </row>
    <row r="63105" spans="20:20" s="566" customFormat="1">
      <c r="T63105" s="41"/>
    </row>
    <row r="63106" spans="20:20" s="566" customFormat="1">
      <c r="T63106" s="41"/>
    </row>
    <row r="63107" spans="20:20" s="566" customFormat="1">
      <c r="T63107" s="41"/>
    </row>
    <row r="63108" spans="20:20" s="566" customFormat="1">
      <c r="T63108" s="41"/>
    </row>
    <row r="63109" spans="20:20" s="566" customFormat="1">
      <c r="T63109" s="41"/>
    </row>
    <row r="63110" spans="20:20" s="566" customFormat="1">
      <c r="T63110" s="41"/>
    </row>
    <row r="63111" spans="20:20" s="566" customFormat="1">
      <c r="T63111" s="41"/>
    </row>
    <row r="63112" spans="20:20" s="566" customFormat="1">
      <c r="T63112" s="41"/>
    </row>
    <row r="63113" spans="20:20" s="566" customFormat="1">
      <c r="T63113" s="41"/>
    </row>
    <row r="63114" spans="20:20" s="566" customFormat="1">
      <c r="T63114" s="41"/>
    </row>
    <row r="63115" spans="20:20" s="566" customFormat="1">
      <c r="T63115" s="41"/>
    </row>
    <row r="63116" spans="20:20" s="566" customFormat="1">
      <c r="T63116" s="41"/>
    </row>
    <row r="63117" spans="20:20" s="566" customFormat="1">
      <c r="T63117" s="41"/>
    </row>
    <row r="63118" spans="20:20" s="566" customFormat="1">
      <c r="T63118" s="41"/>
    </row>
    <row r="63119" spans="20:20" s="566" customFormat="1">
      <c r="T63119" s="41"/>
    </row>
    <row r="63120" spans="20:20" s="566" customFormat="1">
      <c r="T63120" s="41"/>
    </row>
    <row r="63121" spans="20:20" s="566" customFormat="1">
      <c r="T63121" s="41"/>
    </row>
    <row r="63122" spans="20:20" s="566" customFormat="1">
      <c r="T63122" s="41"/>
    </row>
    <row r="63123" spans="20:20" s="566" customFormat="1">
      <c r="T63123" s="41"/>
    </row>
    <row r="63124" spans="20:20" s="566" customFormat="1">
      <c r="T63124" s="41"/>
    </row>
    <row r="63125" spans="20:20" s="566" customFormat="1">
      <c r="T63125" s="41"/>
    </row>
    <row r="63126" spans="20:20" s="566" customFormat="1">
      <c r="T63126" s="41"/>
    </row>
    <row r="63127" spans="20:20" s="566" customFormat="1">
      <c r="T63127" s="41"/>
    </row>
    <row r="63128" spans="20:20" s="566" customFormat="1">
      <c r="T63128" s="41"/>
    </row>
    <row r="63129" spans="20:20" s="566" customFormat="1">
      <c r="T63129" s="41"/>
    </row>
    <row r="63130" spans="20:20" s="566" customFormat="1">
      <c r="T63130" s="41"/>
    </row>
    <row r="63131" spans="20:20" s="566" customFormat="1">
      <c r="T63131" s="41"/>
    </row>
    <row r="63132" spans="20:20" s="566" customFormat="1">
      <c r="T63132" s="41"/>
    </row>
    <row r="63133" spans="20:20" s="566" customFormat="1">
      <c r="T63133" s="41"/>
    </row>
    <row r="63134" spans="20:20" s="566" customFormat="1">
      <c r="T63134" s="41"/>
    </row>
    <row r="63135" spans="20:20" s="566" customFormat="1">
      <c r="T63135" s="41"/>
    </row>
    <row r="63136" spans="20:20" s="566" customFormat="1">
      <c r="T63136" s="41"/>
    </row>
    <row r="63137" spans="20:20" s="566" customFormat="1">
      <c r="T63137" s="41"/>
    </row>
    <row r="63138" spans="20:20" s="566" customFormat="1">
      <c r="T63138" s="41"/>
    </row>
    <row r="63139" spans="20:20" s="566" customFormat="1">
      <c r="T63139" s="41"/>
    </row>
    <row r="63140" spans="20:20" s="566" customFormat="1">
      <c r="T63140" s="41"/>
    </row>
    <row r="63141" spans="20:20" s="566" customFormat="1">
      <c r="T63141" s="41"/>
    </row>
    <row r="63142" spans="20:20" s="566" customFormat="1">
      <c r="T63142" s="41"/>
    </row>
    <row r="63143" spans="20:20" s="566" customFormat="1">
      <c r="T63143" s="41"/>
    </row>
    <row r="63144" spans="20:20" s="566" customFormat="1">
      <c r="T63144" s="41"/>
    </row>
    <row r="63145" spans="20:20" s="566" customFormat="1">
      <c r="T63145" s="41"/>
    </row>
    <row r="63146" spans="20:20" s="566" customFormat="1">
      <c r="T63146" s="41"/>
    </row>
    <row r="63147" spans="20:20" s="566" customFormat="1">
      <c r="T63147" s="41"/>
    </row>
    <row r="63148" spans="20:20" s="566" customFormat="1">
      <c r="T63148" s="41"/>
    </row>
    <row r="63149" spans="20:20" s="566" customFormat="1">
      <c r="T63149" s="41"/>
    </row>
    <row r="63150" spans="20:20" s="566" customFormat="1">
      <c r="T63150" s="41"/>
    </row>
    <row r="63151" spans="20:20" s="566" customFormat="1">
      <c r="T63151" s="41"/>
    </row>
    <row r="63152" spans="20:20" s="566" customFormat="1">
      <c r="T63152" s="41"/>
    </row>
    <row r="63153" spans="20:20" s="566" customFormat="1">
      <c r="T63153" s="41"/>
    </row>
    <row r="63154" spans="20:20" s="566" customFormat="1">
      <c r="T63154" s="41"/>
    </row>
    <row r="63155" spans="20:20" s="566" customFormat="1">
      <c r="T63155" s="41"/>
    </row>
    <row r="63156" spans="20:20" s="566" customFormat="1">
      <c r="T63156" s="41"/>
    </row>
    <row r="63157" spans="20:20" s="566" customFormat="1">
      <c r="T63157" s="41"/>
    </row>
    <row r="63158" spans="20:20" s="566" customFormat="1">
      <c r="T63158" s="41"/>
    </row>
    <row r="63159" spans="20:20" s="566" customFormat="1">
      <c r="T63159" s="41"/>
    </row>
    <row r="63160" spans="20:20" s="566" customFormat="1">
      <c r="T63160" s="41"/>
    </row>
    <row r="63161" spans="20:20" s="566" customFormat="1">
      <c r="T63161" s="41"/>
    </row>
    <row r="63162" spans="20:20" s="566" customFormat="1">
      <c r="T63162" s="41"/>
    </row>
    <row r="63163" spans="20:20" s="566" customFormat="1">
      <c r="T63163" s="41"/>
    </row>
    <row r="63164" spans="20:20" s="566" customFormat="1">
      <c r="T63164" s="41"/>
    </row>
    <row r="63165" spans="20:20" s="566" customFormat="1">
      <c r="T63165" s="41"/>
    </row>
    <row r="63166" spans="20:20" s="566" customFormat="1">
      <c r="T63166" s="41"/>
    </row>
    <row r="63167" spans="20:20" s="566" customFormat="1">
      <c r="T63167" s="41"/>
    </row>
    <row r="63168" spans="20:20" s="566" customFormat="1">
      <c r="T63168" s="41"/>
    </row>
    <row r="63169" spans="20:20" s="566" customFormat="1">
      <c r="T63169" s="41"/>
    </row>
    <row r="63170" spans="20:20" s="566" customFormat="1">
      <c r="T63170" s="41"/>
    </row>
    <row r="63171" spans="20:20" s="566" customFormat="1">
      <c r="T63171" s="41"/>
    </row>
    <row r="63172" spans="20:20" s="566" customFormat="1">
      <c r="T63172" s="41"/>
    </row>
    <row r="63173" spans="20:20" s="566" customFormat="1">
      <c r="T63173" s="41"/>
    </row>
    <row r="63174" spans="20:20" s="566" customFormat="1">
      <c r="T63174" s="41"/>
    </row>
    <row r="63175" spans="20:20" s="566" customFormat="1">
      <c r="T63175" s="41"/>
    </row>
    <row r="63176" spans="20:20" s="566" customFormat="1">
      <c r="T63176" s="41"/>
    </row>
    <row r="63177" spans="20:20" s="566" customFormat="1">
      <c r="T63177" s="41"/>
    </row>
    <row r="63178" spans="20:20" s="566" customFormat="1">
      <c r="T63178" s="41"/>
    </row>
    <row r="63179" spans="20:20" s="566" customFormat="1">
      <c r="T63179" s="41"/>
    </row>
    <row r="63180" spans="20:20" s="566" customFormat="1">
      <c r="T63180" s="41"/>
    </row>
    <row r="63181" spans="20:20" s="566" customFormat="1">
      <c r="T63181" s="41"/>
    </row>
    <row r="63182" spans="20:20" s="566" customFormat="1">
      <c r="T63182" s="41"/>
    </row>
    <row r="63183" spans="20:20" s="566" customFormat="1">
      <c r="T63183" s="41"/>
    </row>
    <row r="63184" spans="20:20" s="566" customFormat="1">
      <c r="T63184" s="41"/>
    </row>
    <row r="63185" spans="20:20" s="566" customFormat="1">
      <c r="T63185" s="41"/>
    </row>
    <row r="63186" spans="20:20" s="566" customFormat="1">
      <c r="T63186" s="41"/>
    </row>
    <row r="63187" spans="20:20" s="566" customFormat="1">
      <c r="T63187" s="41"/>
    </row>
    <row r="63188" spans="20:20" s="566" customFormat="1">
      <c r="T63188" s="41"/>
    </row>
    <row r="63189" spans="20:20" s="566" customFormat="1">
      <c r="T63189" s="41"/>
    </row>
    <row r="63190" spans="20:20" s="566" customFormat="1">
      <c r="T63190" s="41"/>
    </row>
    <row r="63191" spans="20:20" s="566" customFormat="1">
      <c r="T63191" s="41"/>
    </row>
    <row r="63192" spans="20:20" s="566" customFormat="1">
      <c r="T63192" s="41"/>
    </row>
    <row r="63193" spans="20:20" s="566" customFormat="1">
      <c r="T63193" s="41"/>
    </row>
    <row r="63194" spans="20:20" s="566" customFormat="1">
      <c r="T63194" s="41"/>
    </row>
    <row r="63195" spans="20:20" s="566" customFormat="1">
      <c r="T63195" s="41"/>
    </row>
    <row r="63196" spans="20:20" s="566" customFormat="1">
      <c r="T63196" s="41"/>
    </row>
    <row r="63197" spans="20:20" s="566" customFormat="1">
      <c r="T63197" s="41"/>
    </row>
    <row r="63198" spans="20:20" s="566" customFormat="1">
      <c r="T63198" s="41"/>
    </row>
    <row r="63199" spans="20:20" s="566" customFormat="1">
      <c r="T63199" s="41"/>
    </row>
    <row r="63200" spans="20:20" s="566" customFormat="1">
      <c r="T63200" s="41"/>
    </row>
    <row r="63201" spans="20:20" s="566" customFormat="1">
      <c r="T63201" s="41"/>
    </row>
    <row r="63202" spans="20:20" s="566" customFormat="1">
      <c r="T63202" s="41"/>
    </row>
    <row r="63203" spans="20:20" s="566" customFormat="1">
      <c r="T63203" s="41"/>
    </row>
    <row r="63204" spans="20:20" s="566" customFormat="1">
      <c r="T63204" s="41"/>
    </row>
    <row r="63205" spans="20:20" s="566" customFormat="1">
      <c r="T63205" s="41"/>
    </row>
    <row r="63206" spans="20:20" s="566" customFormat="1">
      <c r="T63206" s="41"/>
    </row>
    <row r="63207" spans="20:20" s="566" customFormat="1">
      <c r="T63207" s="41"/>
    </row>
    <row r="63208" spans="20:20" s="566" customFormat="1">
      <c r="T63208" s="41"/>
    </row>
    <row r="63209" spans="20:20" s="566" customFormat="1">
      <c r="T63209" s="41"/>
    </row>
    <row r="63210" spans="20:20" s="566" customFormat="1">
      <c r="T63210" s="41"/>
    </row>
    <row r="63211" spans="20:20" s="566" customFormat="1">
      <c r="T63211" s="41"/>
    </row>
    <row r="63212" spans="20:20" s="566" customFormat="1">
      <c r="T63212" s="41"/>
    </row>
    <row r="63213" spans="20:20" s="566" customFormat="1">
      <c r="T63213" s="41"/>
    </row>
    <row r="63214" spans="20:20" s="566" customFormat="1">
      <c r="T63214" s="41"/>
    </row>
    <row r="63215" spans="20:20" s="566" customFormat="1">
      <c r="T63215" s="41"/>
    </row>
    <row r="63216" spans="20:20" s="566" customFormat="1">
      <c r="T63216" s="41"/>
    </row>
    <row r="63217" spans="20:20" s="566" customFormat="1">
      <c r="T63217" s="41"/>
    </row>
    <row r="63218" spans="20:20" s="566" customFormat="1">
      <c r="T63218" s="41"/>
    </row>
    <row r="63219" spans="20:20" s="566" customFormat="1">
      <c r="T63219" s="41"/>
    </row>
    <row r="63220" spans="20:20" s="566" customFormat="1">
      <c r="T63220" s="41"/>
    </row>
    <row r="63221" spans="20:20" s="566" customFormat="1">
      <c r="T63221" s="41"/>
    </row>
    <row r="63222" spans="20:20" s="566" customFormat="1">
      <c r="T63222" s="41"/>
    </row>
    <row r="63223" spans="20:20" s="566" customFormat="1">
      <c r="T63223" s="41"/>
    </row>
    <row r="63224" spans="20:20" s="566" customFormat="1">
      <c r="T63224" s="41"/>
    </row>
    <row r="63225" spans="20:20" s="566" customFormat="1">
      <c r="T63225" s="41"/>
    </row>
    <row r="63226" spans="20:20" s="566" customFormat="1">
      <c r="T63226" s="41"/>
    </row>
    <row r="63227" spans="20:20" s="566" customFormat="1">
      <c r="T63227" s="41"/>
    </row>
    <row r="63228" spans="20:20" s="566" customFormat="1">
      <c r="T63228" s="41"/>
    </row>
    <row r="63229" spans="20:20" s="566" customFormat="1">
      <c r="T63229" s="41"/>
    </row>
    <row r="63230" spans="20:20" s="566" customFormat="1">
      <c r="T63230" s="41"/>
    </row>
    <row r="63231" spans="20:20" s="566" customFormat="1">
      <c r="T63231" s="41"/>
    </row>
    <row r="63232" spans="20:20" s="566" customFormat="1">
      <c r="T63232" s="41"/>
    </row>
    <row r="63233" spans="20:20" s="566" customFormat="1">
      <c r="T63233" s="41"/>
    </row>
    <row r="63234" spans="20:20" s="566" customFormat="1">
      <c r="T63234" s="41"/>
    </row>
    <row r="63235" spans="20:20" s="566" customFormat="1">
      <c r="T63235" s="41"/>
    </row>
    <row r="63236" spans="20:20" s="566" customFormat="1">
      <c r="T63236" s="41"/>
    </row>
    <row r="63237" spans="20:20" s="566" customFormat="1">
      <c r="T63237" s="41"/>
    </row>
    <row r="63238" spans="20:20" s="566" customFormat="1">
      <c r="T63238" s="41"/>
    </row>
    <row r="63239" spans="20:20" s="566" customFormat="1">
      <c r="T63239" s="41"/>
    </row>
    <row r="63240" spans="20:20" s="566" customFormat="1">
      <c r="T63240" s="41"/>
    </row>
    <row r="63241" spans="20:20" s="566" customFormat="1">
      <c r="T63241" s="41"/>
    </row>
    <row r="63242" spans="20:20" s="566" customFormat="1">
      <c r="T63242" s="41"/>
    </row>
    <row r="63243" spans="20:20" s="566" customFormat="1">
      <c r="T63243" s="41"/>
    </row>
    <row r="63244" spans="20:20" s="566" customFormat="1">
      <c r="T63244" s="41"/>
    </row>
    <row r="63245" spans="20:20" s="566" customFormat="1">
      <c r="T63245" s="41"/>
    </row>
    <row r="63246" spans="20:20" s="566" customFormat="1">
      <c r="T63246" s="41"/>
    </row>
    <row r="63247" spans="20:20" s="566" customFormat="1">
      <c r="T63247" s="41"/>
    </row>
    <row r="63248" spans="20:20" s="566" customFormat="1">
      <c r="T63248" s="41"/>
    </row>
    <row r="63249" spans="20:20" s="566" customFormat="1">
      <c r="T63249" s="41"/>
    </row>
    <row r="63250" spans="20:20" s="566" customFormat="1">
      <c r="T63250" s="41"/>
    </row>
    <row r="63251" spans="20:20" s="566" customFormat="1">
      <c r="T63251" s="41"/>
    </row>
    <row r="63252" spans="20:20" s="566" customFormat="1">
      <c r="T63252" s="41"/>
    </row>
    <row r="63253" spans="20:20" s="566" customFormat="1">
      <c r="T63253" s="41"/>
    </row>
    <row r="63254" spans="20:20" s="566" customFormat="1">
      <c r="T63254" s="41"/>
    </row>
    <row r="63255" spans="20:20" s="566" customFormat="1">
      <c r="T63255" s="41"/>
    </row>
    <row r="63256" spans="20:20" s="566" customFormat="1">
      <c r="T63256" s="41"/>
    </row>
    <row r="63257" spans="20:20" s="566" customFormat="1">
      <c r="T63257" s="41"/>
    </row>
    <row r="63258" spans="20:20" s="566" customFormat="1">
      <c r="T63258" s="41"/>
    </row>
    <row r="63259" spans="20:20" s="566" customFormat="1">
      <c r="T63259" s="41"/>
    </row>
    <row r="63260" spans="20:20" s="566" customFormat="1">
      <c r="T63260" s="41"/>
    </row>
    <row r="63261" spans="20:20" s="566" customFormat="1">
      <c r="T63261" s="41"/>
    </row>
    <row r="63262" spans="20:20" s="566" customFormat="1">
      <c r="T63262" s="41"/>
    </row>
    <row r="63263" spans="20:20" s="566" customFormat="1">
      <c r="T63263" s="41"/>
    </row>
    <row r="63264" spans="20:20" s="566" customFormat="1">
      <c r="T63264" s="41"/>
    </row>
    <row r="63265" spans="20:20" s="566" customFormat="1">
      <c r="T63265" s="41"/>
    </row>
    <row r="63266" spans="20:20" s="566" customFormat="1">
      <c r="T63266" s="41"/>
    </row>
    <row r="63267" spans="20:20" s="566" customFormat="1">
      <c r="T63267" s="41"/>
    </row>
    <row r="63268" spans="20:20" s="566" customFormat="1">
      <c r="T63268" s="41"/>
    </row>
    <row r="63269" spans="20:20" s="566" customFormat="1">
      <c r="T63269" s="41"/>
    </row>
    <row r="63270" spans="20:20" s="566" customFormat="1">
      <c r="T63270" s="41"/>
    </row>
    <row r="63271" spans="20:20" s="566" customFormat="1">
      <c r="T63271" s="41"/>
    </row>
    <row r="63272" spans="20:20" s="566" customFormat="1">
      <c r="T63272" s="41"/>
    </row>
    <row r="63273" spans="20:20" s="566" customFormat="1">
      <c r="T63273" s="41"/>
    </row>
    <row r="63274" spans="20:20" s="566" customFormat="1">
      <c r="T63274" s="41"/>
    </row>
    <row r="63275" spans="20:20" s="566" customFormat="1">
      <c r="T63275" s="41"/>
    </row>
    <row r="63276" spans="20:20" s="566" customFormat="1">
      <c r="T63276" s="41"/>
    </row>
    <row r="63277" spans="20:20" s="566" customFormat="1">
      <c r="T63277" s="41"/>
    </row>
    <row r="63278" spans="20:20" s="566" customFormat="1">
      <c r="T63278" s="41"/>
    </row>
    <row r="63279" spans="20:20" s="566" customFormat="1">
      <c r="T63279" s="41"/>
    </row>
    <row r="63280" spans="20:20" s="566" customFormat="1">
      <c r="T63280" s="41"/>
    </row>
    <row r="63281" spans="20:20" s="566" customFormat="1">
      <c r="T63281" s="41"/>
    </row>
    <row r="63282" spans="20:20" s="566" customFormat="1">
      <c r="T63282" s="41"/>
    </row>
    <row r="63283" spans="20:20" s="566" customFormat="1">
      <c r="T63283" s="41"/>
    </row>
    <row r="63284" spans="20:20" s="566" customFormat="1">
      <c r="T63284" s="41"/>
    </row>
    <row r="63285" spans="20:20" s="566" customFormat="1">
      <c r="T63285" s="41"/>
    </row>
    <row r="63286" spans="20:20" s="566" customFormat="1">
      <c r="T63286" s="41"/>
    </row>
    <row r="63287" spans="20:20" s="566" customFormat="1">
      <c r="T63287" s="41"/>
    </row>
    <row r="63288" spans="20:20" s="566" customFormat="1">
      <c r="T63288" s="41"/>
    </row>
    <row r="63289" spans="20:20" s="566" customFormat="1">
      <c r="T63289" s="41"/>
    </row>
    <row r="63290" spans="20:20" s="566" customFormat="1">
      <c r="T63290" s="41"/>
    </row>
    <row r="63291" spans="20:20" s="566" customFormat="1">
      <c r="T63291" s="41"/>
    </row>
    <row r="63292" spans="20:20" s="566" customFormat="1">
      <c r="T63292" s="41"/>
    </row>
    <row r="63293" spans="20:20" s="566" customFormat="1">
      <c r="T63293" s="41"/>
    </row>
    <row r="63294" spans="20:20" s="566" customFormat="1">
      <c r="T63294" s="41"/>
    </row>
    <row r="63295" spans="20:20" s="566" customFormat="1">
      <c r="T63295" s="41"/>
    </row>
    <row r="63296" spans="20:20" s="566" customFormat="1">
      <c r="T63296" s="41"/>
    </row>
    <row r="63297" spans="20:20" s="566" customFormat="1">
      <c r="T63297" s="41"/>
    </row>
    <row r="63298" spans="20:20" s="566" customFormat="1">
      <c r="T63298" s="41"/>
    </row>
    <row r="63299" spans="20:20" s="566" customFormat="1">
      <c r="T63299" s="41"/>
    </row>
    <row r="63300" spans="20:20" s="566" customFormat="1">
      <c r="T63300" s="41"/>
    </row>
    <row r="63301" spans="20:20" s="566" customFormat="1">
      <c r="T63301" s="41"/>
    </row>
    <row r="63302" spans="20:20" s="566" customFormat="1">
      <c r="T63302" s="41"/>
    </row>
    <row r="63303" spans="20:20" s="566" customFormat="1">
      <c r="T63303" s="41"/>
    </row>
    <row r="63304" spans="20:20" s="566" customFormat="1">
      <c r="T63304" s="41"/>
    </row>
    <row r="63305" spans="20:20" s="566" customFormat="1">
      <c r="T63305" s="41"/>
    </row>
    <row r="63306" spans="20:20" s="566" customFormat="1">
      <c r="T63306" s="41"/>
    </row>
    <row r="63307" spans="20:20" s="566" customFormat="1">
      <c r="T63307" s="41"/>
    </row>
    <row r="63308" spans="20:20" s="566" customFormat="1">
      <c r="T63308" s="41"/>
    </row>
    <row r="63309" spans="20:20" s="566" customFormat="1">
      <c r="T63309" s="41"/>
    </row>
    <row r="63310" spans="20:20" s="566" customFormat="1">
      <c r="T63310" s="41"/>
    </row>
    <row r="63311" spans="20:20" s="566" customFormat="1">
      <c r="T63311" s="41"/>
    </row>
    <row r="63312" spans="20:20" s="566" customFormat="1">
      <c r="T63312" s="41"/>
    </row>
    <row r="63313" spans="20:20" s="566" customFormat="1">
      <c r="T63313" s="41"/>
    </row>
    <row r="63314" spans="20:20" s="566" customFormat="1">
      <c r="T63314" s="41"/>
    </row>
    <row r="63315" spans="20:20" s="566" customFormat="1">
      <c r="T63315" s="41"/>
    </row>
    <row r="63316" spans="20:20" s="566" customFormat="1">
      <c r="T63316" s="41"/>
    </row>
    <row r="63317" spans="20:20" s="566" customFormat="1">
      <c r="T63317" s="41"/>
    </row>
    <row r="63318" spans="20:20" s="566" customFormat="1">
      <c r="T63318" s="41"/>
    </row>
    <row r="63319" spans="20:20" s="566" customFormat="1">
      <c r="T63319" s="41"/>
    </row>
    <row r="63320" spans="20:20" s="566" customFormat="1">
      <c r="T63320" s="41"/>
    </row>
    <row r="63321" spans="20:20" s="566" customFormat="1">
      <c r="T63321" s="41"/>
    </row>
    <row r="63322" spans="20:20" s="566" customFormat="1">
      <c r="T63322" s="41"/>
    </row>
    <row r="63323" spans="20:20" s="566" customFormat="1">
      <c r="T63323" s="41"/>
    </row>
    <row r="63324" spans="20:20" s="566" customFormat="1">
      <c r="T63324" s="41"/>
    </row>
    <row r="63325" spans="20:20" s="566" customFormat="1">
      <c r="T63325" s="41"/>
    </row>
    <row r="63326" spans="20:20" s="566" customFormat="1">
      <c r="T63326" s="41"/>
    </row>
    <row r="63327" spans="20:20" s="566" customFormat="1">
      <c r="T63327" s="41"/>
    </row>
    <row r="63328" spans="20:20" s="566" customFormat="1">
      <c r="T63328" s="41"/>
    </row>
    <row r="63329" spans="20:20" s="566" customFormat="1">
      <c r="T63329" s="41"/>
    </row>
    <row r="63330" spans="20:20" s="566" customFormat="1">
      <c r="T63330" s="41"/>
    </row>
    <row r="63331" spans="20:20" s="566" customFormat="1">
      <c r="T63331" s="41"/>
    </row>
    <row r="63332" spans="20:20" s="566" customFormat="1">
      <c r="T63332" s="41"/>
    </row>
    <row r="63333" spans="20:20" s="566" customFormat="1">
      <c r="T63333" s="41"/>
    </row>
    <row r="63334" spans="20:20" s="566" customFormat="1">
      <c r="T63334" s="41"/>
    </row>
    <row r="63335" spans="20:20" s="566" customFormat="1">
      <c r="T63335" s="41"/>
    </row>
    <row r="63336" spans="20:20" s="566" customFormat="1">
      <c r="T63336" s="41"/>
    </row>
    <row r="63337" spans="20:20" s="566" customFormat="1">
      <c r="T63337" s="41"/>
    </row>
    <row r="63338" spans="20:20" s="566" customFormat="1">
      <c r="T63338" s="41"/>
    </row>
    <row r="63339" spans="20:20" s="566" customFormat="1">
      <c r="T63339" s="41"/>
    </row>
    <row r="63340" spans="20:20" s="566" customFormat="1">
      <c r="T63340" s="41"/>
    </row>
    <row r="63341" spans="20:20" s="566" customFormat="1">
      <c r="T63341" s="41"/>
    </row>
    <row r="63342" spans="20:20" s="566" customFormat="1">
      <c r="T63342" s="41"/>
    </row>
    <row r="63343" spans="20:20" s="566" customFormat="1">
      <c r="T63343" s="41"/>
    </row>
    <row r="63344" spans="20:20" s="566" customFormat="1">
      <c r="T63344" s="41"/>
    </row>
    <row r="63345" spans="20:20" s="566" customFormat="1">
      <c r="T63345" s="41"/>
    </row>
    <row r="63346" spans="20:20" s="566" customFormat="1">
      <c r="T63346" s="41"/>
    </row>
    <row r="63347" spans="20:20" s="566" customFormat="1">
      <c r="T63347" s="41"/>
    </row>
    <row r="63348" spans="20:20" s="566" customFormat="1">
      <c r="T63348" s="41"/>
    </row>
    <row r="63349" spans="20:20" s="566" customFormat="1">
      <c r="T63349" s="41"/>
    </row>
    <row r="63350" spans="20:20" s="566" customFormat="1">
      <c r="T63350" s="41"/>
    </row>
    <row r="63351" spans="20:20" s="566" customFormat="1">
      <c r="T63351" s="41"/>
    </row>
    <row r="63352" spans="20:20" s="566" customFormat="1">
      <c r="T63352" s="41"/>
    </row>
    <row r="63353" spans="20:20" s="566" customFormat="1">
      <c r="T63353" s="41"/>
    </row>
    <row r="63354" spans="20:20" s="566" customFormat="1">
      <c r="T63354" s="41"/>
    </row>
    <row r="63355" spans="20:20" s="566" customFormat="1">
      <c r="T63355" s="41"/>
    </row>
    <row r="63356" spans="20:20" s="566" customFormat="1">
      <c r="T63356" s="41"/>
    </row>
    <row r="63357" spans="20:20" s="566" customFormat="1">
      <c r="T63357" s="41"/>
    </row>
    <row r="63358" spans="20:20" s="566" customFormat="1">
      <c r="T63358" s="41"/>
    </row>
    <row r="63359" spans="20:20" s="566" customFormat="1">
      <c r="T63359" s="41"/>
    </row>
    <row r="63360" spans="20:20" s="566" customFormat="1">
      <c r="T63360" s="41"/>
    </row>
    <row r="63361" spans="20:20" s="566" customFormat="1">
      <c r="T63361" s="41"/>
    </row>
    <row r="63362" spans="20:20" s="566" customFormat="1">
      <c r="T63362" s="41"/>
    </row>
    <row r="63363" spans="20:20" s="566" customFormat="1">
      <c r="T63363" s="41"/>
    </row>
    <row r="63364" spans="20:20" s="566" customFormat="1">
      <c r="T63364" s="41"/>
    </row>
    <row r="63365" spans="20:20" s="566" customFormat="1">
      <c r="T63365" s="41"/>
    </row>
    <row r="63366" spans="20:20" s="566" customFormat="1">
      <c r="T63366" s="41"/>
    </row>
    <row r="63367" spans="20:20" s="566" customFormat="1">
      <c r="T63367" s="41"/>
    </row>
    <row r="63368" spans="20:20" s="566" customFormat="1">
      <c r="T63368" s="41"/>
    </row>
    <row r="63369" spans="20:20" s="566" customFormat="1">
      <c r="T63369" s="41"/>
    </row>
    <row r="63370" spans="20:20" s="566" customFormat="1">
      <c r="T63370" s="41"/>
    </row>
    <row r="63371" spans="20:20" s="566" customFormat="1">
      <c r="T63371" s="41"/>
    </row>
    <row r="63372" spans="20:20" s="566" customFormat="1">
      <c r="T63372" s="41"/>
    </row>
    <row r="63373" spans="20:20" s="566" customFormat="1">
      <c r="T63373" s="41"/>
    </row>
    <row r="63374" spans="20:20" s="566" customFormat="1">
      <c r="T63374" s="41"/>
    </row>
    <row r="63375" spans="20:20" s="566" customFormat="1">
      <c r="T63375" s="41"/>
    </row>
    <row r="63376" spans="20:20" s="566" customFormat="1">
      <c r="T63376" s="41"/>
    </row>
    <row r="63377" spans="20:20" s="566" customFormat="1">
      <c r="T63377" s="41"/>
    </row>
    <row r="63378" spans="20:20" s="566" customFormat="1">
      <c r="T63378" s="41"/>
    </row>
    <row r="63379" spans="20:20" s="566" customFormat="1">
      <c r="T63379" s="41"/>
    </row>
    <row r="63380" spans="20:20" s="566" customFormat="1">
      <c r="T63380" s="41"/>
    </row>
    <row r="63381" spans="20:20" s="566" customFormat="1">
      <c r="T63381" s="41"/>
    </row>
    <row r="63382" spans="20:20" s="566" customFormat="1">
      <c r="T63382" s="41"/>
    </row>
    <row r="63383" spans="20:20" s="566" customFormat="1">
      <c r="T63383" s="41"/>
    </row>
    <row r="63384" spans="20:20" s="566" customFormat="1">
      <c r="T63384" s="41"/>
    </row>
    <row r="63385" spans="20:20" s="566" customFormat="1">
      <c r="T63385" s="41"/>
    </row>
    <row r="63386" spans="20:20" s="566" customFormat="1">
      <c r="T63386" s="41"/>
    </row>
    <row r="63387" spans="20:20" s="566" customFormat="1">
      <c r="T63387" s="41"/>
    </row>
    <row r="63388" spans="20:20" s="566" customFormat="1">
      <c r="T63388" s="41"/>
    </row>
    <row r="63389" spans="20:20" s="566" customFormat="1">
      <c r="T63389" s="41"/>
    </row>
    <row r="63390" spans="20:20" s="566" customFormat="1">
      <c r="T63390" s="41"/>
    </row>
    <row r="63391" spans="20:20" s="566" customFormat="1">
      <c r="T63391" s="41"/>
    </row>
    <row r="63392" spans="20:20" s="566" customFormat="1">
      <c r="T63392" s="41"/>
    </row>
    <row r="63393" spans="20:20" s="566" customFormat="1">
      <c r="T63393" s="41"/>
    </row>
    <row r="63394" spans="20:20" s="566" customFormat="1">
      <c r="T63394" s="41"/>
    </row>
    <row r="63395" spans="20:20" s="566" customFormat="1">
      <c r="T63395" s="41"/>
    </row>
    <row r="63396" spans="20:20" s="566" customFormat="1">
      <c r="T63396" s="41"/>
    </row>
    <row r="63397" spans="20:20" s="566" customFormat="1">
      <c r="T63397" s="41"/>
    </row>
    <row r="63398" spans="20:20" s="566" customFormat="1">
      <c r="T63398" s="41"/>
    </row>
    <row r="63399" spans="20:20" s="566" customFormat="1">
      <c r="T63399" s="41"/>
    </row>
    <row r="63400" spans="20:20" s="566" customFormat="1">
      <c r="T63400" s="41"/>
    </row>
    <row r="63401" spans="20:20" s="566" customFormat="1">
      <c r="T63401" s="41"/>
    </row>
    <row r="63402" spans="20:20" s="566" customFormat="1">
      <c r="T63402" s="41"/>
    </row>
    <row r="63403" spans="20:20" s="566" customFormat="1">
      <c r="T63403" s="41"/>
    </row>
    <row r="63404" spans="20:20" s="566" customFormat="1">
      <c r="T63404" s="41"/>
    </row>
    <row r="63405" spans="20:20" s="566" customFormat="1">
      <c r="T63405" s="41"/>
    </row>
    <row r="63406" spans="20:20" s="566" customFormat="1">
      <c r="T63406" s="41"/>
    </row>
    <row r="63407" spans="20:20" s="566" customFormat="1">
      <c r="T63407" s="41"/>
    </row>
    <row r="63408" spans="20:20" s="566" customFormat="1">
      <c r="T63408" s="41"/>
    </row>
    <row r="63409" spans="20:20" s="566" customFormat="1">
      <c r="T63409" s="41"/>
    </row>
    <row r="63410" spans="20:20" s="566" customFormat="1">
      <c r="T63410" s="41"/>
    </row>
    <row r="63411" spans="20:20" s="566" customFormat="1">
      <c r="T63411" s="41"/>
    </row>
    <row r="63412" spans="20:20" s="566" customFormat="1">
      <c r="T63412" s="41"/>
    </row>
    <row r="63413" spans="20:20" s="566" customFormat="1">
      <c r="T63413" s="41"/>
    </row>
    <row r="63414" spans="20:20" s="566" customFormat="1">
      <c r="T63414" s="41"/>
    </row>
    <row r="63415" spans="20:20" s="566" customFormat="1">
      <c r="T63415" s="41"/>
    </row>
    <row r="63416" spans="20:20" s="566" customFormat="1">
      <c r="T63416" s="41"/>
    </row>
    <row r="63417" spans="20:20" s="566" customFormat="1">
      <c r="T63417" s="41"/>
    </row>
    <row r="63418" spans="20:20" s="566" customFormat="1">
      <c r="T63418" s="41"/>
    </row>
    <row r="63419" spans="20:20" s="566" customFormat="1">
      <c r="T63419" s="41"/>
    </row>
    <row r="63420" spans="20:20" s="566" customFormat="1">
      <c r="T63420" s="41"/>
    </row>
    <row r="63421" spans="20:20" s="566" customFormat="1">
      <c r="T63421" s="41"/>
    </row>
    <row r="63422" spans="20:20" s="566" customFormat="1">
      <c r="T63422" s="41"/>
    </row>
    <row r="63423" spans="20:20" s="566" customFormat="1">
      <c r="T63423" s="41"/>
    </row>
    <row r="63424" spans="20:20" s="566" customFormat="1">
      <c r="T63424" s="41"/>
    </row>
    <row r="63425" spans="20:20" s="566" customFormat="1">
      <c r="T63425" s="41"/>
    </row>
    <row r="63426" spans="20:20" s="566" customFormat="1">
      <c r="T63426" s="41"/>
    </row>
    <row r="63427" spans="20:20" s="566" customFormat="1">
      <c r="T63427" s="41"/>
    </row>
    <row r="63428" spans="20:20" s="566" customFormat="1">
      <c r="T63428" s="41"/>
    </row>
    <row r="63429" spans="20:20" s="566" customFormat="1">
      <c r="T63429" s="41"/>
    </row>
    <row r="63430" spans="20:20" s="566" customFormat="1">
      <c r="T63430" s="41"/>
    </row>
    <row r="63431" spans="20:20" s="566" customFormat="1">
      <c r="T63431" s="41"/>
    </row>
    <row r="63432" spans="20:20" s="566" customFormat="1">
      <c r="T63432" s="41"/>
    </row>
    <row r="63433" spans="20:20" s="566" customFormat="1">
      <c r="T63433" s="41"/>
    </row>
    <row r="63434" spans="20:20" s="566" customFormat="1">
      <c r="T63434" s="41"/>
    </row>
    <row r="63435" spans="20:20" s="566" customFormat="1">
      <c r="T63435" s="41"/>
    </row>
    <row r="63436" spans="20:20" s="566" customFormat="1">
      <c r="T63436" s="41"/>
    </row>
    <row r="63437" spans="20:20" s="566" customFormat="1">
      <c r="T63437" s="41"/>
    </row>
    <row r="63438" spans="20:20" s="566" customFormat="1">
      <c r="T63438" s="41"/>
    </row>
    <row r="63439" spans="20:20" s="566" customFormat="1">
      <c r="T63439" s="41"/>
    </row>
    <row r="63440" spans="20:20" s="566" customFormat="1">
      <c r="T63440" s="41"/>
    </row>
    <row r="63441" spans="20:20" s="566" customFormat="1">
      <c r="T63441" s="41"/>
    </row>
    <row r="63442" spans="20:20" s="566" customFormat="1">
      <c r="T63442" s="41"/>
    </row>
    <row r="63443" spans="20:20" s="566" customFormat="1">
      <c r="T63443" s="41"/>
    </row>
    <row r="63444" spans="20:20" s="566" customFormat="1">
      <c r="T63444" s="41"/>
    </row>
    <row r="63445" spans="20:20" s="566" customFormat="1">
      <c r="T63445" s="41"/>
    </row>
    <row r="63446" spans="20:20" s="566" customFormat="1">
      <c r="T63446" s="41"/>
    </row>
    <row r="63447" spans="20:20" s="566" customFormat="1">
      <c r="T63447" s="41"/>
    </row>
    <row r="63448" spans="20:20" s="566" customFormat="1">
      <c r="T63448" s="41"/>
    </row>
    <row r="63449" spans="20:20" s="566" customFormat="1">
      <c r="T63449" s="41"/>
    </row>
    <row r="63450" spans="20:20" s="566" customFormat="1">
      <c r="T63450" s="41"/>
    </row>
    <row r="63451" spans="20:20" s="566" customFormat="1">
      <c r="T63451" s="41"/>
    </row>
    <row r="63452" spans="20:20" s="566" customFormat="1">
      <c r="T63452" s="41"/>
    </row>
    <row r="63453" spans="20:20" s="566" customFormat="1">
      <c r="T63453" s="41"/>
    </row>
    <row r="63454" spans="20:20" s="566" customFormat="1">
      <c r="T63454" s="41"/>
    </row>
    <row r="63455" spans="20:20" s="566" customFormat="1">
      <c r="T63455" s="41"/>
    </row>
    <row r="63456" spans="20:20" s="566" customFormat="1">
      <c r="T63456" s="41"/>
    </row>
    <row r="63457" spans="20:20" s="566" customFormat="1">
      <c r="T63457" s="41"/>
    </row>
    <row r="63458" spans="20:20" s="566" customFormat="1">
      <c r="T63458" s="41"/>
    </row>
    <row r="63459" spans="20:20" s="566" customFormat="1">
      <c r="T63459" s="41"/>
    </row>
    <row r="63460" spans="20:20" s="566" customFormat="1">
      <c r="T63460" s="41"/>
    </row>
    <row r="63461" spans="20:20" s="566" customFormat="1">
      <c r="T63461" s="41"/>
    </row>
    <row r="63462" spans="20:20" s="566" customFormat="1">
      <c r="T63462" s="41"/>
    </row>
    <row r="63463" spans="20:20" s="566" customFormat="1">
      <c r="T63463" s="41"/>
    </row>
    <row r="63464" spans="20:20" s="566" customFormat="1">
      <c r="T63464" s="41"/>
    </row>
    <row r="63465" spans="20:20" s="566" customFormat="1">
      <c r="T63465" s="41"/>
    </row>
    <row r="63466" spans="20:20" s="566" customFormat="1">
      <c r="T63466" s="41"/>
    </row>
    <row r="63467" spans="20:20" s="566" customFormat="1">
      <c r="T63467" s="41"/>
    </row>
    <row r="63468" spans="20:20" s="566" customFormat="1">
      <c r="T63468" s="41"/>
    </row>
    <row r="63469" spans="20:20" s="566" customFormat="1">
      <c r="T63469" s="41"/>
    </row>
    <row r="63470" spans="20:20" s="566" customFormat="1">
      <c r="T63470" s="41"/>
    </row>
    <row r="63471" spans="20:20" s="566" customFormat="1">
      <c r="T63471" s="41"/>
    </row>
    <row r="63472" spans="20:20" s="566" customFormat="1">
      <c r="T63472" s="41"/>
    </row>
    <row r="63473" spans="20:20" s="566" customFormat="1">
      <c r="T63473" s="41"/>
    </row>
    <row r="63474" spans="20:20" s="566" customFormat="1">
      <c r="T63474" s="41"/>
    </row>
    <row r="63475" spans="20:20" s="566" customFormat="1">
      <c r="T63475" s="41"/>
    </row>
    <row r="63476" spans="20:20" s="566" customFormat="1">
      <c r="T63476" s="41"/>
    </row>
    <row r="63477" spans="20:20" s="566" customFormat="1">
      <c r="T63477" s="41"/>
    </row>
    <row r="63478" spans="20:20" s="566" customFormat="1">
      <c r="T63478" s="41"/>
    </row>
    <row r="63479" spans="20:20" s="566" customFormat="1">
      <c r="T63479" s="41"/>
    </row>
    <row r="63480" spans="20:20" s="566" customFormat="1">
      <c r="T63480" s="41"/>
    </row>
    <row r="63481" spans="20:20" s="566" customFormat="1">
      <c r="T63481" s="41"/>
    </row>
    <row r="63482" spans="20:20" s="566" customFormat="1">
      <c r="T63482" s="41"/>
    </row>
    <row r="63483" spans="20:20" s="566" customFormat="1">
      <c r="T63483" s="41"/>
    </row>
    <row r="63484" spans="20:20" s="566" customFormat="1">
      <c r="T63484" s="41"/>
    </row>
    <row r="63485" spans="20:20" s="566" customFormat="1">
      <c r="T63485" s="41"/>
    </row>
    <row r="63486" spans="20:20" s="566" customFormat="1">
      <c r="T63486" s="41"/>
    </row>
    <row r="63487" spans="20:20" s="566" customFormat="1">
      <c r="T63487" s="41"/>
    </row>
    <row r="63488" spans="20:20" s="566" customFormat="1">
      <c r="T63488" s="41"/>
    </row>
    <row r="63489" spans="20:20" s="566" customFormat="1">
      <c r="T63489" s="41"/>
    </row>
    <row r="63490" spans="20:20" s="566" customFormat="1">
      <c r="T63490" s="41"/>
    </row>
    <row r="63491" spans="20:20" s="566" customFormat="1">
      <c r="T63491" s="41"/>
    </row>
    <row r="63492" spans="20:20" s="566" customFormat="1">
      <c r="T63492" s="41"/>
    </row>
    <row r="63493" spans="20:20" s="566" customFormat="1">
      <c r="T63493" s="41"/>
    </row>
    <row r="63494" spans="20:20" s="566" customFormat="1">
      <c r="T63494" s="41"/>
    </row>
    <row r="63495" spans="20:20" s="566" customFormat="1">
      <c r="T63495" s="41"/>
    </row>
    <row r="63496" spans="20:20" s="566" customFormat="1">
      <c r="T63496" s="41"/>
    </row>
    <row r="63497" spans="20:20" s="566" customFormat="1">
      <c r="T63497" s="41"/>
    </row>
    <row r="63498" spans="20:20" s="566" customFormat="1">
      <c r="T63498" s="41"/>
    </row>
    <row r="63499" spans="20:20" s="566" customFormat="1">
      <c r="T63499" s="41"/>
    </row>
    <row r="63500" spans="20:20" s="566" customFormat="1">
      <c r="T63500" s="41"/>
    </row>
    <row r="63501" spans="20:20" s="566" customFormat="1">
      <c r="T63501" s="41"/>
    </row>
    <row r="63502" spans="20:20" s="566" customFormat="1">
      <c r="T63502" s="41"/>
    </row>
    <row r="63503" spans="20:20" s="566" customFormat="1">
      <c r="T63503" s="41"/>
    </row>
    <row r="63504" spans="20:20" s="566" customFormat="1">
      <c r="T63504" s="41"/>
    </row>
    <row r="63505" spans="20:20" s="566" customFormat="1">
      <c r="T63505" s="41"/>
    </row>
    <row r="63506" spans="20:20" s="566" customFormat="1">
      <c r="T63506" s="41"/>
    </row>
    <row r="63507" spans="20:20" s="566" customFormat="1">
      <c r="T63507" s="41"/>
    </row>
    <row r="63508" spans="20:20" s="566" customFormat="1">
      <c r="T63508" s="41"/>
    </row>
    <row r="63509" spans="20:20" s="566" customFormat="1">
      <c r="T63509" s="41"/>
    </row>
    <row r="63510" spans="20:20" s="566" customFormat="1">
      <c r="T63510" s="41"/>
    </row>
    <row r="63511" spans="20:20" s="566" customFormat="1">
      <c r="T63511" s="41"/>
    </row>
    <row r="63512" spans="20:20" s="566" customFormat="1">
      <c r="T63512" s="41"/>
    </row>
    <row r="63513" spans="20:20" s="566" customFormat="1">
      <c r="T63513" s="41"/>
    </row>
    <row r="63514" spans="20:20" s="566" customFormat="1">
      <c r="T63514" s="41"/>
    </row>
    <row r="63515" spans="20:20" s="566" customFormat="1">
      <c r="T63515" s="41"/>
    </row>
    <row r="63516" spans="20:20" s="566" customFormat="1">
      <c r="T63516" s="41"/>
    </row>
    <row r="63517" spans="20:20" s="566" customFormat="1">
      <c r="T63517" s="41"/>
    </row>
    <row r="63518" spans="20:20" s="566" customFormat="1">
      <c r="T63518" s="41"/>
    </row>
    <row r="63519" spans="20:20" s="566" customFormat="1">
      <c r="T63519" s="41"/>
    </row>
    <row r="63520" spans="20:20" s="566" customFormat="1">
      <c r="T63520" s="41"/>
    </row>
    <row r="63521" spans="20:20" s="566" customFormat="1">
      <c r="T63521" s="41"/>
    </row>
    <row r="63522" spans="20:20" s="566" customFormat="1">
      <c r="T63522" s="41"/>
    </row>
    <row r="63523" spans="20:20" s="566" customFormat="1">
      <c r="T63523" s="41"/>
    </row>
    <row r="63524" spans="20:20" s="566" customFormat="1">
      <c r="T63524" s="41"/>
    </row>
    <row r="63525" spans="20:20" s="566" customFormat="1">
      <c r="T63525" s="41"/>
    </row>
    <row r="63526" spans="20:20" s="566" customFormat="1">
      <c r="T63526" s="41"/>
    </row>
    <row r="63527" spans="20:20" s="566" customFormat="1">
      <c r="T63527" s="41"/>
    </row>
    <row r="63528" spans="20:20" s="566" customFormat="1">
      <c r="T63528" s="41"/>
    </row>
    <row r="63529" spans="20:20" s="566" customFormat="1">
      <c r="T63529" s="41"/>
    </row>
    <row r="63530" spans="20:20" s="566" customFormat="1">
      <c r="T63530" s="41"/>
    </row>
    <row r="63531" spans="20:20" s="566" customFormat="1">
      <c r="T63531" s="41"/>
    </row>
    <row r="63532" spans="20:20" s="566" customFormat="1">
      <c r="T63532" s="41"/>
    </row>
    <row r="63533" spans="20:20" s="566" customFormat="1">
      <c r="T63533" s="41"/>
    </row>
    <row r="63534" spans="20:20" s="566" customFormat="1">
      <c r="T63534" s="41"/>
    </row>
    <row r="63535" spans="20:20" s="566" customFormat="1">
      <c r="T63535" s="41"/>
    </row>
    <row r="63536" spans="20:20" s="566" customFormat="1">
      <c r="T63536" s="41"/>
    </row>
    <row r="63537" spans="20:20" s="566" customFormat="1">
      <c r="T63537" s="41"/>
    </row>
    <row r="63538" spans="20:20" s="566" customFormat="1">
      <c r="T63538" s="41"/>
    </row>
    <row r="63539" spans="20:20" s="566" customFormat="1">
      <c r="T63539" s="41"/>
    </row>
    <row r="63540" spans="20:20" s="566" customFormat="1">
      <c r="T63540" s="41"/>
    </row>
    <row r="63541" spans="20:20" s="566" customFormat="1">
      <c r="T63541" s="41"/>
    </row>
    <row r="63542" spans="20:20" s="566" customFormat="1">
      <c r="T63542" s="41"/>
    </row>
    <row r="63543" spans="20:20" s="566" customFormat="1">
      <c r="T63543" s="41"/>
    </row>
    <row r="63544" spans="20:20" s="566" customFormat="1">
      <c r="T63544" s="41"/>
    </row>
    <row r="63545" spans="20:20" s="566" customFormat="1">
      <c r="T63545" s="41"/>
    </row>
    <row r="63546" spans="20:20" s="566" customFormat="1">
      <c r="T63546" s="41"/>
    </row>
    <row r="63547" spans="20:20" s="566" customFormat="1">
      <c r="T63547" s="41"/>
    </row>
    <row r="63548" spans="20:20" s="566" customFormat="1">
      <c r="T63548" s="41"/>
    </row>
    <row r="63549" spans="20:20" s="566" customFormat="1">
      <c r="T63549" s="41"/>
    </row>
    <row r="63550" spans="20:20" s="566" customFormat="1">
      <c r="T63550" s="41"/>
    </row>
    <row r="63551" spans="20:20" s="566" customFormat="1">
      <c r="T63551" s="41"/>
    </row>
    <row r="63552" spans="20:20" s="566" customFormat="1">
      <c r="T63552" s="41"/>
    </row>
    <row r="63553" spans="20:20" s="566" customFormat="1">
      <c r="T63553" s="41"/>
    </row>
    <row r="63554" spans="20:20" s="566" customFormat="1">
      <c r="T63554" s="41"/>
    </row>
    <row r="63555" spans="20:20" s="566" customFormat="1">
      <c r="T63555" s="41"/>
    </row>
    <row r="63556" spans="20:20" s="566" customFormat="1">
      <c r="T63556" s="41"/>
    </row>
    <row r="63557" spans="20:20" s="566" customFormat="1">
      <c r="T63557" s="41"/>
    </row>
    <row r="63558" spans="20:20" s="566" customFormat="1">
      <c r="T63558" s="41"/>
    </row>
    <row r="63559" spans="20:20" s="566" customFormat="1">
      <c r="T63559" s="41"/>
    </row>
    <row r="63560" spans="20:20" s="566" customFormat="1">
      <c r="T63560" s="41"/>
    </row>
    <row r="63561" spans="20:20" s="566" customFormat="1">
      <c r="T63561" s="41"/>
    </row>
    <row r="63562" spans="20:20" s="566" customFormat="1">
      <c r="T63562" s="41"/>
    </row>
    <row r="63563" spans="20:20" s="566" customFormat="1">
      <c r="T63563" s="41"/>
    </row>
    <row r="63564" spans="20:20" s="566" customFormat="1">
      <c r="T63564" s="41"/>
    </row>
    <row r="63565" spans="20:20" s="566" customFormat="1">
      <c r="T63565" s="41"/>
    </row>
    <row r="63566" spans="20:20" s="566" customFormat="1">
      <c r="T63566" s="41"/>
    </row>
    <row r="63567" spans="20:20" s="566" customFormat="1">
      <c r="T63567" s="41"/>
    </row>
    <row r="63568" spans="20:20" s="566" customFormat="1">
      <c r="T63568" s="41"/>
    </row>
    <row r="63569" spans="20:20" s="566" customFormat="1">
      <c r="T63569" s="41"/>
    </row>
    <row r="63570" spans="20:20" s="566" customFormat="1">
      <c r="T63570" s="41"/>
    </row>
    <row r="63571" spans="20:20" s="566" customFormat="1">
      <c r="T63571" s="41"/>
    </row>
    <row r="63572" spans="20:20" s="566" customFormat="1">
      <c r="T63572" s="41"/>
    </row>
    <row r="63573" spans="20:20" s="566" customFormat="1">
      <c r="T63573" s="41"/>
    </row>
    <row r="63574" spans="20:20" s="566" customFormat="1">
      <c r="T63574" s="41"/>
    </row>
    <row r="63575" spans="20:20" s="566" customFormat="1">
      <c r="T63575" s="41"/>
    </row>
    <row r="63576" spans="20:20" s="566" customFormat="1">
      <c r="T63576" s="41"/>
    </row>
    <row r="63577" spans="20:20" s="566" customFormat="1">
      <c r="T63577" s="41"/>
    </row>
    <row r="63578" spans="20:20" s="566" customFormat="1">
      <c r="T63578" s="41"/>
    </row>
    <row r="63579" spans="20:20" s="566" customFormat="1">
      <c r="T63579" s="41"/>
    </row>
    <row r="63580" spans="20:20" s="566" customFormat="1">
      <c r="T63580" s="41"/>
    </row>
    <row r="63581" spans="20:20" s="566" customFormat="1">
      <c r="T63581" s="41"/>
    </row>
    <row r="63582" spans="20:20" s="566" customFormat="1">
      <c r="T63582" s="41"/>
    </row>
    <row r="63583" spans="20:20" s="566" customFormat="1">
      <c r="T63583" s="41"/>
    </row>
    <row r="63584" spans="20:20" s="566" customFormat="1">
      <c r="T63584" s="41"/>
    </row>
    <row r="63585" spans="20:20" s="566" customFormat="1">
      <c r="T63585" s="41"/>
    </row>
    <row r="63586" spans="20:20" s="566" customFormat="1">
      <c r="T63586" s="41"/>
    </row>
    <row r="63587" spans="20:20" s="566" customFormat="1">
      <c r="T63587" s="41"/>
    </row>
    <row r="63588" spans="20:20" s="566" customFormat="1">
      <c r="T63588" s="41"/>
    </row>
    <row r="63589" spans="20:20" s="566" customFormat="1">
      <c r="T63589" s="41"/>
    </row>
    <row r="63590" spans="20:20" s="566" customFormat="1">
      <c r="T63590" s="41"/>
    </row>
    <row r="63591" spans="20:20" s="566" customFormat="1">
      <c r="T63591" s="41"/>
    </row>
    <row r="63592" spans="20:20" s="566" customFormat="1">
      <c r="T63592" s="41"/>
    </row>
    <row r="63593" spans="20:20" s="566" customFormat="1">
      <c r="T63593" s="41"/>
    </row>
    <row r="63594" spans="20:20" s="566" customFormat="1">
      <c r="T63594" s="41"/>
    </row>
    <row r="63595" spans="20:20" s="566" customFormat="1">
      <c r="T63595" s="41"/>
    </row>
    <row r="63596" spans="20:20" s="566" customFormat="1">
      <c r="T63596" s="41"/>
    </row>
    <row r="63597" spans="20:20" s="566" customFormat="1">
      <c r="T63597" s="41"/>
    </row>
    <row r="63598" spans="20:20" s="566" customFormat="1">
      <c r="T63598" s="41"/>
    </row>
    <row r="63599" spans="20:20" s="566" customFormat="1">
      <c r="T63599" s="41"/>
    </row>
    <row r="63600" spans="20:20" s="566" customFormat="1">
      <c r="T63600" s="41"/>
    </row>
    <row r="63601" spans="20:20" s="566" customFormat="1">
      <c r="T63601" s="41"/>
    </row>
    <row r="63602" spans="20:20" s="566" customFormat="1">
      <c r="T63602" s="41"/>
    </row>
    <row r="63603" spans="20:20" s="566" customFormat="1">
      <c r="T63603" s="41"/>
    </row>
    <row r="63604" spans="20:20" s="566" customFormat="1">
      <c r="T63604" s="41"/>
    </row>
    <row r="63605" spans="20:20" s="566" customFormat="1">
      <c r="T63605" s="41"/>
    </row>
    <row r="63606" spans="20:20" s="566" customFormat="1">
      <c r="T63606" s="41"/>
    </row>
    <row r="63607" spans="20:20" s="566" customFormat="1">
      <c r="T63607" s="41"/>
    </row>
    <row r="63608" spans="20:20" s="566" customFormat="1">
      <c r="T63608" s="41"/>
    </row>
    <row r="63609" spans="20:20" s="566" customFormat="1">
      <c r="T63609" s="41"/>
    </row>
    <row r="63610" spans="20:20" s="566" customFormat="1">
      <c r="T63610" s="41"/>
    </row>
    <row r="63611" spans="20:20" s="566" customFormat="1">
      <c r="T63611" s="41"/>
    </row>
    <row r="63612" spans="20:20" s="566" customFormat="1">
      <c r="T63612" s="41"/>
    </row>
    <row r="63613" spans="20:20" s="566" customFormat="1">
      <c r="T63613" s="41"/>
    </row>
    <row r="63614" spans="20:20" s="566" customFormat="1">
      <c r="T63614" s="41"/>
    </row>
    <row r="63615" spans="20:20" s="566" customFormat="1">
      <c r="T63615" s="41"/>
    </row>
    <row r="63616" spans="20:20" s="566" customFormat="1">
      <c r="T63616" s="41"/>
    </row>
    <row r="63617" spans="20:20" s="566" customFormat="1">
      <c r="T63617" s="41"/>
    </row>
    <row r="63618" spans="20:20" s="566" customFormat="1">
      <c r="T63618" s="41"/>
    </row>
    <row r="63619" spans="20:20" s="566" customFormat="1">
      <c r="T63619" s="41"/>
    </row>
    <row r="63620" spans="20:20" s="566" customFormat="1">
      <c r="T63620" s="41"/>
    </row>
    <row r="63621" spans="20:20" s="566" customFormat="1">
      <c r="T63621" s="41"/>
    </row>
    <row r="63622" spans="20:20" s="566" customFormat="1">
      <c r="T63622" s="41"/>
    </row>
    <row r="63623" spans="20:20" s="566" customFormat="1">
      <c r="T63623" s="41"/>
    </row>
    <row r="63624" spans="20:20" s="566" customFormat="1">
      <c r="T63624" s="41"/>
    </row>
    <row r="63625" spans="20:20" s="566" customFormat="1">
      <c r="T63625" s="41"/>
    </row>
    <row r="63626" spans="20:20" s="566" customFormat="1">
      <c r="T63626" s="41"/>
    </row>
    <row r="63627" spans="20:20" s="566" customFormat="1">
      <c r="T63627" s="41"/>
    </row>
    <row r="63628" spans="20:20" s="566" customFormat="1">
      <c r="T63628" s="41"/>
    </row>
    <row r="63629" spans="20:20" s="566" customFormat="1">
      <c r="T63629" s="41"/>
    </row>
    <row r="63630" spans="20:20" s="566" customFormat="1">
      <c r="T63630" s="41"/>
    </row>
    <row r="63631" spans="20:20" s="566" customFormat="1">
      <c r="T63631" s="41"/>
    </row>
    <row r="63632" spans="20:20" s="566" customFormat="1">
      <c r="T63632" s="41"/>
    </row>
    <row r="63633" spans="20:20" s="566" customFormat="1">
      <c r="T63633" s="41"/>
    </row>
    <row r="63634" spans="20:20" s="566" customFormat="1">
      <c r="T63634" s="41"/>
    </row>
    <row r="63635" spans="20:20" s="566" customFormat="1">
      <c r="T63635" s="41"/>
    </row>
    <row r="63636" spans="20:20" s="566" customFormat="1">
      <c r="T63636" s="41"/>
    </row>
    <row r="63637" spans="20:20" s="566" customFormat="1">
      <c r="T63637" s="41"/>
    </row>
    <row r="63638" spans="20:20" s="566" customFormat="1">
      <c r="T63638" s="41"/>
    </row>
    <row r="63639" spans="20:20" s="566" customFormat="1">
      <c r="T63639" s="41"/>
    </row>
    <row r="63640" spans="20:20" s="566" customFormat="1">
      <c r="T63640" s="41"/>
    </row>
    <row r="63641" spans="20:20" s="566" customFormat="1">
      <c r="T63641" s="41"/>
    </row>
    <row r="63642" spans="20:20" s="566" customFormat="1">
      <c r="T63642" s="41"/>
    </row>
    <row r="63643" spans="20:20" s="566" customFormat="1">
      <c r="T63643" s="41"/>
    </row>
    <row r="63644" spans="20:20" s="566" customFormat="1">
      <c r="T63644" s="41"/>
    </row>
    <row r="63645" spans="20:20" s="566" customFormat="1">
      <c r="T63645" s="41"/>
    </row>
    <row r="63646" spans="20:20" s="566" customFormat="1">
      <c r="T63646" s="41"/>
    </row>
    <row r="63647" spans="20:20" s="566" customFormat="1">
      <c r="T63647" s="41"/>
    </row>
    <row r="63648" spans="20:20" s="566" customFormat="1">
      <c r="T63648" s="41"/>
    </row>
    <row r="63649" spans="20:20" s="566" customFormat="1">
      <c r="T63649" s="41"/>
    </row>
    <row r="63650" spans="20:20" s="566" customFormat="1">
      <c r="T63650" s="41"/>
    </row>
    <row r="63651" spans="20:20" s="566" customFormat="1">
      <c r="T63651" s="41"/>
    </row>
    <row r="63652" spans="20:20" s="566" customFormat="1">
      <c r="T63652" s="41"/>
    </row>
    <row r="63653" spans="20:20" s="566" customFormat="1">
      <c r="T63653" s="41"/>
    </row>
    <row r="63654" spans="20:20" s="566" customFormat="1">
      <c r="T63654" s="41"/>
    </row>
    <row r="63655" spans="20:20" s="566" customFormat="1">
      <c r="T63655" s="41"/>
    </row>
    <row r="63656" spans="20:20" s="566" customFormat="1">
      <c r="T63656" s="41"/>
    </row>
    <row r="63657" spans="20:20" s="566" customFormat="1">
      <c r="T63657" s="41"/>
    </row>
    <row r="63658" spans="20:20" s="566" customFormat="1">
      <c r="T63658" s="41"/>
    </row>
    <row r="63659" spans="20:20" s="566" customFormat="1">
      <c r="T63659" s="41"/>
    </row>
    <row r="63660" spans="20:20" s="566" customFormat="1">
      <c r="T63660" s="41"/>
    </row>
    <row r="63661" spans="20:20" s="566" customFormat="1">
      <c r="T63661" s="41"/>
    </row>
    <row r="63662" spans="20:20" s="566" customFormat="1">
      <c r="T63662" s="41"/>
    </row>
    <row r="63663" spans="20:20" s="566" customFormat="1">
      <c r="T63663" s="41"/>
    </row>
    <row r="63664" spans="20:20" s="566" customFormat="1">
      <c r="T63664" s="41"/>
    </row>
    <row r="63665" spans="20:20" s="566" customFormat="1">
      <c r="T63665" s="41"/>
    </row>
    <row r="63666" spans="20:20" s="566" customFormat="1">
      <c r="T63666" s="41"/>
    </row>
    <row r="63667" spans="20:20" s="566" customFormat="1">
      <c r="T63667" s="41"/>
    </row>
    <row r="63668" spans="20:20" s="566" customFormat="1">
      <c r="T63668" s="41"/>
    </row>
    <row r="63669" spans="20:20" s="566" customFormat="1">
      <c r="T63669" s="41"/>
    </row>
    <row r="63670" spans="20:20" s="566" customFormat="1">
      <c r="T63670" s="41"/>
    </row>
    <row r="63671" spans="20:20" s="566" customFormat="1">
      <c r="T63671" s="41"/>
    </row>
    <row r="63672" spans="20:20" s="566" customFormat="1">
      <c r="T63672" s="41"/>
    </row>
    <row r="63673" spans="20:20" s="566" customFormat="1">
      <c r="T63673" s="41"/>
    </row>
    <row r="63674" spans="20:20" s="566" customFormat="1">
      <c r="T63674" s="41"/>
    </row>
    <row r="63675" spans="20:20" s="566" customFormat="1">
      <c r="T63675" s="41"/>
    </row>
    <row r="63676" spans="20:20" s="566" customFormat="1">
      <c r="T63676" s="41"/>
    </row>
    <row r="63677" spans="20:20" s="566" customFormat="1">
      <c r="T63677" s="41"/>
    </row>
    <row r="63678" spans="20:20" s="566" customFormat="1">
      <c r="T63678" s="41"/>
    </row>
    <row r="63679" spans="20:20" s="566" customFormat="1">
      <c r="T63679" s="41"/>
    </row>
    <row r="63680" spans="20:20" s="566" customFormat="1">
      <c r="T63680" s="41"/>
    </row>
    <row r="63681" spans="20:20" s="566" customFormat="1">
      <c r="T63681" s="41"/>
    </row>
    <row r="63682" spans="20:20" s="566" customFormat="1">
      <c r="T63682" s="41"/>
    </row>
    <row r="63683" spans="20:20" s="566" customFormat="1">
      <c r="T63683" s="41"/>
    </row>
    <row r="63684" spans="20:20" s="566" customFormat="1">
      <c r="T63684" s="41"/>
    </row>
    <row r="63685" spans="20:20" s="566" customFormat="1">
      <c r="T63685" s="41"/>
    </row>
    <row r="63686" spans="20:20" s="566" customFormat="1">
      <c r="T63686" s="41"/>
    </row>
    <row r="63687" spans="20:20" s="566" customFormat="1">
      <c r="T63687" s="41"/>
    </row>
    <row r="63688" spans="20:20" s="566" customFormat="1">
      <c r="T63688" s="41"/>
    </row>
    <row r="63689" spans="20:20" s="566" customFormat="1">
      <c r="T63689" s="41"/>
    </row>
    <row r="63690" spans="20:20" s="566" customFormat="1">
      <c r="T63690" s="41"/>
    </row>
    <row r="63691" spans="20:20" s="566" customFormat="1">
      <c r="T63691" s="41"/>
    </row>
    <row r="63692" spans="20:20" s="566" customFormat="1">
      <c r="T63692" s="41"/>
    </row>
    <row r="63693" spans="20:20" s="566" customFormat="1">
      <c r="T63693" s="41"/>
    </row>
    <row r="63694" spans="20:20" s="566" customFormat="1">
      <c r="T63694" s="41"/>
    </row>
    <row r="63695" spans="20:20" s="566" customFormat="1">
      <c r="T63695" s="41"/>
    </row>
    <row r="63696" spans="20:20" s="566" customFormat="1">
      <c r="T63696" s="41"/>
    </row>
    <row r="63697" spans="20:20" s="566" customFormat="1">
      <c r="T63697" s="41"/>
    </row>
    <row r="63698" spans="20:20" s="566" customFormat="1">
      <c r="T63698" s="41"/>
    </row>
    <row r="63699" spans="20:20" s="566" customFormat="1">
      <c r="T63699" s="41"/>
    </row>
    <row r="63700" spans="20:20" s="566" customFormat="1">
      <c r="T63700" s="41"/>
    </row>
    <row r="63701" spans="20:20" s="566" customFormat="1">
      <c r="T63701" s="41"/>
    </row>
    <row r="63702" spans="20:20" s="566" customFormat="1">
      <c r="T63702" s="41"/>
    </row>
    <row r="63703" spans="20:20" s="566" customFormat="1">
      <c r="T63703" s="41"/>
    </row>
    <row r="63704" spans="20:20" s="566" customFormat="1">
      <c r="T63704" s="41"/>
    </row>
    <row r="63705" spans="20:20" s="566" customFormat="1">
      <c r="T63705" s="41"/>
    </row>
    <row r="63706" spans="20:20" s="566" customFormat="1">
      <c r="T63706" s="41"/>
    </row>
    <row r="63707" spans="20:20" s="566" customFormat="1">
      <c r="T63707" s="41"/>
    </row>
    <row r="63708" spans="20:20" s="566" customFormat="1">
      <c r="T63708" s="41"/>
    </row>
    <row r="63709" spans="20:20" s="566" customFormat="1">
      <c r="T63709" s="41"/>
    </row>
    <row r="63710" spans="20:20" s="566" customFormat="1">
      <c r="T63710" s="41"/>
    </row>
    <row r="63711" spans="20:20" s="566" customFormat="1">
      <c r="T63711" s="41"/>
    </row>
    <row r="63712" spans="20:20" s="566" customFormat="1">
      <c r="T63712" s="41"/>
    </row>
    <row r="63713" spans="20:20" s="566" customFormat="1">
      <c r="T63713" s="41"/>
    </row>
    <row r="63714" spans="20:20" s="566" customFormat="1">
      <c r="T63714" s="41"/>
    </row>
    <row r="63715" spans="20:20" s="566" customFormat="1">
      <c r="T63715" s="41"/>
    </row>
    <row r="63716" spans="20:20" s="566" customFormat="1">
      <c r="T63716" s="41"/>
    </row>
    <row r="63717" spans="20:20" s="566" customFormat="1">
      <c r="T63717" s="41"/>
    </row>
    <row r="63718" spans="20:20" s="566" customFormat="1">
      <c r="T63718" s="41"/>
    </row>
    <row r="63719" spans="20:20" s="566" customFormat="1">
      <c r="T63719" s="41"/>
    </row>
    <row r="63720" spans="20:20" s="566" customFormat="1">
      <c r="T63720" s="41"/>
    </row>
    <row r="63721" spans="20:20" s="566" customFormat="1">
      <c r="T63721" s="41"/>
    </row>
    <row r="63722" spans="20:20" s="566" customFormat="1">
      <c r="T63722" s="41"/>
    </row>
    <row r="63723" spans="20:20" s="566" customFormat="1">
      <c r="T63723" s="41"/>
    </row>
    <row r="63724" spans="20:20" s="566" customFormat="1">
      <c r="T63724" s="41"/>
    </row>
    <row r="63725" spans="20:20" s="566" customFormat="1">
      <c r="T63725" s="41"/>
    </row>
    <row r="63726" spans="20:20" s="566" customFormat="1">
      <c r="T63726" s="41"/>
    </row>
    <row r="63727" spans="20:20" s="566" customFormat="1">
      <c r="T63727" s="41"/>
    </row>
    <row r="63728" spans="20:20" s="566" customFormat="1">
      <c r="T63728" s="41"/>
    </row>
    <row r="63729" spans="20:20" s="566" customFormat="1">
      <c r="T63729" s="41"/>
    </row>
    <row r="63730" spans="20:20" s="566" customFormat="1">
      <c r="T63730" s="41"/>
    </row>
    <row r="63731" spans="20:20" s="566" customFormat="1">
      <c r="T63731" s="41"/>
    </row>
    <row r="63732" spans="20:20" s="566" customFormat="1">
      <c r="T63732" s="41"/>
    </row>
    <row r="63733" spans="20:20" s="566" customFormat="1">
      <c r="T63733" s="41"/>
    </row>
    <row r="63734" spans="20:20" s="566" customFormat="1">
      <c r="T63734" s="41"/>
    </row>
    <row r="63735" spans="20:20" s="566" customFormat="1">
      <c r="T63735" s="41"/>
    </row>
    <row r="63736" spans="20:20" s="566" customFormat="1">
      <c r="T63736" s="41"/>
    </row>
    <row r="63737" spans="20:20" s="566" customFormat="1">
      <c r="T63737" s="41"/>
    </row>
    <row r="63738" spans="20:20" s="566" customFormat="1">
      <c r="T63738" s="41"/>
    </row>
    <row r="63739" spans="20:20" s="566" customFormat="1">
      <c r="T63739" s="41"/>
    </row>
    <row r="63740" spans="20:20" s="566" customFormat="1">
      <c r="T63740" s="41"/>
    </row>
    <row r="63741" spans="20:20" s="566" customFormat="1">
      <c r="T63741" s="41"/>
    </row>
    <row r="63742" spans="20:20" s="566" customFormat="1">
      <c r="T63742" s="41"/>
    </row>
    <row r="63743" spans="20:20" s="566" customFormat="1">
      <c r="T63743" s="41"/>
    </row>
    <row r="63744" spans="20:20" s="566" customFormat="1">
      <c r="T63744" s="41"/>
    </row>
    <row r="63745" spans="20:20" s="566" customFormat="1">
      <c r="T63745" s="41"/>
    </row>
    <row r="63746" spans="20:20" s="566" customFormat="1">
      <c r="T63746" s="41"/>
    </row>
    <row r="63747" spans="20:20" s="566" customFormat="1">
      <c r="T63747" s="41"/>
    </row>
    <row r="63748" spans="20:20" s="566" customFormat="1">
      <c r="T63748" s="41"/>
    </row>
    <row r="63749" spans="20:20" s="566" customFormat="1">
      <c r="T63749" s="41"/>
    </row>
    <row r="63750" spans="20:20" s="566" customFormat="1">
      <c r="T63750" s="41"/>
    </row>
    <row r="63751" spans="20:20" s="566" customFormat="1">
      <c r="T63751" s="41"/>
    </row>
    <row r="63752" spans="20:20" s="566" customFormat="1">
      <c r="T63752" s="41"/>
    </row>
    <row r="63753" spans="20:20" s="566" customFormat="1">
      <c r="T63753" s="41"/>
    </row>
    <row r="63754" spans="20:20" s="566" customFormat="1">
      <c r="T63754" s="41"/>
    </row>
    <row r="63755" spans="20:20" s="566" customFormat="1">
      <c r="T63755" s="41"/>
    </row>
    <row r="63756" spans="20:20" s="566" customFormat="1">
      <c r="T63756" s="41"/>
    </row>
    <row r="63757" spans="20:20" s="566" customFormat="1">
      <c r="T63757" s="41"/>
    </row>
    <row r="63758" spans="20:20" s="566" customFormat="1">
      <c r="T63758" s="41"/>
    </row>
    <row r="63759" spans="20:20" s="566" customFormat="1">
      <c r="T63759" s="41"/>
    </row>
    <row r="63760" spans="20:20" s="566" customFormat="1">
      <c r="T63760" s="41"/>
    </row>
    <row r="63761" spans="20:20" s="566" customFormat="1">
      <c r="T63761" s="41"/>
    </row>
    <row r="63762" spans="20:20" s="566" customFormat="1">
      <c r="T63762" s="41"/>
    </row>
    <row r="63763" spans="20:20" s="566" customFormat="1">
      <c r="T63763" s="41"/>
    </row>
    <row r="63764" spans="20:20" s="566" customFormat="1">
      <c r="T63764" s="41"/>
    </row>
    <row r="63765" spans="20:20" s="566" customFormat="1">
      <c r="T63765" s="41"/>
    </row>
    <row r="63766" spans="20:20" s="566" customFormat="1">
      <c r="T63766" s="41"/>
    </row>
    <row r="63767" spans="20:20" s="566" customFormat="1">
      <c r="T63767" s="41"/>
    </row>
    <row r="63768" spans="20:20" s="566" customFormat="1">
      <c r="T63768" s="41"/>
    </row>
    <row r="63769" spans="20:20" s="566" customFormat="1">
      <c r="T63769" s="41"/>
    </row>
    <row r="63770" spans="20:20" s="566" customFormat="1">
      <c r="T63770" s="41"/>
    </row>
    <row r="63771" spans="20:20" s="566" customFormat="1">
      <c r="T63771" s="41"/>
    </row>
    <row r="63772" spans="20:20" s="566" customFormat="1">
      <c r="T63772" s="41"/>
    </row>
    <row r="63773" spans="20:20" s="566" customFormat="1">
      <c r="T63773" s="41"/>
    </row>
    <row r="63774" spans="20:20" s="566" customFormat="1">
      <c r="T63774" s="41"/>
    </row>
    <row r="63775" spans="20:20" s="566" customFormat="1">
      <c r="T63775" s="41"/>
    </row>
    <row r="63776" spans="20:20" s="566" customFormat="1">
      <c r="T63776" s="41"/>
    </row>
    <row r="63777" spans="20:20" s="566" customFormat="1">
      <c r="T63777" s="41"/>
    </row>
    <row r="63778" spans="20:20" s="566" customFormat="1">
      <c r="T63778" s="41"/>
    </row>
    <row r="63779" spans="20:20" s="566" customFormat="1">
      <c r="T63779" s="41"/>
    </row>
    <row r="63780" spans="20:20" s="566" customFormat="1">
      <c r="T63780" s="41"/>
    </row>
    <row r="63781" spans="20:20" s="566" customFormat="1">
      <c r="T63781" s="41"/>
    </row>
    <row r="63782" spans="20:20" s="566" customFormat="1">
      <c r="T63782" s="41"/>
    </row>
    <row r="63783" spans="20:20" s="566" customFormat="1">
      <c r="T63783" s="41"/>
    </row>
    <row r="63784" spans="20:20" s="566" customFormat="1">
      <c r="T63784" s="41"/>
    </row>
    <row r="63785" spans="20:20" s="566" customFormat="1">
      <c r="T63785" s="41"/>
    </row>
    <row r="63786" spans="20:20" s="566" customFormat="1">
      <c r="T63786" s="41"/>
    </row>
    <row r="63787" spans="20:20" s="566" customFormat="1">
      <c r="T63787" s="41"/>
    </row>
    <row r="63788" spans="20:20" s="566" customFormat="1">
      <c r="T63788" s="41"/>
    </row>
    <row r="63789" spans="20:20" s="566" customFormat="1">
      <c r="T63789" s="41"/>
    </row>
    <row r="63790" spans="20:20" s="566" customFormat="1">
      <c r="T63790" s="41"/>
    </row>
    <row r="63791" spans="20:20" s="566" customFormat="1">
      <c r="T63791" s="41"/>
    </row>
    <row r="63792" spans="20:20" s="566" customFormat="1">
      <c r="T63792" s="41"/>
    </row>
    <row r="63793" spans="20:20" s="566" customFormat="1">
      <c r="T63793" s="41"/>
    </row>
    <row r="63794" spans="20:20" s="566" customFormat="1">
      <c r="T63794" s="41"/>
    </row>
    <row r="63795" spans="20:20" s="566" customFormat="1">
      <c r="T63795" s="41"/>
    </row>
    <row r="63796" spans="20:20" s="566" customFormat="1">
      <c r="T63796" s="41"/>
    </row>
    <row r="63797" spans="20:20" s="566" customFormat="1">
      <c r="T63797" s="41"/>
    </row>
    <row r="63798" spans="20:20" s="566" customFormat="1">
      <c r="T63798" s="41"/>
    </row>
    <row r="63799" spans="20:20" s="566" customFormat="1">
      <c r="T63799" s="41"/>
    </row>
    <row r="63800" spans="20:20" s="566" customFormat="1">
      <c r="T63800" s="41"/>
    </row>
    <row r="63801" spans="20:20" s="566" customFormat="1">
      <c r="T63801" s="41"/>
    </row>
    <row r="63802" spans="20:20" s="566" customFormat="1">
      <c r="T63802" s="41"/>
    </row>
    <row r="63803" spans="20:20" s="566" customFormat="1">
      <c r="T63803" s="41"/>
    </row>
    <row r="63804" spans="20:20" s="566" customFormat="1">
      <c r="T63804" s="41"/>
    </row>
    <row r="63805" spans="20:20" s="566" customFormat="1">
      <c r="T63805" s="41"/>
    </row>
    <row r="63806" spans="20:20" s="566" customFormat="1">
      <c r="T63806" s="41"/>
    </row>
    <row r="63807" spans="20:20" s="566" customFormat="1">
      <c r="T63807" s="41"/>
    </row>
    <row r="63808" spans="20:20" s="566" customFormat="1">
      <c r="T63808" s="41"/>
    </row>
    <row r="63809" spans="20:20" s="566" customFormat="1">
      <c r="T63809" s="41"/>
    </row>
    <row r="63810" spans="20:20" s="566" customFormat="1">
      <c r="T63810" s="41"/>
    </row>
    <row r="63811" spans="20:20" s="566" customFormat="1">
      <c r="T63811" s="41"/>
    </row>
    <row r="63812" spans="20:20" s="566" customFormat="1">
      <c r="T63812" s="41"/>
    </row>
    <row r="63813" spans="20:20" s="566" customFormat="1">
      <c r="T63813" s="41"/>
    </row>
    <row r="63814" spans="20:20" s="566" customFormat="1">
      <c r="T63814" s="41"/>
    </row>
    <row r="63815" spans="20:20" s="566" customFormat="1">
      <c r="T63815" s="41"/>
    </row>
    <row r="63816" spans="20:20" s="566" customFormat="1">
      <c r="T63816" s="41"/>
    </row>
    <row r="63817" spans="20:20" s="566" customFormat="1">
      <c r="T63817" s="41"/>
    </row>
    <row r="63818" spans="20:20" s="566" customFormat="1">
      <c r="T63818" s="41"/>
    </row>
    <row r="63819" spans="20:20" s="566" customFormat="1">
      <c r="T63819" s="41"/>
    </row>
    <row r="63820" spans="20:20" s="566" customFormat="1">
      <c r="T63820" s="41"/>
    </row>
    <row r="63821" spans="20:20" s="566" customFormat="1">
      <c r="T63821" s="41"/>
    </row>
    <row r="63822" spans="20:20" s="566" customFormat="1">
      <c r="T63822" s="41"/>
    </row>
    <row r="63823" spans="20:20" s="566" customFormat="1">
      <c r="T63823" s="41"/>
    </row>
    <row r="63824" spans="20:20" s="566" customFormat="1">
      <c r="T63824" s="41"/>
    </row>
    <row r="63825" spans="20:20" s="566" customFormat="1">
      <c r="T63825" s="41"/>
    </row>
    <row r="63826" spans="20:20" s="566" customFormat="1">
      <c r="T63826" s="41"/>
    </row>
    <row r="63827" spans="20:20" s="566" customFormat="1">
      <c r="T63827" s="41"/>
    </row>
    <row r="63828" spans="20:20" s="566" customFormat="1">
      <c r="T63828" s="41"/>
    </row>
    <row r="63829" spans="20:20" s="566" customFormat="1">
      <c r="T63829" s="41"/>
    </row>
    <row r="63830" spans="20:20" s="566" customFormat="1">
      <c r="T63830" s="41"/>
    </row>
    <row r="63831" spans="20:20" s="566" customFormat="1">
      <c r="T63831" s="41"/>
    </row>
    <row r="63832" spans="20:20" s="566" customFormat="1">
      <c r="T63832" s="41"/>
    </row>
    <row r="63833" spans="20:20" s="566" customFormat="1">
      <c r="T63833" s="41"/>
    </row>
    <row r="63834" spans="20:20" s="566" customFormat="1">
      <c r="T63834" s="41"/>
    </row>
    <row r="63835" spans="20:20" s="566" customFormat="1">
      <c r="T63835" s="41"/>
    </row>
    <row r="63836" spans="20:20" s="566" customFormat="1">
      <c r="T63836" s="41"/>
    </row>
    <row r="63837" spans="20:20" s="566" customFormat="1">
      <c r="T63837" s="41"/>
    </row>
    <row r="63838" spans="20:20" s="566" customFormat="1">
      <c r="T63838" s="41"/>
    </row>
    <row r="63839" spans="20:20" s="566" customFormat="1">
      <c r="T63839" s="41"/>
    </row>
    <row r="63840" spans="20:20" s="566" customFormat="1">
      <c r="T63840" s="41"/>
    </row>
    <row r="63841" spans="20:20" s="566" customFormat="1">
      <c r="T63841" s="41"/>
    </row>
    <row r="63842" spans="20:20" s="566" customFormat="1">
      <c r="T63842" s="41"/>
    </row>
    <row r="63843" spans="20:20" s="566" customFormat="1">
      <c r="T63843" s="41"/>
    </row>
    <row r="63844" spans="20:20" s="566" customFormat="1">
      <c r="T63844" s="41"/>
    </row>
    <row r="63845" spans="20:20" s="566" customFormat="1">
      <c r="T63845" s="41"/>
    </row>
    <row r="63846" spans="20:20" s="566" customFormat="1">
      <c r="T63846" s="41"/>
    </row>
    <row r="63847" spans="20:20" s="566" customFormat="1">
      <c r="T63847" s="41"/>
    </row>
    <row r="63848" spans="20:20" s="566" customFormat="1">
      <c r="T63848" s="41"/>
    </row>
    <row r="63849" spans="20:20" s="566" customFormat="1">
      <c r="T63849" s="41"/>
    </row>
    <row r="63850" spans="20:20" s="566" customFormat="1">
      <c r="T63850" s="41"/>
    </row>
    <row r="63851" spans="20:20" s="566" customFormat="1">
      <c r="T63851" s="41"/>
    </row>
    <row r="63852" spans="20:20" s="566" customFormat="1">
      <c r="T63852" s="41"/>
    </row>
    <row r="63853" spans="20:20" s="566" customFormat="1">
      <c r="T63853" s="41"/>
    </row>
    <row r="63854" spans="20:20" s="566" customFormat="1">
      <c r="T63854" s="41"/>
    </row>
    <row r="63855" spans="20:20" s="566" customFormat="1">
      <c r="T63855" s="41"/>
    </row>
    <row r="63856" spans="20:20" s="566" customFormat="1">
      <c r="T63856" s="41"/>
    </row>
    <row r="63857" spans="20:20" s="566" customFormat="1">
      <c r="T63857" s="41"/>
    </row>
    <row r="63858" spans="20:20" s="566" customFormat="1">
      <c r="T63858" s="41"/>
    </row>
    <row r="63859" spans="20:20" s="566" customFormat="1">
      <c r="T63859" s="41"/>
    </row>
    <row r="63860" spans="20:20" s="566" customFormat="1">
      <c r="T63860" s="41"/>
    </row>
    <row r="63861" spans="20:20" s="566" customFormat="1">
      <c r="T63861" s="41"/>
    </row>
    <row r="63862" spans="20:20" s="566" customFormat="1">
      <c r="T63862" s="41"/>
    </row>
    <row r="63863" spans="20:20" s="566" customFormat="1">
      <c r="T63863" s="41"/>
    </row>
    <row r="63864" spans="20:20" s="566" customFormat="1">
      <c r="T63864" s="41"/>
    </row>
    <row r="63865" spans="20:20" s="566" customFormat="1">
      <c r="T63865" s="41"/>
    </row>
    <row r="63866" spans="20:20" s="566" customFormat="1">
      <c r="T63866" s="41"/>
    </row>
    <row r="63867" spans="20:20" s="566" customFormat="1">
      <c r="T63867" s="41"/>
    </row>
    <row r="63868" spans="20:20" s="566" customFormat="1">
      <c r="T63868" s="41"/>
    </row>
    <row r="63869" spans="20:20" s="566" customFormat="1">
      <c r="T63869" s="41"/>
    </row>
    <row r="63870" spans="20:20" s="566" customFormat="1">
      <c r="T63870" s="41"/>
    </row>
    <row r="63871" spans="20:20" s="566" customFormat="1">
      <c r="T63871" s="41"/>
    </row>
    <row r="63872" spans="20:20" s="566" customFormat="1">
      <c r="T63872" s="41"/>
    </row>
    <row r="63873" spans="20:20" s="566" customFormat="1">
      <c r="T63873" s="41"/>
    </row>
    <row r="63874" spans="20:20" s="566" customFormat="1">
      <c r="T63874" s="41"/>
    </row>
    <row r="63875" spans="20:20" s="566" customFormat="1">
      <c r="T63875" s="41"/>
    </row>
    <row r="63876" spans="20:20" s="566" customFormat="1">
      <c r="T63876" s="41"/>
    </row>
    <row r="63877" spans="20:20" s="566" customFormat="1">
      <c r="T63877" s="41"/>
    </row>
    <row r="63878" spans="20:20" s="566" customFormat="1">
      <c r="T63878" s="41"/>
    </row>
    <row r="63879" spans="20:20" s="566" customFormat="1">
      <c r="T63879" s="41"/>
    </row>
    <row r="63880" spans="20:20" s="566" customFormat="1">
      <c r="T63880" s="41"/>
    </row>
    <row r="63881" spans="20:20" s="566" customFormat="1">
      <c r="T63881" s="41"/>
    </row>
    <row r="63882" spans="20:20" s="566" customFormat="1">
      <c r="T63882" s="41"/>
    </row>
    <row r="63883" spans="20:20" s="566" customFormat="1">
      <c r="T63883" s="41"/>
    </row>
    <row r="63884" spans="20:20" s="566" customFormat="1">
      <c r="T63884" s="41"/>
    </row>
    <row r="63885" spans="20:20" s="566" customFormat="1">
      <c r="T63885" s="41"/>
    </row>
    <row r="63886" spans="20:20" s="566" customFormat="1">
      <c r="T63886" s="41"/>
    </row>
    <row r="63887" spans="20:20" s="566" customFormat="1">
      <c r="T63887" s="41"/>
    </row>
    <row r="63888" spans="20:20" s="566" customFormat="1">
      <c r="T63888" s="41"/>
    </row>
    <row r="63889" spans="20:20" s="566" customFormat="1">
      <c r="T63889" s="41"/>
    </row>
    <row r="63890" spans="20:20" s="566" customFormat="1">
      <c r="T63890" s="41"/>
    </row>
    <row r="63891" spans="20:20" s="566" customFormat="1">
      <c r="T63891" s="41"/>
    </row>
    <row r="63892" spans="20:20" s="566" customFormat="1">
      <c r="T63892" s="41"/>
    </row>
    <row r="63893" spans="20:20" s="566" customFormat="1">
      <c r="T63893" s="41"/>
    </row>
    <row r="63894" spans="20:20" s="566" customFormat="1">
      <c r="T63894" s="41"/>
    </row>
    <row r="63895" spans="20:20" s="566" customFormat="1">
      <c r="T63895" s="41"/>
    </row>
    <row r="63896" spans="20:20" s="566" customFormat="1">
      <c r="T63896" s="41"/>
    </row>
    <row r="63897" spans="20:20" s="566" customFormat="1">
      <c r="T63897" s="41"/>
    </row>
    <row r="63898" spans="20:20" s="566" customFormat="1">
      <c r="T63898" s="41"/>
    </row>
    <row r="63899" spans="20:20" s="566" customFormat="1">
      <c r="T63899" s="41"/>
    </row>
    <row r="63900" spans="20:20" s="566" customFormat="1">
      <c r="T63900" s="41"/>
    </row>
    <row r="63901" spans="20:20" s="566" customFormat="1">
      <c r="T63901" s="41"/>
    </row>
    <row r="63902" spans="20:20" s="566" customFormat="1">
      <c r="T63902" s="41"/>
    </row>
    <row r="63903" spans="20:20" s="566" customFormat="1">
      <c r="T63903" s="41"/>
    </row>
    <row r="63904" spans="20:20" s="566" customFormat="1">
      <c r="T63904" s="41"/>
    </row>
    <row r="63905" spans="20:20" s="566" customFormat="1">
      <c r="T63905" s="41"/>
    </row>
    <row r="63906" spans="20:20" s="566" customFormat="1">
      <c r="T63906" s="41"/>
    </row>
    <row r="63907" spans="20:20" s="566" customFormat="1">
      <c r="T63907" s="41"/>
    </row>
    <row r="63908" spans="20:20" s="566" customFormat="1">
      <c r="T63908" s="41"/>
    </row>
    <row r="63909" spans="20:20" s="566" customFormat="1">
      <c r="T63909" s="41"/>
    </row>
    <row r="63910" spans="20:20" s="566" customFormat="1">
      <c r="T63910" s="41"/>
    </row>
    <row r="63911" spans="20:20" s="566" customFormat="1">
      <c r="T63911" s="41"/>
    </row>
    <row r="63912" spans="20:20" s="566" customFormat="1">
      <c r="T63912" s="41"/>
    </row>
    <row r="63913" spans="20:20" s="566" customFormat="1">
      <c r="T63913" s="41"/>
    </row>
    <row r="63914" spans="20:20" s="566" customFormat="1">
      <c r="T63914" s="41"/>
    </row>
    <row r="63915" spans="20:20" s="566" customFormat="1">
      <c r="T63915" s="41"/>
    </row>
    <row r="63916" spans="20:20" s="566" customFormat="1">
      <c r="T63916" s="41"/>
    </row>
    <row r="63917" spans="20:20" s="566" customFormat="1">
      <c r="T63917" s="41"/>
    </row>
    <row r="63918" spans="20:20" s="566" customFormat="1">
      <c r="T63918" s="41"/>
    </row>
    <row r="63919" spans="20:20" s="566" customFormat="1">
      <c r="T63919" s="41"/>
    </row>
    <row r="63920" spans="20:20" s="566" customFormat="1">
      <c r="T63920" s="41"/>
    </row>
    <row r="63921" spans="20:20" s="566" customFormat="1">
      <c r="T63921" s="41"/>
    </row>
    <row r="63922" spans="20:20" s="566" customFormat="1">
      <c r="T63922" s="41"/>
    </row>
    <row r="63923" spans="20:20" s="566" customFormat="1">
      <c r="T63923" s="41"/>
    </row>
    <row r="63924" spans="20:20" s="566" customFormat="1">
      <c r="T63924" s="41"/>
    </row>
    <row r="63925" spans="20:20" s="566" customFormat="1">
      <c r="T63925" s="41"/>
    </row>
    <row r="63926" spans="20:20" s="566" customFormat="1">
      <c r="T63926" s="41"/>
    </row>
    <row r="63927" spans="20:20" s="566" customFormat="1">
      <c r="T63927" s="41"/>
    </row>
    <row r="63928" spans="20:20" s="566" customFormat="1">
      <c r="T63928" s="41"/>
    </row>
    <row r="63929" spans="20:20" s="566" customFormat="1">
      <c r="T63929" s="41"/>
    </row>
    <row r="63930" spans="20:20" s="566" customFormat="1">
      <c r="T63930" s="41"/>
    </row>
    <row r="63931" spans="20:20" s="566" customFormat="1">
      <c r="T63931" s="41"/>
    </row>
    <row r="63932" spans="20:20" s="566" customFormat="1">
      <c r="T63932" s="41"/>
    </row>
    <row r="63933" spans="20:20" s="566" customFormat="1">
      <c r="T63933" s="41"/>
    </row>
    <row r="63934" spans="20:20" s="566" customFormat="1">
      <c r="T63934" s="41"/>
    </row>
    <row r="63935" spans="20:20" s="566" customFormat="1">
      <c r="T63935" s="41"/>
    </row>
    <row r="63936" spans="20:20" s="566" customFormat="1">
      <c r="T63936" s="41"/>
    </row>
    <row r="63937" spans="20:20" s="566" customFormat="1">
      <c r="T63937" s="41"/>
    </row>
    <row r="63938" spans="20:20" s="566" customFormat="1">
      <c r="T63938" s="41"/>
    </row>
    <row r="63939" spans="20:20" s="566" customFormat="1">
      <c r="T63939" s="41"/>
    </row>
    <row r="63940" spans="20:20" s="566" customFormat="1">
      <c r="T63940" s="41"/>
    </row>
    <row r="63941" spans="20:20" s="566" customFormat="1">
      <c r="T63941" s="41"/>
    </row>
    <row r="63942" spans="20:20" s="566" customFormat="1">
      <c r="T63942" s="41"/>
    </row>
    <row r="63943" spans="20:20" s="566" customFormat="1">
      <c r="T63943" s="41"/>
    </row>
    <row r="63944" spans="20:20" s="566" customFormat="1">
      <c r="T63944" s="41"/>
    </row>
    <row r="63945" spans="20:20" s="566" customFormat="1">
      <c r="T63945" s="41"/>
    </row>
    <row r="63946" spans="20:20" s="566" customFormat="1">
      <c r="T63946" s="41"/>
    </row>
    <row r="63947" spans="20:20" s="566" customFormat="1">
      <c r="T63947" s="41"/>
    </row>
    <row r="63948" spans="20:20" s="566" customFormat="1">
      <c r="T63948" s="41"/>
    </row>
    <row r="63949" spans="20:20" s="566" customFormat="1">
      <c r="T63949" s="41"/>
    </row>
    <row r="63950" spans="20:20" s="566" customFormat="1">
      <c r="T63950" s="41"/>
    </row>
    <row r="63951" spans="20:20" s="566" customFormat="1">
      <c r="T63951" s="41"/>
    </row>
    <row r="63952" spans="20:20" s="566" customFormat="1">
      <c r="T63952" s="41"/>
    </row>
    <row r="63953" spans="20:20" s="566" customFormat="1">
      <c r="T63953" s="41"/>
    </row>
    <row r="63954" spans="20:20" s="566" customFormat="1">
      <c r="T63954" s="41"/>
    </row>
    <row r="63955" spans="20:20" s="566" customFormat="1">
      <c r="T63955" s="41"/>
    </row>
    <row r="63956" spans="20:20" s="566" customFormat="1">
      <c r="T63956" s="41"/>
    </row>
    <row r="63957" spans="20:20" s="566" customFormat="1">
      <c r="T63957" s="41"/>
    </row>
    <row r="63958" spans="20:20" s="566" customFormat="1">
      <c r="T63958" s="41"/>
    </row>
    <row r="63959" spans="20:20" s="566" customFormat="1">
      <c r="T63959" s="41"/>
    </row>
    <row r="63960" spans="20:20" s="566" customFormat="1">
      <c r="T63960" s="41"/>
    </row>
    <row r="63961" spans="20:20" s="566" customFormat="1">
      <c r="T63961" s="41"/>
    </row>
    <row r="63962" spans="20:20" s="566" customFormat="1">
      <c r="T63962" s="41"/>
    </row>
    <row r="63963" spans="20:20" s="566" customFormat="1">
      <c r="T63963" s="41"/>
    </row>
    <row r="63964" spans="20:20" s="566" customFormat="1">
      <c r="T63964" s="41"/>
    </row>
    <row r="63965" spans="20:20" s="566" customFormat="1">
      <c r="T63965" s="41"/>
    </row>
    <row r="63966" spans="20:20" s="566" customFormat="1">
      <c r="T63966" s="41"/>
    </row>
    <row r="63967" spans="20:20" s="566" customFormat="1">
      <c r="T63967" s="41"/>
    </row>
    <row r="63968" spans="20:20" s="566" customFormat="1">
      <c r="T63968" s="41"/>
    </row>
    <row r="63969" spans="20:20" s="566" customFormat="1">
      <c r="T63969" s="41"/>
    </row>
    <row r="63970" spans="20:20" s="566" customFormat="1">
      <c r="T63970" s="41"/>
    </row>
    <row r="63971" spans="20:20" s="566" customFormat="1">
      <c r="T63971" s="41"/>
    </row>
    <row r="63972" spans="20:20" s="566" customFormat="1">
      <c r="T63972" s="41"/>
    </row>
    <row r="63973" spans="20:20" s="566" customFormat="1">
      <c r="T63973" s="41"/>
    </row>
    <row r="63974" spans="20:20" s="566" customFormat="1">
      <c r="T63974" s="41"/>
    </row>
    <row r="63975" spans="20:20" s="566" customFormat="1">
      <c r="T63975" s="41"/>
    </row>
    <row r="63976" spans="20:20" s="566" customFormat="1">
      <c r="T63976" s="41"/>
    </row>
    <row r="63977" spans="20:20" s="566" customFormat="1">
      <c r="T63977" s="41"/>
    </row>
    <row r="63978" spans="20:20" s="566" customFormat="1">
      <c r="T63978" s="41"/>
    </row>
    <row r="63979" spans="20:20" s="566" customFormat="1">
      <c r="T63979" s="41"/>
    </row>
    <row r="63980" spans="20:20" s="566" customFormat="1">
      <c r="T63980" s="41"/>
    </row>
    <row r="63981" spans="20:20" s="566" customFormat="1">
      <c r="T63981" s="41"/>
    </row>
    <row r="63982" spans="20:20" s="566" customFormat="1">
      <c r="T63982" s="41"/>
    </row>
    <row r="63983" spans="20:20" s="566" customFormat="1">
      <c r="T63983" s="41"/>
    </row>
    <row r="63984" spans="20:20" s="566" customFormat="1">
      <c r="T63984" s="41"/>
    </row>
    <row r="63985" spans="20:20" s="566" customFormat="1">
      <c r="T63985" s="41"/>
    </row>
    <row r="63986" spans="20:20" s="566" customFormat="1">
      <c r="T63986" s="41"/>
    </row>
    <row r="63987" spans="20:20" s="566" customFormat="1">
      <c r="T63987" s="41"/>
    </row>
    <row r="63988" spans="20:20" s="566" customFormat="1">
      <c r="T63988" s="41"/>
    </row>
    <row r="63989" spans="20:20" s="566" customFormat="1">
      <c r="T63989" s="41"/>
    </row>
    <row r="63990" spans="20:20" s="566" customFormat="1">
      <c r="T63990" s="41"/>
    </row>
    <row r="63991" spans="20:20" s="566" customFormat="1">
      <c r="T63991" s="41"/>
    </row>
    <row r="63992" spans="20:20" s="566" customFormat="1">
      <c r="T63992" s="41"/>
    </row>
    <row r="63993" spans="20:20" s="566" customFormat="1">
      <c r="T63993" s="41"/>
    </row>
    <row r="63994" spans="20:20" s="566" customFormat="1">
      <c r="T63994" s="41"/>
    </row>
    <row r="63995" spans="20:20" s="566" customFormat="1">
      <c r="T63995" s="41"/>
    </row>
    <row r="63996" spans="20:20" s="566" customFormat="1">
      <c r="T63996" s="41"/>
    </row>
    <row r="63997" spans="20:20" s="566" customFormat="1">
      <c r="T63997" s="41"/>
    </row>
    <row r="63998" spans="20:20" s="566" customFormat="1">
      <c r="T63998" s="41"/>
    </row>
    <row r="63999" spans="20:20" s="566" customFormat="1">
      <c r="T63999" s="41"/>
    </row>
    <row r="64000" spans="20:20" s="566" customFormat="1">
      <c r="T64000" s="41"/>
    </row>
    <row r="64001" spans="20:20" s="566" customFormat="1">
      <c r="T64001" s="41"/>
    </row>
    <row r="64002" spans="20:20" s="566" customFormat="1">
      <c r="T64002" s="41"/>
    </row>
    <row r="64003" spans="20:20" s="566" customFormat="1">
      <c r="T64003" s="41"/>
    </row>
    <row r="64004" spans="20:20" s="566" customFormat="1">
      <c r="T64004" s="41"/>
    </row>
    <row r="64005" spans="20:20" s="566" customFormat="1">
      <c r="T64005" s="41"/>
    </row>
    <row r="64006" spans="20:20" s="566" customFormat="1">
      <c r="T64006" s="41"/>
    </row>
    <row r="64007" spans="20:20" s="566" customFormat="1">
      <c r="T64007" s="41"/>
    </row>
    <row r="64008" spans="20:20" s="566" customFormat="1">
      <c r="T64008" s="41"/>
    </row>
    <row r="64009" spans="20:20" s="566" customFormat="1">
      <c r="T64009" s="41"/>
    </row>
    <row r="64010" spans="20:20" s="566" customFormat="1">
      <c r="T64010" s="41"/>
    </row>
    <row r="64011" spans="20:20" s="566" customFormat="1">
      <c r="T64011" s="41"/>
    </row>
    <row r="64012" spans="20:20" s="566" customFormat="1">
      <c r="T64012" s="41"/>
    </row>
    <row r="64013" spans="20:20" s="566" customFormat="1">
      <c r="T64013" s="41"/>
    </row>
    <row r="64014" spans="20:20" s="566" customFormat="1">
      <c r="T64014" s="41"/>
    </row>
    <row r="64015" spans="20:20" s="566" customFormat="1">
      <c r="T64015" s="41"/>
    </row>
    <row r="64016" spans="20:20" s="566" customFormat="1">
      <c r="T64016" s="41"/>
    </row>
    <row r="64017" spans="20:20" s="566" customFormat="1">
      <c r="T64017" s="41"/>
    </row>
    <row r="64018" spans="20:20" s="566" customFormat="1">
      <c r="T64018" s="41"/>
    </row>
    <row r="64019" spans="20:20" s="566" customFormat="1">
      <c r="T64019" s="41"/>
    </row>
    <row r="64020" spans="20:20" s="566" customFormat="1">
      <c r="T64020" s="41"/>
    </row>
    <row r="64021" spans="20:20" s="566" customFormat="1">
      <c r="T64021" s="41"/>
    </row>
    <row r="64022" spans="20:20" s="566" customFormat="1">
      <c r="T64022" s="41"/>
    </row>
    <row r="64023" spans="20:20" s="566" customFormat="1">
      <c r="T64023" s="41"/>
    </row>
    <row r="64024" spans="20:20" s="566" customFormat="1">
      <c r="T64024" s="41"/>
    </row>
    <row r="64025" spans="20:20" s="566" customFormat="1">
      <c r="T64025" s="41"/>
    </row>
    <row r="64026" spans="20:20" s="566" customFormat="1">
      <c r="T64026" s="41"/>
    </row>
    <row r="64027" spans="20:20" s="566" customFormat="1">
      <c r="T64027" s="41"/>
    </row>
    <row r="64028" spans="20:20" s="566" customFormat="1">
      <c r="T64028" s="41"/>
    </row>
    <row r="64029" spans="20:20" s="566" customFormat="1">
      <c r="T64029" s="41"/>
    </row>
    <row r="64030" spans="20:20" s="566" customFormat="1">
      <c r="T64030" s="41"/>
    </row>
    <row r="64031" spans="20:20" s="566" customFormat="1">
      <c r="T64031" s="41"/>
    </row>
    <row r="64032" spans="20:20" s="566" customFormat="1">
      <c r="T64032" s="41"/>
    </row>
    <row r="64033" spans="20:20" s="566" customFormat="1">
      <c r="T64033" s="41"/>
    </row>
    <row r="64034" spans="20:20" s="566" customFormat="1">
      <c r="T64034" s="41"/>
    </row>
    <row r="64035" spans="20:20" s="566" customFormat="1">
      <c r="T64035" s="41"/>
    </row>
    <row r="64036" spans="20:20" s="566" customFormat="1">
      <c r="T64036" s="41"/>
    </row>
    <row r="64037" spans="20:20" s="566" customFormat="1">
      <c r="T64037" s="41"/>
    </row>
    <row r="64038" spans="20:20" s="566" customFormat="1">
      <c r="T64038" s="41"/>
    </row>
    <row r="64039" spans="20:20" s="566" customFormat="1">
      <c r="T64039" s="41"/>
    </row>
    <row r="64040" spans="20:20" s="566" customFormat="1">
      <c r="T64040" s="41"/>
    </row>
    <row r="64041" spans="20:20" s="566" customFormat="1">
      <c r="T64041" s="41"/>
    </row>
    <row r="64042" spans="20:20" s="566" customFormat="1">
      <c r="T64042" s="41"/>
    </row>
    <row r="64043" spans="20:20" s="566" customFormat="1">
      <c r="T64043" s="41"/>
    </row>
    <row r="64044" spans="20:20" s="566" customFormat="1">
      <c r="T64044" s="41"/>
    </row>
    <row r="64045" spans="20:20" s="566" customFormat="1">
      <c r="T64045" s="41"/>
    </row>
    <row r="64046" spans="20:20" s="566" customFormat="1">
      <c r="T64046" s="41"/>
    </row>
    <row r="64047" spans="20:20" s="566" customFormat="1">
      <c r="T64047" s="41"/>
    </row>
    <row r="64048" spans="20:20" s="566" customFormat="1">
      <c r="T64048" s="41"/>
    </row>
    <row r="64049" spans="20:20" s="566" customFormat="1">
      <c r="T64049" s="41"/>
    </row>
    <row r="64050" spans="20:20" s="566" customFormat="1">
      <c r="T64050" s="41"/>
    </row>
    <row r="64051" spans="20:20" s="566" customFormat="1">
      <c r="T64051" s="41"/>
    </row>
    <row r="64052" spans="20:20" s="566" customFormat="1">
      <c r="T64052" s="41"/>
    </row>
    <row r="64053" spans="20:20" s="566" customFormat="1">
      <c r="T64053" s="41"/>
    </row>
    <row r="64054" spans="20:20" s="566" customFormat="1">
      <c r="T64054" s="41"/>
    </row>
    <row r="64055" spans="20:20" s="566" customFormat="1">
      <c r="T64055" s="41"/>
    </row>
    <row r="64056" spans="20:20" s="566" customFormat="1">
      <c r="T64056" s="41"/>
    </row>
    <row r="64057" spans="20:20" s="566" customFormat="1">
      <c r="T64057" s="41"/>
    </row>
    <row r="64058" spans="20:20" s="566" customFormat="1">
      <c r="T64058" s="41"/>
    </row>
    <row r="64059" spans="20:20" s="566" customFormat="1">
      <c r="T64059" s="41"/>
    </row>
    <row r="64060" spans="20:20" s="566" customFormat="1">
      <c r="T64060" s="41"/>
    </row>
    <row r="64061" spans="20:20" s="566" customFormat="1">
      <c r="T64061" s="41"/>
    </row>
    <row r="64062" spans="20:20" s="566" customFormat="1">
      <c r="T64062" s="41"/>
    </row>
    <row r="64063" spans="20:20" s="566" customFormat="1">
      <c r="T64063" s="41"/>
    </row>
    <row r="64064" spans="20:20" s="566" customFormat="1">
      <c r="T64064" s="41"/>
    </row>
    <row r="64065" spans="20:20" s="566" customFormat="1">
      <c r="T64065" s="41"/>
    </row>
    <row r="64066" spans="20:20" s="566" customFormat="1">
      <c r="T64066" s="41"/>
    </row>
    <row r="64067" spans="20:20" s="566" customFormat="1">
      <c r="T64067" s="41"/>
    </row>
    <row r="64068" spans="20:20" s="566" customFormat="1">
      <c r="T64068" s="41"/>
    </row>
    <row r="64069" spans="20:20" s="566" customFormat="1">
      <c r="T64069" s="41"/>
    </row>
    <row r="64070" spans="20:20" s="566" customFormat="1">
      <c r="T64070" s="41"/>
    </row>
    <row r="64071" spans="20:20" s="566" customFormat="1">
      <c r="T64071" s="41"/>
    </row>
    <row r="64072" spans="20:20" s="566" customFormat="1">
      <c r="T64072" s="41"/>
    </row>
    <row r="64073" spans="20:20" s="566" customFormat="1">
      <c r="T64073" s="41"/>
    </row>
    <row r="64074" spans="20:20" s="566" customFormat="1">
      <c r="T64074" s="41"/>
    </row>
    <row r="64075" spans="20:20" s="566" customFormat="1">
      <c r="T64075" s="41"/>
    </row>
    <row r="64076" spans="20:20" s="566" customFormat="1">
      <c r="T64076" s="41"/>
    </row>
    <row r="64077" spans="20:20" s="566" customFormat="1">
      <c r="T64077" s="41"/>
    </row>
    <row r="64078" spans="20:20" s="566" customFormat="1">
      <c r="T64078" s="41"/>
    </row>
    <row r="64079" spans="20:20" s="566" customFormat="1">
      <c r="T64079" s="41"/>
    </row>
    <row r="64080" spans="20:20" s="566" customFormat="1">
      <c r="T64080" s="41"/>
    </row>
    <row r="64081" spans="20:20" s="566" customFormat="1">
      <c r="T64081" s="41"/>
    </row>
    <row r="64082" spans="20:20" s="566" customFormat="1">
      <c r="T64082" s="41"/>
    </row>
    <row r="64083" spans="20:20" s="566" customFormat="1">
      <c r="T64083" s="41"/>
    </row>
    <row r="64084" spans="20:20" s="566" customFormat="1">
      <c r="T64084" s="41"/>
    </row>
    <row r="64085" spans="20:20" s="566" customFormat="1">
      <c r="T64085" s="41"/>
    </row>
    <row r="64086" spans="20:20" s="566" customFormat="1">
      <c r="T64086" s="41"/>
    </row>
    <row r="64087" spans="20:20" s="566" customFormat="1">
      <c r="T64087" s="41"/>
    </row>
    <row r="64088" spans="20:20" s="566" customFormat="1">
      <c r="T64088" s="41"/>
    </row>
    <row r="64089" spans="20:20" s="566" customFormat="1">
      <c r="T64089" s="41"/>
    </row>
    <row r="64090" spans="20:20" s="566" customFormat="1">
      <c r="T64090" s="41"/>
    </row>
    <row r="64091" spans="20:20" s="566" customFormat="1">
      <c r="T64091" s="41"/>
    </row>
    <row r="64092" spans="20:20" s="566" customFormat="1">
      <c r="T64092" s="41"/>
    </row>
    <row r="64093" spans="20:20" s="566" customFormat="1">
      <c r="T64093" s="41"/>
    </row>
    <row r="64094" spans="20:20" s="566" customFormat="1">
      <c r="T64094" s="41"/>
    </row>
    <row r="64095" spans="20:20" s="566" customFormat="1">
      <c r="T64095" s="41"/>
    </row>
    <row r="64096" spans="20:20" s="566" customFormat="1">
      <c r="T64096" s="41"/>
    </row>
    <row r="64097" spans="20:20" s="566" customFormat="1">
      <c r="T64097" s="41"/>
    </row>
    <row r="64098" spans="20:20" s="566" customFormat="1">
      <c r="T64098" s="41"/>
    </row>
    <row r="64099" spans="20:20" s="566" customFormat="1">
      <c r="T64099" s="41"/>
    </row>
    <row r="64100" spans="20:20" s="566" customFormat="1">
      <c r="T64100" s="41"/>
    </row>
    <row r="64101" spans="20:20" s="566" customFormat="1">
      <c r="T64101" s="41"/>
    </row>
    <row r="64102" spans="20:20" s="566" customFormat="1">
      <c r="T64102" s="41"/>
    </row>
    <row r="64103" spans="20:20" s="566" customFormat="1">
      <c r="T64103" s="41"/>
    </row>
    <row r="64104" spans="20:20" s="566" customFormat="1">
      <c r="T64104" s="41"/>
    </row>
    <row r="64105" spans="20:20" s="566" customFormat="1">
      <c r="T64105" s="41"/>
    </row>
    <row r="64106" spans="20:20" s="566" customFormat="1">
      <c r="T64106" s="41"/>
    </row>
    <row r="64107" spans="20:20" s="566" customFormat="1">
      <c r="T64107" s="41"/>
    </row>
    <row r="64108" spans="20:20" s="566" customFormat="1">
      <c r="T64108" s="41"/>
    </row>
    <row r="64109" spans="20:20" s="566" customFormat="1">
      <c r="T64109" s="41"/>
    </row>
    <row r="64110" spans="20:20" s="566" customFormat="1">
      <c r="T64110" s="41"/>
    </row>
    <row r="64111" spans="20:20" s="566" customFormat="1">
      <c r="T64111" s="41"/>
    </row>
    <row r="64112" spans="20:20" s="566" customFormat="1">
      <c r="T64112" s="41"/>
    </row>
    <row r="64113" spans="20:20" s="566" customFormat="1">
      <c r="T64113" s="41"/>
    </row>
    <row r="64114" spans="20:20" s="566" customFormat="1">
      <c r="T64114" s="41"/>
    </row>
    <row r="64115" spans="20:20" s="566" customFormat="1">
      <c r="T64115" s="41"/>
    </row>
    <row r="64116" spans="20:20" s="566" customFormat="1">
      <c r="T64116" s="41"/>
    </row>
    <row r="64117" spans="20:20" s="566" customFormat="1">
      <c r="T64117" s="41"/>
    </row>
    <row r="64118" spans="20:20" s="566" customFormat="1">
      <c r="T64118" s="41"/>
    </row>
    <row r="64119" spans="20:20" s="566" customFormat="1">
      <c r="T64119" s="41"/>
    </row>
    <row r="64120" spans="20:20" s="566" customFormat="1">
      <c r="T64120" s="41"/>
    </row>
    <row r="64121" spans="20:20" s="566" customFormat="1">
      <c r="T64121" s="41"/>
    </row>
    <row r="64122" spans="20:20" s="566" customFormat="1">
      <c r="T64122" s="41"/>
    </row>
    <row r="64123" spans="20:20" s="566" customFormat="1">
      <c r="T64123" s="41"/>
    </row>
    <row r="64124" spans="20:20" s="566" customFormat="1">
      <c r="T64124" s="41"/>
    </row>
    <row r="64125" spans="20:20" s="566" customFormat="1">
      <c r="T64125" s="41"/>
    </row>
    <row r="64126" spans="20:20" s="566" customFormat="1">
      <c r="T64126" s="41"/>
    </row>
    <row r="64127" spans="20:20" s="566" customFormat="1">
      <c r="T64127" s="41"/>
    </row>
    <row r="64128" spans="20:20" s="566" customFormat="1">
      <c r="T64128" s="41"/>
    </row>
    <row r="64129" spans="20:20" s="566" customFormat="1">
      <c r="T64129" s="41"/>
    </row>
    <row r="64130" spans="20:20" s="566" customFormat="1">
      <c r="T64130" s="41"/>
    </row>
    <row r="64131" spans="20:20" s="566" customFormat="1">
      <c r="T64131" s="41"/>
    </row>
    <row r="64132" spans="20:20" s="566" customFormat="1">
      <c r="T64132" s="41"/>
    </row>
    <row r="64133" spans="20:20" s="566" customFormat="1">
      <c r="T64133" s="41"/>
    </row>
    <row r="64134" spans="20:20" s="566" customFormat="1">
      <c r="T64134" s="41"/>
    </row>
    <row r="64135" spans="20:20" s="566" customFormat="1">
      <c r="T64135" s="41"/>
    </row>
    <row r="64136" spans="20:20" s="566" customFormat="1">
      <c r="T64136" s="41"/>
    </row>
    <row r="64137" spans="20:20" s="566" customFormat="1">
      <c r="T64137" s="41"/>
    </row>
    <row r="64138" spans="20:20" s="566" customFormat="1">
      <c r="T64138" s="41"/>
    </row>
    <row r="64139" spans="20:20" s="566" customFormat="1">
      <c r="T64139" s="41"/>
    </row>
    <row r="64140" spans="20:20" s="566" customFormat="1">
      <c r="T64140" s="41"/>
    </row>
    <row r="64141" spans="20:20" s="566" customFormat="1">
      <c r="T64141" s="41"/>
    </row>
    <row r="64142" spans="20:20" s="566" customFormat="1">
      <c r="T64142" s="41"/>
    </row>
    <row r="64143" spans="20:20" s="566" customFormat="1">
      <c r="T64143" s="41"/>
    </row>
    <row r="64144" spans="20:20" s="566" customFormat="1">
      <c r="T64144" s="41"/>
    </row>
    <row r="64145" spans="20:20" s="566" customFormat="1">
      <c r="T64145" s="41"/>
    </row>
    <row r="64146" spans="20:20" s="566" customFormat="1">
      <c r="T64146" s="41"/>
    </row>
    <row r="64147" spans="20:20" s="566" customFormat="1">
      <c r="T64147" s="41"/>
    </row>
    <row r="64148" spans="20:20" s="566" customFormat="1">
      <c r="T64148" s="41"/>
    </row>
    <row r="64149" spans="20:20" s="566" customFormat="1">
      <c r="T64149" s="41"/>
    </row>
    <row r="64150" spans="20:20" s="566" customFormat="1">
      <c r="T64150" s="41"/>
    </row>
    <row r="64151" spans="20:20" s="566" customFormat="1">
      <c r="T64151" s="41"/>
    </row>
    <row r="64152" spans="20:20" s="566" customFormat="1">
      <c r="T64152" s="41"/>
    </row>
    <row r="64153" spans="20:20" s="566" customFormat="1">
      <c r="T64153" s="41"/>
    </row>
    <row r="64154" spans="20:20" s="566" customFormat="1">
      <c r="T64154" s="41"/>
    </row>
    <row r="64155" spans="20:20" s="566" customFormat="1">
      <c r="T64155" s="41"/>
    </row>
    <row r="64156" spans="20:20" s="566" customFormat="1">
      <c r="T64156" s="41"/>
    </row>
    <row r="64157" spans="20:20" s="566" customFormat="1">
      <c r="T64157" s="41"/>
    </row>
    <row r="64158" spans="20:20" s="566" customFormat="1">
      <c r="T64158" s="41"/>
    </row>
    <row r="64159" spans="20:20" s="566" customFormat="1">
      <c r="T64159" s="41"/>
    </row>
    <row r="64160" spans="20:20" s="566" customFormat="1">
      <c r="T64160" s="41"/>
    </row>
    <row r="64161" spans="20:20" s="566" customFormat="1">
      <c r="T64161" s="41"/>
    </row>
    <row r="64162" spans="20:20" s="566" customFormat="1">
      <c r="T64162" s="41"/>
    </row>
    <row r="64163" spans="20:20" s="566" customFormat="1">
      <c r="T64163" s="41"/>
    </row>
    <row r="64164" spans="20:20" s="566" customFormat="1">
      <c r="T64164" s="41"/>
    </row>
    <row r="64165" spans="20:20" s="566" customFormat="1">
      <c r="T64165" s="41"/>
    </row>
    <row r="64166" spans="20:20" s="566" customFormat="1">
      <c r="T64166" s="41"/>
    </row>
    <row r="64167" spans="20:20" s="566" customFormat="1">
      <c r="T64167" s="41"/>
    </row>
    <row r="64168" spans="20:20" s="566" customFormat="1">
      <c r="T64168" s="41"/>
    </row>
    <row r="64169" spans="20:20" s="566" customFormat="1">
      <c r="T64169" s="41"/>
    </row>
    <row r="64170" spans="20:20" s="566" customFormat="1">
      <c r="T64170" s="41"/>
    </row>
    <row r="64171" spans="20:20" s="566" customFormat="1">
      <c r="T64171" s="41"/>
    </row>
    <row r="64172" spans="20:20" s="566" customFormat="1">
      <c r="T64172" s="41"/>
    </row>
    <row r="64173" spans="20:20" s="566" customFormat="1">
      <c r="T64173" s="41"/>
    </row>
    <row r="64174" spans="20:20" s="566" customFormat="1">
      <c r="T64174" s="41"/>
    </row>
    <row r="64175" spans="20:20" s="566" customFormat="1">
      <c r="T64175" s="41"/>
    </row>
    <row r="64176" spans="20:20" s="566" customFormat="1">
      <c r="T64176" s="41"/>
    </row>
    <row r="64177" spans="20:20" s="566" customFormat="1">
      <c r="T64177" s="41"/>
    </row>
    <row r="64178" spans="20:20" s="566" customFormat="1">
      <c r="T64178" s="41"/>
    </row>
    <row r="64179" spans="20:20" s="566" customFormat="1">
      <c r="T64179" s="41"/>
    </row>
    <row r="64180" spans="20:20" s="566" customFormat="1">
      <c r="T64180" s="41"/>
    </row>
    <row r="64181" spans="20:20" s="566" customFormat="1">
      <c r="T64181" s="41"/>
    </row>
    <row r="64182" spans="20:20" s="566" customFormat="1">
      <c r="T64182" s="41"/>
    </row>
    <row r="64183" spans="20:20" s="566" customFormat="1">
      <c r="T64183" s="41"/>
    </row>
    <row r="64184" spans="20:20" s="566" customFormat="1">
      <c r="T64184" s="41"/>
    </row>
    <row r="64185" spans="20:20" s="566" customFormat="1">
      <c r="T64185" s="41"/>
    </row>
    <row r="64186" spans="20:20" s="566" customFormat="1">
      <c r="T64186" s="41"/>
    </row>
    <row r="64187" spans="20:20" s="566" customFormat="1">
      <c r="T64187" s="41"/>
    </row>
    <row r="64188" spans="20:20" s="566" customFormat="1">
      <c r="T64188" s="41"/>
    </row>
    <row r="64189" spans="20:20" s="566" customFormat="1">
      <c r="T64189" s="41"/>
    </row>
    <row r="64190" spans="20:20" s="566" customFormat="1">
      <c r="T64190" s="41"/>
    </row>
    <row r="64191" spans="20:20" s="566" customFormat="1">
      <c r="T64191" s="41"/>
    </row>
    <row r="64192" spans="20:20" s="566" customFormat="1">
      <c r="T64192" s="41"/>
    </row>
    <row r="64193" spans="20:20" s="566" customFormat="1">
      <c r="T64193" s="41"/>
    </row>
    <row r="64194" spans="20:20" s="566" customFormat="1">
      <c r="T64194" s="41"/>
    </row>
    <row r="64195" spans="20:20" s="566" customFormat="1">
      <c r="T64195" s="41"/>
    </row>
    <row r="64196" spans="20:20" s="566" customFormat="1">
      <c r="T64196" s="41"/>
    </row>
    <row r="64197" spans="20:20" s="566" customFormat="1">
      <c r="T64197" s="41"/>
    </row>
    <row r="64198" spans="20:20" s="566" customFormat="1">
      <c r="T64198" s="41"/>
    </row>
    <row r="64199" spans="20:20" s="566" customFormat="1">
      <c r="T64199" s="41"/>
    </row>
    <row r="64200" spans="20:20" s="566" customFormat="1">
      <c r="T64200" s="41"/>
    </row>
    <row r="64201" spans="20:20" s="566" customFormat="1">
      <c r="T64201" s="41"/>
    </row>
    <row r="64202" spans="20:20" s="566" customFormat="1">
      <c r="T64202" s="41"/>
    </row>
    <row r="64203" spans="20:20" s="566" customFormat="1">
      <c r="T64203" s="41"/>
    </row>
    <row r="64204" spans="20:20" s="566" customFormat="1">
      <c r="T64204" s="41"/>
    </row>
    <row r="64205" spans="20:20" s="566" customFormat="1">
      <c r="T64205" s="41"/>
    </row>
    <row r="64206" spans="20:20" s="566" customFormat="1">
      <c r="T64206" s="41"/>
    </row>
    <row r="64207" spans="20:20" s="566" customFormat="1">
      <c r="T64207" s="41"/>
    </row>
    <row r="64208" spans="20:20" s="566" customFormat="1">
      <c r="T64208" s="41"/>
    </row>
    <row r="64209" spans="20:20" s="566" customFormat="1">
      <c r="T64209" s="41"/>
    </row>
    <row r="64210" spans="20:20" s="566" customFormat="1">
      <c r="T64210" s="41"/>
    </row>
    <row r="64211" spans="20:20" s="566" customFormat="1">
      <c r="T64211" s="41"/>
    </row>
    <row r="64212" spans="20:20" s="566" customFormat="1">
      <c r="T64212" s="41"/>
    </row>
    <row r="64213" spans="20:20" s="566" customFormat="1">
      <c r="T64213" s="41"/>
    </row>
    <row r="64214" spans="20:20" s="566" customFormat="1">
      <c r="T64214" s="41"/>
    </row>
    <row r="64215" spans="20:20" s="566" customFormat="1">
      <c r="T64215" s="41"/>
    </row>
    <row r="64216" spans="20:20" s="566" customFormat="1">
      <c r="T64216" s="41"/>
    </row>
    <row r="64217" spans="20:20" s="566" customFormat="1">
      <c r="T64217" s="41"/>
    </row>
    <row r="64218" spans="20:20" s="566" customFormat="1">
      <c r="T64218" s="41"/>
    </row>
    <row r="64219" spans="20:20" s="566" customFormat="1">
      <c r="T64219" s="41"/>
    </row>
    <row r="64220" spans="20:20" s="566" customFormat="1">
      <c r="T64220" s="41"/>
    </row>
    <row r="64221" spans="20:20" s="566" customFormat="1">
      <c r="T64221" s="41"/>
    </row>
    <row r="64222" spans="20:20" s="566" customFormat="1">
      <c r="T64222" s="41"/>
    </row>
    <row r="64223" spans="20:20" s="566" customFormat="1">
      <c r="T64223" s="41"/>
    </row>
    <row r="64224" spans="20:20" s="566" customFormat="1">
      <c r="T64224" s="41"/>
    </row>
    <row r="64225" spans="20:20" s="566" customFormat="1">
      <c r="T64225" s="41"/>
    </row>
    <row r="64226" spans="20:20" s="566" customFormat="1">
      <c r="T64226" s="41"/>
    </row>
    <row r="64227" spans="20:20" s="566" customFormat="1">
      <c r="T64227" s="41"/>
    </row>
    <row r="64228" spans="20:20" s="566" customFormat="1">
      <c r="T64228" s="41"/>
    </row>
    <row r="64229" spans="20:20" s="566" customFormat="1">
      <c r="T64229" s="41"/>
    </row>
    <row r="64230" spans="20:20" s="566" customFormat="1">
      <c r="T64230" s="41"/>
    </row>
    <row r="64231" spans="20:20" s="566" customFormat="1">
      <c r="T64231" s="41"/>
    </row>
    <row r="64232" spans="20:20" s="566" customFormat="1">
      <c r="T64232" s="41"/>
    </row>
    <row r="64233" spans="20:20" s="566" customFormat="1">
      <c r="T64233" s="41"/>
    </row>
    <row r="64234" spans="20:20" s="566" customFormat="1">
      <c r="T64234" s="41"/>
    </row>
    <row r="64235" spans="20:20" s="566" customFormat="1">
      <c r="T64235" s="41"/>
    </row>
    <row r="64236" spans="20:20" s="566" customFormat="1">
      <c r="T64236" s="41"/>
    </row>
    <row r="64237" spans="20:20" s="566" customFormat="1">
      <c r="T64237" s="41"/>
    </row>
    <row r="64238" spans="20:20" s="566" customFormat="1">
      <c r="T64238" s="41"/>
    </row>
    <row r="64239" spans="20:20" s="566" customFormat="1">
      <c r="T64239" s="41"/>
    </row>
    <row r="64240" spans="20:20" s="566" customFormat="1">
      <c r="T64240" s="41"/>
    </row>
    <row r="64241" spans="20:20" s="566" customFormat="1">
      <c r="T64241" s="41"/>
    </row>
    <row r="64242" spans="20:20" s="566" customFormat="1">
      <c r="T64242" s="41"/>
    </row>
    <row r="64243" spans="20:20" s="566" customFormat="1">
      <c r="T64243" s="41"/>
    </row>
    <row r="64244" spans="20:20" s="566" customFormat="1">
      <c r="T64244" s="41"/>
    </row>
    <row r="64245" spans="20:20" s="566" customFormat="1">
      <c r="T64245" s="41"/>
    </row>
    <row r="64246" spans="20:20" s="566" customFormat="1">
      <c r="T64246" s="41"/>
    </row>
    <row r="64247" spans="20:20" s="566" customFormat="1">
      <c r="T64247" s="41"/>
    </row>
    <row r="64248" spans="20:20" s="566" customFormat="1">
      <c r="T64248" s="41"/>
    </row>
    <row r="64249" spans="20:20" s="566" customFormat="1">
      <c r="T64249" s="41"/>
    </row>
    <row r="64250" spans="20:20" s="566" customFormat="1">
      <c r="T64250" s="41"/>
    </row>
    <row r="64251" spans="20:20" s="566" customFormat="1">
      <c r="T64251" s="41"/>
    </row>
    <row r="64252" spans="20:20" s="566" customFormat="1">
      <c r="T64252" s="41"/>
    </row>
    <row r="64253" spans="20:20" s="566" customFormat="1">
      <c r="T64253" s="41"/>
    </row>
    <row r="64254" spans="20:20" s="566" customFormat="1">
      <c r="T64254" s="41"/>
    </row>
    <row r="64255" spans="20:20" s="566" customFormat="1">
      <c r="T64255" s="41"/>
    </row>
    <row r="64256" spans="20:20" s="566" customFormat="1">
      <c r="T64256" s="41"/>
    </row>
    <row r="64257" spans="20:20" s="566" customFormat="1">
      <c r="T64257" s="41"/>
    </row>
    <row r="64258" spans="20:20" s="566" customFormat="1">
      <c r="T64258" s="41"/>
    </row>
    <row r="64259" spans="20:20" s="566" customFormat="1">
      <c r="T64259" s="41"/>
    </row>
    <row r="64260" spans="20:20" s="566" customFormat="1">
      <c r="T64260" s="41"/>
    </row>
    <row r="64261" spans="20:20" s="566" customFormat="1">
      <c r="T64261" s="41"/>
    </row>
    <row r="64262" spans="20:20" s="566" customFormat="1">
      <c r="T64262" s="41"/>
    </row>
    <row r="64263" spans="20:20" s="566" customFormat="1">
      <c r="T64263" s="41"/>
    </row>
    <row r="64264" spans="20:20" s="566" customFormat="1">
      <c r="T64264" s="41"/>
    </row>
    <row r="64265" spans="20:20" s="566" customFormat="1">
      <c r="T64265" s="41"/>
    </row>
    <row r="64266" spans="20:20" s="566" customFormat="1">
      <c r="T64266" s="41"/>
    </row>
    <row r="64267" spans="20:20" s="566" customFormat="1">
      <c r="T64267" s="41"/>
    </row>
    <row r="64268" spans="20:20" s="566" customFormat="1">
      <c r="T64268" s="41"/>
    </row>
    <row r="64269" spans="20:20" s="566" customFormat="1">
      <c r="T64269" s="41"/>
    </row>
    <row r="64270" spans="20:20" s="566" customFormat="1">
      <c r="T64270" s="41"/>
    </row>
    <row r="64271" spans="20:20" s="566" customFormat="1">
      <c r="T64271" s="41"/>
    </row>
    <row r="64272" spans="20:20" s="566" customFormat="1">
      <c r="T64272" s="41"/>
    </row>
    <row r="64273" spans="20:20" s="566" customFormat="1">
      <c r="T64273" s="41"/>
    </row>
    <row r="64274" spans="20:20" s="566" customFormat="1">
      <c r="T64274" s="41"/>
    </row>
    <row r="64275" spans="20:20" s="566" customFormat="1">
      <c r="T64275" s="41"/>
    </row>
    <row r="64276" spans="20:20" s="566" customFormat="1">
      <c r="T64276" s="41"/>
    </row>
    <row r="64277" spans="20:20" s="566" customFormat="1">
      <c r="T64277" s="41"/>
    </row>
    <row r="64278" spans="20:20" s="566" customFormat="1">
      <c r="T64278" s="41"/>
    </row>
    <row r="64279" spans="20:20" s="566" customFormat="1">
      <c r="T64279" s="41"/>
    </row>
    <row r="64280" spans="20:20" s="566" customFormat="1">
      <c r="T64280" s="41"/>
    </row>
    <row r="64281" spans="20:20" s="566" customFormat="1">
      <c r="T64281" s="41"/>
    </row>
    <row r="64282" spans="20:20" s="566" customFormat="1">
      <c r="T64282" s="41"/>
    </row>
    <row r="64283" spans="20:20" s="566" customFormat="1">
      <c r="T64283" s="41"/>
    </row>
    <row r="64284" spans="20:20" s="566" customFormat="1">
      <c r="T64284" s="41"/>
    </row>
    <row r="64285" spans="20:20" s="566" customFormat="1">
      <c r="T64285" s="41"/>
    </row>
    <row r="64286" spans="20:20" s="566" customFormat="1">
      <c r="T64286" s="41"/>
    </row>
    <row r="64287" spans="20:20" s="566" customFormat="1">
      <c r="T64287" s="41"/>
    </row>
    <row r="64288" spans="20:20" s="566" customFormat="1">
      <c r="T64288" s="41"/>
    </row>
    <row r="64289" spans="20:20" s="566" customFormat="1">
      <c r="T64289" s="41"/>
    </row>
    <row r="64290" spans="20:20" s="566" customFormat="1">
      <c r="T64290" s="41"/>
    </row>
    <row r="64291" spans="20:20" s="566" customFormat="1">
      <c r="T64291" s="41"/>
    </row>
    <row r="64292" spans="20:20" s="566" customFormat="1">
      <c r="T64292" s="41"/>
    </row>
    <row r="64293" spans="20:20" s="566" customFormat="1">
      <c r="T64293" s="41"/>
    </row>
    <row r="64294" spans="20:20" s="566" customFormat="1">
      <c r="T64294" s="41"/>
    </row>
    <row r="64295" spans="20:20" s="566" customFormat="1">
      <c r="T64295" s="41"/>
    </row>
    <row r="64296" spans="20:20" s="566" customFormat="1">
      <c r="T64296" s="41"/>
    </row>
    <row r="64297" spans="20:20" s="566" customFormat="1">
      <c r="T64297" s="41"/>
    </row>
    <row r="64298" spans="20:20" s="566" customFormat="1">
      <c r="T64298" s="41"/>
    </row>
    <row r="64299" spans="20:20" s="566" customFormat="1">
      <c r="T64299" s="41"/>
    </row>
    <row r="64300" spans="20:20" s="566" customFormat="1">
      <c r="T64300" s="41"/>
    </row>
    <row r="64301" spans="20:20" s="566" customFormat="1">
      <c r="T64301" s="41"/>
    </row>
    <row r="64302" spans="20:20" s="566" customFormat="1">
      <c r="T64302" s="41"/>
    </row>
    <row r="64303" spans="20:20" s="566" customFormat="1">
      <c r="T64303" s="41"/>
    </row>
    <row r="64304" spans="20:20" s="566" customFormat="1">
      <c r="T64304" s="41"/>
    </row>
    <row r="64305" spans="20:20" s="566" customFormat="1">
      <c r="T64305" s="41"/>
    </row>
    <row r="64306" spans="20:20" s="566" customFormat="1">
      <c r="T64306" s="41"/>
    </row>
    <row r="64307" spans="20:20" s="566" customFormat="1">
      <c r="T64307" s="41"/>
    </row>
    <row r="64308" spans="20:20" s="566" customFormat="1">
      <c r="T64308" s="41"/>
    </row>
    <row r="64309" spans="20:20" s="566" customFormat="1">
      <c r="T64309" s="41"/>
    </row>
    <row r="64310" spans="20:20" s="566" customFormat="1">
      <c r="T64310" s="41"/>
    </row>
    <row r="64311" spans="20:20" s="566" customFormat="1">
      <c r="T64311" s="41"/>
    </row>
    <row r="64312" spans="20:20" s="566" customFormat="1">
      <c r="T64312" s="41"/>
    </row>
    <row r="64313" spans="20:20" s="566" customFormat="1">
      <c r="T64313" s="41"/>
    </row>
    <row r="64314" spans="20:20" s="566" customFormat="1">
      <c r="T64314" s="41"/>
    </row>
    <row r="64315" spans="20:20" s="566" customFormat="1">
      <c r="T64315" s="41"/>
    </row>
    <row r="64316" spans="20:20" s="566" customFormat="1">
      <c r="T64316" s="41"/>
    </row>
    <row r="64317" spans="20:20" s="566" customFormat="1">
      <c r="T64317" s="41"/>
    </row>
    <row r="64318" spans="20:20" s="566" customFormat="1">
      <c r="T64318" s="41"/>
    </row>
    <row r="64319" spans="20:20" s="566" customFormat="1">
      <c r="T64319" s="41"/>
    </row>
    <row r="64320" spans="20:20" s="566" customFormat="1">
      <c r="T64320" s="41"/>
    </row>
    <row r="64321" spans="20:20" s="566" customFormat="1">
      <c r="T64321" s="41"/>
    </row>
    <row r="64322" spans="20:20" s="566" customFormat="1">
      <c r="T64322" s="41"/>
    </row>
    <row r="64323" spans="20:20" s="566" customFormat="1">
      <c r="T64323" s="41"/>
    </row>
    <row r="64324" spans="20:20" s="566" customFormat="1">
      <c r="T64324" s="41"/>
    </row>
    <row r="64325" spans="20:20" s="566" customFormat="1">
      <c r="T64325" s="41"/>
    </row>
    <row r="64326" spans="20:20" s="566" customFormat="1">
      <c r="T64326" s="41"/>
    </row>
    <row r="64327" spans="20:20" s="566" customFormat="1">
      <c r="T64327" s="41"/>
    </row>
    <row r="64328" spans="20:20" s="566" customFormat="1">
      <c r="T64328" s="41"/>
    </row>
    <row r="64329" spans="20:20" s="566" customFormat="1">
      <c r="T64329" s="41"/>
    </row>
    <row r="64330" spans="20:20" s="566" customFormat="1">
      <c r="T64330" s="41"/>
    </row>
    <row r="64331" spans="20:20" s="566" customFormat="1">
      <c r="T64331" s="41"/>
    </row>
    <row r="64332" spans="20:20" s="566" customFormat="1">
      <c r="T64332" s="41"/>
    </row>
    <row r="64333" spans="20:20" s="566" customFormat="1">
      <c r="T64333" s="41"/>
    </row>
    <row r="64334" spans="20:20" s="566" customFormat="1">
      <c r="T64334" s="41"/>
    </row>
    <row r="64335" spans="20:20" s="566" customFormat="1">
      <c r="T64335" s="41"/>
    </row>
    <row r="64336" spans="20:20" s="566" customFormat="1">
      <c r="T64336" s="41"/>
    </row>
    <row r="64337" spans="20:20" s="566" customFormat="1">
      <c r="T64337" s="41"/>
    </row>
    <row r="64338" spans="20:20" s="566" customFormat="1">
      <c r="T64338" s="41"/>
    </row>
    <row r="64339" spans="20:20" s="566" customFormat="1">
      <c r="T64339" s="41"/>
    </row>
    <row r="64340" spans="20:20" s="566" customFormat="1">
      <c r="T64340" s="41"/>
    </row>
    <row r="64341" spans="20:20" s="566" customFormat="1">
      <c r="T64341" s="41"/>
    </row>
    <row r="64342" spans="20:20" s="566" customFormat="1">
      <c r="T64342" s="41"/>
    </row>
    <row r="64343" spans="20:20" s="566" customFormat="1">
      <c r="T64343" s="41"/>
    </row>
    <row r="64344" spans="20:20" s="566" customFormat="1">
      <c r="T64344" s="41"/>
    </row>
    <row r="64345" spans="20:20" s="566" customFormat="1">
      <c r="T64345" s="41"/>
    </row>
    <row r="64346" spans="20:20" s="566" customFormat="1">
      <c r="T64346" s="41"/>
    </row>
    <row r="64347" spans="20:20" s="566" customFormat="1">
      <c r="T64347" s="41"/>
    </row>
    <row r="64348" spans="20:20" s="566" customFormat="1">
      <c r="T64348" s="41"/>
    </row>
    <row r="64349" spans="20:20" s="566" customFormat="1">
      <c r="T64349" s="41"/>
    </row>
    <row r="64350" spans="20:20" s="566" customFormat="1">
      <c r="T64350" s="41"/>
    </row>
    <row r="64351" spans="20:20" s="566" customFormat="1">
      <c r="T64351" s="41"/>
    </row>
    <row r="64352" spans="20:20" s="566" customFormat="1">
      <c r="T64352" s="41"/>
    </row>
    <row r="64353" spans="20:20" s="566" customFormat="1">
      <c r="T64353" s="41"/>
    </row>
    <row r="64354" spans="20:20" s="566" customFormat="1">
      <c r="T64354" s="41"/>
    </row>
    <row r="64355" spans="20:20" s="566" customFormat="1">
      <c r="T64355" s="41"/>
    </row>
    <row r="64356" spans="20:20" s="566" customFormat="1">
      <c r="T64356" s="41"/>
    </row>
    <row r="64357" spans="20:20" s="566" customFormat="1">
      <c r="T64357" s="41"/>
    </row>
    <row r="64358" spans="20:20" s="566" customFormat="1">
      <c r="T64358" s="41"/>
    </row>
    <row r="64359" spans="20:20" s="566" customFormat="1">
      <c r="T64359" s="41"/>
    </row>
    <row r="64360" spans="20:20" s="566" customFormat="1">
      <c r="T64360" s="41"/>
    </row>
    <row r="64361" spans="20:20" s="566" customFormat="1">
      <c r="T64361" s="41"/>
    </row>
    <row r="64362" spans="20:20" s="566" customFormat="1">
      <c r="T64362" s="41"/>
    </row>
    <row r="64363" spans="20:20" s="566" customFormat="1">
      <c r="T64363" s="41"/>
    </row>
    <row r="64364" spans="20:20" s="566" customFormat="1">
      <c r="T64364" s="41"/>
    </row>
    <row r="64365" spans="20:20" s="566" customFormat="1">
      <c r="T64365" s="41"/>
    </row>
    <row r="64366" spans="20:20" s="566" customFormat="1">
      <c r="T64366" s="41"/>
    </row>
    <row r="64367" spans="20:20" s="566" customFormat="1">
      <c r="T64367" s="41"/>
    </row>
    <row r="64368" spans="20:20" s="566" customFormat="1">
      <c r="T64368" s="41"/>
    </row>
    <row r="64369" spans="20:20" s="566" customFormat="1">
      <c r="T64369" s="41"/>
    </row>
    <row r="64370" spans="20:20" s="566" customFormat="1">
      <c r="T64370" s="41"/>
    </row>
    <row r="64371" spans="20:20" s="566" customFormat="1">
      <c r="T64371" s="41"/>
    </row>
    <row r="64372" spans="20:20" s="566" customFormat="1">
      <c r="T64372" s="41"/>
    </row>
    <row r="64373" spans="20:20" s="566" customFormat="1">
      <c r="T64373" s="41"/>
    </row>
    <row r="64374" spans="20:20" s="566" customFormat="1">
      <c r="T64374" s="41"/>
    </row>
    <row r="64375" spans="20:20" s="566" customFormat="1">
      <c r="T64375" s="41"/>
    </row>
    <row r="64376" spans="20:20" s="566" customFormat="1">
      <c r="T64376" s="41"/>
    </row>
    <row r="64377" spans="20:20" s="566" customFormat="1">
      <c r="T64377" s="41"/>
    </row>
    <row r="64378" spans="20:20" s="566" customFormat="1">
      <c r="T64378" s="41"/>
    </row>
    <row r="64379" spans="20:20" s="566" customFormat="1">
      <c r="T64379" s="41"/>
    </row>
    <row r="64380" spans="20:20" s="566" customFormat="1">
      <c r="T64380" s="41"/>
    </row>
    <row r="64381" spans="20:20" s="566" customFormat="1">
      <c r="T64381" s="41"/>
    </row>
    <row r="64382" spans="20:20" s="566" customFormat="1">
      <c r="T64382" s="41"/>
    </row>
    <row r="64383" spans="20:20" s="566" customFormat="1">
      <c r="T64383" s="41"/>
    </row>
    <row r="64384" spans="20:20" s="566" customFormat="1">
      <c r="T64384" s="41"/>
    </row>
    <row r="64385" spans="20:20" s="566" customFormat="1">
      <c r="T64385" s="41"/>
    </row>
    <row r="64386" spans="20:20" s="566" customFormat="1">
      <c r="T64386" s="41"/>
    </row>
    <row r="64387" spans="20:20" s="566" customFormat="1">
      <c r="T64387" s="41"/>
    </row>
    <row r="64388" spans="20:20" s="566" customFormat="1">
      <c r="T64388" s="41"/>
    </row>
    <row r="64389" spans="20:20" s="566" customFormat="1">
      <c r="T64389" s="41"/>
    </row>
    <row r="64390" spans="20:20" s="566" customFormat="1">
      <c r="T64390" s="41"/>
    </row>
    <row r="64391" spans="20:20" s="566" customFormat="1">
      <c r="T64391" s="41"/>
    </row>
    <row r="64392" spans="20:20" s="566" customFormat="1">
      <c r="T64392" s="41"/>
    </row>
    <row r="64393" spans="20:20" s="566" customFormat="1">
      <c r="T64393" s="41"/>
    </row>
    <row r="64394" spans="20:20" s="566" customFormat="1">
      <c r="T64394" s="41"/>
    </row>
    <row r="64395" spans="20:20" s="566" customFormat="1">
      <c r="T64395" s="41"/>
    </row>
    <row r="64396" spans="20:20" s="566" customFormat="1">
      <c r="T64396" s="41"/>
    </row>
    <row r="64397" spans="20:20" s="566" customFormat="1">
      <c r="T64397" s="41"/>
    </row>
    <row r="64398" spans="20:20" s="566" customFormat="1">
      <c r="T64398" s="41"/>
    </row>
    <row r="64399" spans="20:20" s="566" customFormat="1">
      <c r="T64399" s="41"/>
    </row>
    <row r="64400" spans="20:20" s="566" customFormat="1">
      <c r="T64400" s="41"/>
    </row>
    <row r="64401" spans="20:20" s="566" customFormat="1">
      <c r="T64401" s="41"/>
    </row>
    <row r="64402" spans="20:20" s="566" customFormat="1">
      <c r="T64402" s="41"/>
    </row>
    <row r="64403" spans="20:20" s="566" customFormat="1">
      <c r="T64403" s="41"/>
    </row>
    <row r="64404" spans="20:20" s="566" customFormat="1">
      <c r="T64404" s="41"/>
    </row>
    <row r="64405" spans="20:20" s="566" customFormat="1">
      <c r="T64405" s="41"/>
    </row>
    <row r="64406" spans="20:20" s="566" customFormat="1">
      <c r="T64406" s="41"/>
    </row>
    <row r="64407" spans="20:20" s="566" customFormat="1">
      <c r="T64407" s="41"/>
    </row>
    <row r="64408" spans="20:20" s="566" customFormat="1">
      <c r="T64408" s="41"/>
    </row>
    <row r="64409" spans="20:20" s="566" customFormat="1">
      <c r="T64409" s="41"/>
    </row>
    <row r="64410" spans="20:20" s="566" customFormat="1">
      <c r="T64410" s="41"/>
    </row>
    <row r="64411" spans="20:20" s="566" customFormat="1">
      <c r="T64411" s="41"/>
    </row>
    <row r="64412" spans="20:20" s="566" customFormat="1">
      <c r="T64412" s="41"/>
    </row>
    <row r="64413" spans="20:20" s="566" customFormat="1">
      <c r="T64413" s="41"/>
    </row>
    <row r="64414" spans="20:20" s="566" customFormat="1">
      <c r="T64414" s="41"/>
    </row>
    <row r="64415" spans="20:20" s="566" customFormat="1">
      <c r="T64415" s="41"/>
    </row>
    <row r="64416" spans="20:20" s="566" customFormat="1">
      <c r="T64416" s="41"/>
    </row>
    <row r="64417" spans="20:20" s="566" customFormat="1">
      <c r="T64417" s="41"/>
    </row>
    <row r="64418" spans="20:20" s="566" customFormat="1">
      <c r="T64418" s="41"/>
    </row>
    <row r="64419" spans="20:20" s="566" customFormat="1">
      <c r="T64419" s="41"/>
    </row>
    <row r="64420" spans="20:20" s="566" customFormat="1">
      <c r="T64420" s="41"/>
    </row>
    <row r="64421" spans="20:20" s="566" customFormat="1">
      <c r="T64421" s="41"/>
    </row>
    <row r="64422" spans="20:20" s="566" customFormat="1">
      <c r="T64422" s="41"/>
    </row>
    <row r="64423" spans="20:20" s="566" customFormat="1">
      <c r="T64423" s="41"/>
    </row>
    <row r="64424" spans="20:20" s="566" customFormat="1">
      <c r="T64424" s="41"/>
    </row>
    <row r="64425" spans="20:20" s="566" customFormat="1">
      <c r="T64425" s="41"/>
    </row>
    <row r="64426" spans="20:20" s="566" customFormat="1">
      <c r="T64426" s="41"/>
    </row>
    <row r="64427" spans="20:20" s="566" customFormat="1">
      <c r="T64427" s="41"/>
    </row>
    <row r="64428" spans="20:20" s="566" customFormat="1">
      <c r="T64428" s="41"/>
    </row>
    <row r="64429" spans="20:20" s="566" customFormat="1">
      <c r="T64429" s="41"/>
    </row>
    <row r="64430" spans="20:20" s="566" customFormat="1">
      <c r="T64430" s="41"/>
    </row>
    <row r="64431" spans="20:20" s="566" customFormat="1">
      <c r="T64431" s="41"/>
    </row>
    <row r="64432" spans="20:20" s="566" customFormat="1">
      <c r="T64432" s="41"/>
    </row>
    <row r="64433" spans="20:20" s="566" customFormat="1">
      <c r="T64433" s="41"/>
    </row>
    <row r="64434" spans="20:20" s="566" customFormat="1">
      <c r="T64434" s="41"/>
    </row>
    <row r="64435" spans="20:20" s="566" customFormat="1">
      <c r="T64435" s="41"/>
    </row>
    <row r="64436" spans="20:20" s="566" customFormat="1">
      <c r="T64436" s="41"/>
    </row>
    <row r="64437" spans="20:20" s="566" customFormat="1">
      <c r="T64437" s="41"/>
    </row>
    <row r="64438" spans="20:20" s="566" customFormat="1">
      <c r="T64438" s="41"/>
    </row>
    <row r="64439" spans="20:20" s="566" customFormat="1">
      <c r="T64439" s="41"/>
    </row>
    <row r="64440" spans="20:20" s="566" customFormat="1">
      <c r="T64440" s="41"/>
    </row>
    <row r="64441" spans="20:20" s="566" customFormat="1">
      <c r="T64441" s="41"/>
    </row>
    <row r="64442" spans="20:20" s="566" customFormat="1">
      <c r="T64442" s="41"/>
    </row>
    <row r="64443" spans="20:20" s="566" customFormat="1">
      <c r="T64443" s="41"/>
    </row>
    <row r="64444" spans="20:20" s="566" customFormat="1">
      <c r="T64444" s="41"/>
    </row>
    <row r="64445" spans="20:20" s="566" customFormat="1">
      <c r="T64445" s="41"/>
    </row>
    <row r="64446" spans="20:20" s="566" customFormat="1">
      <c r="T64446" s="41"/>
    </row>
    <row r="64447" spans="20:20" s="566" customFormat="1">
      <c r="T64447" s="41"/>
    </row>
    <row r="64448" spans="20:20" s="566" customFormat="1">
      <c r="T64448" s="41"/>
    </row>
    <row r="64449" spans="20:20" s="566" customFormat="1">
      <c r="T64449" s="41"/>
    </row>
    <row r="64450" spans="20:20" s="566" customFormat="1">
      <c r="T64450" s="41"/>
    </row>
    <row r="64451" spans="20:20" s="566" customFormat="1">
      <c r="T64451" s="41"/>
    </row>
    <row r="64452" spans="20:20" s="566" customFormat="1">
      <c r="T64452" s="41"/>
    </row>
    <row r="64453" spans="20:20" s="566" customFormat="1">
      <c r="T64453" s="41"/>
    </row>
    <row r="64454" spans="20:20" s="566" customFormat="1">
      <c r="T64454" s="41"/>
    </row>
    <row r="64455" spans="20:20" s="566" customFormat="1">
      <c r="T64455" s="41"/>
    </row>
    <row r="64456" spans="20:20" s="566" customFormat="1">
      <c r="T64456" s="41"/>
    </row>
    <row r="64457" spans="20:20" s="566" customFormat="1">
      <c r="T64457" s="41"/>
    </row>
    <row r="64458" spans="20:20" s="566" customFormat="1">
      <c r="T64458" s="41"/>
    </row>
    <row r="64459" spans="20:20" s="566" customFormat="1">
      <c r="T64459" s="41"/>
    </row>
    <row r="64460" spans="20:20" s="566" customFormat="1">
      <c r="T64460" s="41"/>
    </row>
    <row r="64461" spans="20:20" s="566" customFormat="1">
      <c r="T64461" s="41"/>
    </row>
    <row r="64462" spans="20:20" s="566" customFormat="1">
      <c r="T64462" s="41"/>
    </row>
    <row r="64463" spans="20:20" s="566" customFormat="1">
      <c r="T64463" s="41"/>
    </row>
    <row r="64464" spans="20:20" s="566" customFormat="1">
      <c r="T64464" s="41"/>
    </row>
    <row r="64465" spans="20:20" s="566" customFormat="1">
      <c r="T64465" s="41"/>
    </row>
    <row r="64466" spans="20:20" s="566" customFormat="1">
      <c r="T64466" s="41"/>
    </row>
    <row r="64467" spans="20:20" s="566" customFormat="1">
      <c r="T64467" s="41"/>
    </row>
    <row r="64468" spans="20:20" s="566" customFormat="1">
      <c r="T64468" s="41"/>
    </row>
    <row r="64469" spans="20:20" s="566" customFormat="1">
      <c r="T64469" s="41"/>
    </row>
    <row r="64470" spans="20:20" s="566" customFormat="1">
      <c r="T64470" s="41"/>
    </row>
    <row r="64471" spans="20:20" s="566" customFormat="1">
      <c r="T64471" s="41"/>
    </row>
    <row r="64472" spans="20:20" s="566" customFormat="1">
      <c r="T64472" s="41"/>
    </row>
    <row r="64473" spans="20:20" s="566" customFormat="1">
      <c r="T64473" s="41"/>
    </row>
    <row r="64474" spans="20:20" s="566" customFormat="1">
      <c r="T64474" s="41"/>
    </row>
    <row r="64475" spans="20:20" s="566" customFormat="1">
      <c r="T64475" s="41"/>
    </row>
    <row r="64476" spans="20:20" s="566" customFormat="1">
      <c r="T64476" s="41"/>
    </row>
    <row r="64477" spans="20:20" s="566" customFormat="1">
      <c r="T64477" s="41"/>
    </row>
    <row r="64478" spans="20:20" s="566" customFormat="1">
      <c r="T64478" s="41"/>
    </row>
    <row r="64479" spans="20:20" s="566" customFormat="1">
      <c r="T64479" s="41"/>
    </row>
    <row r="64480" spans="20:20" s="566" customFormat="1">
      <c r="T64480" s="41"/>
    </row>
    <row r="64481" spans="20:20" s="566" customFormat="1">
      <c r="T64481" s="41"/>
    </row>
    <row r="64482" spans="20:20" s="566" customFormat="1">
      <c r="T64482" s="41"/>
    </row>
    <row r="64483" spans="20:20" s="566" customFormat="1">
      <c r="T64483" s="41"/>
    </row>
    <row r="64484" spans="20:20" s="566" customFormat="1">
      <c r="T64484" s="41"/>
    </row>
    <row r="64485" spans="20:20" s="566" customFormat="1">
      <c r="T64485" s="41"/>
    </row>
    <row r="64486" spans="20:20" s="566" customFormat="1">
      <c r="T64486" s="41"/>
    </row>
    <row r="64487" spans="20:20" s="566" customFormat="1">
      <c r="T64487" s="41"/>
    </row>
    <row r="64488" spans="20:20" s="566" customFormat="1">
      <c r="T64488" s="41"/>
    </row>
    <row r="64489" spans="20:20" s="566" customFormat="1">
      <c r="T64489" s="41"/>
    </row>
    <row r="64490" spans="20:20" s="566" customFormat="1">
      <c r="T64490" s="41"/>
    </row>
    <row r="64491" spans="20:20" s="566" customFormat="1">
      <c r="T64491" s="41"/>
    </row>
    <row r="64492" spans="20:20" s="566" customFormat="1">
      <c r="T64492" s="41"/>
    </row>
    <row r="64493" spans="20:20" s="566" customFormat="1">
      <c r="T64493" s="41"/>
    </row>
    <row r="64494" spans="20:20" s="566" customFormat="1">
      <c r="T64494" s="41"/>
    </row>
    <row r="64495" spans="20:20" s="566" customFormat="1">
      <c r="T64495" s="41"/>
    </row>
    <row r="64496" spans="20:20" s="566" customFormat="1">
      <c r="T64496" s="41"/>
    </row>
    <row r="64497" spans="20:20" s="566" customFormat="1">
      <c r="T64497" s="41"/>
    </row>
    <row r="64498" spans="20:20" s="566" customFormat="1">
      <c r="T64498" s="41"/>
    </row>
    <row r="64499" spans="20:20" s="566" customFormat="1">
      <c r="T64499" s="41"/>
    </row>
    <row r="64500" spans="20:20" s="566" customFormat="1">
      <c r="T64500" s="41"/>
    </row>
    <row r="64501" spans="20:20" s="566" customFormat="1">
      <c r="T64501" s="41"/>
    </row>
    <row r="64502" spans="20:20" s="566" customFormat="1">
      <c r="T64502" s="41"/>
    </row>
    <row r="64503" spans="20:20" s="566" customFormat="1">
      <c r="T64503" s="41"/>
    </row>
    <row r="64504" spans="20:20" s="566" customFormat="1">
      <c r="T64504" s="41"/>
    </row>
    <row r="64505" spans="20:20" s="566" customFormat="1">
      <c r="T64505" s="41"/>
    </row>
    <row r="64506" spans="20:20" s="566" customFormat="1">
      <c r="T64506" s="41"/>
    </row>
    <row r="64507" spans="20:20" s="566" customFormat="1">
      <c r="T64507" s="41"/>
    </row>
    <row r="64508" spans="20:20" s="566" customFormat="1">
      <c r="T64508" s="41"/>
    </row>
    <row r="64509" spans="20:20" s="566" customFormat="1">
      <c r="T64509" s="41"/>
    </row>
    <row r="64510" spans="20:20" s="566" customFormat="1">
      <c r="T64510" s="41"/>
    </row>
    <row r="64511" spans="20:20" s="566" customFormat="1">
      <c r="T64511" s="41"/>
    </row>
    <row r="64512" spans="20:20" s="566" customFormat="1">
      <c r="T64512" s="41"/>
    </row>
    <row r="64513" spans="20:20" s="566" customFormat="1">
      <c r="T64513" s="41"/>
    </row>
    <row r="64514" spans="20:20" s="566" customFormat="1">
      <c r="T64514" s="41"/>
    </row>
    <row r="64515" spans="20:20" s="566" customFormat="1">
      <c r="T64515" s="41"/>
    </row>
    <row r="64516" spans="20:20" s="566" customFormat="1">
      <c r="T64516" s="41"/>
    </row>
    <row r="64517" spans="20:20" s="566" customFormat="1">
      <c r="T64517" s="41"/>
    </row>
    <row r="64518" spans="20:20" s="566" customFormat="1">
      <c r="T64518" s="41"/>
    </row>
    <row r="64519" spans="20:20" s="566" customFormat="1">
      <c r="T64519" s="41"/>
    </row>
    <row r="64520" spans="20:20" s="566" customFormat="1">
      <c r="T64520" s="41"/>
    </row>
    <row r="64521" spans="20:20" s="566" customFormat="1">
      <c r="T64521" s="41"/>
    </row>
    <row r="64522" spans="20:20" s="566" customFormat="1">
      <c r="T64522" s="41"/>
    </row>
    <row r="64523" spans="20:20" s="566" customFormat="1">
      <c r="T64523" s="41"/>
    </row>
    <row r="64524" spans="20:20" s="566" customFormat="1">
      <c r="T64524" s="41"/>
    </row>
    <row r="64525" spans="20:20" s="566" customFormat="1">
      <c r="T64525" s="41"/>
    </row>
    <row r="64526" spans="20:20" s="566" customFormat="1">
      <c r="T64526" s="41"/>
    </row>
    <row r="64527" spans="20:20" s="566" customFormat="1">
      <c r="T64527" s="41"/>
    </row>
    <row r="64528" spans="20:20" s="566" customFormat="1">
      <c r="T64528" s="41"/>
    </row>
    <row r="64529" spans="20:20" s="566" customFormat="1">
      <c r="T64529" s="41"/>
    </row>
    <row r="64530" spans="20:20" s="566" customFormat="1">
      <c r="T64530" s="41"/>
    </row>
    <row r="64531" spans="20:20" s="566" customFormat="1">
      <c r="T64531" s="41"/>
    </row>
    <row r="64532" spans="20:20" s="566" customFormat="1">
      <c r="T64532" s="41"/>
    </row>
    <row r="64533" spans="20:20" s="566" customFormat="1">
      <c r="T64533" s="41"/>
    </row>
    <row r="64534" spans="20:20" s="566" customFormat="1">
      <c r="T64534" s="41"/>
    </row>
    <row r="64535" spans="20:20" s="566" customFormat="1">
      <c r="T64535" s="41"/>
    </row>
    <row r="64536" spans="20:20" s="566" customFormat="1">
      <c r="T64536" s="41"/>
    </row>
    <row r="64537" spans="20:20" s="566" customFormat="1">
      <c r="T64537" s="41"/>
    </row>
    <row r="64538" spans="20:20" s="566" customFormat="1">
      <c r="T64538" s="41"/>
    </row>
    <row r="64539" spans="20:20" s="566" customFormat="1">
      <c r="T64539" s="41"/>
    </row>
    <row r="64540" spans="20:20" s="566" customFormat="1">
      <c r="T64540" s="41"/>
    </row>
    <row r="64541" spans="20:20" s="566" customFormat="1">
      <c r="T64541" s="41"/>
    </row>
    <row r="64542" spans="20:20" s="566" customFormat="1">
      <c r="T64542" s="41"/>
    </row>
    <row r="64543" spans="20:20" s="566" customFormat="1">
      <c r="T64543" s="41"/>
    </row>
    <row r="64544" spans="20:20" s="566" customFormat="1">
      <c r="T64544" s="41"/>
    </row>
    <row r="64545" spans="20:20" s="566" customFormat="1">
      <c r="T64545" s="41"/>
    </row>
    <row r="64546" spans="20:20" s="566" customFormat="1">
      <c r="T64546" s="41"/>
    </row>
    <row r="64547" spans="20:20" s="566" customFormat="1">
      <c r="T64547" s="41"/>
    </row>
    <row r="64548" spans="20:20" s="566" customFormat="1">
      <c r="T64548" s="41"/>
    </row>
    <row r="64549" spans="20:20" s="566" customFormat="1">
      <c r="T64549" s="41"/>
    </row>
    <row r="64550" spans="20:20" s="566" customFormat="1">
      <c r="T64550" s="41"/>
    </row>
    <row r="64551" spans="20:20" s="566" customFormat="1">
      <c r="T64551" s="41"/>
    </row>
    <row r="64552" spans="20:20" s="566" customFormat="1">
      <c r="T64552" s="41"/>
    </row>
    <row r="64553" spans="20:20" s="566" customFormat="1">
      <c r="T64553" s="41"/>
    </row>
    <row r="64554" spans="20:20" s="566" customFormat="1">
      <c r="T64554" s="41"/>
    </row>
    <row r="64555" spans="20:20" s="566" customFormat="1">
      <c r="T64555" s="41"/>
    </row>
    <row r="64556" spans="20:20" s="566" customFormat="1">
      <c r="T64556" s="41"/>
    </row>
    <row r="64557" spans="20:20" s="566" customFormat="1">
      <c r="T64557" s="41"/>
    </row>
    <row r="64558" spans="20:20" s="566" customFormat="1">
      <c r="T64558" s="41"/>
    </row>
    <row r="64559" spans="20:20" s="566" customFormat="1">
      <c r="T64559" s="41"/>
    </row>
    <row r="64560" spans="20:20" s="566" customFormat="1">
      <c r="T64560" s="41"/>
    </row>
    <row r="64561" spans="20:20" s="566" customFormat="1">
      <c r="T64561" s="41"/>
    </row>
    <row r="64562" spans="20:20" s="566" customFormat="1">
      <c r="T64562" s="41"/>
    </row>
    <row r="64563" spans="20:20" s="566" customFormat="1">
      <c r="T64563" s="41"/>
    </row>
    <row r="64564" spans="20:20" s="566" customFormat="1">
      <c r="T64564" s="41"/>
    </row>
    <row r="64565" spans="20:20" s="566" customFormat="1">
      <c r="T64565" s="41"/>
    </row>
    <row r="64566" spans="20:20" s="566" customFormat="1">
      <c r="T64566" s="41"/>
    </row>
    <row r="64567" spans="20:20" s="566" customFormat="1">
      <c r="T64567" s="41"/>
    </row>
    <row r="64568" spans="20:20" s="566" customFormat="1">
      <c r="T64568" s="41"/>
    </row>
    <row r="64569" spans="20:20" s="566" customFormat="1">
      <c r="T64569" s="41"/>
    </row>
    <row r="64570" spans="20:20" s="566" customFormat="1">
      <c r="T64570" s="41"/>
    </row>
    <row r="64571" spans="20:20" s="566" customFormat="1">
      <c r="T64571" s="41"/>
    </row>
    <row r="64572" spans="20:20" s="566" customFormat="1">
      <c r="T64572" s="41"/>
    </row>
    <row r="64573" spans="20:20" s="566" customFormat="1">
      <c r="T64573" s="41"/>
    </row>
    <row r="64574" spans="20:20" s="566" customFormat="1">
      <c r="T64574" s="41"/>
    </row>
    <row r="64575" spans="20:20" s="566" customFormat="1">
      <c r="T64575" s="41"/>
    </row>
    <row r="64576" spans="20:20" s="566" customFormat="1">
      <c r="T64576" s="41"/>
    </row>
    <row r="64577" spans="20:20" s="566" customFormat="1">
      <c r="T64577" s="41"/>
    </row>
    <row r="64578" spans="20:20" s="566" customFormat="1">
      <c r="T64578" s="41"/>
    </row>
    <row r="64579" spans="20:20" s="566" customFormat="1">
      <c r="T64579" s="41"/>
    </row>
    <row r="64580" spans="20:20" s="566" customFormat="1">
      <c r="T64580" s="41"/>
    </row>
    <row r="64581" spans="20:20" s="566" customFormat="1">
      <c r="T64581" s="41"/>
    </row>
    <row r="64582" spans="20:20" s="566" customFormat="1">
      <c r="T64582" s="41"/>
    </row>
    <row r="64583" spans="20:20" s="566" customFormat="1">
      <c r="T64583" s="41"/>
    </row>
    <row r="64584" spans="20:20" s="566" customFormat="1">
      <c r="T64584" s="41"/>
    </row>
    <row r="64585" spans="20:20" s="566" customFormat="1">
      <c r="T64585" s="41"/>
    </row>
    <row r="64586" spans="20:20" s="566" customFormat="1">
      <c r="T64586" s="41"/>
    </row>
    <row r="64587" spans="20:20" s="566" customFormat="1">
      <c r="T64587" s="41"/>
    </row>
    <row r="64588" spans="20:20" s="566" customFormat="1">
      <c r="T64588" s="41"/>
    </row>
    <row r="64589" spans="20:20" s="566" customFormat="1">
      <c r="T64589" s="41"/>
    </row>
    <row r="64590" spans="20:20" s="566" customFormat="1">
      <c r="T64590" s="41"/>
    </row>
    <row r="64591" spans="20:20" s="566" customFormat="1">
      <c r="T64591" s="41"/>
    </row>
    <row r="64592" spans="20:20" s="566" customFormat="1">
      <c r="T64592" s="41"/>
    </row>
    <row r="64593" spans="20:20" s="566" customFormat="1">
      <c r="T64593" s="41"/>
    </row>
    <row r="64594" spans="20:20" s="566" customFormat="1">
      <c r="T64594" s="41"/>
    </row>
    <row r="64595" spans="20:20" s="566" customFormat="1">
      <c r="T64595" s="41"/>
    </row>
    <row r="64596" spans="20:20" s="566" customFormat="1">
      <c r="T64596" s="41"/>
    </row>
    <row r="64597" spans="20:20" s="566" customFormat="1">
      <c r="T64597" s="41"/>
    </row>
    <row r="64598" spans="20:20" s="566" customFormat="1">
      <c r="T64598" s="41"/>
    </row>
    <row r="64599" spans="20:20" s="566" customFormat="1">
      <c r="T64599" s="41"/>
    </row>
    <row r="64600" spans="20:20" s="566" customFormat="1">
      <c r="T64600" s="41"/>
    </row>
    <row r="64601" spans="20:20" s="566" customFormat="1">
      <c r="T64601" s="41"/>
    </row>
    <row r="64602" spans="20:20" s="566" customFormat="1">
      <c r="T64602" s="41"/>
    </row>
    <row r="64603" spans="20:20" s="566" customFormat="1">
      <c r="T64603" s="41"/>
    </row>
    <row r="64604" spans="20:20" s="566" customFormat="1">
      <c r="T64604" s="41"/>
    </row>
    <row r="64605" spans="20:20" s="566" customFormat="1">
      <c r="T64605" s="41"/>
    </row>
    <row r="64606" spans="20:20" s="566" customFormat="1">
      <c r="T64606" s="41"/>
    </row>
    <row r="64607" spans="20:20" s="566" customFormat="1">
      <c r="T64607" s="41"/>
    </row>
    <row r="64608" spans="20:20" s="566" customFormat="1">
      <c r="T64608" s="41"/>
    </row>
    <row r="64609" spans="20:20" s="566" customFormat="1">
      <c r="T64609" s="41"/>
    </row>
    <row r="64610" spans="20:20" s="566" customFormat="1">
      <c r="T64610" s="41"/>
    </row>
    <row r="64611" spans="20:20" s="566" customFormat="1">
      <c r="T64611" s="41"/>
    </row>
    <row r="64612" spans="20:20" s="566" customFormat="1">
      <c r="T64612" s="41"/>
    </row>
    <row r="64613" spans="20:20" s="566" customFormat="1">
      <c r="T64613" s="41"/>
    </row>
    <row r="64614" spans="20:20" s="566" customFormat="1">
      <c r="T64614" s="41"/>
    </row>
    <row r="64615" spans="20:20" s="566" customFormat="1">
      <c r="T64615" s="41"/>
    </row>
    <row r="64616" spans="20:20" s="566" customFormat="1">
      <c r="T64616" s="41"/>
    </row>
    <row r="64617" spans="20:20" s="566" customFormat="1">
      <c r="T64617" s="41"/>
    </row>
    <row r="64618" spans="20:20" s="566" customFormat="1">
      <c r="T64618" s="41"/>
    </row>
    <row r="64619" spans="20:20" s="566" customFormat="1">
      <c r="T64619" s="41"/>
    </row>
    <row r="64620" spans="20:20" s="566" customFormat="1">
      <c r="T64620" s="41"/>
    </row>
    <row r="64621" spans="20:20" s="566" customFormat="1">
      <c r="T64621" s="41"/>
    </row>
    <row r="64622" spans="20:20" s="566" customFormat="1">
      <c r="T64622" s="41"/>
    </row>
    <row r="64623" spans="20:20" s="566" customFormat="1">
      <c r="T64623" s="41"/>
    </row>
    <row r="64624" spans="20:20" s="566" customFormat="1">
      <c r="T64624" s="41"/>
    </row>
    <row r="64625" spans="20:20" s="566" customFormat="1">
      <c r="T64625" s="41"/>
    </row>
    <row r="64626" spans="20:20" s="566" customFormat="1">
      <c r="T64626" s="41"/>
    </row>
    <row r="64627" spans="20:20" s="566" customFormat="1">
      <c r="T64627" s="41"/>
    </row>
    <row r="64628" spans="20:20" s="566" customFormat="1">
      <c r="T64628" s="41"/>
    </row>
    <row r="64629" spans="20:20" s="566" customFormat="1">
      <c r="T64629" s="41"/>
    </row>
    <row r="64630" spans="20:20" s="566" customFormat="1">
      <c r="T64630" s="41"/>
    </row>
    <row r="64631" spans="20:20" s="566" customFormat="1">
      <c r="T64631" s="41"/>
    </row>
    <row r="64632" spans="20:20" s="566" customFormat="1">
      <c r="T64632" s="41"/>
    </row>
    <row r="64633" spans="20:20" s="566" customFormat="1">
      <c r="T64633" s="41"/>
    </row>
    <row r="64634" spans="20:20" s="566" customFormat="1">
      <c r="T64634" s="41"/>
    </row>
    <row r="64635" spans="20:20" s="566" customFormat="1">
      <c r="T64635" s="41"/>
    </row>
    <row r="64636" spans="20:20" s="566" customFormat="1">
      <c r="T64636" s="41"/>
    </row>
    <row r="64637" spans="20:20" s="566" customFormat="1">
      <c r="T64637" s="41"/>
    </row>
    <row r="64638" spans="20:20" s="566" customFormat="1">
      <c r="T64638" s="41"/>
    </row>
    <row r="64639" spans="20:20" s="566" customFormat="1">
      <c r="T64639" s="41"/>
    </row>
    <row r="64640" spans="20:20" s="566" customFormat="1">
      <c r="T64640" s="41"/>
    </row>
    <row r="64641" spans="20:20" s="566" customFormat="1">
      <c r="T64641" s="41"/>
    </row>
    <row r="64642" spans="20:20" s="566" customFormat="1">
      <c r="T64642" s="41"/>
    </row>
    <row r="64643" spans="20:20" s="566" customFormat="1">
      <c r="T64643" s="41"/>
    </row>
    <row r="64644" spans="20:20" s="566" customFormat="1">
      <c r="T64644" s="41"/>
    </row>
    <row r="64645" spans="20:20" s="566" customFormat="1">
      <c r="T64645" s="41"/>
    </row>
    <row r="64646" spans="20:20" s="566" customFormat="1">
      <c r="T64646" s="41"/>
    </row>
    <row r="64647" spans="20:20" s="566" customFormat="1">
      <c r="T64647" s="41"/>
    </row>
    <row r="64648" spans="20:20" s="566" customFormat="1">
      <c r="T64648" s="41"/>
    </row>
    <row r="64649" spans="20:20" s="566" customFormat="1">
      <c r="T64649" s="41"/>
    </row>
    <row r="64650" spans="20:20" s="566" customFormat="1">
      <c r="T64650" s="41"/>
    </row>
    <row r="64651" spans="20:20" s="566" customFormat="1">
      <c r="T64651" s="41"/>
    </row>
    <row r="64652" spans="20:20" s="566" customFormat="1">
      <c r="T64652" s="41"/>
    </row>
    <row r="64653" spans="20:20" s="566" customFormat="1">
      <c r="T64653" s="41"/>
    </row>
    <row r="64654" spans="20:20" s="566" customFormat="1">
      <c r="T64654" s="41"/>
    </row>
    <row r="64655" spans="20:20" s="566" customFormat="1">
      <c r="T64655" s="41"/>
    </row>
    <row r="64656" spans="20:20" s="566" customFormat="1">
      <c r="T64656" s="41"/>
    </row>
    <row r="64657" spans="20:20" s="566" customFormat="1">
      <c r="T64657" s="41"/>
    </row>
    <row r="64658" spans="20:20" s="566" customFormat="1">
      <c r="T64658" s="41"/>
    </row>
    <row r="64659" spans="20:20" s="566" customFormat="1">
      <c r="T64659" s="41"/>
    </row>
    <row r="64660" spans="20:20" s="566" customFormat="1">
      <c r="T64660" s="41"/>
    </row>
    <row r="64661" spans="20:20" s="566" customFormat="1">
      <c r="T64661" s="41"/>
    </row>
    <row r="64662" spans="20:20" s="566" customFormat="1">
      <c r="T64662" s="41"/>
    </row>
    <row r="64663" spans="20:20" s="566" customFormat="1">
      <c r="T64663" s="41"/>
    </row>
    <row r="64664" spans="20:20" s="566" customFormat="1">
      <c r="T64664" s="41"/>
    </row>
    <row r="64665" spans="20:20" s="566" customFormat="1">
      <c r="T64665" s="41"/>
    </row>
    <row r="64666" spans="20:20" s="566" customFormat="1">
      <c r="T64666" s="41"/>
    </row>
    <row r="64667" spans="20:20" s="566" customFormat="1">
      <c r="T64667" s="41"/>
    </row>
    <row r="64668" spans="20:20" s="566" customFormat="1">
      <c r="T64668" s="41"/>
    </row>
    <row r="64669" spans="20:20" s="566" customFormat="1">
      <c r="T64669" s="41"/>
    </row>
    <row r="64670" spans="20:20" s="566" customFormat="1">
      <c r="T64670" s="41"/>
    </row>
    <row r="64671" spans="20:20" s="566" customFormat="1">
      <c r="T64671" s="41"/>
    </row>
    <row r="64672" spans="20:20" s="566" customFormat="1">
      <c r="T64672" s="41"/>
    </row>
    <row r="64673" spans="20:20" s="566" customFormat="1">
      <c r="T64673" s="41"/>
    </row>
    <row r="64674" spans="20:20" s="566" customFormat="1">
      <c r="T64674" s="41"/>
    </row>
    <row r="64675" spans="20:20" s="566" customFormat="1">
      <c r="T64675" s="41"/>
    </row>
    <row r="64676" spans="20:20" s="566" customFormat="1">
      <c r="T64676" s="41"/>
    </row>
    <row r="64677" spans="20:20" s="566" customFormat="1">
      <c r="T64677" s="41"/>
    </row>
    <row r="64678" spans="20:20" s="566" customFormat="1">
      <c r="T64678" s="41"/>
    </row>
    <row r="64679" spans="20:20" s="566" customFormat="1">
      <c r="T64679" s="41"/>
    </row>
    <row r="64680" spans="20:20" s="566" customFormat="1">
      <c r="T64680" s="41"/>
    </row>
    <row r="64681" spans="20:20" s="566" customFormat="1">
      <c r="T64681" s="41"/>
    </row>
    <row r="64682" spans="20:20" s="566" customFormat="1">
      <c r="T64682" s="41"/>
    </row>
    <row r="64683" spans="20:20" s="566" customFormat="1">
      <c r="T64683" s="41"/>
    </row>
    <row r="64684" spans="20:20" s="566" customFormat="1">
      <c r="T64684" s="41"/>
    </row>
    <row r="64685" spans="20:20" s="566" customFormat="1">
      <c r="T64685" s="41"/>
    </row>
    <row r="64686" spans="20:20" s="566" customFormat="1">
      <c r="T64686" s="41"/>
    </row>
    <row r="64687" spans="20:20" s="566" customFormat="1">
      <c r="T64687" s="41"/>
    </row>
    <row r="64688" spans="20:20" s="566" customFormat="1">
      <c r="T64688" s="41"/>
    </row>
    <row r="64689" spans="20:20" s="566" customFormat="1">
      <c r="T64689" s="41"/>
    </row>
    <row r="64690" spans="20:20" s="566" customFormat="1">
      <c r="T64690" s="41"/>
    </row>
    <row r="64691" spans="20:20" s="566" customFormat="1">
      <c r="T64691" s="41"/>
    </row>
    <row r="64692" spans="20:20" s="566" customFormat="1">
      <c r="T64692" s="41"/>
    </row>
    <row r="64693" spans="20:20" s="566" customFormat="1">
      <c r="T64693" s="41"/>
    </row>
    <row r="64694" spans="20:20" s="566" customFormat="1">
      <c r="T64694" s="41"/>
    </row>
    <row r="64695" spans="20:20" s="566" customFormat="1">
      <c r="T64695" s="41"/>
    </row>
    <row r="64696" spans="20:20" s="566" customFormat="1">
      <c r="T64696" s="41"/>
    </row>
    <row r="64697" spans="20:20" s="566" customFormat="1">
      <c r="T64697" s="41"/>
    </row>
    <row r="64698" spans="20:20" s="566" customFormat="1">
      <c r="T64698" s="41"/>
    </row>
    <row r="64699" spans="20:20" s="566" customFormat="1">
      <c r="T64699" s="41"/>
    </row>
    <row r="64700" spans="20:20" s="566" customFormat="1">
      <c r="T64700" s="41"/>
    </row>
    <row r="64701" spans="20:20" s="566" customFormat="1">
      <c r="T64701" s="41"/>
    </row>
    <row r="64702" spans="20:20" s="566" customFormat="1">
      <c r="T64702" s="41"/>
    </row>
    <row r="64703" spans="20:20" s="566" customFormat="1">
      <c r="T64703" s="41"/>
    </row>
    <row r="64704" spans="20:20" s="566" customFormat="1">
      <c r="T64704" s="41"/>
    </row>
    <row r="64705" spans="20:20" s="566" customFormat="1">
      <c r="T64705" s="41"/>
    </row>
    <row r="64706" spans="20:20" s="566" customFormat="1">
      <c r="T64706" s="41"/>
    </row>
    <row r="64707" spans="20:20" s="566" customFormat="1">
      <c r="T64707" s="41"/>
    </row>
    <row r="64708" spans="20:20" s="566" customFormat="1">
      <c r="T64708" s="41"/>
    </row>
    <row r="64709" spans="20:20" s="566" customFormat="1">
      <c r="T64709" s="41"/>
    </row>
    <row r="64710" spans="20:20" s="566" customFormat="1">
      <c r="T64710" s="41"/>
    </row>
    <row r="64711" spans="20:20" s="566" customFormat="1">
      <c r="T64711" s="41"/>
    </row>
    <row r="64712" spans="20:20" s="566" customFormat="1">
      <c r="T64712" s="41"/>
    </row>
    <row r="64713" spans="20:20" s="566" customFormat="1">
      <c r="T64713" s="41"/>
    </row>
    <row r="64714" spans="20:20" s="566" customFormat="1">
      <c r="T64714" s="41"/>
    </row>
    <row r="64715" spans="20:20" s="566" customFormat="1">
      <c r="T64715" s="41"/>
    </row>
    <row r="64716" spans="20:20" s="566" customFormat="1">
      <c r="T64716" s="41"/>
    </row>
    <row r="64717" spans="20:20" s="566" customFormat="1">
      <c r="T64717" s="41"/>
    </row>
    <row r="64718" spans="20:20" s="566" customFormat="1">
      <c r="T64718" s="41"/>
    </row>
    <row r="64719" spans="20:20" s="566" customFormat="1">
      <c r="T64719" s="41"/>
    </row>
    <row r="64720" spans="20:20" s="566" customFormat="1">
      <c r="T64720" s="41"/>
    </row>
    <row r="64721" spans="20:20" s="566" customFormat="1">
      <c r="T64721" s="41"/>
    </row>
    <row r="64722" spans="20:20" s="566" customFormat="1">
      <c r="T64722" s="41"/>
    </row>
    <row r="64723" spans="20:20" s="566" customFormat="1">
      <c r="T64723" s="41"/>
    </row>
    <row r="64724" spans="20:20" s="566" customFormat="1">
      <c r="T64724" s="41"/>
    </row>
    <row r="64725" spans="20:20" s="566" customFormat="1">
      <c r="T64725" s="41"/>
    </row>
    <row r="64726" spans="20:20" s="566" customFormat="1">
      <c r="T64726" s="41"/>
    </row>
    <row r="64727" spans="20:20" s="566" customFormat="1">
      <c r="T64727" s="41"/>
    </row>
    <row r="64728" spans="20:20" s="566" customFormat="1">
      <c r="T64728" s="41"/>
    </row>
    <row r="64729" spans="20:20" s="566" customFormat="1">
      <c r="T64729" s="41"/>
    </row>
    <row r="64730" spans="20:20" s="566" customFormat="1">
      <c r="T64730" s="41"/>
    </row>
    <row r="64731" spans="20:20" s="566" customFormat="1">
      <c r="T64731" s="41"/>
    </row>
    <row r="64732" spans="20:20" s="566" customFormat="1">
      <c r="T64732" s="41"/>
    </row>
    <row r="64733" spans="20:20" s="566" customFormat="1">
      <c r="T64733" s="41"/>
    </row>
    <row r="64734" spans="20:20" s="566" customFormat="1">
      <c r="T64734" s="41"/>
    </row>
    <row r="64735" spans="20:20" s="566" customFormat="1">
      <c r="T64735" s="41"/>
    </row>
    <row r="64736" spans="20:20" s="566" customFormat="1">
      <c r="T64736" s="41"/>
    </row>
    <row r="64737" spans="20:20" s="566" customFormat="1">
      <c r="T64737" s="41"/>
    </row>
    <row r="64738" spans="20:20" s="566" customFormat="1">
      <c r="T64738" s="41"/>
    </row>
    <row r="64739" spans="20:20" s="566" customFormat="1">
      <c r="T64739" s="41"/>
    </row>
    <row r="64740" spans="20:20" s="566" customFormat="1">
      <c r="T64740" s="41"/>
    </row>
    <row r="64741" spans="20:20" s="566" customFormat="1">
      <c r="T64741" s="41"/>
    </row>
    <row r="64742" spans="20:20" s="566" customFormat="1">
      <c r="T64742" s="41"/>
    </row>
    <row r="64743" spans="20:20" s="566" customFormat="1">
      <c r="T64743" s="41"/>
    </row>
    <row r="64744" spans="20:20" s="566" customFormat="1">
      <c r="T64744" s="41"/>
    </row>
    <row r="64745" spans="20:20" s="566" customFormat="1">
      <c r="T64745" s="41"/>
    </row>
    <row r="64746" spans="20:20" s="566" customFormat="1">
      <c r="T64746" s="41"/>
    </row>
    <row r="64747" spans="20:20" s="566" customFormat="1">
      <c r="T64747" s="41"/>
    </row>
    <row r="64748" spans="20:20" s="566" customFormat="1">
      <c r="T64748" s="41"/>
    </row>
    <row r="64749" spans="20:20" s="566" customFormat="1">
      <c r="T64749" s="41"/>
    </row>
    <row r="64750" spans="20:20" s="566" customFormat="1">
      <c r="T64750" s="41"/>
    </row>
    <row r="64751" spans="20:20" s="566" customFormat="1">
      <c r="T64751" s="41"/>
    </row>
    <row r="64752" spans="20:20" s="566" customFormat="1">
      <c r="T64752" s="41"/>
    </row>
    <row r="64753" spans="20:20" s="566" customFormat="1">
      <c r="T64753" s="41"/>
    </row>
    <row r="64754" spans="20:20" s="566" customFormat="1">
      <c r="T64754" s="41"/>
    </row>
    <row r="64755" spans="20:20" s="566" customFormat="1">
      <c r="T64755" s="41"/>
    </row>
    <row r="64756" spans="20:20" s="566" customFormat="1">
      <c r="T64756" s="41"/>
    </row>
    <row r="64757" spans="20:20" s="566" customFormat="1">
      <c r="T64757" s="41"/>
    </row>
    <row r="64758" spans="20:20" s="566" customFormat="1">
      <c r="T64758" s="41"/>
    </row>
    <row r="64759" spans="20:20" s="566" customFormat="1">
      <c r="T64759" s="41"/>
    </row>
    <row r="64760" spans="20:20" s="566" customFormat="1">
      <c r="T64760" s="41"/>
    </row>
    <row r="64761" spans="20:20" s="566" customFormat="1">
      <c r="T64761" s="41"/>
    </row>
    <row r="64762" spans="20:20" s="566" customFormat="1">
      <c r="T64762" s="41"/>
    </row>
    <row r="64763" spans="20:20" s="566" customFormat="1">
      <c r="T64763" s="41"/>
    </row>
    <row r="64764" spans="20:20" s="566" customFormat="1">
      <c r="T64764" s="41"/>
    </row>
    <row r="64765" spans="20:20" s="566" customFormat="1">
      <c r="T64765" s="41"/>
    </row>
    <row r="64766" spans="20:20" s="566" customFormat="1">
      <c r="T64766" s="41"/>
    </row>
    <row r="64767" spans="20:20" s="566" customFormat="1">
      <c r="T64767" s="41"/>
    </row>
    <row r="64768" spans="20:20" s="566" customFormat="1">
      <c r="T64768" s="41"/>
    </row>
    <row r="64769" spans="20:20" s="566" customFormat="1">
      <c r="T64769" s="41"/>
    </row>
    <row r="64770" spans="20:20" s="566" customFormat="1">
      <c r="T64770" s="41"/>
    </row>
    <row r="64771" spans="20:20" s="566" customFormat="1">
      <c r="T64771" s="41"/>
    </row>
    <row r="64772" spans="20:20" s="566" customFormat="1">
      <c r="T64772" s="41"/>
    </row>
    <row r="64773" spans="20:20" s="566" customFormat="1">
      <c r="T64773" s="41"/>
    </row>
    <row r="64774" spans="20:20" s="566" customFormat="1">
      <c r="T64774" s="41"/>
    </row>
    <row r="64775" spans="20:20" s="566" customFormat="1">
      <c r="T64775" s="41"/>
    </row>
    <row r="64776" spans="20:20" s="566" customFormat="1">
      <c r="T64776" s="41"/>
    </row>
    <row r="64777" spans="20:20" s="566" customFormat="1">
      <c r="T64777" s="41"/>
    </row>
    <row r="64778" spans="20:20" s="566" customFormat="1">
      <c r="T64778" s="41"/>
    </row>
    <row r="64779" spans="20:20" s="566" customFormat="1">
      <c r="T64779" s="41"/>
    </row>
    <row r="64780" spans="20:20" s="566" customFormat="1">
      <c r="T64780" s="41"/>
    </row>
    <row r="64781" spans="20:20" s="566" customFormat="1">
      <c r="T64781" s="41"/>
    </row>
    <row r="64782" spans="20:20" s="566" customFormat="1">
      <c r="T64782" s="41"/>
    </row>
    <row r="64783" spans="20:20" s="566" customFormat="1">
      <c r="T64783" s="41"/>
    </row>
    <row r="64784" spans="20:20" s="566" customFormat="1">
      <c r="T64784" s="41"/>
    </row>
    <row r="64785" spans="20:20" s="566" customFormat="1">
      <c r="T64785" s="41"/>
    </row>
    <row r="64786" spans="20:20" s="566" customFormat="1">
      <c r="T64786" s="41"/>
    </row>
    <row r="64787" spans="20:20" s="566" customFormat="1">
      <c r="T64787" s="41"/>
    </row>
    <row r="64788" spans="20:20" s="566" customFormat="1">
      <c r="T64788" s="41"/>
    </row>
    <row r="64789" spans="20:20" s="566" customFormat="1">
      <c r="T64789" s="41"/>
    </row>
    <row r="64790" spans="20:20" s="566" customFormat="1">
      <c r="T64790" s="41"/>
    </row>
    <row r="64791" spans="20:20" s="566" customFormat="1">
      <c r="T64791" s="41"/>
    </row>
    <row r="64792" spans="20:20" s="566" customFormat="1">
      <c r="T64792" s="41"/>
    </row>
    <row r="64793" spans="20:20" s="566" customFormat="1">
      <c r="T64793" s="41"/>
    </row>
    <row r="64794" spans="20:20" s="566" customFormat="1">
      <c r="T64794" s="41"/>
    </row>
    <row r="64795" spans="20:20" s="566" customFormat="1">
      <c r="T64795" s="41"/>
    </row>
    <row r="64796" spans="20:20" s="566" customFormat="1">
      <c r="T64796" s="41"/>
    </row>
    <row r="64797" spans="20:20" s="566" customFormat="1">
      <c r="T64797" s="41"/>
    </row>
    <row r="64798" spans="20:20" s="566" customFormat="1">
      <c r="T64798" s="41"/>
    </row>
    <row r="64799" spans="20:20" s="566" customFormat="1">
      <c r="T64799" s="41"/>
    </row>
    <row r="64800" spans="20:20" s="566" customFormat="1">
      <c r="T64800" s="41"/>
    </row>
    <row r="64801" spans="20:20" s="566" customFormat="1">
      <c r="T64801" s="41"/>
    </row>
    <row r="64802" spans="20:20" s="566" customFormat="1">
      <c r="T64802" s="41"/>
    </row>
    <row r="64803" spans="20:20" s="566" customFormat="1">
      <c r="T64803" s="41"/>
    </row>
    <row r="64804" spans="20:20" s="566" customFormat="1">
      <c r="T64804" s="41"/>
    </row>
    <row r="64805" spans="20:20" s="566" customFormat="1">
      <c r="T64805" s="41"/>
    </row>
    <row r="64806" spans="20:20" s="566" customFormat="1">
      <c r="T64806" s="41"/>
    </row>
    <row r="64807" spans="20:20" s="566" customFormat="1">
      <c r="T64807" s="41"/>
    </row>
    <row r="64808" spans="20:20" s="566" customFormat="1">
      <c r="T64808" s="41"/>
    </row>
    <row r="64809" spans="20:20" s="566" customFormat="1">
      <c r="T64809" s="41"/>
    </row>
    <row r="64810" spans="20:20" s="566" customFormat="1">
      <c r="T64810" s="41"/>
    </row>
    <row r="64811" spans="20:20" s="566" customFormat="1">
      <c r="T64811" s="41"/>
    </row>
    <row r="64812" spans="20:20" s="566" customFormat="1">
      <c r="T64812" s="41"/>
    </row>
    <row r="64813" spans="20:20" s="566" customFormat="1">
      <c r="T64813" s="41"/>
    </row>
    <row r="64814" spans="20:20" s="566" customFormat="1">
      <c r="T64814" s="41"/>
    </row>
    <row r="64815" spans="20:20" s="566" customFormat="1">
      <c r="T64815" s="41"/>
    </row>
    <row r="64816" spans="20:20" s="566" customFormat="1">
      <c r="T64816" s="41"/>
    </row>
    <row r="64817" spans="20:20" s="566" customFormat="1">
      <c r="T64817" s="41"/>
    </row>
    <row r="64818" spans="20:20" s="566" customFormat="1">
      <c r="T64818" s="41"/>
    </row>
    <row r="64819" spans="20:20" s="566" customFormat="1">
      <c r="T64819" s="41"/>
    </row>
    <row r="64820" spans="20:20" s="566" customFormat="1">
      <c r="T64820" s="41"/>
    </row>
    <row r="64821" spans="20:20" s="566" customFormat="1">
      <c r="T64821" s="41"/>
    </row>
    <row r="64822" spans="20:20" s="566" customFormat="1">
      <c r="T64822" s="41"/>
    </row>
    <row r="64823" spans="20:20" s="566" customFormat="1">
      <c r="T64823" s="41"/>
    </row>
    <row r="64824" spans="20:20" s="566" customFormat="1">
      <c r="T64824" s="41"/>
    </row>
    <row r="64825" spans="20:20" s="566" customFormat="1">
      <c r="T64825" s="41"/>
    </row>
    <row r="64826" spans="20:20" s="566" customFormat="1">
      <c r="T64826" s="41"/>
    </row>
    <row r="64827" spans="20:20" s="566" customFormat="1">
      <c r="T64827" s="41"/>
    </row>
    <row r="64828" spans="20:20" s="566" customFormat="1">
      <c r="T64828" s="41"/>
    </row>
    <row r="64829" spans="20:20" s="566" customFormat="1">
      <c r="T64829" s="41"/>
    </row>
    <row r="64830" spans="20:20" s="566" customFormat="1">
      <c r="T64830" s="41"/>
    </row>
    <row r="64831" spans="20:20" s="566" customFormat="1">
      <c r="T64831" s="41"/>
    </row>
    <row r="64832" spans="20:20" s="566" customFormat="1">
      <c r="T64832" s="41"/>
    </row>
    <row r="64833" spans="20:20" s="566" customFormat="1">
      <c r="T64833" s="41"/>
    </row>
    <row r="64834" spans="20:20" s="566" customFormat="1">
      <c r="T64834" s="41"/>
    </row>
    <row r="64835" spans="20:20" s="566" customFormat="1">
      <c r="T64835" s="41"/>
    </row>
    <row r="64836" spans="20:20" s="566" customFormat="1">
      <c r="T64836" s="41"/>
    </row>
    <row r="64837" spans="20:20" s="566" customFormat="1">
      <c r="T64837" s="41"/>
    </row>
    <row r="64838" spans="20:20" s="566" customFormat="1">
      <c r="T64838" s="41"/>
    </row>
    <row r="64839" spans="20:20" s="566" customFormat="1">
      <c r="T64839" s="41"/>
    </row>
    <row r="64840" spans="20:20" s="566" customFormat="1">
      <c r="T64840" s="41"/>
    </row>
    <row r="64841" spans="20:20" s="566" customFormat="1">
      <c r="T64841" s="41"/>
    </row>
    <row r="64842" spans="20:20" s="566" customFormat="1">
      <c r="T64842" s="41"/>
    </row>
    <row r="64843" spans="20:20" s="566" customFormat="1">
      <c r="T64843" s="41"/>
    </row>
    <row r="64844" spans="20:20" s="566" customFormat="1">
      <c r="T64844" s="41"/>
    </row>
    <row r="64845" spans="20:20" s="566" customFormat="1">
      <c r="T64845" s="41"/>
    </row>
    <row r="64846" spans="20:20" s="566" customFormat="1">
      <c r="T64846" s="41"/>
    </row>
    <row r="64847" spans="20:20" s="566" customFormat="1">
      <c r="T64847" s="41"/>
    </row>
    <row r="64848" spans="20:20" s="566" customFormat="1">
      <c r="T64848" s="41"/>
    </row>
    <row r="64849" spans="20:20" s="566" customFormat="1">
      <c r="T64849" s="41"/>
    </row>
    <row r="64850" spans="20:20" s="566" customFormat="1">
      <c r="T64850" s="41"/>
    </row>
    <row r="64851" spans="20:20" s="566" customFormat="1">
      <c r="T64851" s="41"/>
    </row>
    <row r="64852" spans="20:20" s="566" customFormat="1">
      <c r="T64852" s="41"/>
    </row>
    <row r="64853" spans="20:20" s="566" customFormat="1">
      <c r="T64853" s="41"/>
    </row>
    <row r="64854" spans="20:20" s="566" customFormat="1">
      <c r="T64854" s="41"/>
    </row>
    <row r="64855" spans="20:20" s="566" customFormat="1">
      <c r="T64855" s="41"/>
    </row>
    <row r="64856" spans="20:20" s="566" customFormat="1">
      <c r="T64856" s="41"/>
    </row>
    <row r="64857" spans="20:20" s="566" customFormat="1">
      <c r="T64857" s="41"/>
    </row>
    <row r="64858" spans="20:20" s="566" customFormat="1">
      <c r="T64858" s="41"/>
    </row>
    <row r="64859" spans="20:20" s="566" customFormat="1">
      <c r="T64859" s="41"/>
    </row>
    <row r="64860" spans="20:20" s="566" customFormat="1">
      <c r="T64860" s="41"/>
    </row>
    <row r="64861" spans="20:20" s="566" customFormat="1">
      <c r="T64861" s="41"/>
    </row>
    <row r="64862" spans="20:20" s="566" customFormat="1">
      <c r="T64862" s="41"/>
    </row>
    <row r="64863" spans="20:20" s="566" customFormat="1">
      <c r="T64863" s="41"/>
    </row>
    <row r="64864" spans="20:20" s="566" customFormat="1">
      <c r="T64864" s="41"/>
    </row>
    <row r="64865" spans="20:20" s="566" customFormat="1">
      <c r="T64865" s="41"/>
    </row>
    <row r="64866" spans="20:20" s="566" customFormat="1">
      <c r="T64866" s="41"/>
    </row>
    <row r="64867" spans="20:20" s="566" customFormat="1">
      <c r="T64867" s="41"/>
    </row>
    <row r="64868" spans="20:20" s="566" customFormat="1">
      <c r="T64868" s="41"/>
    </row>
    <row r="64869" spans="20:20" s="566" customFormat="1">
      <c r="T64869" s="41"/>
    </row>
    <row r="64870" spans="20:20" s="566" customFormat="1">
      <c r="T64870" s="41"/>
    </row>
    <row r="64871" spans="20:20" s="566" customFormat="1">
      <c r="T64871" s="41"/>
    </row>
    <row r="64872" spans="20:20" s="566" customFormat="1">
      <c r="T64872" s="41"/>
    </row>
    <row r="64873" spans="20:20" s="566" customFormat="1">
      <c r="T64873" s="41"/>
    </row>
    <row r="64874" spans="20:20" s="566" customFormat="1">
      <c r="T64874" s="41"/>
    </row>
    <row r="64875" spans="20:20" s="566" customFormat="1">
      <c r="T64875" s="41"/>
    </row>
    <row r="64876" spans="20:20" s="566" customFormat="1">
      <c r="T64876" s="41"/>
    </row>
    <row r="64877" spans="20:20" s="566" customFormat="1">
      <c r="T64877" s="41"/>
    </row>
    <row r="64878" spans="20:20" s="566" customFormat="1">
      <c r="T64878" s="41"/>
    </row>
    <row r="64879" spans="20:20" s="566" customFormat="1">
      <c r="T64879" s="41"/>
    </row>
    <row r="64880" spans="20:20" s="566" customFormat="1">
      <c r="T64880" s="41"/>
    </row>
    <row r="64881" spans="20:20" s="566" customFormat="1">
      <c r="T64881" s="41"/>
    </row>
    <row r="64882" spans="20:20" s="566" customFormat="1">
      <c r="T64882" s="41"/>
    </row>
    <row r="64883" spans="20:20" s="566" customFormat="1">
      <c r="T64883" s="41"/>
    </row>
    <row r="64884" spans="20:20" s="566" customFormat="1">
      <c r="T64884" s="41"/>
    </row>
    <row r="64885" spans="20:20" s="566" customFormat="1">
      <c r="T64885" s="41"/>
    </row>
    <row r="64886" spans="20:20" s="566" customFormat="1">
      <c r="T64886" s="41"/>
    </row>
    <row r="64887" spans="20:20" s="566" customFormat="1">
      <c r="T64887" s="41"/>
    </row>
    <row r="64888" spans="20:20" s="566" customFormat="1">
      <c r="T64888" s="41"/>
    </row>
    <row r="64889" spans="20:20" s="566" customFormat="1">
      <c r="T64889" s="41"/>
    </row>
    <row r="64890" spans="20:20" s="566" customFormat="1">
      <c r="T64890" s="41"/>
    </row>
    <row r="64891" spans="20:20" s="566" customFormat="1">
      <c r="T64891" s="41"/>
    </row>
    <row r="64892" spans="20:20" s="566" customFormat="1">
      <c r="T64892" s="41"/>
    </row>
    <row r="64893" spans="20:20" s="566" customFormat="1">
      <c r="T64893" s="41"/>
    </row>
    <row r="64894" spans="20:20" s="566" customFormat="1">
      <c r="T64894" s="41"/>
    </row>
    <row r="64895" spans="20:20" s="566" customFormat="1">
      <c r="T64895" s="41"/>
    </row>
    <row r="64896" spans="20:20" s="566" customFormat="1">
      <c r="T64896" s="41"/>
    </row>
    <row r="64897" spans="20:20" s="566" customFormat="1">
      <c r="T64897" s="41"/>
    </row>
    <row r="64898" spans="20:20" s="566" customFormat="1">
      <c r="T64898" s="41"/>
    </row>
    <row r="64899" spans="20:20" s="566" customFormat="1">
      <c r="T64899" s="41"/>
    </row>
    <row r="64900" spans="20:20" s="566" customFormat="1">
      <c r="T64900" s="41"/>
    </row>
    <row r="64901" spans="20:20" s="566" customFormat="1">
      <c r="T64901" s="41"/>
    </row>
    <row r="64902" spans="20:20" s="566" customFormat="1">
      <c r="T64902" s="41"/>
    </row>
    <row r="64903" spans="20:20" s="566" customFormat="1">
      <c r="T64903" s="41"/>
    </row>
    <row r="64904" spans="20:20" s="566" customFormat="1">
      <c r="T64904" s="41"/>
    </row>
    <row r="64905" spans="20:20" s="566" customFormat="1">
      <c r="T64905" s="41"/>
    </row>
    <row r="64906" spans="20:20" s="566" customFormat="1">
      <c r="T64906" s="41"/>
    </row>
    <row r="64907" spans="20:20" s="566" customFormat="1">
      <c r="T64907" s="41"/>
    </row>
    <row r="64908" spans="20:20" s="566" customFormat="1">
      <c r="T64908" s="41"/>
    </row>
    <row r="64909" spans="20:20" s="566" customFormat="1">
      <c r="T64909" s="41"/>
    </row>
    <row r="64910" spans="20:20" s="566" customFormat="1">
      <c r="T64910" s="41"/>
    </row>
    <row r="64911" spans="20:20" s="566" customFormat="1">
      <c r="T64911" s="41"/>
    </row>
    <row r="64912" spans="20:20" s="566" customFormat="1">
      <c r="T64912" s="41"/>
    </row>
    <row r="64913" spans="20:20" s="566" customFormat="1">
      <c r="T64913" s="41"/>
    </row>
    <row r="64914" spans="20:20" s="566" customFormat="1">
      <c r="T64914" s="41"/>
    </row>
    <row r="64915" spans="20:20" s="566" customFormat="1">
      <c r="T64915" s="41"/>
    </row>
    <row r="64916" spans="20:20" s="566" customFormat="1">
      <c r="T64916" s="41"/>
    </row>
    <row r="64917" spans="20:20" s="566" customFormat="1">
      <c r="T64917" s="41"/>
    </row>
    <row r="64918" spans="20:20" s="566" customFormat="1">
      <c r="T64918" s="41"/>
    </row>
    <row r="64919" spans="20:20" s="566" customFormat="1">
      <c r="T64919" s="41"/>
    </row>
    <row r="64920" spans="20:20" s="566" customFormat="1">
      <c r="T64920" s="41"/>
    </row>
    <row r="64921" spans="20:20" s="566" customFormat="1">
      <c r="T64921" s="41"/>
    </row>
    <row r="64922" spans="20:20" s="566" customFormat="1">
      <c r="T64922" s="41"/>
    </row>
    <row r="64923" spans="20:20" s="566" customFormat="1">
      <c r="T64923" s="41"/>
    </row>
    <row r="64924" spans="20:20" s="566" customFormat="1">
      <c r="T64924" s="41"/>
    </row>
    <row r="64925" spans="20:20" s="566" customFormat="1">
      <c r="T64925" s="41"/>
    </row>
    <row r="64926" spans="20:20" s="566" customFormat="1">
      <c r="T64926" s="41"/>
    </row>
    <row r="64927" spans="20:20" s="566" customFormat="1">
      <c r="T64927" s="41"/>
    </row>
    <row r="64928" spans="20:20" s="566" customFormat="1">
      <c r="T64928" s="41"/>
    </row>
    <row r="64929" spans="20:20" s="566" customFormat="1">
      <c r="T64929" s="41"/>
    </row>
    <row r="64930" spans="20:20" s="566" customFormat="1">
      <c r="T64930" s="41"/>
    </row>
    <row r="64931" spans="20:20" s="566" customFormat="1">
      <c r="T64931" s="41"/>
    </row>
    <row r="64932" spans="20:20" s="566" customFormat="1">
      <c r="T64932" s="41"/>
    </row>
    <row r="64933" spans="20:20" s="566" customFormat="1">
      <c r="T64933" s="41"/>
    </row>
    <row r="64934" spans="20:20" s="566" customFormat="1">
      <c r="T64934" s="41"/>
    </row>
    <row r="64935" spans="20:20" s="566" customFormat="1">
      <c r="T64935" s="41"/>
    </row>
    <row r="64936" spans="20:20" s="566" customFormat="1">
      <c r="T64936" s="41"/>
    </row>
    <row r="64937" spans="20:20" s="566" customFormat="1">
      <c r="T64937" s="41"/>
    </row>
    <row r="64938" spans="20:20" s="566" customFormat="1">
      <c r="T64938" s="41"/>
    </row>
    <row r="64939" spans="20:20" s="566" customFormat="1">
      <c r="T64939" s="41"/>
    </row>
    <row r="64940" spans="20:20" s="566" customFormat="1">
      <c r="T64940" s="41"/>
    </row>
    <row r="64941" spans="20:20" s="566" customFormat="1">
      <c r="T64941" s="41"/>
    </row>
    <row r="64942" spans="20:20" s="566" customFormat="1">
      <c r="T64942" s="41"/>
    </row>
    <row r="64943" spans="20:20" s="566" customFormat="1">
      <c r="T64943" s="41"/>
    </row>
    <row r="64944" spans="20:20" s="566" customFormat="1">
      <c r="T64944" s="41"/>
    </row>
    <row r="64945" spans="20:20" s="566" customFormat="1">
      <c r="T64945" s="41"/>
    </row>
    <row r="64946" spans="20:20" s="566" customFormat="1">
      <c r="T64946" s="41"/>
    </row>
    <row r="64947" spans="20:20" s="566" customFormat="1">
      <c r="T64947" s="41"/>
    </row>
    <row r="64948" spans="20:20" s="566" customFormat="1">
      <c r="T64948" s="41"/>
    </row>
    <row r="64949" spans="20:20" s="566" customFormat="1">
      <c r="T64949" s="41"/>
    </row>
    <row r="64950" spans="20:20" s="566" customFormat="1">
      <c r="T64950" s="41"/>
    </row>
    <row r="64951" spans="20:20" s="566" customFormat="1">
      <c r="T64951" s="41"/>
    </row>
    <row r="64952" spans="20:20" s="566" customFormat="1">
      <c r="T64952" s="41"/>
    </row>
    <row r="64953" spans="20:20" s="566" customFormat="1">
      <c r="T64953" s="41"/>
    </row>
    <row r="64954" spans="20:20" s="566" customFormat="1">
      <c r="T64954" s="41"/>
    </row>
    <row r="64955" spans="20:20" s="566" customFormat="1">
      <c r="T64955" s="41"/>
    </row>
    <row r="64956" spans="20:20" s="566" customFormat="1">
      <c r="T64956" s="41"/>
    </row>
    <row r="64957" spans="20:20" s="566" customFormat="1">
      <c r="T64957" s="41"/>
    </row>
    <row r="64958" spans="20:20" s="566" customFormat="1">
      <c r="T64958" s="41"/>
    </row>
    <row r="64959" spans="20:20" s="566" customFormat="1">
      <c r="T64959" s="41"/>
    </row>
    <row r="64960" spans="20:20" s="566" customFormat="1">
      <c r="T64960" s="41"/>
    </row>
    <row r="64961" spans="20:20" s="566" customFormat="1">
      <c r="T64961" s="41"/>
    </row>
    <row r="64962" spans="20:20" s="566" customFormat="1">
      <c r="T64962" s="41"/>
    </row>
    <row r="64963" spans="20:20" s="566" customFormat="1">
      <c r="T64963" s="41"/>
    </row>
    <row r="64964" spans="20:20" s="566" customFormat="1">
      <c r="T64964" s="41"/>
    </row>
    <row r="64965" spans="20:20" s="566" customFormat="1">
      <c r="T64965" s="41"/>
    </row>
    <row r="64966" spans="20:20" s="566" customFormat="1">
      <c r="T64966" s="41"/>
    </row>
    <row r="64967" spans="20:20" s="566" customFormat="1">
      <c r="T64967" s="41"/>
    </row>
    <row r="64968" spans="20:20" s="566" customFormat="1">
      <c r="T64968" s="41"/>
    </row>
    <row r="64969" spans="20:20" s="566" customFormat="1">
      <c r="T64969" s="41"/>
    </row>
    <row r="64970" spans="20:20" s="566" customFormat="1">
      <c r="T64970" s="41"/>
    </row>
    <row r="64971" spans="20:20" s="566" customFormat="1">
      <c r="T64971" s="41"/>
    </row>
    <row r="64972" spans="20:20" s="566" customFormat="1">
      <c r="T64972" s="41"/>
    </row>
    <row r="64973" spans="20:20" s="566" customFormat="1">
      <c r="T64973" s="41"/>
    </row>
    <row r="64974" spans="20:20" s="566" customFormat="1">
      <c r="T64974" s="41"/>
    </row>
    <row r="64975" spans="20:20" s="566" customFormat="1">
      <c r="T64975" s="41"/>
    </row>
    <row r="64976" spans="20:20" s="566" customFormat="1">
      <c r="T64976" s="41"/>
    </row>
    <row r="64977" spans="20:20" s="566" customFormat="1">
      <c r="T64977" s="41"/>
    </row>
    <row r="64978" spans="20:20" s="566" customFormat="1">
      <c r="T64978" s="41"/>
    </row>
    <row r="64979" spans="20:20" s="566" customFormat="1">
      <c r="T64979" s="41"/>
    </row>
    <row r="64980" spans="20:20" s="566" customFormat="1">
      <c r="T64980" s="41"/>
    </row>
    <row r="64981" spans="20:20" s="566" customFormat="1">
      <c r="T64981" s="41"/>
    </row>
    <row r="64982" spans="20:20" s="566" customFormat="1">
      <c r="T64982" s="41"/>
    </row>
    <row r="64983" spans="20:20" s="566" customFormat="1">
      <c r="T64983" s="41"/>
    </row>
    <row r="64984" spans="20:20" s="566" customFormat="1">
      <c r="T64984" s="41"/>
    </row>
    <row r="64985" spans="20:20" s="566" customFormat="1">
      <c r="T64985" s="41"/>
    </row>
    <row r="64986" spans="20:20" s="566" customFormat="1">
      <c r="T64986" s="41"/>
    </row>
    <row r="64987" spans="20:20" s="566" customFormat="1">
      <c r="T64987" s="41"/>
    </row>
    <row r="64988" spans="20:20" s="566" customFormat="1">
      <c r="T64988" s="41"/>
    </row>
    <row r="64989" spans="20:20" s="566" customFormat="1">
      <c r="T64989" s="41"/>
    </row>
    <row r="64990" spans="20:20" s="566" customFormat="1">
      <c r="T64990" s="41"/>
    </row>
    <row r="64991" spans="20:20" s="566" customFormat="1">
      <c r="T64991" s="41"/>
    </row>
    <row r="64992" spans="20:20" s="566" customFormat="1">
      <c r="T64992" s="41"/>
    </row>
    <row r="64993" spans="20:20" s="566" customFormat="1">
      <c r="T64993" s="41"/>
    </row>
    <row r="64994" spans="20:20" s="566" customFormat="1">
      <c r="T64994" s="41"/>
    </row>
    <row r="64995" spans="20:20" s="566" customFormat="1">
      <c r="T64995" s="41"/>
    </row>
    <row r="64996" spans="20:20" s="566" customFormat="1">
      <c r="T64996" s="41"/>
    </row>
    <row r="64997" spans="20:20" s="566" customFormat="1">
      <c r="T64997" s="41"/>
    </row>
    <row r="64998" spans="20:20" s="566" customFormat="1">
      <c r="T64998" s="41"/>
    </row>
    <row r="64999" spans="20:20" s="566" customFormat="1">
      <c r="T64999" s="41"/>
    </row>
    <row r="65000" spans="20:20" s="566" customFormat="1">
      <c r="T65000" s="41"/>
    </row>
    <row r="65001" spans="20:20" s="566" customFormat="1">
      <c r="T65001" s="41"/>
    </row>
    <row r="65002" spans="20:20" s="566" customFormat="1">
      <c r="T65002" s="41"/>
    </row>
    <row r="65003" spans="20:20" s="566" customFormat="1">
      <c r="T65003" s="41"/>
    </row>
    <row r="65004" spans="20:20" s="566" customFormat="1">
      <c r="T65004" s="41"/>
    </row>
    <row r="65005" spans="20:20" s="566" customFormat="1">
      <c r="T65005" s="41"/>
    </row>
    <row r="65006" spans="20:20" s="566" customFormat="1">
      <c r="T65006" s="41"/>
    </row>
    <row r="65007" spans="20:20" s="566" customFormat="1">
      <c r="T65007" s="41"/>
    </row>
    <row r="65008" spans="20:20" s="566" customFormat="1">
      <c r="T65008" s="41"/>
    </row>
    <row r="65009" spans="20:20" s="566" customFormat="1">
      <c r="T65009" s="41"/>
    </row>
    <row r="65010" spans="20:20" s="566" customFormat="1">
      <c r="T65010" s="41"/>
    </row>
    <row r="65011" spans="20:20" s="566" customFormat="1">
      <c r="T65011" s="41"/>
    </row>
    <row r="65012" spans="20:20" s="566" customFormat="1">
      <c r="T65012" s="41"/>
    </row>
    <row r="65013" spans="20:20" s="566" customFormat="1">
      <c r="T65013" s="41"/>
    </row>
    <row r="65014" spans="20:20" s="566" customFormat="1">
      <c r="T65014" s="41"/>
    </row>
    <row r="65015" spans="20:20" s="566" customFormat="1">
      <c r="T65015" s="41"/>
    </row>
    <row r="65016" spans="20:20" s="566" customFormat="1">
      <c r="T65016" s="41"/>
    </row>
    <row r="65017" spans="20:20" s="566" customFormat="1">
      <c r="T65017" s="41"/>
    </row>
    <row r="65018" spans="20:20" s="566" customFormat="1">
      <c r="T65018" s="41"/>
    </row>
    <row r="65019" spans="20:20" s="566" customFormat="1">
      <c r="T65019" s="41"/>
    </row>
    <row r="65020" spans="20:20" s="566" customFormat="1">
      <c r="T65020" s="41"/>
    </row>
    <row r="65021" spans="20:20" s="566" customFormat="1">
      <c r="T65021" s="41"/>
    </row>
    <row r="65022" spans="20:20" s="566" customFormat="1">
      <c r="T65022" s="41"/>
    </row>
    <row r="65023" spans="20:20" s="566" customFormat="1">
      <c r="T65023" s="41"/>
    </row>
    <row r="65024" spans="20:20" s="566" customFormat="1">
      <c r="T65024" s="41"/>
    </row>
    <row r="65025" spans="20:20" s="566" customFormat="1">
      <c r="T65025" s="41"/>
    </row>
    <row r="65026" spans="20:20" s="566" customFormat="1">
      <c r="T65026" s="41"/>
    </row>
    <row r="65027" spans="20:20" s="566" customFormat="1">
      <c r="T65027" s="41"/>
    </row>
    <row r="65028" spans="20:20" s="566" customFormat="1">
      <c r="T65028" s="41"/>
    </row>
    <row r="65029" spans="20:20" s="566" customFormat="1">
      <c r="T65029" s="41"/>
    </row>
    <row r="65030" spans="20:20" s="566" customFormat="1">
      <c r="T65030" s="41"/>
    </row>
    <row r="65031" spans="20:20" s="566" customFormat="1">
      <c r="T65031" s="41"/>
    </row>
    <row r="65032" spans="20:20" s="566" customFormat="1">
      <c r="T65032" s="41"/>
    </row>
    <row r="65033" spans="20:20" s="566" customFormat="1">
      <c r="T65033" s="41"/>
    </row>
    <row r="65034" spans="20:20" s="566" customFormat="1">
      <c r="T65034" s="41"/>
    </row>
    <row r="65035" spans="20:20" s="566" customFormat="1">
      <c r="T65035" s="41"/>
    </row>
    <row r="65036" spans="20:20" s="566" customFormat="1">
      <c r="T65036" s="41"/>
    </row>
    <row r="65037" spans="20:20" s="566" customFormat="1">
      <c r="T65037" s="41"/>
    </row>
    <row r="65038" spans="20:20" s="566" customFormat="1">
      <c r="T65038" s="41"/>
    </row>
    <row r="65039" spans="20:20" s="566" customFormat="1">
      <c r="T65039" s="41"/>
    </row>
    <row r="65040" spans="20:20" s="566" customFormat="1">
      <c r="T65040" s="41"/>
    </row>
    <row r="65041" spans="20:20" s="566" customFormat="1">
      <c r="T65041" s="41"/>
    </row>
    <row r="65042" spans="20:20" s="566" customFormat="1">
      <c r="T65042" s="41"/>
    </row>
    <row r="65043" spans="20:20" s="566" customFormat="1">
      <c r="T65043" s="41"/>
    </row>
    <row r="65044" spans="20:20" s="566" customFormat="1">
      <c r="T65044" s="41"/>
    </row>
    <row r="65045" spans="20:20" s="566" customFormat="1">
      <c r="T65045" s="41"/>
    </row>
    <row r="65046" spans="20:20" s="566" customFormat="1">
      <c r="T65046" s="41"/>
    </row>
    <row r="65047" spans="20:20" s="566" customFormat="1">
      <c r="T65047" s="41"/>
    </row>
    <row r="65048" spans="20:20" s="566" customFormat="1">
      <c r="T65048" s="41"/>
    </row>
    <row r="65049" spans="20:20" s="566" customFormat="1">
      <c r="T65049" s="41"/>
    </row>
    <row r="65050" spans="20:20" s="566" customFormat="1">
      <c r="T65050" s="41"/>
    </row>
    <row r="65051" spans="20:20" s="566" customFormat="1">
      <c r="T65051" s="41"/>
    </row>
    <row r="65052" spans="20:20" s="566" customFormat="1">
      <c r="T65052" s="41"/>
    </row>
    <row r="65053" spans="20:20" s="566" customFormat="1">
      <c r="T65053" s="41"/>
    </row>
    <row r="65054" spans="20:20" s="566" customFormat="1">
      <c r="T65054" s="41"/>
    </row>
    <row r="65055" spans="20:20" s="566" customFormat="1">
      <c r="T65055" s="41"/>
    </row>
    <row r="65056" spans="20:20" s="566" customFormat="1">
      <c r="T65056" s="41"/>
    </row>
    <row r="65057" spans="20:20" s="566" customFormat="1">
      <c r="T65057" s="41"/>
    </row>
    <row r="65058" spans="20:20" s="566" customFormat="1">
      <c r="T65058" s="41"/>
    </row>
    <row r="65059" spans="20:20" s="566" customFormat="1">
      <c r="T65059" s="41"/>
    </row>
    <row r="65060" spans="20:20" s="566" customFormat="1">
      <c r="T65060" s="41"/>
    </row>
    <row r="65061" spans="20:20" s="566" customFormat="1">
      <c r="T65061" s="41"/>
    </row>
    <row r="65062" spans="20:20" s="566" customFormat="1">
      <c r="T65062" s="41"/>
    </row>
    <row r="65063" spans="20:20" s="566" customFormat="1">
      <c r="T65063" s="41"/>
    </row>
    <row r="65064" spans="20:20" s="566" customFormat="1">
      <c r="T65064" s="41"/>
    </row>
    <row r="65065" spans="20:20" s="566" customFormat="1">
      <c r="T65065" s="41"/>
    </row>
    <row r="65066" spans="20:20" s="566" customFormat="1">
      <c r="T65066" s="41"/>
    </row>
    <row r="65067" spans="20:20" s="566" customFormat="1">
      <c r="T65067" s="41"/>
    </row>
    <row r="65068" spans="20:20" s="566" customFormat="1">
      <c r="T65068" s="41"/>
    </row>
    <row r="65069" spans="20:20" s="566" customFormat="1">
      <c r="T65069" s="41"/>
    </row>
    <row r="65070" spans="20:20" s="566" customFormat="1">
      <c r="T65070" s="41"/>
    </row>
    <row r="65071" spans="20:20" s="566" customFormat="1">
      <c r="T65071" s="41"/>
    </row>
    <row r="65072" spans="20:20" s="566" customFormat="1">
      <c r="T65072" s="41"/>
    </row>
    <row r="65073" spans="20:20" s="566" customFormat="1">
      <c r="T65073" s="41"/>
    </row>
    <row r="65074" spans="20:20" s="566" customFormat="1">
      <c r="T65074" s="41"/>
    </row>
    <row r="65075" spans="20:20" s="566" customFormat="1">
      <c r="T65075" s="41"/>
    </row>
    <row r="65076" spans="20:20" s="566" customFormat="1">
      <c r="T65076" s="41"/>
    </row>
    <row r="65077" spans="20:20" s="566" customFormat="1">
      <c r="T65077" s="41"/>
    </row>
    <row r="65078" spans="20:20" s="566" customFormat="1">
      <c r="T65078" s="41"/>
    </row>
    <row r="65079" spans="20:20" s="566" customFormat="1">
      <c r="T65079" s="41"/>
    </row>
    <row r="65080" spans="20:20" s="566" customFormat="1">
      <c r="T65080" s="41"/>
    </row>
    <row r="65081" spans="20:20" s="566" customFormat="1">
      <c r="T65081" s="41"/>
    </row>
    <row r="65082" spans="20:20" s="566" customFormat="1">
      <c r="T65082" s="41"/>
    </row>
    <row r="65083" spans="20:20" s="566" customFormat="1">
      <c r="T65083" s="41"/>
    </row>
    <row r="65084" spans="20:20" s="566" customFormat="1">
      <c r="T65084" s="41"/>
    </row>
    <row r="65085" spans="20:20" s="566" customFormat="1">
      <c r="T65085" s="41"/>
    </row>
    <row r="65086" spans="20:20" s="566" customFormat="1">
      <c r="T65086" s="41"/>
    </row>
    <row r="65087" spans="20:20" s="566" customFormat="1">
      <c r="T65087" s="41"/>
    </row>
    <row r="65088" spans="20:20" s="566" customFormat="1">
      <c r="T65088" s="41"/>
    </row>
    <row r="65089" spans="20:20" s="566" customFormat="1">
      <c r="T65089" s="41"/>
    </row>
    <row r="65090" spans="20:20" s="566" customFormat="1">
      <c r="T65090" s="41"/>
    </row>
    <row r="65091" spans="20:20" s="566" customFormat="1">
      <c r="T65091" s="41"/>
    </row>
    <row r="65092" spans="20:20" s="566" customFormat="1">
      <c r="T65092" s="41"/>
    </row>
    <row r="65093" spans="20:20" s="566" customFormat="1">
      <c r="T65093" s="41"/>
    </row>
    <row r="65094" spans="20:20" s="566" customFormat="1">
      <c r="T65094" s="41"/>
    </row>
    <row r="65095" spans="20:20" s="566" customFormat="1">
      <c r="T65095" s="41"/>
    </row>
    <row r="65096" spans="20:20" s="566" customFormat="1">
      <c r="T65096" s="41"/>
    </row>
    <row r="65097" spans="20:20" s="566" customFormat="1">
      <c r="T65097" s="41"/>
    </row>
    <row r="65098" spans="20:20" s="566" customFormat="1">
      <c r="T65098" s="41"/>
    </row>
    <row r="65099" spans="20:20" s="566" customFormat="1">
      <c r="T65099" s="41"/>
    </row>
    <row r="65100" spans="20:20" s="566" customFormat="1">
      <c r="T65100" s="41"/>
    </row>
    <row r="65101" spans="20:20" s="566" customFormat="1">
      <c r="T65101" s="41"/>
    </row>
    <row r="65102" spans="20:20" s="566" customFormat="1">
      <c r="T65102" s="41"/>
    </row>
    <row r="65103" spans="20:20" s="566" customFormat="1">
      <c r="T65103" s="41"/>
    </row>
    <row r="65104" spans="20:20" s="566" customFormat="1">
      <c r="T65104" s="41"/>
    </row>
    <row r="65105" spans="20:20" s="566" customFormat="1">
      <c r="T65105" s="41"/>
    </row>
    <row r="65106" spans="20:20" s="566" customFormat="1">
      <c r="T65106" s="41"/>
    </row>
    <row r="65107" spans="20:20" s="566" customFormat="1">
      <c r="T65107" s="41"/>
    </row>
    <row r="65108" spans="20:20" s="566" customFormat="1">
      <c r="T65108" s="41"/>
    </row>
    <row r="65109" spans="20:20" s="566" customFormat="1">
      <c r="T65109" s="41"/>
    </row>
    <row r="65110" spans="20:20" s="566" customFormat="1">
      <c r="T65110" s="41"/>
    </row>
    <row r="65111" spans="20:20" s="566" customFormat="1">
      <c r="T65111" s="41"/>
    </row>
    <row r="65112" spans="20:20" s="566" customFormat="1">
      <c r="T65112" s="41"/>
    </row>
    <row r="65113" spans="20:20" s="566" customFormat="1">
      <c r="T65113" s="41"/>
    </row>
    <row r="65114" spans="20:20" s="566" customFormat="1">
      <c r="T65114" s="41"/>
    </row>
    <row r="65115" spans="20:20" s="566" customFormat="1">
      <c r="T65115" s="41"/>
    </row>
    <row r="65116" spans="20:20" s="566" customFormat="1">
      <c r="T65116" s="41"/>
    </row>
    <row r="65117" spans="20:20" s="566" customFormat="1">
      <c r="T65117" s="41"/>
    </row>
    <row r="65118" spans="20:20" s="566" customFormat="1">
      <c r="T65118" s="41"/>
    </row>
    <row r="65119" spans="20:20" s="566" customFormat="1">
      <c r="T65119" s="41"/>
    </row>
    <row r="65120" spans="20:20" s="566" customFormat="1">
      <c r="T65120" s="41"/>
    </row>
    <row r="65121" spans="20:20" s="566" customFormat="1">
      <c r="T65121" s="41"/>
    </row>
    <row r="65122" spans="20:20" s="566" customFormat="1">
      <c r="T65122" s="41"/>
    </row>
    <row r="65123" spans="20:20" s="566" customFormat="1">
      <c r="T65123" s="41"/>
    </row>
    <row r="65124" spans="20:20" s="566" customFormat="1">
      <c r="T65124" s="41"/>
    </row>
    <row r="65125" spans="20:20" s="566" customFormat="1">
      <c r="T65125" s="41"/>
    </row>
    <row r="65126" spans="20:20" s="566" customFormat="1">
      <c r="T65126" s="41"/>
    </row>
    <row r="65127" spans="20:20" s="566" customFormat="1">
      <c r="T65127" s="41"/>
    </row>
    <row r="65128" spans="20:20" s="566" customFormat="1">
      <c r="T65128" s="41"/>
    </row>
    <row r="65129" spans="20:20" s="566" customFormat="1">
      <c r="T65129" s="41"/>
    </row>
    <row r="65130" spans="20:20" s="566" customFormat="1">
      <c r="T65130" s="41"/>
    </row>
    <row r="65131" spans="20:20" s="566" customFormat="1">
      <c r="T65131" s="41"/>
    </row>
    <row r="65132" spans="20:20" s="566" customFormat="1">
      <c r="T65132" s="41"/>
    </row>
    <row r="65133" spans="20:20" s="566" customFormat="1">
      <c r="T65133" s="41"/>
    </row>
    <row r="65134" spans="20:20" s="566" customFormat="1">
      <c r="T65134" s="41"/>
    </row>
    <row r="65135" spans="20:20" s="566" customFormat="1">
      <c r="T65135" s="41"/>
    </row>
    <row r="65136" spans="20:20" s="566" customFormat="1">
      <c r="T65136" s="41"/>
    </row>
    <row r="65137" spans="20:20" s="566" customFormat="1">
      <c r="T65137" s="41"/>
    </row>
    <row r="65138" spans="20:20" s="566" customFormat="1">
      <c r="T65138" s="41"/>
    </row>
    <row r="65139" spans="20:20" s="566" customFormat="1">
      <c r="T65139" s="41"/>
    </row>
    <row r="65140" spans="20:20" s="566" customFormat="1">
      <c r="T65140" s="41"/>
    </row>
    <row r="65141" spans="20:20" s="566" customFormat="1">
      <c r="T65141" s="41"/>
    </row>
    <row r="65142" spans="20:20" s="566" customFormat="1">
      <c r="T65142" s="41"/>
    </row>
    <row r="65143" spans="20:20" s="566" customFormat="1">
      <c r="T65143" s="41"/>
    </row>
    <row r="65144" spans="20:20" s="566" customFormat="1">
      <c r="T65144" s="41"/>
    </row>
    <row r="65145" spans="20:20" s="566" customFormat="1">
      <c r="T65145" s="41"/>
    </row>
    <row r="65146" spans="20:20" s="566" customFormat="1">
      <c r="T65146" s="41"/>
    </row>
    <row r="65147" spans="20:20" s="566" customFormat="1">
      <c r="T65147" s="41"/>
    </row>
    <row r="65148" spans="20:20" s="566" customFormat="1">
      <c r="T65148" s="41"/>
    </row>
    <row r="65149" spans="20:20" s="566" customFormat="1">
      <c r="T65149" s="41"/>
    </row>
    <row r="65150" spans="20:20" s="566" customFormat="1">
      <c r="T65150" s="41"/>
    </row>
    <row r="65151" spans="20:20" s="566" customFormat="1">
      <c r="T65151" s="41"/>
    </row>
    <row r="65152" spans="20:20" s="566" customFormat="1">
      <c r="T65152" s="41"/>
    </row>
    <row r="65153" spans="20:20" s="566" customFormat="1">
      <c r="T65153" s="41"/>
    </row>
    <row r="65154" spans="20:20" s="566" customFormat="1">
      <c r="T65154" s="41"/>
    </row>
    <row r="65155" spans="20:20" s="566" customFormat="1">
      <c r="T65155" s="41"/>
    </row>
    <row r="65156" spans="20:20" s="566" customFormat="1">
      <c r="T65156" s="41"/>
    </row>
    <row r="65157" spans="20:20" s="566" customFormat="1">
      <c r="T65157" s="41"/>
    </row>
    <row r="65158" spans="20:20" s="566" customFormat="1">
      <c r="T65158" s="41"/>
    </row>
    <row r="65159" spans="20:20" s="566" customFormat="1">
      <c r="T65159" s="41"/>
    </row>
    <row r="65160" spans="20:20" s="566" customFormat="1">
      <c r="T65160" s="41"/>
    </row>
    <row r="65161" spans="20:20" s="566" customFormat="1">
      <c r="T65161" s="41"/>
    </row>
    <row r="65162" spans="20:20" s="566" customFormat="1">
      <c r="T65162" s="41"/>
    </row>
    <row r="65163" spans="20:20" s="566" customFormat="1">
      <c r="T65163" s="41"/>
    </row>
    <row r="65164" spans="20:20" s="566" customFormat="1">
      <c r="T65164" s="41"/>
    </row>
    <row r="65165" spans="20:20" s="566" customFormat="1">
      <c r="T65165" s="41"/>
    </row>
    <row r="65166" spans="20:20" s="566" customFormat="1">
      <c r="T65166" s="41"/>
    </row>
    <row r="65167" spans="20:20" s="566" customFormat="1">
      <c r="T65167" s="41"/>
    </row>
    <row r="65168" spans="20:20" s="566" customFormat="1">
      <c r="T65168" s="41"/>
    </row>
    <row r="65169" spans="20:20" s="566" customFormat="1">
      <c r="T65169" s="41"/>
    </row>
    <row r="65170" spans="20:20" s="566" customFormat="1">
      <c r="T65170" s="41"/>
    </row>
    <row r="65171" spans="20:20" s="566" customFormat="1">
      <c r="T65171" s="41"/>
    </row>
    <row r="65172" spans="20:20" s="566" customFormat="1">
      <c r="T65172" s="41"/>
    </row>
    <row r="65173" spans="20:20" s="566" customFormat="1">
      <c r="T65173" s="41"/>
    </row>
    <row r="65174" spans="20:20" s="566" customFormat="1">
      <c r="T65174" s="41"/>
    </row>
    <row r="65175" spans="20:20" s="566" customFormat="1">
      <c r="T65175" s="41"/>
    </row>
    <row r="65176" spans="20:20" s="566" customFormat="1">
      <c r="T65176" s="41"/>
    </row>
    <row r="65177" spans="20:20" s="566" customFormat="1">
      <c r="T65177" s="41"/>
    </row>
    <row r="65178" spans="20:20" s="566" customFormat="1">
      <c r="T65178" s="41"/>
    </row>
    <row r="65179" spans="20:20" s="566" customFormat="1">
      <c r="T65179" s="41"/>
    </row>
    <row r="65180" spans="20:20" s="566" customFormat="1">
      <c r="T65180" s="41"/>
    </row>
    <row r="65181" spans="20:20" s="566" customFormat="1">
      <c r="T65181" s="41"/>
    </row>
    <row r="65182" spans="20:20" s="566" customFormat="1">
      <c r="T65182" s="41"/>
    </row>
    <row r="65183" spans="20:20" s="566" customFormat="1">
      <c r="T65183" s="41"/>
    </row>
    <row r="65184" spans="20:20" s="566" customFormat="1">
      <c r="T65184" s="41"/>
    </row>
    <row r="65185" spans="20:20" s="566" customFormat="1">
      <c r="T65185" s="41"/>
    </row>
    <row r="65186" spans="20:20" s="566" customFormat="1">
      <c r="T65186" s="41"/>
    </row>
    <row r="65187" spans="20:20" s="566" customFormat="1">
      <c r="T65187" s="41"/>
    </row>
    <row r="65188" spans="20:20" s="566" customFormat="1">
      <c r="T65188" s="41"/>
    </row>
    <row r="65189" spans="20:20" s="566" customFormat="1">
      <c r="T65189" s="41"/>
    </row>
    <row r="65190" spans="20:20" s="566" customFormat="1">
      <c r="T65190" s="41"/>
    </row>
    <row r="65191" spans="20:20" s="566" customFormat="1">
      <c r="T65191" s="41"/>
    </row>
    <row r="65192" spans="20:20" s="566" customFormat="1">
      <c r="T65192" s="41"/>
    </row>
    <row r="65193" spans="20:20" s="566" customFormat="1">
      <c r="T65193" s="41"/>
    </row>
    <row r="65194" spans="20:20" s="566" customFormat="1">
      <c r="T65194" s="41"/>
    </row>
    <row r="65195" spans="20:20" s="566" customFormat="1">
      <c r="T65195" s="41"/>
    </row>
    <row r="65196" spans="20:20" s="566" customFormat="1">
      <c r="T65196" s="41"/>
    </row>
    <row r="65197" spans="20:20" s="566" customFormat="1">
      <c r="T65197" s="41"/>
    </row>
    <row r="65198" spans="20:20" s="566" customFormat="1">
      <c r="T65198" s="41"/>
    </row>
    <row r="65199" spans="20:20" s="566" customFormat="1">
      <c r="T65199" s="41"/>
    </row>
    <row r="65200" spans="20:20" s="566" customFormat="1">
      <c r="T65200" s="41"/>
    </row>
    <row r="65201" spans="20:20" s="566" customFormat="1">
      <c r="T65201" s="41"/>
    </row>
    <row r="65202" spans="20:20" s="566" customFormat="1">
      <c r="T65202" s="41"/>
    </row>
    <row r="65203" spans="20:20" s="566" customFormat="1">
      <c r="T65203" s="41"/>
    </row>
    <row r="65204" spans="20:20" s="566" customFormat="1">
      <c r="T65204" s="41"/>
    </row>
    <row r="65205" spans="20:20" s="566" customFormat="1">
      <c r="T65205" s="41"/>
    </row>
    <row r="65206" spans="20:20" s="566" customFormat="1">
      <c r="T65206" s="41"/>
    </row>
    <row r="65207" spans="20:20" s="566" customFormat="1">
      <c r="T65207" s="41"/>
    </row>
    <row r="65208" spans="20:20" s="566" customFormat="1">
      <c r="T65208" s="41"/>
    </row>
    <row r="65209" spans="20:20" s="566" customFormat="1">
      <c r="T65209" s="41"/>
    </row>
    <row r="65210" spans="20:20" s="566" customFormat="1">
      <c r="T65210" s="41"/>
    </row>
    <row r="65211" spans="20:20" s="566" customFormat="1">
      <c r="T65211" s="41"/>
    </row>
    <row r="65212" spans="20:20" s="566" customFormat="1">
      <c r="T65212" s="41"/>
    </row>
    <row r="65213" spans="20:20" s="566" customFormat="1">
      <c r="T65213" s="41"/>
    </row>
    <row r="65214" spans="20:20" s="566" customFormat="1">
      <c r="T65214" s="41"/>
    </row>
    <row r="65215" spans="20:20" s="566" customFormat="1">
      <c r="T65215" s="41"/>
    </row>
    <row r="65216" spans="20:20" s="566" customFormat="1">
      <c r="T65216" s="41"/>
    </row>
    <row r="65217" spans="20:20" s="566" customFormat="1">
      <c r="T65217" s="41"/>
    </row>
    <row r="65218" spans="20:20" s="566" customFormat="1">
      <c r="T65218" s="41"/>
    </row>
    <row r="65219" spans="20:20" s="566" customFormat="1">
      <c r="T65219" s="41"/>
    </row>
    <row r="65220" spans="20:20" s="566" customFormat="1">
      <c r="T65220" s="41"/>
    </row>
    <row r="65221" spans="20:20" s="566" customFormat="1">
      <c r="T65221" s="41"/>
    </row>
    <row r="65222" spans="20:20" s="566" customFormat="1">
      <c r="T65222" s="41"/>
    </row>
    <row r="65223" spans="20:20" s="566" customFormat="1">
      <c r="T65223" s="41"/>
    </row>
    <row r="65224" spans="20:20" s="566" customFormat="1">
      <c r="T65224" s="41"/>
    </row>
    <row r="65225" spans="20:20" s="566" customFormat="1">
      <c r="T65225" s="41"/>
    </row>
    <row r="65226" spans="20:20" s="566" customFormat="1">
      <c r="T65226" s="41"/>
    </row>
    <row r="65227" spans="20:20" s="566" customFormat="1">
      <c r="T65227" s="41"/>
    </row>
    <row r="65228" spans="20:20" s="566" customFormat="1">
      <c r="T65228" s="41"/>
    </row>
    <row r="65229" spans="20:20" s="566" customFormat="1">
      <c r="T65229" s="41"/>
    </row>
    <row r="65230" spans="20:20" s="566" customFormat="1">
      <c r="T65230" s="41"/>
    </row>
    <row r="65231" spans="20:20" s="566" customFormat="1">
      <c r="T65231" s="41"/>
    </row>
    <row r="65232" spans="20:20" s="566" customFormat="1">
      <c r="T65232" s="41"/>
    </row>
    <row r="65233" spans="20:20" s="566" customFormat="1">
      <c r="T65233" s="41"/>
    </row>
    <row r="65234" spans="20:20" s="566" customFormat="1">
      <c r="T65234" s="41"/>
    </row>
    <row r="65235" spans="20:20" s="566" customFormat="1">
      <c r="T65235" s="41"/>
    </row>
    <row r="65236" spans="20:20" s="566" customFormat="1">
      <c r="T65236" s="41"/>
    </row>
    <row r="65237" spans="20:20" s="566" customFormat="1">
      <c r="T65237" s="41"/>
    </row>
    <row r="65238" spans="20:20" s="566" customFormat="1">
      <c r="T65238" s="41"/>
    </row>
    <row r="65239" spans="20:20" s="566" customFormat="1">
      <c r="T65239" s="41"/>
    </row>
    <row r="65240" spans="20:20" s="566" customFormat="1">
      <c r="T65240" s="41"/>
    </row>
    <row r="65241" spans="20:20" s="566" customFormat="1">
      <c r="T65241" s="41"/>
    </row>
    <row r="65242" spans="20:20" s="566" customFormat="1">
      <c r="T65242" s="41"/>
    </row>
    <row r="65243" spans="20:20" s="566" customFormat="1">
      <c r="T65243" s="41"/>
    </row>
    <row r="65244" spans="20:20" s="566" customFormat="1">
      <c r="T65244" s="41"/>
    </row>
    <row r="65245" spans="20:20" s="566" customFormat="1">
      <c r="T65245" s="41"/>
    </row>
    <row r="65246" spans="20:20" s="566" customFormat="1">
      <c r="T65246" s="41"/>
    </row>
    <row r="65247" spans="20:20" s="566" customFormat="1">
      <c r="T65247" s="41"/>
    </row>
    <row r="65248" spans="20:20" s="566" customFormat="1">
      <c r="T65248" s="41"/>
    </row>
    <row r="65249" spans="20:20" s="566" customFormat="1">
      <c r="T65249" s="41"/>
    </row>
    <row r="65250" spans="20:20" s="566" customFormat="1">
      <c r="T65250" s="41"/>
    </row>
    <row r="65251" spans="20:20" s="566" customFormat="1">
      <c r="T65251" s="41"/>
    </row>
    <row r="65252" spans="20:20" s="566" customFormat="1">
      <c r="T65252" s="41"/>
    </row>
    <row r="65253" spans="20:20" s="566" customFormat="1">
      <c r="T65253" s="41"/>
    </row>
    <row r="65254" spans="20:20" s="566" customFormat="1">
      <c r="T65254" s="41"/>
    </row>
    <row r="65255" spans="20:20" s="566" customFormat="1">
      <c r="T65255" s="41"/>
    </row>
    <row r="65256" spans="20:20" s="566" customFormat="1">
      <c r="T65256" s="41"/>
    </row>
    <row r="65257" spans="20:20" s="566" customFormat="1">
      <c r="T65257" s="41"/>
    </row>
    <row r="65258" spans="20:20" s="566" customFormat="1">
      <c r="T65258" s="41"/>
    </row>
    <row r="65259" spans="20:20" s="566" customFormat="1">
      <c r="T65259" s="41"/>
    </row>
    <row r="65260" spans="20:20" s="566" customFormat="1">
      <c r="T65260" s="41"/>
    </row>
    <row r="65261" spans="20:20" s="566" customFormat="1">
      <c r="T65261" s="41"/>
    </row>
    <row r="65262" spans="20:20" s="566" customFormat="1">
      <c r="T65262" s="41"/>
    </row>
    <row r="65263" spans="20:20" s="566" customFormat="1">
      <c r="T65263" s="41"/>
    </row>
    <row r="65264" spans="20:20" s="566" customFormat="1">
      <c r="T65264" s="41"/>
    </row>
    <row r="65265" spans="20:20" s="566" customFormat="1">
      <c r="T65265" s="41"/>
    </row>
    <row r="65266" spans="20:20" s="566" customFormat="1">
      <c r="T65266" s="41"/>
    </row>
    <row r="65267" spans="20:20" s="566" customFormat="1">
      <c r="T65267" s="41"/>
    </row>
    <row r="65268" spans="20:20" s="566" customFormat="1">
      <c r="T65268" s="41"/>
    </row>
    <row r="65269" spans="20:20" s="566" customFormat="1">
      <c r="T65269" s="41"/>
    </row>
    <row r="65270" spans="20:20" s="566" customFormat="1">
      <c r="T65270" s="41"/>
    </row>
    <row r="65271" spans="20:20" s="566" customFormat="1">
      <c r="T65271" s="41"/>
    </row>
    <row r="65272" spans="20:20" s="566" customFormat="1">
      <c r="T65272" s="41"/>
    </row>
    <row r="65273" spans="20:20" s="566" customFormat="1">
      <c r="T65273" s="41"/>
    </row>
    <row r="65274" spans="20:20" s="566" customFormat="1">
      <c r="T65274" s="41"/>
    </row>
    <row r="65275" spans="20:20" s="566" customFormat="1">
      <c r="T65275" s="41"/>
    </row>
    <row r="65276" spans="20:20" s="566" customFormat="1">
      <c r="T65276" s="41"/>
    </row>
    <row r="65277" spans="20:20" s="566" customFormat="1">
      <c r="T65277" s="41"/>
    </row>
    <row r="65278" spans="20:20" s="566" customFormat="1">
      <c r="T65278" s="41"/>
    </row>
    <row r="65279" spans="20:20" s="566" customFormat="1">
      <c r="T65279" s="41"/>
    </row>
    <row r="65280" spans="20:20" s="566" customFormat="1">
      <c r="T65280" s="41"/>
    </row>
    <row r="65281" spans="20:20" s="566" customFormat="1">
      <c r="T65281" s="41"/>
    </row>
    <row r="65282" spans="20:20" s="566" customFormat="1">
      <c r="T65282" s="41"/>
    </row>
    <row r="65283" spans="20:20" s="566" customFormat="1">
      <c r="T65283" s="41"/>
    </row>
    <row r="65284" spans="20:20" s="566" customFormat="1">
      <c r="T65284" s="41"/>
    </row>
    <row r="65285" spans="20:20" s="566" customFormat="1">
      <c r="T65285" s="41"/>
    </row>
    <row r="65286" spans="20:20" s="566" customFormat="1">
      <c r="T65286" s="41"/>
    </row>
    <row r="65287" spans="20:20" s="566" customFormat="1">
      <c r="T65287" s="41"/>
    </row>
    <row r="65288" spans="20:20" s="566" customFormat="1">
      <c r="T65288" s="41"/>
    </row>
    <row r="65289" spans="20:20" s="566" customFormat="1">
      <c r="T65289" s="41"/>
    </row>
    <row r="65290" spans="20:20" s="566" customFormat="1">
      <c r="T65290" s="41"/>
    </row>
    <row r="65291" spans="20:20" s="566" customFormat="1">
      <c r="T65291" s="41"/>
    </row>
    <row r="65292" spans="20:20" s="566" customFormat="1">
      <c r="T65292" s="41"/>
    </row>
    <row r="65293" spans="20:20" s="566" customFormat="1">
      <c r="T65293" s="41"/>
    </row>
    <row r="65294" spans="20:20" s="566" customFormat="1">
      <c r="T65294" s="41"/>
    </row>
    <row r="65295" spans="20:20" s="566" customFormat="1">
      <c r="T65295" s="41"/>
    </row>
    <row r="65296" spans="20:20" s="566" customFormat="1">
      <c r="T65296" s="41"/>
    </row>
    <row r="65297" spans="20:20" s="566" customFormat="1">
      <c r="T65297" s="41"/>
    </row>
    <row r="65298" spans="20:20" s="566" customFormat="1">
      <c r="T65298" s="41"/>
    </row>
    <row r="65299" spans="20:20" s="566" customFormat="1">
      <c r="T65299" s="41"/>
    </row>
    <row r="65300" spans="20:20" s="566" customFormat="1">
      <c r="T65300" s="41"/>
    </row>
    <row r="65301" spans="20:20" s="566" customFormat="1">
      <c r="T65301" s="41"/>
    </row>
    <row r="65302" spans="20:20" s="566" customFormat="1">
      <c r="T65302" s="41"/>
    </row>
    <row r="65303" spans="20:20" s="566" customFormat="1">
      <c r="T65303" s="41"/>
    </row>
    <row r="65304" spans="20:20" s="566" customFormat="1">
      <c r="T65304" s="41"/>
    </row>
    <row r="65305" spans="20:20" s="566" customFormat="1">
      <c r="T65305" s="41"/>
    </row>
    <row r="65306" spans="20:20" s="566" customFormat="1">
      <c r="T65306" s="41"/>
    </row>
    <row r="65307" spans="20:20" s="566" customFormat="1">
      <c r="T65307" s="41"/>
    </row>
    <row r="65308" spans="20:20" s="566" customFormat="1">
      <c r="T65308" s="41"/>
    </row>
    <row r="65309" spans="20:20" s="566" customFormat="1">
      <c r="T65309" s="41"/>
    </row>
    <row r="65310" spans="20:20" s="566" customFormat="1">
      <c r="T65310" s="41"/>
    </row>
    <row r="65311" spans="20:20" s="566" customFormat="1">
      <c r="T65311" s="41"/>
    </row>
    <row r="65312" spans="20:20" s="566" customFormat="1">
      <c r="T65312" s="41"/>
    </row>
    <row r="65313" spans="20:20" s="566" customFormat="1">
      <c r="T65313" s="41"/>
    </row>
    <row r="65314" spans="20:20" s="566" customFormat="1">
      <c r="T65314" s="41"/>
    </row>
    <row r="65315" spans="20:20" s="566" customFormat="1">
      <c r="T65315" s="41"/>
    </row>
    <row r="65316" spans="20:20" s="566" customFormat="1">
      <c r="T65316" s="41"/>
    </row>
    <row r="65317" spans="20:20" s="566" customFormat="1">
      <c r="T65317" s="41"/>
    </row>
    <row r="65318" spans="20:20" s="566" customFormat="1">
      <c r="T65318" s="41"/>
    </row>
    <row r="65319" spans="20:20" s="566" customFormat="1">
      <c r="T65319" s="41"/>
    </row>
    <row r="65320" spans="20:20" s="566" customFormat="1">
      <c r="T65320" s="41"/>
    </row>
    <row r="65321" spans="20:20" s="566" customFormat="1">
      <c r="T65321" s="41"/>
    </row>
    <row r="65322" spans="20:20" s="566" customFormat="1">
      <c r="T65322" s="41"/>
    </row>
    <row r="65323" spans="20:20" s="566" customFormat="1">
      <c r="T65323" s="41"/>
    </row>
    <row r="65324" spans="20:20" s="566" customFormat="1">
      <c r="T65324" s="41"/>
    </row>
    <row r="65325" spans="20:20" s="566" customFormat="1">
      <c r="T65325" s="41"/>
    </row>
    <row r="65326" spans="20:20" s="566" customFormat="1">
      <c r="T65326" s="41"/>
    </row>
    <row r="65327" spans="20:20" s="566" customFormat="1">
      <c r="T65327" s="41"/>
    </row>
    <row r="65328" spans="20:20" s="566" customFormat="1">
      <c r="T65328" s="41"/>
    </row>
    <row r="65329" spans="20:20" s="566" customFormat="1">
      <c r="T65329" s="41"/>
    </row>
    <row r="65330" spans="20:20" s="566" customFormat="1">
      <c r="T65330" s="41"/>
    </row>
    <row r="65331" spans="20:20" s="566" customFormat="1">
      <c r="T65331" s="41"/>
    </row>
    <row r="65332" spans="20:20" s="566" customFormat="1">
      <c r="T65332" s="41"/>
    </row>
    <row r="65333" spans="20:20" s="566" customFormat="1">
      <c r="T65333" s="41"/>
    </row>
    <row r="65334" spans="20:20" s="566" customFormat="1">
      <c r="T65334" s="41"/>
    </row>
    <row r="65335" spans="20:20" s="566" customFormat="1">
      <c r="T65335" s="41"/>
    </row>
    <row r="65336" spans="20:20" s="566" customFormat="1">
      <c r="T65336" s="41"/>
    </row>
    <row r="65337" spans="20:20" s="566" customFormat="1">
      <c r="T65337" s="41"/>
    </row>
    <row r="65338" spans="20:20" s="566" customFormat="1">
      <c r="T65338" s="41"/>
    </row>
    <row r="65339" spans="20:20" s="566" customFormat="1">
      <c r="T65339" s="41"/>
    </row>
    <row r="65340" spans="20:20" s="566" customFormat="1">
      <c r="T65340" s="41"/>
    </row>
    <row r="65341" spans="20:20" s="566" customFormat="1">
      <c r="T65341" s="41"/>
    </row>
    <row r="65342" spans="20:20" s="566" customFormat="1">
      <c r="T65342" s="41"/>
    </row>
    <row r="65343" spans="20:20" s="566" customFormat="1">
      <c r="T65343" s="41"/>
    </row>
    <row r="65344" spans="20:20" s="566" customFormat="1">
      <c r="T65344" s="41"/>
    </row>
    <row r="65345" spans="20:20" s="566" customFormat="1">
      <c r="T65345" s="41"/>
    </row>
    <row r="65346" spans="20:20" s="566" customFormat="1">
      <c r="T65346" s="41"/>
    </row>
    <row r="65347" spans="20:20" s="566" customFormat="1">
      <c r="T65347" s="41"/>
    </row>
    <row r="65348" spans="20:20" s="566" customFormat="1">
      <c r="T65348" s="41"/>
    </row>
    <row r="65349" spans="20:20" s="566" customFormat="1">
      <c r="T65349" s="41"/>
    </row>
    <row r="65350" spans="20:20" s="566" customFormat="1">
      <c r="T65350" s="41"/>
    </row>
    <row r="65351" spans="20:20" s="566" customFormat="1">
      <c r="T65351" s="41"/>
    </row>
    <row r="65352" spans="20:20" s="566" customFormat="1">
      <c r="T65352" s="41"/>
    </row>
    <row r="65353" spans="20:20" s="566" customFormat="1">
      <c r="T65353" s="41"/>
    </row>
    <row r="65354" spans="20:20" s="566" customFormat="1">
      <c r="T65354" s="41"/>
    </row>
    <row r="65355" spans="20:20" s="566" customFormat="1">
      <c r="T65355" s="41"/>
    </row>
    <row r="65356" spans="20:20" s="566" customFormat="1">
      <c r="T65356" s="41"/>
    </row>
    <row r="65357" spans="20:20" s="566" customFormat="1">
      <c r="T65357" s="41"/>
    </row>
    <row r="65358" spans="20:20" s="566" customFormat="1">
      <c r="T65358" s="41"/>
    </row>
    <row r="65359" spans="20:20" s="566" customFormat="1">
      <c r="T65359" s="41"/>
    </row>
    <row r="65360" spans="20:20" s="566" customFormat="1">
      <c r="T65360" s="41"/>
    </row>
    <row r="65361" spans="20:20" s="566" customFormat="1">
      <c r="T65361" s="41"/>
    </row>
    <row r="65362" spans="20:20" s="566" customFormat="1">
      <c r="T65362" s="41"/>
    </row>
    <row r="65363" spans="20:20" s="566" customFormat="1">
      <c r="T65363" s="41"/>
    </row>
    <row r="65364" spans="20:20" s="566" customFormat="1">
      <c r="T65364" s="41"/>
    </row>
    <row r="65365" spans="20:20" s="566" customFormat="1">
      <c r="T65365" s="41"/>
    </row>
    <row r="65366" spans="20:20" s="566" customFormat="1">
      <c r="T65366" s="41"/>
    </row>
    <row r="65367" spans="20:20" s="566" customFormat="1">
      <c r="T65367" s="41"/>
    </row>
    <row r="65368" spans="20:20" s="566" customFormat="1">
      <c r="T65368" s="41"/>
    </row>
    <row r="65369" spans="20:20" s="566" customFormat="1">
      <c r="T65369" s="41"/>
    </row>
    <row r="65370" spans="20:20" s="566" customFormat="1">
      <c r="T65370" s="41"/>
    </row>
    <row r="65371" spans="20:20" s="566" customFormat="1">
      <c r="T65371" s="41"/>
    </row>
    <row r="65372" spans="20:20" s="566" customFormat="1">
      <c r="T65372" s="41"/>
    </row>
    <row r="65373" spans="20:20" s="566" customFormat="1">
      <c r="T65373" s="41"/>
    </row>
    <row r="65374" spans="20:20" s="566" customFormat="1">
      <c r="T65374" s="41"/>
    </row>
    <row r="65375" spans="20:20" s="566" customFormat="1">
      <c r="T65375" s="41"/>
    </row>
    <row r="65376" spans="20:20" s="566" customFormat="1">
      <c r="T65376" s="41"/>
    </row>
    <row r="65377" spans="20:20" s="566" customFormat="1">
      <c r="T65377" s="41"/>
    </row>
    <row r="65378" spans="20:20" s="566" customFormat="1">
      <c r="T65378" s="41"/>
    </row>
    <row r="65379" spans="20:20" s="566" customFormat="1">
      <c r="T65379" s="41"/>
    </row>
    <row r="65380" spans="20:20" s="566" customFormat="1">
      <c r="T65380" s="41"/>
    </row>
    <row r="65381" spans="20:20" s="566" customFormat="1">
      <c r="T65381" s="41"/>
    </row>
    <row r="65382" spans="20:20" s="566" customFormat="1">
      <c r="T65382" s="41"/>
    </row>
    <row r="65383" spans="20:20" s="566" customFormat="1">
      <c r="T65383" s="41"/>
    </row>
    <row r="65384" spans="20:20" s="566" customFormat="1">
      <c r="T65384" s="41"/>
    </row>
    <row r="65385" spans="20:20" s="566" customFormat="1">
      <c r="T65385" s="41"/>
    </row>
    <row r="65386" spans="20:20" s="566" customFormat="1">
      <c r="T65386" s="41"/>
    </row>
    <row r="65387" spans="20:20" s="566" customFormat="1">
      <c r="T65387" s="41"/>
    </row>
    <row r="65388" spans="20:20" s="566" customFormat="1">
      <c r="T65388" s="41"/>
    </row>
    <row r="65389" spans="20:20" s="566" customFormat="1">
      <c r="T65389" s="41"/>
    </row>
    <row r="65390" spans="20:20" s="566" customFormat="1">
      <c r="T65390" s="41"/>
    </row>
    <row r="65391" spans="20:20" s="566" customFormat="1">
      <c r="T65391" s="41"/>
    </row>
    <row r="65392" spans="20:20" s="566" customFormat="1">
      <c r="T65392" s="41"/>
    </row>
    <row r="65393" spans="20:20" s="566" customFormat="1">
      <c r="T65393" s="41"/>
    </row>
    <row r="65394" spans="20:20" s="566" customFormat="1">
      <c r="T65394" s="41"/>
    </row>
    <row r="65395" spans="20:20" s="566" customFormat="1">
      <c r="T65395" s="41"/>
    </row>
    <row r="65396" spans="20:20" s="566" customFormat="1">
      <c r="T65396" s="41"/>
    </row>
    <row r="65397" spans="20:20" s="566" customFormat="1">
      <c r="T65397" s="41"/>
    </row>
    <row r="65398" spans="20:20" s="566" customFormat="1">
      <c r="T65398" s="41"/>
    </row>
    <row r="65399" spans="20:20" s="566" customFormat="1">
      <c r="T65399" s="41"/>
    </row>
    <row r="65400" spans="20:20" s="566" customFormat="1">
      <c r="T65400" s="41"/>
    </row>
    <row r="65401" spans="20:20" s="566" customFormat="1">
      <c r="T65401" s="41"/>
    </row>
    <row r="65402" spans="20:20" s="566" customFormat="1">
      <c r="T65402" s="41"/>
    </row>
    <row r="65403" spans="20:20" s="566" customFormat="1">
      <c r="T65403" s="41"/>
    </row>
    <row r="65404" spans="20:20" s="566" customFormat="1">
      <c r="T65404" s="41"/>
    </row>
    <row r="65405" spans="20:20" s="566" customFormat="1">
      <c r="T65405" s="41"/>
    </row>
    <row r="65406" spans="20:20" s="566" customFormat="1">
      <c r="T65406" s="41"/>
    </row>
    <row r="65407" spans="20:20" s="566" customFormat="1">
      <c r="T65407" s="41"/>
    </row>
    <row r="65408" spans="20:20" s="566" customFormat="1">
      <c r="T65408" s="41"/>
    </row>
    <row r="65409" spans="20:20" s="566" customFormat="1">
      <c r="T65409" s="41"/>
    </row>
    <row r="65410" spans="20:20" s="566" customFormat="1">
      <c r="T65410" s="41"/>
    </row>
    <row r="65411" spans="20:20" s="566" customFormat="1">
      <c r="T65411" s="41"/>
    </row>
    <row r="65412" spans="20:20" s="566" customFormat="1">
      <c r="T65412" s="41"/>
    </row>
    <row r="65413" spans="20:20" s="566" customFormat="1">
      <c r="T65413" s="41"/>
    </row>
    <row r="65414" spans="20:20" s="566" customFormat="1">
      <c r="T65414" s="41"/>
    </row>
    <row r="65415" spans="20:20" s="566" customFormat="1">
      <c r="T65415" s="41"/>
    </row>
    <row r="65416" spans="20:20" s="566" customFormat="1">
      <c r="T65416" s="41"/>
    </row>
    <row r="65417" spans="20:20" s="566" customFormat="1">
      <c r="T65417" s="41"/>
    </row>
    <row r="65418" spans="20:20" s="566" customFormat="1">
      <c r="T65418" s="41"/>
    </row>
    <row r="65419" spans="20:20" s="566" customFormat="1">
      <c r="T65419" s="41"/>
    </row>
    <row r="65420" spans="20:20" s="566" customFormat="1">
      <c r="T65420" s="41"/>
    </row>
    <row r="65421" spans="20:20" s="566" customFormat="1">
      <c r="T65421" s="41"/>
    </row>
    <row r="65422" spans="20:20" s="566" customFormat="1">
      <c r="T65422" s="41"/>
    </row>
    <row r="65423" spans="20:20" s="566" customFormat="1">
      <c r="T65423" s="41"/>
    </row>
    <row r="65424" spans="20:20" s="566" customFormat="1">
      <c r="T65424" s="41"/>
    </row>
    <row r="65425" spans="20:20" s="566" customFormat="1">
      <c r="T65425" s="41"/>
    </row>
    <row r="65426" spans="20:20" s="566" customFormat="1">
      <c r="T65426" s="41"/>
    </row>
    <row r="65427" spans="20:20" s="566" customFormat="1">
      <c r="T65427" s="41"/>
    </row>
    <row r="65428" spans="20:20" s="566" customFormat="1">
      <c r="T65428" s="41"/>
    </row>
    <row r="65429" spans="20:20" s="566" customFormat="1">
      <c r="T65429" s="41"/>
    </row>
    <row r="65430" spans="20:20" s="566" customFormat="1">
      <c r="T65430" s="41"/>
    </row>
    <row r="65431" spans="20:20" s="566" customFormat="1">
      <c r="T65431" s="41"/>
    </row>
    <row r="65432" spans="20:20" s="566" customFormat="1">
      <c r="T65432" s="41"/>
    </row>
    <row r="65433" spans="20:20" s="566" customFormat="1">
      <c r="T65433" s="41"/>
    </row>
    <row r="65434" spans="20:20" s="566" customFormat="1">
      <c r="T65434" s="41"/>
    </row>
    <row r="65435" spans="20:20" s="566" customFormat="1">
      <c r="T65435" s="41"/>
    </row>
    <row r="65436" spans="20:20" s="566" customFormat="1">
      <c r="T65436" s="41"/>
    </row>
    <row r="65437" spans="20:20" s="566" customFormat="1">
      <c r="T65437" s="41"/>
    </row>
    <row r="65438" spans="20:20" s="566" customFormat="1">
      <c r="T65438" s="41"/>
    </row>
    <row r="65439" spans="20:20" s="566" customFormat="1">
      <c r="T65439" s="41"/>
    </row>
    <row r="65440" spans="20:20" s="566" customFormat="1">
      <c r="T65440" s="41"/>
    </row>
    <row r="65441" spans="20:20" s="566" customFormat="1">
      <c r="T65441" s="41"/>
    </row>
    <row r="65442" spans="20:20" s="566" customFormat="1">
      <c r="T65442" s="41"/>
    </row>
    <row r="65443" spans="20:20" s="566" customFormat="1">
      <c r="T65443" s="41"/>
    </row>
    <row r="65444" spans="20:20" s="566" customFormat="1">
      <c r="T65444" s="41"/>
    </row>
    <row r="65445" spans="20:20" s="566" customFormat="1">
      <c r="T65445" s="41"/>
    </row>
    <row r="65446" spans="20:20" s="566" customFormat="1">
      <c r="T65446" s="41"/>
    </row>
    <row r="65447" spans="20:20" s="566" customFormat="1">
      <c r="T65447" s="41"/>
    </row>
    <row r="65448" spans="20:20" s="566" customFormat="1">
      <c r="T65448" s="41"/>
    </row>
    <row r="65449" spans="20:20" s="566" customFormat="1">
      <c r="T65449" s="41"/>
    </row>
    <row r="65450" spans="20:20" s="566" customFormat="1">
      <c r="T65450" s="41"/>
    </row>
    <row r="65451" spans="20:20" s="566" customFormat="1">
      <c r="T65451" s="41"/>
    </row>
    <row r="65452" spans="20:20" s="566" customFormat="1">
      <c r="T65452" s="41"/>
    </row>
    <row r="65453" spans="20:20" s="566" customFormat="1">
      <c r="T65453" s="41"/>
    </row>
    <row r="65454" spans="20:20" s="566" customFormat="1">
      <c r="T65454" s="41"/>
    </row>
    <row r="65455" spans="20:20" s="566" customFormat="1">
      <c r="T65455" s="41"/>
    </row>
    <row r="65456" spans="20:20" s="566" customFormat="1">
      <c r="T65456" s="41"/>
    </row>
    <row r="65457" spans="20:20" s="566" customFormat="1">
      <c r="T65457" s="41"/>
    </row>
    <row r="65458" spans="20:20" s="566" customFormat="1">
      <c r="T65458" s="41"/>
    </row>
    <row r="65459" spans="20:20" s="566" customFormat="1">
      <c r="T65459" s="41"/>
    </row>
    <row r="65460" spans="20:20" s="566" customFormat="1">
      <c r="T65460" s="41"/>
    </row>
    <row r="65461" spans="20:20" s="566" customFormat="1">
      <c r="T65461" s="41"/>
    </row>
    <row r="65462" spans="20:20" s="566" customFormat="1">
      <c r="T65462" s="41"/>
    </row>
    <row r="65463" spans="20:20" s="566" customFormat="1">
      <c r="T65463" s="41"/>
    </row>
    <row r="65464" spans="20:20" s="566" customFormat="1">
      <c r="T65464" s="41"/>
    </row>
    <row r="65465" spans="20:20" s="566" customFormat="1">
      <c r="T65465" s="41"/>
    </row>
    <row r="65466" spans="20:20" s="566" customFormat="1">
      <c r="T65466" s="41"/>
    </row>
    <row r="65467" spans="20:20" s="566" customFormat="1">
      <c r="T65467" s="41"/>
    </row>
    <row r="65468" spans="20:20" s="566" customFormat="1">
      <c r="T65468" s="41"/>
    </row>
    <row r="65469" spans="20:20" s="566" customFormat="1">
      <c r="T65469" s="41"/>
    </row>
    <row r="65470" spans="20:20" s="566" customFormat="1">
      <c r="T65470" s="41"/>
    </row>
    <row r="65471" spans="20:20" s="566" customFormat="1">
      <c r="T65471" s="41"/>
    </row>
    <row r="65472" spans="20:20" s="566" customFormat="1">
      <c r="T65472" s="41"/>
    </row>
    <row r="65473" spans="20:20" s="566" customFormat="1">
      <c r="T65473" s="41"/>
    </row>
    <row r="65474" spans="20:20" s="566" customFormat="1">
      <c r="T65474" s="41"/>
    </row>
    <row r="65475" spans="20:20" s="566" customFormat="1">
      <c r="T65475" s="41"/>
    </row>
    <row r="65476" spans="20:20" s="566" customFormat="1">
      <c r="T65476" s="41"/>
    </row>
    <row r="65477" spans="20:20" s="566" customFormat="1">
      <c r="T65477" s="41"/>
    </row>
    <row r="65478" spans="20:20" s="566" customFormat="1">
      <c r="T65478" s="41"/>
    </row>
    <row r="65479" spans="20:20" s="566" customFormat="1">
      <c r="T65479" s="41"/>
    </row>
    <row r="65480" spans="20:20" s="566" customFormat="1">
      <c r="T65480" s="41"/>
    </row>
    <row r="65481" spans="20:20" s="566" customFormat="1">
      <c r="T65481" s="41"/>
    </row>
    <row r="65482" spans="20:20" s="566" customFormat="1">
      <c r="T65482" s="41"/>
    </row>
    <row r="65483" spans="20:20" s="566" customFormat="1">
      <c r="T65483" s="41"/>
    </row>
    <row r="65484" spans="20:20" s="566" customFormat="1">
      <c r="T65484" s="41"/>
    </row>
    <row r="65485" spans="20:20" s="566" customFormat="1">
      <c r="T65485" s="41"/>
    </row>
    <row r="65486" spans="20:20" s="566" customFormat="1">
      <c r="T65486" s="41"/>
    </row>
    <row r="65487" spans="20:20" s="566" customFormat="1">
      <c r="T65487" s="41"/>
    </row>
    <row r="65488" spans="20:20" s="566" customFormat="1">
      <c r="T65488" s="41"/>
    </row>
    <row r="65489" spans="20:20" s="566" customFormat="1">
      <c r="T65489" s="41"/>
    </row>
    <row r="65490" spans="20:20" s="566" customFormat="1">
      <c r="T65490" s="41"/>
    </row>
    <row r="65491" spans="20:20" s="566" customFormat="1">
      <c r="T65491" s="41"/>
    </row>
    <row r="65492" spans="20:20" s="566" customFormat="1">
      <c r="T65492" s="41"/>
    </row>
    <row r="65493" spans="20:20" s="566" customFormat="1">
      <c r="T65493" s="41"/>
    </row>
    <row r="65494" spans="20:20" s="566" customFormat="1">
      <c r="T65494" s="41"/>
    </row>
    <row r="65495" spans="20:20" s="566" customFormat="1">
      <c r="T65495" s="41"/>
    </row>
    <row r="65496" spans="20:20" s="566" customFormat="1">
      <c r="T65496" s="41"/>
    </row>
    <row r="65497" spans="20:20" s="566" customFormat="1">
      <c r="T65497" s="41"/>
    </row>
    <row r="65498" spans="20:20" s="566" customFormat="1">
      <c r="T65498" s="41"/>
    </row>
    <row r="65499" spans="20:20" s="566" customFormat="1">
      <c r="T65499" s="41"/>
    </row>
    <row r="65500" spans="20:20" s="566" customFormat="1">
      <c r="T65500" s="41"/>
    </row>
    <row r="65501" spans="20:20" s="566" customFormat="1">
      <c r="T65501" s="41"/>
    </row>
    <row r="65502" spans="20:20" s="566" customFormat="1">
      <c r="T65502" s="41"/>
    </row>
    <row r="65503" spans="20:20" s="566" customFormat="1">
      <c r="T65503" s="41"/>
    </row>
    <row r="65504" spans="20:20" s="566" customFormat="1">
      <c r="T65504" s="41"/>
    </row>
    <row r="65505" spans="20:20" s="566" customFormat="1">
      <c r="T65505" s="41"/>
    </row>
    <row r="65506" spans="20:20" s="566" customFormat="1">
      <c r="T65506" s="41"/>
    </row>
    <row r="65507" spans="20:20" s="566" customFormat="1">
      <c r="T65507" s="41"/>
    </row>
    <row r="65508" spans="20:20" s="566" customFormat="1">
      <c r="T65508" s="41"/>
    </row>
    <row r="65509" spans="20:20" s="566" customFormat="1">
      <c r="T65509" s="41"/>
    </row>
    <row r="65510" spans="20:20" s="566" customFormat="1">
      <c r="T65510" s="41"/>
    </row>
    <row r="65511" spans="20:20" s="566" customFormat="1">
      <c r="T65511" s="41"/>
    </row>
    <row r="65512" spans="20:20" s="566" customFormat="1">
      <c r="T65512" s="41"/>
    </row>
    <row r="65513" spans="20:20" s="566" customFormat="1">
      <c r="T65513" s="41"/>
    </row>
    <row r="65514" spans="20:20" s="566" customFormat="1">
      <c r="T65514" s="41"/>
    </row>
    <row r="65515" spans="20:20" s="566" customFormat="1">
      <c r="T65515" s="41"/>
    </row>
    <row r="65516" spans="20:20" s="566" customFormat="1">
      <c r="T65516" s="41"/>
    </row>
    <row r="65517" spans="20:20" s="566" customFormat="1">
      <c r="T65517" s="41"/>
    </row>
    <row r="65518" spans="20:20" s="566" customFormat="1">
      <c r="T65518" s="41"/>
    </row>
    <row r="65519" spans="20:20" s="566" customFormat="1">
      <c r="T65519" s="41"/>
    </row>
    <row r="65520" spans="20:20" s="566" customFormat="1">
      <c r="T65520" s="41"/>
    </row>
    <row r="65521" spans="20:20" s="566" customFormat="1">
      <c r="T65521" s="41"/>
    </row>
    <row r="65522" spans="20:20" s="566" customFormat="1">
      <c r="T65522" s="41"/>
    </row>
    <row r="65523" spans="20:20" s="566" customFormat="1">
      <c r="T65523" s="41"/>
    </row>
    <row r="65524" spans="20:20" s="566" customFormat="1">
      <c r="T65524" s="41"/>
    </row>
    <row r="65525" spans="20:20" s="566" customFormat="1">
      <c r="T65525" s="41"/>
    </row>
    <row r="65526" spans="20:20" s="566" customFormat="1">
      <c r="T65526" s="41"/>
    </row>
    <row r="65527" spans="20:20" s="566" customFormat="1">
      <c r="T65527" s="41"/>
    </row>
    <row r="65528" spans="20:20" s="566" customFormat="1">
      <c r="T65528" s="41"/>
    </row>
    <row r="65529" spans="20:20" s="566" customFormat="1">
      <c r="T65529" s="41"/>
    </row>
    <row r="65530" spans="20:20" s="566" customFormat="1">
      <c r="T65530" s="41"/>
    </row>
    <row r="65531" spans="20:20" s="566" customFormat="1">
      <c r="T65531" s="41"/>
    </row>
    <row r="65532" spans="20:20" s="566" customFormat="1">
      <c r="T65532" s="41"/>
    </row>
    <row r="65533" spans="20:20" s="566" customFormat="1">
      <c r="T65533" s="41"/>
    </row>
    <row r="65534" spans="20:20" s="566" customFormat="1">
      <c r="T65534" s="41"/>
    </row>
    <row r="65535" spans="20:20" s="566" customFormat="1">
      <c r="T65535" s="41"/>
    </row>
    <row r="65536" spans="20:20" s="566" customFormat="1">
      <c r="T65536" s="41"/>
    </row>
    <row r="65537" spans="20:20" s="566" customFormat="1">
      <c r="T65537" s="41"/>
    </row>
    <row r="65538" spans="20:20" s="566" customFormat="1">
      <c r="T65538" s="41"/>
    </row>
    <row r="65539" spans="20:20" s="566" customFormat="1">
      <c r="T65539" s="41"/>
    </row>
    <row r="65540" spans="20:20" s="566" customFormat="1">
      <c r="T65540" s="41"/>
    </row>
    <row r="65541" spans="20:20" s="566" customFormat="1">
      <c r="T65541" s="41"/>
    </row>
    <row r="65542" spans="20:20" s="566" customFormat="1">
      <c r="T65542" s="41"/>
    </row>
    <row r="65543" spans="20:20" s="566" customFormat="1">
      <c r="T65543" s="41"/>
    </row>
    <row r="65544" spans="20:20" s="566" customFormat="1">
      <c r="T65544" s="41"/>
    </row>
    <row r="65545" spans="20:20" s="566" customFormat="1">
      <c r="T65545" s="41"/>
    </row>
    <row r="65546" spans="20:20" s="566" customFormat="1">
      <c r="T65546" s="41"/>
    </row>
    <row r="65547" spans="20:20" s="566" customFormat="1">
      <c r="T65547" s="41"/>
    </row>
    <row r="65548" spans="20:20" s="566" customFormat="1">
      <c r="T65548" s="41"/>
    </row>
    <row r="65549" spans="20:20" s="566" customFormat="1">
      <c r="T65549" s="41"/>
    </row>
    <row r="65550" spans="20:20" s="566" customFormat="1">
      <c r="T65550" s="41"/>
    </row>
    <row r="65551" spans="20:20" s="566" customFormat="1">
      <c r="T65551" s="41"/>
    </row>
    <row r="65552" spans="20:20" s="566" customFormat="1">
      <c r="T65552" s="41"/>
    </row>
    <row r="65553" spans="20:20" s="566" customFormat="1">
      <c r="T65553" s="41"/>
    </row>
    <row r="65554" spans="20:20" s="566" customFormat="1">
      <c r="T65554" s="41"/>
    </row>
    <row r="65555" spans="20:20" s="566" customFormat="1">
      <c r="T65555" s="41"/>
    </row>
    <row r="65556" spans="20:20" s="566" customFormat="1">
      <c r="T65556" s="41"/>
    </row>
    <row r="65557" spans="20:20" s="566" customFormat="1">
      <c r="T65557" s="41"/>
    </row>
    <row r="65558" spans="20:20" s="566" customFormat="1">
      <c r="T65558" s="41"/>
    </row>
    <row r="65559" spans="20:20" s="566" customFormat="1">
      <c r="T65559" s="41"/>
    </row>
    <row r="65560" spans="20:20" s="566" customFormat="1">
      <c r="T65560" s="41"/>
    </row>
    <row r="65561" spans="20:20" s="566" customFormat="1">
      <c r="T65561" s="41"/>
    </row>
    <row r="65562" spans="20:20" s="566" customFormat="1">
      <c r="T65562" s="41"/>
    </row>
    <row r="65563" spans="20:20" s="566" customFormat="1">
      <c r="T65563" s="41"/>
    </row>
    <row r="65564" spans="20:20" s="566" customFormat="1">
      <c r="T65564" s="41"/>
    </row>
    <row r="65565" spans="20:20" s="566" customFormat="1">
      <c r="T65565" s="41"/>
    </row>
    <row r="65566" spans="20:20" s="566" customFormat="1">
      <c r="T65566" s="41"/>
    </row>
    <row r="65567" spans="20:20" s="566" customFormat="1">
      <c r="T65567" s="41"/>
    </row>
    <row r="65568" spans="20:20" s="566" customFormat="1">
      <c r="T65568" s="41"/>
    </row>
    <row r="65569" spans="20:20" s="566" customFormat="1">
      <c r="T65569" s="41"/>
    </row>
    <row r="65570" spans="20:20" s="566" customFormat="1">
      <c r="T65570" s="41"/>
    </row>
    <row r="65571" spans="20:20" s="566" customFormat="1">
      <c r="T65571" s="41"/>
    </row>
    <row r="65572" spans="20:20" s="566" customFormat="1">
      <c r="T65572" s="41"/>
    </row>
    <row r="65573" spans="20:20" s="566" customFormat="1">
      <c r="T65573" s="41"/>
    </row>
    <row r="65574" spans="20:20" s="566" customFormat="1">
      <c r="T65574" s="41"/>
    </row>
    <row r="65575" spans="20:20" s="566" customFormat="1">
      <c r="T65575" s="41"/>
    </row>
    <row r="65576" spans="20:20" s="566" customFormat="1">
      <c r="T65576" s="41"/>
    </row>
    <row r="65577" spans="20:20" s="566" customFormat="1">
      <c r="T65577" s="41"/>
    </row>
    <row r="65578" spans="20:20" s="566" customFormat="1">
      <c r="T65578" s="41"/>
    </row>
    <row r="65579" spans="20:20" s="566" customFormat="1">
      <c r="T65579" s="41"/>
    </row>
    <row r="65580" spans="20:20" s="566" customFormat="1">
      <c r="T65580" s="41"/>
    </row>
    <row r="65581" spans="20:20" s="566" customFormat="1">
      <c r="T65581" s="41"/>
    </row>
    <row r="65582" spans="20:20" s="566" customFormat="1">
      <c r="T65582" s="41"/>
    </row>
    <row r="65583" spans="20:20" s="566" customFormat="1">
      <c r="T65583" s="41"/>
    </row>
    <row r="65584" spans="20:20" s="566" customFormat="1">
      <c r="T65584" s="41"/>
    </row>
    <row r="65585" spans="20:20" s="566" customFormat="1">
      <c r="T65585" s="41"/>
    </row>
    <row r="65586" spans="20:20" s="566" customFormat="1">
      <c r="T65586" s="41"/>
    </row>
    <row r="65587" spans="20:20" s="566" customFormat="1">
      <c r="T65587" s="41"/>
    </row>
    <row r="65588" spans="20:20" s="566" customFormat="1">
      <c r="T65588" s="41"/>
    </row>
    <row r="65589" spans="20:20" s="566" customFormat="1">
      <c r="T65589" s="41"/>
    </row>
    <row r="65590" spans="20:20" s="566" customFormat="1">
      <c r="T65590" s="41"/>
    </row>
    <row r="65591" spans="20:20" s="566" customFormat="1">
      <c r="T65591" s="41"/>
    </row>
    <row r="65592" spans="20:20" s="566" customFormat="1">
      <c r="T65592" s="41"/>
    </row>
    <row r="65593" spans="20:20" s="566" customFormat="1">
      <c r="T65593" s="41"/>
    </row>
    <row r="65594" spans="20:20" s="566" customFormat="1">
      <c r="T65594" s="41"/>
    </row>
    <row r="65595" spans="20:20" s="566" customFormat="1">
      <c r="T65595" s="41"/>
    </row>
    <row r="65596" spans="20:20" s="566" customFormat="1">
      <c r="T65596" s="41"/>
    </row>
    <row r="65597" spans="20:20" s="566" customFormat="1">
      <c r="T65597" s="41"/>
    </row>
    <row r="65598" spans="20:20" s="566" customFormat="1">
      <c r="T65598" s="41"/>
    </row>
    <row r="65599" spans="20:20" s="566" customFormat="1">
      <c r="T65599" s="41"/>
    </row>
    <row r="65600" spans="20:20" s="566" customFormat="1">
      <c r="T65600" s="41"/>
    </row>
    <row r="65601" spans="20:20" s="566" customFormat="1">
      <c r="T65601" s="41"/>
    </row>
    <row r="65602" spans="20:20" s="566" customFormat="1">
      <c r="T65602" s="41"/>
    </row>
    <row r="65603" spans="20:20" s="566" customFormat="1">
      <c r="T65603" s="41"/>
    </row>
    <row r="65604" spans="20:20" s="566" customFormat="1">
      <c r="T65604" s="41"/>
    </row>
    <row r="65605" spans="20:20" s="566" customFormat="1">
      <c r="T65605" s="41"/>
    </row>
    <row r="65606" spans="20:20" s="566" customFormat="1">
      <c r="T65606" s="41"/>
    </row>
    <row r="65607" spans="20:20" s="566" customFormat="1">
      <c r="T65607" s="41"/>
    </row>
    <row r="65608" spans="20:20" s="566" customFormat="1">
      <c r="T65608" s="41"/>
    </row>
    <row r="65609" spans="20:20" s="566" customFormat="1">
      <c r="T65609" s="41"/>
    </row>
    <row r="65610" spans="20:20" s="566" customFormat="1">
      <c r="T65610" s="41"/>
    </row>
    <row r="65611" spans="20:20" s="566" customFormat="1">
      <c r="T65611" s="41"/>
    </row>
    <row r="65612" spans="20:20" s="566" customFormat="1">
      <c r="T65612" s="41"/>
    </row>
    <row r="65613" spans="20:20" s="566" customFormat="1">
      <c r="T65613" s="41"/>
    </row>
    <row r="65614" spans="20:20" s="566" customFormat="1">
      <c r="T65614" s="41"/>
    </row>
    <row r="65615" spans="20:20" s="566" customFormat="1">
      <c r="T65615" s="41"/>
    </row>
    <row r="65616" spans="20:20" s="566" customFormat="1">
      <c r="T65616" s="41"/>
    </row>
    <row r="65617" spans="20:20" s="566" customFormat="1">
      <c r="T65617" s="41"/>
    </row>
    <row r="65618" spans="20:20" s="566" customFormat="1">
      <c r="T65618" s="41"/>
    </row>
    <row r="65619" spans="20:20" s="566" customFormat="1">
      <c r="T65619" s="41"/>
    </row>
    <row r="65620" spans="20:20" s="566" customFormat="1">
      <c r="T65620" s="41"/>
    </row>
    <row r="65621" spans="20:20" s="566" customFormat="1">
      <c r="T65621" s="41"/>
    </row>
    <row r="65622" spans="20:20" s="566" customFormat="1">
      <c r="T65622" s="41"/>
    </row>
    <row r="65623" spans="20:20" s="566" customFormat="1">
      <c r="T65623" s="41"/>
    </row>
    <row r="65624" spans="20:20" s="566" customFormat="1">
      <c r="T65624" s="41"/>
    </row>
    <row r="65625" spans="20:20" s="566" customFormat="1">
      <c r="T65625" s="41"/>
    </row>
    <row r="65626" spans="20:20" s="566" customFormat="1">
      <c r="T65626" s="41"/>
    </row>
    <row r="65627" spans="20:20" s="566" customFormat="1">
      <c r="T65627" s="41"/>
    </row>
    <row r="65628" spans="20:20" s="566" customFormat="1">
      <c r="T65628" s="41"/>
    </row>
    <row r="65629" spans="20:20" s="566" customFormat="1">
      <c r="T65629" s="41"/>
    </row>
    <row r="65630" spans="20:20" s="566" customFormat="1">
      <c r="T65630" s="41"/>
    </row>
    <row r="65631" spans="20:20" s="566" customFormat="1">
      <c r="T65631" s="41"/>
    </row>
    <row r="65632" spans="20:20" s="566" customFormat="1">
      <c r="T65632" s="41"/>
    </row>
    <row r="65633" spans="20:20" s="566" customFormat="1">
      <c r="T65633" s="41"/>
    </row>
    <row r="65634" spans="20:20" s="566" customFormat="1">
      <c r="T65634" s="41"/>
    </row>
    <row r="65635" spans="20:20" s="566" customFormat="1">
      <c r="T65635" s="41"/>
    </row>
    <row r="65636" spans="20:20" s="566" customFormat="1">
      <c r="T65636" s="41"/>
    </row>
    <row r="65637" spans="20:20" s="566" customFormat="1">
      <c r="T65637" s="41"/>
    </row>
    <row r="65638" spans="20:20" s="566" customFormat="1">
      <c r="T65638" s="41"/>
    </row>
    <row r="65639" spans="20:20" s="566" customFormat="1">
      <c r="T65639" s="41"/>
    </row>
    <row r="65640" spans="20:20" s="566" customFormat="1">
      <c r="T65640" s="41"/>
    </row>
    <row r="65641" spans="20:20" s="566" customFormat="1">
      <c r="T65641" s="41"/>
    </row>
    <row r="65642" spans="20:20" s="566" customFormat="1">
      <c r="T65642" s="41"/>
    </row>
    <row r="65643" spans="20:20" s="566" customFormat="1">
      <c r="T65643" s="41"/>
    </row>
    <row r="65644" spans="20:20" s="566" customFormat="1">
      <c r="T65644" s="41"/>
    </row>
    <row r="65645" spans="20:20" s="566" customFormat="1">
      <c r="T65645" s="41"/>
    </row>
    <row r="65646" spans="20:20" s="566" customFormat="1">
      <c r="T65646" s="41"/>
    </row>
    <row r="65647" spans="20:20" s="566" customFormat="1">
      <c r="T65647" s="41"/>
    </row>
    <row r="65648" spans="20:20" s="566" customFormat="1">
      <c r="T65648" s="41"/>
    </row>
    <row r="65649" spans="20:20" s="566" customFormat="1">
      <c r="T65649" s="41"/>
    </row>
    <row r="65650" spans="20:20" s="566" customFormat="1">
      <c r="T65650" s="41"/>
    </row>
    <row r="65651" spans="20:20" s="566" customFormat="1">
      <c r="T65651" s="41"/>
    </row>
    <row r="65652" spans="20:20" s="566" customFormat="1">
      <c r="T65652" s="41"/>
    </row>
    <row r="65653" spans="20:20" s="566" customFormat="1">
      <c r="T65653" s="41"/>
    </row>
    <row r="65654" spans="20:20" s="566" customFormat="1">
      <c r="T65654" s="41"/>
    </row>
    <row r="65655" spans="20:20" s="566" customFormat="1">
      <c r="T65655" s="41"/>
    </row>
    <row r="65656" spans="20:20" s="566" customFormat="1">
      <c r="T65656" s="41"/>
    </row>
    <row r="65657" spans="20:20" s="566" customFormat="1">
      <c r="T65657" s="41"/>
    </row>
    <row r="65658" spans="20:20" s="566" customFormat="1">
      <c r="T65658" s="41"/>
    </row>
    <row r="65659" spans="20:20" s="566" customFormat="1">
      <c r="T65659" s="41"/>
    </row>
    <row r="65660" spans="20:20" s="566" customFormat="1">
      <c r="T65660" s="41"/>
    </row>
    <row r="65661" spans="20:20" s="566" customFormat="1">
      <c r="T65661" s="41"/>
    </row>
    <row r="65662" spans="20:20" s="566" customFormat="1">
      <c r="T65662" s="41"/>
    </row>
    <row r="65663" spans="20:20" s="566" customFormat="1">
      <c r="T65663" s="41"/>
    </row>
    <row r="65664" spans="20:20" s="566" customFormat="1">
      <c r="T65664" s="41"/>
    </row>
    <row r="65665" spans="20:20" s="566" customFormat="1">
      <c r="T65665" s="41"/>
    </row>
    <row r="65666" spans="20:20" s="566" customFormat="1">
      <c r="T65666" s="41"/>
    </row>
    <row r="65667" spans="20:20" s="566" customFormat="1">
      <c r="T65667" s="41"/>
    </row>
    <row r="65668" spans="20:20" s="566" customFormat="1">
      <c r="T65668" s="41"/>
    </row>
    <row r="65669" spans="20:20" s="566" customFormat="1">
      <c r="T65669" s="41"/>
    </row>
    <row r="65670" spans="20:20" s="566" customFormat="1">
      <c r="T65670" s="41"/>
    </row>
    <row r="65671" spans="20:20" s="566" customFormat="1">
      <c r="T65671" s="41"/>
    </row>
    <row r="65672" spans="20:20" s="566" customFormat="1">
      <c r="T65672" s="41"/>
    </row>
    <row r="65673" spans="20:20" s="566" customFormat="1">
      <c r="T65673" s="41"/>
    </row>
    <row r="65674" spans="20:20" s="566" customFormat="1">
      <c r="T65674" s="41"/>
    </row>
    <row r="65675" spans="20:20" s="566" customFormat="1">
      <c r="T65675" s="41"/>
    </row>
    <row r="65676" spans="20:20" s="566" customFormat="1">
      <c r="T65676" s="41"/>
    </row>
    <row r="65677" spans="20:20" s="566" customFormat="1">
      <c r="T65677" s="41"/>
    </row>
    <row r="65678" spans="20:20" s="566" customFormat="1">
      <c r="T65678" s="41"/>
    </row>
    <row r="65679" spans="20:20" s="566" customFormat="1">
      <c r="T65679" s="41"/>
    </row>
    <row r="65680" spans="20:20" s="566" customFormat="1">
      <c r="T65680" s="41"/>
    </row>
    <row r="65681" spans="20:20" s="566" customFormat="1">
      <c r="T65681" s="41"/>
    </row>
    <row r="65682" spans="20:20" s="566" customFormat="1">
      <c r="T65682" s="41"/>
    </row>
    <row r="65683" spans="20:20" s="566" customFormat="1">
      <c r="T65683" s="41"/>
    </row>
    <row r="65684" spans="20:20" s="566" customFormat="1">
      <c r="T65684" s="41"/>
    </row>
    <row r="65685" spans="20:20" s="566" customFormat="1">
      <c r="T65685" s="41"/>
    </row>
    <row r="65686" spans="20:20" s="566" customFormat="1">
      <c r="T65686" s="41"/>
    </row>
    <row r="65687" spans="20:20" s="566" customFormat="1">
      <c r="T65687" s="41"/>
    </row>
    <row r="65688" spans="20:20" s="566" customFormat="1">
      <c r="T65688" s="41"/>
    </row>
    <row r="65689" spans="20:20" s="566" customFormat="1">
      <c r="T65689" s="41"/>
    </row>
    <row r="65690" spans="20:20" s="566" customFormat="1">
      <c r="T65690" s="41"/>
    </row>
    <row r="65691" spans="20:20" s="566" customFormat="1">
      <c r="T65691" s="41"/>
    </row>
    <row r="65692" spans="20:20" s="566" customFormat="1">
      <c r="T65692" s="41"/>
    </row>
    <row r="65693" spans="20:20" s="566" customFormat="1">
      <c r="T65693" s="41"/>
    </row>
    <row r="65694" spans="20:20" s="566" customFormat="1">
      <c r="T65694" s="41"/>
    </row>
    <row r="65695" spans="20:20" s="566" customFormat="1">
      <c r="T65695" s="41"/>
    </row>
    <row r="65696" spans="20:20" s="566" customFormat="1">
      <c r="T65696" s="41"/>
    </row>
    <row r="65697" spans="20:20" s="566" customFormat="1">
      <c r="T65697" s="41"/>
    </row>
    <row r="65698" spans="20:20" s="566" customFormat="1">
      <c r="T65698" s="41"/>
    </row>
    <row r="65699" spans="20:20" s="566" customFormat="1">
      <c r="T65699" s="41"/>
    </row>
    <row r="65700" spans="20:20" s="566" customFormat="1">
      <c r="T65700" s="41"/>
    </row>
    <row r="65701" spans="20:20" s="566" customFormat="1">
      <c r="T65701" s="41"/>
    </row>
    <row r="65702" spans="20:20" s="566" customFormat="1">
      <c r="T65702" s="41"/>
    </row>
    <row r="65703" spans="20:20" s="566" customFormat="1">
      <c r="T65703" s="41"/>
    </row>
    <row r="65704" spans="20:20" s="566" customFormat="1">
      <c r="T65704" s="41"/>
    </row>
    <row r="65705" spans="20:20" s="566" customFormat="1">
      <c r="T65705" s="41"/>
    </row>
    <row r="65706" spans="20:20" s="566" customFormat="1">
      <c r="T65706" s="41"/>
    </row>
    <row r="65707" spans="20:20" s="566" customFormat="1">
      <c r="T65707" s="41"/>
    </row>
    <row r="65708" spans="20:20" s="566" customFormat="1">
      <c r="T65708" s="41"/>
    </row>
    <row r="65709" spans="20:20" s="566" customFormat="1">
      <c r="T65709" s="41"/>
    </row>
    <row r="65710" spans="20:20" s="566" customFormat="1">
      <c r="T65710" s="41"/>
    </row>
    <row r="65711" spans="20:20" s="566" customFormat="1">
      <c r="T65711" s="41"/>
    </row>
    <row r="65712" spans="20:20" s="566" customFormat="1">
      <c r="T65712" s="41"/>
    </row>
    <row r="65713" spans="20:20" s="566" customFormat="1">
      <c r="T65713" s="41"/>
    </row>
    <row r="65714" spans="20:20" s="566" customFormat="1">
      <c r="T65714" s="41"/>
    </row>
    <row r="65715" spans="20:20" s="566" customFormat="1">
      <c r="T65715" s="41"/>
    </row>
    <row r="65716" spans="20:20" s="566" customFormat="1">
      <c r="T65716" s="41"/>
    </row>
    <row r="65717" spans="20:20" s="566" customFormat="1">
      <c r="T65717" s="41"/>
    </row>
    <row r="65718" spans="20:20" s="566" customFormat="1">
      <c r="T65718" s="41"/>
    </row>
    <row r="65719" spans="20:20" s="566" customFormat="1">
      <c r="T65719" s="41"/>
    </row>
    <row r="65720" spans="20:20" s="566" customFormat="1">
      <c r="T65720" s="41"/>
    </row>
    <row r="65721" spans="20:20" s="566" customFormat="1">
      <c r="T65721" s="41"/>
    </row>
    <row r="65722" spans="20:20" s="566" customFormat="1">
      <c r="T65722" s="41"/>
    </row>
    <row r="65723" spans="20:20" s="566" customFormat="1">
      <c r="T65723" s="41"/>
    </row>
    <row r="65724" spans="20:20" s="566" customFormat="1">
      <c r="T65724" s="41"/>
    </row>
    <row r="65725" spans="20:20" s="566" customFormat="1">
      <c r="T65725" s="41"/>
    </row>
    <row r="65726" spans="20:20" s="566" customFormat="1">
      <c r="T65726" s="41"/>
    </row>
    <row r="65727" spans="20:20" s="566" customFormat="1">
      <c r="T65727" s="41"/>
    </row>
    <row r="65728" spans="20:20" s="566" customFormat="1">
      <c r="T65728" s="41"/>
    </row>
    <row r="65729" spans="20:20" s="566" customFormat="1">
      <c r="T65729" s="41"/>
    </row>
    <row r="65730" spans="20:20" s="566" customFormat="1">
      <c r="T65730" s="41"/>
    </row>
    <row r="65731" spans="20:20" s="566" customFormat="1">
      <c r="T65731" s="41"/>
    </row>
    <row r="65732" spans="20:20" s="566" customFormat="1">
      <c r="T65732" s="41"/>
    </row>
    <row r="65733" spans="20:20" s="566" customFormat="1">
      <c r="T65733" s="41"/>
    </row>
    <row r="65734" spans="20:20" s="566" customFormat="1">
      <c r="T65734" s="41"/>
    </row>
    <row r="65735" spans="20:20" s="566" customFormat="1">
      <c r="T65735" s="41"/>
    </row>
    <row r="65736" spans="20:20" s="566" customFormat="1">
      <c r="T65736" s="41"/>
    </row>
    <row r="65737" spans="20:20" s="566" customFormat="1">
      <c r="T65737" s="41"/>
    </row>
    <row r="65738" spans="20:20" s="566" customFormat="1">
      <c r="T65738" s="41"/>
    </row>
    <row r="65739" spans="20:20" s="566" customFormat="1">
      <c r="T65739" s="41"/>
    </row>
    <row r="65740" spans="20:20" s="566" customFormat="1">
      <c r="T65740" s="41"/>
    </row>
    <row r="65741" spans="20:20" s="566" customFormat="1">
      <c r="T65741" s="41"/>
    </row>
    <row r="65742" spans="20:20" s="566" customFormat="1">
      <c r="T65742" s="41"/>
    </row>
    <row r="65743" spans="20:20" s="566" customFormat="1">
      <c r="T65743" s="41"/>
    </row>
    <row r="65744" spans="20:20" s="566" customFormat="1">
      <c r="T65744" s="41"/>
    </row>
    <row r="65745" spans="20:20" s="566" customFormat="1">
      <c r="T65745" s="41"/>
    </row>
    <row r="65746" spans="20:20" s="566" customFormat="1">
      <c r="T65746" s="41"/>
    </row>
    <row r="65747" spans="20:20" s="566" customFormat="1">
      <c r="T65747" s="41"/>
    </row>
    <row r="65748" spans="20:20" s="566" customFormat="1">
      <c r="T65748" s="41"/>
    </row>
    <row r="65749" spans="20:20" s="566" customFormat="1">
      <c r="T65749" s="41"/>
    </row>
    <row r="65750" spans="20:20" s="566" customFormat="1">
      <c r="T65750" s="41"/>
    </row>
    <row r="65751" spans="20:20" s="566" customFormat="1">
      <c r="T65751" s="41"/>
    </row>
    <row r="65752" spans="20:20" s="566" customFormat="1">
      <c r="T65752" s="41"/>
    </row>
    <row r="65753" spans="20:20" s="566" customFormat="1">
      <c r="T65753" s="41"/>
    </row>
    <row r="65754" spans="20:20" s="566" customFormat="1">
      <c r="T65754" s="41"/>
    </row>
    <row r="65755" spans="20:20" s="566" customFormat="1">
      <c r="T65755" s="41"/>
    </row>
    <row r="65756" spans="20:20" s="566" customFormat="1">
      <c r="T65756" s="41"/>
    </row>
    <row r="65757" spans="20:20" s="566" customFormat="1">
      <c r="T65757" s="41"/>
    </row>
    <row r="65758" spans="20:20" s="566" customFormat="1">
      <c r="T65758" s="41"/>
    </row>
    <row r="65759" spans="20:20" s="566" customFormat="1">
      <c r="T65759" s="41"/>
    </row>
    <row r="65760" spans="20:20" s="566" customFormat="1">
      <c r="T65760" s="41"/>
    </row>
    <row r="65761" spans="20:20" s="566" customFormat="1">
      <c r="T65761" s="41"/>
    </row>
    <row r="65762" spans="20:20" s="566" customFormat="1">
      <c r="T65762" s="41"/>
    </row>
    <row r="65763" spans="20:20" s="566" customFormat="1">
      <c r="T65763" s="41"/>
    </row>
    <row r="65764" spans="20:20" s="566" customFormat="1">
      <c r="T65764" s="41"/>
    </row>
    <row r="65765" spans="20:20" s="566" customFormat="1">
      <c r="T65765" s="41"/>
    </row>
    <row r="65766" spans="20:20" s="566" customFormat="1">
      <c r="T65766" s="41"/>
    </row>
    <row r="65767" spans="20:20" s="566" customFormat="1">
      <c r="T65767" s="41"/>
    </row>
    <row r="65768" spans="20:20" s="566" customFormat="1">
      <c r="T65768" s="41"/>
    </row>
    <row r="65769" spans="20:20" s="566" customFormat="1">
      <c r="T65769" s="41"/>
    </row>
    <row r="65770" spans="20:20" s="566" customFormat="1">
      <c r="T65770" s="41"/>
    </row>
    <row r="65771" spans="20:20" s="566" customFormat="1">
      <c r="T65771" s="41"/>
    </row>
    <row r="65772" spans="20:20" s="566" customFormat="1">
      <c r="T65772" s="41"/>
    </row>
    <row r="65773" spans="20:20" s="566" customFormat="1">
      <c r="T65773" s="41"/>
    </row>
    <row r="65774" spans="20:20" s="566" customFormat="1">
      <c r="T65774" s="41"/>
    </row>
    <row r="65775" spans="20:20" s="566" customFormat="1">
      <c r="T65775" s="41"/>
    </row>
    <row r="65776" spans="20:20" s="566" customFormat="1">
      <c r="T65776" s="41"/>
    </row>
    <row r="65777" spans="20:20" s="566" customFormat="1">
      <c r="T65777" s="41"/>
    </row>
    <row r="65778" spans="20:20" s="566" customFormat="1">
      <c r="T65778" s="41"/>
    </row>
    <row r="65779" spans="20:20" s="566" customFormat="1">
      <c r="T65779" s="41"/>
    </row>
    <row r="65780" spans="20:20" s="566" customFormat="1">
      <c r="T65780" s="41"/>
    </row>
    <row r="65781" spans="20:20" s="566" customFormat="1">
      <c r="T65781" s="41"/>
    </row>
    <row r="65782" spans="20:20" s="566" customFormat="1">
      <c r="T65782" s="41"/>
    </row>
    <row r="65783" spans="20:20" s="566" customFormat="1">
      <c r="T65783" s="41"/>
    </row>
    <row r="65784" spans="20:20" s="566" customFormat="1">
      <c r="T65784" s="41"/>
    </row>
    <row r="65785" spans="20:20" s="566" customFormat="1">
      <c r="T65785" s="41"/>
    </row>
    <row r="65786" spans="20:20" s="566" customFormat="1">
      <c r="T65786" s="41"/>
    </row>
    <row r="65787" spans="20:20" s="566" customFormat="1">
      <c r="T65787" s="41"/>
    </row>
    <row r="65788" spans="20:20" s="566" customFormat="1">
      <c r="T65788" s="41"/>
    </row>
    <row r="65789" spans="20:20" s="566" customFormat="1">
      <c r="T65789" s="41"/>
    </row>
    <row r="65790" spans="20:20" s="566" customFormat="1">
      <c r="T65790" s="41"/>
    </row>
    <row r="65791" spans="20:20" s="566" customFormat="1">
      <c r="T65791" s="41"/>
    </row>
    <row r="65792" spans="20:20" s="566" customFormat="1">
      <c r="T65792" s="41"/>
    </row>
    <row r="65793" spans="20:20" s="566" customFormat="1">
      <c r="T65793" s="41"/>
    </row>
    <row r="65794" spans="20:20" s="566" customFormat="1">
      <c r="T65794" s="41"/>
    </row>
    <row r="65795" spans="20:20" s="566" customFormat="1">
      <c r="T65795" s="41"/>
    </row>
    <row r="65796" spans="20:20" s="566" customFormat="1">
      <c r="T65796" s="41"/>
    </row>
    <row r="65797" spans="20:20" s="566" customFormat="1">
      <c r="T65797" s="41"/>
    </row>
    <row r="65798" spans="20:20" s="566" customFormat="1">
      <c r="T65798" s="41"/>
    </row>
    <row r="65799" spans="20:20" s="566" customFormat="1">
      <c r="T65799" s="41"/>
    </row>
    <row r="65800" spans="20:20" s="566" customFormat="1">
      <c r="T65800" s="41"/>
    </row>
    <row r="65801" spans="20:20" s="566" customFormat="1">
      <c r="T65801" s="41"/>
    </row>
    <row r="65802" spans="20:20" s="566" customFormat="1">
      <c r="T65802" s="41"/>
    </row>
    <row r="65803" spans="20:20" s="566" customFormat="1">
      <c r="T65803" s="41"/>
    </row>
    <row r="65804" spans="20:20" s="566" customFormat="1">
      <c r="T65804" s="41"/>
    </row>
    <row r="65805" spans="20:20" s="566" customFormat="1">
      <c r="T65805" s="41"/>
    </row>
    <row r="65806" spans="20:20" s="566" customFormat="1">
      <c r="T65806" s="41"/>
    </row>
    <row r="65807" spans="20:20" s="566" customFormat="1">
      <c r="T65807" s="41"/>
    </row>
    <row r="65808" spans="20:20" s="566" customFormat="1">
      <c r="T65808" s="41"/>
    </row>
    <row r="65809" spans="20:20" s="566" customFormat="1">
      <c r="T65809" s="41"/>
    </row>
    <row r="65810" spans="20:20" s="566" customFormat="1">
      <c r="T65810" s="41"/>
    </row>
    <row r="65811" spans="20:20" s="566" customFormat="1">
      <c r="T65811" s="41"/>
    </row>
    <row r="65812" spans="20:20" s="566" customFormat="1">
      <c r="T65812" s="41"/>
    </row>
    <row r="65813" spans="20:20" s="566" customFormat="1">
      <c r="T65813" s="41"/>
    </row>
    <row r="65814" spans="20:20" s="566" customFormat="1">
      <c r="T65814" s="41"/>
    </row>
    <row r="65815" spans="20:20" s="566" customFormat="1">
      <c r="T65815" s="41"/>
    </row>
    <row r="65816" spans="20:20" s="566" customFormat="1">
      <c r="T65816" s="41"/>
    </row>
    <row r="65817" spans="20:20" s="566" customFormat="1">
      <c r="T65817" s="41"/>
    </row>
    <row r="65818" spans="20:20" s="566" customFormat="1">
      <c r="T65818" s="41"/>
    </row>
    <row r="65819" spans="20:20" s="566" customFormat="1">
      <c r="T65819" s="41"/>
    </row>
    <row r="65820" spans="20:20" s="566" customFormat="1">
      <c r="T65820" s="41"/>
    </row>
    <row r="65821" spans="20:20" s="566" customFormat="1">
      <c r="T65821" s="41"/>
    </row>
    <row r="65822" spans="20:20" s="566" customFormat="1">
      <c r="T65822" s="41"/>
    </row>
    <row r="65823" spans="20:20" s="566" customFormat="1">
      <c r="T65823" s="41"/>
    </row>
    <row r="65824" spans="20:20" s="566" customFormat="1">
      <c r="T65824" s="41"/>
    </row>
    <row r="65825" spans="20:20" s="566" customFormat="1">
      <c r="T65825" s="41"/>
    </row>
    <row r="65826" spans="20:20" s="566" customFormat="1">
      <c r="T65826" s="41"/>
    </row>
    <row r="65827" spans="20:20" s="566" customFormat="1">
      <c r="T65827" s="41"/>
    </row>
    <row r="65828" spans="20:20" s="566" customFormat="1">
      <c r="T65828" s="41"/>
    </row>
    <row r="65829" spans="20:20" s="566" customFormat="1">
      <c r="T65829" s="41"/>
    </row>
    <row r="65830" spans="20:20" s="566" customFormat="1">
      <c r="T65830" s="41"/>
    </row>
    <row r="65831" spans="20:20" s="566" customFormat="1">
      <c r="T65831" s="41"/>
    </row>
    <row r="65832" spans="20:20" s="566" customFormat="1">
      <c r="T65832" s="41"/>
    </row>
    <row r="65833" spans="20:20" s="566" customFormat="1">
      <c r="T65833" s="41"/>
    </row>
    <row r="65834" spans="20:20" s="566" customFormat="1">
      <c r="T65834" s="41"/>
    </row>
    <row r="65835" spans="20:20" s="566" customFormat="1">
      <c r="T65835" s="41"/>
    </row>
    <row r="65836" spans="20:20" s="566" customFormat="1">
      <c r="T65836" s="41"/>
    </row>
    <row r="65837" spans="20:20" s="566" customFormat="1">
      <c r="T65837" s="41"/>
    </row>
    <row r="65838" spans="20:20" s="566" customFormat="1">
      <c r="T65838" s="41"/>
    </row>
    <row r="65839" spans="20:20" s="566" customFormat="1">
      <c r="T65839" s="41"/>
    </row>
    <row r="65840" spans="20:20" s="566" customFormat="1">
      <c r="T65840" s="41"/>
    </row>
    <row r="65841" spans="20:20" s="566" customFormat="1">
      <c r="T65841" s="41"/>
    </row>
    <row r="65842" spans="20:20" s="566" customFormat="1">
      <c r="T65842" s="41"/>
    </row>
    <row r="65843" spans="20:20" s="566" customFormat="1">
      <c r="T65843" s="41"/>
    </row>
    <row r="65844" spans="20:20" s="566" customFormat="1">
      <c r="T65844" s="41"/>
    </row>
    <row r="65845" spans="20:20" s="566" customFormat="1">
      <c r="T65845" s="41"/>
    </row>
    <row r="65846" spans="20:20" s="566" customFormat="1">
      <c r="T65846" s="41"/>
    </row>
    <row r="65847" spans="20:20" s="566" customFormat="1">
      <c r="T65847" s="41"/>
    </row>
    <row r="65848" spans="20:20" s="566" customFormat="1">
      <c r="T65848" s="41"/>
    </row>
    <row r="65849" spans="20:20" s="566" customFormat="1">
      <c r="T65849" s="41"/>
    </row>
    <row r="65850" spans="20:20" s="566" customFormat="1">
      <c r="T65850" s="41"/>
    </row>
    <row r="65851" spans="20:20" s="566" customFormat="1">
      <c r="T65851" s="41"/>
    </row>
    <row r="65852" spans="20:20" s="566" customFormat="1">
      <c r="T65852" s="41"/>
    </row>
    <row r="65853" spans="20:20" s="566" customFormat="1">
      <c r="T65853" s="41"/>
    </row>
    <row r="65854" spans="20:20" s="566" customFormat="1">
      <c r="T65854" s="41"/>
    </row>
    <row r="65855" spans="20:20" s="566" customFormat="1">
      <c r="T65855" s="41"/>
    </row>
    <row r="65856" spans="20:20" s="566" customFormat="1">
      <c r="T65856" s="41"/>
    </row>
    <row r="65857" spans="20:20" s="566" customFormat="1">
      <c r="T65857" s="41"/>
    </row>
    <row r="65858" spans="20:20" s="566" customFormat="1">
      <c r="T65858" s="41"/>
    </row>
    <row r="65859" spans="20:20" s="566" customFormat="1">
      <c r="T65859" s="41"/>
    </row>
    <row r="65860" spans="20:20" s="566" customFormat="1">
      <c r="T65860" s="41"/>
    </row>
    <row r="65861" spans="20:20" s="566" customFormat="1">
      <c r="T65861" s="41"/>
    </row>
    <row r="65862" spans="20:20" s="566" customFormat="1">
      <c r="T65862" s="41"/>
    </row>
    <row r="65863" spans="20:20" s="566" customFormat="1">
      <c r="T65863" s="41"/>
    </row>
    <row r="65864" spans="20:20" s="566" customFormat="1">
      <c r="T65864" s="41"/>
    </row>
    <row r="65865" spans="20:20" s="566" customFormat="1">
      <c r="T65865" s="41"/>
    </row>
    <row r="65866" spans="20:20" s="566" customFormat="1">
      <c r="T65866" s="41"/>
    </row>
    <row r="65867" spans="20:20" s="566" customFormat="1">
      <c r="T65867" s="41"/>
    </row>
    <row r="65868" spans="20:20" s="566" customFormat="1">
      <c r="T65868" s="41"/>
    </row>
    <row r="65869" spans="20:20" s="566" customFormat="1">
      <c r="T65869" s="41"/>
    </row>
    <row r="65870" spans="20:20" s="566" customFormat="1">
      <c r="T65870" s="41"/>
    </row>
    <row r="65871" spans="20:20" s="566" customFormat="1">
      <c r="T65871" s="41"/>
    </row>
    <row r="65872" spans="20:20" s="566" customFormat="1">
      <c r="T65872" s="41"/>
    </row>
    <row r="65873" spans="20:20" s="566" customFormat="1">
      <c r="T65873" s="41"/>
    </row>
    <row r="65874" spans="20:20" s="566" customFormat="1">
      <c r="T65874" s="41"/>
    </row>
    <row r="65875" spans="20:20" s="566" customFormat="1">
      <c r="T65875" s="41"/>
    </row>
    <row r="65876" spans="20:20" s="566" customFormat="1">
      <c r="T65876" s="41"/>
    </row>
    <row r="65877" spans="20:20" s="566" customFormat="1">
      <c r="T65877" s="41"/>
    </row>
    <row r="65878" spans="20:20" s="566" customFormat="1">
      <c r="T65878" s="41"/>
    </row>
    <row r="65879" spans="20:20" s="566" customFormat="1">
      <c r="T65879" s="41"/>
    </row>
    <row r="65880" spans="20:20" s="566" customFormat="1">
      <c r="T65880" s="41"/>
    </row>
    <row r="65881" spans="20:20" s="566" customFormat="1">
      <c r="T65881" s="41"/>
    </row>
    <row r="65882" spans="20:20" s="566" customFormat="1">
      <c r="T65882" s="41"/>
    </row>
    <row r="65883" spans="20:20" s="566" customFormat="1">
      <c r="T65883" s="41"/>
    </row>
    <row r="65884" spans="20:20" s="566" customFormat="1">
      <c r="T65884" s="41"/>
    </row>
    <row r="65885" spans="20:20" s="566" customFormat="1">
      <c r="T65885" s="41"/>
    </row>
    <row r="65886" spans="20:20" s="566" customFormat="1">
      <c r="T65886" s="41"/>
    </row>
    <row r="65887" spans="20:20" s="566" customFormat="1">
      <c r="T65887" s="41"/>
    </row>
    <row r="65888" spans="20:20" s="566" customFormat="1">
      <c r="T65888" s="41"/>
    </row>
    <row r="65889" spans="20:20" s="566" customFormat="1">
      <c r="T65889" s="41"/>
    </row>
    <row r="65890" spans="20:20" s="566" customFormat="1">
      <c r="T65890" s="41"/>
    </row>
    <row r="65891" spans="20:20" s="566" customFormat="1">
      <c r="T65891" s="41"/>
    </row>
    <row r="65892" spans="20:20" s="566" customFormat="1">
      <c r="T65892" s="41"/>
    </row>
    <row r="65893" spans="20:20" s="566" customFormat="1">
      <c r="T65893" s="41"/>
    </row>
    <row r="65894" spans="20:20" s="566" customFormat="1">
      <c r="T65894" s="41"/>
    </row>
    <row r="65895" spans="20:20" s="566" customFormat="1">
      <c r="T65895" s="41"/>
    </row>
    <row r="65896" spans="20:20" s="566" customFormat="1">
      <c r="T65896" s="41"/>
    </row>
    <row r="65897" spans="20:20" s="566" customFormat="1">
      <c r="T65897" s="41"/>
    </row>
    <row r="65898" spans="20:20" s="566" customFormat="1">
      <c r="T65898" s="41"/>
    </row>
    <row r="65899" spans="20:20" s="566" customFormat="1">
      <c r="T65899" s="41"/>
    </row>
    <row r="65900" spans="20:20" s="566" customFormat="1">
      <c r="T65900" s="41"/>
    </row>
    <row r="65901" spans="20:20" s="566" customFormat="1">
      <c r="T65901" s="41"/>
    </row>
    <row r="65902" spans="20:20" s="566" customFormat="1">
      <c r="T65902" s="41"/>
    </row>
    <row r="65903" spans="20:20" s="566" customFormat="1">
      <c r="T65903" s="41"/>
    </row>
    <row r="65904" spans="20:20" s="566" customFormat="1">
      <c r="T65904" s="41"/>
    </row>
    <row r="65905" spans="20:20" s="566" customFormat="1">
      <c r="T65905" s="41"/>
    </row>
    <row r="65906" spans="20:20" s="566" customFormat="1">
      <c r="T65906" s="41"/>
    </row>
    <row r="65907" spans="20:20" s="566" customFormat="1">
      <c r="T65907" s="41"/>
    </row>
    <row r="65908" spans="20:20" s="566" customFormat="1">
      <c r="T65908" s="41"/>
    </row>
    <row r="65909" spans="20:20" s="566" customFormat="1">
      <c r="T65909" s="41"/>
    </row>
    <row r="65910" spans="20:20" s="566" customFormat="1">
      <c r="T65910" s="41"/>
    </row>
    <row r="65911" spans="20:20" s="566" customFormat="1">
      <c r="T65911" s="41"/>
    </row>
    <row r="65912" spans="20:20" s="566" customFormat="1">
      <c r="T65912" s="41"/>
    </row>
    <row r="65913" spans="20:20" s="566" customFormat="1">
      <c r="T65913" s="41"/>
    </row>
    <row r="65914" spans="20:20" s="566" customFormat="1">
      <c r="T65914" s="41"/>
    </row>
    <row r="65915" spans="20:20" s="566" customFormat="1">
      <c r="T65915" s="41"/>
    </row>
    <row r="65916" spans="20:20" s="566" customFormat="1">
      <c r="T65916" s="41"/>
    </row>
    <row r="65917" spans="20:20" s="566" customFormat="1">
      <c r="T65917" s="41"/>
    </row>
    <row r="65918" spans="20:20" s="566" customFormat="1">
      <c r="T65918" s="41"/>
    </row>
    <row r="65919" spans="20:20" s="566" customFormat="1">
      <c r="T65919" s="41"/>
    </row>
    <row r="65920" spans="20:20" s="566" customFormat="1">
      <c r="T65920" s="41"/>
    </row>
    <row r="65921" spans="20:20" s="566" customFormat="1">
      <c r="T65921" s="41"/>
    </row>
    <row r="65922" spans="20:20" s="566" customFormat="1">
      <c r="T65922" s="41"/>
    </row>
    <row r="65923" spans="20:20" s="566" customFormat="1">
      <c r="T65923" s="41"/>
    </row>
    <row r="65924" spans="20:20" s="566" customFormat="1">
      <c r="T65924" s="41"/>
    </row>
    <row r="65925" spans="20:20" s="566" customFormat="1">
      <c r="T65925" s="41"/>
    </row>
    <row r="65926" spans="20:20" s="566" customFormat="1">
      <c r="T65926" s="41"/>
    </row>
    <row r="65927" spans="20:20" s="566" customFormat="1">
      <c r="T65927" s="41"/>
    </row>
    <row r="65928" spans="20:20" s="566" customFormat="1">
      <c r="T65928" s="41"/>
    </row>
    <row r="65929" spans="20:20" s="566" customFormat="1">
      <c r="T65929" s="41"/>
    </row>
    <row r="65930" spans="20:20" s="566" customFormat="1">
      <c r="T65930" s="41"/>
    </row>
    <row r="65931" spans="20:20" s="566" customFormat="1">
      <c r="T65931" s="41"/>
    </row>
    <row r="65932" spans="20:20" s="566" customFormat="1">
      <c r="T65932" s="41"/>
    </row>
    <row r="65933" spans="20:20" s="566" customFormat="1">
      <c r="T65933" s="41"/>
    </row>
    <row r="65934" spans="20:20" s="566" customFormat="1">
      <c r="T65934" s="41"/>
    </row>
    <row r="65935" spans="20:20" s="566" customFormat="1">
      <c r="T65935" s="41"/>
    </row>
    <row r="65936" spans="20:20" s="566" customFormat="1">
      <c r="T65936" s="41"/>
    </row>
    <row r="65937" spans="20:20" s="566" customFormat="1">
      <c r="T65937" s="41"/>
    </row>
    <row r="65938" spans="20:20" s="566" customFormat="1">
      <c r="T65938" s="41"/>
    </row>
    <row r="65939" spans="20:20" s="566" customFormat="1">
      <c r="T65939" s="41"/>
    </row>
    <row r="65940" spans="20:20" s="566" customFormat="1">
      <c r="T65940" s="41"/>
    </row>
    <row r="65941" spans="20:20" s="566" customFormat="1">
      <c r="T65941" s="41"/>
    </row>
    <row r="65942" spans="20:20" s="566" customFormat="1">
      <c r="T65942" s="41"/>
    </row>
    <row r="65943" spans="20:20" s="566" customFormat="1">
      <c r="T65943" s="41"/>
    </row>
    <row r="65944" spans="20:20" s="566" customFormat="1">
      <c r="T65944" s="41"/>
    </row>
    <row r="65945" spans="20:20" s="566" customFormat="1">
      <c r="T65945" s="41"/>
    </row>
    <row r="65946" spans="20:20" s="566" customFormat="1">
      <c r="T65946" s="41"/>
    </row>
    <row r="65947" spans="20:20" s="566" customFormat="1">
      <c r="T65947" s="41"/>
    </row>
    <row r="65948" spans="20:20" s="566" customFormat="1">
      <c r="T65948" s="41"/>
    </row>
    <row r="65949" spans="20:20" s="566" customFormat="1">
      <c r="T65949" s="41"/>
    </row>
    <row r="65950" spans="20:20" s="566" customFormat="1">
      <c r="T65950" s="41"/>
    </row>
    <row r="65951" spans="20:20" s="566" customFormat="1">
      <c r="T65951" s="41"/>
    </row>
    <row r="65952" spans="20:20" s="566" customFormat="1">
      <c r="T65952" s="41"/>
    </row>
    <row r="65953" spans="20:20" s="566" customFormat="1">
      <c r="T65953" s="41"/>
    </row>
    <row r="65954" spans="20:20" s="566" customFormat="1">
      <c r="T65954" s="41"/>
    </row>
    <row r="65955" spans="20:20" s="566" customFormat="1">
      <c r="T65955" s="41"/>
    </row>
    <row r="65956" spans="20:20" s="566" customFormat="1">
      <c r="T65956" s="41"/>
    </row>
    <row r="65957" spans="20:20" s="566" customFormat="1">
      <c r="T65957" s="41"/>
    </row>
    <row r="65958" spans="20:20" s="566" customFormat="1">
      <c r="T65958" s="41"/>
    </row>
    <row r="65959" spans="20:20" s="566" customFormat="1">
      <c r="T65959" s="41"/>
    </row>
    <row r="65960" spans="20:20" s="566" customFormat="1">
      <c r="T65960" s="41"/>
    </row>
    <row r="65961" spans="20:20" s="566" customFormat="1">
      <c r="T65961" s="41"/>
    </row>
    <row r="65962" spans="20:20" s="566" customFormat="1">
      <c r="T65962" s="41"/>
    </row>
    <row r="65963" spans="20:20" s="566" customFormat="1">
      <c r="T65963" s="41"/>
    </row>
    <row r="65964" spans="20:20" s="566" customFormat="1">
      <c r="T65964" s="41"/>
    </row>
    <row r="65965" spans="20:20" s="566" customFormat="1">
      <c r="T65965" s="41"/>
    </row>
    <row r="65966" spans="20:20" s="566" customFormat="1">
      <c r="T65966" s="41"/>
    </row>
    <row r="65967" spans="20:20" s="566" customFormat="1">
      <c r="T65967" s="41"/>
    </row>
    <row r="65968" spans="20:20" s="566" customFormat="1">
      <c r="T65968" s="41"/>
    </row>
    <row r="65969" spans="20:20" s="566" customFormat="1">
      <c r="T65969" s="41"/>
    </row>
    <row r="65970" spans="20:20" s="566" customFormat="1">
      <c r="T65970" s="41"/>
    </row>
    <row r="65971" spans="20:20" s="566" customFormat="1">
      <c r="T65971" s="41"/>
    </row>
    <row r="65972" spans="20:20" s="566" customFormat="1">
      <c r="T65972" s="41"/>
    </row>
    <row r="65973" spans="20:20" s="566" customFormat="1">
      <c r="T65973" s="41"/>
    </row>
    <row r="65974" spans="20:20" s="566" customFormat="1">
      <c r="T65974" s="41"/>
    </row>
    <row r="65975" spans="20:20" s="566" customFormat="1">
      <c r="T65975" s="41"/>
    </row>
    <row r="65976" spans="20:20" s="566" customFormat="1">
      <c r="T65976" s="41"/>
    </row>
    <row r="65977" spans="20:20" s="566" customFormat="1">
      <c r="T65977" s="41"/>
    </row>
    <row r="65978" spans="20:20" s="566" customFormat="1">
      <c r="T65978" s="41"/>
    </row>
    <row r="65979" spans="20:20" s="566" customFormat="1">
      <c r="T65979" s="41"/>
    </row>
    <row r="65980" spans="20:20" s="566" customFormat="1">
      <c r="T65980" s="41"/>
    </row>
    <row r="65981" spans="20:20" s="566" customFormat="1">
      <c r="T65981" s="41"/>
    </row>
    <row r="65982" spans="20:20" s="566" customFormat="1">
      <c r="T65982" s="41"/>
    </row>
    <row r="65983" spans="20:20" s="566" customFormat="1">
      <c r="T65983" s="41"/>
    </row>
    <row r="65984" spans="20:20" s="566" customFormat="1">
      <c r="T65984" s="41"/>
    </row>
    <row r="65985" spans="20:20" s="566" customFormat="1">
      <c r="T65985" s="41"/>
    </row>
    <row r="65986" spans="20:20" s="566" customFormat="1">
      <c r="T65986" s="41"/>
    </row>
    <row r="65987" spans="20:20" s="566" customFormat="1">
      <c r="T65987" s="41"/>
    </row>
    <row r="65988" spans="20:20" s="566" customFormat="1">
      <c r="T65988" s="41"/>
    </row>
    <row r="65989" spans="20:20" s="566" customFormat="1">
      <c r="T65989" s="41"/>
    </row>
    <row r="65990" spans="20:20" s="566" customFormat="1">
      <c r="T65990" s="41"/>
    </row>
    <row r="65991" spans="20:20" s="566" customFormat="1">
      <c r="T65991" s="41"/>
    </row>
    <row r="65992" spans="20:20" s="566" customFormat="1">
      <c r="T65992" s="41"/>
    </row>
    <row r="65993" spans="20:20" s="566" customFormat="1">
      <c r="T65993" s="41"/>
    </row>
    <row r="65994" spans="20:20" s="566" customFormat="1">
      <c r="T65994" s="41"/>
    </row>
    <row r="65995" spans="20:20" s="566" customFormat="1">
      <c r="T65995" s="41"/>
    </row>
    <row r="65996" spans="20:20" s="566" customFormat="1">
      <c r="T65996" s="41"/>
    </row>
    <row r="65997" spans="20:20" s="566" customFormat="1">
      <c r="T65997" s="41"/>
    </row>
    <row r="65998" spans="20:20" s="566" customFormat="1">
      <c r="T65998" s="41"/>
    </row>
    <row r="65999" spans="20:20" s="566" customFormat="1">
      <c r="T65999" s="41"/>
    </row>
    <row r="66000" spans="20:20" s="566" customFormat="1">
      <c r="T66000" s="41"/>
    </row>
    <row r="66001" spans="20:20" s="566" customFormat="1">
      <c r="T66001" s="41"/>
    </row>
    <row r="66002" spans="20:20" s="566" customFormat="1">
      <c r="T66002" s="41"/>
    </row>
    <row r="66003" spans="20:20" s="566" customFormat="1">
      <c r="T66003" s="41"/>
    </row>
    <row r="66004" spans="20:20" s="566" customFormat="1">
      <c r="T66004" s="41"/>
    </row>
    <row r="66005" spans="20:20" s="566" customFormat="1">
      <c r="T66005" s="41"/>
    </row>
    <row r="66006" spans="20:20" s="566" customFormat="1">
      <c r="T66006" s="41"/>
    </row>
    <row r="66007" spans="20:20" s="566" customFormat="1">
      <c r="T66007" s="41"/>
    </row>
    <row r="66008" spans="20:20" s="566" customFormat="1">
      <c r="T66008" s="41"/>
    </row>
    <row r="66009" spans="20:20" s="566" customFormat="1">
      <c r="T66009" s="41"/>
    </row>
    <row r="66010" spans="20:20" s="566" customFormat="1">
      <c r="T66010" s="41"/>
    </row>
    <row r="66011" spans="20:20" s="566" customFormat="1">
      <c r="T66011" s="41"/>
    </row>
    <row r="66012" spans="20:20" s="566" customFormat="1">
      <c r="T66012" s="41"/>
    </row>
    <row r="66013" spans="20:20" s="566" customFormat="1">
      <c r="T66013" s="41"/>
    </row>
    <row r="66014" spans="20:20" s="566" customFormat="1">
      <c r="T66014" s="41"/>
    </row>
    <row r="66015" spans="20:20" s="566" customFormat="1">
      <c r="T66015" s="41"/>
    </row>
    <row r="66016" spans="20:20" s="566" customFormat="1">
      <c r="T66016" s="41"/>
    </row>
    <row r="66017" spans="20:20" s="566" customFormat="1">
      <c r="T66017" s="41"/>
    </row>
    <row r="66018" spans="20:20" s="566" customFormat="1">
      <c r="T66018" s="41"/>
    </row>
    <row r="66019" spans="20:20" s="566" customFormat="1">
      <c r="T66019" s="41"/>
    </row>
    <row r="66020" spans="20:20" s="566" customFormat="1">
      <c r="T66020" s="41"/>
    </row>
    <row r="66021" spans="20:20" s="566" customFormat="1">
      <c r="T66021" s="41"/>
    </row>
    <row r="66022" spans="20:20" s="566" customFormat="1">
      <c r="T66022" s="41"/>
    </row>
    <row r="66023" spans="20:20" s="566" customFormat="1">
      <c r="T66023" s="41"/>
    </row>
    <row r="66024" spans="20:20" s="566" customFormat="1">
      <c r="T66024" s="41"/>
    </row>
    <row r="66025" spans="20:20" s="566" customFormat="1">
      <c r="T66025" s="41"/>
    </row>
    <row r="66026" spans="20:20" s="566" customFormat="1">
      <c r="T66026" s="41"/>
    </row>
    <row r="66027" spans="20:20" s="566" customFormat="1">
      <c r="T66027" s="41"/>
    </row>
    <row r="66028" spans="20:20" s="566" customFormat="1">
      <c r="T66028" s="41"/>
    </row>
    <row r="66029" spans="20:20" s="566" customFormat="1">
      <c r="T66029" s="41"/>
    </row>
    <row r="66030" spans="20:20" s="566" customFormat="1">
      <c r="T66030" s="41"/>
    </row>
    <row r="66031" spans="20:20" s="566" customFormat="1">
      <c r="T66031" s="41"/>
    </row>
    <row r="66032" spans="20:20" s="566" customFormat="1">
      <c r="T66032" s="41"/>
    </row>
    <row r="66033" spans="20:20" s="566" customFormat="1">
      <c r="T66033" s="41"/>
    </row>
    <row r="66034" spans="20:20" s="566" customFormat="1">
      <c r="T66034" s="41"/>
    </row>
    <row r="66035" spans="20:20" s="566" customFormat="1">
      <c r="T66035" s="41"/>
    </row>
    <row r="66036" spans="20:20" s="566" customFormat="1">
      <c r="T66036" s="41"/>
    </row>
    <row r="66037" spans="20:20" s="566" customFormat="1">
      <c r="T66037" s="41"/>
    </row>
    <row r="66038" spans="20:20" s="566" customFormat="1">
      <c r="T66038" s="41"/>
    </row>
    <row r="66039" spans="20:20" s="566" customFormat="1">
      <c r="T66039" s="4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rightToLeft="1" workbookViewId="0">
      <selection activeCell="H5" sqref="H5"/>
    </sheetView>
  </sheetViews>
  <sheetFormatPr defaultRowHeight="14.25"/>
  <cols>
    <col min="2" max="2" width="10.875" bestFit="1" customWidth="1"/>
    <col min="6" max="6" width="34.75" bestFit="1" customWidth="1"/>
    <col min="7" max="7" width="15.625" bestFit="1" customWidth="1"/>
  </cols>
  <sheetData>
    <row r="1" spans="1:12" ht="116.25">
      <c r="A1" s="552" t="s">
        <v>1</v>
      </c>
      <c r="B1" s="558"/>
      <c r="C1" s="553" t="s">
        <v>2</v>
      </c>
      <c r="D1" s="553" t="s">
        <v>4</v>
      </c>
      <c r="E1" s="553"/>
      <c r="F1" s="554" t="s">
        <v>271</v>
      </c>
      <c r="G1" s="555" t="s">
        <v>2185</v>
      </c>
      <c r="H1" s="556" t="s">
        <v>2522</v>
      </c>
      <c r="I1" s="557" t="s">
        <v>5</v>
      </c>
      <c r="J1" s="556" t="s">
        <v>2519</v>
      </c>
    </row>
    <row r="2" spans="1:12" ht="25.5" customHeight="1">
      <c r="A2" s="550"/>
      <c r="B2" s="559">
        <v>1747000430</v>
      </c>
      <c r="C2" s="548">
        <v>430</v>
      </c>
      <c r="D2" s="548">
        <v>747000</v>
      </c>
      <c r="E2" s="548">
        <v>1</v>
      </c>
      <c r="F2" s="548" t="s">
        <v>311</v>
      </c>
      <c r="G2" s="549">
        <v>30000</v>
      </c>
      <c r="H2" s="547">
        <v>30000</v>
      </c>
      <c r="I2" s="551" t="s">
        <v>473</v>
      </c>
      <c r="J2" s="546"/>
    </row>
    <row r="3" spans="1:12" ht="25.5" customHeight="1">
      <c r="A3" s="550"/>
      <c r="B3" s="559">
        <v>1747000530</v>
      </c>
      <c r="C3" s="548">
        <v>530</v>
      </c>
      <c r="D3" s="548">
        <v>747000</v>
      </c>
      <c r="E3" s="548">
        <v>1</v>
      </c>
      <c r="F3" s="548" t="s">
        <v>277</v>
      </c>
      <c r="G3" s="549">
        <v>260000</v>
      </c>
      <c r="H3" s="547">
        <v>260000</v>
      </c>
      <c r="I3" s="551" t="s">
        <v>287</v>
      </c>
      <c r="J3" s="546"/>
    </row>
    <row r="4" spans="1:12" ht="25.5" customHeight="1">
      <c r="A4" s="550"/>
      <c r="B4" s="559">
        <v>1747000540</v>
      </c>
      <c r="C4" s="548">
        <v>540</v>
      </c>
      <c r="D4" s="548">
        <v>747000</v>
      </c>
      <c r="E4" s="548">
        <v>1</v>
      </c>
      <c r="F4" s="548" t="s">
        <v>279</v>
      </c>
      <c r="G4" s="549">
        <v>5000</v>
      </c>
      <c r="H4" s="547">
        <v>5000</v>
      </c>
      <c r="I4" s="551"/>
      <c r="J4" s="546"/>
    </row>
    <row r="5" spans="1:12" s="311" customFormat="1" ht="25.5" customHeight="1">
      <c r="A5" s="520"/>
      <c r="B5" s="521">
        <v>1747000750</v>
      </c>
      <c r="C5" s="522">
        <v>750</v>
      </c>
      <c r="D5" s="522">
        <v>747000</v>
      </c>
      <c r="E5" s="522">
        <v>1</v>
      </c>
      <c r="F5" s="522" t="s">
        <v>288</v>
      </c>
      <c r="G5" s="523">
        <v>700000</v>
      </c>
      <c r="H5" s="545">
        <v>700000</v>
      </c>
      <c r="I5" s="345" t="s">
        <v>2189</v>
      </c>
      <c r="J5" s="445" t="s">
        <v>2703</v>
      </c>
      <c r="L5" s="311" t="s">
        <v>2705</v>
      </c>
    </row>
    <row r="6" spans="1:12" s="311" customFormat="1" ht="25.5" customHeight="1">
      <c r="A6" s="520"/>
      <c r="B6" s="521">
        <v>1747000751</v>
      </c>
      <c r="C6" s="522">
        <v>751</v>
      </c>
      <c r="D6" s="522">
        <v>747000</v>
      </c>
      <c r="E6" s="522">
        <v>1</v>
      </c>
      <c r="F6" s="522" t="s">
        <v>2369</v>
      </c>
      <c r="G6" s="523">
        <v>700000</v>
      </c>
      <c r="H6" s="545">
        <v>700000</v>
      </c>
      <c r="I6" s="345" t="s">
        <v>2490</v>
      </c>
      <c r="L6" s="311" t="s">
        <v>2706</v>
      </c>
    </row>
    <row r="7" spans="1:12" s="311" customFormat="1" ht="25.5" customHeight="1">
      <c r="A7" s="520"/>
      <c r="B7" s="521">
        <v>1747000752</v>
      </c>
      <c r="C7" s="522">
        <v>752</v>
      </c>
      <c r="D7" s="522">
        <v>747000</v>
      </c>
      <c r="E7" s="522">
        <v>1</v>
      </c>
      <c r="F7" s="522" t="s">
        <v>2368</v>
      </c>
      <c r="G7" s="523">
        <v>192000</v>
      </c>
      <c r="H7" s="545">
        <v>192000</v>
      </c>
      <c r="I7" s="345" t="s">
        <v>2367</v>
      </c>
      <c r="L7" s="311" t="s">
        <v>2707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rightToLeft="1" topLeftCell="A25" workbookViewId="0">
      <selection activeCell="E57" sqref="E57"/>
    </sheetView>
  </sheetViews>
  <sheetFormatPr defaultRowHeight="14.25"/>
  <cols>
    <col min="1" max="1" width="17.75" customWidth="1"/>
    <col min="2" max="2" width="9.625" bestFit="1" customWidth="1"/>
    <col min="3" max="3" width="19.375" bestFit="1" customWidth="1"/>
    <col min="5" max="5" width="13.375" customWidth="1"/>
    <col min="6" max="6" width="28.375" bestFit="1" customWidth="1"/>
    <col min="12" max="12" width="15.125" style="566" customWidth="1"/>
    <col min="13" max="13" width="10" style="566" customWidth="1"/>
    <col min="14" max="14" width="19.625" style="566" customWidth="1"/>
    <col min="15" max="15" width="11.25" style="566" customWidth="1"/>
    <col min="16" max="16" width="11.5" style="566" customWidth="1"/>
    <col min="17" max="17" width="32.25" style="566" customWidth="1"/>
  </cols>
  <sheetData>
    <row r="1" spans="1:17">
      <c r="A1" s="1134" t="s">
        <v>2635</v>
      </c>
      <c r="B1" s="1135"/>
      <c r="C1" s="1135"/>
      <c r="D1" s="1135"/>
      <c r="E1" s="1135"/>
      <c r="F1" s="1135"/>
      <c r="G1" s="391"/>
      <c r="L1" s="1129" t="s">
        <v>2635</v>
      </c>
      <c r="M1" s="1130"/>
      <c r="N1" s="1130"/>
      <c r="O1" s="1130"/>
      <c r="P1" s="1130"/>
      <c r="Q1" s="1130"/>
    </row>
    <row r="2" spans="1:17">
      <c r="A2" s="1136"/>
      <c r="B2" s="1137"/>
      <c r="C2" s="1137"/>
      <c r="D2" s="1137"/>
      <c r="E2" s="1137"/>
      <c r="F2" s="1137"/>
      <c r="G2" s="391"/>
      <c r="L2" s="1131"/>
      <c r="M2" s="1132"/>
      <c r="N2" s="1132"/>
      <c r="O2" s="1132"/>
      <c r="P2" s="1132"/>
      <c r="Q2" s="1132"/>
    </row>
    <row r="3" spans="1:17">
      <c r="A3" s="1141" t="s">
        <v>0</v>
      </c>
      <c r="B3" s="1142"/>
      <c r="C3" s="1142"/>
      <c r="D3" s="1142"/>
      <c r="E3" s="1142"/>
      <c r="F3" s="1143"/>
      <c r="G3" s="391"/>
      <c r="L3" s="1126" t="s">
        <v>0</v>
      </c>
      <c r="M3" s="1127"/>
      <c r="N3" s="1127"/>
      <c r="O3" s="1127"/>
      <c r="P3" s="1127"/>
      <c r="Q3" s="1133"/>
    </row>
    <row r="4" spans="1:17" ht="25.5">
      <c r="A4" s="393" t="s">
        <v>1</v>
      </c>
      <c r="B4" s="393" t="s">
        <v>3</v>
      </c>
      <c r="C4" s="393" t="s">
        <v>271</v>
      </c>
      <c r="D4" s="393" t="s">
        <v>2636</v>
      </c>
      <c r="E4" s="387" t="s">
        <v>2637</v>
      </c>
      <c r="F4" s="393" t="s">
        <v>5</v>
      </c>
      <c r="G4" s="332"/>
      <c r="L4" s="573" t="s">
        <v>1</v>
      </c>
      <c r="M4" s="573" t="s">
        <v>3</v>
      </c>
      <c r="N4" s="573" t="s">
        <v>271</v>
      </c>
      <c r="O4" s="573" t="s">
        <v>2636</v>
      </c>
      <c r="P4" s="574" t="s">
        <v>2637</v>
      </c>
      <c r="Q4" s="573" t="s">
        <v>5</v>
      </c>
    </row>
    <row r="5" spans="1:17">
      <c r="A5" s="334" t="s">
        <v>36</v>
      </c>
      <c r="B5" s="334">
        <v>1281000690</v>
      </c>
      <c r="C5" s="334" t="s">
        <v>37</v>
      </c>
      <c r="D5" s="441">
        <v>11000000</v>
      </c>
      <c r="E5" s="441">
        <v>8000000</v>
      </c>
      <c r="F5" s="443"/>
      <c r="G5" s="391"/>
      <c r="L5" s="575" t="s">
        <v>36</v>
      </c>
      <c r="M5" s="575">
        <v>1281000690</v>
      </c>
      <c r="N5" s="575" t="s">
        <v>37</v>
      </c>
      <c r="O5" s="576">
        <v>11000000</v>
      </c>
      <c r="P5" s="576">
        <v>8000000</v>
      </c>
      <c r="Q5" s="577"/>
    </row>
    <row r="6" spans="1:17">
      <c r="A6" s="334" t="s">
        <v>241</v>
      </c>
      <c r="B6" s="334">
        <v>1443200610</v>
      </c>
      <c r="C6" s="334" t="s">
        <v>242</v>
      </c>
      <c r="D6" s="441">
        <v>7500000</v>
      </c>
      <c r="E6" s="441">
        <v>7500000</v>
      </c>
      <c r="F6" s="443"/>
      <c r="G6" s="391"/>
      <c r="L6" s="575" t="s">
        <v>241</v>
      </c>
      <c r="M6" s="575">
        <v>1443200610</v>
      </c>
      <c r="N6" s="575" t="s">
        <v>242</v>
      </c>
      <c r="O6" s="576">
        <v>7500000</v>
      </c>
      <c r="P6" s="576">
        <v>7500000</v>
      </c>
      <c r="Q6" s="577"/>
    </row>
    <row r="7" spans="1:17">
      <c r="A7" s="334" t="s">
        <v>229</v>
      </c>
      <c r="B7" s="334">
        <v>1379000690</v>
      </c>
      <c r="C7" s="334" t="s">
        <v>230</v>
      </c>
      <c r="D7" s="441">
        <v>500000</v>
      </c>
      <c r="E7" s="441">
        <v>400000</v>
      </c>
      <c r="F7" s="443"/>
      <c r="G7" s="391"/>
      <c r="L7" s="575" t="s">
        <v>229</v>
      </c>
      <c r="M7" s="575">
        <v>1379000690</v>
      </c>
      <c r="N7" s="575" t="s">
        <v>230</v>
      </c>
      <c r="O7" s="576">
        <v>500000</v>
      </c>
      <c r="P7" s="576">
        <v>400000</v>
      </c>
      <c r="Q7" s="577"/>
    </row>
    <row r="8" spans="1:17">
      <c r="A8" s="1141" t="s">
        <v>888</v>
      </c>
      <c r="B8" s="1142"/>
      <c r="C8" s="1144"/>
      <c r="D8" s="441">
        <v>19000000</v>
      </c>
      <c r="E8" s="441">
        <v>15900000</v>
      </c>
      <c r="F8" s="443"/>
      <c r="G8" s="391"/>
      <c r="L8" s="1126" t="s">
        <v>888</v>
      </c>
      <c r="M8" s="1127"/>
      <c r="N8" s="1128"/>
      <c r="O8" s="576">
        <f>SUM(O5:O7)</f>
        <v>19000000</v>
      </c>
      <c r="P8" s="576">
        <f>SUM(P5:P7)</f>
        <v>15900000</v>
      </c>
      <c r="Q8" s="577"/>
    </row>
    <row r="9" spans="1:17">
      <c r="A9" s="407"/>
      <c r="B9" s="409"/>
      <c r="C9" s="409"/>
      <c r="D9" s="409"/>
      <c r="E9" s="409"/>
      <c r="F9" s="403"/>
      <c r="G9" s="382"/>
      <c r="L9" s="578"/>
      <c r="M9" s="579"/>
      <c r="N9" s="579"/>
      <c r="O9" s="579"/>
      <c r="P9" s="579"/>
      <c r="Q9" s="580"/>
    </row>
    <row r="10" spans="1:17">
      <c r="A10" s="334" t="s">
        <v>2638</v>
      </c>
      <c r="B10" s="330">
        <v>1222000990</v>
      </c>
      <c r="C10" s="330" t="s">
        <v>2639</v>
      </c>
      <c r="D10" s="441">
        <v>4459000</v>
      </c>
      <c r="E10" s="441">
        <v>4952132</v>
      </c>
      <c r="F10" s="390" t="s">
        <v>2640</v>
      </c>
      <c r="G10" s="391" t="e">
        <v>#VALUE!</v>
      </c>
      <c r="L10" s="575" t="s">
        <v>2638</v>
      </c>
      <c r="M10" s="581">
        <v>1222000990</v>
      </c>
      <c r="N10" s="581" t="s">
        <v>2639</v>
      </c>
      <c r="O10" s="576">
        <v>4459000</v>
      </c>
      <c r="P10" s="576">
        <v>4952132</v>
      </c>
      <c r="Q10" s="582" t="s">
        <v>2640</v>
      </c>
    </row>
    <row r="11" spans="1:17">
      <c r="A11" s="1141" t="s">
        <v>888</v>
      </c>
      <c r="B11" s="1142"/>
      <c r="C11" s="1144"/>
      <c r="D11" s="441">
        <v>4459000</v>
      </c>
      <c r="E11" s="441">
        <v>4952132</v>
      </c>
      <c r="F11" s="443"/>
      <c r="G11" s="391"/>
      <c r="L11" s="1126" t="s">
        <v>888</v>
      </c>
      <c r="M11" s="1127"/>
      <c r="N11" s="1128"/>
      <c r="O11" s="576">
        <v>4459000</v>
      </c>
      <c r="P11" s="576">
        <v>4952132</v>
      </c>
      <c r="Q11" s="577"/>
    </row>
    <row r="12" spans="1:17">
      <c r="A12" s="385"/>
      <c r="B12" s="402"/>
      <c r="C12" s="402"/>
      <c r="D12" s="440"/>
      <c r="E12" s="440"/>
      <c r="F12" s="392"/>
      <c r="G12" s="391"/>
      <c r="L12" s="583"/>
      <c r="M12" s="584"/>
      <c r="N12" s="584"/>
      <c r="O12" s="585"/>
      <c r="P12" s="585"/>
      <c r="Q12" s="586"/>
    </row>
    <row r="13" spans="1:17">
      <c r="A13" s="334" t="s">
        <v>2641</v>
      </c>
      <c r="B13" s="330">
        <v>1223000990</v>
      </c>
      <c r="C13" s="330" t="s">
        <v>25</v>
      </c>
      <c r="D13" s="441">
        <v>455000</v>
      </c>
      <c r="E13" s="441">
        <v>455000</v>
      </c>
      <c r="F13" s="389" t="s">
        <v>2642</v>
      </c>
      <c r="G13" s="391"/>
      <c r="L13" s="575" t="s">
        <v>2641</v>
      </c>
      <c r="M13" s="581">
        <v>1223000990</v>
      </c>
      <c r="N13" s="581" t="s">
        <v>25</v>
      </c>
      <c r="O13" s="576">
        <v>455000</v>
      </c>
      <c r="P13" s="576">
        <v>455000</v>
      </c>
      <c r="Q13" s="587" t="s">
        <v>2642</v>
      </c>
    </row>
    <row r="14" spans="1:17">
      <c r="A14" s="1141" t="s">
        <v>888</v>
      </c>
      <c r="B14" s="1142"/>
      <c r="C14" s="1144"/>
      <c r="D14" s="441">
        <v>455000</v>
      </c>
      <c r="E14" s="441">
        <v>455000</v>
      </c>
      <c r="F14" s="443"/>
      <c r="G14" s="391"/>
      <c r="L14" s="1126" t="s">
        <v>888</v>
      </c>
      <c r="M14" s="1127"/>
      <c r="N14" s="1128"/>
      <c r="O14" s="576">
        <v>455000</v>
      </c>
      <c r="P14" s="576">
        <v>455000</v>
      </c>
      <c r="Q14" s="577"/>
    </row>
    <row r="15" spans="1:17">
      <c r="A15" s="1141" t="s">
        <v>2643</v>
      </c>
      <c r="B15" s="1142"/>
      <c r="C15" s="1142"/>
      <c r="D15" s="1142"/>
      <c r="E15" s="1142"/>
      <c r="F15" s="1144"/>
      <c r="G15" s="391"/>
      <c r="L15" s="1126" t="s">
        <v>2643</v>
      </c>
      <c r="M15" s="1127"/>
      <c r="N15" s="1127"/>
      <c r="O15" s="1127"/>
      <c r="P15" s="1127"/>
      <c r="Q15" s="1128"/>
    </row>
    <row r="16" spans="1:17">
      <c r="A16" s="393" t="s">
        <v>1</v>
      </c>
      <c r="B16" s="393" t="s">
        <v>3</v>
      </c>
      <c r="C16" s="393" t="s">
        <v>271</v>
      </c>
      <c r="D16" s="393" t="s">
        <v>2644</v>
      </c>
      <c r="E16" s="387" t="s">
        <v>2645</v>
      </c>
      <c r="F16" s="393" t="s">
        <v>5</v>
      </c>
      <c r="G16" s="391"/>
      <c r="L16" s="573" t="s">
        <v>1</v>
      </c>
      <c r="M16" s="573" t="s">
        <v>3</v>
      </c>
      <c r="N16" s="573" t="s">
        <v>271</v>
      </c>
      <c r="O16" s="573" t="s">
        <v>2644</v>
      </c>
      <c r="P16" s="574" t="s">
        <v>2645</v>
      </c>
      <c r="Q16" s="573" t="s">
        <v>5</v>
      </c>
    </row>
    <row r="17" spans="1:17">
      <c r="A17" s="346" t="s">
        <v>2646</v>
      </c>
      <c r="B17" s="334">
        <v>1780000110</v>
      </c>
      <c r="C17" s="334" t="s">
        <v>2647</v>
      </c>
      <c r="D17" s="441">
        <v>1155000</v>
      </c>
      <c r="E17" s="441">
        <v>1082000</v>
      </c>
      <c r="F17" s="328"/>
      <c r="G17" s="391"/>
      <c r="H17" s="391"/>
      <c r="L17" s="588" t="s">
        <v>2646</v>
      </c>
      <c r="M17" s="575">
        <v>1780000110</v>
      </c>
      <c r="N17" s="575" t="s">
        <v>2647</v>
      </c>
      <c r="O17" s="576">
        <v>1155000</v>
      </c>
      <c r="P17" s="576">
        <v>1082000</v>
      </c>
      <c r="Q17" s="589"/>
    </row>
    <row r="18" spans="1:17">
      <c r="A18" s="334"/>
      <c r="B18" s="334">
        <v>1780000410</v>
      </c>
      <c r="C18" s="334" t="s">
        <v>2648</v>
      </c>
      <c r="D18" s="441">
        <v>95000</v>
      </c>
      <c r="E18" s="441">
        <v>85000</v>
      </c>
      <c r="F18" s="443"/>
      <c r="G18" s="391"/>
      <c r="H18" s="391"/>
      <c r="L18" s="575"/>
      <c r="M18" s="575">
        <v>1780000410</v>
      </c>
      <c r="N18" s="575" t="s">
        <v>2648</v>
      </c>
      <c r="O18" s="576">
        <v>95000</v>
      </c>
      <c r="P18" s="576">
        <v>85000</v>
      </c>
      <c r="Q18" s="577"/>
    </row>
    <row r="19" spans="1:17">
      <c r="A19" s="334"/>
      <c r="B19" s="334">
        <v>1780000430</v>
      </c>
      <c r="C19" s="334" t="s">
        <v>311</v>
      </c>
      <c r="D19" s="441">
        <v>70000</v>
      </c>
      <c r="E19" s="441">
        <v>100000</v>
      </c>
      <c r="F19" s="443"/>
      <c r="G19" s="391"/>
      <c r="H19" s="391"/>
      <c r="L19" s="575"/>
      <c r="M19" s="575">
        <v>1780000430</v>
      </c>
      <c r="N19" s="575" t="s">
        <v>311</v>
      </c>
      <c r="O19" s="576">
        <v>70000</v>
      </c>
      <c r="P19" s="576">
        <v>100000</v>
      </c>
      <c r="Q19" s="577"/>
    </row>
    <row r="20" spans="1:17" s="311" customFormat="1">
      <c r="A20" s="438"/>
      <c r="B20" s="438">
        <v>1780000530</v>
      </c>
      <c r="C20" s="438" t="s">
        <v>2649</v>
      </c>
      <c r="D20" s="379">
        <v>132000</v>
      </c>
      <c r="E20" s="379">
        <v>205000</v>
      </c>
      <c r="F20" s="388" t="s">
        <v>2699</v>
      </c>
      <c r="G20" s="384"/>
      <c r="H20" s="384"/>
      <c r="L20" s="575"/>
      <c r="M20" s="575">
        <v>1780000530</v>
      </c>
      <c r="N20" s="575" t="s">
        <v>2649</v>
      </c>
      <c r="O20" s="576">
        <v>132000</v>
      </c>
      <c r="P20" s="576">
        <v>205000</v>
      </c>
      <c r="Q20" s="577"/>
    </row>
    <row r="21" spans="1:17">
      <c r="A21" s="334"/>
      <c r="B21" s="334">
        <v>1780000540</v>
      </c>
      <c r="C21" s="334" t="s">
        <v>2650</v>
      </c>
      <c r="D21" s="441">
        <v>10000</v>
      </c>
      <c r="E21" s="441">
        <v>15000</v>
      </c>
      <c r="F21" s="443"/>
      <c r="G21" s="391"/>
      <c r="H21" s="391"/>
      <c r="L21" s="575"/>
      <c r="M21" s="575">
        <v>1780000540</v>
      </c>
      <c r="N21" s="575" t="s">
        <v>2650</v>
      </c>
      <c r="O21" s="576">
        <v>10000</v>
      </c>
      <c r="P21" s="576">
        <v>15000</v>
      </c>
      <c r="Q21" s="577"/>
    </row>
    <row r="22" spans="1:17">
      <c r="A22" s="334"/>
      <c r="B22" s="334">
        <v>1780000550</v>
      </c>
      <c r="C22" s="334" t="s">
        <v>318</v>
      </c>
      <c r="D22" s="441">
        <v>0</v>
      </c>
      <c r="E22" s="334">
        <v>0</v>
      </c>
      <c r="F22" s="443"/>
      <c r="G22" s="391"/>
      <c r="H22" s="391"/>
      <c r="L22" s="575"/>
      <c r="M22" s="575">
        <v>1780000550</v>
      </c>
      <c r="N22" s="575" t="s">
        <v>318</v>
      </c>
      <c r="O22" s="576">
        <v>0</v>
      </c>
      <c r="P22" s="575">
        <v>0</v>
      </c>
      <c r="Q22" s="577"/>
    </row>
    <row r="23" spans="1:17" ht="36">
      <c r="A23" s="396"/>
      <c r="B23" s="396">
        <v>1780000780</v>
      </c>
      <c r="C23" s="396"/>
      <c r="D23" s="383">
        <v>350000</v>
      </c>
      <c r="E23" s="383">
        <v>400000</v>
      </c>
      <c r="F23" s="344" t="s">
        <v>2651</v>
      </c>
      <c r="G23" s="391"/>
      <c r="H23" s="391"/>
      <c r="L23" s="590"/>
      <c r="M23" s="590">
        <v>1780000780</v>
      </c>
      <c r="N23" s="590"/>
      <c r="O23" s="591">
        <v>350000</v>
      </c>
      <c r="P23" s="591">
        <v>400000</v>
      </c>
      <c r="Q23" s="592" t="s">
        <v>2916</v>
      </c>
    </row>
    <row r="24" spans="1:17">
      <c r="A24" s="442" t="s">
        <v>2652</v>
      </c>
      <c r="B24" s="334">
        <v>1780000999</v>
      </c>
      <c r="C24" s="334"/>
      <c r="D24" s="441">
        <v>1812000</v>
      </c>
      <c r="E24" s="441">
        <v>1887000</v>
      </c>
      <c r="F24" s="443"/>
      <c r="G24" s="391"/>
      <c r="H24" s="391"/>
      <c r="L24" s="593" t="s">
        <v>2652</v>
      </c>
      <c r="M24" s="575">
        <v>1780000999</v>
      </c>
      <c r="N24" s="575"/>
      <c r="O24" s="576">
        <f>SUM(O17:O23)</f>
        <v>1812000</v>
      </c>
      <c r="P24" s="576">
        <f>SUM(P17:P23)</f>
        <v>1887000</v>
      </c>
      <c r="Q24" s="577"/>
    </row>
    <row r="25" spans="1:17">
      <c r="A25" s="1138"/>
      <c r="B25" s="1139"/>
      <c r="C25" s="1139"/>
      <c r="D25" s="1139"/>
      <c r="E25" s="1139"/>
      <c r="F25" s="1140"/>
      <c r="G25" s="382"/>
      <c r="H25" s="391"/>
      <c r="L25" s="1123"/>
      <c r="M25" s="1124"/>
      <c r="N25" s="1124"/>
      <c r="O25" s="1124"/>
      <c r="P25" s="1124"/>
      <c r="Q25" s="1125"/>
    </row>
    <row r="26" spans="1:17">
      <c r="A26" s="334" t="s">
        <v>414</v>
      </c>
      <c r="B26" s="334">
        <v>1722300110</v>
      </c>
      <c r="C26" s="334" t="s">
        <v>2653</v>
      </c>
      <c r="D26" s="441">
        <v>2210000</v>
      </c>
      <c r="E26" s="441">
        <v>1995000</v>
      </c>
      <c r="F26" s="350"/>
      <c r="G26" s="391"/>
      <c r="H26" s="391"/>
      <c r="L26" s="575" t="s">
        <v>414</v>
      </c>
      <c r="M26" s="575">
        <v>1722300110</v>
      </c>
      <c r="N26" s="575" t="s">
        <v>2653</v>
      </c>
      <c r="O26" s="576">
        <v>2210000</v>
      </c>
      <c r="P26" s="576">
        <v>1995000</v>
      </c>
      <c r="Q26" s="594"/>
    </row>
    <row r="27" spans="1:17">
      <c r="A27" s="334"/>
      <c r="B27" s="334">
        <v>1722300430</v>
      </c>
      <c r="C27" s="334" t="s">
        <v>2654</v>
      </c>
      <c r="D27" s="441">
        <v>0</v>
      </c>
      <c r="E27" s="441">
        <v>0</v>
      </c>
      <c r="F27" s="443"/>
      <c r="G27" s="391"/>
      <c r="H27" s="391"/>
      <c r="L27" s="575"/>
      <c r="M27" s="575">
        <v>1722300430</v>
      </c>
      <c r="N27" s="575" t="s">
        <v>2654</v>
      </c>
      <c r="O27" s="576">
        <v>0</v>
      </c>
      <c r="P27" s="576">
        <v>0</v>
      </c>
      <c r="Q27" s="577"/>
    </row>
    <row r="28" spans="1:17">
      <c r="A28" s="334"/>
      <c r="B28" s="334">
        <v>1722300530</v>
      </c>
      <c r="C28" s="334" t="s">
        <v>277</v>
      </c>
      <c r="D28" s="441">
        <v>175000</v>
      </c>
      <c r="E28" s="441">
        <v>175000</v>
      </c>
      <c r="F28" s="350"/>
      <c r="G28" s="391"/>
      <c r="H28" s="391"/>
      <c r="L28" s="575"/>
      <c r="M28" s="575">
        <v>1722300530</v>
      </c>
      <c r="N28" s="575" t="s">
        <v>277</v>
      </c>
      <c r="O28" s="576">
        <v>175000</v>
      </c>
      <c r="P28" s="576">
        <v>175000</v>
      </c>
      <c r="Q28" s="594"/>
    </row>
    <row r="29" spans="1:17">
      <c r="A29" s="334"/>
      <c r="B29" s="334">
        <v>1722300540</v>
      </c>
      <c r="C29" s="334" t="s">
        <v>2655</v>
      </c>
      <c r="D29" s="441">
        <v>5000</v>
      </c>
      <c r="E29" s="441">
        <v>4000</v>
      </c>
      <c r="F29" s="443"/>
      <c r="G29" s="391"/>
      <c r="H29" s="391"/>
      <c r="L29" s="575"/>
      <c r="M29" s="575">
        <v>1722300540</v>
      </c>
      <c r="N29" s="575" t="s">
        <v>2655</v>
      </c>
      <c r="O29" s="576">
        <v>5000</v>
      </c>
      <c r="P29" s="576">
        <v>4000</v>
      </c>
      <c r="Q29" s="577"/>
    </row>
    <row r="30" spans="1:17">
      <c r="A30" s="334"/>
      <c r="B30" s="334">
        <v>1722300780</v>
      </c>
      <c r="C30" s="334" t="s">
        <v>280</v>
      </c>
      <c r="D30" s="441">
        <v>100000</v>
      </c>
      <c r="E30" s="441">
        <v>145000</v>
      </c>
      <c r="F30" s="443" t="s">
        <v>2656</v>
      </c>
      <c r="G30" s="391"/>
      <c r="H30" s="391" t="s">
        <v>2657</v>
      </c>
      <c r="L30" s="575"/>
      <c r="M30" s="575">
        <v>1722300780</v>
      </c>
      <c r="N30" s="575" t="s">
        <v>280</v>
      </c>
      <c r="O30" s="576">
        <v>100000</v>
      </c>
      <c r="P30" s="576">
        <v>145000</v>
      </c>
      <c r="Q30" s="577" t="s">
        <v>2656</v>
      </c>
    </row>
    <row r="31" spans="1:17">
      <c r="A31" s="442" t="s">
        <v>2658</v>
      </c>
      <c r="B31" s="334">
        <v>1722300999</v>
      </c>
      <c r="C31" s="334"/>
      <c r="D31" s="441">
        <v>2490000</v>
      </c>
      <c r="E31" s="441">
        <v>2319000</v>
      </c>
      <c r="F31" s="443" t="s">
        <v>2659</v>
      </c>
      <c r="G31" s="391"/>
      <c r="H31" s="391"/>
      <c r="L31" s="593" t="s">
        <v>2658</v>
      </c>
      <c r="M31" s="575">
        <v>1722300999</v>
      </c>
      <c r="N31" s="575"/>
      <c r="O31" s="576">
        <f>SUM(O26:O30)</f>
        <v>2490000</v>
      </c>
      <c r="P31" s="576">
        <f>SUM(P26:P30)</f>
        <v>2319000</v>
      </c>
      <c r="Q31" s="577" t="s">
        <v>2659</v>
      </c>
    </row>
    <row r="32" spans="1:17">
      <c r="A32" s="1138"/>
      <c r="B32" s="1139"/>
      <c r="C32" s="1139"/>
      <c r="D32" s="1139"/>
      <c r="E32" s="1139"/>
      <c r="F32" s="1140"/>
      <c r="G32" s="382"/>
      <c r="H32" s="391"/>
      <c r="L32" s="1123"/>
      <c r="M32" s="1124"/>
      <c r="N32" s="1124"/>
      <c r="O32" s="1124"/>
      <c r="P32" s="1124"/>
      <c r="Q32" s="1125"/>
    </row>
    <row r="33" spans="1:17">
      <c r="A33" s="346" t="s">
        <v>36</v>
      </c>
      <c r="B33" s="334">
        <v>1781000110</v>
      </c>
      <c r="C33" s="334" t="s">
        <v>525</v>
      </c>
      <c r="D33" s="441">
        <v>4421000</v>
      </c>
      <c r="E33" s="441">
        <v>5977000</v>
      </c>
      <c r="F33" s="350" t="s">
        <v>2660</v>
      </c>
      <c r="G33" s="391"/>
      <c r="L33" s="588" t="s">
        <v>36</v>
      </c>
      <c r="M33" s="575">
        <v>1781000110</v>
      </c>
      <c r="N33" s="575" t="s">
        <v>525</v>
      </c>
      <c r="O33" s="576">
        <v>4421000</v>
      </c>
      <c r="P33" s="576">
        <v>5977000</v>
      </c>
      <c r="Q33" s="594" t="s">
        <v>2660</v>
      </c>
    </row>
    <row r="34" spans="1:17">
      <c r="A34" s="334"/>
      <c r="B34" s="334">
        <v>1781000530</v>
      </c>
      <c r="C34" s="334" t="s">
        <v>277</v>
      </c>
      <c r="D34" s="441">
        <v>520000</v>
      </c>
      <c r="E34" s="441">
        <v>520000</v>
      </c>
      <c r="F34" s="443" t="s">
        <v>2661</v>
      </c>
      <c r="G34" s="391"/>
      <c r="L34" s="575"/>
      <c r="M34" s="575">
        <v>1781000530</v>
      </c>
      <c r="N34" s="575" t="s">
        <v>277</v>
      </c>
      <c r="O34" s="576">
        <v>520000</v>
      </c>
      <c r="P34" s="576">
        <v>520000</v>
      </c>
      <c r="Q34" s="577" t="s">
        <v>2661</v>
      </c>
    </row>
    <row r="35" spans="1:17">
      <c r="A35" s="334"/>
      <c r="B35" s="334">
        <v>1781000540</v>
      </c>
      <c r="C35" s="334" t="s">
        <v>2655</v>
      </c>
      <c r="D35" s="441">
        <v>30000</v>
      </c>
      <c r="E35" s="386">
        <v>30000</v>
      </c>
      <c r="F35" s="443"/>
      <c r="G35" s="391"/>
      <c r="L35" s="575"/>
      <c r="M35" s="575">
        <v>1781000540</v>
      </c>
      <c r="N35" s="575" t="s">
        <v>2655</v>
      </c>
      <c r="O35" s="576">
        <v>30000</v>
      </c>
      <c r="P35" s="595">
        <v>30000</v>
      </c>
      <c r="Q35" s="577"/>
    </row>
    <row r="36" spans="1:17">
      <c r="A36" s="334"/>
      <c r="B36" s="334">
        <v>1781000750</v>
      </c>
      <c r="C36" s="334" t="s">
        <v>288</v>
      </c>
      <c r="D36" s="441">
        <v>535000</v>
      </c>
      <c r="E36" s="334">
        <v>150000</v>
      </c>
      <c r="F36" s="443" t="s">
        <v>2662</v>
      </c>
      <c r="G36" s="391"/>
      <c r="L36" s="575"/>
      <c r="M36" s="575">
        <v>1781000750</v>
      </c>
      <c r="N36" s="575" t="s">
        <v>288</v>
      </c>
      <c r="O36" s="576">
        <v>535000</v>
      </c>
      <c r="P36" s="575">
        <v>150000</v>
      </c>
      <c r="Q36" s="577" t="s">
        <v>2662</v>
      </c>
    </row>
    <row r="37" spans="1:17" s="311" customFormat="1">
      <c r="A37" s="438"/>
      <c r="B37" s="438">
        <v>1781000751</v>
      </c>
      <c r="C37" s="438" t="s">
        <v>526</v>
      </c>
      <c r="D37" s="379">
        <v>2850000</v>
      </c>
      <c r="E37" s="379">
        <v>2250000</v>
      </c>
      <c r="F37" s="388"/>
      <c r="G37" s="384"/>
      <c r="H37" s="311" t="s">
        <v>2700</v>
      </c>
      <c r="L37" s="575"/>
      <c r="M37" s="575">
        <v>1781000751</v>
      </c>
      <c r="N37" s="575" t="s">
        <v>526</v>
      </c>
      <c r="O37" s="576">
        <v>2850000</v>
      </c>
      <c r="P37" s="576">
        <v>2250000</v>
      </c>
      <c r="Q37" s="577"/>
    </row>
    <row r="38" spans="1:17">
      <c r="A38" s="408" t="s">
        <v>2663</v>
      </c>
      <c r="B38" s="408"/>
      <c r="C38" s="408"/>
      <c r="D38" s="410"/>
      <c r="E38" s="410">
        <v>8927000</v>
      </c>
      <c r="F38" s="335"/>
      <c r="G38" s="391"/>
      <c r="L38" s="596" t="s">
        <v>2663</v>
      </c>
      <c r="M38" s="596"/>
      <c r="N38" s="596"/>
      <c r="O38" s="597"/>
      <c r="P38" s="597">
        <f>SUM(P33:P37)</f>
        <v>8927000</v>
      </c>
      <c r="Q38" s="598"/>
    </row>
    <row r="39" spans="1:17">
      <c r="A39" s="444"/>
      <c r="B39" s="444"/>
      <c r="C39" s="444"/>
      <c r="D39" s="341"/>
      <c r="E39" s="341"/>
      <c r="F39" s="347"/>
      <c r="G39" s="391"/>
      <c r="L39" s="599"/>
      <c r="M39" s="599"/>
      <c r="N39" s="599"/>
      <c r="O39" s="600"/>
      <c r="P39" s="600"/>
      <c r="Q39" s="601"/>
    </row>
    <row r="40" spans="1:17">
      <c r="A40" s="381" t="s">
        <v>2664</v>
      </c>
      <c r="B40" s="381">
        <v>1722400110</v>
      </c>
      <c r="C40" s="381" t="s">
        <v>2665</v>
      </c>
      <c r="D40" s="399">
        <v>595000</v>
      </c>
      <c r="E40" s="399">
        <v>203000</v>
      </c>
      <c r="F40" s="404" t="s">
        <v>2666</v>
      </c>
      <c r="G40" s="391"/>
      <c r="L40" s="602" t="s">
        <v>2664</v>
      </c>
      <c r="M40" s="602">
        <v>1722400110</v>
      </c>
      <c r="N40" s="602" t="s">
        <v>2665</v>
      </c>
      <c r="O40" s="603">
        <v>595000</v>
      </c>
      <c r="P40" s="603">
        <v>203000</v>
      </c>
      <c r="Q40" s="604" t="s">
        <v>2666</v>
      </c>
    </row>
    <row r="41" spans="1:17">
      <c r="A41" s="400" t="s">
        <v>2667</v>
      </c>
      <c r="B41" s="334">
        <v>1722400999</v>
      </c>
      <c r="C41" s="334"/>
      <c r="D41" s="441">
        <v>595000</v>
      </c>
      <c r="E41" s="441">
        <v>203000</v>
      </c>
      <c r="F41" s="443"/>
      <c r="G41" s="382"/>
      <c r="L41" s="605" t="s">
        <v>2667</v>
      </c>
      <c r="M41" s="575">
        <v>1722400999</v>
      </c>
      <c r="N41" s="575"/>
      <c r="O41" s="576">
        <v>595000</v>
      </c>
      <c r="P41" s="576">
        <v>203000</v>
      </c>
      <c r="Q41" s="577"/>
    </row>
    <row r="42" spans="1:17">
      <c r="A42" s="333"/>
      <c r="B42" s="405"/>
      <c r="C42" s="405"/>
      <c r="D42" s="440"/>
      <c r="E42" s="440"/>
      <c r="F42" s="392"/>
      <c r="G42" s="446"/>
      <c r="L42" s="606"/>
      <c r="M42" s="607"/>
      <c r="N42" s="607"/>
      <c r="O42" s="585"/>
      <c r="P42" s="585"/>
      <c r="Q42" s="586"/>
    </row>
    <row r="43" spans="1:17">
      <c r="A43" s="1138"/>
      <c r="B43" s="1139"/>
      <c r="C43" s="1139"/>
      <c r="D43" s="1139"/>
      <c r="E43" s="1139"/>
      <c r="F43" s="1140"/>
      <c r="G43" s="391"/>
      <c r="L43" s="1123"/>
      <c r="M43" s="1124"/>
      <c r="N43" s="1124"/>
      <c r="O43" s="1124"/>
      <c r="P43" s="1124"/>
      <c r="Q43" s="1125"/>
    </row>
    <row r="44" spans="1:17">
      <c r="A44" s="396" t="s">
        <v>494</v>
      </c>
      <c r="B44" s="396">
        <v>1761000110</v>
      </c>
      <c r="C44" s="396" t="s">
        <v>495</v>
      </c>
      <c r="D44" s="383">
        <v>2020000</v>
      </c>
      <c r="E44" s="383">
        <v>2687000</v>
      </c>
      <c r="F44" s="328"/>
      <c r="G44" s="391"/>
      <c r="L44" s="590" t="s">
        <v>494</v>
      </c>
      <c r="M44" s="590">
        <v>1761000110</v>
      </c>
      <c r="N44" s="590" t="s">
        <v>495</v>
      </c>
      <c r="O44" s="591">
        <v>2020000</v>
      </c>
      <c r="P44" s="591">
        <v>2687000</v>
      </c>
      <c r="Q44" s="589"/>
    </row>
    <row r="45" spans="1:17">
      <c r="A45" s="334"/>
      <c r="B45" s="334">
        <v>1761000530</v>
      </c>
      <c r="C45" s="334" t="s">
        <v>2649</v>
      </c>
      <c r="D45" s="441">
        <v>0</v>
      </c>
      <c r="E45" s="441">
        <v>0</v>
      </c>
      <c r="F45" s="443"/>
      <c r="G45" s="382"/>
      <c r="L45" s="575"/>
      <c r="M45" s="575">
        <v>1761000530</v>
      </c>
      <c r="N45" s="575" t="s">
        <v>2649</v>
      </c>
      <c r="O45" s="576">
        <v>0</v>
      </c>
      <c r="P45" s="576">
        <v>0</v>
      </c>
      <c r="Q45" s="577"/>
    </row>
    <row r="46" spans="1:17">
      <c r="A46" s="334"/>
      <c r="B46" s="334">
        <v>1761000540</v>
      </c>
      <c r="C46" s="334" t="s">
        <v>2668</v>
      </c>
      <c r="D46" s="441">
        <v>200000</v>
      </c>
      <c r="E46" s="441">
        <v>250000</v>
      </c>
      <c r="F46" s="443"/>
      <c r="G46" s="391"/>
      <c r="L46" s="575"/>
      <c r="M46" s="575">
        <v>1761000540</v>
      </c>
      <c r="N46" s="575" t="s">
        <v>2668</v>
      </c>
      <c r="O46" s="576">
        <v>200000</v>
      </c>
      <c r="P46" s="576">
        <v>250000</v>
      </c>
      <c r="Q46" s="577"/>
    </row>
    <row r="47" spans="1:17">
      <c r="A47" s="334"/>
      <c r="B47" s="334">
        <v>1761000750</v>
      </c>
      <c r="C47" s="334" t="s">
        <v>288</v>
      </c>
      <c r="D47" s="441">
        <v>40000</v>
      </c>
      <c r="E47" s="441">
        <v>40000</v>
      </c>
      <c r="F47" s="443"/>
      <c r="G47" s="391"/>
      <c r="L47" s="575"/>
      <c r="M47" s="575">
        <v>1761000750</v>
      </c>
      <c r="N47" s="575" t="s">
        <v>288</v>
      </c>
      <c r="O47" s="576">
        <v>40000</v>
      </c>
      <c r="P47" s="576">
        <v>40000</v>
      </c>
      <c r="Q47" s="577"/>
    </row>
    <row r="48" spans="1:17">
      <c r="A48" s="334"/>
      <c r="B48" s="334">
        <v>1761000780</v>
      </c>
      <c r="C48" s="334" t="s">
        <v>280</v>
      </c>
      <c r="D48" s="441">
        <v>7000</v>
      </c>
      <c r="E48" s="441">
        <v>7000</v>
      </c>
      <c r="F48" s="443"/>
      <c r="G48" s="391"/>
      <c r="L48" s="575"/>
      <c r="M48" s="575">
        <v>1761000780</v>
      </c>
      <c r="N48" s="575" t="s">
        <v>280</v>
      </c>
      <c r="O48" s="576">
        <v>7000</v>
      </c>
      <c r="P48" s="576">
        <v>7000</v>
      </c>
      <c r="Q48" s="577"/>
    </row>
    <row r="49" spans="1:19">
      <c r="A49" s="400" t="s">
        <v>496</v>
      </c>
      <c r="B49" s="334">
        <v>1761000999</v>
      </c>
      <c r="C49" s="334" t="s">
        <v>888</v>
      </c>
      <c r="D49" s="441">
        <v>2267000</v>
      </c>
      <c r="E49" s="441">
        <v>2984000</v>
      </c>
      <c r="F49" s="443"/>
      <c r="G49" s="391"/>
      <c r="H49" s="391"/>
      <c r="I49" s="391"/>
      <c r="J49" s="391"/>
      <c r="K49" s="391"/>
      <c r="L49" s="605" t="s">
        <v>496</v>
      </c>
      <c r="M49" s="575">
        <v>1761000999</v>
      </c>
      <c r="N49" s="575" t="s">
        <v>888</v>
      </c>
      <c r="O49" s="576">
        <f>SUM(O44:O48)</f>
        <v>2267000</v>
      </c>
      <c r="P49" s="576">
        <f>SUM(P44:P48)</f>
        <v>2984000</v>
      </c>
      <c r="Q49" s="577"/>
      <c r="R49" s="391"/>
      <c r="S49" s="391"/>
    </row>
    <row r="50" spans="1:19">
      <c r="A50" s="1138"/>
      <c r="B50" s="1139"/>
      <c r="C50" s="1139"/>
      <c r="D50" s="1139"/>
      <c r="E50" s="1139"/>
      <c r="F50" s="1140"/>
      <c r="G50" s="391"/>
      <c r="H50" s="391"/>
      <c r="I50" s="391"/>
      <c r="J50" s="391"/>
      <c r="K50" s="391"/>
      <c r="L50" s="1123"/>
      <c r="M50" s="1124"/>
      <c r="N50" s="1124"/>
      <c r="O50" s="1124"/>
      <c r="P50" s="1124"/>
      <c r="Q50" s="1125"/>
      <c r="R50" s="391"/>
      <c r="S50" s="391"/>
    </row>
    <row r="51" spans="1:19">
      <c r="A51" s="437"/>
      <c r="B51" s="405"/>
      <c r="C51" s="405"/>
      <c r="D51" s="440"/>
      <c r="E51" s="440"/>
      <c r="F51" s="392"/>
      <c r="G51" s="391"/>
      <c r="H51" s="391"/>
      <c r="I51" s="391"/>
      <c r="J51" s="391"/>
      <c r="K51" s="391"/>
      <c r="L51" s="608"/>
      <c r="M51" s="607"/>
      <c r="N51" s="607"/>
      <c r="O51" s="585"/>
      <c r="P51" s="585"/>
      <c r="Q51" s="586"/>
      <c r="R51" s="391"/>
      <c r="S51" s="391"/>
    </row>
    <row r="52" spans="1:19">
      <c r="A52" s="380"/>
      <c r="B52" s="444"/>
      <c r="C52" s="444"/>
      <c r="D52" s="341"/>
      <c r="E52" s="341"/>
      <c r="F52" s="347"/>
      <c r="G52" s="391"/>
      <c r="H52" s="391"/>
      <c r="I52" s="391"/>
      <c r="J52" s="391"/>
      <c r="K52" s="391"/>
      <c r="L52" s="609"/>
      <c r="M52" s="599"/>
      <c r="N52" s="599"/>
      <c r="O52" s="600"/>
      <c r="P52" s="600"/>
      <c r="Q52" s="601"/>
      <c r="R52" s="391"/>
      <c r="S52" s="391"/>
    </row>
    <row r="53" spans="1:19">
      <c r="A53" s="1145"/>
      <c r="B53" s="1145"/>
      <c r="C53" s="1145"/>
      <c r="D53" s="1145"/>
      <c r="E53" s="1145"/>
      <c r="F53" s="1145"/>
      <c r="G53" s="391"/>
      <c r="H53" s="391"/>
      <c r="I53" s="391"/>
      <c r="J53" s="391"/>
      <c r="K53" s="391"/>
      <c r="L53" s="1121"/>
      <c r="M53" s="1121"/>
      <c r="N53" s="1121"/>
      <c r="O53" s="1121"/>
      <c r="P53" s="1121"/>
      <c r="Q53" s="1121"/>
      <c r="R53" s="391"/>
      <c r="S53" s="391"/>
    </row>
    <row r="54" spans="1:19">
      <c r="A54" s="346" t="s">
        <v>2669</v>
      </c>
      <c r="B54" s="334">
        <v>1722000110</v>
      </c>
      <c r="C54" s="334" t="s">
        <v>407</v>
      </c>
      <c r="D54" s="441">
        <v>1767000</v>
      </c>
      <c r="E54" s="441">
        <v>3004000</v>
      </c>
      <c r="F54" s="350" t="s">
        <v>2670</v>
      </c>
      <c r="G54" s="391"/>
      <c r="H54" s="391"/>
      <c r="I54" s="391"/>
      <c r="J54" s="391"/>
      <c r="K54" s="391"/>
      <c r="L54" s="588" t="s">
        <v>2669</v>
      </c>
      <c r="M54" s="575">
        <v>1722000110</v>
      </c>
      <c r="N54" s="575" t="s">
        <v>407</v>
      </c>
      <c r="O54" s="576">
        <v>1767000</v>
      </c>
      <c r="P54" s="576">
        <v>3004000</v>
      </c>
      <c r="Q54" s="594" t="s">
        <v>2670</v>
      </c>
      <c r="R54" s="391"/>
      <c r="S54" s="391"/>
    </row>
    <row r="55" spans="1:19">
      <c r="A55" s="334"/>
      <c r="B55" s="334">
        <v>1722000530</v>
      </c>
      <c r="C55" s="334" t="s">
        <v>2649</v>
      </c>
      <c r="D55" s="441">
        <v>165000</v>
      </c>
      <c r="E55" s="441">
        <v>165000</v>
      </c>
      <c r="F55" s="443"/>
      <c r="G55" s="446"/>
      <c r="H55" s="446"/>
      <c r="I55" s="446"/>
      <c r="J55" s="446"/>
      <c r="K55" s="446"/>
      <c r="L55" s="575"/>
      <c r="M55" s="575">
        <v>1722000530</v>
      </c>
      <c r="N55" s="575" t="s">
        <v>2649</v>
      </c>
      <c r="O55" s="576">
        <v>165000</v>
      </c>
      <c r="P55" s="576">
        <v>165000</v>
      </c>
      <c r="Q55" s="577"/>
      <c r="R55" s="446"/>
      <c r="S55" s="446"/>
    </row>
    <row r="56" spans="1:19">
      <c r="A56" s="334"/>
      <c r="B56" s="334">
        <v>1722000540</v>
      </c>
      <c r="C56" s="334" t="s">
        <v>2671</v>
      </c>
      <c r="D56" s="441"/>
      <c r="E56" s="386">
        <v>5000</v>
      </c>
      <c r="F56" s="443"/>
      <c r="G56" s="391"/>
      <c r="H56" s="391"/>
      <c r="I56" s="391"/>
      <c r="J56" s="391"/>
      <c r="K56" s="391"/>
      <c r="L56" s="575"/>
      <c r="M56" s="575">
        <v>1722000540</v>
      </c>
      <c r="N56" s="575" t="s">
        <v>2671</v>
      </c>
      <c r="O56" s="576"/>
      <c r="P56" s="595">
        <v>5000</v>
      </c>
      <c r="Q56" s="577"/>
      <c r="R56" s="391"/>
      <c r="S56" s="391"/>
    </row>
    <row r="57" spans="1:19">
      <c r="A57" s="334"/>
      <c r="B57" s="334">
        <v>1722000780</v>
      </c>
      <c r="C57" s="334" t="s">
        <v>280</v>
      </c>
      <c r="D57" s="441">
        <v>140000</v>
      </c>
      <c r="E57" s="386">
        <v>160000</v>
      </c>
      <c r="F57" s="443" t="s">
        <v>2672</v>
      </c>
      <c r="G57" s="391"/>
      <c r="H57" s="391"/>
      <c r="I57" s="391"/>
      <c r="J57" s="391"/>
      <c r="K57" s="391"/>
      <c r="L57" s="575"/>
      <c r="M57" s="575">
        <v>1722000780</v>
      </c>
      <c r="N57" s="575" t="s">
        <v>280</v>
      </c>
      <c r="O57" s="576">
        <v>140000</v>
      </c>
      <c r="P57" s="595">
        <v>160000</v>
      </c>
      <c r="Q57" s="577" t="s">
        <v>2672</v>
      </c>
      <c r="R57" s="391"/>
      <c r="S57" s="391"/>
    </row>
    <row r="58" spans="1:19">
      <c r="A58" s="442" t="s">
        <v>2673</v>
      </c>
      <c r="B58" s="334">
        <v>1722000999</v>
      </c>
      <c r="C58" s="334"/>
      <c r="D58" s="441">
        <v>2072000</v>
      </c>
      <c r="E58" s="441">
        <v>3334000</v>
      </c>
      <c r="F58" s="443"/>
      <c r="G58" s="391"/>
      <c r="H58" s="391"/>
      <c r="I58" s="391"/>
      <c r="J58" s="391"/>
      <c r="K58" s="391"/>
      <c r="L58" s="593" t="s">
        <v>2673</v>
      </c>
      <c r="M58" s="575">
        <v>1722000999</v>
      </c>
      <c r="N58" s="575"/>
      <c r="O58" s="576">
        <f>SUM(O54:O57)</f>
        <v>2072000</v>
      </c>
      <c r="P58" s="576">
        <f>SUM(P54:P57)</f>
        <v>3334000</v>
      </c>
      <c r="Q58" s="577"/>
      <c r="R58" s="391"/>
      <c r="S58" s="391"/>
    </row>
    <row r="59" spans="1:19">
      <c r="A59" s="437"/>
      <c r="B59" s="405"/>
      <c r="C59" s="405"/>
      <c r="D59" s="440"/>
      <c r="E59" s="440"/>
      <c r="F59" s="392"/>
      <c r="G59" s="391"/>
      <c r="H59" s="391"/>
      <c r="I59" s="391"/>
      <c r="J59" s="391"/>
      <c r="K59" s="391"/>
      <c r="L59" s="608"/>
      <c r="M59" s="607"/>
      <c r="N59" s="607"/>
      <c r="O59" s="585"/>
      <c r="P59" s="585"/>
      <c r="Q59" s="586"/>
      <c r="R59" s="391"/>
      <c r="S59" s="391"/>
    </row>
    <row r="60" spans="1:19">
      <c r="A60" s="437"/>
      <c r="B60" s="405"/>
      <c r="C60" s="405"/>
      <c r="D60" s="440"/>
      <c r="E60" s="440"/>
      <c r="F60" s="392"/>
      <c r="G60" s="391"/>
      <c r="H60" s="391"/>
      <c r="I60" s="391"/>
      <c r="J60" s="391"/>
      <c r="K60" s="391"/>
      <c r="L60" s="608"/>
      <c r="M60" s="607"/>
      <c r="N60" s="607"/>
      <c r="O60" s="585"/>
      <c r="P60" s="585"/>
      <c r="Q60" s="586"/>
      <c r="R60" s="391"/>
      <c r="S60" s="391"/>
    </row>
    <row r="61" spans="1:19">
      <c r="A61" s="400" t="s">
        <v>2674</v>
      </c>
      <c r="B61" s="334">
        <v>1723000110</v>
      </c>
      <c r="C61" s="334" t="s">
        <v>2675</v>
      </c>
      <c r="D61" s="441">
        <v>520000</v>
      </c>
      <c r="E61" s="441"/>
      <c r="F61" s="392" t="s">
        <v>2676</v>
      </c>
      <c r="G61" s="391"/>
      <c r="H61" s="391"/>
      <c r="I61" s="391"/>
      <c r="J61" s="391"/>
      <c r="K61" s="391"/>
      <c r="L61" s="605" t="s">
        <v>2674</v>
      </c>
      <c r="M61" s="575">
        <v>1723000110</v>
      </c>
      <c r="N61" s="575" t="s">
        <v>2675</v>
      </c>
      <c r="O61" s="576">
        <v>520000</v>
      </c>
      <c r="P61" s="576"/>
      <c r="Q61" s="586" t="s">
        <v>2676</v>
      </c>
      <c r="R61" s="391"/>
      <c r="S61" s="391"/>
    </row>
    <row r="62" spans="1:19">
      <c r="A62" s="442" t="s">
        <v>419</v>
      </c>
      <c r="B62" s="334">
        <v>1723000420</v>
      </c>
      <c r="C62" s="334" t="s">
        <v>2677</v>
      </c>
      <c r="D62" s="441">
        <v>70000</v>
      </c>
      <c r="E62" s="441">
        <v>70000</v>
      </c>
      <c r="F62" s="392"/>
      <c r="G62" s="391"/>
      <c r="H62" s="391"/>
      <c r="I62" s="391"/>
      <c r="J62" s="391"/>
      <c r="K62" s="391"/>
      <c r="L62" s="593" t="s">
        <v>419</v>
      </c>
      <c r="M62" s="575">
        <v>1723000420</v>
      </c>
      <c r="N62" s="575" t="s">
        <v>2677</v>
      </c>
      <c r="O62" s="576">
        <v>70000</v>
      </c>
      <c r="P62" s="576">
        <v>70000</v>
      </c>
      <c r="Q62" s="586"/>
      <c r="R62" s="391"/>
      <c r="S62" s="391"/>
    </row>
    <row r="63" spans="1:19" s="311" customFormat="1">
      <c r="A63" s="394"/>
      <c r="B63" s="438">
        <v>1723000550</v>
      </c>
      <c r="C63" s="438" t="s">
        <v>2678</v>
      </c>
      <c r="D63" s="379"/>
      <c r="E63" s="379">
        <v>20000</v>
      </c>
      <c r="F63" s="331"/>
      <c r="G63" s="384"/>
      <c r="H63" s="384" t="s">
        <v>2701</v>
      </c>
      <c r="I63" s="384"/>
      <c r="J63" s="384"/>
      <c r="K63" s="384"/>
      <c r="L63" s="593"/>
      <c r="M63" s="575">
        <v>1723000550</v>
      </c>
      <c r="N63" s="575" t="s">
        <v>2678</v>
      </c>
      <c r="O63" s="576"/>
      <c r="P63" s="576">
        <v>20000</v>
      </c>
      <c r="Q63" s="586"/>
      <c r="R63" s="384"/>
      <c r="S63" s="384"/>
    </row>
    <row r="64" spans="1:19">
      <c r="A64" s="442"/>
      <c r="B64" s="334">
        <v>1723000430</v>
      </c>
      <c r="C64" s="334" t="s">
        <v>2679</v>
      </c>
      <c r="D64" s="441">
        <v>45000</v>
      </c>
      <c r="E64" s="441">
        <v>50000</v>
      </c>
      <c r="F64" s="392"/>
      <c r="G64" s="391"/>
      <c r="H64" s="391"/>
      <c r="I64" s="391"/>
      <c r="J64" s="391"/>
      <c r="K64" s="391"/>
      <c r="L64" s="593"/>
      <c r="M64" s="575">
        <v>1723000430</v>
      </c>
      <c r="N64" s="575" t="s">
        <v>2679</v>
      </c>
      <c r="O64" s="576">
        <v>45000</v>
      </c>
      <c r="P64" s="576">
        <v>50000</v>
      </c>
      <c r="Q64" s="586"/>
      <c r="R64" s="391"/>
      <c r="S64" s="391"/>
    </row>
    <row r="65" spans="1:17">
      <c r="A65" s="442"/>
      <c r="B65" s="334">
        <v>1723000830</v>
      </c>
      <c r="C65" s="334" t="s">
        <v>2680</v>
      </c>
      <c r="D65" s="441">
        <v>654000</v>
      </c>
      <c r="E65" s="441">
        <v>664000</v>
      </c>
      <c r="F65" s="392" t="s">
        <v>2681</v>
      </c>
      <c r="L65" s="593"/>
      <c r="M65" s="575">
        <v>1723000830</v>
      </c>
      <c r="N65" s="575" t="s">
        <v>2680</v>
      </c>
      <c r="O65" s="576">
        <v>654000</v>
      </c>
      <c r="P65" s="576">
        <v>664000</v>
      </c>
      <c r="Q65" s="586" t="s">
        <v>2681</v>
      </c>
    </row>
    <row r="66" spans="1:17">
      <c r="A66" s="442" t="s">
        <v>888</v>
      </c>
      <c r="B66" s="334"/>
      <c r="C66" s="334"/>
      <c r="D66" s="441">
        <v>1289000</v>
      </c>
      <c r="E66" s="441">
        <v>804000</v>
      </c>
      <c r="F66" s="392"/>
      <c r="L66" s="593" t="s">
        <v>888</v>
      </c>
      <c r="M66" s="575"/>
      <c r="N66" s="575"/>
      <c r="O66" s="576">
        <f>SUM(O61:O65)</f>
        <v>1289000</v>
      </c>
      <c r="P66" s="576">
        <f>SUM(P62:P65)</f>
        <v>804000</v>
      </c>
      <c r="Q66" s="586"/>
    </row>
    <row r="67" spans="1:17">
      <c r="A67" s="1146"/>
      <c r="B67" s="1146"/>
      <c r="C67" s="1146"/>
      <c r="D67" s="1146"/>
      <c r="E67" s="1146"/>
      <c r="F67" s="1146"/>
      <c r="L67" s="1122"/>
      <c r="M67" s="1122"/>
      <c r="N67" s="1122"/>
      <c r="O67" s="1122"/>
      <c r="P67" s="1122"/>
      <c r="Q67" s="1122"/>
    </row>
    <row r="68" spans="1:17">
      <c r="A68" s="351"/>
      <c r="B68" s="352"/>
      <c r="C68" s="352"/>
      <c r="D68" s="352"/>
      <c r="E68" s="352"/>
      <c r="F68" s="349"/>
      <c r="L68" s="610"/>
      <c r="M68" s="611"/>
      <c r="N68" s="611"/>
      <c r="O68" s="611"/>
      <c r="P68" s="611"/>
      <c r="Q68" s="612"/>
    </row>
    <row r="69" spans="1:17">
      <c r="A69" s="334" t="s">
        <v>409</v>
      </c>
      <c r="B69" s="334">
        <v>1722100430</v>
      </c>
      <c r="C69" s="334" t="s">
        <v>311</v>
      </c>
      <c r="D69" s="441">
        <v>2000</v>
      </c>
      <c r="E69" s="386">
        <v>2000</v>
      </c>
      <c r="F69" s="443"/>
      <c r="L69" s="575" t="s">
        <v>409</v>
      </c>
      <c r="M69" s="575">
        <v>1722100430</v>
      </c>
      <c r="N69" s="575" t="s">
        <v>311</v>
      </c>
      <c r="O69" s="576">
        <v>2000</v>
      </c>
      <c r="P69" s="595">
        <v>2000</v>
      </c>
      <c r="Q69" s="577"/>
    </row>
    <row r="70" spans="1:17">
      <c r="A70" s="334"/>
      <c r="B70" s="334">
        <v>1722100750</v>
      </c>
      <c r="C70" s="334" t="s">
        <v>288</v>
      </c>
      <c r="D70" s="441">
        <v>3000</v>
      </c>
      <c r="E70" s="441">
        <v>3000</v>
      </c>
      <c r="F70" s="443"/>
      <c r="L70" s="575"/>
      <c r="M70" s="575">
        <v>1722100750</v>
      </c>
      <c r="N70" s="575" t="s">
        <v>288</v>
      </c>
      <c r="O70" s="576">
        <v>3000</v>
      </c>
      <c r="P70" s="576">
        <v>3000</v>
      </c>
      <c r="Q70" s="577"/>
    </row>
    <row r="71" spans="1:17">
      <c r="A71" s="334"/>
      <c r="B71" s="334">
        <v>1722100780</v>
      </c>
      <c r="C71" s="334" t="s">
        <v>280</v>
      </c>
      <c r="D71" s="441">
        <v>23000</v>
      </c>
      <c r="E71" s="441">
        <v>23000</v>
      </c>
      <c r="F71" s="443" t="s">
        <v>2682</v>
      </c>
      <c r="L71" s="575"/>
      <c r="M71" s="575">
        <v>1722100780</v>
      </c>
      <c r="N71" s="575" t="s">
        <v>280</v>
      </c>
      <c r="O71" s="576">
        <v>23000</v>
      </c>
      <c r="P71" s="576">
        <v>23000</v>
      </c>
      <c r="Q71" s="577" t="s">
        <v>2682</v>
      </c>
    </row>
    <row r="72" spans="1:17">
      <c r="A72" s="442" t="s">
        <v>413</v>
      </c>
      <c r="B72" s="334"/>
      <c r="C72" s="334" t="s">
        <v>888</v>
      </c>
      <c r="D72" s="441">
        <v>28000</v>
      </c>
      <c r="E72" s="441">
        <v>28000</v>
      </c>
      <c r="F72" s="443"/>
      <c r="L72" s="593" t="s">
        <v>413</v>
      </c>
      <c r="M72" s="575"/>
      <c r="N72" s="575" t="s">
        <v>888</v>
      </c>
      <c r="O72" s="576">
        <f>SUM(O69:O71)</f>
        <v>28000</v>
      </c>
      <c r="P72" s="576">
        <f>SUM(P69:P71)</f>
        <v>28000</v>
      </c>
      <c r="Q72" s="577"/>
    </row>
    <row r="73" spans="1:17">
      <c r="A73" s="1138"/>
      <c r="B73" s="1139"/>
      <c r="C73" s="1139"/>
      <c r="D73" s="1139"/>
      <c r="E73" s="1139"/>
      <c r="F73" s="1140"/>
      <c r="L73" s="1123"/>
      <c r="M73" s="1124"/>
      <c r="N73" s="1124"/>
      <c r="O73" s="1124"/>
      <c r="P73" s="1124"/>
      <c r="Q73" s="1125"/>
    </row>
    <row r="74" spans="1:17">
      <c r="A74" s="346" t="s">
        <v>2683</v>
      </c>
      <c r="B74" s="334">
        <v>1870000110</v>
      </c>
      <c r="C74" s="334" t="s">
        <v>2684</v>
      </c>
      <c r="D74" s="441">
        <v>590000</v>
      </c>
      <c r="E74" s="441">
        <v>731000</v>
      </c>
      <c r="F74" s="443"/>
      <c r="L74" s="588" t="s">
        <v>2683</v>
      </c>
      <c r="M74" s="575">
        <v>1870000110</v>
      </c>
      <c r="N74" s="575" t="s">
        <v>2684</v>
      </c>
      <c r="O74" s="576">
        <v>590000</v>
      </c>
      <c r="P74" s="576">
        <v>731000</v>
      </c>
      <c r="Q74" s="577"/>
    </row>
    <row r="75" spans="1:17">
      <c r="A75" s="334"/>
      <c r="B75" s="334">
        <v>1870000530</v>
      </c>
      <c r="C75" s="334" t="s">
        <v>277</v>
      </c>
      <c r="D75" s="441">
        <v>80000</v>
      </c>
      <c r="E75" s="386">
        <v>80000</v>
      </c>
      <c r="F75" s="443"/>
      <c r="L75" s="575"/>
      <c r="M75" s="575">
        <v>1870000530</v>
      </c>
      <c r="N75" s="575" t="s">
        <v>277</v>
      </c>
      <c r="O75" s="576">
        <v>80000</v>
      </c>
      <c r="P75" s="595">
        <v>80000</v>
      </c>
      <c r="Q75" s="577"/>
    </row>
    <row r="76" spans="1:17">
      <c r="A76" s="334"/>
      <c r="B76" s="334">
        <v>1870000750</v>
      </c>
      <c r="C76" s="334" t="s">
        <v>288</v>
      </c>
      <c r="D76" s="441">
        <v>120000</v>
      </c>
      <c r="E76" s="334">
        <v>120000</v>
      </c>
      <c r="F76" s="443" t="s">
        <v>2685</v>
      </c>
      <c r="L76" s="575"/>
      <c r="M76" s="575">
        <v>1870000750</v>
      </c>
      <c r="N76" s="575" t="s">
        <v>288</v>
      </c>
      <c r="O76" s="576">
        <v>120000</v>
      </c>
      <c r="P76" s="575">
        <v>120000</v>
      </c>
      <c r="Q76" s="577" t="s">
        <v>2685</v>
      </c>
    </row>
    <row r="77" spans="1:17">
      <c r="A77" s="334"/>
      <c r="B77" s="334">
        <v>1870000780</v>
      </c>
      <c r="C77" s="334" t="s">
        <v>280</v>
      </c>
      <c r="D77" s="441">
        <v>10000</v>
      </c>
      <c r="E77" s="386">
        <v>10000</v>
      </c>
      <c r="F77" s="443"/>
      <c r="L77" s="575"/>
      <c r="M77" s="575">
        <v>1870000780</v>
      </c>
      <c r="N77" s="575" t="s">
        <v>280</v>
      </c>
      <c r="O77" s="576">
        <v>10000</v>
      </c>
      <c r="P77" s="595">
        <v>10000</v>
      </c>
      <c r="Q77" s="577"/>
    </row>
    <row r="78" spans="1:17">
      <c r="A78" s="334"/>
      <c r="B78" s="334">
        <v>1879000780</v>
      </c>
      <c r="C78" s="334" t="s">
        <v>2686</v>
      </c>
      <c r="D78" s="441">
        <v>0</v>
      </c>
      <c r="E78" s="334">
        <v>0</v>
      </c>
      <c r="F78" s="443"/>
      <c r="L78" s="575"/>
      <c r="M78" s="575">
        <v>1879000780</v>
      </c>
      <c r="N78" s="575" t="s">
        <v>2686</v>
      </c>
      <c r="O78" s="576">
        <v>0</v>
      </c>
      <c r="P78" s="575">
        <v>0</v>
      </c>
      <c r="Q78" s="577"/>
    </row>
    <row r="79" spans="1:17">
      <c r="A79" s="442" t="s">
        <v>2687</v>
      </c>
      <c r="B79" s="334">
        <v>1879000999</v>
      </c>
      <c r="C79" s="334"/>
      <c r="D79" s="441">
        <v>800000</v>
      </c>
      <c r="E79" s="441">
        <v>941000</v>
      </c>
      <c r="F79" s="443"/>
      <c r="L79" s="593" t="s">
        <v>2687</v>
      </c>
      <c r="M79" s="575">
        <v>1879000999</v>
      </c>
      <c r="N79" s="575"/>
      <c r="O79" s="576">
        <f>SUM(O74:O78)</f>
        <v>800000</v>
      </c>
      <c r="P79" s="576">
        <f>SUM(P74:P78)</f>
        <v>941000</v>
      </c>
      <c r="Q79" s="577"/>
    </row>
    <row r="80" spans="1:17">
      <c r="A80" s="1138"/>
      <c r="B80" s="1139"/>
      <c r="C80" s="1139"/>
      <c r="D80" s="1139"/>
      <c r="E80" s="1139"/>
      <c r="F80" s="1140"/>
      <c r="L80" s="1123"/>
      <c r="M80" s="1124"/>
      <c r="N80" s="1124"/>
      <c r="O80" s="1124"/>
      <c r="P80" s="1124"/>
      <c r="Q80" s="1125"/>
    </row>
    <row r="81" spans="1:17" s="311" customFormat="1" ht="24">
      <c r="A81" s="338" t="s">
        <v>2688</v>
      </c>
      <c r="B81" s="338">
        <v>1813200751</v>
      </c>
      <c r="C81" s="338" t="s">
        <v>2689</v>
      </c>
      <c r="D81" s="313">
        <v>8575525</v>
      </c>
      <c r="E81" s="406">
        <v>9523332</v>
      </c>
      <c r="F81" s="312" t="s">
        <v>2690</v>
      </c>
      <c r="G81" s="384"/>
      <c r="H81" s="384" t="s">
        <v>2702</v>
      </c>
      <c r="L81" s="590" t="s">
        <v>2688</v>
      </c>
      <c r="M81" s="590">
        <v>1813200751</v>
      </c>
      <c r="N81" s="613" t="s">
        <v>2689</v>
      </c>
      <c r="O81" s="591">
        <v>8575525</v>
      </c>
      <c r="P81" s="614">
        <v>9523332</v>
      </c>
      <c r="Q81" s="615" t="s">
        <v>2690</v>
      </c>
    </row>
    <row r="82" spans="1:17">
      <c r="A82" s="400" t="s">
        <v>2691</v>
      </c>
      <c r="B82" s="334"/>
      <c r="C82" s="330"/>
      <c r="D82" s="441">
        <v>9523332</v>
      </c>
      <c r="E82" s="386">
        <v>9523332</v>
      </c>
      <c r="F82" s="443"/>
      <c r="G82" s="382"/>
      <c r="H82" s="382"/>
      <c r="L82" s="605" t="s">
        <v>2691</v>
      </c>
      <c r="M82" s="575"/>
      <c r="N82" s="581"/>
      <c r="O82" s="576">
        <v>9523332</v>
      </c>
      <c r="P82" s="595">
        <v>9523332</v>
      </c>
      <c r="Q82" s="577"/>
    </row>
    <row r="83" spans="1:17">
      <c r="A83" s="444"/>
      <c r="B83" s="444"/>
      <c r="C83" s="411"/>
      <c r="D83" s="315"/>
      <c r="E83" s="315"/>
      <c r="F83" s="347"/>
      <c r="G83" s="391"/>
      <c r="H83" s="391"/>
      <c r="L83" s="599"/>
      <c r="M83" s="599"/>
      <c r="N83" s="616"/>
      <c r="O83" s="617"/>
      <c r="P83" s="617"/>
      <c r="Q83" s="601"/>
    </row>
    <row r="84" spans="1:17">
      <c r="A84" s="444"/>
      <c r="B84" s="444"/>
      <c r="C84" s="411"/>
      <c r="D84" s="315"/>
      <c r="E84" s="315"/>
      <c r="F84" s="347"/>
      <c r="G84" s="391"/>
      <c r="H84" s="391"/>
      <c r="L84" s="599"/>
      <c r="M84" s="599"/>
      <c r="N84" s="616"/>
      <c r="O84" s="617"/>
      <c r="P84" s="617"/>
      <c r="Q84" s="601"/>
    </row>
    <row r="85" spans="1:17">
      <c r="A85" s="400" t="s">
        <v>44</v>
      </c>
      <c r="B85" s="334">
        <v>1783000110</v>
      </c>
      <c r="C85" s="330" t="s">
        <v>2692</v>
      </c>
      <c r="D85" s="386">
        <v>1452000</v>
      </c>
      <c r="E85" s="386">
        <v>1370000</v>
      </c>
      <c r="F85" s="443"/>
      <c r="G85" s="391"/>
      <c r="H85" s="391"/>
      <c r="L85" s="605" t="s">
        <v>44</v>
      </c>
      <c r="M85" s="575">
        <v>1783000110</v>
      </c>
      <c r="N85" s="581" t="s">
        <v>2692</v>
      </c>
      <c r="O85" s="595">
        <v>1452000</v>
      </c>
      <c r="P85" s="595">
        <v>1370000</v>
      </c>
      <c r="Q85" s="577"/>
    </row>
    <row r="86" spans="1:17">
      <c r="A86" s="400"/>
      <c r="B86" s="334">
        <v>178300780</v>
      </c>
      <c r="C86" s="330" t="s">
        <v>2693</v>
      </c>
      <c r="D86" s="386"/>
      <c r="E86" s="386">
        <v>200000</v>
      </c>
      <c r="F86" s="443"/>
      <c r="G86" s="391"/>
      <c r="H86" s="391"/>
      <c r="L86" s="605"/>
      <c r="M86" s="575">
        <v>178300780</v>
      </c>
      <c r="N86" s="581" t="s">
        <v>2693</v>
      </c>
      <c r="O86" s="595"/>
      <c r="P86" s="595">
        <v>200000</v>
      </c>
      <c r="Q86" s="577"/>
    </row>
    <row r="87" spans="1:17">
      <c r="A87" s="334" t="s">
        <v>888</v>
      </c>
      <c r="B87" s="334"/>
      <c r="C87" s="330"/>
      <c r="D87" s="386">
        <v>1452000</v>
      </c>
      <c r="E87" s="386">
        <v>1550000</v>
      </c>
      <c r="F87" s="443"/>
      <c r="G87" s="391"/>
      <c r="H87" s="391"/>
      <c r="L87" s="575" t="s">
        <v>888</v>
      </c>
      <c r="M87" s="575"/>
      <c r="N87" s="581"/>
      <c r="O87" s="595">
        <v>1452000</v>
      </c>
      <c r="P87" s="595">
        <v>1550000</v>
      </c>
      <c r="Q87" s="577"/>
    </row>
    <row r="88" spans="1:17">
      <c r="A88" s="446"/>
      <c r="B88" s="446"/>
      <c r="C88" s="446"/>
      <c r="D88" s="343"/>
      <c r="E88" s="446"/>
      <c r="F88" s="446"/>
      <c r="G88" s="391"/>
      <c r="H88" s="391"/>
      <c r="L88" s="618"/>
      <c r="M88" s="618"/>
      <c r="N88" s="618"/>
      <c r="O88" s="619"/>
      <c r="P88" s="618"/>
      <c r="Q88" s="618"/>
    </row>
    <row r="89" spans="1:17">
      <c r="A89" s="391"/>
      <c r="B89" s="391"/>
      <c r="C89" s="391"/>
      <c r="D89" s="397"/>
      <c r="E89" s="391"/>
      <c r="F89" s="391"/>
      <c r="G89" s="391"/>
      <c r="H89" s="391"/>
      <c r="O89" s="567"/>
    </row>
    <row r="90" spans="1:17" ht="15">
      <c r="A90" s="353" t="s">
        <v>5</v>
      </c>
      <c r="B90" s="391"/>
      <c r="C90" s="391"/>
      <c r="D90" s="397"/>
      <c r="E90" s="391"/>
      <c r="F90" s="391"/>
      <c r="G90" s="391"/>
      <c r="H90" s="391"/>
      <c r="L90" s="620" t="s">
        <v>5</v>
      </c>
      <c r="O90" s="567"/>
    </row>
    <row r="91" spans="1:17">
      <c r="A91" s="391" t="s">
        <v>2694</v>
      </c>
      <c r="B91" s="391"/>
      <c r="C91" s="391"/>
      <c r="D91" s="391"/>
      <c r="E91" s="391"/>
      <c r="F91" s="391"/>
      <c r="G91" s="391"/>
      <c r="H91" s="391"/>
      <c r="L91" s="566" t="s">
        <v>2694</v>
      </c>
    </row>
    <row r="92" spans="1:17">
      <c r="A92" s="391" t="s">
        <v>2695</v>
      </c>
      <c r="B92" s="391"/>
      <c r="C92" s="391"/>
      <c r="D92" s="391"/>
      <c r="E92" s="391"/>
      <c r="F92" s="391"/>
      <c r="G92" s="391"/>
      <c r="H92" s="391"/>
      <c r="L92" s="566" t="s">
        <v>2695</v>
      </c>
    </row>
    <row r="93" spans="1:17">
      <c r="A93" s="391" t="s">
        <v>2696</v>
      </c>
      <c r="B93" s="391"/>
      <c r="C93" s="391"/>
      <c r="D93" s="391"/>
      <c r="E93" s="391"/>
      <c r="F93" s="391"/>
      <c r="G93" s="391"/>
      <c r="H93" s="391"/>
      <c r="L93" s="566" t="s">
        <v>2696</v>
      </c>
    </row>
    <row r="94" spans="1:17">
      <c r="A94" s="391" t="s">
        <v>2697</v>
      </c>
      <c r="B94" s="391"/>
      <c r="C94" s="391"/>
      <c r="D94" s="391"/>
      <c r="E94" s="391"/>
      <c r="F94" s="391"/>
      <c r="G94" s="391"/>
      <c r="H94" s="391"/>
      <c r="L94" s="566" t="s">
        <v>2697</v>
      </c>
    </row>
    <row r="95" spans="1:17">
      <c r="A95" s="391" t="s">
        <v>2698</v>
      </c>
      <c r="B95" s="391"/>
      <c r="C95" s="391"/>
      <c r="D95" s="391"/>
      <c r="E95" s="391"/>
      <c r="F95" s="395"/>
      <c r="G95" s="391"/>
      <c r="H95" s="391"/>
      <c r="L95" s="566" t="s">
        <v>2698</v>
      </c>
      <c r="Q95" s="621"/>
    </row>
  </sheetData>
  <mergeCells count="28">
    <mergeCell ref="A80:F80"/>
    <mergeCell ref="A50:F50"/>
    <mergeCell ref="A53:F53"/>
    <mergeCell ref="A67:F67"/>
    <mergeCell ref="A73:F73"/>
    <mergeCell ref="A1:F2"/>
    <mergeCell ref="A25:F25"/>
    <mergeCell ref="A32:F32"/>
    <mergeCell ref="A43:F43"/>
    <mergeCell ref="A3:F3"/>
    <mergeCell ref="A15:F15"/>
    <mergeCell ref="A8:C8"/>
    <mergeCell ref="A11:C11"/>
    <mergeCell ref="A14:C14"/>
    <mergeCell ref="L1:Q2"/>
    <mergeCell ref="L3:Q3"/>
    <mergeCell ref="L8:N8"/>
    <mergeCell ref="L11:N11"/>
    <mergeCell ref="L14:N14"/>
    <mergeCell ref="L53:Q53"/>
    <mergeCell ref="L67:Q67"/>
    <mergeCell ref="L73:Q73"/>
    <mergeCell ref="L80:Q80"/>
    <mergeCell ref="L15:Q15"/>
    <mergeCell ref="L25:Q25"/>
    <mergeCell ref="L32:Q32"/>
    <mergeCell ref="L43:Q43"/>
    <mergeCell ref="L50:Q5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rightToLeft="1" topLeftCell="A73" workbookViewId="0">
      <selection activeCell="I80" sqref="I80"/>
    </sheetView>
  </sheetViews>
  <sheetFormatPr defaultRowHeight="14.25"/>
  <cols>
    <col min="2" max="2" width="10.875" bestFit="1" customWidth="1"/>
    <col min="3" max="5" width="0" hidden="1" customWidth="1"/>
    <col min="6" max="6" width="31" bestFit="1" customWidth="1"/>
    <col min="7" max="7" width="12.375" customWidth="1"/>
    <col min="8" max="8" width="12.875" customWidth="1"/>
    <col min="9" max="9" width="12.625" customWidth="1"/>
    <col min="10" max="10" width="52.75" customWidth="1"/>
  </cols>
  <sheetData>
    <row r="1" spans="1:11" ht="34.5" customHeight="1">
      <c r="A1" s="427" t="s">
        <v>1</v>
      </c>
      <c r="B1" s="433"/>
      <c r="C1" s="428" t="s">
        <v>2</v>
      </c>
      <c r="D1" s="428" t="s">
        <v>4</v>
      </c>
      <c r="E1" s="428"/>
      <c r="F1" s="429" t="s">
        <v>271</v>
      </c>
      <c r="G1" s="430" t="s">
        <v>2185</v>
      </c>
      <c r="H1" s="430" t="s">
        <v>2184</v>
      </c>
      <c r="I1" s="431" t="s">
        <v>2522</v>
      </c>
      <c r="J1" s="432" t="s">
        <v>5</v>
      </c>
      <c r="K1" s="431" t="s">
        <v>2519</v>
      </c>
    </row>
    <row r="2" spans="1:11" ht="24" customHeight="1">
      <c r="A2" s="418"/>
      <c r="B2" s="435">
        <v>1611000511</v>
      </c>
      <c r="C2" s="416">
        <v>511</v>
      </c>
      <c r="D2" s="416">
        <v>611000</v>
      </c>
      <c r="E2" s="416">
        <v>1</v>
      </c>
      <c r="F2" s="416" t="s">
        <v>275</v>
      </c>
      <c r="G2" s="417">
        <v>34000</v>
      </c>
      <c r="H2" s="415">
        <v>5000</v>
      </c>
      <c r="I2" s="417">
        <v>34000</v>
      </c>
      <c r="J2" s="419" t="s">
        <v>276</v>
      </c>
      <c r="K2" s="412"/>
    </row>
    <row r="3" spans="1:11" ht="24" customHeight="1">
      <c r="A3" s="418"/>
      <c r="B3" s="435">
        <v>1611000530</v>
      </c>
      <c r="C3" s="416">
        <v>530</v>
      </c>
      <c r="D3" s="416">
        <v>611000</v>
      </c>
      <c r="E3" s="416">
        <v>1</v>
      </c>
      <c r="F3" s="416" t="s">
        <v>277</v>
      </c>
      <c r="G3" s="417">
        <v>90000</v>
      </c>
      <c r="H3" s="415">
        <v>84000</v>
      </c>
      <c r="I3" s="417">
        <v>90000</v>
      </c>
      <c r="J3" s="419" t="s">
        <v>278</v>
      </c>
      <c r="K3" s="412"/>
    </row>
    <row r="4" spans="1:11" ht="24" customHeight="1">
      <c r="A4" s="418"/>
      <c r="B4" s="435">
        <v>1611000540</v>
      </c>
      <c r="C4" s="416">
        <v>540</v>
      </c>
      <c r="D4" s="416">
        <v>611000</v>
      </c>
      <c r="E4" s="416">
        <v>1</v>
      </c>
      <c r="F4" s="416" t="s">
        <v>279</v>
      </c>
      <c r="G4" s="417">
        <v>3000</v>
      </c>
      <c r="H4" s="415">
        <v>3000</v>
      </c>
      <c r="I4" s="417">
        <v>3000</v>
      </c>
      <c r="J4" s="419" t="s">
        <v>4</v>
      </c>
      <c r="K4" s="412"/>
    </row>
    <row r="5" spans="1:11" ht="24" customHeight="1">
      <c r="A5" s="418"/>
      <c r="B5" s="435">
        <v>1611000780</v>
      </c>
      <c r="C5" s="416">
        <v>780</v>
      </c>
      <c r="D5" s="416">
        <v>611000</v>
      </c>
      <c r="E5" s="416">
        <v>1</v>
      </c>
      <c r="F5" s="416" t="s">
        <v>280</v>
      </c>
      <c r="G5" s="417">
        <v>55000</v>
      </c>
      <c r="H5" s="415">
        <v>30000</v>
      </c>
      <c r="I5" s="417">
        <v>55000</v>
      </c>
      <c r="J5" s="419" t="s">
        <v>281</v>
      </c>
      <c r="K5" s="412"/>
    </row>
    <row r="6" spans="1:11" ht="24" customHeight="1">
      <c r="A6" s="418"/>
      <c r="B6" s="435">
        <v>1611100511</v>
      </c>
      <c r="C6" s="416">
        <v>511</v>
      </c>
      <c r="D6" s="416">
        <v>611100</v>
      </c>
      <c r="E6" s="416">
        <v>1</v>
      </c>
      <c r="F6" s="416" t="s">
        <v>275</v>
      </c>
      <c r="G6" s="417">
        <v>40000</v>
      </c>
      <c r="H6" s="415">
        <v>39000</v>
      </c>
      <c r="I6" s="417">
        <v>40000</v>
      </c>
      <c r="J6" s="419" t="s">
        <v>286</v>
      </c>
      <c r="K6" s="412"/>
    </row>
    <row r="7" spans="1:11" ht="24" customHeight="1">
      <c r="A7" s="418"/>
      <c r="B7" s="435">
        <v>1611100530</v>
      </c>
      <c r="C7" s="416">
        <v>530</v>
      </c>
      <c r="D7" s="416">
        <v>611100</v>
      </c>
      <c r="E7" s="416">
        <v>1</v>
      </c>
      <c r="F7" s="416" t="s">
        <v>277</v>
      </c>
      <c r="G7" s="417">
        <v>120000</v>
      </c>
      <c r="H7" s="415">
        <v>106000</v>
      </c>
      <c r="I7" s="417">
        <v>120000</v>
      </c>
      <c r="J7" s="419" t="s">
        <v>287</v>
      </c>
      <c r="K7" s="412"/>
    </row>
    <row r="8" spans="1:11" ht="24" customHeight="1">
      <c r="A8" s="418"/>
      <c r="B8" s="435">
        <v>1611100540</v>
      </c>
      <c r="C8" s="416">
        <v>540</v>
      </c>
      <c r="D8" s="416">
        <v>611100</v>
      </c>
      <c r="E8" s="416">
        <v>1</v>
      </c>
      <c r="F8" s="416" t="s">
        <v>279</v>
      </c>
      <c r="G8" s="417">
        <v>16000</v>
      </c>
      <c r="H8" s="415">
        <v>25000</v>
      </c>
      <c r="I8" s="417">
        <v>16000</v>
      </c>
      <c r="J8" s="419"/>
      <c r="K8" s="412"/>
    </row>
    <row r="9" spans="1:11" ht="24" customHeight="1">
      <c r="A9" s="418"/>
      <c r="B9" s="435">
        <v>1611100750</v>
      </c>
      <c r="C9" s="416">
        <v>750</v>
      </c>
      <c r="D9" s="416">
        <v>611100</v>
      </c>
      <c r="E9" s="416">
        <v>1</v>
      </c>
      <c r="F9" s="416" t="s">
        <v>288</v>
      </c>
      <c r="G9" s="417">
        <v>300000</v>
      </c>
      <c r="H9" s="415">
        <v>308000</v>
      </c>
      <c r="I9" s="417">
        <v>300000</v>
      </c>
      <c r="J9" s="419" t="s">
        <v>1542</v>
      </c>
      <c r="K9" s="412"/>
    </row>
    <row r="10" spans="1:11" ht="24" customHeight="1">
      <c r="A10" s="418"/>
      <c r="B10" s="435">
        <v>1611100751</v>
      </c>
      <c r="C10" s="416">
        <v>751</v>
      </c>
      <c r="D10" s="416">
        <v>611100</v>
      </c>
      <c r="E10" s="416">
        <v>1</v>
      </c>
      <c r="F10" s="416" t="s">
        <v>289</v>
      </c>
      <c r="G10" s="417">
        <v>80000</v>
      </c>
      <c r="H10" s="415">
        <v>67000</v>
      </c>
      <c r="I10" s="417">
        <v>80000</v>
      </c>
      <c r="J10" s="420" t="s">
        <v>2515</v>
      </c>
      <c r="K10" s="412"/>
    </row>
    <row r="11" spans="1:11" ht="24" customHeight="1">
      <c r="A11" s="418"/>
      <c r="B11" s="435">
        <v>1611100752</v>
      </c>
      <c r="C11" s="416">
        <v>752</v>
      </c>
      <c r="D11" s="416">
        <v>611100</v>
      </c>
      <c r="E11" s="416">
        <v>1</v>
      </c>
      <c r="F11" s="416" t="s">
        <v>290</v>
      </c>
      <c r="G11" s="417">
        <v>25000</v>
      </c>
      <c r="H11" s="415">
        <v>24000</v>
      </c>
      <c r="I11" s="417">
        <v>25000</v>
      </c>
      <c r="J11" s="419" t="s">
        <v>291</v>
      </c>
      <c r="K11" s="412"/>
    </row>
    <row r="12" spans="1:11" ht="24" customHeight="1">
      <c r="A12" s="418"/>
      <c r="B12" s="435">
        <v>1611100753</v>
      </c>
      <c r="C12" s="416">
        <v>753</v>
      </c>
      <c r="D12" s="416">
        <v>611100</v>
      </c>
      <c r="E12" s="416">
        <v>1</v>
      </c>
      <c r="F12" s="416" t="s">
        <v>292</v>
      </c>
      <c r="G12" s="417">
        <v>210000</v>
      </c>
      <c r="H12" s="415">
        <v>210000</v>
      </c>
      <c r="I12" s="417">
        <v>210000</v>
      </c>
      <c r="J12" s="424" t="s">
        <v>2471</v>
      </c>
      <c r="K12" s="412"/>
    </row>
    <row r="13" spans="1:11" ht="24" customHeight="1">
      <c r="A13" s="418"/>
      <c r="B13" s="435">
        <v>1611100754</v>
      </c>
      <c r="C13" s="416">
        <v>754</v>
      </c>
      <c r="D13" s="416">
        <v>611100</v>
      </c>
      <c r="E13" s="416">
        <v>1</v>
      </c>
      <c r="F13" s="416" t="s">
        <v>293</v>
      </c>
      <c r="G13" s="417">
        <v>200000</v>
      </c>
      <c r="H13" s="415">
        <v>250000</v>
      </c>
      <c r="I13" s="417">
        <v>250000</v>
      </c>
      <c r="J13" s="424" t="s">
        <v>2470</v>
      </c>
      <c r="K13" s="436" t="s">
        <v>2548</v>
      </c>
    </row>
    <row r="14" spans="1:11" ht="24" customHeight="1">
      <c r="A14" s="418"/>
      <c r="B14" s="435">
        <v>1611100755</v>
      </c>
      <c r="C14" s="416">
        <v>755</v>
      </c>
      <c r="D14" s="416">
        <v>611100</v>
      </c>
      <c r="E14" s="416">
        <v>1</v>
      </c>
      <c r="F14" s="416" t="s">
        <v>294</v>
      </c>
      <c r="G14" s="417">
        <v>50000</v>
      </c>
      <c r="H14" s="415">
        <v>93000</v>
      </c>
      <c r="I14" s="417">
        <v>50000</v>
      </c>
      <c r="J14" s="424" t="s">
        <v>2467</v>
      </c>
      <c r="K14" s="412"/>
    </row>
    <row r="15" spans="1:11" ht="24" customHeight="1">
      <c r="A15" s="418"/>
      <c r="B15" s="435">
        <v>1611100756</v>
      </c>
      <c r="C15" s="416">
        <v>756</v>
      </c>
      <c r="D15" s="416">
        <v>611100</v>
      </c>
      <c r="E15" s="416">
        <v>1</v>
      </c>
      <c r="F15" s="416" t="s">
        <v>295</v>
      </c>
      <c r="G15" s="417">
        <v>200000</v>
      </c>
      <c r="H15" s="415">
        <v>93000</v>
      </c>
      <c r="I15" s="417">
        <v>200000</v>
      </c>
      <c r="J15" s="424" t="s">
        <v>2468</v>
      </c>
      <c r="K15" s="412"/>
    </row>
    <row r="16" spans="1:11" ht="24" customHeight="1">
      <c r="A16" s="418"/>
      <c r="B16" s="435">
        <v>1611100757</v>
      </c>
      <c r="C16" s="416">
        <v>757</v>
      </c>
      <c r="D16" s="416">
        <v>611100</v>
      </c>
      <c r="E16" s="416">
        <v>1</v>
      </c>
      <c r="F16" s="416" t="s">
        <v>296</v>
      </c>
      <c r="G16" s="417">
        <v>30000</v>
      </c>
      <c r="H16" s="415">
        <v>20000</v>
      </c>
      <c r="I16" s="417">
        <v>30000</v>
      </c>
      <c r="J16" s="424" t="s">
        <v>2469</v>
      </c>
      <c r="K16" s="412"/>
    </row>
    <row r="17" spans="1:11" ht="24" customHeight="1">
      <c r="A17" s="418"/>
      <c r="B17" s="435">
        <v>1611100780</v>
      </c>
      <c r="C17" s="416">
        <v>780</v>
      </c>
      <c r="D17" s="416">
        <v>611100</v>
      </c>
      <c r="E17" s="416">
        <v>1</v>
      </c>
      <c r="F17" s="416" t="s">
        <v>280</v>
      </c>
      <c r="G17" s="417">
        <v>130000</v>
      </c>
      <c r="H17" s="415">
        <v>131000</v>
      </c>
      <c r="I17" s="417">
        <v>130000</v>
      </c>
      <c r="J17" s="419" t="s">
        <v>297</v>
      </c>
      <c r="K17" s="412"/>
    </row>
    <row r="18" spans="1:11" ht="24" customHeight="1">
      <c r="A18" s="418"/>
      <c r="B18" s="435">
        <v>1611100781</v>
      </c>
      <c r="C18" s="416">
        <v>781</v>
      </c>
      <c r="D18" s="416">
        <v>611100</v>
      </c>
      <c r="E18" s="416">
        <v>1</v>
      </c>
      <c r="F18" s="416" t="s">
        <v>298</v>
      </c>
      <c r="G18" s="417">
        <v>70000</v>
      </c>
      <c r="H18" s="415">
        <v>65000</v>
      </c>
      <c r="I18" s="417">
        <v>70000</v>
      </c>
      <c r="J18" s="419"/>
      <c r="K18" s="412"/>
    </row>
    <row r="19" spans="1:11" s="311" customFormat="1" ht="39" customHeight="1">
      <c r="A19" s="307"/>
      <c r="B19" s="308">
        <v>1611100782</v>
      </c>
      <c r="C19" s="287">
        <v>782</v>
      </c>
      <c r="D19" s="287">
        <v>611100</v>
      </c>
      <c r="E19" s="287">
        <v>1</v>
      </c>
      <c r="F19" s="287" t="s">
        <v>299</v>
      </c>
      <c r="G19" s="357">
        <v>900000</v>
      </c>
      <c r="H19" s="342">
        <v>1262000</v>
      </c>
      <c r="I19" s="357">
        <v>1000000</v>
      </c>
      <c r="J19" s="360" t="s">
        <v>2485</v>
      </c>
      <c r="K19" s="311" t="s">
        <v>2557</v>
      </c>
    </row>
    <row r="20" spans="1:11" ht="24" customHeight="1">
      <c r="A20" s="418"/>
      <c r="B20" s="435">
        <v>1611100783</v>
      </c>
      <c r="C20" s="416">
        <v>783</v>
      </c>
      <c r="D20" s="416">
        <v>611100</v>
      </c>
      <c r="E20" s="416">
        <v>1</v>
      </c>
      <c r="F20" s="416" t="s">
        <v>300</v>
      </c>
      <c r="G20" s="417">
        <v>90000</v>
      </c>
      <c r="H20" s="415">
        <v>70000</v>
      </c>
      <c r="I20" s="417">
        <v>100000</v>
      </c>
      <c r="J20" s="419" t="s">
        <v>2359</v>
      </c>
      <c r="K20" s="412"/>
    </row>
    <row r="21" spans="1:11" ht="24" customHeight="1">
      <c r="A21" s="418"/>
      <c r="B21" s="435">
        <v>1612000410</v>
      </c>
      <c r="C21" s="416">
        <v>410</v>
      </c>
      <c r="D21" s="416">
        <v>612000</v>
      </c>
      <c r="E21" s="416">
        <v>1</v>
      </c>
      <c r="F21" s="416" t="s">
        <v>304</v>
      </c>
      <c r="G21" s="417">
        <v>59000</v>
      </c>
      <c r="H21" s="415">
        <v>67000</v>
      </c>
      <c r="I21" s="417">
        <v>59000</v>
      </c>
      <c r="J21" s="419" t="s">
        <v>305</v>
      </c>
      <c r="K21" s="412"/>
    </row>
    <row r="22" spans="1:11" ht="24" customHeight="1">
      <c r="A22" s="418"/>
      <c r="B22" s="435">
        <v>1612000540</v>
      </c>
      <c r="C22" s="416">
        <v>540</v>
      </c>
      <c r="D22" s="416">
        <v>612000</v>
      </c>
      <c r="E22" s="416">
        <v>1</v>
      </c>
      <c r="F22" s="416" t="s">
        <v>279</v>
      </c>
      <c r="G22" s="417">
        <v>1000</v>
      </c>
      <c r="H22" s="415">
        <v>0</v>
      </c>
      <c r="I22" s="417">
        <v>1000</v>
      </c>
      <c r="J22" s="419"/>
      <c r="K22" s="412"/>
    </row>
    <row r="23" spans="1:11" s="311" customFormat="1" ht="24" customHeight="1">
      <c r="A23" s="307"/>
      <c r="B23" s="308">
        <v>1612000750</v>
      </c>
      <c r="C23" s="287">
        <v>750</v>
      </c>
      <c r="D23" s="287">
        <v>612000</v>
      </c>
      <c r="E23" s="287">
        <v>1</v>
      </c>
      <c r="F23" s="287" t="s">
        <v>306</v>
      </c>
      <c r="G23" s="357">
        <v>410000</v>
      </c>
      <c r="H23" s="342">
        <v>410000</v>
      </c>
      <c r="I23" s="357">
        <v>410000</v>
      </c>
      <c r="J23" s="337" t="s">
        <v>307</v>
      </c>
      <c r="K23" s="358" t="s">
        <v>2549</v>
      </c>
    </row>
    <row r="24" spans="1:11" ht="24" customHeight="1">
      <c r="A24" s="418"/>
      <c r="B24" s="435">
        <v>1612000780</v>
      </c>
      <c r="C24" s="416">
        <v>780</v>
      </c>
      <c r="D24" s="416">
        <v>612000</v>
      </c>
      <c r="E24" s="416">
        <v>1</v>
      </c>
      <c r="F24" s="416" t="s">
        <v>280</v>
      </c>
      <c r="G24" s="417">
        <v>18000</v>
      </c>
      <c r="H24" s="415">
        <v>11000</v>
      </c>
      <c r="I24" s="417">
        <v>18000</v>
      </c>
      <c r="J24" s="419" t="s">
        <v>297</v>
      </c>
      <c r="K24" s="412"/>
    </row>
    <row r="25" spans="1:11" ht="24" customHeight="1">
      <c r="A25" s="418"/>
      <c r="B25" s="435">
        <v>1613000430</v>
      </c>
      <c r="C25" s="416">
        <v>430</v>
      </c>
      <c r="D25" s="416">
        <v>613000</v>
      </c>
      <c r="E25" s="416">
        <v>1</v>
      </c>
      <c r="F25" s="416" t="s">
        <v>311</v>
      </c>
      <c r="G25" s="417">
        <v>4000</v>
      </c>
      <c r="H25" s="415">
        <v>7000</v>
      </c>
      <c r="I25" s="417">
        <v>4000</v>
      </c>
      <c r="J25" s="419" t="s">
        <v>312</v>
      </c>
      <c r="K25" s="412"/>
    </row>
    <row r="26" spans="1:11" ht="24" customHeight="1">
      <c r="A26" s="418"/>
      <c r="B26" s="435">
        <v>1613000530</v>
      </c>
      <c r="C26" s="416">
        <v>530</v>
      </c>
      <c r="D26" s="416">
        <v>613000</v>
      </c>
      <c r="E26" s="416">
        <v>1</v>
      </c>
      <c r="F26" s="416" t="s">
        <v>277</v>
      </c>
      <c r="G26" s="417">
        <v>90000</v>
      </c>
      <c r="H26" s="415">
        <v>115000</v>
      </c>
      <c r="I26" s="417">
        <v>90000</v>
      </c>
      <c r="J26" s="419" t="s">
        <v>287</v>
      </c>
      <c r="K26" s="412"/>
    </row>
    <row r="27" spans="1:11" ht="24" customHeight="1">
      <c r="A27" s="418"/>
      <c r="B27" s="435">
        <v>1613000540</v>
      </c>
      <c r="C27" s="416">
        <v>540</v>
      </c>
      <c r="D27" s="416">
        <v>613000</v>
      </c>
      <c r="E27" s="416">
        <v>1</v>
      </c>
      <c r="F27" s="416" t="s">
        <v>279</v>
      </c>
      <c r="G27" s="417">
        <v>4000</v>
      </c>
      <c r="H27" s="415">
        <v>7000</v>
      </c>
      <c r="I27" s="417">
        <v>4000</v>
      </c>
      <c r="J27" s="419"/>
      <c r="K27" s="412"/>
    </row>
    <row r="28" spans="1:11" ht="24" customHeight="1">
      <c r="A28" s="418"/>
      <c r="B28" s="435">
        <v>1613000750</v>
      </c>
      <c r="C28" s="416">
        <v>750</v>
      </c>
      <c r="D28" s="416">
        <v>613000</v>
      </c>
      <c r="E28" s="416">
        <v>1</v>
      </c>
      <c r="F28" s="416" t="s">
        <v>288</v>
      </c>
      <c r="G28" s="417">
        <v>400000</v>
      </c>
      <c r="H28" s="415">
        <v>401000</v>
      </c>
      <c r="I28" s="417">
        <v>400000</v>
      </c>
      <c r="J28" s="425" t="s">
        <v>2486</v>
      </c>
      <c r="K28" s="412"/>
    </row>
    <row r="29" spans="1:11" ht="24" customHeight="1">
      <c r="A29" s="418"/>
      <c r="B29" s="435">
        <v>1613000751</v>
      </c>
      <c r="C29" s="416">
        <v>751</v>
      </c>
      <c r="D29" s="416">
        <v>613000</v>
      </c>
      <c r="E29" s="416">
        <v>1</v>
      </c>
      <c r="F29" s="416" t="s">
        <v>868</v>
      </c>
      <c r="G29" s="417">
        <v>400000</v>
      </c>
      <c r="H29" s="415">
        <v>113000</v>
      </c>
      <c r="I29" s="417">
        <v>450000</v>
      </c>
      <c r="J29" s="420" t="s">
        <v>4</v>
      </c>
      <c r="K29" s="412"/>
    </row>
    <row r="30" spans="1:11" ht="24" customHeight="1">
      <c r="A30" s="418"/>
      <c r="B30" s="435">
        <v>1613000752</v>
      </c>
      <c r="C30" s="416">
        <v>752</v>
      </c>
      <c r="D30" s="416">
        <v>613000</v>
      </c>
      <c r="E30" s="416">
        <v>1</v>
      </c>
      <c r="F30" s="416" t="s">
        <v>313</v>
      </c>
      <c r="G30" s="417">
        <v>100000</v>
      </c>
      <c r="H30" s="415">
        <v>158000</v>
      </c>
      <c r="I30" s="417">
        <v>100000</v>
      </c>
      <c r="J30" s="420" t="s">
        <v>4</v>
      </c>
      <c r="K30" s="412"/>
    </row>
    <row r="31" spans="1:11" ht="24" customHeight="1">
      <c r="A31" s="418"/>
      <c r="B31" s="435">
        <v>1613000780</v>
      </c>
      <c r="C31" s="416">
        <v>780</v>
      </c>
      <c r="D31" s="416">
        <v>613000</v>
      </c>
      <c r="E31" s="416">
        <v>1</v>
      </c>
      <c r="F31" s="416" t="s">
        <v>314</v>
      </c>
      <c r="G31" s="417">
        <v>200000</v>
      </c>
      <c r="H31" s="415">
        <v>196000</v>
      </c>
      <c r="I31" s="417">
        <v>200000</v>
      </c>
      <c r="J31" s="420" t="s">
        <v>4</v>
      </c>
      <c r="K31" s="412"/>
    </row>
    <row r="32" spans="1:11" ht="24" customHeight="1">
      <c r="A32" s="418"/>
      <c r="B32" s="435">
        <v>1614000540</v>
      </c>
      <c r="C32" s="416">
        <v>540</v>
      </c>
      <c r="D32" s="416">
        <v>614000</v>
      </c>
      <c r="E32" s="416">
        <v>1</v>
      </c>
      <c r="F32" s="416" t="s">
        <v>279</v>
      </c>
      <c r="G32" s="417">
        <v>1000</v>
      </c>
      <c r="H32" s="415">
        <v>0</v>
      </c>
      <c r="I32" s="417">
        <v>1000</v>
      </c>
      <c r="J32" s="419"/>
      <c r="K32" s="412"/>
    </row>
    <row r="33" spans="1:11" ht="24" customHeight="1">
      <c r="A33" s="418"/>
      <c r="B33" s="435">
        <v>1614000550</v>
      </c>
      <c r="C33" s="416">
        <v>550</v>
      </c>
      <c r="D33" s="416">
        <v>614000</v>
      </c>
      <c r="E33" s="416">
        <v>1</v>
      </c>
      <c r="F33" s="416" t="s">
        <v>318</v>
      </c>
      <c r="G33" s="417">
        <v>800000</v>
      </c>
      <c r="H33" s="415">
        <v>970000</v>
      </c>
      <c r="I33" s="417">
        <v>850000</v>
      </c>
      <c r="J33" s="421" t="s">
        <v>319</v>
      </c>
      <c r="K33" s="412"/>
    </row>
    <row r="34" spans="1:11" ht="24" customHeight="1">
      <c r="A34" s="418"/>
      <c r="B34" s="435">
        <v>1614000750</v>
      </c>
      <c r="C34" s="416">
        <v>750</v>
      </c>
      <c r="D34" s="416">
        <v>614000</v>
      </c>
      <c r="E34" s="416">
        <v>1</v>
      </c>
      <c r="F34" s="416" t="s">
        <v>288</v>
      </c>
      <c r="G34" s="417">
        <v>288000</v>
      </c>
      <c r="H34" s="415">
        <v>286000</v>
      </c>
      <c r="I34" s="417">
        <v>288000</v>
      </c>
      <c r="J34" s="421" t="s">
        <v>320</v>
      </c>
      <c r="K34" s="412"/>
    </row>
    <row r="35" spans="1:11" ht="24" customHeight="1">
      <c r="A35" s="418"/>
      <c r="B35" s="435">
        <v>1614000751</v>
      </c>
      <c r="C35" s="416">
        <v>751</v>
      </c>
      <c r="D35" s="416">
        <v>614000</v>
      </c>
      <c r="E35" s="416">
        <v>1</v>
      </c>
      <c r="F35" s="416" t="s">
        <v>321</v>
      </c>
      <c r="G35" s="417">
        <v>200000</v>
      </c>
      <c r="H35" s="415">
        <v>276000</v>
      </c>
      <c r="I35" s="417">
        <v>200000</v>
      </c>
      <c r="J35" s="421" t="s">
        <v>4</v>
      </c>
      <c r="K35" s="412"/>
    </row>
    <row r="36" spans="1:11" ht="24" customHeight="1">
      <c r="A36" s="418"/>
      <c r="B36" s="435">
        <v>1614000780</v>
      </c>
      <c r="C36" s="416">
        <v>780</v>
      </c>
      <c r="D36" s="416">
        <v>614000</v>
      </c>
      <c r="E36" s="416">
        <v>1</v>
      </c>
      <c r="F36" s="416" t="s">
        <v>280</v>
      </c>
      <c r="G36" s="417">
        <v>1000</v>
      </c>
      <c r="H36" s="415">
        <v>0</v>
      </c>
      <c r="I36" s="417">
        <v>1000</v>
      </c>
      <c r="J36" s="419" t="s">
        <v>322</v>
      </c>
      <c r="K36" s="412"/>
    </row>
    <row r="37" spans="1:11" ht="24" customHeight="1">
      <c r="A37" s="418"/>
      <c r="B37" s="435">
        <v>1615000410</v>
      </c>
      <c r="C37" s="416">
        <v>410</v>
      </c>
      <c r="D37" s="416">
        <v>615000</v>
      </c>
      <c r="E37" s="416">
        <v>1</v>
      </c>
      <c r="F37" s="416" t="s">
        <v>304</v>
      </c>
      <c r="G37" s="417">
        <v>338000</v>
      </c>
      <c r="H37" s="415">
        <v>102000</v>
      </c>
      <c r="I37" s="417">
        <v>338000</v>
      </c>
      <c r="J37" s="419" t="s">
        <v>305</v>
      </c>
      <c r="K37" s="412" t="s">
        <v>2550</v>
      </c>
    </row>
    <row r="38" spans="1:11" ht="24" customHeight="1">
      <c r="A38" s="418"/>
      <c r="B38" s="435">
        <v>1615000521</v>
      </c>
      <c r="C38" s="416">
        <v>521</v>
      </c>
      <c r="D38" s="416">
        <v>615000</v>
      </c>
      <c r="E38" s="416">
        <v>1</v>
      </c>
      <c r="F38" s="416" t="s">
        <v>326</v>
      </c>
      <c r="G38" s="417">
        <v>250000</v>
      </c>
      <c r="H38" s="415">
        <v>188000</v>
      </c>
      <c r="I38" s="417">
        <v>300000</v>
      </c>
      <c r="J38" s="419" t="s">
        <v>869</v>
      </c>
      <c r="K38" s="412"/>
    </row>
    <row r="39" spans="1:11" ht="24" customHeight="1">
      <c r="A39" s="418"/>
      <c r="B39" s="435">
        <v>1615000522</v>
      </c>
      <c r="C39" s="416">
        <v>522</v>
      </c>
      <c r="D39" s="416">
        <v>615000</v>
      </c>
      <c r="E39" s="416">
        <v>1</v>
      </c>
      <c r="F39" s="416" t="s">
        <v>327</v>
      </c>
      <c r="G39" s="417">
        <v>30000</v>
      </c>
      <c r="H39" s="415">
        <v>26000</v>
      </c>
      <c r="I39" s="417">
        <v>30000</v>
      </c>
      <c r="J39" s="419" t="s">
        <v>328</v>
      </c>
      <c r="K39" s="412"/>
    </row>
    <row r="40" spans="1:11" ht="24" customHeight="1">
      <c r="A40" s="418"/>
      <c r="B40" s="435">
        <v>1615000530</v>
      </c>
      <c r="C40" s="416">
        <v>530</v>
      </c>
      <c r="D40" s="416">
        <v>615000</v>
      </c>
      <c r="E40" s="416">
        <v>1</v>
      </c>
      <c r="F40" s="416" t="s">
        <v>277</v>
      </c>
      <c r="G40" s="417">
        <v>55000</v>
      </c>
      <c r="H40" s="415">
        <v>52000</v>
      </c>
      <c r="I40" s="417">
        <v>55000</v>
      </c>
      <c r="J40" s="419" t="s">
        <v>287</v>
      </c>
      <c r="K40" s="412"/>
    </row>
    <row r="41" spans="1:11" ht="24" customHeight="1">
      <c r="A41" s="418"/>
      <c r="B41" s="435">
        <v>1615000540</v>
      </c>
      <c r="C41" s="416">
        <v>540</v>
      </c>
      <c r="D41" s="416">
        <v>615000</v>
      </c>
      <c r="E41" s="416">
        <v>1</v>
      </c>
      <c r="F41" s="416" t="s">
        <v>279</v>
      </c>
      <c r="G41" s="417">
        <v>4000</v>
      </c>
      <c r="H41" s="415">
        <v>3000</v>
      </c>
      <c r="I41" s="417">
        <v>4000</v>
      </c>
      <c r="J41" s="419"/>
      <c r="K41" s="412"/>
    </row>
    <row r="42" spans="1:11" ht="24" customHeight="1">
      <c r="A42" s="418"/>
      <c r="B42" s="435">
        <v>1615000750</v>
      </c>
      <c r="C42" s="416">
        <v>750</v>
      </c>
      <c r="D42" s="416">
        <v>615000</v>
      </c>
      <c r="E42" s="416">
        <v>1</v>
      </c>
      <c r="F42" s="416" t="s">
        <v>288</v>
      </c>
      <c r="G42" s="417">
        <v>300000</v>
      </c>
      <c r="H42" s="415">
        <v>300000</v>
      </c>
      <c r="I42" s="417">
        <v>300000</v>
      </c>
      <c r="J42" s="419" t="s">
        <v>870</v>
      </c>
      <c r="K42" s="412"/>
    </row>
    <row r="43" spans="1:11" ht="24" customHeight="1">
      <c r="A43" s="418"/>
      <c r="B43" s="435">
        <v>1615000751</v>
      </c>
      <c r="C43" s="416">
        <v>751</v>
      </c>
      <c r="D43" s="416">
        <v>615000</v>
      </c>
      <c r="E43" s="416">
        <v>1</v>
      </c>
      <c r="F43" s="416" t="s">
        <v>329</v>
      </c>
      <c r="G43" s="417">
        <v>3000000</v>
      </c>
      <c r="H43" s="415">
        <v>1944000</v>
      </c>
      <c r="I43" s="417">
        <v>3000000</v>
      </c>
      <c r="J43" s="420" t="s">
        <v>871</v>
      </c>
      <c r="K43" s="412"/>
    </row>
    <row r="44" spans="1:11" ht="24" customHeight="1">
      <c r="A44" s="418"/>
      <c r="B44" s="435">
        <v>1615000780</v>
      </c>
      <c r="C44" s="416">
        <v>780</v>
      </c>
      <c r="D44" s="416">
        <v>615000</v>
      </c>
      <c r="E44" s="416">
        <v>1</v>
      </c>
      <c r="F44" s="416" t="s">
        <v>280</v>
      </c>
      <c r="G44" s="417">
        <v>12000</v>
      </c>
      <c r="H44" s="415">
        <v>11000</v>
      </c>
      <c r="I44" s="417">
        <v>12000</v>
      </c>
      <c r="J44" s="419" t="s">
        <v>297</v>
      </c>
      <c r="K44" s="412"/>
    </row>
    <row r="45" spans="1:11" s="329" customFormat="1" ht="24" customHeight="1" thickBot="1">
      <c r="A45" s="317"/>
      <c r="B45" s="355">
        <v>1616000750</v>
      </c>
      <c r="C45" s="356">
        <v>750</v>
      </c>
      <c r="D45" s="356">
        <v>616000</v>
      </c>
      <c r="E45" s="356">
        <v>1</v>
      </c>
      <c r="F45" s="356" t="s">
        <v>288</v>
      </c>
      <c r="G45" s="359">
        <v>200000</v>
      </c>
      <c r="H45" s="348">
        <v>0</v>
      </c>
      <c r="I45" s="359">
        <v>200000</v>
      </c>
      <c r="J45" s="378" t="s">
        <v>4</v>
      </c>
      <c r="K45" s="329" t="s">
        <v>2550</v>
      </c>
    </row>
    <row r="46" spans="1:11" ht="24" customHeight="1">
      <c r="A46" s="319"/>
      <c r="B46" s="318">
        <v>1617000410</v>
      </c>
      <c r="C46" s="327">
        <v>410</v>
      </c>
      <c r="D46" s="327">
        <v>617000</v>
      </c>
      <c r="E46" s="327">
        <v>1</v>
      </c>
      <c r="F46" s="327" t="s">
        <v>304</v>
      </c>
      <c r="G46" s="361">
        <v>385000</v>
      </c>
      <c r="H46" s="316">
        <v>350000</v>
      </c>
      <c r="I46" s="361">
        <v>385000</v>
      </c>
      <c r="J46" s="314" t="s">
        <v>305</v>
      </c>
      <c r="K46" s="412"/>
    </row>
    <row r="47" spans="1:11" ht="24" customHeight="1">
      <c r="A47" s="418"/>
      <c r="B47" s="435">
        <v>1617000522</v>
      </c>
      <c r="C47" s="416">
        <v>522</v>
      </c>
      <c r="D47" s="416">
        <v>617000</v>
      </c>
      <c r="E47" s="416">
        <v>1</v>
      </c>
      <c r="F47" s="416" t="s">
        <v>327</v>
      </c>
      <c r="G47" s="417">
        <v>10000</v>
      </c>
      <c r="H47" s="415">
        <v>2000</v>
      </c>
      <c r="I47" s="417">
        <v>10000</v>
      </c>
      <c r="J47" s="419" t="s">
        <v>334</v>
      </c>
      <c r="K47" s="412"/>
    </row>
    <row r="48" spans="1:11" ht="24" customHeight="1">
      <c r="A48" s="418"/>
      <c r="B48" s="435">
        <v>1617000530</v>
      </c>
      <c r="C48" s="416">
        <v>530</v>
      </c>
      <c r="D48" s="416">
        <v>617000</v>
      </c>
      <c r="E48" s="416">
        <v>1</v>
      </c>
      <c r="F48" s="416" t="s">
        <v>277</v>
      </c>
      <c r="G48" s="417">
        <v>65000</v>
      </c>
      <c r="H48" s="415">
        <v>62000</v>
      </c>
      <c r="I48" s="417">
        <v>65000</v>
      </c>
      <c r="J48" s="419" t="s">
        <v>287</v>
      </c>
      <c r="K48" s="412"/>
    </row>
    <row r="49" spans="1:15" ht="24" customHeight="1">
      <c r="A49" s="418"/>
      <c r="B49" s="435">
        <v>1617000540</v>
      </c>
      <c r="C49" s="416">
        <v>540</v>
      </c>
      <c r="D49" s="416">
        <v>617000</v>
      </c>
      <c r="E49" s="416">
        <v>1</v>
      </c>
      <c r="F49" s="416" t="s">
        <v>279</v>
      </c>
      <c r="G49" s="417">
        <v>2000</v>
      </c>
      <c r="H49" s="415">
        <v>2000</v>
      </c>
      <c r="I49" s="417">
        <v>2000</v>
      </c>
      <c r="J49" s="419"/>
      <c r="K49" s="412"/>
    </row>
    <row r="50" spans="1:15" ht="24" customHeight="1">
      <c r="A50" s="418"/>
      <c r="B50" s="435">
        <v>1617000581</v>
      </c>
      <c r="C50" s="416">
        <v>581</v>
      </c>
      <c r="D50" s="416">
        <v>617000</v>
      </c>
      <c r="E50" s="416">
        <v>1</v>
      </c>
      <c r="F50" s="416" t="s">
        <v>335</v>
      </c>
      <c r="G50" s="417">
        <v>450000</v>
      </c>
      <c r="H50" s="415">
        <v>377000</v>
      </c>
      <c r="I50" s="417">
        <v>450000</v>
      </c>
      <c r="J50" s="419" t="s">
        <v>336</v>
      </c>
      <c r="K50" s="412"/>
    </row>
    <row r="51" spans="1:15" ht="24" customHeight="1">
      <c r="A51" s="418"/>
      <c r="B51" s="435">
        <v>1617000750</v>
      </c>
      <c r="C51" s="416">
        <v>750</v>
      </c>
      <c r="D51" s="416">
        <v>617000</v>
      </c>
      <c r="E51" s="416">
        <v>1</v>
      </c>
      <c r="F51" s="416" t="s">
        <v>337</v>
      </c>
      <c r="G51" s="417">
        <v>1200000</v>
      </c>
      <c r="H51" s="415">
        <v>1100000</v>
      </c>
      <c r="I51" s="417">
        <v>1200000</v>
      </c>
      <c r="J51" s="419" t="s">
        <v>2335</v>
      </c>
      <c r="K51" s="412"/>
    </row>
    <row r="52" spans="1:15" ht="24" customHeight="1">
      <c r="A52" s="418"/>
      <c r="B52" s="435">
        <v>1617000780</v>
      </c>
      <c r="C52" s="416">
        <v>780</v>
      </c>
      <c r="D52" s="416">
        <v>617000</v>
      </c>
      <c r="E52" s="416">
        <v>1</v>
      </c>
      <c r="F52" s="416" t="s">
        <v>280</v>
      </c>
      <c r="G52" s="417">
        <v>65000</v>
      </c>
      <c r="H52" s="415">
        <v>65000</v>
      </c>
      <c r="I52" s="417">
        <v>65000</v>
      </c>
      <c r="J52" s="419" t="s">
        <v>872</v>
      </c>
      <c r="K52" s="412"/>
    </row>
    <row r="53" spans="1:15" ht="24" customHeight="1">
      <c r="A53" s="418"/>
      <c r="B53" s="435">
        <v>1618000530</v>
      </c>
      <c r="C53" s="416">
        <v>530</v>
      </c>
      <c r="D53" s="416">
        <v>618000</v>
      </c>
      <c r="E53" s="416">
        <v>1</v>
      </c>
      <c r="F53" s="416" t="s">
        <v>277</v>
      </c>
      <c r="G53" s="417">
        <v>37000</v>
      </c>
      <c r="H53" s="415">
        <v>28000</v>
      </c>
      <c r="I53" s="417">
        <v>37000</v>
      </c>
      <c r="J53" s="419" t="s">
        <v>287</v>
      </c>
      <c r="K53" s="412"/>
    </row>
    <row r="54" spans="1:15" ht="24" customHeight="1">
      <c r="A54" s="418"/>
      <c r="B54" s="435">
        <v>1618000540</v>
      </c>
      <c r="C54" s="416">
        <v>540</v>
      </c>
      <c r="D54" s="416">
        <v>618000</v>
      </c>
      <c r="E54" s="416">
        <v>1</v>
      </c>
      <c r="F54" s="416" t="s">
        <v>279</v>
      </c>
      <c r="G54" s="417">
        <v>2000</v>
      </c>
      <c r="H54" s="415">
        <v>1000</v>
      </c>
      <c r="I54" s="417">
        <v>2000</v>
      </c>
      <c r="J54" s="419"/>
      <c r="K54" s="412"/>
    </row>
    <row r="55" spans="1:15" s="311" customFormat="1" ht="24" customHeight="1">
      <c r="A55" s="307"/>
      <c r="B55" s="308">
        <v>1618000570</v>
      </c>
      <c r="C55" s="287">
        <v>570</v>
      </c>
      <c r="D55" s="287">
        <v>618000</v>
      </c>
      <c r="E55" s="287">
        <v>1</v>
      </c>
      <c r="F55" s="287" t="s">
        <v>341</v>
      </c>
      <c r="G55" s="357">
        <v>4000000</v>
      </c>
      <c r="H55" s="342">
        <v>3765000</v>
      </c>
      <c r="I55" s="357">
        <v>4700000</v>
      </c>
      <c r="J55" s="345" t="s">
        <v>2192</v>
      </c>
      <c r="K55" s="311" t="s">
        <v>2551</v>
      </c>
      <c r="O55" s="311" t="s">
        <v>2558</v>
      </c>
    </row>
    <row r="56" spans="1:15" s="311" customFormat="1" ht="24" customHeight="1">
      <c r="A56" s="307"/>
      <c r="B56" s="308">
        <v>1618000750</v>
      </c>
      <c r="C56" s="287">
        <v>750</v>
      </c>
      <c r="D56" s="287">
        <v>618000</v>
      </c>
      <c r="E56" s="287">
        <v>1</v>
      </c>
      <c r="F56" s="287" t="s">
        <v>288</v>
      </c>
      <c r="G56" s="357">
        <v>500000</v>
      </c>
      <c r="H56" s="342">
        <v>498000</v>
      </c>
      <c r="I56" s="357">
        <v>823000</v>
      </c>
      <c r="J56" s="345" t="s">
        <v>873</v>
      </c>
      <c r="O56" s="311" t="s">
        <v>2558</v>
      </c>
    </row>
    <row r="57" spans="1:15" ht="24" customHeight="1">
      <c r="A57" s="418"/>
      <c r="B57" s="435">
        <v>1618000780</v>
      </c>
      <c r="C57" s="416">
        <v>780</v>
      </c>
      <c r="D57" s="416">
        <v>618000</v>
      </c>
      <c r="E57" s="416">
        <v>1</v>
      </c>
      <c r="F57" s="416" t="s">
        <v>280</v>
      </c>
      <c r="G57" s="417">
        <v>200000</v>
      </c>
      <c r="H57" s="415">
        <v>201000</v>
      </c>
      <c r="I57" s="417">
        <v>200000</v>
      </c>
      <c r="J57" s="419" t="s">
        <v>342</v>
      </c>
      <c r="K57" s="412"/>
    </row>
    <row r="58" spans="1:15" ht="24" customHeight="1">
      <c r="A58" s="418"/>
      <c r="B58" s="435">
        <v>1621000530</v>
      </c>
      <c r="C58" s="416">
        <v>530</v>
      </c>
      <c r="D58" s="416">
        <v>621000</v>
      </c>
      <c r="E58" s="416">
        <v>1</v>
      </c>
      <c r="F58" s="416" t="s">
        <v>277</v>
      </c>
      <c r="G58" s="417">
        <v>70000</v>
      </c>
      <c r="H58" s="415">
        <v>120000</v>
      </c>
      <c r="I58" s="417">
        <v>70000</v>
      </c>
      <c r="J58" s="419" t="s">
        <v>287</v>
      </c>
      <c r="K58" s="412"/>
    </row>
    <row r="59" spans="1:15" ht="24" customHeight="1">
      <c r="A59" s="418"/>
      <c r="B59" s="435">
        <v>1621000540</v>
      </c>
      <c r="C59" s="416">
        <v>540</v>
      </c>
      <c r="D59" s="416">
        <v>621000</v>
      </c>
      <c r="E59" s="416">
        <v>1</v>
      </c>
      <c r="F59" s="416" t="s">
        <v>279</v>
      </c>
      <c r="G59" s="417">
        <v>15000</v>
      </c>
      <c r="H59" s="415">
        <v>13000</v>
      </c>
      <c r="I59" s="417">
        <v>15000</v>
      </c>
      <c r="J59" s="419" t="s">
        <v>347</v>
      </c>
      <c r="K59" s="412"/>
    </row>
    <row r="60" spans="1:15" ht="24" customHeight="1">
      <c r="A60" s="418"/>
      <c r="B60" s="435">
        <v>1621000750</v>
      </c>
      <c r="C60" s="416">
        <v>750</v>
      </c>
      <c r="D60" s="416">
        <v>621000</v>
      </c>
      <c r="E60" s="416">
        <v>1</v>
      </c>
      <c r="F60" s="416" t="s">
        <v>288</v>
      </c>
      <c r="G60" s="417">
        <v>75000</v>
      </c>
      <c r="H60" s="415">
        <v>48000</v>
      </c>
      <c r="I60" s="417">
        <v>75000</v>
      </c>
      <c r="J60" s="419" t="s">
        <v>348</v>
      </c>
      <c r="K60" s="412"/>
    </row>
    <row r="61" spans="1:15" ht="24" customHeight="1">
      <c r="A61" s="418"/>
      <c r="B61" s="435">
        <v>1621000780</v>
      </c>
      <c r="C61" s="416">
        <v>780</v>
      </c>
      <c r="D61" s="416">
        <v>621000</v>
      </c>
      <c r="E61" s="416">
        <v>1</v>
      </c>
      <c r="F61" s="416" t="s">
        <v>280</v>
      </c>
      <c r="G61" s="417">
        <v>50000</v>
      </c>
      <c r="H61" s="415">
        <v>52000</v>
      </c>
      <c r="I61" s="417">
        <v>55000</v>
      </c>
      <c r="J61" s="419" t="s">
        <v>349</v>
      </c>
      <c r="K61" s="412"/>
    </row>
    <row r="62" spans="1:15" ht="24" customHeight="1">
      <c r="A62" s="418"/>
      <c r="B62" s="435">
        <v>1621300540</v>
      </c>
      <c r="C62" s="416">
        <v>540</v>
      </c>
      <c r="D62" s="416">
        <v>621300</v>
      </c>
      <c r="E62" s="416">
        <v>1</v>
      </c>
      <c r="F62" s="416" t="s">
        <v>279</v>
      </c>
      <c r="G62" s="417">
        <v>2000</v>
      </c>
      <c r="H62" s="415">
        <v>1000</v>
      </c>
      <c r="I62" s="417">
        <v>2000</v>
      </c>
      <c r="J62" s="419" t="s">
        <v>4</v>
      </c>
      <c r="K62" s="412"/>
    </row>
    <row r="63" spans="1:15" ht="24" customHeight="1">
      <c r="A63" s="418"/>
      <c r="B63" s="435">
        <v>1621300750</v>
      </c>
      <c r="C63" s="416">
        <v>750</v>
      </c>
      <c r="D63" s="416">
        <v>621300</v>
      </c>
      <c r="E63" s="416">
        <v>1</v>
      </c>
      <c r="F63" s="416" t="s">
        <v>288</v>
      </c>
      <c r="G63" s="417">
        <v>230000</v>
      </c>
      <c r="H63" s="415">
        <v>120000</v>
      </c>
      <c r="I63" s="417">
        <v>230000</v>
      </c>
      <c r="J63" s="419" t="s">
        <v>2407</v>
      </c>
      <c r="K63" s="412"/>
    </row>
    <row r="64" spans="1:15" ht="24" customHeight="1">
      <c r="A64" s="418"/>
      <c r="B64" s="435">
        <v>1621300780</v>
      </c>
      <c r="C64" s="416">
        <v>780</v>
      </c>
      <c r="D64" s="416">
        <v>621300</v>
      </c>
      <c r="E64" s="416">
        <v>1</v>
      </c>
      <c r="F64" s="416" t="s">
        <v>280</v>
      </c>
      <c r="G64" s="417">
        <v>90000</v>
      </c>
      <c r="H64" s="415">
        <v>90000</v>
      </c>
      <c r="I64" s="417">
        <v>90000</v>
      </c>
      <c r="J64" s="419" t="s">
        <v>353</v>
      </c>
      <c r="K64" s="412"/>
    </row>
    <row r="65" spans="1:11" ht="24" customHeight="1">
      <c r="A65" s="418"/>
      <c r="B65" s="435">
        <v>1623000530</v>
      </c>
      <c r="C65" s="416">
        <v>530</v>
      </c>
      <c r="D65" s="416">
        <v>623000</v>
      </c>
      <c r="E65" s="416">
        <v>1</v>
      </c>
      <c r="F65" s="416" t="s">
        <v>277</v>
      </c>
      <c r="G65" s="417">
        <v>95000</v>
      </c>
      <c r="H65" s="415">
        <v>93000</v>
      </c>
      <c r="I65" s="417">
        <v>95000</v>
      </c>
      <c r="J65" s="419" t="s">
        <v>287</v>
      </c>
      <c r="K65" s="412"/>
    </row>
    <row r="66" spans="1:11" ht="24" customHeight="1">
      <c r="A66" s="418"/>
      <c r="B66" s="435">
        <v>1623000540</v>
      </c>
      <c r="C66" s="416">
        <v>540</v>
      </c>
      <c r="D66" s="416">
        <v>623000</v>
      </c>
      <c r="E66" s="416">
        <v>1</v>
      </c>
      <c r="F66" s="416" t="s">
        <v>279</v>
      </c>
      <c r="G66" s="417">
        <v>330000</v>
      </c>
      <c r="H66" s="415">
        <v>295000</v>
      </c>
      <c r="I66" s="417">
        <v>330000</v>
      </c>
      <c r="J66" s="419" t="s">
        <v>357</v>
      </c>
      <c r="K66" s="412"/>
    </row>
    <row r="67" spans="1:11" ht="24" customHeight="1">
      <c r="A67" s="418"/>
      <c r="B67" s="435">
        <v>1623000750</v>
      </c>
      <c r="C67" s="416">
        <v>750</v>
      </c>
      <c r="D67" s="416">
        <v>623000</v>
      </c>
      <c r="E67" s="416">
        <v>1</v>
      </c>
      <c r="F67" s="416" t="s">
        <v>288</v>
      </c>
      <c r="G67" s="417">
        <v>2500000</v>
      </c>
      <c r="H67" s="415">
        <v>2739000</v>
      </c>
      <c r="I67" s="417">
        <v>3000000</v>
      </c>
      <c r="J67" s="419" t="s">
        <v>358</v>
      </c>
      <c r="K67" s="412" t="s">
        <v>2552</v>
      </c>
    </row>
    <row r="68" spans="1:11" ht="24" customHeight="1">
      <c r="A68" s="418"/>
      <c r="B68" s="435">
        <v>1623000751</v>
      </c>
      <c r="C68" s="416">
        <v>751</v>
      </c>
      <c r="D68" s="416">
        <v>623000</v>
      </c>
      <c r="E68" s="416">
        <v>1</v>
      </c>
      <c r="F68" s="416" t="s">
        <v>359</v>
      </c>
      <c r="G68" s="417">
        <v>200000</v>
      </c>
      <c r="H68" s="415">
        <v>121000</v>
      </c>
      <c r="I68" s="417">
        <v>200000</v>
      </c>
      <c r="J68" s="419" t="s">
        <v>874</v>
      </c>
      <c r="K68" s="412"/>
    </row>
    <row r="69" spans="1:11" ht="24" customHeight="1">
      <c r="A69" s="418"/>
      <c r="B69" s="435">
        <v>1623000780</v>
      </c>
      <c r="C69" s="416">
        <v>780</v>
      </c>
      <c r="D69" s="416">
        <v>623000</v>
      </c>
      <c r="E69" s="416">
        <v>1</v>
      </c>
      <c r="F69" s="416" t="s">
        <v>280</v>
      </c>
      <c r="G69" s="417">
        <v>60000</v>
      </c>
      <c r="H69" s="415">
        <v>60000</v>
      </c>
      <c r="I69" s="417">
        <v>60000</v>
      </c>
      <c r="J69" s="419" t="s">
        <v>297</v>
      </c>
      <c r="K69" s="412"/>
    </row>
    <row r="70" spans="1:11" ht="24" customHeight="1">
      <c r="A70" s="418" t="s">
        <v>4</v>
      </c>
      <c r="B70" s="435">
        <v>1735000780</v>
      </c>
      <c r="C70" s="416">
        <v>780</v>
      </c>
      <c r="D70" s="416">
        <v>735000</v>
      </c>
      <c r="E70" s="416">
        <v>1</v>
      </c>
      <c r="F70" s="416" t="s">
        <v>280</v>
      </c>
      <c r="G70" s="417">
        <v>10000</v>
      </c>
      <c r="H70" s="415">
        <v>7000</v>
      </c>
      <c r="I70" s="417">
        <v>10000</v>
      </c>
      <c r="J70" s="419" t="s">
        <v>4</v>
      </c>
      <c r="K70" s="412"/>
    </row>
    <row r="71" spans="1:11" ht="24" customHeight="1">
      <c r="A71" s="418"/>
      <c r="B71" s="435">
        <v>1749000410</v>
      </c>
      <c r="C71" s="416">
        <v>410</v>
      </c>
      <c r="D71" s="416">
        <v>749000</v>
      </c>
      <c r="E71" s="416">
        <v>1</v>
      </c>
      <c r="F71" s="416" t="s">
        <v>304</v>
      </c>
      <c r="G71" s="417">
        <v>241000.08</v>
      </c>
      <c r="H71" s="415">
        <v>249000</v>
      </c>
      <c r="I71" s="417">
        <v>241000.08</v>
      </c>
      <c r="J71" s="419" t="s">
        <v>305</v>
      </c>
      <c r="K71" s="412"/>
    </row>
    <row r="72" spans="1:11" ht="24" customHeight="1">
      <c r="A72" s="418"/>
      <c r="B72" s="435">
        <v>1749000450</v>
      </c>
      <c r="C72" s="416">
        <v>450</v>
      </c>
      <c r="D72" s="416">
        <v>749000</v>
      </c>
      <c r="E72" s="416">
        <v>1</v>
      </c>
      <c r="F72" s="416" t="s">
        <v>483</v>
      </c>
      <c r="G72" s="417">
        <v>10000</v>
      </c>
      <c r="H72" s="415">
        <v>9000</v>
      </c>
      <c r="I72" s="417">
        <v>10000</v>
      </c>
      <c r="J72" s="419" t="s">
        <v>484</v>
      </c>
      <c r="K72" s="412"/>
    </row>
    <row r="73" spans="1:11" ht="24" customHeight="1">
      <c r="A73" s="418"/>
      <c r="B73" s="435">
        <v>1749000540</v>
      </c>
      <c r="C73" s="416">
        <v>540</v>
      </c>
      <c r="D73" s="416">
        <v>749000</v>
      </c>
      <c r="E73" s="416">
        <v>1</v>
      </c>
      <c r="F73" s="416" t="s">
        <v>279</v>
      </c>
      <c r="G73" s="417">
        <v>450000</v>
      </c>
      <c r="H73" s="415">
        <v>399000</v>
      </c>
      <c r="I73" s="417">
        <v>450000</v>
      </c>
      <c r="J73" s="419" t="s">
        <v>485</v>
      </c>
      <c r="K73" s="412"/>
    </row>
    <row r="74" spans="1:11" ht="24" customHeight="1">
      <c r="A74" s="418"/>
      <c r="B74" s="435">
        <v>1749000560</v>
      </c>
      <c r="C74" s="416">
        <v>560</v>
      </c>
      <c r="D74" s="416">
        <v>749000</v>
      </c>
      <c r="E74" s="416">
        <v>1</v>
      </c>
      <c r="F74" s="416" t="s">
        <v>486</v>
      </c>
      <c r="G74" s="417">
        <v>90000</v>
      </c>
      <c r="H74" s="415">
        <v>92000</v>
      </c>
      <c r="I74" s="417">
        <v>90000</v>
      </c>
      <c r="J74" s="419" t="s">
        <v>487</v>
      </c>
      <c r="K74" s="412"/>
    </row>
    <row r="75" spans="1:11" ht="24" customHeight="1">
      <c r="A75" s="418"/>
      <c r="B75" s="435">
        <v>1749000720</v>
      </c>
      <c r="C75" s="416">
        <v>720</v>
      </c>
      <c r="D75" s="416">
        <v>749000</v>
      </c>
      <c r="E75" s="416">
        <v>1</v>
      </c>
      <c r="F75" s="416" t="s">
        <v>400</v>
      </c>
      <c r="G75" s="417">
        <v>65000</v>
      </c>
      <c r="H75" s="415">
        <v>50000</v>
      </c>
      <c r="I75" s="417">
        <v>65000</v>
      </c>
      <c r="J75" s="419" t="s">
        <v>488</v>
      </c>
      <c r="K75" s="412"/>
    </row>
    <row r="76" spans="1:11" ht="24" customHeight="1">
      <c r="A76" s="418"/>
      <c r="B76" s="435">
        <v>1749000750</v>
      </c>
      <c r="C76" s="416">
        <v>750</v>
      </c>
      <c r="D76" s="416">
        <v>749000</v>
      </c>
      <c r="E76" s="416">
        <v>1</v>
      </c>
      <c r="F76" s="416" t="s">
        <v>288</v>
      </c>
      <c r="G76" s="417">
        <v>100000</v>
      </c>
      <c r="H76" s="415">
        <v>75000</v>
      </c>
      <c r="I76" s="417">
        <v>100000</v>
      </c>
      <c r="J76" s="419" t="s">
        <v>876</v>
      </c>
      <c r="K76" s="412"/>
    </row>
    <row r="77" spans="1:11" ht="24" customHeight="1">
      <c r="A77" s="418"/>
      <c r="B77" s="435">
        <v>1749000780</v>
      </c>
      <c r="C77" s="416">
        <v>780</v>
      </c>
      <c r="D77" s="416">
        <v>749000</v>
      </c>
      <c r="E77" s="416">
        <v>1</v>
      </c>
      <c r="F77" s="416" t="s">
        <v>280</v>
      </c>
      <c r="G77" s="417">
        <v>20000</v>
      </c>
      <c r="H77" s="415">
        <v>20000</v>
      </c>
      <c r="I77" s="417">
        <v>20000</v>
      </c>
      <c r="J77" s="419" t="s">
        <v>489</v>
      </c>
      <c r="K77" s="412"/>
    </row>
    <row r="78" spans="1:11" ht="24" customHeight="1">
      <c r="A78" s="418"/>
      <c r="B78" s="435">
        <v>1752000530</v>
      </c>
      <c r="C78" s="416">
        <v>530</v>
      </c>
      <c r="D78" s="416">
        <v>752000</v>
      </c>
      <c r="E78" s="416">
        <v>1</v>
      </c>
      <c r="F78" s="416" t="s">
        <v>277</v>
      </c>
      <c r="G78" s="417">
        <v>450000</v>
      </c>
      <c r="H78" s="415">
        <v>388000</v>
      </c>
      <c r="I78" s="417">
        <v>470000</v>
      </c>
      <c r="J78" s="419" t="s">
        <v>278</v>
      </c>
      <c r="K78" s="412" t="s">
        <v>2553</v>
      </c>
    </row>
    <row r="79" spans="1:11" ht="24" customHeight="1">
      <c r="A79" s="418"/>
      <c r="B79" s="435">
        <v>1752000540</v>
      </c>
      <c r="C79" s="416">
        <v>540</v>
      </c>
      <c r="D79" s="416">
        <v>752000</v>
      </c>
      <c r="E79" s="416">
        <v>1</v>
      </c>
      <c r="F79" s="416" t="s">
        <v>279</v>
      </c>
      <c r="G79" s="417">
        <v>2000</v>
      </c>
      <c r="H79" s="415">
        <v>5000</v>
      </c>
      <c r="I79" s="417">
        <v>2000</v>
      </c>
      <c r="J79" s="419"/>
      <c r="K79" s="412"/>
    </row>
    <row r="80" spans="1:11" ht="24" customHeight="1">
      <c r="A80" s="418"/>
      <c r="B80" s="435">
        <v>1752000750</v>
      </c>
      <c r="C80" s="416">
        <v>750</v>
      </c>
      <c r="D80" s="416">
        <v>752000</v>
      </c>
      <c r="E80" s="416">
        <v>1</v>
      </c>
      <c r="F80" s="416" t="s">
        <v>288</v>
      </c>
      <c r="G80" s="417">
        <v>700000</v>
      </c>
      <c r="H80" s="415">
        <v>500000</v>
      </c>
      <c r="I80" s="417">
        <v>1100000</v>
      </c>
      <c r="J80" s="419" t="s">
        <v>877</v>
      </c>
      <c r="K80" s="412" t="s">
        <v>2554</v>
      </c>
    </row>
    <row r="81" spans="1:11" ht="24" customHeight="1">
      <c r="A81" s="418"/>
      <c r="B81" s="435">
        <v>1752000751</v>
      </c>
      <c r="C81" s="416">
        <v>751</v>
      </c>
      <c r="D81" s="416">
        <v>752000</v>
      </c>
      <c r="E81" s="416">
        <v>1</v>
      </c>
      <c r="F81" s="416" t="s">
        <v>2337</v>
      </c>
      <c r="G81" s="417">
        <v>700000</v>
      </c>
      <c r="H81" s="415">
        <v>0</v>
      </c>
      <c r="I81" s="417">
        <v>700000</v>
      </c>
      <c r="J81" s="419"/>
      <c r="K81" s="412"/>
    </row>
    <row r="82" spans="1:11" ht="24" customHeight="1">
      <c r="A82" s="418"/>
      <c r="B82" s="435">
        <v>1752000780</v>
      </c>
      <c r="C82" s="416">
        <v>780</v>
      </c>
      <c r="D82" s="416">
        <v>752000</v>
      </c>
      <c r="E82" s="416">
        <v>1</v>
      </c>
      <c r="F82" s="416" t="s">
        <v>280</v>
      </c>
      <c r="G82" s="417">
        <v>200000</v>
      </c>
      <c r="H82" s="415">
        <v>160000</v>
      </c>
      <c r="I82" s="417">
        <v>250000</v>
      </c>
      <c r="J82" s="426" t="s">
        <v>2492</v>
      </c>
      <c r="K82" s="412"/>
    </row>
    <row r="83" spans="1:11" ht="24" customHeight="1">
      <c r="A83" s="418"/>
      <c r="B83" s="435">
        <v>1800000550</v>
      </c>
      <c r="C83" s="416">
        <v>550</v>
      </c>
      <c r="D83" s="416">
        <v>800000</v>
      </c>
      <c r="E83" s="416">
        <v>1</v>
      </c>
      <c r="F83" s="416" t="s">
        <v>318</v>
      </c>
      <c r="G83" s="417">
        <v>350000</v>
      </c>
      <c r="H83" s="415">
        <v>283000</v>
      </c>
      <c r="I83" s="417">
        <v>350000</v>
      </c>
      <c r="J83" s="421" t="s">
        <v>539</v>
      </c>
      <c r="K83" s="412" t="s">
        <v>2555</v>
      </c>
    </row>
    <row r="84" spans="1:11" ht="24" customHeight="1">
      <c r="A84" s="418"/>
      <c r="B84" s="435">
        <v>1812200750</v>
      </c>
      <c r="C84" s="416">
        <v>750</v>
      </c>
      <c r="D84" s="416">
        <v>812200</v>
      </c>
      <c r="E84" s="416">
        <v>1</v>
      </c>
      <c r="F84" s="416" t="s">
        <v>288</v>
      </c>
      <c r="G84" s="417">
        <v>400000</v>
      </c>
      <c r="H84" s="415">
        <v>380000</v>
      </c>
      <c r="I84" s="417">
        <v>450000</v>
      </c>
      <c r="J84" s="419" t="s">
        <v>2196</v>
      </c>
      <c r="K84" s="412" t="s">
        <v>2556</v>
      </c>
    </row>
    <row r="85" spans="1:11" ht="24" customHeight="1">
      <c r="A85" s="418"/>
      <c r="B85" s="435">
        <v>1813400430</v>
      </c>
      <c r="C85" s="416">
        <v>430</v>
      </c>
      <c r="D85" s="416">
        <v>813400</v>
      </c>
      <c r="E85" s="416">
        <v>1</v>
      </c>
      <c r="F85" s="416" t="s">
        <v>591</v>
      </c>
      <c r="G85" s="417">
        <v>400000</v>
      </c>
      <c r="H85" s="415">
        <v>400000</v>
      </c>
      <c r="I85" s="417">
        <v>400000</v>
      </c>
      <c r="J85" s="419" t="s">
        <v>592</v>
      </c>
      <c r="K85" s="412"/>
    </row>
    <row r="86" spans="1:11" ht="15.75">
      <c r="A86" s="422"/>
      <c r="B86" s="434" t="s">
        <v>981</v>
      </c>
      <c r="C86" s="413"/>
      <c r="D86" s="413"/>
      <c r="E86" s="416">
        <v>1</v>
      </c>
      <c r="F86" s="413"/>
      <c r="G86" s="414">
        <v>1586263999.52</v>
      </c>
      <c r="H86" s="414">
        <v>1496552000</v>
      </c>
      <c r="I86" s="414">
        <v>664744000.16000009</v>
      </c>
      <c r="J86" s="423"/>
      <c r="K86" s="412"/>
    </row>
    <row r="91" spans="1:11">
      <c r="A91" s="569" t="s">
        <v>2912</v>
      </c>
    </row>
    <row r="92" spans="1:11">
      <c r="A92" s="569" t="s">
        <v>2913</v>
      </c>
    </row>
    <row r="93" spans="1:11">
      <c r="A93" s="569" t="s">
        <v>2914</v>
      </c>
    </row>
    <row r="94" spans="1:11">
      <c r="A94" s="569" t="s">
        <v>2915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rightToLeft="1" topLeftCell="A22" workbookViewId="0">
      <selection activeCell="B23" sqref="B23"/>
    </sheetView>
  </sheetViews>
  <sheetFormatPr defaultRowHeight="14.25"/>
  <cols>
    <col min="2" max="2" width="10.875" bestFit="1" customWidth="1"/>
    <col min="6" max="6" width="34.75" bestFit="1" customWidth="1"/>
    <col min="7" max="7" width="15.625" bestFit="1" customWidth="1"/>
    <col min="8" max="8" width="10.875" bestFit="1" customWidth="1"/>
  </cols>
  <sheetData>
    <row r="1" spans="1:9" ht="46.5">
      <c r="A1" s="371" t="s">
        <v>1</v>
      </c>
      <c r="B1" s="371"/>
      <c r="C1" s="371" t="s">
        <v>2</v>
      </c>
      <c r="D1" s="371" t="s">
        <v>3</v>
      </c>
      <c r="E1" s="372" t="s">
        <v>4</v>
      </c>
      <c r="F1" s="373" t="s">
        <v>2185</v>
      </c>
      <c r="G1" s="374" t="s">
        <v>2522</v>
      </c>
      <c r="H1" s="362"/>
      <c r="I1" s="362"/>
    </row>
    <row r="2" spans="1:9">
      <c r="A2" s="363"/>
      <c r="B2" s="376">
        <v>1122000220</v>
      </c>
      <c r="C2" s="363">
        <v>220</v>
      </c>
      <c r="D2" s="363">
        <v>122000</v>
      </c>
      <c r="E2" s="363" t="s">
        <v>13</v>
      </c>
      <c r="F2" s="364">
        <v>6000000</v>
      </c>
      <c r="G2" s="364">
        <v>6500000</v>
      </c>
      <c r="H2" s="362"/>
      <c r="I2" s="362"/>
    </row>
    <row r="3" spans="1:9" ht="15">
      <c r="A3" s="365" t="s">
        <v>14</v>
      </c>
      <c r="B3" s="365"/>
      <c r="C3" s="365">
        <v>999</v>
      </c>
      <c r="D3" s="365">
        <v>120000</v>
      </c>
      <c r="E3" s="365"/>
      <c r="F3" s="366">
        <v>6200000</v>
      </c>
      <c r="G3" s="366">
        <v>6500000</v>
      </c>
      <c r="H3" s="362"/>
      <c r="I3" s="362"/>
    </row>
    <row r="4" spans="1:9">
      <c r="A4" s="363" t="s">
        <v>17</v>
      </c>
      <c r="B4" s="376">
        <v>1212300610</v>
      </c>
      <c r="C4" s="363">
        <v>610</v>
      </c>
      <c r="D4" s="363">
        <v>212300</v>
      </c>
      <c r="E4" s="363" t="s">
        <v>2237</v>
      </c>
      <c r="F4" s="364">
        <v>450000</v>
      </c>
      <c r="G4" s="364">
        <v>400000</v>
      </c>
      <c r="H4" s="362"/>
      <c r="I4" s="362"/>
    </row>
    <row r="5" spans="1:9">
      <c r="A5" s="363"/>
      <c r="B5" s="376">
        <v>1212300611</v>
      </c>
      <c r="C5" s="363">
        <v>611</v>
      </c>
      <c r="D5" s="363">
        <v>212300</v>
      </c>
      <c r="E5" s="363" t="s">
        <v>18</v>
      </c>
      <c r="F5" s="364">
        <v>400000</v>
      </c>
      <c r="G5" s="364">
        <v>300000</v>
      </c>
      <c r="H5" s="362"/>
      <c r="I5" s="362"/>
    </row>
    <row r="6" spans="1:9">
      <c r="A6" s="363"/>
      <c r="B6" s="376">
        <v>1214200220</v>
      </c>
      <c r="C6" s="363">
        <v>220</v>
      </c>
      <c r="D6" s="363">
        <v>214200</v>
      </c>
      <c r="E6" s="363" t="s">
        <v>19</v>
      </c>
      <c r="F6" s="364">
        <v>420000</v>
      </c>
      <c r="G6" s="364">
        <v>420000</v>
      </c>
      <c r="H6" s="362"/>
      <c r="I6" s="362"/>
    </row>
    <row r="7" spans="1:9">
      <c r="A7" s="363"/>
      <c r="B7" s="376">
        <v>1214200990</v>
      </c>
      <c r="C7" s="363">
        <v>990</v>
      </c>
      <c r="D7" s="363">
        <v>214200</v>
      </c>
      <c r="E7" s="363" t="s">
        <v>20</v>
      </c>
      <c r="F7" s="364">
        <v>600000</v>
      </c>
      <c r="G7" s="364">
        <v>400000</v>
      </c>
      <c r="H7" s="362"/>
      <c r="I7" s="362"/>
    </row>
    <row r="8" spans="1:9" ht="15">
      <c r="A8" s="365" t="s">
        <v>21</v>
      </c>
      <c r="B8" s="365"/>
      <c r="C8" s="365">
        <v>999</v>
      </c>
      <c r="D8" s="365">
        <v>210000</v>
      </c>
      <c r="E8" s="365"/>
      <c r="F8" s="366">
        <v>1870000</v>
      </c>
      <c r="G8" s="366">
        <v>1520000</v>
      </c>
      <c r="H8" s="362"/>
      <c r="I8" s="362"/>
    </row>
    <row r="11" spans="1:9" ht="93">
      <c r="A11" s="370" t="s">
        <v>1</v>
      </c>
      <c r="B11" s="375"/>
      <c r="C11" s="371" t="s">
        <v>2</v>
      </c>
      <c r="D11" s="371" t="s">
        <v>4</v>
      </c>
      <c r="E11" s="371"/>
      <c r="F11" s="372" t="s">
        <v>271</v>
      </c>
      <c r="G11" s="373" t="s">
        <v>2185</v>
      </c>
      <c r="H11" s="374" t="s">
        <v>2522</v>
      </c>
      <c r="I11" s="374" t="s">
        <v>2519</v>
      </c>
    </row>
    <row r="12" spans="1:9">
      <c r="A12" s="369"/>
      <c r="B12" s="377">
        <v>1710000410</v>
      </c>
      <c r="C12" s="367">
        <v>410</v>
      </c>
      <c r="D12" s="367">
        <v>710000</v>
      </c>
      <c r="E12" s="367">
        <v>1</v>
      </c>
      <c r="F12" s="367" t="s">
        <v>304</v>
      </c>
      <c r="G12" s="368">
        <v>440000</v>
      </c>
      <c r="H12" s="368">
        <v>460000</v>
      </c>
      <c r="I12" s="362"/>
    </row>
    <row r="13" spans="1:9">
      <c r="A13" s="369"/>
      <c r="B13" s="377">
        <v>1710000430</v>
      </c>
      <c r="C13" s="367">
        <v>430</v>
      </c>
      <c r="D13" s="367">
        <v>710000</v>
      </c>
      <c r="E13" s="367">
        <v>1</v>
      </c>
      <c r="F13" s="367" t="s">
        <v>311</v>
      </c>
      <c r="G13" s="368">
        <v>40000</v>
      </c>
      <c r="H13" s="368">
        <v>40000</v>
      </c>
      <c r="I13" s="362"/>
    </row>
    <row r="14" spans="1:9">
      <c r="A14" s="369"/>
      <c r="B14" s="377">
        <v>1710000530</v>
      </c>
      <c r="C14" s="367">
        <v>530</v>
      </c>
      <c r="D14" s="367">
        <v>710000</v>
      </c>
      <c r="E14" s="367">
        <v>1</v>
      </c>
      <c r="F14" s="367" t="s">
        <v>277</v>
      </c>
      <c r="G14" s="368">
        <v>140000</v>
      </c>
      <c r="H14" s="368">
        <v>160000</v>
      </c>
      <c r="I14" s="362"/>
    </row>
    <row r="15" spans="1:9">
      <c r="A15" s="369"/>
      <c r="B15" s="377">
        <v>1710000540</v>
      </c>
      <c r="C15" s="367">
        <v>540</v>
      </c>
      <c r="D15" s="367">
        <v>710000</v>
      </c>
      <c r="E15" s="367">
        <v>1</v>
      </c>
      <c r="F15" s="367" t="s">
        <v>279</v>
      </c>
      <c r="G15" s="368">
        <v>4000</v>
      </c>
      <c r="H15" s="368">
        <v>4500</v>
      </c>
      <c r="I15" s="362"/>
    </row>
    <row r="16" spans="1:9">
      <c r="A16" s="369"/>
      <c r="B16" s="377">
        <v>1710000750</v>
      </c>
      <c r="C16" s="367">
        <v>750</v>
      </c>
      <c r="D16" s="367">
        <v>710000</v>
      </c>
      <c r="E16" s="367">
        <v>1</v>
      </c>
      <c r="F16" s="367" t="s">
        <v>288</v>
      </c>
      <c r="G16" s="368">
        <v>520000</v>
      </c>
      <c r="H16" s="368">
        <v>500000</v>
      </c>
      <c r="I16" s="362" t="s">
        <v>2544</v>
      </c>
    </row>
    <row r="17" spans="1:9">
      <c r="A17" s="369"/>
      <c r="B17" s="377">
        <v>1710000780</v>
      </c>
      <c r="C17" s="367">
        <v>780</v>
      </c>
      <c r="D17" s="367">
        <v>710000</v>
      </c>
      <c r="E17" s="367">
        <v>1</v>
      </c>
      <c r="F17" s="367" t="s">
        <v>379</v>
      </c>
      <c r="G17" s="368">
        <v>50000</v>
      </c>
      <c r="H17" s="368">
        <v>70000</v>
      </c>
      <c r="I17" s="362"/>
    </row>
    <row r="18" spans="1:9">
      <c r="A18" s="369"/>
      <c r="B18" s="377">
        <v>1711000530</v>
      </c>
      <c r="C18" s="367">
        <v>530</v>
      </c>
      <c r="D18" s="367">
        <v>711000</v>
      </c>
      <c r="E18" s="367">
        <v>1</v>
      </c>
      <c r="F18" s="367" t="s">
        <v>277</v>
      </c>
      <c r="G18" s="368">
        <v>130000</v>
      </c>
      <c r="H18" s="368">
        <v>140000</v>
      </c>
      <c r="I18" s="362"/>
    </row>
    <row r="19" spans="1:9">
      <c r="A19" s="369"/>
      <c r="B19" s="377">
        <v>1711000540</v>
      </c>
      <c r="C19" s="367">
        <v>540</v>
      </c>
      <c r="D19" s="367">
        <v>711000</v>
      </c>
      <c r="E19" s="367">
        <v>1</v>
      </c>
      <c r="F19" s="367" t="s">
        <v>279</v>
      </c>
      <c r="G19" s="368">
        <v>6000</v>
      </c>
      <c r="H19" s="368">
        <v>6000</v>
      </c>
      <c r="I19" s="362"/>
    </row>
    <row r="20" spans="1:9">
      <c r="A20" s="369" t="s">
        <v>388</v>
      </c>
      <c r="B20" s="377">
        <v>1712200750</v>
      </c>
      <c r="C20" s="367">
        <v>750</v>
      </c>
      <c r="D20" s="367">
        <v>712200</v>
      </c>
      <c r="E20" s="367">
        <v>1</v>
      </c>
      <c r="F20" s="367" t="s">
        <v>288</v>
      </c>
      <c r="G20" s="368">
        <v>18195200</v>
      </c>
      <c r="H20" s="368">
        <v>21000000</v>
      </c>
      <c r="I20" s="362" t="s">
        <v>2545</v>
      </c>
    </row>
    <row r="21" spans="1:9">
      <c r="A21" s="369" t="s">
        <v>390</v>
      </c>
      <c r="B21" s="377">
        <v>1712300750</v>
      </c>
      <c r="C21" s="367">
        <v>750</v>
      </c>
      <c r="D21" s="367">
        <v>712300</v>
      </c>
      <c r="E21" s="367">
        <v>1</v>
      </c>
      <c r="F21" s="367" t="s">
        <v>390</v>
      </c>
      <c r="G21" s="368">
        <v>47341800</v>
      </c>
      <c r="H21" s="368">
        <v>50000000</v>
      </c>
      <c r="I21" s="362" t="s">
        <v>2546</v>
      </c>
    </row>
    <row r="22" spans="1:9">
      <c r="A22" s="369"/>
      <c r="B22" s="377">
        <v>1712300751</v>
      </c>
      <c r="C22" s="367">
        <v>751</v>
      </c>
      <c r="D22" s="367">
        <v>712300</v>
      </c>
      <c r="E22" s="367">
        <v>1</v>
      </c>
      <c r="F22" s="367" t="s">
        <v>391</v>
      </c>
      <c r="G22" s="368">
        <v>630000</v>
      </c>
      <c r="H22" s="368">
        <v>580000</v>
      </c>
      <c r="I22" s="362"/>
    </row>
    <row r="23" spans="1:9">
      <c r="A23" s="369"/>
      <c r="B23" s="377">
        <v>1713000530</v>
      </c>
      <c r="C23" s="367">
        <v>530</v>
      </c>
      <c r="D23" s="367">
        <v>713000</v>
      </c>
      <c r="E23" s="367">
        <v>1</v>
      </c>
      <c r="F23" s="367" t="s">
        <v>277</v>
      </c>
      <c r="G23" s="368">
        <v>480000</v>
      </c>
      <c r="H23" s="368">
        <v>520000</v>
      </c>
      <c r="I23" s="362"/>
    </row>
    <row r="24" spans="1:9">
      <c r="A24" s="369"/>
      <c r="B24" s="377">
        <v>1713000540</v>
      </c>
      <c r="C24" s="367">
        <v>540</v>
      </c>
      <c r="D24" s="367">
        <v>713000</v>
      </c>
      <c r="E24" s="367">
        <v>1</v>
      </c>
      <c r="F24" s="367" t="s">
        <v>279</v>
      </c>
      <c r="G24" s="368">
        <v>12000</v>
      </c>
      <c r="H24" s="368">
        <v>12000</v>
      </c>
      <c r="I24" s="362"/>
    </row>
    <row r="25" spans="1:9">
      <c r="A25" s="369"/>
      <c r="B25" s="377">
        <v>1713000750</v>
      </c>
      <c r="C25" s="367">
        <v>750</v>
      </c>
      <c r="D25" s="367">
        <v>713000</v>
      </c>
      <c r="E25" s="367">
        <v>1</v>
      </c>
      <c r="F25" s="367" t="s">
        <v>395</v>
      </c>
      <c r="G25" s="368">
        <v>200000</v>
      </c>
      <c r="H25" s="368">
        <v>400000</v>
      </c>
      <c r="I25" s="362"/>
    </row>
    <row r="26" spans="1:9">
      <c r="A26" s="369"/>
      <c r="B26" s="377">
        <v>1714200430</v>
      </c>
      <c r="C26" s="367">
        <v>430</v>
      </c>
      <c r="D26" s="367">
        <v>714200</v>
      </c>
      <c r="E26" s="367">
        <v>1</v>
      </c>
      <c r="F26" s="367" t="s">
        <v>311</v>
      </c>
      <c r="G26" s="368">
        <v>5000</v>
      </c>
      <c r="H26" s="368">
        <v>5000</v>
      </c>
      <c r="I26" s="362"/>
    </row>
    <row r="27" spans="1:9">
      <c r="A27" s="369"/>
      <c r="B27" s="377">
        <v>1714200530</v>
      </c>
      <c r="C27" s="367">
        <v>530</v>
      </c>
      <c r="D27" s="367">
        <v>714200</v>
      </c>
      <c r="E27" s="367">
        <v>1</v>
      </c>
      <c r="F27" s="367" t="s">
        <v>277</v>
      </c>
      <c r="G27" s="368">
        <v>200000</v>
      </c>
      <c r="H27" s="368">
        <v>150000</v>
      </c>
      <c r="I27" s="362"/>
    </row>
    <row r="28" spans="1:9">
      <c r="A28" s="369"/>
      <c r="B28" s="377">
        <v>1714200540</v>
      </c>
      <c r="C28" s="367">
        <v>540</v>
      </c>
      <c r="D28" s="367">
        <v>714200</v>
      </c>
      <c r="E28" s="367">
        <v>1</v>
      </c>
      <c r="F28" s="367" t="s">
        <v>279</v>
      </c>
      <c r="G28" s="368">
        <v>3000</v>
      </c>
      <c r="H28" s="368">
        <v>3000</v>
      </c>
      <c r="I28" s="362"/>
    </row>
    <row r="29" spans="1:9">
      <c r="A29" s="369"/>
      <c r="B29" s="377">
        <v>1714200720</v>
      </c>
      <c r="C29" s="367">
        <v>720</v>
      </c>
      <c r="D29" s="367">
        <v>714200</v>
      </c>
      <c r="E29" s="367">
        <v>1</v>
      </c>
      <c r="F29" s="367" t="s">
        <v>400</v>
      </c>
      <c r="G29" s="368">
        <v>30000</v>
      </c>
      <c r="H29" s="368">
        <v>30000</v>
      </c>
      <c r="I29" s="362"/>
    </row>
    <row r="30" spans="1:9" s="323" customFormat="1">
      <c r="A30" s="324"/>
      <c r="B30" s="325">
        <v>1714200750</v>
      </c>
      <c r="C30" s="321">
        <v>750</v>
      </c>
      <c r="D30" s="321">
        <v>714200</v>
      </c>
      <c r="E30" s="321">
        <v>1</v>
      </c>
      <c r="F30" s="321" t="s">
        <v>288</v>
      </c>
      <c r="G30" s="322">
        <v>150000</v>
      </c>
      <c r="H30" s="322">
        <v>250000</v>
      </c>
    </row>
    <row r="31" spans="1:9">
      <c r="A31" s="369"/>
      <c r="B31" s="377">
        <v>1715200751</v>
      </c>
      <c r="C31" s="367">
        <v>751</v>
      </c>
      <c r="D31" s="367">
        <v>715200</v>
      </c>
      <c r="E31" s="367">
        <v>1</v>
      </c>
      <c r="F31" s="367" t="s">
        <v>403</v>
      </c>
      <c r="G31" s="368">
        <v>390000</v>
      </c>
      <c r="H31" s="368">
        <v>440000</v>
      </c>
      <c r="I31" s="362"/>
    </row>
    <row r="32" spans="1:9">
      <c r="A32" s="369"/>
      <c r="B32" s="377">
        <v>1742000530</v>
      </c>
      <c r="C32" s="367">
        <v>530</v>
      </c>
      <c r="D32" s="367">
        <v>742000</v>
      </c>
      <c r="E32" s="367">
        <v>1</v>
      </c>
      <c r="F32" s="367" t="s">
        <v>277</v>
      </c>
      <c r="G32" s="368">
        <v>170000</v>
      </c>
      <c r="H32" s="368">
        <v>150000</v>
      </c>
      <c r="I32" s="362"/>
    </row>
    <row r="33" spans="1:9">
      <c r="A33" s="369"/>
      <c r="B33" s="377">
        <v>1742000540</v>
      </c>
      <c r="C33" s="367">
        <v>540</v>
      </c>
      <c r="D33" s="367">
        <v>742000</v>
      </c>
      <c r="E33" s="367">
        <v>1</v>
      </c>
      <c r="F33" s="367" t="s">
        <v>279</v>
      </c>
      <c r="G33" s="368">
        <v>2000</v>
      </c>
      <c r="H33" s="368">
        <v>2000</v>
      </c>
      <c r="I33" s="362"/>
    </row>
    <row r="34" spans="1:9">
      <c r="A34" s="369"/>
      <c r="B34" s="377">
        <v>1742000750</v>
      </c>
      <c r="C34" s="367">
        <v>750</v>
      </c>
      <c r="D34" s="367">
        <v>742000</v>
      </c>
      <c r="E34" s="367">
        <v>1</v>
      </c>
      <c r="F34" s="367" t="s">
        <v>288</v>
      </c>
      <c r="G34" s="368">
        <v>500000</v>
      </c>
      <c r="H34" s="368">
        <v>600000</v>
      </c>
      <c r="I34" s="362"/>
    </row>
    <row r="35" spans="1:9">
      <c r="A35" s="369"/>
      <c r="B35" s="377">
        <v>1743000530</v>
      </c>
      <c r="C35" s="367">
        <v>530</v>
      </c>
      <c r="D35" s="367">
        <v>743000</v>
      </c>
      <c r="E35" s="367">
        <v>1</v>
      </c>
      <c r="F35" s="367" t="s">
        <v>277</v>
      </c>
      <c r="G35" s="368">
        <v>360000</v>
      </c>
      <c r="H35" s="368">
        <v>320000</v>
      </c>
      <c r="I35" s="362"/>
    </row>
    <row r="36" spans="1:9">
      <c r="A36" s="369"/>
      <c r="B36" s="377">
        <v>1743000540</v>
      </c>
      <c r="C36" s="367">
        <v>540</v>
      </c>
      <c r="D36" s="367">
        <v>743000</v>
      </c>
      <c r="E36" s="367">
        <v>1</v>
      </c>
      <c r="F36" s="367" t="s">
        <v>279</v>
      </c>
      <c r="G36" s="368">
        <v>5000</v>
      </c>
      <c r="H36" s="368">
        <v>5000</v>
      </c>
      <c r="I36" s="362"/>
    </row>
    <row r="37" spans="1:9">
      <c r="A37" s="369"/>
      <c r="B37" s="377">
        <v>1743000720</v>
      </c>
      <c r="C37" s="367">
        <v>720</v>
      </c>
      <c r="D37" s="367">
        <v>743000</v>
      </c>
      <c r="E37" s="367">
        <v>1</v>
      </c>
      <c r="F37" s="367" t="s">
        <v>400</v>
      </c>
      <c r="G37" s="368">
        <v>15000</v>
      </c>
      <c r="H37" s="368">
        <v>15000</v>
      </c>
      <c r="I37" s="362"/>
    </row>
    <row r="38" spans="1:9">
      <c r="A38" s="369"/>
      <c r="B38" s="377">
        <v>1743000740</v>
      </c>
      <c r="C38" s="367">
        <v>740</v>
      </c>
      <c r="D38" s="367">
        <v>743000</v>
      </c>
      <c r="E38" s="367">
        <v>1</v>
      </c>
      <c r="F38" s="367" t="s">
        <v>451</v>
      </c>
      <c r="G38" s="368">
        <v>55000</v>
      </c>
      <c r="H38" s="368">
        <v>55000</v>
      </c>
      <c r="I38" s="362"/>
    </row>
    <row r="39" spans="1:9" s="320" customFormat="1">
      <c r="A39" s="369"/>
      <c r="B39" s="377">
        <v>1743000780</v>
      </c>
      <c r="C39" s="367">
        <v>780</v>
      </c>
      <c r="D39" s="367">
        <v>743000</v>
      </c>
      <c r="E39" s="367">
        <v>1</v>
      </c>
      <c r="F39" s="367" t="s">
        <v>454</v>
      </c>
      <c r="G39" s="368">
        <v>75000</v>
      </c>
      <c r="H39" s="368">
        <v>75000</v>
      </c>
    </row>
    <row r="40" spans="1:9">
      <c r="A40" s="319"/>
      <c r="B40" s="318">
        <v>1746000530</v>
      </c>
      <c r="C40" s="327">
        <v>530</v>
      </c>
      <c r="D40" s="327">
        <v>746000</v>
      </c>
      <c r="E40" s="327">
        <v>1</v>
      </c>
      <c r="F40" s="327" t="s">
        <v>277</v>
      </c>
      <c r="G40" s="326">
        <v>100000</v>
      </c>
      <c r="H40" s="326">
        <v>100000</v>
      </c>
      <c r="I40" s="362"/>
    </row>
    <row r="41" spans="1:9">
      <c r="A41" s="369"/>
      <c r="B41" s="377">
        <v>1746000540</v>
      </c>
      <c r="C41" s="367">
        <v>540</v>
      </c>
      <c r="D41" s="367">
        <v>746000</v>
      </c>
      <c r="E41" s="367">
        <v>1</v>
      </c>
      <c r="F41" s="367" t="s">
        <v>279</v>
      </c>
      <c r="G41" s="368">
        <v>7000</v>
      </c>
      <c r="H41" s="368">
        <v>7000</v>
      </c>
      <c r="I41" s="362"/>
    </row>
    <row r="42" spans="1:9">
      <c r="A42" s="369"/>
      <c r="B42" s="377">
        <v>1746000750</v>
      </c>
      <c r="C42" s="367">
        <v>750</v>
      </c>
      <c r="D42" s="367">
        <v>746000</v>
      </c>
      <c r="E42" s="367">
        <v>1</v>
      </c>
      <c r="F42" s="367" t="s">
        <v>288</v>
      </c>
      <c r="G42" s="368">
        <v>6543840</v>
      </c>
      <c r="H42" s="368">
        <v>8000000</v>
      </c>
      <c r="I42" s="362"/>
    </row>
    <row r="43" spans="1:9">
      <c r="A43" s="369"/>
      <c r="B43" s="377">
        <v>1746000751</v>
      </c>
      <c r="C43" s="367">
        <v>751</v>
      </c>
      <c r="D43" s="367">
        <v>746000</v>
      </c>
      <c r="E43" s="367">
        <v>1</v>
      </c>
      <c r="F43" s="367" t="s">
        <v>464</v>
      </c>
      <c r="G43" s="368">
        <v>500000</v>
      </c>
      <c r="H43" s="368">
        <v>800000</v>
      </c>
      <c r="I43" s="362"/>
    </row>
    <row r="44" spans="1:9">
      <c r="A44" s="369"/>
      <c r="B44" s="377">
        <v>1746000752</v>
      </c>
      <c r="C44" s="367">
        <v>752</v>
      </c>
      <c r="D44" s="367">
        <v>746000</v>
      </c>
      <c r="E44" s="367">
        <v>1</v>
      </c>
      <c r="F44" s="367" t="s">
        <v>465</v>
      </c>
      <c r="G44" s="368">
        <v>700000</v>
      </c>
      <c r="H44" s="368">
        <v>800000</v>
      </c>
      <c r="I44" s="362"/>
    </row>
    <row r="45" spans="1:9">
      <c r="A45" s="369"/>
      <c r="B45" s="377">
        <v>1746000753</v>
      </c>
      <c r="C45" s="367">
        <v>753</v>
      </c>
      <c r="D45" s="367">
        <v>746000</v>
      </c>
      <c r="E45" s="367">
        <v>1</v>
      </c>
      <c r="F45" s="367" t="s">
        <v>467</v>
      </c>
      <c r="G45" s="368">
        <v>390000</v>
      </c>
      <c r="H45" s="368">
        <v>440000</v>
      </c>
      <c r="I45" s="362"/>
    </row>
    <row r="46" spans="1:9">
      <c r="A46" s="369"/>
      <c r="B46" s="377">
        <v>1746000754</v>
      </c>
      <c r="C46" s="367">
        <v>754</v>
      </c>
      <c r="D46" s="367">
        <v>746000</v>
      </c>
      <c r="E46" s="367">
        <v>1</v>
      </c>
      <c r="F46" s="367" t="s">
        <v>468</v>
      </c>
      <c r="G46" s="368">
        <v>391000</v>
      </c>
      <c r="H46" s="368">
        <v>391000</v>
      </c>
      <c r="I46" s="362"/>
    </row>
    <row r="47" spans="1:9">
      <c r="A47" s="369"/>
      <c r="B47" s="377">
        <v>1746000755</v>
      </c>
      <c r="C47" s="367">
        <v>755</v>
      </c>
      <c r="D47" s="367">
        <v>746000</v>
      </c>
      <c r="E47" s="367">
        <v>1</v>
      </c>
      <c r="F47" s="367" t="s">
        <v>469</v>
      </c>
      <c r="G47" s="368">
        <v>600000</v>
      </c>
      <c r="H47" s="368">
        <v>720000</v>
      </c>
      <c r="I47" s="362" t="s">
        <v>2547</v>
      </c>
    </row>
    <row r="48" spans="1:9">
      <c r="A48" s="369"/>
      <c r="B48" s="377">
        <v>1747000751</v>
      </c>
      <c r="C48" s="367">
        <v>751</v>
      </c>
      <c r="D48" s="367">
        <v>747000</v>
      </c>
      <c r="E48" s="367">
        <v>1</v>
      </c>
      <c r="F48" s="367" t="s">
        <v>2369</v>
      </c>
      <c r="G48" s="368">
        <v>700000</v>
      </c>
      <c r="H48" s="368">
        <v>800000</v>
      </c>
      <c r="I48" s="362"/>
    </row>
    <row r="49" spans="1:9">
      <c r="A49" s="369"/>
      <c r="B49" s="377">
        <v>1772000530</v>
      </c>
      <c r="C49" s="367">
        <v>530</v>
      </c>
      <c r="D49" s="367">
        <v>772000</v>
      </c>
      <c r="E49" s="367">
        <v>1</v>
      </c>
      <c r="F49" s="367" t="s">
        <v>277</v>
      </c>
      <c r="G49" s="368">
        <v>160000</v>
      </c>
      <c r="H49" s="368">
        <v>135000</v>
      </c>
      <c r="I49" s="362"/>
    </row>
    <row r="50" spans="1:9">
      <c r="A50" s="369"/>
      <c r="B50" s="377">
        <v>1791000530</v>
      </c>
      <c r="C50" s="367">
        <v>530</v>
      </c>
      <c r="D50" s="367">
        <v>791000</v>
      </c>
      <c r="E50" s="367">
        <v>1</v>
      </c>
      <c r="F50" s="367" t="s">
        <v>277</v>
      </c>
      <c r="G50" s="368">
        <v>90000</v>
      </c>
      <c r="H50" s="368">
        <v>80000</v>
      </c>
      <c r="I50" s="362"/>
    </row>
    <row r="51" spans="1:9">
      <c r="A51" s="369"/>
      <c r="B51" s="377">
        <v>1791000540</v>
      </c>
      <c r="C51" s="367">
        <v>540</v>
      </c>
      <c r="D51" s="367">
        <v>791000</v>
      </c>
      <c r="E51" s="367">
        <v>1</v>
      </c>
      <c r="F51" s="367" t="s">
        <v>279</v>
      </c>
      <c r="G51" s="368">
        <v>4000</v>
      </c>
      <c r="H51" s="368">
        <v>4000</v>
      </c>
      <c r="I51" s="362"/>
    </row>
    <row r="52" spans="1:9">
      <c r="A52" s="369"/>
      <c r="B52" s="377">
        <v>1791000780</v>
      </c>
      <c r="C52" s="367">
        <v>780</v>
      </c>
      <c r="D52" s="367">
        <v>791000</v>
      </c>
      <c r="E52" s="367">
        <v>1</v>
      </c>
      <c r="F52" s="367" t="s">
        <v>280</v>
      </c>
      <c r="G52" s="368">
        <v>2000</v>
      </c>
      <c r="H52" s="368">
        <v>3000</v>
      </c>
      <c r="I52" s="362"/>
    </row>
    <row r="53" spans="1:9">
      <c r="A53" s="369" t="s">
        <v>842</v>
      </c>
      <c r="B53" s="377">
        <v>1937000430</v>
      </c>
      <c r="C53" s="367">
        <v>430</v>
      </c>
      <c r="D53" s="367">
        <v>937000</v>
      </c>
      <c r="E53" s="367">
        <v>1</v>
      </c>
      <c r="F53" s="367" t="s">
        <v>311</v>
      </c>
      <c r="G53" s="368">
        <v>30000</v>
      </c>
      <c r="H53" s="368">
        <v>30000</v>
      </c>
      <c r="I53" s="362"/>
    </row>
    <row r="54" spans="1:9">
      <c r="A54" s="369" t="s">
        <v>4</v>
      </c>
      <c r="B54" s="377">
        <v>1937000750</v>
      </c>
      <c r="C54" s="367">
        <v>750</v>
      </c>
      <c r="D54" s="367">
        <v>937000</v>
      </c>
      <c r="E54" s="367">
        <v>1</v>
      </c>
      <c r="F54" s="367" t="s">
        <v>844</v>
      </c>
      <c r="G54" s="368">
        <v>16000</v>
      </c>
      <c r="H54" s="368">
        <v>16000</v>
      </c>
      <c r="I54" s="362"/>
    </row>
    <row r="55" spans="1:9">
      <c r="A55" s="369"/>
      <c r="B55" s="377">
        <v>1941000530</v>
      </c>
      <c r="C55" s="367">
        <v>530</v>
      </c>
      <c r="D55" s="367">
        <v>941000</v>
      </c>
      <c r="E55" s="367">
        <v>1</v>
      </c>
      <c r="F55" s="367" t="s">
        <v>277</v>
      </c>
      <c r="G55" s="368">
        <v>65000</v>
      </c>
      <c r="H55" s="368">
        <v>65000</v>
      </c>
      <c r="I55" s="362"/>
    </row>
    <row r="56" spans="1:9">
      <c r="A56" s="369"/>
      <c r="B56" s="377">
        <v>1941000780</v>
      </c>
      <c r="C56" s="367">
        <v>780</v>
      </c>
      <c r="D56" s="367">
        <v>941000</v>
      </c>
      <c r="E56" s="367">
        <v>1</v>
      </c>
      <c r="F56" s="367" t="s">
        <v>280</v>
      </c>
      <c r="G56" s="368">
        <v>200000</v>
      </c>
      <c r="H56" s="368">
        <v>250000</v>
      </c>
      <c r="I56" s="362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rightToLeft="1" workbookViewId="0">
      <selection activeCell="E7" sqref="E7"/>
    </sheetView>
  </sheetViews>
  <sheetFormatPr defaultColWidth="9" defaultRowHeight="14.25"/>
  <cols>
    <col min="1" max="1" width="14.5" style="233" customWidth="1"/>
    <col min="2" max="2" width="10.875" style="233" bestFit="1" customWidth="1"/>
    <col min="3" max="4" width="9" style="233"/>
    <col min="5" max="5" width="29.5" style="233" bestFit="1" customWidth="1"/>
    <col min="6" max="6" width="17" style="233" customWidth="1"/>
    <col min="7" max="7" width="15.625" style="233" bestFit="1" customWidth="1"/>
    <col min="8" max="8" width="14.875" style="233" bestFit="1" customWidth="1"/>
    <col min="9" max="9" width="33.75" style="233" bestFit="1" customWidth="1"/>
    <col min="10" max="10" width="9" style="233"/>
    <col min="11" max="11" width="79" style="233" bestFit="1" customWidth="1"/>
    <col min="12" max="16384" width="9" style="233"/>
  </cols>
  <sheetData>
    <row r="1" spans="1:10" ht="51.75" customHeight="1">
      <c r="A1" s="269"/>
      <c r="B1" s="269" t="s">
        <v>2</v>
      </c>
      <c r="C1" s="269" t="s">
        <v>3</v>
      </c>
      <c r="D1" s="269"/>
      <c r="E1" s="270" t="s">
        <v>4</v>
      </c>
      <c r="F1" s="306" t="s">
        <v>2185</v>
      </c>
      <c r="G1" s="306" t="s">
        <v>2184</v>
      </c>
      <c r="H1" s="304" t="s">
        <v>2522</v>
      </c>
      <c r="I1" s="305" t="s">
        <v>5</v>
      </c>
      <c r="J1" s="304" t="s">
        <v>2519</v>
      </c>
    </row>
    <row r="2" spans="1:10" ht="28.5" customHeight="1">
      <c r="A2" s="296">
        <v>1321000920</v>
      </c>
      <c r="B2" s="295">
        <v>920</v>
      </c>
      <c r="C2" s="295">
        <v>321000</v>
      </c>
      <c r="D2" s="295">
        <v>1</v>
      </c>
      <c r="E2" s="295" t="s">
        <v>99</v>
      </c>
      <c r="F2" s="293">
        <v>1569215</v>
      </c>
      <c r="G2" s="294">
        <v>1130000</v>
      </c>
      <c r="H2" s="293">
        <v>977254</v>
      </c>
      <c r="I2" s="297" t="s">
        <v>2355</v>
      </c>
    </row>
    <row r="3" spans="1:10" ht="28.5" customHeight="1">
      <c r="A3" s="296">
        <v>1322000920</v>
      </c>
      <c r="B3" s="295">
        <v>920</v>
      </c>
      <c r="C3" s="295">
        <v>322000</v>
      </c>
      <c r="D3" s="295">
        <v>1</v>
      </c>
      <c r="E3" s="295" t="s">
        <v>1528</v>
      </c>
      <c r="F3" s="293">
        <v>1031268</v>
      </c>
      <c r="G3" s="294">
        <v>1100000</v>
      </c>
      <c r="H3" s="298"/>
      <c r="I3" s="292" t="s">
        <v>1529</v>
      </c>
      <c r="J3" s="285" t="s">
        <v>2542</v>
      </c>
    </row>
    <row r="4" spans="1:10" ht="28.5" customHeight="1">
      <c r="A4" s="296">
        <v>1322000922</v>
      </c>
      <c r="B4" s="295">
        <v>922</v>
      </c>
      <c r="C4" s="295">
        <v>322000</v>
      </c>
      <c r="D4" s="295">
        <v>1</v>
      </c>
      <c r="E4" s="295" t="s">
        <v>102</v>
      </c>
      <c r="F4" s="293">
        <v>455000</v>
      </c>
      <c r="G4" s="294">
        <v>455000</v>
      </c>
      <c r="H4" s="293">
        <v>455000</v>
      </c>
      <c r="I4" s="292"/>
    </row>
    <row r="5" spans="1:10" ht="28.5" customHeight="1">
      <c r="A5" s="296">
        <v>1323000420</v>
      </c>
      <c r="B5" s="295">
        <v>420</v>
      </c>
      <c r="C5" s="295">
        <v>323000</v>
      </c>
      <c r="D5" s="295">
        <v>1</v>
      </c>
      <c r="E5" s="295" t="s">
        <v>268</v>
      </c>
      <c r="F5" s="293">
        <v>10000</v>
      </c>
      <c r="G5" s="294">
        <v>11000</v>
      </c>
      <c r="H5" s="293">
        <v>10000</v>
      </c>
      <c r="I5" s="292"/>
    </row>
    <row r="6" spans="1:10" ht="28.5" customHeight="1">
      <c r="A6" s="296">
        <v>1325200410</v>
      </c>
      <c r="B6" s="295">
        <v>410</v>
      </c>
      <c r="C6" s="295">
        <v>325200</v>
      </c>
      <c r="D6" s="295">
        <v>1</v>
      </c>
      <c r="E6" s="303" t="s">
        <v>1523</v>
      </c>
      <c r="F6" s="293">
        <v>632000</v>
      </c>
      <c r="G6" s="294">
        <v>201000</v>
      </c>
      <c r="H6" s="293">
        <v>632000</v>
      </c>
      <c r="I6" s="292"/>
    </row>
    <row r="7" spans="1:10" ht="28.5" customHeight="1">
      <c r="A7" s="296">
        <v>1325200420</v>
      </c>
      <c r="B7" s="295">
        <v>420</v>
      </c>
      <c r="C7" s="295">
        <v>325200</v>
      </c>
      <c r="D7" s="295">
        <v>1</v>
      </c>
      <c r="E7" s="302" t="s">
        <v>103</v>
      </c>
      <c r="F7" s="293">
        <v>1770000</v>
      </c>
      <c r="G7" s="294">
        <v>1432000</v>
      </c>
      <c r="H7" s="298"/>
      <c r="I7" s="292" t="s">
        <v>4</v>
      </c>
      <c r="J7" s="285" t="s">
        <v>2542</v>
      </c>
    </row>
    <row r="8" spans="1:10" ht="28.5" customHeight="1">
      <c r="A8" s="296">
        <v>1325200920</v>
      </c>
      <c r="B8" s="295">
        <v>920</v>
      </c>
      <c r="C8" s="295">
        <v>325200</v>
      </c>
      <c r="D8" s="295">
        <v>1</v>
      </c>
      <c r="E8" s="302" t="s">
        <v>1522</v>
      </c>
      <c r="F8" s="293">
        <v>404000</v>
      </c>
      <c r="G8" s="294">
        <v>361000</v>
      </c>
      <c r="H8" s="298"/>
      <c r="I8" s="292"/>
      <c r="J8" s="285" t="s">
        <v>2542</v>
      </c>
    </row>
    <row r="9" spans="1:10" ht="28.5" customHeight="1">
      <c r="A9" s="296">
        <v>1326000920</v>
      </c>
      <c r="B9" s="295">
        <v>920</v>
      </c>
      <c r="C9" s="295">
        <v>326000</v>
      </c>
      <c r="D9" s="295">
        <v>1</v>
      </c>
      <c r="E9" s="301" t="s">
        <v>2520</v>
      </c>
      <c r="F9" s="300">
        <v>218732</v>
      </c>
      <c r="G9" s="294">
        <v>361000</v>
      </c>
      <c r="H9" s="293">
        <v>0</v>
      </c>
      <c r="I9" s="292"/>
      <c r="J9" s="285" t="s">
        <v>2541</v>
      </c>
    </row>
    <row r="10" spans="1:10" ht="28.5" customHeight="1">
      <c r="A10" s="296">
        <v>1327000420</v>
      </c>
      <c r="B10" s="295">
        <v>420</v>
      </c>
      <c r="C10" s="295">
        <v>327000</v>
      </c>
      <c r="D10" s="295">
        <v>1</v>
      </c>
      <c r="E10" s="295" t="s">
        <v>104</v>
      </c>
      <c r="F10" s="299">
        <v>20000</v>
      </c>
      <c r="G10" s="294">
        <v>26000</v>
      </c>
      <c r="H10" s="299">
        <v>20000</v>
      </c>
      <c r="I10" s="292"/>
    </row>
    <row r="11" spans="1:10" ht="28.5" customHeight="1">
      <c r="A11" s="296">
        <v>1327000920</v>
      </c>
      <c r="B11" s="295">
        <v>920</v>
      </c>
      <c r="C11" s="295">
        <v>327000</v>
      </c>
      <c r="D11" s="295">
        <v>1</v>
      </c>
      <c r="E11" s="295" t="s">
        <v>105</v>
      </c>
      <c r="F11" s="293">
        <v>300000</v>
      </c>
      <c r="G11" s="294">
        <v>300000</v>
      </c>
      <c r="H11" s="293">
        <v>300000</v>
      </c>
      <c r="I11" s="292"/>
    </row>
    <row r="12" spans="1:10" ht="28.5" customHeight="1">
      <c r="A12" s="296">
        <v>1328000920</v>
      </c>
      <c r="B12" s="295">
        <v>920</v>
      </c>
      <c r="C12" s="295">
        <v>328000</v>
      </c>
      <c r="D12" s="295">
        <v>1</v>
      </c>
      <c r="E12" s="295" t="s">
        <v>106</v>
      </c>
      <c r="F12" s="293">
        <v>219000</v>
      </c>
      <c r="G12" s="294">
        <v>251000</v>
      </c>
      <c r="H12" s="298"/>
      <c r="I12" s="292" t="s">
        <v>4</v>
      </c>
      <c r="J12" s="285" t="s">
        <v>2540</v>
      </c>
    </row>
    <row r="13" spans="1:10" ht="28.5" customHeight="1">
      <c r="A13" s="296">
        <v>1328000960</v>
      </c>
      <c r="B13" s="295">
        <v>960</v>
      </c>
      <c r="C13" s="295">
        <v>328000</v>
      </c>
      <c r="D13" s="295">
        <v>1</v>
      </c>
      <c r="E13" s="295" t="s">
        <v>863</v>
      </c>
      <c r="F13" s="293">
        <v>35000</v>
      </c>
      <c r="G13" s="294">
        <v>35000</v>
      </c>
      <c r="H13" s="298"/>
      <c r="I13" s="292"/>
      <c r="J13" s="285" t="s">
        <v>2540</v>
      </c>
    </row>
    <row r="14" spans="1:10" ht="28.5" customHeight="1">
      <c r="A14" s="296">
        <v>1329300420</v>
      </c>
      <c r="B14" s="295">
        <v>420</v>
      </c>
      <c r="C14" s="295">
        <v>329300</v>
      </c>
      <c r="D14" s="295">
        <v>1</v>
      </c>
      <c r="E14" s="295" t="s">
        <v>269</v>
      </c>
      <c r="F14" s="293">
        <v>300000</v>
      </c>
      <c r="G14" s="294">
        <v>300000</v>
      </c>
      <c r="H14" s="293">
        <v>300000</v>
      </c>
      <c r="I14" s="292"/>
    </row>
    <row r="15" spans="1:10" ht="28.5" customHeight="1">
      <c r="A15" s="296">
        <v>1329300920</v>
      </c>
      <c r="B15" s="295">
        <v>920</v>
      </c>
      <c r="C15" s="295">
        <v>329300</v>
      </c>
      <c r="D15" s="295">
        <v>1</v>
      </c>
      <c r="E15" s="295" t="s">
        <v>107</v>
      </c>
      <c r="F15" s="293">
        <v>162000</v>
      </c>
      <c r="G15" s="294">
        <v>352000</v>
      </c>
      <c r="H15" s="293">
        <v>162000</v>
      </c>
      <c r="I15" s="292"/>
    </row>
    <row r="16" spans="1:10" ht="28.5" customHeight="1">
      <c r="A16" s="296">
        <v>1360000440</v>
      </c>
      <c r="B16" s="295">
        <v>440</v>
      </c>
      <c r="C16" s="295">
        <v>360000</v>
      </c>
      <c r="D16" s="295">
        <v>1</v>
      </c>
      <c r="E16" s="295" t="s">
        <v>226</v>
      </c>
      <c r="F16" s="293">
        <v>40000</v>
      </c>
      <c r="G16" s="294">
        <v>40000</v>
      </c>
      <c r="H16" s="293">
        <v>40000</v>
      </c>
      <c r="I16" s="297" t="s">
        <v>2180</v>
      </c>
    </row>
    <row r="17" spans="1:11" ht="28.5" customHeight="1">
      <c r="A17" s="296">
        <v>1360000950</v>
      </c>
      <c r="B17" s="295">
        <v>950</v>
      </c>
      <c r="C17" s="295">
        <v>360000</v>
      </c>
      <c r="D17" s="295">
        <v>1</v>
      </c>
      <c r="E17" s="295" t="s">
        <v>227</v>
      </c>
      <c r="F17" s="293">
        <v>661000</v>
      </c>
      <c r="G17" s="294">
        <v>661000</v>
      </c>
      <c r="H17" s="293">
        <v>661000</v>
      </c>
      <c r="I17" s="292"/>
    </row>
    <row r="20" spans="1:11">
      <c r="H20" s="26">
        <f>SUM(H2:H17)</f>
        <v>3557254</v>
      </c>
    </row>
    <row r="31" spans="1:11" ht="25.5" customHeight="1">
      <c r="A31" s="268" t="s">
        <v>1</v>
      </c>
      <c r="B31" s="275"/>
      <c r="C31" s="269" t="s">
        <v>2</v>
      </c>
      <c r="D31" s="269" t="s">
        <v>4</v>
      </c>
      <c r="E31" s="269"/>
      <c r="F31" s="270" t="s">
        <v>271</v>
      </c>
      <c r="G31" s="291" t="s">
        <v>2185</v>
      </c>
      <c r="H31" s="291" t="s">
        <v>2184</v>
      </c>
      <c r="I31" s="289" t="s">
        <v>2522</v>
      </c>
      <c r="J31" s="290" t="s">
        <v>5</v>
      </c>
      <c r="K31" s="289" t="s">
        <v>2519</v>
      </c>
    </row>
    <row r="32" spans="1:11" s="311" customFormat="1" ht="25.5" customHeight="1">
      <c r="A32" s="307"/>
      <c r="B32" s="308">
        <v>1800000750</v>
      </c>
      <c r="C32" s="287">
        <v>750</v>
      </c>
      <c r="D32" s="287">
        <v>800000</v>
      </c>
      <c r="E32" s="287">
        <v>1</v>
      </c>
      <c r="F32" s="287" t="s">
        <v>530</v>
      </c>
      <c r="G32" s="286">
        <v>132000</v>
      </c>
      <c r="H32" s="309">
        <v>124000</v>
      </c>
      <c r="I32" s="286">
        <v>150000</v>
      </c>
      <c r="J32" s="310" t="s">
        <v>540</v>
      </c>
      <c r="K32" s="311" t="s">
        <v>2539</v>
      </c>
    </row>
    <row r="33" spans="1:11" s="311" customFormat="1" ht="25.5" customHeight="1">
      <c r="A33" s="307"/>
      <c r="B33" s="308">
        <v>1800000751</v>
      </c>
      <c r="C33" s="287">
        <v>751</v>
      </c>
      <c r="D33" s="287">
        <v>800000</v>
      </c>
      <c r="E33" s="287">
        <v>1</v>
      </c>
      <c r="F33" s="287" t="s">
        <v>541</v>
      </c>
      <c r="G33" s="286">
        <v>922000</v>
      </c>
      <c r="H33" s="309">
        <v>809000</v>
      </c>
      <c r="I33" s="286">
        <v>46852</v>
      </c>
      <c r="J33" s="310" t="s">
        <v>1506</v>
      </c>
      <c r="K33" s="311" t="s">
        <v>2538</v>
      </c>
    </row>
    <row r="34" spans="1:11" s="311" customFormat="1" ht="25.5" customHeight="1">
      <c r="A34" s="307"/>
      <c r="B34" s="308">
        <v>1800000752</v>
      </c>
      <c r="C34" s="287">
        <v>752</v>
      </c>
      <c r="D34" s="287">
        <v>800000</v>
      </c>
      <c r="E34" s="287">
        <v>1</v>
      </c>
      <c r="F34" s="287" t="s">
        <v>542</v>
      </c>
      <c r="G34" s="286">
        <v>311215</v>
      </c>
      <c r="H34" s="309">
        <v>196000</v>
      </c>
      <c r="I34" s="286">
        <v>311215</v>
      </c>
      <c r="J34" s="310" t="s">
        <v>1507</v>
      </c>
      <c r="K34" s="311" t="s">
        <v>2538</v>
      </c>
    </row>
    <row r="35" spans="1:11" ht="25.5" customHeight="1">
      <c r="A35" s="284" t="s">
        <v>635</v>
      </c>
      <c r="B35" s="283">
        <v>1821400780</v>
      </c>
      <c r="C35" s="282">
        <v>780</v>
      </c>
      <c r="D35" s="282">
        <v>821400</v>
      </c>
      <c r="E35" s="282">
        <v>1</v>
      </c>
      <c r="F35" s="282" t="s">
        <v>636</v>
      </c>
      <c r="G35" s="280"/>
      <c r="H35" s="281">
        <v>555000</v>
      </c>
      <c r="I35" s="280">
        <v>555000</v>
      </c>
      <c r="J35" s="198" t="s">
        <v>637</v>
      </c>
    </row>
    <row r="36" spans="1:11" ht="25.5" customHeight="1">
      <c r="A36" s="284"/>
      <c r="B36" s="283">
        <v>1822000810</v>
      </c>
      <c r="C36" s="282">
        <v>810</v>
      </c>
      <c r="D36" s="282">
        <v>822000</v>
      </c>
      <c r="E36" s="282">
        <v>1</v>
      </c>
      <c r="F36" s="282" t="s">
        <v>638</v>
      </c>
      <c r="G36" s="280">
        <v>3250000</v>
      </c>
      <c r="H36" s="281">
        <v>3000000</v>
      </c>
      <c r="I36" s="280">
        <v>3250000</v>
      </c>
      <c r="J36" s="194" t="s">
        <v>2481</v>
      </c>
      <c r="K36" s="285" t="s">
        <v>2537</v>
      </c>
    </row>
    <row r="37" spans="1:11" ht="25.5" customHeight="1">
      <c r="A37" s="284"/>
      <c r="B37" s="283">
        <v>1822000814</v>
      </c>
      <c r="C37" s="282">
        <v>814</v>
      </c>
      <c r="D37" s="282">
        <v>822000</v>
      </c>
      <c r="E37" s="282">
        <v>1</v>
      </c>
      <c r="F37" s="282" t="s">
        <v>639</v>
      </c>
      <c r="G37" s="280">
        <v>800000</v>
      </c>
      <c r="H37" s="281">
        <v>800000</v>
      </c>
      <c r="I37" s="280">
        <v>800000</v>
      </c>
      <c r="J37" s="194" t="s">
        <v>640</v>
      </c>
    </row>
    <row r="38" spans="1:11" ht="25.5" customHeight="1">
      <c r="A38" s="284"/>
      <c r="B38" s="283">
        <v>1822000815</v>
      </c>
      <c r="C38" s="282">
        <v>815</v>
      </c>
      <c r="D38" s="282">
        <v>822000</v>
      </c>
      <c r="E38" s="282">
        <v>1</v>
      </c>
      <c r="F38" s="282" t="s">
        <v>641</v>
      </c>
      <c r="G38" s="280">
        <v>4144000</v>
      </c>
      <c r="H38" s="281">
        <v>4144000</v>
      </c>
      <c r="I38" s="280">
        <v>4144000</v>
      </c>
      <c r="J38" s="194" t="s">
        <v>1538</v>
      </c>
      <c r="K38" s="285" t="s">
        <v>2537</v>
      </c>
    </row>
    <row r="39" spans="1:11" ht="25.5" customHeight="1">
      <c r="A39" s="284"/>
      <c r="B39" s="283">
        <v>1822000816</v>
      </c>
      <c r="C39" s="282">
        <v>816</v>
      </c>
      <c r="D39" s="282">
        <v>822000</v>
      </c>
      <c r="E39" s="282">
        <v>1</v>
      </c>
      <c r="F39" s="282" t="s">
        <v>1537</v>
      </c>
      <c r="G39" s="280">
        <v>1056000</v>
      </c>
      <c r="H39" s="281">
        <v>1056000</v>
      </c>
      <c r="I39" s="280">
        <v>1056000</v>
      </c>
      <c r="J39" s="194" t="s">
        <v>2372</v>
      </c>
      <c r="K39" s="285" t="s">
        <v>2537</v>
      </c>
    </row>
    <row r="40" spans="1:11" ht="25.5" customHeight="1">
      <c r="A40" s="284"/>
      <c r="B40" s="283">
        <v>1823000750</v>
      </c>
      <c r="C40" s="282">
        <v>750</v>
      </c>
      <c r="D40" s="282">
        <v>823000</v>
      </c>
      <c r="E40" s="282">
        <v>1</v>
      </c>
      <c r="F40" s="282" t="s">
        <v>288</v>
      </c>
      <c r="G40" s="280">
        <v>65000</v>
      </c>
      <c r="H40" s="281">
        <v>76000</v>
      </c>
      <c r="I40" s="280">
        <v>35000</v>
      </c>
      <c r="J40" s="194" t="s">
        <v>645</v>
      </c>
      <c r="K40" s="285" t="s">
        <v>2536</v>
      </c>
    </row>
    <row r="41" spans="1:11" ht="25.5" customHeight="1">
      <c r="A41" s="284"/>
      <c r="B41" s="283">
        <v>1823000780</v>
      </c>
      <c r="C41" s="282">
        <v>780</v>
      </c>
      <c r="D41" s="282">
        <v>823000</v>
      </c>
      <c r="E41" s="282">
        <v>1</v>
      </c>
      <c r="F41" s="282" t="s">
        <v>280</v>
      </c>
      <c r="G41" s="280">
        <v>140000</v>
      </c>
      <c r="H41" s="281">
        <v>41000</v>
      </c>
      <c r="I41" s="280">
        <v>140000</v>
      </c>
      <c r="J41" s="235" t="s">
        <v>2503</v>
      </c>
    </row>
    <row r="42" spans="1:11" ht="25.5" customHeight="1">
      <c r="A42" s="284" t="s">
        <v>2373</v>
      </c>
      <c r="B42" s="283">
        <v>1824000810</v>
      </c>
      <c r="C42" s="282">
        <v>810</v>
      </c>
      <c r="D42" s="282">
        <v>824000</v>
      </c>
      <c r="E42" s="282">
        <v>1</v>
      </c>
      <c r="F42" s="282" t="s">
        <v>647</v>
      </c>
      <c r="G42" s="280">
        <v>2385000</v>
      </c>
      <c r="H42" s="281">
        <v>2485000</v>
      </c>
      <c r="I42" s="280">
        <v>2385000</v>
      </c>
      <c r="J42" s="194" t="s">
        <v>2482</v>
      </c>
      <c r="K42" s="285" t="s">
        <v>2535</v>
      </c>
    </row>
    <row r="43" spans="1:11" ht="25.5" customHeight="1">
      <c r="A43" s="284"/>
      <c r="B43" s="283">
        <v>1824000812</v>
      </c>
      <c r="C43" s="282">
        <v>812</v>
      </c>
      <c r="D43" s="282">
        <v>824000</v>
      </c>
      <c r="E43" s="282">
        <v>1</v>
      </c>
      <c r="F43" s="282" t="s">
        <v>648</v>
      </c>
      <c r="G43" s="280">
        <v>350000</v>
      </c>
      <c r="H43" s="281">
        <v>249000</v>
      </c>
      <c r="I43" s="280">
        <v>350000</v>
      </c>
      <c r="J43" s="194" t="s">
        <v>649</v>
      </c>
      <c r="K43" s="285" t="s">
        <v>2535</v>
      </c>
    </row>
    <row r="44" spans="1:11" ht="25.5" customHeight="1">
      <c r="A44" s="284"/>
      <c r="B44" s="283">
        <v>1825000530</v>
      </c>
      <c r="C44" s="282">
        <v>530</v>
      </c>
      <c r="D44" s="282">
        <v>825000</v>
      </c>
      <c r="E44" s="282">
        <v>1</v>
      </c>
      <c r="F44" s="282" t="s">
        <v>277</v>
      </c>
      <c r="G44" s="280">
        <v>55000</v>
      </c>
      <c r="H44" s="281">
        <v>51000</v>
      </c>
      <c r="I44" s="280">
        <v>55000</v>
      </c>
      <c r="J44" s="194" t="s">
        <v>287</v>
      </c>
      <c r="K44" s="285" t="s">
        <v>2534</v>
      </c>
    </row>
    <row r="45" spans="1:11" ht="25.5" customHeight="1">
      <c r="A45" s="284"/>
      <c r="B45" s="283">
        <v>1825000780</v>
      </c>
      <c r="C45" s="282">
        <v>780</v>
      </c>
      <c r="D45" s="282">
        <v>825000</v>
      </c>
      <c r="E45" s="282">
        <v>1</v>
      </c>
      <c r="F45" s="282" t="s">
        <v>280</v>
      </c>
      <c r="G45" s="280">
        <v>150000</v>
      </c>
      <c r="H45" s="281">
        <v>150000</v>
      </c>
      <c r="I45" s="280">
        <v>150000</v>
      </c>
      <c r="J45" s="194" t="s">
        <v>1517</v>
      </c>
    </row>
    <row r="46" spans="1:11" ht="25.5" customHeight="1">
      <c r="A46" s="284" t="s">
        <v>654</v>
      </c>
      <c r="B46" s="283">
        <v>1825200410</v>
      </c>
      <c r="C46" s="282">
        <v>410</v>
      </c>
      <c r="D46" s="282">
        <v>825200</v>
      </c>
      <c r="E46" s="282">
        <v>1</v>
      </c>
      <c r="F46" s="282" t="s">
        <v>304</v>
      </c>
      <c r="G46" s="280">
        <v>0</v>
      </c>
      <c r="H46" s="281">
        <v>80000</v>
      </c>
      <c r="I46" s="280">
        <v>84000</v>
      </c>
      <c r="J46" s="194" t="s">
        <v>1516</v>
      </c>
    </row>
    <row r="47" spans="1:11" ht="25.5" customHeight="1">
      <c r="A47" s="288"/>
      <c r="B47" s="283">
        <v>1825200750</v>
      </c>
      <c r="C47" s="282">
        <v>750</v>
      </c>
      <c r="D47" s="282">
        <v>825200</v>
      </c>
      <c r="E47" s="282">
        <v>1</v>
      </c>
      <c r="F47" s="282" t="s">
        <v>288</v>
      </c>
      <c r="G47" s="280">
        <v>2610000</v>
      </c>
      <c r="H47" s="281">
        <v>1924000</v>
      </c>
      <c r="I47" s="280">
        <v>3100000</v>
      </c>
      <c r="J47" s="194" t="s">
        <v>1518</v>
      </c>
    </row>
    <row r="48" spans="1:11" ht="25.5" customHeight="1">
      <c r="A48" s="284"/>
      <c r="B48" s="283">
        <v>1825200780</v>
      </c>
      <c r="C48" s="282">
        <v>780</v>
      </c>
      <c r="D48" s="282">
        <v>825200</v>
      </c>
      <c r="E48" s="282">
        <v>1</v>
      </c>
      <c r="F48" s="282" t="s">
        <v>2190</v>
      </c>
      <c r="G48" s="280">
        <v>310000</v>
      </c>
      <c r="H48" s="281">
        <v>164000</v>
      </c>
      <c r="I48" s="280">
        <v>310000</v>
      </c>
      <c r="J48" s="194" t="s">
        <v>2197</v>
      </c>
    </row>
    <row r="49" spans="1:11" ht="25.5" customHeight="1">
      <c r="A49" s="284"/>
      <c r="B49" s="283">
        <v>1825200781</v>
      </c>
      <c r="C49" s="282">
        <v>781</v>
      </c>
      <c r="D49" s="282">
        <v>825200</v>
      </c>
      <c r="E49" s="282">
        <v>1</v>
      </c>
      <c r="F49" s="282" t="s">
        <v>1519</v>
      </c>
      <c r="G49" s="280">
        <v>900000</v>
      </c>
      <c r="H49" s="281">
        <v>460000</v>
      </c>
      <c r="I49" s="280">
        <v>900000</v>
      </c>
      <c r="J49" s="194" t="s">
        <v>1520</v>
      </c>
    </row>
    <row r="50" spans="1:11" ht="25.5" customHeight="1">
      <c r="A50" s="284"/>
      <c r="B50" s="283">
        <v>1825200812</v>
      </c>
      <c r="C50" s="282">
        <v>812</v>
      </c>
      <c r="D50" s="282">
        <v>825200</v>
      </c>
      <c r="E50" s="282">
        <v>1</v>
      </c>
      <c r="F50" s="282" t="s">
        <v>655</v>
      </c>
      <c r="G50" s="280">
        <v>450000</v>
      </c>
      <c r="H50" s="281">
        <v>689000</v>
      </c>
      <c r="I50" s="280">
        <v>450000</v>
      </c>
      <c r="J50" s="194" t="s">
        <v>2198</v>
      </c>
      <c r="K50" s="285" t="s">
        <v>2533</v>
      </c>
    </row>
    <row r="51" spans="1:11" ht="25.5" customHeight="1">
      <c r="A51" s="284"/>
      <c r="B51" s="283">
        <v>1825200816</v>
      </c>
      <c r="C51" s="282">
        <v>816</v>
      </c>
      <c r="D51" s="282">
        <v>825200</v>
      </c>
      <c r="E51" s="282">
        <v>1</v>
      </c>
      <c r="F51" s="282" t="s">
        <v>657</v>
      </c>
      <c r="G51" s="280">
        <v>200000</v>
      </c>
      <c r="H51" s="281">
        <v>100000</v>
      </c>
      <c r="I51" s="280">
        <v>200000</v>
      </c>
      <c r="J51" s="194" t="s">
        <v>2199</v>
      </c>
      <c r="K51" s="285" t="s">
        <v>2533</v>
      </c>
    </row>
    <row r="52" spans="1:11" ht="25.5" customHeight="1">
      <c r="A52" s="284" t="s">
        <v>659</v>
      </c>
      <c r="B52" s="283">
        <v>1826000750</v>
      </c>
      <c r="C52" s="282">
        <v>750</v>
      </c>
      <c r="D52" s="282">
        <v>826000</v>
      </c>
      <c r="E52" s="282">
        <v>1</v>
      </c>
      <c r="F52" s="282" t="s">
        <v>288</v>
      </c>
      <c r="G52" s="280">
        <v>300000</v>
      </c>
      <c r="H52" s="281">
        <v>236000</v>
      </c>
      <c r="I52" s="280">
        <v>320000</v>
      </c>
      <c r="J52" s="196" t="s">
        <v>660</v>
      </c>
      <c r="K52" s="285" t="s">
        <v>2532</v>
      </c>
    </row>
    <row r="53" spans="1:11" ht="25.5" customHeight="1">
      <c r="A53" s="284"/>
      <c r="B53" s="283">
        <v>1826000780</v>
      </c>
      <c r="C53" s="282">
        <v>780</v>
      </c>
      <c r="D53" s="282">
        <v>826000</v>
      </c>
      <c r="E53" s="282">
        <v>1</v>
      </c>
      <c r="F53" s="282" t="s">
        <v>280</v>
      </c>
      <c r="G53" s="280">
        <v>300000</v>
      </c>
      <c r="H53" s="281">
        <v>161000</v>
      </c>
      <c r="I53" s="280">
        <v>300000</v>
      </c>
      <c r="J53" s="196" t="s">
        <v>2191</v>
      </c>
    </row>
    <row r="54" spans="1:11" ht="25.5" customHeight="1">
      <c r="A54" s="284"/>
      <c r="B54" s="283">
        <v>1826000782</v>
      </c>
      <c r="C54" s="282">
        <v>782</v>
      </c>
      <c r="D54" s="282">
        <v>826000</v>
      </c>
      <c r="E54" s="282">
        <v>1</v>
      </c>
      <c r="F54" s="282" t="s">
        <v>661</v>
      </c>
      <c r="G54" s="280">
        <v>212668</v>
      </c>
      <c r="H54" s="281">
        <v>300000</v>
      </c>
      <c r="I54" s="280">
        <v>300000</v>
      </c>
      <c r="J54" s="196" t="s">
        <v>662</v>
      </c>
    </row>
    <row r="55" spans="1:11" ht="25.5" customHeight="1">
      <c r="A55" s="284"/>
      <c r="B55" s="283">
        <v>1826000810</v>
      </c>
      <c r="C55" s="282">
        <v>810</v>
      </c>
      <c r="D55" s="282">
        <v>826000</v>
      </c>
      <c r="E55" s="282">
        <v>1</v>
      </c>
      <c r="F55" s="282" t="s">
        <v>514</v>
      </c>
      <c r="G55" s="280">
        <v>3468000</v>
      </c>
      <c r="H55" s="281">
        <v>3041000</v>
      </c>
      <c r="I55" s="280">
        <v>5527601</v>
      </c>
      <c r="J55" s="196" t="s">
        <v>2474</v>
      </c>
      <c r="K55" s="285" t="s">
        <v>2531</v>
      </c>
    </row>
    <row r="56" spans="1:11" ht="25.5" customHeight="1">
      <c r="A56" s="284"/>
      <c r="B56" s="283">
        <v>1827000530</v>
      </c>
      <c r="C56" s="282">
        <v>530</v>
      </c>
      <c r="D56" s="282">
        <v>827000</v>
      </c>
      <c r="E56" s="282">
        <v>1</v>
      </c>
      <c r="F56" s="282" t="s">
        <v>277</v>
      </c>
      <c r="G56" s="280">
        <v>90000</v>
      </c>
      <c r="H56" s="281">
        <v>40000</v>
      </c>
      <c r="I56" s="280">
        <v>90000</v>
      </c>
      <c r="J56" s="194" t="s">
        <v>287</v>
      </c>
      <c r="K56" s="285" t="s">
        <v>2530</v>
      </c>
    </row>
    <row r="57" spans="1:11" ht="25.5" customHeight="1">
      <c r="A57" s="284"/>
      <c r="B57" s="283">
        <v>1827000540</v>
      </c>
      <c r="C57" s="282">
        <v>540</v>
      </c>
      <c r="D57" s="282">
        <v>827000</v>
      </c>
      <c r="E57" s="282">
        <v>1</v>
      </c>
      <c r="F57" s="282" t="s">
        <v>279</v>
      </c>
      <c r="G57" s="280">
        <v>6000</v>
      </c>
      <c r="H57" s="281">
        <v>7000</v>
      </c>
      <c r="I57" s="280">
        <v>6000</v>
      </c>
      <c r="J57" s="194"/>
    </row>
    <row r="58" spans="1:11" ht="25.5" customHeight="1">
      <c r="A58" s="284"/>
      <c r="B58" s="283">
        <v>1827000780</v>
      </c>
      <c r="C58" s="282">
        <v>780</v>
      </c>
      <c r="D58" s="282">
        <v>827000</v>
      </c>
      <c r="E58" s="282">
        <v>1</v>
      </c>
      <c r="F58" s="282" t="s">
        <v>672</v>
      </c>
      <c r="G58" s="280">
        <v>670000</v>
      </c>
      <c r="H58" s="281">
        <v>560000</v>
      </c>
      <c r="I58" s="280">
        <v>670000</v>
      </c>
      <c r="J58" s="197" t="s">
        <v>2477</v>
      </c>
    </row>
    <row r="59" spans="1:11" ht="25.5" customHeight="1">
      <c r="A59" s="284"/>
      <c r="B59" s="283">
        <v>1827000781</v>
      </c>
      <c r="C59" s="282">
        <v>781</v>
      </c>
      <c r="D59" s="282">
        <v>827000</v>
      </c>
      <c r="E59" s="282">
        <v>1</v>
      </c>
      <c r="F59" s="282" t="s">
        <v>673</v>
      </c>
      <c r="G59" s="280">
        <v>520000</v>
      </c>
      <c r="H59" s="281">
        <v>490000</v>
      </c>
      <c r="I59" s="280">
        <v>520000</v>
      </c>
      <c r="J59" s="197" t="s">
        <v>2477</v>
      </c>
    </row>
    <row r="60" spans="1:11" ht="25.5" customHeight="1">
      <c r="A60" s="284"/>
      <c r="B60" s="283">
        <v>1827000782</v>
      </c>
      <c r="C60" s="282">
        <v>782</v>
      </c>
      <c r="D60" s="282">
        <v>827000</v>
      </c>
      <c r="E60" s="282">
        <v>1</v>
      </c>
      <c r="F60" s="282" t="s">
        <v>674</v>
      </c>
      <c r="G60" s="280">
        <v>300000</v>
      </c>
      <c r="H60" s="281">
        <v>300000</v>
      </c>
      <c r="I60" s="280">
        <v>300000</v>
      </c>
      <c r="J60" s="194" t="s">
        <v>675</v>
      </c>
    </row>
    <row r="61" spans="1:11" ht="25.5" customHeight="1">
      <c r="A61" s="284"/>
      <c r="B61" s="283">
        <v>1827000783</v>
      </c>
      <c r="C61" s="282">
        <v>783</v>
      </c>
      <c r="D61" s="282">
        <v>827000</v>
      </c>
      <c r="E61" s="282">
        <v>1</v>
      </c>
      <c r="F61" s="282" t="s">
        <v>676</v>
      </c>
      <c r="G61" s="280">
        <v>120000</v>
      </c>
      <c r="H61" s="281">
        <v>112000</v>
      </c>
      <c r="I61" s="280">
        <v>120000</v>
      </c>
      <c r="J61" s="194" t="s">
        <v>677</v>
      </c>
    </row>
    <row r="62" spans="1:11" ht="25.5" customHeight="1">
      <c r="A62" s="284"/>
      <c r="B62" s="283">
        <v>1828000780</v>
      </c>
      <c r="C62" s="282">
        <v>780</v>
      </c>
      <c r="D62" s="282">
        <v>828000</v>
      </c>
      <c r="E62" s="282">
        <v>1</v>
      </c>
      <c r="F62" s="282" t="s">
        <v>280</v>
      </c>
      <c r="G62" s="280">
        <v>400000</v>
      </c>
      <c r="H62" s="281">
        <v>250000</v>
      </c>
      <c r="I62" s="280">
        <v>190000</v>
      </c>
      <c r="J62" s="194" t="s">
        <v>2476</v>
      </c>
      <c r="K62" s="285" t="s">
        <v>2529</v>
      </c>
    </row>
    <row r="63" spans="1:11" ht="25.5" customHeight="1">
      <c r="A63" s="284"/>
      <c r="B63" s="283">
        <v>1828100410</v>
      </c>
      <c r="C63" s="282">
        <v>410</v>
      </c>
      <c r="D63" s="282">
        <v>828100</v>
      </c>
      <c r="E63" s="282">
        <v>1</v>
      </c>
      <c r="F63" s="282" t="s">
        <v>304</v>
      </c>
      <c r="G63" s="280">
        <v>160000</v>
      </c>
      <c r="H63" s="281">
        <v>144000</v>
      </c>
      <c r="I63" s="280">
        <v>160000</v>
      </c>
      <c r="J63" s="194" t="s">
        <v>1510</v>
      </c>
      <c r="K63" s="285" t="s">
        <v>2528</v>
      </c>
    </row>
    <row r="64" spans="1:11" ht="25.5" customHeight="1">
      <c r="A64" s="284"/>
      <c r="B64" s="283">
        <v>1828100780</v>
      </c>
      <c r="C64" s="282">
        <v>780</v>
      </c>
      <c r="D64" s="282">
        <v>828100</v>
      </c>
      <c r="E64" s="282">
        <v>1</v>
      </c>
      <c r="F64" s="282" t="s">
        <v>379</v>
      </c>
      <c r="G64" s="280">
        <v>550000</v>
      </c>
      <c r="H64" s="281">
        <v>500000</v>
      </c>
      <c r="I64" s="280">
        <v>750000</v>
      </c>
      <c r="J64" s="232" t="s">
        <v>2518</v>
      </c>
    </row>
    <row r="65" spans="1:11" ht="25.5" customHeight="1">
      <c r="A65" s="284"/>
      <c r="B65" s="283">
        <v>1828100813</v>
      </c>
      <c r="C65" s="282">
        <v>813</v>
      </c>
      <c r="D65" s="282">
        <v>828100</v>
      </c>
      <c r="E65" s="282">
        <v>1</v>
      </c>
      <c r="F65" s="282" t="s">
        <v>864</v>
      </c>
      <c r="G65" s="280">
        <v>100000</v>
      </c>
      <c r="H65" s="281">
        <v>96000</v>
      </c>
      <c r="I65" s="280">
        <v>100000</v>
      </c>
      <c r="J65" s="194" t="s">
        <v>1536</v>
      </c>
    </row>
    <row r="66" spans="1:11" ht="25.5" customHeight="1">
      <c r="A66" s="284"/>
      <c r="B66" s="283">
        <v>1828300780</v>
      </c>
      <c r="C66" s="282">
        <v>780</v>
      </c>
      <c r="D66" s="282">
        <v>828300</v>
      </c>
      <c r="E66" s="282">
        <v>1</v>
      </c>
      <c r="F66" s="282" t="s">
        <v>656</v>
      </c>
      <c r="G66" s="280">
        <v>240000</v>
      </c>
      <c r="H66" s="281">
        <v>140000</v>
      </c>
      <c r="I66" s="280">
        <v>240000</v>
      </c>
      <c r="J66" s="194" t="s">
        <v>1512</v>
      </c>
    </row>
    <row r="67" spans="1:11" ht="25.5" customHeight="1">
      <c r="A67" s="284"/>
      <c r="B67" s="283">
        <v>1828400780</v>
      </c>
      <c r="C67" s="282">
        <v>780</v>
      </c>
      <c r="D67" s="282">
        <v>828400</v>
      </c>
      <c r="E67" s="282">
        <v>1</v>
      </c>
      <c r="F67" s="282" t="s">
        <v>87</v>
      </c>
      <c r="G67" s="280">
        <v>219000</v>
      </c>
      <c r="H67" s="281">
        <v>250000</v>
      </c>
      <c r="I67" s="280">
        <v>219000</v>
      </c>
      <c r="J67" s="194" t="s">
        <v>867</v>
      </c>
    </row>
    <row r="68" spans="1:11" ht="25.5" customHeight="1">
      <c r="A68" s="284"/>
      <c r="B68" s="283">
        <v>1829300430</v>
      </c>
      <c r="C68" s="282">
        <v>430</v>
      </c>
      <c r="D68" s="282">
        <v>829300</v>
      </c>
      <c r="E68" s="282">
        <v>1</v>
      </c>
      <c r="F68" s="282" t="s">
        <v>311</v>
      </c>
      <c r="G68" s="280">
        <v>32000</v>
      </c>
      <c r="H68" s="281">
        <v>14000</v>
      </c>
      <c r="I68" s="280">
        <v>32000</v>
      </c>
      <c r="J68" s="194" t="s">
        <v>696</v>
      </c>
    </row>
    <row r="69" spans="1:11" ht="25.5" customHeight="1">
      <c r="A69" s="284"/>
      <c r="B69" s="283">
        <v>1829300750</v>
      </c>
      <c r="C69" s="282">
        <v>750</v>
      </c>
      <c r="D69" s="282">
        <v>829300</v>
      </c>
      <c r="E69" s="282">
        <v>1</v>
      </c>
      <c r="F69" s="282" t="s">
        <v>288</v>
      </c>
      <c r="G69" s="280">
        <v>616000</v>
      </c>
      <c r="H69" s="281">
        <v>650000</v>
      </c>
      <c r="I69" s="280">
        <v>1081000</v>
      </c>
      <c r="J69" s="194" t="s">
        <v>697</v>
      </c>
    </row>
    <row r="70" spans="1:11" ht="25.5" customHeight="1">
      <c r="A70" s="284"/>
      <c r="B70" s="283">
        <v>1829300780</v>
      </c>
      <c r="C70" s="282">
        <v>780</v>
      </c>
      <c r="D70" s="282">
        <v>829300</v>
      </c>
      <c r="E70" s="282">
        <v>1</v>
      </c>
      <c r="F70" s="282" t="s">
        <v>280</v>
      </c>
      <c r="G70" s="280">
        <v>200000</v>
      </c>
      <c r="H70" s="281">
        <v>340000</v>
      </c>
      <c r="I70" s="280">
        <v>300000</v>
      </c>
      <c r="J70" s="194" t="s">
        <v>698</v>
      </c>
    </row>
    <row r="71" spans="1:11" ht="25.5" customHeight="1">
      <c r="A71" s="284"/>
      <c r="B71" s="283">
        <v>1829300781</v>
      </c>
      <c r="C71" s="282">
        <v>781</v>
      </c>
      <c r="D71" s="282">
        <v>829300</v>
      </c>
      <c r="E71" s="282">
        <v>1</v>
      </c>
      <c r="F71" s="282" t="s">
        <v>1521</v>
      </c>
      <c r="G71" s="280">
        <v>45000</v>
      </c>
      <c r="H71" s="281">
        <v>0</v>
      </c>
      <c r="I71" s="280">
        <v>45000</v>
      </c>
      <c r="J71" s="194"/>
    </row>
    <row r="72" spans="1:11" ht="25.5" customHeight="1">
      <c r="A72" s="284"/>
      <c r="B72" s="283"/>
      <c r="C72" s="287"/>
      <c r="D72" s="287" t="s">
        <v>2527</v>
      </c>
      <c r="E72" s="287"/>
      <c r="F72" s="287" t="s">
        <v>2526</v>
      </c>
      <c r="G72" s="286"/>
      <c r="H72" s="281"/>
      <c r="I72" s="286">
        <v>100000</v>
      </c>
      <c r="J72" s="194"/>
      <c r="K72" s="285" t="s">
        <v>2525</v>
      </c>
    </row>
    <row r="73" spans="1:11" ht="25.5" customHeight="1">
      <c r="A73" s="284"/>
      <c r="B73" s="283">
        <v>1829300810</v>
      </c>
      <c r="C73" s="282">
        <v>810</v>
      </c>
      <c r="D73" s="282">
        <v>829300</v>
      </c>
      <c r="E73" s="282">
        <v>1</v>
      </c>
      <c r="F73" s="282" t="s">
        <v>699</v>
      </c>
      <c r="G73" s="280">
        <v>427545</v>
      </c>
      <c r="H73" s="281">
        <v>324000</v>
      </c>
      <c r="I73" s="280">
        <v>324000</v>
      </c>
      <c r="J73" s="194" t="s">
        <v>700</v>
      </c>
    </row>
    <row r="74" spans="1:11" ht="25.5" customHeight="1">
      <c r="A74" s="284"/>
      <c r="B74" s="283">
        <v>1829300812</v>
      </c>
      <c r="C74" s="282">
        <v>812</v>
      </c>
      <c r="D74" s="282">
        <v>829300</v>
      </c>
      <c r="E74" s="282">
        <v>1</v>
      </c>
      <c r="F74" s="282" t="s">
        <v>701</v>
      </c>
      <c r="G74" s="280">
        <v>1685500</v>
      </c>
      <c r="H74" s="281">
        <v>1000000</v>
      </c>
      <c r="I74" s="280">
        <v>2314395</v>
      </c>
      <c r="J74" s="199" t="s">
        <v>2364</v>
      </c>
      <c r="K74" s="285" t="s">
        <v>2524</v>
      </c>
    </row>
    <row r="75" spans="1:11" ht="25.5" customHeight="1">
      <c r="A75" s="284"/>
      <c r="B75" s="283">
        <v>1860000750</v>
      </c>
      <c r="C75" s="282">
        <v>750</v>
      </c>
      <c r="D75" s="282">
        <v>860000</v>
      </c>
      <c r="E75" s="282">
        <v>1</v>
      </c>
      <c r="F75" s="282" t="s">
        <v>288</v>
      </c>
      <c r="G75" s="280">
        <v>300000</v>
      </c>
      <c r="H75" s="281">
        <v>256000</v>
      </c>
      <c r="I75" s="280">
        <v>450000</v>
      </c>
      <c r="J75" s="194" t="s">
        <v>2362</v>
      </c>
      <c r="K75" s="285" t="s">
        <v>2523</v>
      </c>
    </row>
    <row r="76" spans="1:11" ht="25.5" customHeight="1">
      <c r="A76" s="284"/>
      <c r="B76" s="283">
        <v>1860000751</v>
      </c>
      <c r="C76" s="282">
        <v>751</v>
      </c>
      <c r="D76" s="282">
        <v>860000</v>
      </c>
      <c r="E76" s="282">
        <v>1</v>
      </c>
      <c r="F76" s="282" t="s">
        <v>835</v>
      </c>
      <c r="G76" s="280">
        <v>150000</v>
      </c>
      <c r="H76" s="281">
        <v>0</v>
      </c>
      <c r="I76" s="280">
        <v>150000</v>
      </c>
      <c r="J76" s="194" t="s">
        <v>2472</v>
      </c>
    </row>
    <row r="77" spans="1:11" ht="25.5" customHeight="1">
      <c r="A77" s="284"/>
      <c r="B77" s="283">
        <v>1860000752</v>
      </c>
      <c r="C77" s="282">
        <v>752</v>
      </c>
      <c r="D77" s="282">
        <v>860000</v>
      </c>
      <c r="E77" s="282">
        <v>1</v>
      </c>
      <c r="F77" s="282" t="s">
        <v>836</v>
      </c>
      <c r="G77" s="280">
        <v>137000</v>
      </c>
      <c r="H77" s="281">
        <v>137000</v>
      </c>
      <c r="I77" s="280">
        <v>137500</v>
      </c>
      <c r="J77" s="194" t="s">
        <v>2363</v>
      </c>
      <c r="K77" s="285" t="s">
        <v>2523</v>
      </c>
    </row>
    <row r="78" spans="1:11" ht="25.5" customHeight="1">
      <c r="A78" s="284"/>
      <c r="B78" s="283">
        <v>1860000753</v>
      </c>
      <c r="C78" s="282">
        <v>753</v>
      </c>
      <c r="D78" s="282">
        <v>860000</v>
      </c>
      <c r="E78" s="282">
        <v>1</v>
      </c>
      <c r="F78" s="282" t="s">
        <v>1539</v>
      </c>
      <c r="G78" s="280">
        <v>100000</v>
      </c>
      <c r="H78" s="281">
        <v>100000</v>
      </c>
      <c r="I78" s="280">
        <v>100000</v>
      </c>
      <c r="J78" s="194" t="s">
        <v>1544</v>
      </c>
    </row>
    <row r="79" spans="1:11" ht="25.5" customHeight="1">
      <c r="A79" s="284"/>
      <c r="B79" s="283">
        <v>1860000780</v>
      </c>
      <c r="C79" s="282">
        <v>780</v>
      </c>
      <c r="D79" s="282">
        <v>860000</v>
      </c>
      <c r="E79" s="282">
        <v>1</v>
      </c>
      <c r="F79" s="282" t="s">
        <v>280</v>
      </c>
      <c r="G79" s="280">
        <v>5000</v>
      </c>
      <c r="H79" s="281">
        <v>5000</v>
      </c>
      <c r="I79" s="280">
        <v>5000</v>
      </c>
      <c r="J79" s="194" t="s">
        <v>837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rightToLeft="1" topLeftCell="C1" workbookViewId="0">
      <selection activeCell="G30" sqref="G30"/>
    </sheetView>
  </sheetViews>
  <sheetFormatPr defaultRowHeight="14.25"/>
  <cols>
    <col min="2" max="2" width="10.875" bestFit="1" customWidth="1"/>
    <col min="6" max="6" width="20.25" customWidth="1"/>
    <col min="7" max="7" width="15.625" bestFit="1" customWidth="1"/>
    <col min="8" max="8" width="14.875" bestFit="1" customWidth="1"/>
    <col min="9" max="9" width="17.625" bestFit="1" customWidth="1"/>
    <col min="11" max="11" width="60.125" bestFit="1" customWidth="1"/>
  </cols>
  <sheetData>
    <row r="1" spans="1:11" ht="41.25" customHeight="1">
      <c r="A1" s="459" t="s">
        <v>1</v>
      </c>
      <c r="B1" s="459"/>
      <c r="C1" s="459" t="s">
        <v>2</v>
      </c>
      <c r="D1" s="459" t="s">
        <v>3</v>
      </c>
      <c r="E1" s="459"/>
      <c r="F1" s="460" t="s">
        <v>4</v>
      </c>
      <c r="G1" s="461" t="s">
        <v>2185</v>
      </c>
      <c r="H1" s="461" t="s">
        <v>2184</v>
      </c>
      <c r="I1" s="462" t="s">
        <v>2522</v>
      </c>
      <c r="J1" s="463" t="s">
        <v>5</v>
      </c>
      <c r="K1" s="462" t="s">
        <v>2519</v>
      </c>
    </row>
    <row r="2" spans="1:11">
      <c r="A2" s="450"/>
      <c r="B2" s="464">
        <v>1300000740</v>
      </c>
      <c r="C2" s="450">
        <v>740</v>
      </c>
      <c r="D2" s="450">
        <v>300000</v>
      </c>
      <c r="E2" s="450">
        <v>1</v>
      </c>
      <c r="F2" s="450" t="s">
        <v>47</v>
      </c>
      <c r="G2" s="451">
        <v>1000000</v>
      </c>
      <c r="H2" s="452">
        <v>1300000</v>
      </c>
      <c r="I2" s="451">
        <v>1000000</v>
      </c>
      <c r="J2" s="457" t="s">
        <v>1509</v>
      </c>
      <c r="K2" s="447"/>
    </row>
    <row r="3" spans="1:11" ht="15">
      <c r="A3" s="453" t="s">
        <v>1392</v>
      </c>
      <c r="B3" s="453"/>
      <c r="C3" s="453">
        <v>999</v>
      </c>
      <c r="D3" s="453">
        <v>300000</v>
      </c>
      <c r="E3" s="453"/>
      <c r="F3" s="453"/>
      <c r="G3" s="454">
        <v>1000000</v>
      </c>
      <c r="H3" s="454">
        <v>1300000</v>
      </c>
      <c r="I3" s="454">
        <v>1000000</v>
      </c>
      <c r="J3" s="458"/>
      <c r="K3" s="447"/>
    </row>
    <row r="4" spans="1:11">
      <c r="A4" s="450"/>
      <c r="B4" s="464">
        <v>1312000690</v>
      </c>
      <c r="C4" s="450">
        <v>690</v>
      </c>
      <c r="D4" s="450">
        <v>312000</v>
      </c>
      <c r="E4" s="450">
        <v>1</v>
      </c>
      <c r="F4" s="450" t="s">
        <v>48</v>
      </c>
      <c r="G4" s="451">
        <v>844000</v>
      </c>
      <c r="H4" s="452">
        <v>6000</v>
      </c>
      <c r="I4" s="466">
        <v>844000</v>
      </c>
      <c r="J4" s="457"/>
      <c r="K4" s="447"/>
    </row>
    <row r="5" spans="1:11">
      <c r="A5" s="450"/>
      <c r="B5" s="464">
        <v>1312200220</v>
      </c>
      <c r="C5" s="450">
        <v>220</v>
      </c>
      <c r="D5" s="450">
        <v>312200</v>
      </c>
      <c r="E5" s="450">
        <v>1</v>
      </c>
      <c r="F5" s="450" t="s">
        <v>49</v>
      </c>
      <c r="G5" s="451">
        <v>3434000</v>
      </c>
      <c r="H5" s="452">
        <v>1950000</v>
      </c>
      <c r="I5" s="466">
        <v>3624000</v>
      </c>
      <c r="J5" s="457"/>
      <c r="K5" s="447"/>
    </row>
    <row r="6" spans="1:11">
      <c r="A6" s="450"/>
      <c r="B6" s="464">
        <v>1312204920</v>
      </c>
      <c r="C6" s="450">
        <v>920</v>
      </c>
      <c r="D6" s="450">
        <v>312204</v>
      </c>
      <c r="E6" s="450">
        <v>1</v>
      </c>
      <c r="F6" s="455" t="s">
        <v>50</v>
      </c>
      <c r="G6" s="451">
        <v>9655000</v>
      </c>
      <c r="H6" s="452">
        <v>9475000</v>
      </c>
      <c r="I6" s="467">
        <v>8648000</v>
      </c>
      <c r="J6" s="457"/>
      <c r="K6" s="447"/>
    </row>
    <row r="7" spans="1:11">
      <c r="A7" s="450"/>
      <c r="B7" s="464">
        <v>1312207920</v>
      </c>
      <c r="C7" s="450">
        <v>920</v>
      </c>
      <c r="D7" s="450">
        <v>312207</v>
      </c>
      <c r="E7" s="450">
        <v>1</v>
      </c>
      <c r="F7" s="455" t="s">
        <v>51</v>
      </c>
      <c r="G7" s="451">
        <v>11963000</v>
      </c>
      <c r="H7" s="452">
        <v>11740000</v>
      </c>
      <c r="I7" s="467">
        <v>12195000</v>
      </c>
      <c r="J7" s="457"/>
      <c r="K7" s="447"/>
    </row>
    <row r="8" spans="1:11">
      <c r="A8" s="450"/>
      <c r="B8" s="464">
        <v>1312300430</v>
      </c>
      <c r="C8" s="450">
        <v>430</v>
      </c>
      <c r="D8" s="450">
        <v>312300</v>
      </c>
      <c r="E8" s="450">
        <v>1</v>
      </c>
      <c r="F8" s="450" t="s">
        <v>2207</v>
      </c>
      <c r="G8" s="451">
        <v>774000</v>
      </c>
      <c r="H8" s="452">
        <v>0</v>
      </c>
      <c r="I8" s="466">
        <v>774000</v>
      </c>
      <c r="J8" s="457" t="s">
        <v>2208</v>
      </c>
      <c r="K8" s="447"/>
    </row>
    <row r="9" spans="1:11">
      <c r="A9" s="450"/>
      <c r="B9" s="464">
        <v>1312300921</v>
      </c>
      <c r="C9" s="450">
        <v>921</v>
      </c>
      <c r="D9" s="450">
        <v>312300</v>
      </c>
      <c r="E9" s="450">
        <v>1</v>
      </c>
      <c r="F9" s="450" t="s">
        <v>2514</v>
      </c>
      <c r="G9" s="451">
        <v>2160000</v>
      </c>
      <c r="H9" s="452">
        <v>3000000</v>
      </c>
      <c r="I9" s="467">
        <v>2960000</v>
      </c>
      <c r="J9" s="457"/>
      <c r="K9" s="447"/>
    </row>
    <row r="10" spans="1:11">
      <c r="A10" s="450"/>
      <c r="B10" s="464">
        <v>1312300922</v>
      </c>
      <c r="C10" s="450">
        <v>922</v>
      </c>
      <c r="D10" s="450">
        <v>312300</v>
      </c>
      <c r="E10" s="450">
        <v>1</v>
      </c>
      <c r="F10" s="450" t="s">
        <v>52</v>
      </c>
      <c r="G10" s="451">
        <v>250000</v>
      </c>
      <c r="H10" s="452">
        <v>450000</v>
      </c>
      <c r="I10" s="467">
        <v>2250000</v>
      </c>
      <c r="J10" s="457"/>
      <c r="K10" s="447"/>
    </row>
    <row r="11" spans="1:11">
      <c r="A11" s="450"/>
      <c r="B11" s="464">
        <v>1312305920</v>
      </c>
      <c r="C11" s="450">
        <v>920</v>
      </c>
      <c r="D11" s="450">
        <v>312305</v>
      </c>
      <c r="E11" s="450">
        <v>1</v>
      </c>
      <c r="F11" s="455" t="s">
        <v>53</v>
      </c>
      <c r="G11" s="451">
        <v>33225000</v>
      </c>
      <c r="H11" s="452">
        <v>31871000</v>
      </c>
      <c r="I11" s="467">
        <v>32241000</v>
      </c>
      <c r="J11" s="449" t="s">
        <v>4</v>
      </c>
      <c r="K11" s="447"/>
    </row>
    <row r="12" spans="1:11">
      <c r="A12" s="450"/>
      <c r="B12" s="464">
        <v>1312602920</v>
      </c>
      <c r="C12" s="450">
        <v>920</v>
      </c>
      <c r="D12" s="450">
        <v>312602</v>
      </c>
      <c r="E12" s="450">
        <v>1</v>
      </c>
      <c r="F12" s="455" t="s">
        <v>54</v>
      </c>
      <c r="G12" s="451">
        <v>200000</v>
      </c>
      <c r="H12" s="452">
        <v>175000</v>
      </c>
      <c r="I12" s="451">
        <v>200000</v>
      </c>
      <c r="J12" s="457"/>
      <c r="K12" s="447"/>
    </row>
    <row r="13" spans="1:11" ht="15">
      <c r="A13" s="453" t="s">
        <v>55</v>
      </c>
      <c r="B13" s="453"/>
      <c r="C13" s="453">
        <v>999</v>
      </c>
      <c r="D13" s="453">
        <v>312000</v>
      </c>
      <c r="E13" s="453"/>
      <c r="F13" s="453"/>
      <c r="G13" s="454">
        <v>62505000</v>
      </c>
      <c r="H13" s="454">
        <v>58909000</v>
      </c>
      <c r="I13" s="454">
        <v>63736000</v>
      </c>
      <c r="J13" s="458"/>
      <c r="K13" s="447"/>
    </row>
    <row r="14" spans="1:11">
      <c r="A14" s="450" t="s">
        <v>56</v>
      </c>
      <c r="B14" s="464">
        <v>1313200220</v>
      </c>
      <c r="C14" s="450">
        <v>220</v>
      </c>
      <c r="D14" s="450">
        <v>313200</v>
      </c>
      <c r="E14" s="450">
        <v>1</v>
      </c>
      <c r="F14" s="450" t="s">
        <v>57</v>
      </c>
      <c r="G14" s="451">
        <v>880000</v>
      </c>
      <c r="H14" s="452">
        <v>850000</v>
      </c>
      <c r="I14" s="451">
        <v>880000</v>
      </c>
      <c r="J14" s="457"/>
      <c r="K14" s="447"/>
    </row>
    <row r="15" spans="1:11">
      <c r="A15" s="450"/>
      <c r="B15" s="464">
        <v>1313200430</v>
      </c>
      <c r="C15" s="450">
        <v>430</v>
      </c>
      <c r="D15" s="450">
        <v>313200</v>
      </c>
      <c r="E15" s="450">
        <v>1</v>
      </c>
      <c r="F15" s="450" t="s">
        <v>58</v>
      </c>
      <c r="G15" s="451">
        <v>700000</v>
      </c>
      <c r="H15" s="452">
        <v>600000</v>
      </c>
      <c r="I15" s="451">
        <v>700000</v>
      </c>
      <c r="J15" s="457"/>
      <c r="K15" s="447"/>
    </row>
    <row r="16" spans="1:11">
      <c r="A16" s="450"/>
      <c r="B16" s="464">
        <v>1313200431</v>
      </c>
      <c r="C16" s="450">
        <v>431</v>
      </c>
      <c r="D16" s="450">
        <v>313200</v>
      </c>
      <c r="E16" s="450">
        <v>1</v>
      </c>
      <c r="F16" s="450" t="s">
        <v>59</v>
      </c>
      <c r="G16" s="451">
        <v>1000000</v>
      </c>
      <c r="H16" s="452">
        <v>900000</v>
      </c>
      <c r="I16" s="451">
        <v>1000000</v>
      </c>
      <c r="J16" s="457"/>
    </row>
    <row r="17" spans="1:11">
      <c r="A17" s="450"/>
      <c r="B17" s="464">
        <v>1313200920</v>
      </c>
      <c r="C17" s="450">
        <v>920</v>
      </c>
      <c r="D17" s="450">
        <v>313200</v>
      </c>
      <c r="E17" s="450">
        <v>1</v>
      </c>
      <c r="F17" s="450" t="s">
        <v>60</v>
      </c>
      <c r="G17" s="451">
        <v>9733000</v>
      </c>
      <c r="H17" s="452">
        <v>8500000</v>
      </c>
      <c r="I17" s="467">
        <v>7036800</v>
      </c>
      <c r="J17" s="457" t="s">
        <v>4</v>
      </c>
      <c r="K17" s="447" t="s">
        <v>2559</v>
      </c>
    </row>
    <row r="18" spans="1:11">
      <c r="A18" s="450"/>
      <c r="B18" s="464">
        <v>1313200921</v>
      </c>
      <c r="C18" s="450">
        <v>921</v>
      </c>
      <c r="D18" s="450">
        <v>313200</v>
      </c>
      <c r="E18" s="450">
        <v>1</v>
      </c>
      <c r="F18" s="450" t="s">
        <v>2560</v>
      </c>
      <c r="G18" s="451">
        <v>75000</v>
      </c>
      <c r="H18" s="452">
        <v>191000</v>
      </c>
      <c r="I18" s="451">
        <v>150000</v>
      </c>
      <c r="J18" s="457"/>
    </row>
    <row r="19" spans="1:11">
      <c r="A19" s="450"/>
      <c r="B19" s="464">
        <v>1313206920</v>
      </c>
      <c r="C19" s="450">
        <v>920</v>
      </c>
      <c r="D19" s="450">
        <v>313206</v>
      </c>
      <c r="E19" s="450">
        <v>1</v>
      </c>
      <c r="F19" s="455" t="s">
        <v>62</v>
      </c>
      <c r="G19" s="451">
        <v>1180000</v>
      </c>
      <c r="H19" s="452">
        <v>1149000</v>
      </c>
      <c r="I19" s="467">
        <v>1450000</v>
      </c>
      <c r="J19" s="457"/>
    </row>
    <row r="20" spans="1:11">
      <c r="A20" s="450"/>
      <c r="B20" s="464">
        <v>1313207920</v>
      </c>
      <c r="C20" s="450">
        <v>920</v>
      </c>
      <c r="D20" s="450">
        <v>313207</v>
      </c>
      <c r="E20" s="450">
        <v>1</v>
      </c>
      <c r="F20" s="455" t="s">
        <v>63</v>
      </c>
      <c r="G20" s="451">
        <v>408000</v>
      </c>
      <c r="H20" s="452">
        <v>383000</v>
      </c>
      <c r="I20" s="467">
        <v>714000</v>
      </c>
      <c r="J20" s="457"/>
    </row>
    <row r="21" spans="1:11">
      <c r="A21" s="450"/>
      <c r="B21" s="464">
        <v>1313209920</v>
      </c>
      <c r="C21" s="450">
        <v>920</v>
      </c>
      <c r="D21" s="450">
        <v>313209</v>
      </c>
      <c r="E21" s="450">
        <v>1</v>
      </c>
      <c r="F21" s="455" t="s">
        <v>64</v>
      </c>
      <c r="G21" s="451">
        <v>290000</v>
      </c>
      <c r="H21" s="452">
        <v>289000</v>
      </c>
      <c r="I21" s="467">
        <v>290000</v>
      </c>
      <c r="J21" s="457"/>
    </row>
    <row r="22" spans="1:11">
      <c r="A22" s="450"/>
      <c r="B22" s="464">
        <v>1313210920</v>
      </c>
      <c r="C22" s="450">
        <v>920</v>
      </c>
      <c r="D22" s="450">
        <v>313210</v>
      </c>
      <c r="E22" s="450">
        <v>1</v>
      </c>
      <c r="F22" s="455" t="s">
        <v>65</v>
      </c>
      <c r="G22" s="451">
        <v>550000</v>
      </c>
      <c r="H22" s="452">
        <v>510000</v>
      </c>
      <c r="I22" s="467">
        <v>550000</v>
      </c>
      <c r="J22" s="457"/>
    </row>
    <row r="23" spans="1:11">
      <c r="A23" s="450"/>
      <c r="B23" s="464">
        <v>1313211920</v>
      </c>
      <c r="C23" s="450">
        <v>920</v>
      </c>
      <c r="D23" s="450">
        <v>313211</v>
      </c>
      <c r="E23" s="450">
        <v>1</v>
      </c>
      <c r="F23" s="455" t="s">
        <v>66</v>
      </c>
      <c r="G23" s="451">
        <v>20000</v>
      </c>
      <c r="H23" s="452">
        <v>20000</v>
      </c>
      <c r="I23" s="467">
        <v>20000</v>
      </c>
      <c r="J23" s="457"/>
    </row>
    <row r="24" spans="1:11">
      <c r="A24" s="450"/>
      <c r="B24" s="464">
        <v>1313212920</v>
      </c>
      <c r="C24" s="450">
        <v>920</v>
      </c>
      <c r="D24" s="450">
        <v>313212</v>
      </c>
      <c r="E24" s="450">
        <v>1</v>
      </c>
      <c r="F24" s="455" t="s">
        <v>67</v>
      </c>
      <c r="G24" s="451">
        <v>75000</v>
      </c>
      <c r="H24" s="452">
        <v>65000</v>
      </c>
      <c r="I24" s="467">
        <v>75000</v>
      </c>
      <c r="J24" s="457"/>
    </row>
    <row r="25" spans="1:11">
      <c r="A25" s="450"/>
      <c r="B25" s="464">
        <v>1313214920</v>
      </c>
      <c r="C25" s="450">
        <v>920</v>
      </c>
      <c r="D25" s="450">
        <v>313214</v>
      </c>
      <c r="E25" s="450">
        <v>1</v>
      </c>
      <c r="F25" s="455" t="s">
        <v>68</v>
      </c>
      <c r="G25" s="451">
        <v>165000</v>
      </c>
      <c r="H25" s="452">
        <v>155000</v>
      </c>
      <c r="I25" s="467">
        <v>165000</v>
      </c>
      <c r="J25" s="457"/>
    </row>
    <row r="26" spans="1:11">
      <c r="A26" s="450"/>
      <c r="B26" s="464">
        <v>1313300410</v>
      </c>
      <c r="C26" s="450">
        <v>410</v>
      </c>
      <c r="D26" s="450">
        <v>313300</v>
      </c>
      <c r="E26" s="450">
        <v>1</v>
      </c>
      <c r="F26" s="455" t="s">
        <v>69</v>
      </c>
      <c r="G26" s="451">
        <v>141000</v>
      </c>
      <c r="H26" s="452">
        <v>147000</v>
      </c>
      <c r="I26" s="466">
        <v>141000</v>
      </c>
      <c r="J26" s="457"/>
    </row>
    <row r="27" spans="1:11">
      <c r="A27" s="450"/>
      <c r="B27" s="464">
        <v>1313302920</v>
      </c>
      <c r="C27" s="450">
        <v>920</v>
      </c>
      <c r="D27" s="450">
        <v>313302</v>
      </c>
      <c r="E27" s="450">
        <v>1</v>
      </c>
      <c r="F27" s="455" t="s">
        <v>70</v>
      </c>
      <c r="G27" s="451">
        <v>1600000</v>
      </c>
      <c r="H27" s="452">
        <v>1498000</v>
      </c>
      <c r="I27" s="467">
        <v>2160000</v>
      </c>
      <c r="J27" s="457"/>
    </row>
    <row r="28" spans="1:11">
      <c r="A28" s="450"/>
      <c r="B28" s="464">
        <v>1313303920</v>
      </c>
      <c r="C28" s="450">
        <v>920</v>
      </c>
      <c r="D28" s="450">
        <v>313303</v>
      </c>
      <c r="E28" s="450">
        <v>1</v>
      </c>
      <c r="F28" s="455" t="s">
        <v>71</v>
      </c>
      <c r="G28" s="451">
        <v>5930000</v>
      </c>
      <c r="H28" s="452">
        <v>5393000</v>
      </c>
      <c r="I28" s="467">
        <v>10676182</v>
      </c>
      <c r="J28" s="457" t="s">
        <v>4</v>
      </c>
    </row>
    <row r="29" spans="1:11">
      <c r="A29" s="450"/>
      <c r="B29" s="464">
        <v>1313305920</v>
      </c>
      <c r="C29" s="450">
        <v>920</v>
      </c>
      <c r="D29" s="450">
        <v>313305</v>
      </c>
      <c r="E29" s="450">
        <v>1</v>
      </c>
      <c r="F29" s="455" t="s">
        <v>72</v>
      </c>
      <c r="G29" s="451">
        <v>12800000</v>
      </c>
      <c r="H29" s="452">
        <v>11068000</v>
      </c>
      <c r="I29" s="467">
        <v>16500000</v>
      </c>
      <c r="J29" s="449" t="s">
        <v>4</v>
      </c>
    </row>
    <row r="30" spans="1:11">
      <c r="A30" s="450"/>
      <c r="B30" s="464">
        <v>1313306920</v>
      </c>
      <c r="C30" s="450">
        <v>920</v>
      </c>
      <c r="D30" s="450">
        <v>313306</v>
      </c>
      <c r="E30" s="450">
        <v>1</v>
      </c>
      <c r="F30" s="455" t="s">
        <v>73</v>
      </c>
      <c r="G30" s="451">
        <v>750000</v>
      </c>
      <c r="H30" s="452">
        <v>655000</v>
      </c>
      <c r="I30" s="467">
        <v>750000</v>
      </c>
      <c r="J30" s="457"/>
    </row>
    <row r="31" spans="1:11">
      <c r="A31" s="450"/>
      <c r="B31" s="464">
        <v>1313307920</v>
      </c>
      <c r="C31" s="450">
        <v>920</v>
      </c>
      <c r="D31" s="450">
        <v>313307</v>
      </c>
      <c r="E31" s="450">
        <v>1</v>
      </c>
      <c r="F31" s="455" t="s">
        <v>74</v>
      </c>
      <c r="G31" s="451">
        <v>5726000</v>
      </c>
      <c r="H31" s="452">
        <v>5481000</v>
      </c>
      <c r="I31" s="467">
        <v>7263000</v>
      </c>
      <c r="J31" s="457"/>
    </row>
    <row r="32" spans="1:11">
      <c r="A32" s="450"/>
      <c r="B32" s="464">
        <v>1313500410</v>
      </c>
      <c r="C32" s="450">
        <v>410</v>
      </c>
      <c r="D32" s="450">
        <v>313500</v>
      </c>
      <c r="E32" s="450">
        <v>1</v>
      </c>
      <c r="F32" s="455" t="s">
        <v>75</v>
      </c>
      <c r="G32" s="451">
        <v>1200000</v>
      </c>
      <c r="H32" s="452">
        <v>1108000</v>
      </c>
      <c r="I32" s="466">
        <v>1300000</v>
      </c>
      <c r="J32" s="457"/>
    </row>
    <row r="33" spans="1:11">
      <c r="A33" s="450"/>
      <c r="B33" s="464">
        <v>1313500920</v>
      </c>
      <c r="C33" s="450">
        <v>920</v>
      </c>
      <c r="D33" s="450">
        <v>313500</v>
      </c>
      <c r="E33" s="450">
        <v>1</v>
      </c>
      <c r="F33" s="455" t="s">
        <v>76</v>
      </c>
      <c r="G33" s="451">
        <v>1200000</v>
      </c>
      <c r="H33" s="452">
        <v>1202000</v>
      </c>
      <c r="I33" s="467">
        <v>1200000</v>
      </c>
      <c r="J33" s="457"/>
    </row>
    <row r="34" spans="1:11">
      <c r="A34" s="450"/>
      <c r="B34" s="464">
        <v>1313700920</v>
      </c>
      <c r="C34" s="450">
        <v>920</v>
      </c>
      <c r="D34" s="450">
        <v>313700</v>
      </c>
      <c r="E34" s="450">
        <v>1</v>
      </c>
      <c r="F34" s="450" t="s">
        <v>77</v>
      </c>
      <c r="G34" s="451">
        <v>202000</v>
      </c>
      <c r="H34" s="452">
        <v>220000</v>
      </c>
      <c r="I34" s="467">
        <v>202000</v>
      </c>
      <c r="J34" s="457"/>
    </row>
    <row r="35" spans="1:11" ht="15">
      <c r="A35" s="453" t="s">
        <v>78</v>
      </c>
      <c r="B35" s="453"/>
      <c r="C35" s="453">
        <v>999</v>
      </c>
      <c r="D35" s="453">
        <v>313000</v>
      </c>
      <c r="E35" s="453"/>
      <c r="F35" s="453"/>
      <c r="G35" s="454">
        <v>44625000</v>
      </c>
      <c r="H35" s="454">
        <v>40384000</v>
      </c>
      <c r="I35" s="454">
        <v>53222982</v>
      </c>
      <c r="J35" s="458"/>
    </row>
    <row r="36" spans="1:11">
      <c r="A36" s="450"/>
      <c r="B36" s="464">
        <v>1315000920</v>
      </c>
      <c r="C36" s="450">
        <v>920</v>
      </c>
      <c r="D36" s="450">
        <v>315000</v>
      </c>
      <c r="E36" s="450">
        <v>1</v>
      </c>
      <c r="F36" s="450" t="s">
        <v>1526</v>
      </c>
      <c r="G36" s="451">
        <v>280000</v>
      </c>
      <c r="H36" s="452">
        <v>0</v>
      </c>
      <c r="I36" s="451">
        <v>280000</v>
      </c>
      <c r="J36" s="457"/>
    </row>
    <row r="37" spans="1:11" ht="15">
      <c r="A37" s="453" t="s">
        <v>79</v>
      </c>
      <c r="B37" s="453"/>
      <c r="C37" s="453">
        <v>999</v>
      </c>
      <c r="D37" s="453">
        <v>314000</v>
      </c>
      <c r="E37" s="453"/>
      <c r="F37" s="453"/>
      <c r="G37" s="454">
        <v>280000</v>
      </c>
      <c r="H37" s="454">
        <v>813000</v>
      </c>
      <c r="I37" s="454">
        <v>280000</v>
      </c>
      <c r="J37" s="458"/>
    </row>
    <row r="38" spans="1:11">
      <c r="A38" s="450" t="s">
        <v>80</v>
      </c>
      <c r="B38" s="464">
        <v>1317100920</v>
      </c>
      <c r="C38" s="450">
        <v>920</v>
      </c>
      <c r="D38" s="450">
        <v>317100</v>
      </c>
      <c r="E38" s="450">
        <v>1</v>
      </c>
      <c r="F38" s="450" t="s">
        <v>81</v>
      </c>
      <c r="G38" s="451">
        <v>270000</v>
      </c>
      <c r="H38" s="452">
        <v>270000</v>
      </c>
      <c r="I38" s="467">
        <v>270000</v>
      </c>
      <c r="J38" s="457"/>
    </row>
    <row r="39" spans="1:11">
      <c r="A39" s="450"/>
      <c r="B39" s="464">
        <v>1317103920</v>
      </c>
      <c r="C39" s="450">
        <v>920</v>
      </c>
      <c r="D39" s="450">
        <v>317103</v>
      </c>
      <c r="E39" s="450">
        <v>1</v>
      </c>
      <c r="F39" s="450" t="s">
        <v>82</v>
      </c>
      <c r="G39" s="451">
        <v>235000</v>
      </c>
      <c r="H39" s="452">
        <v>235000</v>
      </c>
      <c r="I39" s="467">
        <v>235000</v>
      </c>
      <c r="J39" s="457"/>
    </row>
    <row r="40" spans="1:11">
      <c r="A40" s="450"/>
      <c r="B40" s="464">
        <v>1317300920</v>
      </c>
      <c r="C40" s="450">
        <v>920</v>
      </c>
      <c r="D40" s="450">
        <v>317300</v>
      </c>
      <c r="E40" s="450">
        <v>1</v>
      </c>
      <c r="F40" s="450" t="s">
        <v>84</v>
      </c>
      <c r="G40" s="451">
        <v>4036000</v>
      </c>
      <c r="H40" s="452">
        <v>3286000</v>
      </c>
      <c r="I40" s="467">
        <v>4203600</v>
      </c>
      <c r="J40" s="457"/>
      <c r="K40" s="447" t="s">
        <v>2561</v>
      </c>
    </row>
    <row r="41" spans="1:11">
      <c r="A41" s="450"/>
      <c r="B41" s="464">
        <v>1317300921</v>
      </c>
      <c r="C41" s="450">
        <v>921</v>
      </c>
      <c r="D41" s="450">
        <v>317300</v>
      </c>
      <c r="E41" s="450">
        <v>1</v>
      </c>
      <c r="F41" s="450" t="s">
        <v>85</v>
      </c>
      <c r="G41" s="451">
        <v>150000</v>
      </c>
      <c r="H41" s="452">
        <v>100000</v>
      </c>
      <c r="I41" s="467">
        <v>200000</v>
      </c>
      <c r="J41" s="457"/>
    </row>
    <row r="42" spans="1:11">
      <c r="A42" s="450"/>
      <c r="B42" s="464">
        <v>1317600920</v>
      </c>
      <c r="C42" s="450">
        <v>920</v>
      </c>
      <c r="D42" s="450">
        <v>317600</v>
      </c>
      <c r="E42" s="450">
        <v>1</v>
      </c>
      <c r="F42" s="450" t="s">
        <v>86</v>
      </c>
      <c r="G42" s="451">
        <v>800000</v>
      </c>
      <c r="H42" s="452">
        <v>508000</v>
      </c>
      <c r="I42" s="467">
        <v>800000</v>
      </c>
      <c r="J42" s="457"/>
    </row>
    <row r="43" spans="1:11">
      <c r="A43" s="450"/>
      <c r="B43" s="464">
        <v>1317600990</v>
      </c>
      <c r="C43" s="450">
        <v>990</v>
      </c>
      <c r="D43" s="450">
        <v>317600</v>
      </c>
      <c r="E43" s="450">
        <v>1</v>
      </c>
      <c r="F43" s="450" t="s">
        <v>88</v>
      </c>
      <c r="G43" s="451">
        <v>1029000</v>
      </c>
      <c r="H43" s="452">
        <v>800000</v>
      </c>
      <c r="I43" s="467">
        <v>1029000</v>
      </c>
      <c r="J43" s="457" t="s">
        <v>4</v>
      </c>
    </row>
    <row r="44" spans="1:11">
      <c r="A44" s="450"/>
      <c r="B44" s="464">
        <v>1317703920</v>
      </c>
      <c r="C44" s="450">
        <v>920</v>
      </c>
      <c r="D44" s="450">
        <v>317703</v>
      </c>
      <c r="E44" s="450">
        <v>1</v>
      </c>
      <c r="F44" s="450" t="s">
        <v>89</v>
      </c>
      <c r="G44" s="451">
        <v>930000</v>
      </c>
      <c r="H44" s="452">
        <v>916000</v>
      </c>
      <c r="I44" s="467">
        <v>930000</v>
      </c>
      <c r="J44" s="457"/>
    </row>
    <row r="45" spans="1:11">
      <c r="A45" s="450"/>
      <c r="B45" s="464">
        <v>1317800420</v>
      </c>
      <c r="C45" s="450">
        <v>420</v>
      </c>
      <c r="D45" s="450">
        <v>317800</v>
      </c>
      <c r="E45" s="450">
        <v>1</v>
      </c>
      <c r="F45" s="450" t="s">
        <v>90</v>
      </c>
      <c r="G45" s="456">
        <v>150000</v>
      </c>
      <c r="H45" s="452">
        <v>132000</v>
      </c>
      <c r="I45" s="466">
        <v>175000</v>
      </c>
      <c r="J45" s="457"/>
    </row>
    <row r="46" spans="1:11">
      <c r="A46" s="450"/>
      <c r="B46" s="464">
        <v>1317802920</v>
      </c>
      <c r="C46" s="450">
        <v>920</v>
      </c>
      <c r="D46" s="450">
        <v>317802</v>
      </c>
      <c r="E46" s="450">
        <v>1</v>
      </c>
      <c r="F46" s="455" t="s">
        <v>91</v>
      </c>
      <c r="G46" s="451">
        <v>3500000</v>
      </c>
      <c r="H46" s="452">
        <v>3200000</v>
      </c>
      <c r="I46" s="467">
        <v>4350000</v>
      </c>
      <c r="J46" s="457" t="s">
        <v>4</v>
      </c>
    </row>
    <row r="47" spans="1:11">
      <c r="A47" s="450"/>
      <c r="B47" s="464">
        <v>1317803920</v>
      </c>
      <c r="C47" s="450">
        <v>920</v>
      </c>
      <c r="D47" s="450">
        <v>317803</v>
      </c>
      <c r="E47" s="450">
        <v>1</v>
      </c>
      <c r="F47" s="455" t="s">
        <v>92</v>
      </c>
      <c r="G47" s="451">
        <v>840000</v>
      </c>
      <c r="H47" s="452">
        <v>735000</v>
      </c>
      <c r="I47" s="467">
        <v>840000</v>
      </c>
      <c r="J47" s="457"/>
    </row>
    <row r="48" spans="1:11">
      <c r="A48" s="450"/>
      <c r="B48" s="464">
        <v>1317804920</v>
      </c>
      <c r="C48" s="450">
        <v>920</v>
      </c>
      <c r="D48" s="450">
        <v>317804</v>
      </c>
      <c r="E48" s="450">
        <v>1</v>
      </c>
      <c r="F48" s="455" t="s">
        <v>93</v>
      </c>
      <c r="G48" s="451">
        <v>3378000</v>
      </c>
      <c r="H48" s="452">
        <v>3712000</v>
      </c>
      <c r="I48" s="467">
        <v>3578000</v>
      </c>
      <c r="J48" s="457"/>
      <c r="K48" s="447"/>
    </row>
    <row r="49" spans="1:11">
      <c r="A49" s="450"/>
      <c r="B49" s="464">
        <v>1317900420</v>
      </c>
      <c r="C49" s="450">
        <v>420</v>
      </c>
      <c r="D49" s="450">
        <v>317900</v>
      </c>
      <c r="E49" s="450">
        <v>1</v>
      </c>
      <c r="F49" s="455" t="s">
        <v>94</v>
      </c>
      <c r="G49" s="451">
        <v>50000</v>
      </c>
      <c r="H49" s="452">
        <v>0</v>
      </c>
      <c r="I49" s="466">
        <v>50000</v>
      </c>
      <c r="J49" s="457" t="s">
        <v>4</v>
      </c>
      <c r="K49" s="447"/>
    </row>
    <row r="50" spans="1:11">
      <c r="A50" s="450"/>
      <c r="B50" s="464">
        <v>1317900921</v>
      </c>
      <c r="C50" s="450">
        <v>921</v>
      </c>
      <c r="D50" s="450">
        <v>317900</v>
      </c>
      <c r="E50" s="450">
        <v>1</v>
      </c>
      <c r="F50" s="450" t="s">
        <v>95</v>
      </c>
      <c r="G50" s="451">
        <v>4000000</v>
      </c>
      <c r="H50" s="452">
        <v>11015000</v>
      </c>
      <c r="I50" s="467">
        <v>2000000</v>
      </c>
      <c r="J50" s="457"/>
      <c r="K50" s="447" t="s">
        <v>2559</v>
      </c>
    </row>
    <row r="51" spans="1:11">
      <c r="A51" s="465"/>
      <c r="B51" s="468"/>
      <c r="C51" s="465"/>
      <c r="D51" s="465"/>
      <c r="E51" s="465"/>
      <c r="F51" s="465" t="s">
        <v>2562</v>
      </c>
      <c r="G51" s="469"/>
      <c r="H51" s="470"/>
      <c r="I51" s="469">
        <v>2411760</v>
      </c>
      <c r="J51" s="457"/>
      <c r="K51" s="447" t="s">
        <v>2563</v>
      </c>
    </row>
    <row r="52" spans="1:11">
      <c r="A52" s="465"/>
      <c r="B52" s="468"/>
      <c r="C52" s="465"/>
      <c r="D52" s="465"/>
      <c r="E52" s="465"/>
      <c r="F52" s="465" t="s">
        <v>2564</v>
      </c>
      <c r="G52" s="469"/>
      <c r="H52" s="470"/>
      <c r="I52" s="469">
        <v>950000</v>
      </c>
      <c r="J52" s="457"/>
      <c r="K52" s="447"/>
    </row>
    <row r="53" spans="1:11">
      <c r="A53" s="450"/>
      <c r="B53" s="464">
        <v>1317900923</v>
      </c>
      <c r="C53" s="450">
        <v>923</v>
      </c>
      <c r="D53" s="450">
        <v>317900</v>
      </c>
      <c r="E53" s="450">
        <v>1</v>
      </c>
      <c r="F53" s="450" t="s">
        <v>2413</v>
      </c>
      <c r="G53" s="451">
        <v>780000</v>
      </c>
      <c r="H53" s="452">
        <v>0</v>
      </c>
      <c r="I53" s="451">
        <v>780000</v>
      </c>
      <c r="J53" s="457" t="s">
        <v>1509</v>
      </c>
      <c r="K53" s="448"/>
    </row>
    <row r="54" spans="1:11" ht="15">
      <c r="A54" s="453" t="s">
        <v>97</v>
      </c>
      <c r="B54" s="453"/>
      <c r="C54" s="453">
        <v>999</v>
      </c>
      <c r="D54" s="453">
        <v>317000</v>
      </c>
      <c r="E54" s="453"/>
      <c r="F54" s="453"/>
      <c r="G54" s="454">
        <v>20698000</v>
      </c>
      <c r="H54" s="454">
        <v>25482000</v>
      </c>
      <c r="I54" s="454">
        <v>22802360</v>
      </c>
      <c r="J54" s="458">
        <v>0</v>
      </c>
      <c r="K54" s="447"/>
    </row>
    <row r="60" spans="1:11" ht="34.5" customHeight="1">
      <c r="A60" s="507" t="s">
        <v>1</v>
      </c>
      <c r="B60" s="513"/>
      <c r="C60" s="508" t="s">
        <v>2</v>
      </c>
      <c r="D60" s="508" t="s">
        <v>4</v>
      </c>
      <c r="E60" s="508"/>
      <c r="F60" s="509" t="s">
        <v>271</v>
      </c>
      <c r="G60" s="510" t="s">
        <v>2185</v>
      </c>
      <c r="H60" s="510" t="s">
        <v>2184</v>
      </c>
      <c r="I60" s="511" t="s">
        <v>2522</v>
      </c>
      <c r="J60" s="512" t="s">
        <v>5</v>
      </c>
      <c r="K60" s="511" t="s">
        <v>2519</v>
      </c>
    </row>
    <row r="61" spans="1:11" ht="34.5" customHeight="1">
      <c r="A61" s="487"/>
      <c r="B61" s="517">
        <v>1744000781</v>
      </c>
      <c r="C61" s="482">
        <v>781</v>
      </c>
      <c r="D61" s="482">
        <v>744000</v>
      </c>
      <c r="E61" s="482">
        <v>1</v>
      </c>
      <c r="F61" s="482" t="s">
        <v>458</v>
      </c>
      <c r="G61" s="483">
        <v>203000</v>
      </c>
      <c r="H61" s="481">
        <v>62000</v>
      </c>
      <c r="I61" s="483">
        <v>292000</v>
      </c>
      <c r="J61" s="488" t="s">
        <v>2473</v>
      </c>
      <c r="K61" s="479" t="s">
        <v>2565</v>
      </c>
    </row>
    <row r="62" spans="1:11" ht="34.5" customHeight="1">
      <c r="A62" s="520"/>
      <c r="B62" s="521">
        <v>1800000781</v>
      </c>
      <c r="C62" s="522">
        <v>781</v>
      </c>
      <c r="D62" s="522">
        <v>800000</v>
      </c>
      <c r="E62" s="522">
        <v>1</v>
      </c>
      <c r="F62" s="522" t="s">
        <v>543</v>
      </c>
      <c r="G62" s="523">
        <v>1000000</v>
      </c>
      <c r="H62" s="481">
        <v>1300000</v>
      </c>
      <c r="I62" s="534">
        <v>1000000</v>
      </c>
      <c r="J62" s="488" t="s">
        <v>1508</v>
      </c>
      <c r="K62" s="526" t="s">
        <v>2566</v>
      </c>
    </row>
    <row r="63" spans="1:11" ht="34.5" customHeight="1">
      <c r="A63" s="487"/>
      <c r="B63" s="517">
        <v>1811000410</v>
      </c>
      <c r="C63" s="482">
        <v>410</v>
      </c>
      <c r="D63" s="482">
        <v>811000</v>
      </c>
      <c r="E63" s="482">
        <v>1</v>
      </c>
      <c r="F63" s="482" t="s">
        <v>304</v>
      </c>
      <c r="G63" s="483">
        <v>966000</v>
      </c>
      <c r="H63" s="481">
        <v>622000</v>
      </c>
      <c r="I63" s="483">
        <v>1040000</v>
      </c>
      <c r="J63" s="488" t="s">
        <v>305</v>
      </c>
      <c r="K63" s="479" t="s">
        <v>2567</v>
      </c>
    </row>
    <row r="64" spans="1:11" ht="34.5" customHeight="1">
      <c r="A64" s="487"/>
      <c r="B64" s="517">
        <v>1811000430</v>
      </c>
      <c r="C64" s="482">
        <v>430</v>
      </c>
      <c r="D64" s="482">
        <v>811000</v>
      </c>
      <c r="E64" s="482">
        <v>1</v>
      </c>
      <c r="F64" s="482" t="s">
        <v>311</v>
      </c>
      <c r="G64" s="483">
        <v>140000</v>
      </c>
      <c r="H64" s="481">
        <v>100000</v>
      </c>
      <c r="I64" s="527">
        <v>152000</v>
      </c>
      <c r="J64" s="488" t="s">
        <v>2231</v>
      </c>
      <c r="K64" s="524" t="s">
        <v>2568</v>
      </c>
    </row>
    <row r="65" spans="1:11" ht="34.5" customHeight="1">
      <c r="A65" s="487"/>
      <c r="B65" s="517">
        <v>1811000530</v>
      </c>
      <c r="C65" s="482">
        <v>530</v>
      </c>
      <c r="D65" s="482">
        <v>811000</v>
      </c>
      <c r="E65" s="482">
        <v>1</v>
      </c>
      <c r="F65" s="482" t="s">
        <v>277</v>
      </c>
      <c r="G65" s="483">
        <v>270000</v>
      </c>
      <c r="H65" s="481">
        <v>200000</v>
      </c>
      <c r="I65" s="527">
        <v>270000</v>
      </c>
      <c r="J65" s="488" t="s">
        <v>287</v>
      </c>
      <c r="K65" s="471"/>
    </row>
    <row r="66" spans="1:11" ht="34.5" customHeight="1">
      <c r="A66" s="487"/>
      <c r="B66" s="517">
        <v>1811000540</v>
      </c>
      <c r="C66" s="482">
        <v>540</v>
      </c>
      <c r="D66" s="482">
        <v>811000</v>
      </c>
      <c r="E66" s="482">
        <v>1</v>
      </c>
      <c r="F66" s="482" t="s">
        <v>279</v>
      </c>
      <c r="G66" s="483">
        <v>40000</v>
      </c>
      <c r="H66" s="481">
        <v>30000</v>
      </c>
      <c r="I66" s="527">
        <v>120000</v>
      </c>
      <c r="J66" s="488"/>
      <c r="K66" s="528" t="s">
        <v>2569</v>
      </c>
    </row>
    <row r="67" spans="1:11" ht="34.5" customHeight="1">
      <c r="A67" s="487"/>
      <c r="B67" s="517">
        <v>1811000750</v>
      </c>
      <c r="C67" s="482">
        <v>750</v>
      </c>
      <c r="D67" s="482">
        <v>811000</v>
      </c>
      <c r="E67" s="482">
        <v>1</v>
      </c>
      <c r="F67" s="482" t="s">
        <v>546</v>
      </c>
      <c r="G67" s="483">
        <v>300000</v>
      </c>
      <c r="H67" s="481">
        <v>150000</v>
      </c>
      <c r="I67" s="527">
        <v>300000</v>
      </c>
      <c r="J67" s="506" t="s">
        <v>2494</v>
      </c>
      <c r="K67" s="479" t="s">
        <v>2495</v>
      </c>
    </row>
    <row r="68" spans="1:11" ht="34.5" customHeight="1">
      <c r="A68" s="487"/>
      <c r="B68" s="517">
        <v>1811000751</v>
      </c>
      <c r="C68" s="482">
        <v>751</v>
      </c>
      <c r="D68" s="482">
        <v>811000</v>
      </c>
      <c r="E68" s="482">
        <v>1</v>
      </c>
      <c r="F68" s="482" t="s">
        <v>2570</v>
      </c>
      <c r="G68" s="483">
        <v>250000</v>
      </c>
      <c r="H68" s="481">
        <v>180000</v>
      </c>
      <c r="I68" s="483">
        <v>280000</v>
      </c>
      <c r="J68" s="488" t="s">
        <v>1513</v>
      </c>
      <c r="K68" s="519" t="s">
        <v>2571</v>
      </c>
    </row>
    <row r="69" spans="1:11" ht="34.5" customHeight="1">
      <c r="A69" s="487"/>
      <c r="B69" s="517">
        <v>1811000752</v>
      </c>
      <c r="C69" s="482">
        <v>752</v>
      </c>
      <c r="D69" s="482">
        <v>811000</v>
      </c>
      <c r="E69" s="482">
        <v>1</v>
      </c>
      <c r="F69" s="482" t="s">
        <v>548</v>
      </c>
      <c r="G69" s="483">
        <v>0</v>
      </c>
      <c r="H69" s="481">
        <v>40000</v>
      </c>
      <c r="I69" s="484">
        <v>850000</v>
      </c>
      <c r="J69" s="491" t="s">
        <v>2370</v>
      </c>
      <c r="K69" s="471"/>
    </row>
    <row r="70" spans="1:11" ht="34.5" customHeight="1">
      <c r="A70" s="487"/>
      <c r="B70" s="517">
        <v>1811000754</v>
      </c>
      <c r="C70" s="482">
        <v>754</v>
      </c>
      <c r="D70" s="482">
        <v>811000</v>
      </c>
      <c r="E70" s="482">
        <v>1</v>
      </c>
      <c r="F70" s="482" t="s">
        <v>1514</v>
      </c>
      <c r="G70" s="483">
        <v>0</v>
      </c>
      <c r="H70" s="481">
        <v>300000</v>
      </c>
      <c r="I70" s="484">
        <v>540000</v>
      </c>
      <c r="J70" s="491" t="s">
        <v>2370</v>
      </c>
      <c r="K70" s="471"/>
    </row>
    <row r="71" spans="1:11" ht="34.5" customHeight="1">
      <c r="A71" s="487"/>
      <c r="B71" s="517">
        <v>1811000755</v>
      </c>
      <c r="C71" s="482">
        <v>755</v>
      </c>
      <c r="D71" s="482">
        <v>811000</v>
      </c>
      <c r="E71" s="482">
        <v>1</v>
      </c>
      <c r="F71" s="482" t="s">
        <v>1527</v>
      </c>
      <c r="G71" s="483">
        <v>400000</v>
      </c>
      <c r="H71" s="481">
        <v>310000</v>
      </c>
      <c r="I71" s="483">
        <v>450000</v>
      </c>
      <c r="J71" s="488" t="s">
        <v>2404</v>
      </c>
      <c r="K71" s="471"/>
    </row>
    <row r="72" spans="1:11" ht="34.5" customHeight="1">
      <c r="A72" s="487"/>
      <c r="B72" s="517">
        <v>1811000756</v>
      </c>
      <c r="C72" s="482">
        <v>756</v>
      </c>
      <c r="D72" s="482">
        <v>811000</v>
      </c>
      <c r="E72" s="482">
        <v>1</v>
      </c>
      <c r="F72" s="485" t="s">
        <v>2220</v>
      </c>
      <c r="G72" s="483">
        <v>120000</v>
      </c>
      <c r="H72" s="481">
        <v>0</v>
      </c>
      <c r="I72" s="484">
        <v>248000</v>
      </c>
      <c r="J72" s="492" t="s">
        <v>2221</v>
      </c>
      <c r="K72" s="529" t="s">
        <v>2572</v>
      </c>
    </row>
    <row r="73" spans="1:11" ht="34.5" customHeight="1">
      <c r="A73" s="493" t="s">
        <v>4</v>
      </c>
      <c r="B73" s="517">
        <v>1811000780</v>
      </c>
      <c r="C73" s="482">
        <v>780</v>
      </c>
      <c r="D73" s="482">
        <v>811000</v>
      </c>
      <c r="E73" s="482">
        <v>1</v>
      </c>
      <c r="F73" s="482" t="s">
        <v>379</v>
      </c>
      <c r="G73" s="483">
        <v>250000</v>
      </c>
      <c r="H73" s="481">
        <v>150000</v>
      </c>
      <c r="I73" s="486">
        <v>700000</v>
      </c>
      <c r="J73" s="492" t="s">
        <v>2233</v>
      </c>
      <c r="K73" s="528" t="s">
        <v>2573</v>
      </c>
    </row>
    <row r="74" spans="1:11" s="329" customFormat="1" ht="34.5" customHeight="1" thickBot="1">
      <c r="A74" s="317"/>
      <c r="B74" s="355">
        <v>1811000781</v>
      </c>
      <c r="C74" s="356">
        <v>781</v>
      </c>
      <c r="D74" s="356">
        <v>811000</v>
      </c>
      <c r="E74" s="356">
        <v>1</v>
      </c>
      <c r="F74" s="356" t="s">
        <v>549</v>
      </c>
      <c r="G74" s="359">
        <v>1176000</v>
      </c>
      <c r="H74" s="348">
        <v>1138000</v>
      </c>
      <c r="I74" s="398">
        <v>1656000</v>
      </c>
      <c r="J74" s="378" t="s">
        <v>550</v>
      </c>
      <c r="K74" s="439" t="s">
        <v>2574</v>
      </c>
    </row>
    <row r="75" spans="1:11" ht="34.5" customHeight="1">
      <c r="A75" s="319"/>
      <c r="B75" s="318">
        <v>1812200430</v>
      </c>
      <c r="C75" s="327">
        <v>430</v>
      </c>
      <c r="D75" s="327">
        <v>812200</v>
      </c>
      <c r="E75" s="327">
        <v>1</v>
      </c>
      <c r="F75" s="327" t="s">
        <v>311</v>
      </c>
      <c r="G75" s="361">
        <v>340000</v>
      </c>
      <c r="H75" s="316">
        <v>250000</v>
      </c>
      <c r="I75" s="401">
        <v>390000</v>
      </c>
      <c r="J75" s="314" t="s">
        <v>557</v>
      </c>
      <c r="K75" s="339" t="s">
        <v>2575</v>
      </c>
    </row>
    <row r="76" spans="1:11" ht="34.5" customHeight="1">
      <c r="A76" s="487"/>
      <c r="B76" s="517">
        <v>1812200432</v>
      </c>
      <c r="C76" s="482">
        <v>432</v>
      </c>
      <c r="D76" s="482">
        <v>812200</v>
      </c>
      <c r="E76" s="482">
        <v>1</v>
      </c>
      <c r="F76" s="482" t="s">
        <v>462</v>
      </c>
      <c r="G76" s="483">
        <v>150000</v>
      </c>
      <c r="H76" s="481">
        <v>150000</v>
      </c>
      <c r="I76" s="527">
        <v>159000</v>
      </c>
      <c r="J76" s="488" t="s">
        <v>558</v>
      </c>
      <c r="K76" s="524" t="s">
        <v>2576</v>
      </c>
    </row>
    <row r="77" spans="1:11" ht="34.5" customHeight="1">
      <c r="A77" s="487"/>
      <c r="B77" s="517">
        <v>1812200743</v>
      </c>
      <c r="C77" s="482">
        <v>743</v>
      </c>
      <c r="D77" s="482">
        <v>812200</v>
      </c>
      <c r="E77" s="482">
        <v>1</v>
      </c>
      <c r="F77" s="482" t="s">
        <v>559</v>
      </c>
      <c r="G77" s="483">
        <v>150000</v>
      </c>
      <c r="H77" s="481">
        <v>100000</v>
      </c>
      <c r="I77" s="527">
        <v>552500</v>
      </c>
      <c r="J77" s="488" t="s">
        <v>560</v>
      </c>
      <c r="K77" s="524" t="s">
        <v>2577</v>
      </c>
    </row>
    <row r="78" spans="1:11" ht="34.5" customHeight="1">
      <c r="A78" s="487"/>
      <c r="B78" s="517">
        <v>1812200750</v>
      </c>
      <c r="C78" s="482">
        <v>750</v>
      </c>
      <c r="D78" s="482">
        <v>812200</v>
      </c>
      <c r="E78" s="482">
        <v>1</v>
      </c>
      <c r="F78" s="482" t="s">
        <v>288</v>
      </c>
      <c r="G78" s="483">
        <v>400000</v>
      </c>
      <c r="H78" s="481">
        <v>380000</v>
      </c>
      <c r="I78" s="527">
        <v>800000</v>
      </c>
      <c r="J78" s="488" t="s">
        <v>2196</v>
      </c>
      <c r="K78" s="524" t="s">
        <v>2578</v>
      </c>
    </row>
    <row r="79" spans="1:11" ht="34.5" customHeight="1">
      <c r="A79" s="487"/>
      <c r="B79" s="517">
        <v>1812200752</v>
      </c>
      <c r="C79" s="482">
        <v>752</v>
      </c>
      <c r="D79" s="482">
        <v>812200</v>
      </c>
      <c r="E79" s="482">
        <v>1</v>
      </c>
      <c r="F79" s="482" t="s">
        <v>561</v>
      </c>
      <c r="G79" s="483">
        <v>153000</v>
      </c>
      <c r="H79" s="481">
        <v>90000</v>
      </c>
      <c r="I79" s="527">
        <v>177780</v>
      </c>
      <c r="J79" s="489" t="s">
        <v>562</v>
      </c>
      <c r="K79" s="524" t="s">
        <v>2579</v>
      </c>
    </row>
    <row r="80" spans="1:11" ht="34.5" customHeight="1">
      <c r="A80" s="487"/>
      <c r="B80" s="517">
        <v>1812200780</v>
      </c>
      <c r="C80" s="482">
        <v>780</v>
      </c>
      <c r="D80" s="482">
        <v>812200</v>
      </c>
      <c r="E80" s="482">
        <v>1</v>
      </c>
      <c r="F80" s="482" t="s">
        <v>280</v>
      </c>
      <c r="G80" s="483">
        <v>1798000</v>
      </c>
      <c r="H80" s="481">
        <v>3117000</v>
      </c>
      <c r="I80" s="530">
        <v>2030000</v>
      </c>
      <c r="J80" s="494" t="s">
        <v>2405</v>
      </c>
      <c r="K80" s="528" t="s">
        <v>2580</v>
      </c>
    </row>
    <row r="81" spans="1:11" ht="34.5" customHeight="1">
      <c r="A81" s="487"/>
      <c r="B81" s="517">
        <v>1812200781</v>
      </c>
      <c r="C81" s="482">
        <v>781</v>
      </c>
      <c r="D81" s="482">
        <v>812200</v>
      </c>
      <c r="E81" s="482">
        <v>1</v>
      </c>
      <c r="F81" s="485" t="s">
        <v>2222</v>
      </c>
      <c r="G81" s="483">
        <v>2975000</v>
      </c>
      <c r="H81" s="481">
        <v>0</v>
      </c>
      <c r="I81" s="478">
        <v>3285000</v>
      </c>
      <c r="J81" s="492" t="s">
        <v>2223</v>
      </c>
      <c r="K81" s="528" t="s">
        <v>2581</v>
      </c>
    </row>
    <row r="82" spans="1:11" ht="34.5" customHeight="1">
      <c r="A82" s="487"/>
      <c r="B82" s="517">
        <v>1812200980</v>
      </c>
      <c r="C82" s="482">
        <v>980</v>
      </c>
      <c r="D82" s="482">
        <v>812200</v>
      </c>
      <c r="E82" s="482">
        <v>1</v>
      </c>
      <c r="F82" s="482" t="s">
        <v>546</v>
      </c>
      <c r="G82" s="483">
        <v>1600000</v>
      </c>
      <c r="H82" s="481">
        <v>1237000</v>
      </c>
      <c r="I82" s="527">
        <v>2851750</v>
      </c>
      <c r="J82" s="489" t="s">
        <v>563</v>
      </c>
      <c r="K82" s="528" t="s">
        <v>2582</v>
      </c>
    </row>
    <row r="83" spans="1:11" ht="34.5" customHeight="1">
      <c r="A83" s="531" t="s">
        <v>2583</v>
      </c>
      <c r="B83" s="532" t="s">
        <v>2584</v>
      </c>
      <c r="C83" s="533"/>
      <c r="D83" s="533"/>
      <c r="E83" s="533"/>
      <c r="F83" s="533" t="s">
        <v>2585</v>
      </c>
      <c r="G83" s="534"/>
      <c r="H83" s="481"/>
      <c r="I83" s="535">
        <v>900000</v>
      </c>
      <c r="J83" s="489"/>
      <c r="K83" s="536" t="s">
        <v>2586</v>
      </c>
    </row>
    <row r="84" spans="1:11" ht="34.5" customHeight="1">
      <c r="A84" s="487"/>
      <c r="B84" s="517">
        <v>1812300430</v>
      </c>
      <c r="C84" s="482">
        <v>430</v>
      </c>
      <c r="D84" s="482">
        <v>812300</v>
      </c>
      <c r="E84" s="482">
        <v>1</v>
      </c>
      <c r="F84" s="482" t="s">
        <v>311</v>
      </c>
      <c r="G84" s="483">
        <v>350000</v>
      </c>
      <c r="H84" s="481">
        <v>200000</v>
      </c>
      <c r="I84" s="527">
        <v>390000</v>
      </c>
      <c r="J84" s="488" t="s">
        <v>567</v>
      </c>
      <c r="K84" s="528" t="s">
        <v>2587</v>
      </c>
    </row>
    <row r="85" spans="1:11" ht="34.5" customHeight="1">
      <c r="A85" s="487" t="s">
        <v>4</v>
      </c>
      <c r="B85" s="517">
        <v>1812300432</v>
      </c>
      <c r="C85" s="482">
        <v>432</v>
      </c>
      <c r="D85" s="482">
        <v>812300</v>
      </c>
      <c r="E85" s="482">
        <v>1</v>
      </c>
      <c r="F85" s="482" t="s">
        <v>462</v>
      </c>
      <c r="G85" s="483">
        <v>150000</v>
      </c>
      <c r="H85" s="481">
        <v>120000</v>
      </c>
      <c r="I85" s="527">
        <v>150000</v>
      </c>
      <c r="J85" s="488" t="s">
        <v>568</v>
      </c>
      <c r="K85" s="524" t="s">
        <v>558</v>
      </c>
    </row>
    <row r="86" spans="1:11" ht="34.5" customHeight="1">
      <c r="A86" s="487"/>
      <c r="B86" s="517">
        <v>1812300780</v>
      </c>
      <c r="C86" s="482">
        <v>780</v>
      </c>
      <c r="D86" s="482">
        <v>812300</v>
      </c>
      <c r="E86" s="482">
        <v>1</v>
      </c>
      <c r="F86" s="482" t="s">
        <v>280</v>
      </c>
      <c r="G86" s="483">
        <v>1240000</v>
      </c>
      <c r="H86" s="481">
        <v>897000</v>
      </c>
      <c r="I86" s="530">
        <v>1240000</v>
      </c>
      <c r="J86" s="488" t="s">
        <v>2224</v>
      </c>
      <c r="K86" s="524" t="s">
        <v>2588</v>
      </c>
    </row>
    <row r="87" spans="1:11" ht="34.5" customHeight="1">
      <c r="A87" s="487"/>
      <c r="B87" s="517">
        <v>1812300781</v>
      </c>
      <c r="C87" s="482">
        <v>781</v>
      </c>
      <c r="D87" s="482">
        <v>812300</v>
      </c>
      <c r="E87" s="482">
        <v>1</v>
      </c>
      <c r="F87" s="482" t="s">
        <v>569</v>
      </c>
      <c r="G87" s="483">
        <v>2160000</v>
      </c>
      <c r="H87" s="481">
        <v>3000000</v>
      </c>
      <c r="I87" s="538">
        <v>2500000</v>
      </c>
      <c r="J87" s="488" t="s">
        <v>570</v>
      </c>
      <c r="K87" s="537" t="s">
        <v>2589</v>
      </c>
    </row>
    <row r="88" spans="1:11" ht="34.5" customHeight="1">
      <c r="A88" s="487"/>
      <c r="B88" s="517">
        <v>1812300782</v>
      </c>
      <c r="C88" s="482">
        <v>782</v>
      </c>
      <c r="D88" s="482">
        <v>812300</v>
      </c>
      <c r="E88" s="482">
        <v>1</v>
      </c>
      <c r="F88" s="482" t="s">
        <v>52</v>
      </c>
      <c r="G88" s="483">
        <v>250000</v>
      </c>
      <c r="H88" s="481">
        <v>450000</v>
      </c>
      <c r="I88" s="538">
        <v>2650000</v>
      </c>
      <c r="J88" s="488" t="s">
        <v>571</v>
      </c>
      <c r="K88" s="524" t="s">
        <v>2590</v>
      </c>
    </row>
    <row r="89" spans="1:11" ht="34.5" customHeight="1">
      <c r="A89" s="487"/>
      <c r="B89" s="517">
        <v>1812300821</v>
      </c>
      <c r="C89" s="482">
        <v>821</v>
      </c>
      <c r="D89" s="482">
        <v>812300</v>
      </c>
      <c r="E89" s="482">
        <v>1</v>
      </c>
      <c r="F89" s="482" t="s">
        <v>572</v>
      </c>
      <c r="G89" s="483">
        <v>28847000</v>
      </c>
      <c r="H89" s="481">
        <v>28166000</v>
      </c>
      <c r="I89" s="538">
        <v>28847000</v>
      </c>
      <c r="J89" s="488" t="s">
        <v>573</v>
      </c>
      <c r="K89" s="524" t="s">
        <v>2591</v>
      </c>
    </row>
    <row r="90" spans="1:11" ht="34.5" customHeight="1">
      <c r="A90" s="487"/>
      <c r="B90" s="517">
        <v>1813200410</v>
      </c>
      <c r="C90" s="482">
        <v>410</v>
      </c>
      <c r="D90" s="482">
        <v>813200</v>
      </c>
      <c r="E90" s="482">
        <v>1</v>
      </c>
      <c r="F90" s="482" t="s">
        <v>304</v>
      </c>
      <c r="G90" s="483">
        <v>201617</v>
      </c>
      <c r="H90" s="481">
        <v>75000</v>
      </c>
      <c r="I90" s="527">
        <v>175000</v>
      </c>
      <c r="J90" s="488" t="s">
        <v>305</v>
      </c>
      <c r="K90" s="479" t="s">
        <v>2592</v>
      </c>
    </row>
    <row r="91" spans="1:11" ht="34.5" customHeight="1">
      <c r="A91" s="487"/>
      <c r="B91" s="517">
        <v>1813200430</v>
      </c>
      <c r="C91" s="482">
        <v>430</v>
      </c>
      <c r="D91" s="482">
        <v>813200</v>
      </c>
      <c r="E91" s="482">
        <v>1</v>
      </c>
      <c r="F91" s="482" t="s">
        <v>311</v>
      </c>
      <c r="G91" s="483">
        <v>1548000</v>
      </c>
      <c r="H91" s="481">
        <v>1530000</v>
      </c>
      <c r="I91" s="538">
        <v>1996000</v>
      </c>
      <c r="J91" s="495" t="s">
        <v>579</v>
      </c>
      <c r="K91" s="539" t="s">
        <v>2593</v>
      </c>
    </row>
    <row r="92" spans="1:11" ht="34.5" customHeight="1">
      <c r="A92" s="487"/>
      <c r="B92" s="517">
        <v>1813200432</v>
      </c>
      <c r="C92" s="482">
        <v>432</v>
      </c>
      <c r="D92" s="482">
        <v>813200</v>
      </c>
      <c r="E92" s="482">
        <v>1</v>
      </c>
      <c r="F92" s="482" t="s">
        <v>462</v>
      </c>
      <c r="G92" s="483">
        <v>1700000</v>
      </c>
      <c r="H92" s="481">
        <v>1550000</v>
      </c>
      <c r="I92" s="538">
        <v>1200000</v>
      </c>
      <c r="J92" s="495" t="s">
        <v>579</v>
      </c>
      <c r="K92" s="539" t="s">
        <v>2594</v>
      </c>
    </row>
    <row r="93" spans="1:11" ht="34.5" customHeight="1">
      <c r="A93" s="487"/>
      <c r="B93" s="517">
        <v>1813200743</v>
      </c>
      <c r="C93" s="482">
        <v>743</v>
      </c>
      <c r="D93" s="482">
        <v>813200</v>
      </c>
      <c r="E93" s="482">
        <v>1</v>
      </c>
      <c r="F93" s="482" t="s">
        <v>580</v>
      </c>
      <c r="G93" s="483">
        <v>200000</v>
      </c>
      <c r="H93" s="481">
        <v>100000</v>
      </c>
      <c r="I93" s="538">
        <v>470000</v>
      </c>
      <c r="J93" s="506" t="s">
        <v>2497</v>
      </c>
      <c r="K93" s="539" t="s">
        <v>2595</v>
      </c>
    </row>
    <row r="94" spans="1:11" ht="34.5" customHeight="1">
      <c r="A94" s="487"/>
      <c r="B94" s="517">
        <v>1813200751</v>
      </c>
      <c r="C94" s="482">
        <v>751</v>
      </c>
      <c r="D94" s="482">
        <v>813200</v>
      </c>
      <c r="E94" s="482">
        <v>1</v>
      </c>
      <c r="F94" s="482" t="s">
        <v>581</v>
      </c>
      <c r="G94" s="483">
        <v>8532000</v>
      </c>
      <c r="H94" s="481">
        <v>6852000</v>
      </c>
      <c r="I94" s="483">
        <v>8900000</v>
      </c>
      <c r="J94" s="488" t="s">
        <v>582</v>
      </c>
      <c r="K94" s="541" t="s">
        <v>2596</v>
      </c>
    </row>
    <row r="95" spans="1:11" ht="34.5" customHeight="1">
      <c r="A95" s="487"/>
      <c r="B95" s="517">
        <v>1813200780</v>
      </c>
      <c r="C95" s="482">
        <v>780</v>
      </c>
      <c r="D95" s="482">
        <v>813200</v>
      </c>
      <c r="E95" s="482">
        <v>1</v>
      </c>
      <c r="F95" s="482" t="s">
        <v>280</v>
      </c>
      <c r="G95" s="483">
        <v>5068000</v>
      </c>
      <c r="H95" s="481">
        <v>10967000</v>
      </c>
      <c r="I95" s="538">
        <v>4256000</v>
      </c>
      <c r="J95" s="488" t="s">
        <v>2484</v>
      </c>
      <c r="K95" s="540" t="s">
        <v>2597</v>
      </c>
    </row>
    <row r="96" spans="1:11" ht="34.5" customHeight="1">
      <c r="A96" s="487"/>
      <c r="B96" s="517">
        <v>1813200781</v>
      </c>
      <c r="C96" s="482">
        <v>781</v>
      </c>
      <c r="D96" s="482">
        <v>813200</v>
      </c>
      <c r="E96" s="482">
        <v>1</v>
      </c>
      <c r="F96" s="482" t="s">
        <v>60</v>
      </c>
      <c r="G96" s="483">
        <v>4427000</v>
      </c>
      <c r="H96" s="481">
        <v>4309000</v>
      </c>
      <c r="I96" s="538">
        <v>2927000</v>
      </c>
      <c r="J96" s="488" t="s">
        <v>583</v>
      </c>
      <c r="K96" s="525" t="s">
        <v>2598</v>
      </c>
    </row>
    <row r="97" spans="1:11" ht="34.5" customHeight="1">
      <c r="A97" s="487"/>
      <c r="B97" s="517">
        <v>1813200782</v>
      </c>
      <c r="C97" s="482">
        <v>782</v>
      </c>
      <c r="D97" s="482">
        <v>813200</v>
      </c>
      <c r="E97" s="482">
        <v>1</v>
      </c>
      <c r="F97" s="482" t="s">
        <v>2411</v>
      </c>
      <c r="G97" s="483">
        <v>780000</v>
      </c>
      <c r="H97" s="481">
        <v>0</v>
      </c>
      <c r="I97" s="527">
        <v>780000</v>
      </c>
      <c r="J97" s="488" t="s">
        <v>2412</v>
      </c>
      <c r="K97" s="526"/>
    </row>
    <row r="98" spans="1:11" ht="34.5" customHeight="1">
      <c r="A98" s="487"/>
      <c r="B98" s="517">
        <v>1813200980</v>
      </c>
      <c r="C98" s="482">
        <v>980</v>
      </c>
      <c r="D98" s="482">
        <v>813200</v>
      </c>
      <c r="E98" s="482">
        <v>1</v>
      </c>
      <c r="F98" s="482" t="s">
        <v>546</v>
      </c>
      <c r="G98" s="483">
        <v>2940000</v>
      </c>
      <c r="H98" s="481">
        <v>2554000</v>
      </c>
      <c r="I98" s="527">
        <v>2360000</v>
      </c>
      <c r="J98" s="505" t="s">
        <v>2499</v>
      </c>
      <c r="K98" s="525" t="s">
        <v>2599</v>
      </c>
    </row>
    <row r="99" spans="1:11" ht="34.5" customHeight="1">
      <c r="A99" s="487"/>
      <c r="B99" s="517">
        <v>1813300430</v>
      </c>
      <c r="C99" s="482">
        <v>430</v>
      </c>
      <c r="D99" s="482">
        <v>813300</v>
      </c>
      <c r="E99" s="482">
        <v>1</v>
      </c>
      <c r="F99" s="482" t="s">
        <v>311</v>
      </c>
      <c r="G99" s="483">
        <v>150000</v>
      </c>
      <c r="H99" s="481">
        <v>130000</v>
      </c>
      <c r="I99" s="527">
        <v>162000</v>
      </c>
      <c r="J99" s="488" t="s">
        <v>2225</v>
      </c>
      <c r="K99" s="524" t="s">
        <v>2600</v>
      </c>
    </row>
    <row r="100" spans="1:11" ht="34.5" customHeight="1">
      <c r="A100" s="487"/>
      <c r="B100" s="517">
        <v>1813300432</v>
      </c>
      <c r="C100" s="482">
        <v>432</v>
      </c>
      <c r="D100" s="482">
        <v>813300</v>
      </c>
      <c r="E100" s="482">
        <v>1</v>
      </c>
      <c r="F100" s="482" t="s">
        <v>462</v>
      </c>
      <c r="G100" s="483">
        <v>180000</v>
      </c>
      <c r="H100" s="481">
        <v>150000</v>
      </c>
      <c r="I100" s="527">
        <v>180000</v>
      </c>
      <c r="J100" s="488" t="s">
        <v>2226</v>
      </c>
      <c r="K100" s="524" t="s">
        <v>2601</v>
      </c>
    </row>
    <row r="101" spans="1:11" ht="34.5" customHeight="1">
      <c r="A101" s="487"/>
      <c r="B101" s="517">
        <v>1813300780</v>
      </c>
      <c r="C101" s="482">
        <v>780</v>
      </c>
      <c r="D101" s="482">
        <v>813300</v>
      </c>
      <c r="E101" s="482">
        <v>1</v>
      </c>
      <c r="F101" s="482" t="s">
        <v>280</v>
      </c>
      <c r="G101" s="483">
        <v>1500000</v>
      </c>
      <c r="H101" s="481">
        <v>1548000</v>
      </c>
      <c r="I101" s="527">
        <v>1800000</v>
      </c>
      <c r="J101" s="488" t="s">
        <v>587</v>
      </c>
      <c r="K101" s="528" t="s">
        <v>2602</v>
      </c>
    </row>
    <row r="102" spans="1:11" ht="34.5" customHeight="1">
      <c r="A102" s="487"/>
      <c r="B102" s="517">
        <v>1813400430</v>
      </c>
      <c r="C102" s="482">
        <v>430</v>
      </c>
      <c r="D102" s="482">
        <v>813400</v>
      </c>
      <c r="E102" s="482">
        <v>1</v>
      </c>
      <c r="F102" s="482" t="s">
        <v>591</v>
      </c>
      <c r="G102" s="483">
        <v>400000</v>
      </c>
      <c r="H102" s="481">
        <v>400000</v>
      </c>
      <c r="I102" s="483">
        <v>432000</v>
      </c>
      <c r="J102" s="488" t="s">
        <v>592</v>
      </c>
      <c r="K102" s="479" t="s">
        <v>2603</v>
      </c>
    </row>
    <row r="103" spans="1:11" ht="34.5" customHeight="1">
      <c r="A103" s="487"/>
      <c r="B103" s="517">
        <v>1813400550</v>
      </c>
      <c r="C103" s="482">
        <v>550</v>
      </c>
      <c r="D103" s="482">
        <v>813400</v>
      </c>
      <c r="E103" s="482">
        <v>1</v>
      </c>
      <c r="F103" s="482" t="s">
        <v>318</v>
      </c>
      <c r="G103" s="483">
        <v>0</v>
      </c>
      <c r="H103" s="481">
        <v>500000</v>
      </c>
      <c r="I103" s="483">
        <v>4800000</v>
      </c>
      <c r="J103" s="488" t="s">
        <v>2371</v>
      </c>
      <c r="K103" s="479" t="s">
        <v>2604</v>
      </c>
    </row>
    <row r="104" spans="1:11" ht="34.5" customHeight="1">
      <c r="A104" s="487" t="s">
        <v>595</v>
      </c>
      <c r="B104" s="517">
        <v>1813500780</v>
      </c>
      <c r="C104" s="482">
        <v>780</v>
      </c>
      <c r="D104" s="482">
        <v>813500</v>
      </c>
      <c r="E104" s="482">
        <v>1</v>
      </c>
      <c r="F104" s="482" t="s">
        <v>595</v>
      </c>
      <c r="G104" s="483">
        <v>4153000</v>
      </c>
      <c r="H104" s="481">
        <v>4410000</v>
      </c>
      <c r="I104" s="483">
        <v>4350000</v>
      </c>
      <c r="J104" s="496" t="s">
        <v>596</v>
      </c>
      <c r="K104" s="479" t="s">
        <v>2605</v>
      </c>
    </row>
    <row r="105" spans="1:11" ht="34.5" customHeight="1">
      <c r="A105" s="487" t="s">
        <v>598</v>
      </c>
      <c r="B105" s="517">
        <v>1813600760</v>
      </c>
      <c r="C105" s="482">
        <v>760</v>
      </c>
      <c r="D105" s="482">
        <v>813600</v>
      </c>
      <c r="E105" s="482">
        <v>1</v>
      </c>
      <c r="F105" s="482" t="s">
        <v>599</v>
      </c>
      <c r="G105" s="483">
        <v>3500000</v>
      </c>
      <c r="H105" s="481">
        <v>2500000</v>
      </c>
      <c r="I105" s="483">
        <v>3500000</v>
      </c>
      <c r="J105" s="488" t="s">
        <v>600</v>
      </c>
      <c r="K105" s="471"/>
    </row>
    <row r="106" spans="1:11" ht="34.5" customHeight="1">
      <c r="A106" s="487"/>
      <c r="B106" s="517">
        <v>1813700430</v>
      </c>
      <c r="C106" s="482">
        <v>430</v>
      </c>
      <c r="D106" s="482">
        <v>813700</v>
      </c>
      <c r="E106" s="482">
        <v>1</v>
      </c>
      <c r="F106" s="482" t="s">
        <v>311</v>
      </c>
      <c r="G106" s="483">
        <v>25000</v>
      </c>
      <c r="H106" s="481">
        <v>20000</v>
      </c>
      <c r="I106" s="527">
        <v>30000</v>
      </c>
      <c r="J106" s="488"/>
      <c r="K106" s="542">
        <v>0.08</v>
      </c>
    </row>
    <row r="107" spans="1:11" ht="34.5" customHeight="1">
      <c r="A107" s="487"/>
      <c r="B107" s="517">
        <v>1813700720</v>
      </c>
      <c r="C107" s="482">
        <v>720</v>
      </c>
      <c r="D107" s="482">
        <v>813700</v>
      </c>
      <c r="E107" s="482">
        <v>1</v>
      </c>
      <c r="F107" s="482" t="s">
        <v>400</v>
      </c>
      <c r="G107" s="483">
        <v>218000</v>
      </c>
      <c r="H107" s="481">
        <v>96000</v>
      </c>
      <c r="I107" s="527">
        <v>250000</v>
      </c>
      <c r="J107" s="488" t="s">
        <v>2227</v>
      </c>
      <c r="K107" s="471"/>
    </row>
    <row r="108" spans="1:11" ht="34.5" customHeight="1">
      <c r="A108" s="487" t="s">
        <v>605</v>
      </c>
      <c r="B108" s="517">
        <v>1814000430</v>
      </c>
      <c r="C108" s="482">
        <v>430</v>
      </c>
      <c r="D108" s="482">
        <v>814000</v>
      </c>
      <c r="E108" s="482">
        <v>1</v>
      </c>
      <c r="F108" s="482" t="s">
        <v>311</v>
      </c>
      <c r="G108" s="483">
        <v>1000000</v>
      </c>
      <c r="H108" s="481">
        <v>687000</v>
      </c>
      <c r="I108" s="483">
        <v>500000</v>
      </c>
      <c r="J108" s="497" t="s">
        <v>2228</v>
      </c>
      <c r="K108" s="479" t="s">
        <v>2559</v>
      </c>
    </row>
    <row r="109" spans="1:11" ht="34.5" customHeight="1">
      <c r="A109" s="487"/>
      <c r="B109" s="517">
        <v>1814000780</v>
      </c>
      <c r="C109" s="482">
        <v>780</v>
      </c>
      <c r="D109" s="482">
        <v>814000</v>
      </c>
      <c r="E109" s="482">
        <v>1</v>
      </c>
      <c r="F109" s="482" t="s">
        <v>280</v>
      </c>
      <c r="G109" s="483">
        <v>450000</v>
      </c>
      <c r="H109" s="481">
        <v>400000</v>
      </c>
      <c r="I109" s="527">
        <v>520000</v>
      </c>
      <c r="J109" s="488" t="s">
        <v>606</v>
      </c>
      <c r="K109" s="479" t="s">
        <v>2606</v>
      </c>
    </row>
    <row r="110" spans="1:11" ht="34.5" customHeight="1">
      <c r="A110" s="487"/>
      <c r="B110" s="517">
        <v>1814000810</v>
      </c>
      <c r="C110" s="482">
        <v>810</v>
      </c>
      <c r="D110" s="482">
        <v>814000</v>
      </c>
      <c r="E110" s="482">
        <v>1</v>
      </c>
      <c r="F110" s="482" t="s">
        <v>607</v>
      </c>
      <c r="G110" s="483">
        <v>4200000</v>
      </c>
      <c r="H110" s="481">
        <v>2509000</v>
      </c>
      <c r="I110" s="527">
        <v>4125000</v>
      </c>
      <c r="J110" s="504" t="s">
        <v>2483</v>
      </c>
      <c r="K110" s="479" t="s">
        <v>2607</v>
      </c>
    </row>
    <row r="111" spans="1:11" ht="34.5" customHeight="1">
      <c r="A111" s="487"/>
      <c r="B111" s="517">
        <v>1815200980</v>
      </c>
      <c r="C111" s="482">
        <v>980</v>
      </c>
      <c r="D111" s="482">
        <v>815200</v>
      </c>
      <c r="E111" s="482">
        <v>1</v>
      </c>
      <c r="F111" s="482" t="s">
        <v>546</v>
      </c>
      <c r="G111" s="483">
        <v>2000000</v>
      </c>
      <c r="H111" s="481">
        <v>1752000</v>
      </c>
      <c r="I111" s="483">
        <v>1810000</v>
      </c>
      <c r="J111" s="505" t="s">
        <v>2501</v>
      </c>
      <c r="K111" s="479" t="s">
        <v>2608</v>
      </c>
    </row>
    <row r="112" spans="1:11" ht="34.5" customHeight="1">
      <c r="A112" s="487"/>
      <c r="B112" s="517">
        <v>1816600781</v>
      </c>
      <c r="C112" s="482">
        <v>781</v>
      </c>
      <c r="D112" s="482">
        <v>816600</v>
      </c>
      <c r="E112" s="482">
        <v>1</v>
      </c>
      <c r="F112" s="482" t="s">
        <v>610</v>
      </c>
      <c r="G112" s="483">
        <v>115000</v>
      </c>
      <c r="H112" s="481">
        <v>115000</v>
      </c>
      <c r="I112" s="483">
        <v>115000</v>
      </c>
      <c r="J112" s="488" t="s">
        <v>4</v>
      </c>
      <c r="K112" s="471"/>
    </row>
    <row r="113" spans="1:11" ht="34.5" customHeight="1">
      <c r="A113" s="487"/>
      <c r="B113" s="532" t="s">
        <v>2584</v>
      </c>
      <c r="C113" s="533"/>
      <c r="D113" s="533"/>
      <c r="E113" s="533"/>
      <c r="F113" s="533" t="s">
        <v>2609</v>
      </c>
      <c r="G113" s="534"/>
      <c r="H113" s="481"/>
      <c r="I113" s="534">
        <v>230000</v>
      </c>
      <c r="J113" s="488"/>
      <c r="K113" s="543" t="s">
        <v>2610</v>
      </c>
    </row>
    <row r="114" spans="1:11" ht="34.5" customHeight="1">
      <c r="A114" s="487"/>
      <c r="B114" s="532" t="s">
        <v>2611</v>
      </c>
      <c r="C114" s="533"/>
      <c r="D114" s="533"/>
      <c r="E114" s="533"/>
      <c r="F114" s="533" t="s">
        <v>2612</v>
      </c>
      <c r="G114" s="534"/>
      <c r="H114" s="481"/>
      <c r="I114" s="534">
        <v>602000</v>
      </c>
      <c r="J114" s="488"/>
      <c r="K114" s="543" t="s">
        <v>2613</v>
      </c>
    </row>
    <row r="115" spans="1:11" s="329" customFormat="1" ht="34.5" customHeight="1" thickBot="1">
      <c r="A115" s="317"/>
      <c r="B115" s="355">
        <v>1816800850</v>
      </c>
      <c r="C115" s="356">
        <v>850</v>
      </c>
      <c r="D115" s="356">
        <v>816800</v>
      </c>
      <c r="E115" s="356">
        <v>1</v>
      </c>
      <c r="F115" s="356" t="s">
        <v>611</v>
      </c>
      <c r="G115" s="359">
        <v>275000</v>
      </c>
      <c r="H115" s="348">
        <v>193000</v>
      </c>
      <c r="I115" s="359">
        <v>275000</v>
      </c>
      <c r="J115" s="340" t="s">
        <v>1511</v>
      </c>
      <c r="K115" s="336" t="s">
        <v>2614</v>
      </c>
    </row>
    <row r="116" spans="1:11" ht="34.5" customHeight="1">
      <c r="A116" s="319"/>
      <c r="B116" s="318">
        <v>1817200410</v>
      </c>
      <c r="C116" s="327">
        <v>410</v>
      </c>
      <c r="D116" s="327">
        <v>817200</v>
      </c>
      <c r="E116" s="327">
        <v>1</v>
      </c>
      <c r="F116" s="327" t="s">
        <v>304</v>
      </c>
      <c r="G116" s="361">
        <v>319000.08</v>
      </c>
      <c r="H116" s="316">
        <v>312000</v>
      </c>
      <c r="I116" s="401">
        <v>350000</v>
      </c>
      <c r="J116" s="314" t="s">
        <v>429</v>
      </c>
      <c r="K116" s="479" t="s">
        <v>2615</v>
      </c>
    </row>
    <row r="117" spans="1:11" ht="34.5" customHeight="1">
      <c r="A117" s="487"/>
      <c r="B117" s="517">
        <v>1817200430</v>
      </c>
      <c r="C117" s="482">
        <v>430</v>
      </c>
      <c r="D117" s="482">
        <v>817200</v>
      </c>
      <c r="E117" s="482">
        <v>1</v>
      </c>
      <c r="F117" s="482" t="s">
        <v>311</v>
      </c>
      <c r="G117" s="483">
        <v>25000</v>
      </c>
      <c r="H117" s="481">
        <v>10000</v>
      </c>
      <c r="I117" s="527">
        <v>32000</v>
      </c>
      <c r="J117" s="488" t="s">
        <v>529</v>
      </c>
      <c r="K117" s="479" t="s">
        <v>2603</v>
      </c>
    </row>
    <row r="118" spans="1:11" ht="34.5" customHeight="1">
      <c r="A118" s="487"/>
      <c r="B118" s="517">
        <v>1817200540</v>
      </c>
      <c r="C118" s="482">
        <v>540</v>
      </c>
      <c r="D118" s="482">
        <v>817200</v>
      </c>
      <c r="E118" s="482">
        <v>1</v>
      </c>
      <c r="F118" s="482" t="s">
        <v>279</v>
      </c>
      <c r="G118" s="483">
        <v>1000</v>
      </c>
      <c r="H118" s="481">
        <v>1000</v>
      </c>
      <c r="I118" s="527">
        <v>2000</v>
      </c>
      <c r="J118" s="488"/>
      <c r="K118" s="471"/>
    </row>
    <row r="119" spans="1:11" ht="34.5" customHeight="1">
      <c r="A119" s="487"/>
      <c r="B119" s="517">
        <v>1817200780</v>
      </c>
      <c r="C119" s="482">
        <v>780</v>
      </c>
      <c r="D119" s="482">
        <v>817200</v>
      </c>
      <c r="E119" s="482">
        <v>1</v>
      </c>
      <c r="F119" s="482" t="s">
        <v>280</v>
      </c>
      <c r="G119" s="483">
        <v>200000</v>
      </c>
      <c r="H119" s="481">
        <v>105000</v>
      </c>
      <c r="I119" s="527">
        <v>200000</v>
      </c>
      <c r="J119" s="488" t="s">
        <v>2229</v>
      </c>
      <c r="K119" s="471"/>
    </row>
    <row r="120" spans="1:11" ht="34.5" customHeight="1">
      <c r="A120" s="487"/>
      <c r="B120" s="517">
        <v>1817300410</v>
      </c>
      <c r="C120" s="482">
        <v>410</v>
      </c>
      <c r="D120" s="482">
        <v>817300</v>
      </c>
      <c r="E120" s="482">
        <v>1</v>
      </c>
      <c r="F120" s="533" t="s">
        <v>304</v>
      </c>
      <c r="G120" s="534">
        <v>473383</v>
      </c>
      <c r="H120" s="481">
        <v>0</v>
      </c>
      <c r="I120" s="534">
        <v>600000</v>
      </c>
      <c r="J120" s="488" t="s">
        <v>2230</v>
      </c>
      <c r="K120" s="543" t="s">
        <v>2616</v>
      </c>
    </row>
    <row r="121" spans="1:11" ht="34.5" customHeight="1">
      <c r="A121" s="487"/>
      <c r="B121" s="517">
        <v>1817300430</v>
      </c>
      <c r="C121" s="482">
        <v>430</v>
      </c>
      <c r="D121" s="482">
        <v>817300</v>
      </c>
      <c r="E121" s="482">
        <v>1</v>
      </c>
      <c r="F121" s="482" t="s">
        <v>311</v>
      </c>
      <c r="G121" s="483">
        <v>21000</v>
      </c>
      <c r="H121" s="481">
        <v>10000</v>
      </c>
      <c r="I121" s="483">
        <v>50000</v>
      </c>
      <c r="J121" s="488" t="s">
        <v>529</v>
      </c>
      <c r="K121" s="479" t="s">
        <v>2617</v>
      </c>
    </row>
    <row r="122" spans="1:11" ht="34.5" customHeight="1">
      <c r="A122" s="487"/>
      <c r="B122" s="517">
        <v>1817300750</v>
      </c>
      <c r="C122" s="482">
        <v>750</v>
      </c>
      <c r="D122" s="482">
        <v>817300</v>
      </c>
      <c r="E122" s="482">
        <v>1</v>
      </c>
      <c r="F122" s="482" t="s">
        <v>288</v>
      </c>
      <c r="G122" s="483">
        <v>200000</v>
      </c>
      <c r="H122" s="481">
        <v>100000</v>
      </c>
      <c r="I122" s="486">
        <v>200000</v>
      </c>
      <c r="J122" s="488" t="s">
        <v>618</v>
      </c>
      <c r="K122" s="524" t="s">
        <v>2618</v>
      </c>
    </row>
    <row r="123" spans="1:11" ht="34.5" customHeight="1">
      <c r="A123" s="487"/>
      <c r="B123" s="517">
        <v>1817300780</v>
      </c>
      <c r="C123" s="482">
        <v>780</v>
      </c>
      <c r="D123" s="482">
        <v>817300</v>
      </c>
      <c r="E123" s="482">
        <v>1</v>
      </c>
      <c r="F123" s="482" t="s">
        <v>280</v>
      </c>
      <c r="G123" s="483">
        <v>100000</v>
      </c>
      <c r="H123" s="481">
        <v>100000</v>
      </c>
      <c r="I123" s="486">
        <v>150000</v>
      </c>
      <c r="J123" s="488" t="s">
        <v>619</v>
      </c>
      <c r="K123" s="479" t="s">
        <v>2619</v>
      </c>
    </row>
    <row r="124" spans="1:11" ht="34.5" customHeight="1">
      <c r="A124" s="487" t="s">
        <v>622</v>
      </c>
      <c r="B124" s="517">
        <v>1817600780</v>
      </c>
      <c r="C124" s="482">
        <v>780</v>
      </c>
      <c r="D124" s="482">
        <v>817600</v>
      </c>
      <c r="E124" s="482">
        <v>1</v>
      </c>
      <c r="F124" s="482" t="s">
        <v>280</v>
      </c>
      <c r="G124" s="483">
        <v>800000</v>
      </c>
      <c r="H124" s="481">
        <v>508000</v>
      </c>
      <c r="I124" s="527">
        <v>800000</v>
      </c>
      <c r="J124" s="488" t="s">
        <v>623</v>
      </c>
      <c r="K124" s="471"/>
    </row>
    <row r="125" spans="1:11" ht="34.5" customHeight="1">
      <c r="A125" s="487"/>
      <c r="B125" s="517">
        <v>1817600782</v>
      </c>
      <c r="C125" s="482">
        <v>782</v>
      </c>
      <c r="D125" s="482">
        <v>817600</v>
      </c>
      <c r="E125" s="482">
        <v>1</v>
      </c>
      <c r="F125" s="482" t="s">
        <v>624</v>
      </c>
      <c r="G125" s="483">
        <v>1160000</v>
      </c>
      <c r="H125" s="481">
        <v>800000</v>
      </c>
      <c r="I125" s="527">
        <v>1160000</v>
      </c>
      <c r="J125" s="490" t="s">
        <v>625</v>
      </c>
      <c r="K125" s="471"/>
    </row>
    <row r="126" spans="1:11" ht="34.5" customHeight="1">
      <c r="A126" s="487" t="s">
        <v>627</v>
      </c>
      <c r="B126" s="517">
        <v>1817800710</v>
      </c>
      <c r="C126" s="482">
        <v>710</v>
      </c>
      <c r="D126" s="482">
        <v>817800</v>
      </c>
      <c r="E126" s="482">
        <v>1</v>
      </c>
      <c r="F126" s="482" t="s">
        <v>628</v>
      </c>
      <c r="G126" s="483">
        <v>12520000</v>
      </c>
      <c r="H126" s="481">
        <v>11500000</v>
      </c>
      <c r="I126" s="483">
        <v>15660000</v>
      </c>
      <c r="J126" s="488" t="s">
        <v>629</v>
      </c>
      <c r="K126" s="479" t="s">
        <v>2620</v>
      </c>
    </row>
    <row r="127" spans="1:11" ht="34.5" customHeight="1">
      <c r="A127" s="487" t="s">
        <v>631</v>
      </c>
      <c r="B127" s="517">
        <v>1819200750</v>
      </c>
      <c r="C127" s="482">
        <v>750</v>
      </c>
      <c r="D127" s="482">
        <v>819200</v>
      </c>
      <c r="E127" s="482">
        <v>1</v>
      </c>
      <c r="F127" s="482" t="s">
        <v>288</v>
      </c>
      <c r="G127" s="483">
        <v>635000</v>
      </c>
      <c r="H127" s="481">
        <v>600000</v>
      </c>
      <c r="I127" s="527">
        <v>800000</v>
      </c>
      <c r="J127" s="488" t="s">
        <v>2232</v>
      </c>
      <c r="K127" s="479" t="s">
        <v>2621</v>
      </c>
    </row>
    <row r="128" spans="1:11" ht="34.5" customHeight="1">
      <c r="A128" s="487"/>
      <c r="B128" s="517">
        <v>1819200751</v>
      </c>
      <c r="C128" s="482">
        <v>751</v>
      </c>
      <c r="D128" s="482">
        <v>819200</v>
      </c>
      <c r="E128" s="482">
        <v>1</v>
      </c>
      <c r="F128" s="482" t="s">
        <v>632</v>
      </c>
      <c r="G128" s="483">
        <v>550000</v>
      </c>
      <c r="H128" s="481">
        <v>550000</v>
      </c>
      <c r="I128" s="527">
        <v>602940</v>
      </c>
      <c r="J128" s="488" t="s">
        <v>633</v>
      </c>
      <c r="K128" s="479" t="s">
        <v>2622</v>
      </c>
    </row>
    <row r="129" spans="1:11" ht="15.75">
      <c r="A129" s="498"/>
      <c r="B129" s="514" t="s">
        <v>981</v>
      </c>
      <c r="C129" s="472"/>
      <c r="D129" s="472"/>
      <c r="E129" s="482">
        <v>1</v>
      </c>
      <c r="F129" s="472"/>
      <c r="G129" s="473">
        <v>1590263999.52</v>
      </c>
      <c r="H129" s="473">
        <v>1496552000</v>
      </c>
      <c r="I129" s="473">
        <v>865340420</v>
      </c>
      <c r="J129" s="499"/>
      <c r="K129" s="471"/>
    </row>
    <row r="130" spans="1:11" ht="24" thickBot="1">
      <c r="A130" s="500" t="s">
        <v>860</v>
      </c>
      <c r="B130" s="515"/>
      <c r="C130" s="501"/>
      <c r="D130" s="501"/>
      <c r="E130" s="482">
        <v>1</v>
      </c>
      <c r="F130" s="501"/>
      <c r="G130" s="502">
        <v>795131999.75999999</v>
      </c>
      <c r="H130" s="502">
        <v>748276000</v>
      </c>
      <c r="I130" s="502">
        <v>432670210</v>
      </c>
      <c r="J130" s="503"/>
      <c r="K130" s="471"/>
    </row>
    <row r="131" spans="1:11" ht="15">
      <c r="A131" s="475" t="s">
        <v>861</v>
      </c>
      <c r="B131" s="514" t="s">
        <v>981</v>
      </c>
      <c r="C131" s="474"/>
      <c r="D131" s="474"/>
      <c r="E131" s="482">
        <v>1</v>
      </c>
      <c r="F131" s="474"/>
      <c r="G131" s="476" t="s">
        <v>4</v>
      </c>
      <c r="H131" s="476" t="s">
        <v>4</v>
      </c>
      <c r="I131" s="476">
        <v>291628868</v>
      </c>
      <c r="J131" s="477"/>
      <c r="K131" s="47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rightToLeft="1" view="pageBreakPreview" topLeftCell="A316" zoomScaleNormal="100" zoomScaleSheetLayoutView="100" workbookViewId="0">
      <selection activeCell="D352" sqref="D352"/>
    </sheetView>
  </sheetViews>
  <sheetFormatPr defaultColWidth="8.625" defaultRowHeight="14.25"/>
  <cols>
    <col min="1" max="1" width="3.875" style="233" bestFit="1" customWidth="1"/>
    <col min="2" max="2" width="13.625" style="233" bestFit="1" customWidth="1"/>
    <col min="3" max="3" width="8.875" style="233" bestFit="1" customWidth="1"/>
    <col min="4" max="4" width="9.625" style="30" bestFit="1" customWidth="1"/>
    <col min="5" max="5" width="10.25" style="233" bestFit="1" customWidth="1"/>
    <col min="6" max="6" width="3.875" style="233" bestFit="1" customWidth="1"/>
    <col min="7" max="7" width="12.125" style="233" customWidth="1"/>
    <col min="8" max="8" width="7.5" style="233" bestFit="1" customWidth="1"/>
    <col min="9" max="9" width="9.625" style="233" bestFit="1" customWidth="1"/>
    <col min="10" max="10" width="10.125" style="162" customWidth="1"/>
    <col min="11" max="16384" width="8.625" style="233"/>
  </cols>
  <sheetData>
    <row r="1" spans="1:10" ht="18">
      <c r="A1" s="1120" t="s">
        <v>2179</v>
      </c>
      <c r="B1" s="1120"/>
      <c r="C1" s="1120"/>
      <c r="D1" s="1120"/>
      <c r="E1" s="1120"/>
      <c r="F1" s="1120"/>
      <c r="G1" s="1120"/>
      <c r="H1" s="1120"/>
      <c r="I1" s="1120"/>
    </row>
    <row r="2" spans="1:10" ht="15" thickBot="1">
      <c r="D2" s="175"/>
    </row>
    <row r="3" spans="1:10" ht="16.5" customHeight="1" thickBot="1">
      <c r="A3" s="264" t="s">
        <v>967</v>
      </c>
      <c r="B3" s="265" t="s">
        <v>1545</v>
      </c>
      <c r="C3" s="265" t="s">
        <v>1546</v>
      </c>
      <c r="D3" s="266" t="s">
        <v>1547</v>
      </c>
      <c r="F3" s="264" t="s">
        <v>967</v>
      </c>
      <c r="G3" s="265" t="s">
        <v>1545</v>
      </c>
      <c r="H3" s="265" t="s">
        <v>1546</v>
      </c>
      <c r="I3" s="266" t="s">
        <v>1547</v>
      </c>
    </row>
    <row r="4" spans="1:10">
      <c r="A4" s="261">
        <v>1</v>
      </c>
      <c r="B4" s="262" t="s">
        <v>2169</v>
      </c>
      <c r="C4" s="262" t="s">
        <v>2170</v>
      </c>
      <c r="D4" s="263">
        <v>61.58</v>
      </c>
      <c r="F4" s="171">
        <v>70</v>
      </c>
      <c r="G4" s="172" t="s">
        <v>1826</v>
      </c>
      <c r="H4" s="172" t="s">
        <v>1827</v>
      </c>
      <c r="I4" s="176">
        <v>30</v>
      </c>
      <c r="J4" s="233"/>
    </row>
    <row r="5" spans="1:10">
      <c r="A5" s="171">
        <v>2</v>
      </c>
      <c r="B5" s="172" t="s">
        <v>1640</v>
      </c>
      <c r="C5" s="172" t="s">
        <v>1551</v>
      </c>
      <c r="D5" s="176">
        <v>40.200000000000003</v>
      </c>
      <c r="F5" s="171">
        <v>71</v>
      </c>
      <c r="G5" s="172" t="s">
        <v>2005</v>
      </c>
      <c r="H5" s="172" t="s">
        <v>2006</v>
      </c>
      <c r="I5" s="176">
        <v>70</v>
      </c>
      <c r="J5" s="233"/>
    </row>
    <row r="6" spans="1:10">
      <c r="A6" s="171">
        <v>3</v>
      </c>
      <c r="B6" s="172" t="s">
        <v>2374</v>
      </c>
      <c r="C6" s="172" t="s">
        <v>1606</v>
      </c>
      <c r="D6" s="176">
        <v>70</v>
      </c>
      <c r="F6" s="171">
        <v>72</v>
      </c>
      <c r="G6" s="172" t="s">
        <v>2079</v>
      </c>
      <c r="H6" s="172" t="s">
        <v>1678</v>
      </c>
      <c r="I6" s="176">
        <v>51.76</v>
      </c>
      <c r="J6" s="233"/>
    </row>
    <row r="7" spans="1:10">
      <c r="A7" s="171">
        <v>4</v>
      </c>
      <c r="B7" s="172" t="s">
        <v>1669</v>
      </c>
      <c r="C7" s="172" t="s">
        <v>1670</v>
      </c>
      <c r="D7" s="176">
        <v>23</v>
      </c>
      <c r="F7" s="171">
        <v>73</v>
      </c>
      <c r="G7" s="172" t="s">
        <v>2137</v>
      </c>
      <c r="H7" s="172" t="s">
        <v>1595</v>
      </c>
      <c r="I7" s="176">
        <v>26.82</v>
      </c>
      <c r="J7" s="233"/>
    </row>
    <row r="8" spans="1:10">
      <c r="A8" s="171">
        <v>5</v>
      </c>
      <c r="B8" s="172" t="s">
        <v>2030</v>
      </c>
      <c r="C8" s="172" t="s">
        <v>1584</v>
      </c>
      <c r="D8" s="176">
        <v>70</v>
      </c>
      <c r="F8" s="171">
        <v>75</v>
      </c>
      <c r="G8" s="172" t="s">
        <v>1809</v>
      </c>
      <c r="H8" s="172" t="s">
        <v>1744</v>
      </c>
      <c r="I8" s="176">
        <v>52.24</v>
      </c>
      <c r="J8" s="233"/>
    </row>
    <row r="9" spans="1:10">
      <c r="A9" s="171">
        <v>6</v>
      </c>
      <c r="B9" s="172" t="s">
        <v>2030</v>
      </c>
      <c r="C9" s="172" t="s">
        <v>2081</v>
      </c>
      <c r="D9" s="176">
        <v>53</v>
      </c>
      <c r="F9" s="171">
        <v>76</v>
      </c>
      <c r="G9" s="172" t="s">
        <v>1809</v>
      </c>
      <c r="H9" s="172" t="s">
        <v>1882</v>
      </c>
      <c r="I9" s="176">
        <v>23.45</v>
      </c>
      <c r="J9" s="233"/>
    </row>
    <row r="10" spans="1:10">
      <c r="A10" s="171">
        <v>7</v>
      </c>
      <c r="B10" s="172" t="s">
        <v>2375</v>
      </c>
      <c r="C10" s="172" t="s">
        <v>2376</v>
      </c>
      <c r="D10" s="176">
        <v>70</v>
      </c>
      <c r="F10" s="171">
        <v>77</v>
      </c>
      <c r="G10" s="172" t="s">
        <v>1989</v>
      </c>
      <c r="H10" s="172" t="s">
        <v>1745</v>
      </c>
      <c r="I10" s="176">
        <v>70</v>
      </c>
      <c r="J10" s="233"/>
    </row>
    <row r="11" spans="1:10">
      <c r="A11" s="171">
        <v>8</v>
      </c>
      <c r="B11" s="172" t="s">
        <v>2086</v>
      </c>
      <c r="C11" s="172" t="s">
        <v>2087</v>
      </c>
      <c r="D11" s="176">
        <v>67</v>
      </c>
      <c r="F11" s="171">
        <v>78</v>
      </c>
      <c r="G11" s="172" t="s">
        <v>2118</v>
      </c>
      <c r="H11" s="172" t="s">
        <v>1701</v>
      </c>
      <c r="I11" s="176">
        <v>65.819999999999993</v>
      </c>
      <c r="J11" s="233"/>
    </row>
    <row r="12" spans="1:10">
      <c r="A12" s="171">
        <v>9</v>
      </c>
      <c r="B12" s="172" t="s">
        <v>2096</v>
      </c>
      <c r="C12" s="172" t="s">
        <v>2097</v>
      </c>
      <c r="D12" s="176">
        <v>70</v>
      </c>
      <c r="F12" s="171">
        <v>79</v>
      </c>
      <c r="G12" s="172" t="s">
        <v>1750</v>
      </c>
      <c r="H12" s="172" t="s">
        <v>1751</v>
      </c>
      <c r="I12" s="176">
        <v>62.1</v>
      </c>
      <c r="J12" s="233"/>
    </row>
    <row r="13" spans="1:10">
      <c r="A13" s="171">
        <v>10</v>
      </c>
      <c r="B13" s="172" t="s">
        <v>2075</v>
      </c>
      <c r="C13" s="172" t="s">
        <v>2076</v>
      </c>
      <c r="D13" s="176">
        <v>50.67</v>
      </c>
      <c r="F13" s="171">
        <v>80</v>
      </c>
      <c r="G13" s="172" t="s">
        <v>1636</v>
      </c>
      <c r="H13" s="172" t="s">
        <v>1637</v>
      </c>
      <c r="I13" s="176">
        <v>48.31</v>
      </c>
      <c r="J13" s="233"/>
    </row>
    <row r="14" spans="1:10">
      <c r="A14" s="171">
        <v>11</v>
      </c>
      <c r="B14" s="172" t="s">
        <v>1566</v>
      </c>
      <c r="C14" s="172" t="s">
        <v>1741</v>
      </c>
      <c r="D14" s="176">
        <v>39.700000000000003</v>
      </c>
      <c r="F14" s="171">
        <v>81</v>
      </c>
      <c r="G14" s="172" t="s">
        <v>1723</v>
      </c>
      <c r="H14" s="172" t="s">
        <v>1724</v>
      </c>
      <c r="I14" s="176">
        <v>63</v>
      </c>
      <c r="J14" s="233"/>
    </row>
    <row r="15" spans="1:10">
      <c r="A15" s="171">
        <v>12</v>
      </c>
      <c r="B15" s="172" t="s">
        <v>1566</v>
      </c>
      <c r="C15" s="172" t="s">
        <v>1720</v>
      </c>
      <c r="D15" s="176">
        <v>62.81</v>
      </c>
      <c r="F15" s="171">
        <v>82</v>
      </c>
      <c r="G15" s="172" t="s">
        <v>1555</v>
      </c>
      <c r="H15" s="172" t="s">
        <v>1556</v>
      </c>
      <c r="I15" s="176">
        <v>70</v>
      </c>
      <c r="J15" s="233"/>
    </row>
    <row r="16" spans="1:10">
      <c r="A16" s="171">
        <v>13</v>
      </c>
      <c r="B16" s="172" t="s">
        <v>1566</v>
      </c>
      <c r="C16" s="172" t="s">
        <v>1981</v>
      </c>
      <c r="D16" s="176">
        <v>50.07</v>
      </c>
      <c r="F16" s="171">
        <v>83</v>
      </c>
      <c r="G16" s="172" t="s">
        <v>1555</v>
      </c>
      <c r="H16" s="172" t="s">
        <v>1720</v>
      </c>
      <c r="I16" s="176">
        <v>70</v>
      </c>
      <c r="J16" s="233"/>
    </row>
    <row r="17" spans="1:10">
      <c r="A17" s="171">
        <v>14</v>
      </c>
      <c r="B17" s="172" t="s">
        <v>2377</v>
      </c>
      <c r="C17" s="172" t="s">
        <v>2022</v>
      </c>
      <c r="D17" s="176">
        <v>9.67</v>
      </c>
      <c r="F17" s="171">
        <v>84</v>
      </c>
      <c r="G17" s="172" t="s">
        <v>1555</v>
      </c>
      <c r="H17" s="172" t="s">
        <v>1572</v>
      </c>
      <c r="I17" s="176">
        <v>60.83</v>
      </c>
      <c r="J17" s="233"/>
    </row>
    <row r="18" spans="1:10">
      <c r="A18" s="171">
        <v>15</v>
      </c>
      <c r="B18" s="172" t="s">
        <v>2171</v>
      </c>
      <c r="C18" s="172" t="s">
        <v>1859</v>
      </c>
      <c r="D18" s="176">
        <v>34.4</v>
      </c>
      <c r="F18" s="171">
        <v>85</v>
      </c>
      <c r="G18" s="172" t="s">
        <v>1555</v>
      </c>
      <c r="H18" s="172" t="s">
        <v>1625</v>
      </c>
      <c r="I18" s="176">
        <v>44.03</v>
      </c>
      <c r="J18" s="233"/>
    </row>
    <row r="19" spans="1:10">
      <c r="A19" s="171">
        <v>16</v>
      </c>
      <c r="B19" s="172" t="s">
        <v>1816</v>
      </c>
      <c r="C19" s="172" t="s">
        <v>1683</v>
      </c>
      <c r="D19" s="176">
        <v>61.32</v>
      </c>
      <c r="F19" s="171">
        <v>86</v>
      </c>
      <c r="G19" s="172" t="s">
        <v>1555</v>
      </c>
      <c r="H19" s="172" t="s">
        <v>1666</v>
      </c>
      <c r="I19" s="176">
        <v>35</v>
      </c>
      <c r="J19" s="233"/>
    </row>
    <row r="20" spans="1:10">
      <c r="A20" s="171">
        <v>17</v>
      </c>
      <c r="B20" s="172" t="s">
        <v>2009</v>
      </c>
      <c r="C20" s="172" t="s">
        <v>1739</v>
      </c>
      <c r="D20" s="176">
        <v>15.73</v>
      </c>
      <c r="F20" s="171">
        <v>87</v>
      </c>
      <c r="G20" s="172" t="s">
        <v>1555</v>
      </c>
      <c r="H20" s="172" t="s">
        <v>1572</v>
      </c>
      <c r="I20" s="176">
        <v>70</v>
      </c>
      <c r="J20" s="233"/>
    </row>
    <row r="21" spans="1:10">
      <c r="A21" s="171">
        <v>18</v>
      </c>
      <c r="B21" s="172" t="s">
        <v>1760</v>
      </c>
      <c r="C21" s="172" t="s">
        <v>1761</v>
      </c>
      <c r="D21" s="176">
        <v>44.31</v>
      </c>
      <c r="F21" s="171">
        <v>88</v>
      </c>
      <c r="G21" s="172" t="s">
        <v>1555</v>
      </c>
      <c r="H21" s="172" t="s">
        <v>2114</v>
      </c>
      <c r="I21" s="176">
        <v>45.87</v>
      </c>
      <c r="J21" s="233"/>
    </row>
    <row r="22" spans="1:10">
      <c r="A22" s="171">
        <v>19</v>
      </c>
      <c r="B22" s="172" t="s">
        <v>1792</v>
      </c>
      <c r="C22" s="172" t="s">
        <v>1678</v>
      </c>
      <c r="D22" s="176">
        <v>43</v>
      </c>
      <c r="F22" s="171">
        <v>89</v>
      </c>
      <c r="G22" s="172" t="s">
        <v>1555</v>
      </c>
      <c r="H22" s="172" t="s">
        <v>1570</v>
      </c>
      <c r="I22" s="176">
        <v>40</v>
      </c>
      <c r="J22" s="233"/>
    </row>
    <row r="23" spans="1:10">
      <c r="A23" s="171">
        <v>20</v>
      </c>
      <c r="B23" s="172" t="s">
        <v>1667</v>
      </c>
      <c r="C23" s="172" t="s">
        <v>1717</v>
      </c>
      <c r="D23" s="176">
        <v>57.67</v>
      </c>
      <c r="F23" s="171">
        <v>90</v>
      </c>
      <c r="G23" s="172" t="s">
        <v>1555</v>
      </c>
      <c r="H23" s="172" t="s">
        <v>1743</v>
      </c>
      <c r="I23" s="176">
        <v>32.19</v>
      </c>
      <c r="J23" s="233"/>
    </row>
    <row r="24" spans="1:10">
      <c r="A24" s="171">
        <v>21</v>
      </c>
      <c r="B24" s="172" t="s">
        <v>1667</v>
      </c>
      <c r="C24" s="172" t="s">
        <v>1668</v>
      </c>
      <c r="D24" s="176">
        <v>27.6</v>
      </c>
      <c r="F24" s="171">
        <v>91</v>
      </c>
      <c r="G24" s="172" t="s">
        <v>1555</v>
      </c>
      <c r="H24" s="172" t="s">
        <v>1572</v>
      </c>
      <c r="I24" s="176">
        <v>32.909999999999997</v>
      </c>
      <c r="J24" s="233"/>
    </row>
    <row r="25" spans="1:10">
      <c r="A25" s="171">
        <v>22</v>
      </c>
      <c r="B25" s="172" t="s">
        <v>2109</v>
      </c>
      <c r="C25" s="172" t="s">
        <v>1848</v>
      </c>
      <c r="D25" s="176">
        <v>17</v>
      </c>
      <c r="F25" s="171">
        <v>92</v>
      </c>
      <c r="G25" s="172" t="s">
        <v>1785</v>
      </c>
      <c r="H25" s="172" t="s">
        <v>1786</v>
      </c>
      <c r="I25" s="176">
        <v>46</v>
      </c>
      <c r="J25" s="233"/>
    </row>
    <row r="26" spans="1:10">
      <c r="A26" s="171">
        <v>23</v>
      </c>
      <c r="B26" s="172" t="s">
        <v>2109</v>
      </c>
      <c r="C26" s="172" t="s">
        <v>1573</v>
      </c>
      <c r="D26" s="176"/>
      <c r="F26" s="171">
        <v>93</v>
      </c>
      <c r="G26" s="172" t="s">
        <v>1867</v>
      </c>
      <c r="H26" s="172" t="s">
        <v>1552</v>
      </c>
      <c r="I26" s="176">
        <v>70</v>
      </c>
      <c r="J26" s="233"/>
    </row>
    <row r="27" spans="1:10">
      <c r="A27" s="171">
        <v>24</v>
      </c>
      <c r="B27" s="172" t="s">
        <v>2109</v>
      </c>
      <c r="C27" s="172" t="s">
        <v>2126</v>
      </c>
      <c r="D27" s="176">
        <v>70</v>
      </c>
      <c r="F27" s="171">
        <v>94</v>
      </c>
      <c r="G27" s="172" t="s">
        <v>1965</v>
      </c>
      <c r="H27" s="172" t="s">
        <v>1611</v>
      </c>
      <c r="I27" s="176">
        <v>55.12</v>
      </c>
      <c r="J27" s="233"/>
    </row>
    <row r="28" spans="1:10">
      <c r="A28" s="171">
        <v>25</v>
      </c>
      <c r="B28" s="172" t="s">
        <v>1684</v>
      </c>
      <c r="C28" s="172" t="s">
        <v>1568</v>
      </c>
      <c r="D28" s="176">
        <v>53.4</v>
      </c>
      <c r="F28" s="171">
        <v>95</v>
      </c>
      <c r="G28" s="172" t="s">
        <v>1752</v>
      </c>
      <c r="H28" s="172" t="s">
        <v>1753</v>
      </c>
      <c r="I28" s="176">
        <v>21.9</v>
      </c>
      <c r="J28" s="233"/>
    </row>
    <row r="29" spans="1:10">
      <c r="A29" s="171">
        <v>26</v>
      </c>
      <c r="B29" s="172" t="s">
        <v>1684</v>
      </c>
      <c r="C29" s="172" t="s">
        <v>2041</v>
      </c>
      <c r="D29" s="176">
        <v>55.83</v>
      </c>
      <c r="F29" s="171">
        <v>96</v>
      </c>
      <c r="G29" s="172" t="s">
        <v>1596</v>
      </c>
      <c r="H29" s="172" t="s">
        <v>1554</v>
      </c>
      <c r="I29" s="176">
        <v>70</v>
      </c>
      <c r="J29" s="233"/>
    </row>
    <row r="30" spans="1:10">
      <c r="A30" s="171">
        <v>27</v>
      </c>
      <c r="B30" s="172" t="s">
        <v>1665</v>
      </c>
      <c r="C30" s="172" t="s">
        <v>1666</v>
      </c>
      <c r="D30" s="176">
        <v>70</v>
      </c>
      <c r="F30" s="171">
        <v>97</v>
      </c>
      <c r="G30" s="172" t="s">
        <v>1596</v>
      </c>
      <c r="H30" s="172" t="s">
        <v>1679</v>
      </c>
      <c r="I30" s="176">
        <v>70</v>
      </c>
      <c r="J30" s="233"/>
    </row>
    <row r="31" spans="1:10">
      <c r="A31" s="171">
        <v>28</v>
      </c>
      <c r="B31" s="172" t="s">
        <v>1665</v>
      </c>
      <c r="C31" s="172" t="s">
        <v>1666</v>
      </c>
      <c r="D31" s="176">
        <v>39</v>
      </c>
      <c r="F31" s="171">
        <v>98</v>
      </c>
      <c r="G31" s="172" t="s">
        <v>1596</v>
      </c>
      <c r="H31" s="172" t="s">
        <v>1717</v>
      </c>
      <c r="I31" s="176">
        <v>44.8</v>
      </c>
      <c r="J31" s="233"/>
    </row>
    <row r="32" spans="1:10">
      <c r="A32" s="171">
        <v>29</v>
      </c>
      <c r="B32" s="172" t="s">
        <v>1966</v>
      </c>
      <c r="C32" s="172" t="s">
        <v>1715</v>
      </c>
      <c r="D32" s="176">
        <v>60.5</v>
      </c>
      <c r="F32" s="171">
        <v>99</v>
      </c>
      <c r="G32" s="172" t="s">
        <v>1596</v>
      </c>
      <c r="H32" s="172" t="s">
        <v>1631</v>
      </c>
      <c r="I32" s="176">
        <v>66</v>
      </c>
      <c r="J32" s="233"/>
    </row>
    <row r="33" spans="1:10">
      <c r="A33" s="171">
        <v>30</v>
      </c>
      <c r="B33" s="172" t="s">
        <v>1866</v>
      </c>
      <c r="C33" s="172" t="s">
        <v>1554</v>
      </c>
      <c r="D33" s="176">
        <v>38.6</v>
      </c>
      <c r="F33" s="171">
        <v>100</v>
      </c>
      <c r="G33" s="172" t="s">
        <v>1596</v>
      </c>
      <c r="H33" s="172" t="s">
        <v>1554</v>
      </c>
      <c r="I33" s="176">
        <v>40</v>
      </c>
      <c r="J33" s="233"/>
    </row>
    <row r="34" spans="1:10">
      <c r="A34" s="171">
        <v>31</v>
      </c>
      <c r="B34" s="172" t="s">
        <v>1866</v>
      </c>
      <c r="C34" s="172" t="s">
        <v>1874</v>
      </c>
      <c r="D34" s="176">
        <v>70</v>
      </c>
      <c r="F34" s="171">
        <v>101</v>
      </c>
      <c r="G34" s="172" t="s">
        <v>1596</v>
      </c>
      <c r="H34" s="172" t="s">
        <v>1808</v>
      </c>
      <c r="I34" s="176">
        <v>40</v>
      </c>
      <c r="J34" s="233"/>
    </row>
    <row r="35" spans="1:10">
      <c r="A35" s="171">
        <v>32</v>
      </c>
      <c r="B35" s="172" t="s">
        <v>1904</v>
      </c>
      <c r="C35" s="172" t="s">
        <v>1905</v>
      </c>
      <c r="D35" s="176">
        <v>38</v>
      </c>
      <c r="F35" s="171">
        <v>102</v>
      </c>
      <c r="G35" s="172" t="s">
        <v>1698</v>
      </c>
      <c r="H35" s="172" t="s">
        <v>1604</v>
      </c>
      <c r="I35" s="176">
        <v>64.25</v>
      </c>
      <c r="J35" s="233"/>
    </row>
    <row r="36" spans="1:10">
      <c r="A36" s="171">
        <v>33</v>
      </c>
      <c r="B36" s="172" t="s">
        <v>1904</v>
      </c>
      <c r="C36" s="172" t="s">
        <v>1744</v>
      </c>
      <c r="D36" s="176">
        <v>54.5</v>
      </c>
      <c r="F36" s="171">
        <v>103</v>
      </c>
      <c r="G36" s="172" t="s">
        <v>1740</v>
      </c>
      <c r="H36" s="172" t="s">
        <v>1595</v>
      </c>
      <c r="I36" s="176">
        <v>49.83</v>
      </c>
      <c r="J36" s="233"/>
    </row>
    <row r="37" spans="1:10">
      <c r="A37" s="171">
        <v>34</v>
      </c>
      <c r="B37" s="172" t="s">
        <v>1904</v>
      </c>
      <c r="C37" s="172" t="s">
        <v>1595</v>
      </c>
      <c r="D37" s="176">
        <v>40</v>
      </c>
      <c r="F37" s="171">
        <v>104</v>
      </c>
      <c r="G37" s="172" t="s">
        <v>1563</v>
      </c>
      <c r="H37" s="172" t="s">
        <v>1887</v>
      </c>
      <c r="I37" s="176">
        <v>43.3</v>
      </c>
      <c r="J37" s="233"/>
    </row>
    <row r="38" spans="1:10">
      <c r="A38" s="171">
        <v>35</v>
      </c>
      <c r="B38" s="172" t="s">
        <v>2073</v>
      </c>
      <c r="C38" s="172" t="s">
        <v>1744</v>
      </c>
      <c r="D38" s="176">
        <v>65</v>
      </c>
      <c r="F38" s="171">
        <v>105</v>
      </c>
      <c r="G38" s="172" t="s">
        <v>1563</v>
      </c>
      <c r="H38" s="172" t="s">
        <v>1935</v>
      </c>
      <c r="I38" s="176">
        <v>64.849999999999994</v>
      </c>
      <c r="J38" s="233"/>
    </row>
    <row r="39" spans="1:10">
      <c r="A39" s="171">
        <v>36</v>
      </c>
      <c r="B39" s="172" t="s">
        <v>2073</v>
      </c>
      <c r="C39" s="172" t="s">
        <v>2029</v>
      </c>
      <c r="D39" s="176">
        <v>32.67</v>
      </c>
      <c r="F39" s="171">
        <v>106</v>
      </c>
      <c r="G39" s="172" t="s">
        <v>2046</v>
      </c>
      <c r="H39" s="172" t="s">
        <v>1592</v>
      </c>
      <c r="I39" s="176">
        <v>46.26</v>
      </c>
      <c r="J39" s="233"/>
    </row>
    <row r="40" spans="1:10">
      <c r="A40" s="171">
        <v>37</v>
      </c>
      <c r="B40" s="172" t="s">
        <v>2073</v>
      </c>
      <c r="C40" s="172" t="s">
        <v>2090</v>
      </c>
      <c r="D40" s="176">
        <v>26</v>
      </c>
      <c r="F40" s="171">
        <v>107</v>
      </c>
      <c r="G40" s="172" t="s">
        <v>2015</v>
      </c>
      <c r="H40" s="172" t="s">
        <v>1568</v>
      </c>
      <c r="I40" s="176">
        <v>65.680000000000007</v>
      </c>
      <c r="J40" s="233"/>
    </row>
    <row r="41" spans="1:10">
      <c r="A41" s="171">
        <v>38</v>
      </c>
      <c r="B41" s="172" t="s">
        <v>2116</v>
      </c>
      <c r="C41" s="172" t="s">
        <v>1935</v>
      </c>
      <c r="D41" s="176">
        <v>45</v>
      </c>
      <c r="F41" s="171">
        <v>108</v>
      </c>
      <c r="G41" s="172" t="s">
        <v>1911</v>
      </c>
      <c r="H41" s="172" t="s">
        <v>1728</v>
      </c>
      <c r="I41" s="176">
        <v>40</v>
      </c>
      <c r="J41" s="233"/>
    </row>
    <row r="42" spans="1:10">
      <c r="A42" s="171">
        <v>39</v>
      </c>
      <c r="B42" s="172" t="s">
        <v>1560</v>
      </c>
      <c r="C42" s="172" t="s">
        <v>1561</v>
      </c>
      <c r="D42" s="176">
        <v>30</v>
      </c>
      <c r="F42" s="171">
        <v>109</v>
      </c>
      <c r="G42" s="172" t="s">
        <v>2177</v>
      </c>
      <c r="H42" s="172" t="s">
        <v>2178</v>
      </c>
      <c r="I42" s="176">
        <v>23.76</v>
      </c>
      <c r="J42" s="233"/>
    </row>
    <row r="43" spans="1:10">
      <c r="A43" s="171">
        <v>40</v>
      </c>
      <c r="B43" s="172" t="s">
        <v>2061</v>
      </c>
      <c r="C43" s="172" t="s">
        <v>1653</v>
      </c>
      <c r="D43" s="176">
        <v>40</v>
      </c>
      <c r="F43" s="171">
        <v>110</v>
      </c>
      <c r="G43" s="172" t="s">
        <v>1758</v>
      </c>
      <c r="H43" s="172" t="s">
        <v>1759</v>
      </c>
      <c r="I43" s="176">
        <v>52.83</v>
      </c>
      <c r="J43" s="233"/>
    </row>
    <row r="44" spans="1:10">
      <c r="A44" s="171">
        <v>41</v>
      </c>
      <c r="B44" s="172" t="s">
        <v>2040</v>
      </c>
      <c r="C44" s="172" t="s">
        <v>1985</v>
      </c>
      <c r="D44" s="176">
        <v>37.630000000000003</v>
      </c>
      <c r="F44" s="171">
        <v>111</v>
      </c>
      <c r="G44" s="172" t="s">
        <v>2113</v>
      </c>
      <c r="H44" s="172" t="s">
        <v>1568</v>
      </c>
      <c r="I44" s="176">
        <v>41.31</v>
      </c>
      <c r="J44" s="233"/>
    </row>
    <row r="45" spans="1:10">
      <c r="A45" s="171">
        <v>42</v>
      </c>
      <c r="B45" s="172" t="s">
        <v>1712</v>
      </c>
      <c r="C45" s="172" t="s">
        <v>1713</v>
      </c>
      <c r="D45" s="176">
        <v>52.17</v>
      </c>
      <c r="F45" s="171">
        <v>112</v>
      </c>
      <c r="G45" s="172" t="s">
        <v>1979</v>
      </c>
      <c r="H45" s="172" t="s">
        <v>1554</v>
      </c>
      <c r="I45" s="176">
        <v>70</v>
      </c>
      <c r="J45" s="233"/>
    </row>
    <row r="46" spans="1:10">
      <c r="A46" s="171">
        <v>43</v>
      </c>
      <c r="B46" s="172" t="s">
        <v>1712</v>
      </c>
      <c r="C46" s="172" t="s">
        <v>1715</v>
      </c>
      <c r="D46" s="176">
        <v>70</v>
      </c>
      <c r="F46" s="171">
        <v>113</v>
      </c>
      <c r="G46" s="172" t="s">
        <v>1822</v>
      </c>
      <c r="H46" s="172" t="s">
        <v>2029</v>
      </c>
      <c r="I46" s="176">
        <v>47.74</v>
      </c>
      <c r="J46" s="233"/>
    </row>
    <row r="47" spans="1:10">
      <c r="A47" s="171">
        <v>44</v>
      </c>
      <c r="B47" s="172" t="s">
        <v>1712</v>
      </c>
      <c r="C47" s="172" t="s">
        <v>1959</v>
      </c>
      <c r="D47" s="176">
        <v>36.700000000000003</v>
      </c>
      <c r="F47" s="171">
        <v>114</v>
      </c>
      <c r="G47" s="172" t="s">
        <v>1822</v>
      </c>
      <c r="H47" s="172" t="s">
        <v>2378</v>
      </c>
      <c r="I47" s="176">
        <v>56.57</v>
      </c>
      <c r="J47" s="233"/>
    </row>
    <row r="48" spans="1:10">
      <c r="A48" s="171">
        <v>45</v>
      </c>
      <c r="B48" s="172" t="s">
        <v>1770</v>
      </c>
      <c r="C48" s="172" t="s">
        <v>1771</v>
      </c>
      <c r="D48" s="176">
        <v>42.5</v>
      </c>
      <c r="F48" s="171">
        <v>115</v>
      </c>
      <c r="G48" s="172" t="s">
        <v>1822</v>
      </c>
      <c r="H48" s="172" t="s">
        <v>2000</v>
      </c>
      <c r="I48" s="176">
        <v>55.1</v>
      </c>
      <c r="J48" s="233"/>
    </row>
    <row r="49" spans="1:10">
      <c r="A49" s="171">
        <v>46</v>
      </c>
      <c r="B49" s="172" t="s">
        <v>1770</v>
      </c>
      <c r="C49" s="172" t="s">
        <v>1771</v>
      </c>
      <c r="D49" s="176">
        <v>32.700000000000003</v>
      </c>
      <c r="F49" s="171">
        <v>116</v>
      </c>
      <c r="G49" s="172" t="s">
        <v>1822</v>
      </c>
      <c r="H49" s="172" t="s">
        <v>2108</v>
      </c>
      <c r="I49" s="176">
        <v>62.2</v>
      </c>
      <c r="J49" s="233"/>
    </row>
    <row r="50" spans="1:10">
      <c r="A50" s="171">
        <v>47</v>
      </c>
      <c r="B50" s="172" t="s">
        <v>1567</v>
      </c>
      <c r="C50" s="172" t="s">
        <v>1568</v>
      </c>
      <c r="D50" s="176">
        <v>53</v>
      </c>
      <c r="F50" s="171">
        <v>117</v>
      </c>
      <c r="G50" s="172" t="s">
        <v>1822</v>
      </c>
      <c r="H50" s="172" t="s">
        <v>1823</v>
      </c>
      <c r="I50" s="176">
        <v>30</v>
      </c>
      <c r="J50" s="233"/>
    </row>
    <row r="51" spans="1:10">
      <c r="A51" s="171">
        <v>48</v>
      </c>
      <c r="B51" s="172" t="s">
        <v>1567</v>
      </c>
      <c r="C51" s="172" t="s">
        <v>1552</v>
      </c>
      <c r="D51" s="176">
        <v>48</v>
      </c>
      <c r="F51" s="171">
        <v>118</v>
      </c>
      <c r="G51" s="172" t="s">
        <v>2379</v>
      </c>
      <c r="H51" s="172" t="s">
        <v>1617</v>
      </c>
      <c r="I51" s="176">
        <v>56.11</v>
      </c>
      <c r="J51" s="233"/>
    </row>
    <row r="52" spans="1:10">
      <c r="A52" s="171">
        <v>49</v>
      </c>
      <c r="B52" s="172" t="s">
        <v>1567</v>
      </c>
      <c r="C52" s="172" t="s">
        <v>1731</v>
      </c>
      <c r="D52" s="176">
        <v>60.63</v>
      </c>
      <c r="F52" s="171">
        <v>119</v>
      </c>
      <c r="G52" s="172" t="s">
        <v>1797</v>
      </c>
      <c r="H52" s="172" t="s">
        <v>1678</v>
      </c>
      <c r="I52" s="176">
        <v>60</v>
      </c>
      <c r="J52" s="233"/>
    </row>
    <row r="53" spans="1:10">
      <c r="A53" s="171">
        <v>50</v>
      </c>
      <c r="B53" s="172" t="s">
        <v>1567</v>
      </c>
      <c r="C53" s="172" t="s">
        <v>1552</v>
      </c>
      <c r="D53" s="176">
        <v>22.02</v>
      </c>
      <c r="F53" s="171">
        <v>120</v>
      </c>
      <c r="G53" s="172" t="s">
        <v>1763</v>
      </c>
      <c r="H53" s="172" t="s">
        <v>1566</v>
      </c>
      <c r="I53" s="176">
        <v>25.67</v>
      </c>
      <c r="J53" s="233"/>
    </row>
    <row r="54" spans="1:10">
      <c r="A54" s="171">
        <v>51</v>
      </c>
      <c r="B54" s="172" t="s">
        <v>1567</v>
      </c>
      <c r="C54" s="172" t="s">
        <v>1566</v>
      </c>
      <c r="D54" s="176">
        <v>30</v>
      </c>
      <c r="F54" s="171">
        <v>121</v>
      </c>
      <c r="G54" s="172" t="s">
        <v>1763</v>
      </c>
      <c r="H54" s="172" t="s">
        <v>1592</v>
      </c>
      <c r="I54" s="176">
        <v>30.89</v>
      </c>
      <c r="J54" s="233"/>
    </row>
    <row r="55" spans="1:10">
      <c r="A55" s="171">
        <v>52</v>
      </c>
      <c r="B55" s="172" t="s">
        <v>1835</v>
      </c>
      <c r="C55" s="172" t="s">
        <v>2100</v>
      </c>
      <c r="D55" s="176">
        <v>60</v>
      </c>
      <c r="F55" s="171">
        <v>122</v>
      </c>
      <c r="G55" s="172" t="s">
        <v>1766</v>
      </c>
      <c r="H55" s="172" t="s">
        <v>1590</v>
      </c>
      <c r="I55" s="176">
        <v>54.6</v>
      </c>
      <c r="J55" s="233"/>
    </row>
    <row r="56" spans="1:10">
      <c r="A56" s="171">
        <v>53</v>
      </c>
      <c r="B56" s="172" t="s">
        <v>1835</v>
      </c>
      <c r="C56" s="172" t="s">
        <v>1776</v>
      </c>
      <c r="D56" s="176">
        <v>40</v>
      </c>
      <c r="F56" s="171">
        <v>123</v>
      </c>
      <c r="G56" s="172" t="s">
        <v>1766</v>
      </c>
      <c r="H56" s="172" t="s">
        <v>1767</v>
      </c>
      <c r="I56" s="176">
        <v>29.7</v>
      </c>
      <c r="J56" s="233"/>
    </row>
    <row r="57" spans="1:10">
      <c r="A57" s="171">
        <v>54</v>
      </c>
      <c r="B57" s="172" t="s">
        <v>1835</v>
      </c>
      <c r="C57" s="172" t="s">
        <v>1910</v>
      </c>
      <c r="D57" s="176">
        <v>30.6</v>
      </c>
      <c r="F57" s="171">
        <v>124</v>
      </c>
      <c r="G57" s="172" t="s">
        <v>2042</v>
      </c>
      <c r="H57" s="172" t="s">
        <v>2043</v>
      </c>
      <c r="I57" s="176">
        <v>49.87</v>
      </c>
      <c r="J57" s="233"/>
    </row>
    <row r="58" spans="1:10">
      <c r="A58" s="171">
        <v>55</v>
      </c>
      <c r="B58" s="172" t="s">
        <v>1876</v>
      </c>
      <c r="C58" s="172" t="s">
        <v>1551</v>
      </c>
      <c r="D58" s="176">
        <v>42.5</v>
      </c>
      <c r="F58" s="171">
        <v>125</v>
      </c>
      <c r="G58" s="172" t="s">
        <v>2092</v>
      </c>
      <c r="H58" s="172" t="s">
        <v>1717</v>
      </c>
      <c r="I58" s="176">
        <v>34.700000000000003</v>
      </c>
      <c r="J58" s="233"/>
    </row>
    <row r="59" spans="1:10">
      <c r="A59" s="171">
        <v>56</v>
      </c>
      <c r="B59" s="172" t="s">
        <v>1876</v>
      </c>
      <c r="C59" s="172" t="s">
        <v>1786</v>
      </c>
      <c r="D59" s="176">
        <v>40</v>
      </c>
      <c r="F59" s="171">
        <v>126</v>
      </c>
      <c r="G59" s="172" t="s">
        <v>1632</v>
      </c>
      <c r="H59" s="172" t="s">
        <v>1633</v>
      </c>
      <c r="I59" s="176">
        <v>70</v>
      </c>
      <c r="J59" s="233"/>
    </row>
    <row r="60" spans="1:10">
      <c r="A60" s="171">
        <v>57</v>
      </c>
      <c r="B60" s="172" t="s">
        <v>1876</v>
      </c>
      <c r="C60" s="172" t="s">
        <v>1564</v>
      </c>
      <c r="D60" s="176">
        <v>40</v>
      </c>
      <c r="F60" s="171">
        <v>127</v>
      </c>
      <c r="G60" s="172" t="s">
        <v>1988</v>
      </c>
      <c r="H60" s="172" t="s">
        <v>1716</v>
      </c>
      <c r="I60" s="176">
        <v>51.97</v>
      </c>
      <c r="J60" s="233"/>
    </row>
    <row r="61" spans="1:10">
      <c r="A61" s="171">
        <v>58</v>
      </c>
      <c r="B61" s="172" t="s">
        <v>1926</v>
      </c>
      <c r="C61" s="172" t="s">
        <v>1927</v>
      </c>
      <c r="D61" s="176">
        <v>53.63</v>
      </c>
      <c r="F61" s="171">
        <v>128</v>
      </c>
      <c r="G61" s="172" t="s">
        <v>1968</v>
      </c>
      <c r="H61" s="172" t="s">
        <v>1739</v>
      </c>
      <c r="I61" s="176">
        <v>43.96</v>
      </c>
      <c r="J61" s="233"/>
    </row>
    <row r="62" spans="1:10">
      <c r="A62" s="171">
        <v>59</v>
      </c>
      <c r="B62" s="172" t="s">
        <v>1926</v>
      </c>
      <c r="C62" s="172" t="s">
        <v>1927</v>
      </c>
      <c r="D62" s="176">
        <v>25.45</v>
      </c>
      <c r="F62" s="171">
        <v>129</v>
      </c>
      <c r="G62" s="172" t="s">
        <v>1968</v>
      </c>
      <c r="H62" s="172" t="s">
        <v>1739</v>
      </c>
      <c r="I62" s="176">
        <v>11.2</v>
      </c>
      <c r="J62" s="233"/>
    </row>
    <row r="63" spans="1:10">
      <c r="A63" s="171">
        <v>60</v>
      </c>
      <c r="B63" s="172" t="s">
        <v>1594</v>
      </c>
      <c r="C63" s="172" t="s">
        <v>1595</v>
      </c>
      <c r="D63" s="176">
        <v>32</v>
      </c>
      <c r="F63" s="171">
        <v>130</v>
      </c>
      <c r="G63" s="172" t="s">
        <v>1838</v>
      </c>
      <c r="H63" s="172" t="s">
        <v>1900</v>
      </c>
      <c r="I63" s="176">
        <v>44</v>
      </c>
      <c r="J63" s="233"/>
    </row>
    <row r="64" spans="1:10">
      <c r="A64" s="171">
        <v>61</v>
      </c>
      <c r="B64" s="172" t="s">
        <v>1844</v>
      </c>
      <c r="C64" s="172" t="s">
        <v>1845</v>
      </c>
      <c r="D64" s="176">
        <v>28.09</v>
      </c>
      <c r="F64" s="171">
        <v>131</v>
      </c>
      <c r="G64" s="172" t="s">
        <v>1838</v>
      </c>
      <c r="H64" s="172" t="s">
        <v>2029</v>
      </c>
      <c r="I64" s="176">
        <v>62.85</v>
      </c>
      <c r="J64" s="233"/>
    </row>
    <row r="65" spans="1:10">
      <c r="A65" s="171">
        <v>62</v>
      </c>
      <c r="B65" s="172" t="s">
        <v>2031</v>
      </c>
      <c r="C65" s="172" t="s">
        <v>1595</v>
      </c>
      <c r="D65" s="176">
        <v>59.27</v>
      </c>
      <c r="F65" s="171">
        <v>132</v>
      </c>
      <c r="G65" s="172" t="s">
        <v>2140</v>
      </c>
      <c r="H65" s="172" t="s">
        <v>1930</v>
      </c>
      <c r="I65" s="176">
        <v>40</v>
      </c>
      <c r="J65" s="233"/>
    </row>
    <row r="66" spans="1:10">
      <c r="A66" s="171">
        <v>63</v>
      </c>
      <c r="B66" s="172" t="s">
        <v>1787</v>
      </c>
      <c r="C66" s="172" t="s">
        <v>1717</v>
      </c>
      <c r="D66" s="176">
        <v>70</v>
      </c>
      <c r="F66" s="171">
        <v>133</v>
      </c>
      <c r="G66" s="172" t="s">
        <v>1805</v>
      </c>
      <c r="H66" s="172" t="s">
        <v>1806</v>
      </c>
      <c r="I66" s="176">
        <v>37.67</v>
      </c>
      <c r="J66" s="233"/>
    </row>
    <row r="67" spans="1:10">
      <c r="A67" s="171">
        <v>64</v>
      </c>
      <c r="B67" s="172" t="s">
        <v>1948</v>
      </c>
      <c r="C67" s="172" t="s">
        <v>1949</v>
      </c>
      <c r="D67" s="176">
        <v>37.07</v>
      </c>
      <c r="F67" s="171">
        <v>134</v>
      </c>
      <c r="G67" s="172" t="s">
        <v>1873</v>
      </c>
      <c r="H67" s="172" t="s">
        <v>1731</v>
      </c>
      <c r="I67" s="176">
        <v>24.67</v>
      </c>
      <c r="J67" s="233"/>
    </row>
    <row r="68" spans="1:10">
      <c r="A68" s="171">
        <v>65</v>
      </c>
      <c r="B68" s="172" t="s">
        <v>1593</v>
      </c>
      <c r="C68" s="172" t="s">
        <v>1570</v>
      </c>
      <c r="D68" s="176">
        <v>29.1</v>
      </c>
      <c r="F68" s="171">
        <v>135</v>
      </c>
      <c r="G68" s="172" t="s">
        <v>1955</v>
      </c>
      <c r="H68" s="172" t="s">
        <v>1559</v>
      </c>
      <c r="I68" s="176">
        <v>70</v>
      </c>
      <c r="J68" s="233"/>
    </row>
    <row r="69" spans="1:10">
      <c r="A69" s="171">
        <v>66</v>
      </c>
      <c r="B69" s="172" t="s">
        <v>1573</v>
      </c>
      <c r="C69" s="172" t="s">
        <v>1574</v>
      </c>
      <c r="D69" s="176">
        <v>50.04</v>
      </c>
      <c r="F69" s="171">
        <v>136</v>
      </c>
      <c r="G69" s="172" t="s">
        <v>1973</v>
      </c>
      <c r="H69" s="172" t="s">
        <v>1974</v>
      </c>
      <c r="I69" s="176">
        <v>47.83</v>
      </c>
      <c r="J69" s="233"/>
    </row>
    <row r="70" spans="1:10">
      <c r="A70" s="171">
        <v>67</v>
      </c>
      <c r="B70" s="172" t="s">
        <v>1573</v>
      </c>
      <c r="C70" s="172" t="s">
        <v>1595</v>
      </c>
      <c r="D70" s="176">
        <v>43.83</v>
      </c>
      <c r="F70" s="171">
        <v>137</v>
      </c>
      <c r="G70" s="172" t="s">
        <v>2067</v>
      </c>
      <c r="H70" s="172" t="s">
        <v>2068</v>
      </c>
      <c r="I70" s="176">
        <v>33</v>
      </c>
      <c r="J70" s="233"/>
    </row>
    <row r="71" spans="1:10">
      <c r="A71" s="171">
        <v>68</v>
      </c>
      <c r="B71" s="172" t="s">
        <v>1573</v>
      </c>
      <c r="C71" s="172" t="s">
        <v>1933</v>
      </c>
      <c r="D71" s="176">
        <v>20.7</v>
      </c>
      <c r="F71" s="171">
        <v>138</v>
      </c>
      <c r="G71" s="172" t="s">
        <v>2098</v>
      </c>
      <c r="H71" s="172" t="s">
        <v>1625</v>
      </c>
      <c r="I71" s="176">
        <v>37.99</v>
      </c>
      <c r="J71" s="233"/>
    </row>
    <row r="72" spans="1:10">
      <c r="A72" s="171">
        <v>69</v>
      </c>
      <c r="B72" s="172" t="s">
        <v>2000</v>
      </c>
      <c r="C72" s="172" t="s">
        <v>2127</v>
      </c>
      <c r="D72" s="176">
        <v>69</v>
      </c>
      <c r="F72" s="171">
        <v>139</v>
      </c>
      <c r="G72" s="172" t="s">
        <v>1693</v>
      </c>
      <c r="H72" s="172" t="s">
        <v>1694</v>
      </c>
      <c r="I72" s="176">
        <v>62</v>
      </c>
      <c r="J72" s="233"/>
    </row>
    <row r="73" spans="1:10">
      <c r="J73" s="233"/>
    </row>
    <row r="74" spans="1:10">
      <c r="A74" s="171">
        <v>140</v>
      </c>
      <c r="B74" s="172" t="s">
        <v>1652</v>
      </c>
      <c r="C74" s="172" t="s">
        <v>1653</v>
      </c>
      <c r="D74" s="176">
        <v>70</v>
      </c>
      <c r="F74" s="171">
        <v>212</v>
      </c>
      <c r="G74" s="172" t="s">
        <v>1891</v>
      </c>
      <c r="H74" s="172" t="s">
        <v>1892</v>
      </c>
      <c r="I74" s="176">
        <v>40</v>
      </c>
      <c r="J74" s="233"/>
    </row>
    <row r="75" spans="1:10">
      <c r="A75" s="171">
        <v>141</v>
      </c>
      <c r="B75" s="172" t="s">
        <v>2101</v>
      </c>
      <c r="C75" s="172" t="s">
        <v>1930</v>
      </c>
      <c r="D75" s="176">
        <v>51.2</v>
      </c>
      <c r="F75" s="171">
        <v>213</v>
      </c>
      <c r="G75" s="172" t="s">
        <v>1856</v>
      </c>
      <c r="H75" s="172" t="s">
        <v>1653</v>
      </c>
      <c r="I75" s="176">
        <v>24.58</v>
      </c>
      <c r="J75" s="233"/>
    </row>
    <row r="76" spans="1:10">
      <c r="A76" s="171">
        <v>142</v>
      </c>
      <c r="B76" s="172" t="s">
        <v>1709</v>
      </c>
      <c r="C76" s="172" t="s">
        <v>1568</v>
      </c>
      <c r="D76" s="176">
        <v>41.2</v>
      </c>
      <c r="F76" s="171">
        <v>214</v>
      </c>
      <c r="G76" s="172" t="s">
        <v>1856</v>
      </c>
      <c r="H76" s="172" t="s">
        <v>1568</v>
      </c>
      <c r="I76" s="176">
        <v>45</v>
      </c>
      <c r="J76" s="233"/>
    </row>
    <row r="77" spans="1:10">
      <c r="A77" s="171">
        <v>143</v>
      </c>
      <c r="B77" s="172" t="s">
        <v>1709</v>
      </c>
      <c r="C77" s="172" t="s">
        <v>1574</v>
      </c>
      <c r="D77" s="176">
        <v>70</v>
      </c>
      <c r="F77" s="171">
        <v>215</v>
      </c>
      <c r="G77" s="172" t="s">
        <v>1994</v>
      </c>
      <c r="H77" s="172" t="s">
        <v>1557</v>
      </c>
      <c r="I77" s="176">
        <v>40</v>
      </c>
      <c r="J77" s="233"/>
    </row>
    <row r="78" spans="1:10">
      <c r="A78" s="171">
        <v>144</v>
      </c>
      <c r="B78" s="172" t="s">
        <v>1709</v>
      </c>
      <c r="C78" s="172" t="s">
        <v>1574</v>
      </c>
      <c r="D78" s="176">
        <v>40</v>
      </c>
      <c r="F78" s="171">
        <v>216</v>
      </c>
      <c r="G78" s="172" t="s">
        <v>1610</v>
      </c>
      <c r="H78" s="172" t="s">
        <v>1572</v>
      </c>
      <c r="I78" s="176">
        <v>63.08</v>
      </c>
      <c r="J78" s="233"/>
    </row>
    <row r="79" spans="1:10">
      <c r="A79" s="171">
        <v>145</v>
      </c>
      <c r="B79" s="172" t="s">
        <v>1893</v>
      </c>
      <c r="C79" s="172" t="s">
        <v>1894</v>
      </c>
      <c r="D79" s="176">
        <v>60.5</v>
      </c>
      <c r="F79" s="171">
        <v>217</v>
      </c>
      <c r="G79" s="172" t="s">
        <v>1610</v>
      </c>
      <c r="H79" s="172" t="s">
        <v>1625</v>
      </c>
      <c r="I79" s="176">
        <v>42.02</v>
      </c>
      <c r="J79" s="233"/>
    </row>
    <row r="80" spans="1:10">
      <c r="A80" s="171">
        <v>146</v>
      </c>
      <c r="B80" s="172" t="s">
        <v>2401</v>
      </c>
      <c r="C80" s="172" t="s">
        <v>1592</v>
      </c>
      <c r="D80" s="176">
        <v>29.36</v>
      </c>
      <c r="F80" s="171">
        <v>218</v>
      </c>
      <c r="G80" s="172" t="s">
        <v>1610</v>
      </c>
      <c r="H80" s="172" t="s">
        <v>1568</v>
      </c>
      <c r="I80" s="176">
        <v>43</v>
      </c>
      <c r="J80" s="233"/>
    </row>
    <row r="81" spans="1:10">
      <c r="A81" s="171">
        <v>147</v>
      </c>
      <c r="B81" s="172" t="s">
        <v>1585</v>
      </c>
      <c r="C81" s="172" t="s">
        <v>1586</v>
      </c>
      <c r="D81" s="176">
        <v>60</v>
      </c>
      <c r="F81" s="171">
        <v>219</v>
      </c>
      <c r="G81" s="172" t="s">
        <v>1610</v>
      </c>
      <c r="H81" s="172" t="s">
        <v>1572</v>
      </c>
      <c r="I81" s="176">
        <v>40.5</v>
      </c>
      <c r="J81" s="233"/>
    </row>
    <row r="82" spans="1:10">
      <c r="A82" s="171">
        <v>148</v>
      </c>
      <c r="B82" s="172" t="s">
        <v>1710</v>
      </c>
      <c r="C82" s="172" t="s">
        <v>1590</v>
      </c>
      <c r="D82" s="176">
        <v>35.6</v>
      </c>
      <c r="F82" s="171">
        <v>220</v>
      </c>
      <c r="G82" s="172" t="s">
        <v>1610</v>
      </c>
      <c r="H82" s="172" t="s">
        <v>1551</v>
      </c>
      <c r="I82" s="176">
        <v>24.84</v>
      </c>
      <c r="J82" s="233"/>
    </row>
    <row r="83" spans="1:10">
      <c r="A83" s="171">
        <v>149</v>
      </c>
      <c r="B83" s="172" t="s">
        <v>1548</v>
      </c>
      <c r="C83" s="172" t="s">
        <v>1549</v>
      </c>
      <c r="D83" s="176">
        <v>50.4</v>
      </c>
      <c r="F83" s="171">
        <v>221</v>
      </c>
      <c r="G83" s="172" t="s">
        <v>1610</v>
      </c>
      <c r="H83" s="172" t="s">
        <v>1572</v>
      </c>
      <c r="I83" s="176">
        <v>40</v>
      </c>
      <c r="J83" s="233"/>
    </row>
    <row r="84" spans="1:10">
      <c r="A84" s="171">
        <v>150</v>
      </c>
      <c r="B84" s="172" t="s">
        <v>2095</v>
      </c>
      <c r="C84" s="172" t="s">
        <v>1741</v>
      </c>
      <c r="D84" s="176">
        <v>48.17</v>
      </c>
      <c r="F84" s="171">
        <v>222</v>
      </c>
      <c r="G84" s="172" t="s">
        <v>1634</v>
      </c>
      <c r="H84" s="172" t="s">
        <v>1635</v>
      </c>
      <c r="I84" s="176">
        <v>62</v>
      </c>
      <c r="J84" s="233"/>
    </row>
    <row r="85" spans="1:10">
      <c r="A85" s="171">
        <v>151</v>
      </c>
      <c r="B85" s="172" t="s">
        <v>2380</v>
      </c>
      <c r="C85" s="172" t="s">
        <v>2022</v>
      </c>
      <c r="D85" s="176">
        <v>59.04</v>
      </c>
      <c r="F85" s="171">
        <v>223</v>
      </c>
      <c r="G85" s="172" t="s">
        <v>2384</v>
      </c>
      <c r="H85" s="172" t="s">
        <v>2385</v>
      </c>
      <c r="I85" s="176">
        <v>54.33</v>
      </c>
      <c r="J85" s="233"/>
    </row>
    <row r="86" spans="1:10">
      <c r="A86" s="171">
        <v>152</v>
      </c>
      <c r="B86" s="172" t="s">
        <v>1836</v>
      </c>
      <c r="C86" s="172" t="s">
        <v>1837</v>
      </c>
      <c r="D86" s="176">
        <v>41.42</v>
      </c>
      <c r="F86" s="171">
        <v>224</v>
      </c>
      <c r="G86" s="172" t="s">
        <v>1699</v>
      </c>
      <c r="H86" s="172" t="s">
        <v>1700</v>
      </c>
      <c r="I86" s="176">
        <v>42.13</v>
      </c>
      <c r="J86" s="233"/>
    </row>
    <row r="87" spans="1:10">
      <c r="A87" s="171">
        <v>153</v>
      </c>
      <c r="B87" s="172" t="s">
        <v>1836</v>
      </c>
      <c r="C87" s="172" t="s">
        <v>1595</v>
      </c>
      <c r="D87" s="176">
        <v>48.67</v>
      </c>
      <c r="F87" s="171">
        <v>225</v>
      </c>
      <c r="G87" s="172" t="s">
        <v>1888</v>
      </c>
      <c r="H87" s="172" t="s">
        <v>1592</v>
      </c>
      <c r="I87" s="176">
        <v>62</v>
      </c>
      <c r="J87" s="233"/>
    </row>
    <row r="88" spans="1:10">
      <c r="A88" s="171">
        <v>154</v>
      </c>
      <c r="B88" s="172" t="s">
        <v>1830</v>
      </c>
      <c r="C88" s="172" t="s">
        <v>1831</v>
      </c>
      <c r="D88" s="176">
        <v>70</v>
      </c>
      <c r="F88" s="171">
        <v>226</v>
      </c>
      <c r="G88" s="172" t="s">
        <v>1931</v>
      </c>
      <c r="H88" s="172" t="s">
        <v>1625</v>
      </c>
      <c r="I88" s="176">
        <v>32</v>
      </c>
      <c r="J88" s="233"/>
    </row>
    <row r="89" spans="1:10">
      <c r="A89" s="171">
        <v>155</v>
      </c>
      <c r="B89" s="172" t="s">
        <v>1830</v>
      </c>
      <c r="C89" s="172" t="s">
        <v>1741</v>
      </c>
      <c r="D89" s="176">
        <v>42</v>
      </c>
      <c r="F89" s="171">
        <v>227</v>
      </c>
      <c r="G89" s="172" t="s">
        <v>1970</v>
      </c>
      <c r="H89" s="172" t="s">
        <v>1957</v>
      </c>
      <c r="I89" s="176">
        <v>45.67</v>
      </c>
      <c r="J89" s="233"/>
    </row>
    <row r="90" spans="1:10">
      <c r="A90" s="171">
        <v>156</v>
      </c>
      <c r="B90" s="172" t="s">
        <v>1830</v>
      </c>
      <c r="C90" s="172" t="s">
        <v>1741</v>
      </c>
      <c r="D90" s="176">
        <v>40</v>
      </c>
      <c r="F90" s="171">
        <v>228</v>
      </c>
      <c r="G90" s="172" t="s">
        <v>1998</v>
      </c>
      <c r="H90" s="172" t="s">
        <v>1848</v>
      </c>
      <c r="I90" s="176">
        <v>55.5</v>
      </c>
      <c r="J90" s="233"/>
    </row>
    <row r="91" spans="1:10">
      <c r="A91" s="171">
        <v>157</v>
      </c>
      <c r="B91" s="172" t="s">
        <v>2381</v>
      </c>
      <c r="C91" s="172" t="s">
        <v>1717</v>
      </c>
      <c r="D91" s="176">
        <v>55.99</v>
      </c>
      <c r="F91" s="171">
        <v>229</v>
      </c>
      <c r="G91" s="172" t="s">
        <v>1991</v>
      </c>
      <c r="H91" s="172" t="s">
        <v>1584</v>
      </c>
      <c r="I91" s="176">
        <v>53.83</v>
      </c>
      <c r="J91" s="233"/>
    </row>
    <row r="92" spans="1:10">
      <c r="A92" s="171">
        <v>158</v>
      </c>
      <c r="B92" s="172" t="s">
        <v>1616</v>
      </c>
      <c r="C92" s="172" t="s">
        <v>1617</v>
      </c>
      <c r="D92" s="176">
        <v>26</v>
      </c>
      <c r="F92" s="171">
        <v>230</v>
      </c>
      <c r="G92" s="172" t="s">
        <v>1649</v>
      </c>
      <c r="H92" s="172" t="s">
        <v>1570</v>
      </c>
      <c r="I92" s="176">
        <v>47.32</v>
      </c>
      <c r="J92" s="233"/>
    </row>
    <row r="93" spans="1:10">
      <c r="A93" s="171">
        <v>159</v>
      </c>
      <c r="B93" s="172" t="s">
        <v>1616</v>
      </c>
      <c r="C93" s="172" t="s">
        <v>1625</v>
      </c>
      <c r="D93" s="176">
        <v>70</v>
      </c>
      <c r="F93" s="171">
        <v>231</v>
      </c>
      <c r="G93" s="172" t="s">
        <v>2063</v>
      </c>
      <c r="H93" s="172" t="s">
        <v>1644</v>
      </c>
      <c r="I93" s="176">
        <v>69.81</v>
      </c>
      <c r="J93" s="233"/>
    </row>
    <row r="94" spans="1:10">
      <c r="A94" s="171">
        <v>160</v>
      </c>
      <c r="B94" s="172" t="s">
        <v>1890</v>
      </c>
      <c r="C94" s="172" t="s">
        <v>1557</v>
      </c>
      <c r="D94" s="176">
        <v>63.4</v>
      </c>
      <c r="F94" s="171">
        <v>232</v>
      </c>
      <c r="G94" s="172" t="s">
        <v>1946</v>
      </c>
      <c r="H94" s="172" t="s">
        <v>1606</v>
      </c>
      <c r="I94" s="176">
        <v>44.49</v>
      </c>
      <c r="J94" s="233"/>
    </row>
    <row r="95" spans="1:10">
      <c r="A95" s="171">
        <v>161</v>
      </c>
      <c r="B95" s="172" t="s">
        <v>1890</v>
      </c>
      <c r="C95" s="172" t="s">
        <v>1715</v>
      </c>
      <c r="D95" s="176">
        <v>50.24</v>
      </c>
      <c r="F95" s="171">
        <v>233</v>
      </c>
      <c r="G95" s="172" t="s">
        <v>1643</v>
      </c>
      <c r="H95" s="172" t="s">
        <v>1644</v>
      </c>
      <c r="I95" s="176">
        <v>28</v>
      </c>
      <c r="J95" s="233"/>
    </row>
    <row r="96" spans="1:10">
      <c r="A96" s="171">
        <v>162</v>
      </c>
      <c r="B96" s="172" t="s">
        <v>2382</v>
      </c>
      <c r="C96" s="172" t="s">
        <v>2383</v>
      </c>
      <c r="D96" s="176">
        <v>69.61</v>
      </c>
      <c r="F96" s="171">
        <v>234</v>
      </c>
      <c r="G96" s="172" t="s">
        <v>1719</v>
      </c>
      <c r="H96" s="172" t="s">
        <v>1717</v>
      </c>
      <c r="I96" s="176">
        <v>70</v>
      </c>
      <c r="J96" s="233"/>
    </row>
    <row r="97" spans="1:10">
      <c r="A97" s="171">
        <v>163</v>
      </c>
      <c r="B97" s="172" t="s">
        <v>2115</v>
      </c>
      <c r="C97" s="172" t="s">
        <v>1687</v>
      </c>
      <c r="D97" s="176">
        <v>24</v>
      </c>
      <c r="F97" s="171">
        <v>235</v>
      </c>
      <c r="G97" s="172" t="s">
        <v>1719</v>
      </c>
      <c r="H97" s="172" t="s">
        <v>1564</v>
      </c>
      <c r="I97" s="176">
        <v>30.9</v>
      </c>
      <c r="J97" s="233"/>
    </row>
    <row r="98" spans="1:10">
      <c r="A98" s="171">
        <v>164</v>
      </c>
      <c r="B98" s="172" t="s">
        <v>2104</v>
      </c>
      <c r="C98" s="172" t="s">
        <v>1606</v>
      </c>
      <c r="D98" s="176">
        <v>57.33</v>
      </c>
      <c r="F98" s="171">
        <v>236</v>
      </c>
      <c r="G98" s="172" t="s">
        <v>1719</v>
      </c>
      <c r="H98" s="172" t="s">
        <v>1564</v>
      </c>
      <c r="I98" s="176">
        <v>32.4</v>
      </c>
      <c r="J98" s="233"/>
    </row>
    <row r="99" spans="1:10">
      <c r="A99" s="171">
        <v>165</v>
      </c>
      <c r="B99" s="172" t="s">
        <v>1824</v>
      </c>
      <c r="C99" s="172" t="s">
        <v>1825</v>
      </c>
      <c r="D99" s="176">
        <v>50.65</v>
      </c>
      <c r="F99" s="171">
        <v>237</v>
      </c>
      <c r="G99" s="172" t="s">
        <v>1971</v>
      </c>
      <c r="H99" s="172" t="s">
        <v>1739</v>
      </c>
      <c r="I99" s="176">
        <v>68</v>
      </c>
      <c r="J99" s="233"/>
    </row>
    <row r="100" spans="1:10">
      <c r="A100" s="171">
        <v>166</v>
      </c>
      <c r="B100" s="172" t="s">
        <v>1589</v>
      </c>
      <c r="C100" s="172" t="s">
        <v>1590</v>
      </c>
      <c r="D100" s="176">
        <v>43.33</v>
      </c>
      <c r="F100" s="171">
        <v>238</v>
      </c>
      <c r="G100" s="172" t="s">
        <v>1971</v>
      </c>
      <c r="H100" s="172" t="s">
        <v>1692</v>
      </c>
      <c r="I100" s="176">
        <v>44.25</v>
      </c>
      <c r="J100" s="233"/>
    </row>
    <row r="101" spans="1:10">
      <c r="A101" s="171">
        <v>167</v>
      </c>
      <c r="B101" s="172" t="s">
        <v>1883</v>
      </c>
      <c r="C101" s="172" t="s">
        <v>1884</v>
      </c>
      <c r="D101" s="176">
        <v>50.3</v>
      </c>
      <c r="F101" s="171">
        <v>239</v>
      </c>
      <c r="G101" s="172" t="s">
        <v>1718</v>
      </c>
      <c r="H101" s="172" t="s">
        <v>1604</v>
      </c>
      <c r="I101" s="176">
        <v>40</v>
      </c>
      <c r="J101" s="233"/>
    </row>
    <row r="102" spans="1:10">
      <c r="A102" s="171">
        <v>168</v>
      </c>
      <c r="B102" s="172" t="s">
        <v>2038</v>
      </c>
      <c r="C102" s="172" t="s">
        <v>1617</v>
      </c>
      <c r="D102" s="176">
        <v>11.76</v>
      </c>
      <c r="F102" s="171">
        <v>240</v>
      </c>
      <c r="G102" s="172" t="s">
        <v>1811</v>
      </c>
      <c r="H102" s="172" t="s">
        <v>1812</v>
      </c>
      <c r="I102" s="176">
        <v>72.08</v>
      </c>
      <c r="J102" s="233"/>
    </row>
    <row r="103" spans="1:10">
      <c r="A103" s="171">
        <v>169</v>
      </c>
      <c r="B103" s="172" t="s">
        <v>1727</v>
      </c>
      <c r="C103" s="172" t="s">
        <v>1728</v>
      </c>
      <c r="D103" s="176">
        <v>70</v>
      </c>
      <c r="F103" s="171">
        <v>241</v>
      </c>
      <c r="G103" s="172" t="s">
        <v>1881</v>
      </c>
      <c r="H103" s="172" t="s">
        <v>1882</v>
      </c>
      <c r="I103" s="176">
        <v>56.5</v>
      </c>
      <c r="J103" s="233"/>
    </row>
    <row r="104" spans="1:10">
      <c r="A104" s="171">
        <v>170</v>
      </c>
      <c r="B104" s="172" t="s">
        <v>1727</v>
      </c>
      <c r="C104" s="172" t="s">
        <v>1978</v>
      </c>
      <c r="D104" s="176">
        <v>13.5</v>
      </c>
      <c r="F104" s="171">
        <v>242</v>
      </c>
      <c r="G104" s="172" t="s">
        <v>1881</v>
      </c>
      <c r="H104" s="172" t="s">
        <v>1882</v>
      </c>
      <c r="I104" s="176">
        <v>39.6</v>
      </c>
      <c r="J104" s="233"/>
    </row>
    <row r="105" spans="1:10">
      <c r="A105" s="171">
        <v>171</v>
      </c>
      <c r="B105" s="172" t="s">
        <v>1569</v>
      </c>
      <c r="C105" s="172" t="s">
        <v>1570</v>
      </c>
      <c r="D105" s="176">
        <v>31.4</v>
      </c>
      <c r="F105" s="171">
        <v>243</v>
      </c>
      <c r="G105" s="172" t="s">
        <v>1645</v>
      </c>
      <c r="H105" s="172" t="s">
        <v>1646</v>
      </c>
      <c r="I105" s="176">
        <v>52.6</v>
      </c>
      <c r="J105" s="233"/>
    </row>
    <row r="106" spans="1:10">
      <c r="A106" s="171">
        <v>172</v>
      </c>
      <c r="B106" s="172" t="s">
        <v>1732</v>
      </c>
      <c r="C106" s="172" t="s">
        <v>1606</v>
      </c>
      <c r="D106" s="176">
        <v>43.1</v>
      </c>
      <c r="F106" s="171">
        <v>244</v>
      </c>
      <c r="G106" s="172" t="s">
        <v>1645</v>
      </c>
      <c r="H106" s="172" t="s">
        <v>1749</v>
      </c>
      <c r="I106" s="176">
        <v>70</v>
      </c>
      <c r="J106" s="233"/>
    </row>
    <row r="107" spans="1:10">
      <c r="A107" s="171">
        <v>173</v>
      </c>
      <c r="B107" s="172" t="s">
        <v>1711</v>
      </c>
      <c r="C107" s="172" t="s">
        <v>1568</v>
      </c>
      <c r="D107" s="176">
        <v>58</v>
      </c>
      <c r="F107" s="171">
        <v>245</v>
      </c>
      <c r="G107" s="172" t="s">
        <v>1695</v>
      </c>
      <c r="H107" s="172" t="s">
        <v>1584</v>
      </c>
      <c r="I107" s="176">
        <v>40</v>
      </c>
      <c r="J107" s="233"/>
    </row>
    <row r="108" spans="1:10">
      <c r="A108" s="171">
        <v>174</v>
      </c>
      <c r="B108" s="172" t="s">
        <v>1938</v>
      </c>
      <c r="C108" s="172" t="s">
        <v>1894</v>
      </c>
      <c r="D108" s="176">
        <v>15</v>
      </c>
      <c r="F108" s="171">
        <v>246</v>
      </c>
      <c r="G108" s="172" t="s">
        <v>1832</v>
      </c>
      <c r="H108" s="172" t="s">
        <v>1833</v>
      </c>
      <c r="I108" s="176">
        <v>13.08</v>
      </c>
      <c r="J108" s="233"/>
    </row>
    <row r="109" spans="1:10">
      <c r="A109" s="171">
        <v>175</v>
      </c>
      <c r="B109" s="172" t="s">
        <v>1938</v>
      </c>
      <c r="C109" s="172" t="s">
        <v>1957</v>
      </c>
      <c r="D109" s="176">
        <v>48.29</v>
      </c>
      <c r="F109" s="171">
        <v>247</v>
      </c>
      <c r="G109" s="172" t="s">
        <v>1689</v>
      </c>
      <c r="H109" s="172" t="s">
        <v>1690</v>
      </c>
      <c r="I109" s="176">
        <v>70</v>
      </c>
      <c r="J109" s="233"/>
    </row>
    <row r="110" spans="1:10">
      <c r="A110" s="171">
        <v>176</v>
      </c>
      <c r="B110" s="172" t="s">
        <v>1938</v>
      </c>
      <c r="C110" s="172" t="s">
        <v>1592</v>
      </c>
      <c r="D110" s="176">
        <v>70</v>
      </c>
      <c r="F110" s="171">
        <v>248</v>
      </c>
      <c r="G110" s="172" t="s">
        <v>1630</v>
      </c>
      <c r="H110" s="172" t="s">
        <v>1631</v>
      </c>
      <c r="I110" s="176">
        <v>70</v>
      </c>
      <c r="J110" s="233"/>
    </row>
    <row r="111" spans="1:10">
      <c r="A111" s="171">
        <v>177</v>
      </c>
      <c r="B111" s="172" t="s">
        <v>2001</v>
      </c>
      <c r="C111" s="172" t="s">
        <v>1554</v>
      </c>
      <c r="D111" s="176">
        <v>67.11</v>
      </c>
      <c r="F111" s="171">
        <v>249</v>
      </c>
      <c r="G111" s="172" t="s">
        <v>1777</v>
      </c>
      <c r="H111" s="172" t="s">
        <v>1767</v>
      </c>
      <c r="I111" s="176">
        <v>60.14</v>
      </c>
      <c r="J111" s="233"/>
    </row>
    <row r="112" spans="1:10">
      <c r="A112" s="171">
        <v>178</v>
      </c>
      <c r="B112" s="172" t="s">
        <v>2007</v>
      </c>
      <c r="C112" s="172" t="s">
        <v>2008</v>
      </c>
      <c r="D112" s="176">
        <v>48.6</v>
      </c>
      <c r="F112" s="171">
        <v>250</v>
      </c>
      <c r="G112" s="172" t="s">
        <v>2141</v>
      </c>
      <c r="H112" s="172" t="s">
        <v>2142</v>
      </c>
      <c r="I112" s="176">
        <v>30.33</v>
      </c>
      <c r="J112" s="233"/>
    </row>
    <row r="113" spans="1:10">
      <c r="A113" s="171">
        <v>179</v>
      </c>
      <c r="B113" s="172" t="s">
        <v>1879</v>
      </c>
      <c r="C113" s="172" t="s">
        <v>1625</v>
      </c>
      <c r="D113" s="176">
        <v>70</v>
      </c>
      <c r="F113" s="171">
        <v>251</v>
      </c>
      <c r="G113" s="172" t="s">
        <v>1691</v>
      </c>
      <c r="H113" s="172" t="s">
        <v>1692</v>
      </c>
      <c r="I113" s="176">
        <v>20.85</v>
      </c>
      <c r="J113" s="233"/>
    </row>
    <row r="114" spans="1:10">
      <c r="A114" s="171">
        <v>180</v>
      </c>
      <c r="B114" s="172" t="s">
        <v>2119</v>
      </c>
      <c r="C114" s="172" t="s">
        <v>1572</v>
      </c>
      <c r="D114" s="176">
        <v>69.489999999999995</v>
      </c>
      <c r="F114" s="171">
        <v>252</v>
      </c>
      <c r="G114" s="172" t="s">
        <v>1691</v>
      </c>
      <c r="H114" s="172" t="s">
        <v>1692</v>
      </c>
      <c r="I114" s="176">
        <v>31.17</v>
      </c>
      <c r="J114" s="233"/>
    </row>
    <row r="115" spans="1:10">
      <c r="A115" s="171">
        <v>181</v>
      </c>
      <c r="B115" s="172" t="s">
        <v>1983</v>
      </c>
      <c r="C115" s="172" t="s">
        <v>1984</v>
      </c>
      <c r="D115" s="176">
        <v>31.94</v>
      </c>
      <c r="F115" s="171">
        <v>253</v>
      </c>
      <c r="G115" s="172" t="s">
        <v>1773</v>
      </c>
      <c r="H115" s="172" t="s">
        <v>1774</v>
      </c>
      <c r="I115" s="176">
        <v>16.829999999999998</v>
      </c>
      <c r="J115" s="233"/>
    </row>
    <row r="116" spans="1:10">
      <c r="A116" s="171">
        <v>182</v>
      </c>
      <c r="B116" s="172" t="s">
        <v>1983</v>
      </c>
      <c r="C116" s="172" t="s">
        <v>1767</v>
      </c>
      <c r="D116" s="176">
        <v>58.21</v>
      </c>
      <c r="F116" s="171">
        <v>254</v>
      </c>
      <c r="G116" s="172" t="s">
        <v>2088</v>
      </c>
      <c r="H116" s="172" t="s">
        <v>1572</v>
      </c>
      <c r="I116" s="176">
        <v>33</v>
      </c>
      <c r="J116" s="233"/>
    </row>
    <row r="117" spans="1:10">
      <c r="A117" s="171">
        <v>183</v>
      </c>
      <c r="B117" s="172" t="s">
        <v>1983</v>
      </c>
      <c r="C117" s="172" t="s">
        <v>1557</v>
      </c>
      <c r="D117" s="176">
        <v>50</v>
      </c>
      <c r="F117" s="171">
        <v>255</v>
      </c>
      <c r="G117" s="172" t="s">
        <v>2084</v>
      </c>
      <c r="H117" s="172" t="s">
        <v>2085</v>
      </c>
      <c r="I117" s="176">
        <v>70</v>
      </c>
      <c r="J117" s="233"/>
    </row>
    <row r="118" spans="1:10">
      <c r="A118" s="171">
        <v>184</v>
      </c>
      <c r="B118" s="172" t="s">
        <v>2151</v>
      </c>
      <c r="C118" s="172" t="s">
        <v>2152</v>
      </c>
      <c r="D118" s="176">
        <v>28.3</v>
      </c>
      <c r="F118" s="171">
        <v>256</v>
      </c>
      <c r="G118" s="172" t="s">
        <v>2004</v>
      </c>
      <c r="H118" s="172" t="s">
        <v>1678</v>
      </c>
      <c r="I118" s="176">
        <v>63.91</v>
      </c>
      <c r="J118" s="233"/>
    </row>
    <row r="119" spans="1:10">
      <c r="A119" s="171">
        <v>185</v>
      </c>
      <c r="B119" s="172" t="s">
        <v>2089</v>
      </c>
      <c r="C119" s="172" t="s">
        <v>1590</v>
      </c>
      <c r="D119" s="176">
        <v>42.82</v>
      </c>
      <c r="F119" s="171">
        <v>257</v>
      </c>
      <c r="G119" s="172" t="s">
        <v>2004</v>
      </c>
      <c r="H119" s="172" t="s">
        <v>1981</v>
      </c>
      <c r="I119" s="176">
        <v>57.45</v>
      </c>
      <c r="J119" s="233"/>
    </row>
    <row r="120" spans="1:10">
      <c r="A120" s="171">
        <v>186</v>
      </c>
      <c r="B120" s="172" t="s">
        <v>2172</v>
      </c>
      <c r="C120" s="172" t="s">
        <v>1840</v>
      </c>
      <c r="D120" s="176">
        <v>36.67</v>
      </c>
      <c r="F120" s="171">
        <v>258</v>
      </c>
      <c r="G120" s="172" t="s">
        <v>2004</v>
      </c>
      <c r="H120" s="172" t="s">
        <v>1653</v>
      </c>
      <c r="I120" s="176">
        <v>21.36</v>
      </c>
      <c r="J120" s="233"/>
    </row>
    <row r="121" spans="1:10">
      <c r="A121" s="171">
        <v>187</v>
      </c>
      <c r="B121" s="172" t="s">
        <v>2157</v>
      </c>
      <c r="C121" s="172" t="s">
        <v>2158</v>
      </c>
      <c r="D121" s="176">
        <v>20.079999999999998</v>
      </c>
      <c r="F121" s="171">
        <v>259</v>
      </c>
      <c r="G121" s="172" t="s">
        <v>2019</v>
      </c>
      <c r="H121" s="172" t="s">
        <v>1949</v>
      </c>
      <c r="I121" s="176">
        <v>33.83</v>
      </c>
      <c r="J121" s="233"/>
    </row>
    <row r="122" spans="1:10">
      <c r="A122" s="171">
        <v>188</v>
      </c>
      <c r="B122" s="172" t="s">
        <v>1855</v>
      </c>
      <c r="C122" s="172" t="s">
        <v>1638</v>
      </c>
      <c r="D122" s="176">
        <v>31</v>
      </c>
      <c r="F122" s="171">
        <v>260</v>
      </c>
      <c r="G122" s="172" t="s">
        <v>1951</v>
      </c>
      <c r="H122" s="172" t="s">
        <v>1952</v>
      </c>
      <c r="I122" s="176">
        <v>50.17</v>
      </c>
      <c r="J122" s="233"/>
    </row>
    <row r="123" spans="1:10">
      <c r="A123" s="171">
        <v>189</v>
      </c>
      <c r="B123" s="172" t="s">
        <v>1807</v>
      </c>
      <c r="C123" s="172" t="s">
        <v>1617</v>
      </c>
      <c r="D123" s="176">
        <v>59.67</v>
      </c>
      <c r="F123" s="171">
        <v>261</v>
      </c>
      <c r="G123" s="172" t="s">
        <v>1951</v>
      </c>
      <c r="H123" s="172" t="s">
        <v>1568</v>
      </c>
      <c r="I123" s="176">
        <v>62.83</v>
      </c>
      <c r="J123" s="233"/>
    </row>
    <row r="124" spans="1:10">
      <c r="A124" s="171">
        <v>190</v>
      </c>
      <c r="B124" s="172" t="s">
        <v>1807</v>
      </c>
      <c r="C124" s="172" t="s">
        <v>1808</v>
      </c>
      <c r="D124" s="176">
        <v>55</v>
      </c>
      <c r="F124" s="171">
        <v>262</v>
      </c>
      <c r="G124" s="172" t="s">
        <v>2056</v>
      </c>
      <c r="H124" s="172" t="s">
        <v>1606</v>
      </c>
      <c r="I124" s="176">
        <v>30</v>
      </c>
      <c r="J124" s="233"/>
    </row>
    <row r="125" spans="1:10">
      <c r="A125" s="171">
        <v>191</v>
      </c>
      <c r="B125" s="172" t="s">
        <v>1834</v>
      </c>
      <c r="C125" s="172" t="s">
        <v>1653</v>
      </c>
      <c r="D125" s="176">
        <v>28.2</v>
      </c>
      <c r="F125" s="171">
        <v>263</v>
      </c>
      <c r="G125" s="172" t="s">
        <v>1581</v>
      </c>
      <c r="H125" s="172" t="s">
        <v>1582</v>
      </c>
      <c r="I125" s="176">
        <v>37.67</v>
      </c>
      <c r="J125" s="233"/>
    </row>
    <row r="126" spans="1:10">
      <c r="A126" s="171">
        <v>192</v>
      </c>
      <c r="B126" s="172" t="s">
        <v>1673</v>
      </c>
      <c r="C126" s="172" t="s">
        <v>1674</v>
      </c>
      <c r="D126" s="176">
        <v>60.12</v>
      </c>
      <c r="F126" s="171">
        <v>264</v>
      </c>
      <c r="G126" s="172" t="s">
        <v>1864</v>
      </c>
      <c r="H126" s="172" t="s">
        <v>1551</v>
      </c>
      <c r="I126" s="176">
        <v>40</v>
      </c>
      <c r="J126" s="233"/>
    </row>
    <row r="127" spans="1:10">
      <c r="A127" s="171">
        <v>193</v>
      </c>
      <c r="B127" s="172" t="s">
        <v>2149</v>
      </c>
      <c r="C127" s="172" t="s">
        <v>2150</v>
      </c>
      <c r="D127" s="176">
        <v>33</v>
      </c>
      <c r="F127" s="171">
        <v>265</v>
      </c>
      <c r="G127" s="172" t="s">
        <v>1864</v>
      </c>
      <c r="H127" s="172" t="s">
        <v>1625</v>
      </c>
      <c r="I127" s="176">
        <v>49.16</v>
      </c>
      <c r="J127" s="233"/>
    </row>
    <row r="128" spans="1:10">
      <c r="A128" s="171">
        <v>194</v>
      </c>
      <c r="B128" s="172" t="s">
        <v>2051</v>
      </c>
      <c r="C128" s="172" t="s">
        <v>2052</v>
      </c>
      <c r="D128" s="176">
        <v>43.6</v>
      </c>
      <c r="F128" s="171">
        <v>266</v>
      </c>
      <c r="G128" s="172" t="s">
        <v>1877</v>
      </c>
      <c r="H128" s="172" t="s">
        <v>1615</v>
      </c>
      <c r="I128" s="176">
        <v>40</v>
      </c>
      <c r="J128" s="233"/>
    </row>
    <row r="129" spans="1:10">
      <c r="A129" s="171">
        <v>195</v>
      </c>
      <c r="B129" s="172" t="s">
        <v>1875</v>
      </c>
      <c r="C129" s="172" t="s">
        <v>1739</v>
      </c>
      <c r="D129" s="176">
        <v>22.57</v>
      </c>
      <c r="F129" s="171">
        <v>267</v>
      </c>
      <c r="G129" s="172" t="s">
        <v>1869</v>
      </c>
      <c r="H129" s="172" t="s">
        <v>1870</v>
      </c>
      <c r="I129" s="176">
        <v>33.32</v>
      </c>
      <c r="J129" s="233"/>
    </row>
    <row r="130" spans="1:10">
      <c r="A130" s="171">
        <v>196</v>
      </c>
      <c r="B130" s="172" t="s">
        <v>1875</v>
      </c>
      <c r="C130" s="172" t="s">
        <v>1637</v>
      </c>
      <c r="D130" s="176">
        <v>49</v>
      </c>
      <c r="F130" s="171">
        <v>268</v>
      </c>
      <c r="G130" s="172" t="s">
        <v>1925</v>
      </c>
      <c r="H130" s="172" t="s">
        <v>1590</v>
      </c>
      <c r="I130" s="176">
        <v>33</v>
      </c>
      <c r="J130" s="233"/>
    </row>
    <row r="131" spans="1:10">
      <c r="A131" s="171">
        <v>197</v>
      </c>
      <c r="B131" s="172" t="s">
        <v>1847</v>
      </c>
      <c r="C131" s="172" t="s">
        <v>1848</v>
      </c>
      <c r="D131" s="176">
        <v>20.399999999999999</v>
      </c>
      <c r="F131" s="171">
        <v>269</v>
      </c>
      <c r="G131" s="172" t="s">
        <v>1700</v>
      </c>
      <c r="H131" s="172" t="s">
        <v>1568</v>
      </c>
      <c r="I131" s="176">
        <v>34</v>
      </c>
      <c r="J131" s="233"/>
    </row>
    <row r="132" spans="1:10">
      <c r="A132" s="171">
        <v>198</v>
      </c>
      <c r="B132" s="172" t="s">
        <v>1847</v>
      </c>
      <c r="C132" s="172" t="s">
        <v>1776</v>
      </c>
      <c r="D132" s="176">
        <v>46.3</v>
      </c>
      <c r="F132" s="171">
        <v>270</v>
      </c>
      <c r="G132" s="172" t="s">
        <v>2069</v>
      </c>
      <c r="H132" s="172" t="s">
        <v>2070</v>
      </c>
      <c r="I132" s="176">
        <v>60</v>
      </c>
      <c r="J132" s="233"/>
    </row>
    <row r="133" spans="1:10">
      <c r="A133" s="171">
        <v>199</v>
      </c>
      <c r="B133" s="172" t="s">
        <v>2037</v>
      </c>
      <c r="C133" s="172" t="s">
        <v>1584</v>
      </c>
      <c r="D133" s="176">
        <v>59.55</v>
      </c>
      <c r="F133" s="171">
        <v>271</v>
      </c>
      <c r="G133" s="172" t="s">
        <v>2069</v>
      </c>
      <c r="H133" s="172" t="s">
        <v>2070</v>
      </c>
      <c r="I133" s="176">
        <v>24</v>
      </c>
      <c r="J133" s="233"/>
    </row>
    <row r="134" spans="1:10">
      <c r="A134" s="171">
        <v>200</v>
      </c>
      <c r="B134" s="172" t="s">
        <v>1798</v>
      </c>
      <c r="C134" s="172" t="s">
        <v>1799</v>
      </c>
      <c r="D134" s="176">
        <v>53.3</v>
      </c>
      <c r="F134" s="171">
        <v>272</v>
      </c>
      <c r="G134" s="172" t="s">
        <v>1602</v>
      </c>
      <c r="H134" s="172" t="s">
        <v>1603</v>
      </c>
      <c r="I134" s="176">
        <v>68.25</v>
      </c>
      <c r="J134" s="233"/>
    </row>
    <row r="135" spans="1:10">
      <c r="A135" s="171">
        <v>201</v>
      </c>
      <c r="B135" s="172" t="s">
        <v>1595</v>
      </c>
      <c r="C135" s="172" t="s">
        <v>1590</v>
      </c>
      <c r="D135" s="176">
        <v>60.64</v>
      </c>
      <c r="F135" s="171">
        <v>273</v>
      </c>
      <c r="G135" s="172" t="s">
        <v>1819</v>
      </c>
      <c r="H135" s="172" t="s">
        <v>1687</v>
      </c>
      <c r="I135" s="176">
        <v>39.200000000000003</v>
      </c>
      <c r="J135" s="233"/>
    </row>
    <row r="136" spans="1:10">
      <c r="A136" s="171">
        <v>202</v>
      </c>
      <c r="B136" s="172" t="s">
        <v>1595</v>
      </c>
      <c r="C136" s="172" t="s">
        <v>1985</v>
      </c>
      <c r="D136" s="176">
        <v>33.869999999999997</v>
      </c>
      <c r="F136" s="171">
        <v>274</v>
      </c>
      <c r="G136" s="172" t="s">
        <v>1730</v>
      </c>
      <c r="H136" s="172" t="s">
        <v>1731</v>
      </c>
      <c r="I136" s="176">
        <v>56</v>
      </c>
      <c r="J136" s="233"/>
    </row>
    <row r="137" spans="1:10">
      <c r="A137" s="171">
        <v>203</v>
      </c>
      <c r="B137" s="172" t="s">
        <v>1595</v>
      </c>
      <c r="C137" s="172" t="s">
        <v>1570</v>
      </c>
      <c r="D137" s="176">
        <v>58.94</v>
      </c>
      <c r="F137" s="171">
        <v>275</v>
      </c>
      <c r="G137" s="172" t="s">
        <v>1618</v>
      </c>
      <c r="H137" s="172" t="s">
        <v>1619</v>
      </c>
      <c r="I137" s="176">
        <v>42.1</v>
      </c>
      <c r="J137" s="233"/>
    </row>
    <row r="138" spans="1:10">
      <c r="A138" s="171">
        <v>204</v>
      </c>
      <c r="B138" s="172" t="s">
        <v>1595</v>
      </c>
      <c r="C138" s="172" t="s">
        <v>1570</v>
      </c>
      <c r="D138" s="176">
        <v>40</v>
      </c>
      <c r="F138" s="171">
        <v>276</v>
      </c>
      <c r="G138" s="172" t="s">
        <v>1664</v>
      </c>
      <c r="H138" s="172" t="s">
        <v>1806</v>
      </c>
      <c r="I138" s="176">
        <v>48.91</v>
      </c>
      <c r="J138" s="233"/>
    </row>
    <row r="139" spans="1:10">
      <c r="A139" s="171">
        <v>205</v>
      </c>
      <c r="B139" s="172" t="s">
        <v>1793</v>
      </c>
      <c r="C139" s="172" t="s">
        <v>1794</v>
      </c>
      <c r="D139" s="176">
        <v>22.3</v>
      </c>
      <c r="F139" s="171">
        <v>277</v>
      </c>
      <c r="G139" s="172" t="s">
        <v>1664</v>
      </c>
      <c r="H139" s="172" t="s">
        <v>1606</v>
      </c>
      <c r="I139" s="176">
        <v>13.94</v>
      </c>
      <c r="J139" s="233"/>
    </row>
    <row r="140" spans="1:10">
      <c r="A140" s="171">
        <v>206</v>
      </c>
      <c r="B140" s="172" t="s">
        <v>1992</v>
      </c>
      <c r="C140" s="172" t="s">
        <v>1848</v>
      </c>
      <c r="D140" s="176">
        <v>61.5</v>
      </c>
      <c r="F140" s="171">
        <v>278</v>
      </c>
      <c r="G140" s="172" t="s">
        <v>2080</v>
      </c>
      <c r="H140" s="172" t="s">
        <v>1744</v>
      </c>
      <c r="I140" s="176">
        <v>15.6</v>
      </c>
      <c r="J140" s="233"/>
    </row>
    <row r="141" spans="1:10">
      <c r="A141" s="171">
        <v>207</v>
      </c>
      <c r="B141" s="172" t="s">
        <v>2135</v>
      </c>
      <c r="C141" s="172" t="s">
        <v>1937</v>
      </c>
      <c r="D141" s="176">
        <v>30.42</v>
      </c>
      <c r="F141" s="171">
        <v>279</v>
      </c>
      <c r="G141" s="172" t="s">
        <v>1914</v>
      </c>
      <c r="H141" s="172" t="s">
        <v>1564</v>
      </c>
      <c r="I141" s="176">
        <v>18.77</v>
      </c>
      <c r="J141" s="233"/>
    </row>
    <row r="142" spans="1:10">
      <c r="A142" s="171">
        <v>208</v>
      </c>
      <c r="B142" s="172" t="s">
        <v>2064</v>
      </c>
      <c r="C142" s="172" t="s">
        <v>2065</v>
      </c>
      <c r="D142" s="176">
        <v>40</v>
      </c>
      <c r="F142" s="171">
        <v>280</v>
      </c>
      <c r="G142" s="172" t="s">
        <v>2105</v>
      </c>
      <c r="H142" s="172" t="s">
        <v>1717</v>
      </c>
      <c r="I142" s="176">
        <v>66.55</v>
      </c>
      <c r="J142" s="233"/>
    </row>
    <row r="143" spans="1:10">
      <c r="A143" s="171">
        <v>209</v>
      </c>
      <c r="B143" s="172" t="s">
        <v>1868</v>
      </c>
      <c r="C143" s="172" t="s">
        <v>1848</v>
      </c>
      <c r="D143" s="176">
        <v>30</v>
      </c>
      <c r="F143" s="171">
        <v>281</v>
      </c>
      <c r="G143" s="172" t="s">
        <v>1677</v>
      </c>
      <c r="H143" s="172" t="s">
        <v>1678</v>
      </c>
      <c r="I143" s="176">
        <v>39.200000000000003</v>
      </c>
      <c r="J143" s="233"/>
    </row>
    <row r="144" spans="1:10">
      <c r="A144" s="171">
        <v>210</v>
      </c>
      <c r="B144" s="172" t="s">
        <v>1591</v>
      </c>
      <c r="C144" s="172" t="s">
        <v>1592</v>
      </c>
      <c r="D144" s="176">
        <v>25.2</v>
      </c>
      <c r="F144" s="171">
        <v>282</v>
      </c>
      <c r="G144" s="172" t="s">
        <v>1934</v>
      </c>
      <c r="H144" s="172" t="s">
        <v>1745</v>
      </c>
      <c r="I144" s="176">
        <v>16.3</v>
      </c>
      <c r="J144" s="233"/>
    </row>
    <row r="145" spans="1:10">
      <c r="A145" s="171">
        <v>211</v>
      </c>
      <c r="B145" s="172" t="s">
        <v>1891</v>
      </c>
      <c r="C145" s="172" t="s">
        <v>1892</v>
      </c>
      <c r="D145" s="176">
        <v>40.799999999999997</v>
      </c>
      <c r="F145" s="171">
        <v>283</v>
      </c>
      <c r="G145" s="172" t="s">
        <v>2153</v>
      </c>
      <c r="H145" s="172" t="s">
        <v>2154</v>
      </c>
      <c r="I145" s="176">
        <v>38</v>
      </c>
      <c r="J145" s="233"/>
    </row>
    <row r="146" spans="1:10">
      <c r="A146" s="171">
        <v>284</v>
      </c>
      <c r="B146" s="172" t="s">
        <v>2048</v>
      </c>
      <c r="C146" s="172" t="s">
        <v>2049</v>
      </c>
      <c r="D146" s="176">
        <v>30</v>
      </c>
      <c r="F146" s="171">
        <v>356</v>
      </c>
      <c r="G146" s="172" t="s">
        <v>1607</v>
      </c>
      <c r="H146" s="172" t="s">
        <v>1615</v>
      </c>
      <c r="I146" s="176">
        <v>65</v>
      </c>
      <c r="J146" s="233"/>
    </row>
    <row r="147" spans="1:10">
      <c r="A147" s="171">
        <v>285</v>
      </c>
      <c r="B147" s="172" t="s">
        <v>1917</v>
      </c>
      <c r="C147" s="172" t="s">
        <v>1918</v>
      </c>
      <c r="D147" s="176">
        <v>4.2</v>
      </c>
      <c r="F147" s="171">
        <v>357</v>
      </c>
      <c r="G147" s="172" t="s">
        <v>1607</v>
      </c>
      <c r="H147" s="172" t="s">
        <v>1659</v>
      </c>
      <c r="I147" s="176">
        <v>70</v>
      </c>
      <c r="J147" s="233"/>
    </row>
    <row r="148" spans="1:10">
      <c r="A148" s="171">
        <v>286</v>
      </c>
      <c r="B148" s="172" t="s">
        <v>1917</v>
      </c>
      <c r="C148" s="172" t="s">
        <v>1935</v>
      </c>
      <c r="D148" s="176">
        <v>40</v>
      </c>
      <c r="F148" s="171">
        <v>358</v>
      </c>
      <c r="G148" s="172" t="s">
        <v>1607</v>
      </c>
      <c r="H148" s="172" t="s">
        <v>1572</v>
      </c>
      <c r="I148" s="176">
        <v>32.43</v>
      </c>
      <c r="J148" s="233"/>
    </row>
    <row r="149" spans="1:10">
      <c r="A149" s="171">
        <v>287</v>
      </c>
      <c r="B149" s="172" t="s">
        <v>1941</v>
      </c>
      <c r="C149" s="172" t="s">
        <v>1859</v>
      </c>
      <c r="D149" s="176">
        <v>26.82</v>
      </c>
      <c r="F149" s="171">
        <v>359</v>
      </c>
      <c r="G149" s="172" t="s">
        <v>1607</v>
      </c>
      <c r="H149" s="172" t="s">
        <v>1588</v>
      </c>
      <c r="I149" s="176">
        <v>56.7</v>
      </c>
      <c r="J149" s="233"/>
    </row>
    <row r="150" spans="1:10">
      <c r="A150" s="171">
        <v>288</v>
      </c>
      <c r="B150" s="172" t="s">
        <v>2131</v>
      </c>
      <c r="C150" s="172" t="s">
        <v>1572</v>
      </c>
      <c r="D150" s="176">
        <v>60</v>
      </c>
      <c r="F150" s="171">
        <v>360</v>
      </c>
      <c r="G150" s="172" t="s">
        <v>1607</v>
      </c>
      <c r="H150" s="172" t="s">
        <v>1936</v>
      </c>
      <c r="I150" s="176">
        <v>60.78</v>
      </c>
      <c r="J150" s="233"/>
    </row>
    <row r="151" spans="1:10">
      <c r="A151" s="171">
        <v>289</v>
      </c>
      <c r="B151" s="172" t="s">
        <v>2123</v>
      </c>
      <c r="C151" s="172" t="s">
        <v>2124</v>
      </c>
      <c r="D151" s="176">
        <v>68</v>
      </c>
      <c r="F151" s="171">
        <v>361</v>
      </c>
      <c r="G151" s="172" t="s">
        <v>1607</v>
      </c>
      <c r="H151" s="172" t="s">
        <v>1937</v>
      </c>
      <c r="I151" s="176">
        <v>44.77</v>
      </c>
      <c r="J151" s="233"/>
    </row>
    <row r="152" spans="1:10">
      <c r="A152" s="171">
        <v>290</v>
      </c>
      <c r="B152" s="172" t="s">
        <v>2173</v>
      </c>
      <c r="C152" s="172" t="s">
        <v>2174</v>
      </c>
      <c r="D152" s="176">
        <v>43.17</v>
      </c>
      <c r="F152" s="171">
        <v>362</v>
      </c>
      <c r="G152" s="172" t="s">
        <v>1607</v>
      </c>
      <c r="H152" s="172" t="s">
        <v>1572</v>
      </c>
      <c r="I152" s="176">
        <v>70</v>
      </c>
      <c r="J152" s="233"/>
    </row>
    <row r="153" spans="1:10">
      <c r="A153" s="171">
        <v>291</v>
      </c>
      <c r="B153" s="172" t="s">
        <v>1923</v>
      </c>
      <c r="C153" s="172" t="s">
        <v>1625</v>
      </c>
      <c r="D153" s="176">
        <v>30</v>
      </c>
      <c r="F153" s="171">
        <v>363</v>
      </c>
      <c r="G153" s="172" t="s">
        <v>1607</v>
      </c>
      <c r="H153" s="172" t="s">
        <v>1703</v>
      </c>
      <c r="I153" s="176">
        <v>51.92</v>
      </c>
      <c r="J153" s="233"/>
    </row>
    <row r="154" spans="1:10">
      <c r="A154" s="171">
        <v>292</v>
      </c>
      <c r="B154" s="172" t="s">
        <v>1895</v>
      </c>
      <c r="C154" s="172" t="s">
        <v>1896</v>
      </c>
      <c r="D154" s="176">
        <v>50</v>
      </c>
      <c r="F154" s="171">
        <v>364</v>
      </c>
      <c r="G154" s="172" t="s">
        <v>1607</v>
      </c>
      <c r="H154" s="172" t="s">
        <v>2053</v>
      </c>
      <c r="I154" s="176">
        <v>59.2</v>
      </c>
      <c r="J154" s="233"/>
    </row>
    <row r="155" spans="1:10">
      <c r="A155" s="171">
        <v>293</v>
      </c>
      <c r="B155" s="172" t="s">
        <v>2167</v>
      </c>
      <c r="C155" s="172" t="s">
        <v>2039</v>
      </c>
      <c r="D155" s="176">
        <v>46.17</v>
      </c>
      <c r="F155" s="171">
        <v>365</v>
      </c>
      <c r="G155" s="172" t="s">
        <v>1607</v>
      </c>
      <c r="H155" s="172" t="s">
        <v>1742</v>
      </c>
      <c r="I155" s="176">
        <v>24</v>
      </c>
      <c r="J155" s="233"/>
    </row>
    <row r="156" spans="1:10">
      <c r="A156" s="171">
        <v>294</v>
      </c>
      <c r="B156" s="172" t="s">
        <v>2034</v>
      </c>
      <c r="C156" s="172" t="s">
        <v>1625</v>
      </c>
      <c r="D156" s="176">
        <v>49.67</v>
      </c>
      <c r="F156" s="171">
        <v>366</v>
      </c>
      <c r="G156" s="172" t="s">
        <v>1607</v>
      </c>
      <c r="H156" s="172" t="s">
        <v>1572</v>
      </c>
      <c r="I156" s="176">
        <v>30</v>
      </c>
      <c r="J156" s="233"/>
    </row>
    <row r="157" spans="1:10">
      <c r="A157" s="171">
        <v>295</v>
      </c>
      <c r="B157" s="172" t="s">
        <v>1561</v>
      </c>
      <c r="C157" s="172" t="s">
        <v>1728</v>
      </c>
      <c r="D157" s="176">
        <v>47</v>
      </c>
      <c r="F157" s="171">
        <v>367</v>
      </c>
      <c r="G157" s="172" t="s">
        <v>1607</v>
      </c>
      <c r="H157" s="172" t="s">
        <v>1936</v>
      </c>
      <c r="I157" s="176">
        <v>40</v>
      </c>
      <c r="J157" s="233"/>
    </row>
    <row r="158" spans="1:10">
      <c r="A158" s="171">
        <v>296</v>
      </c>
      <c r="B158" s="172" t="s">
        <v>1622</v>
      </c>
      <c r="C158" s="172" t="s">
        <v>1623</v>
      </c>
      <c r="D158" s="176">
        <v>63.7</v>
      </c>
      <c r="F158" s="171">
        <v>368</v>
      </c>
      <c r="G158" s="172" t="s">
        <v>1607</v>
      </c>
      <c r="H158" s="172" t="s">
        <v>2066</v>
      </c>
      <c r="I158" s="176">
        <v>30.72</v>
      </c>
      <c r="J158" s="233"/>
    </row>
    <row r="159" spans="1:10">
      <c r="A159" s="171">
        <v>297</v>
      </c>
      <c r="B159" s="172" t="s">
        <v>1622</v>
      </c>
      <c r="C159" s="172" t="s">
        <v>1861</v>
      </c>
      <c r="D159" s="176">
        <v>47</v>
      </c>
      <c r="F159" s="171">
        <v>369</v>
      </c>
      <c r="G159" s="172" t="s">
        <v>1607</v>
      </c>
      <c r="H159" s="172" t="s">
        <v>2091</v>
      </c>
      <c r="I159" s="176">
        <v>40</v>
      </c>
      <c r="J159" s="233"/>
    </row>
    <row r="160" spans="1:10">
      <c r="A160" s="171">
        <v>298</v>
      </c>
      <c r="B160" s="172" t="s">
        <v>1982</v>
      </c>
      <c r="C160" s="172" t="s">
        <v>1907</v>
      </c>
      <c r="D160" s="176">
        <v>47.7</v>
      </c>
      <c r="F160" s="171">
        <v>370</v>
      </c>
      <c r="G160" s="172" t="s">
        <v>1626</v>
      </c>
      <c r="H160" s="172" t="s">
        <v>1627</v>
      </c>
      <c r="I160" s="176">
        <v>40</v>
      </c>
      <c r="J160" s="233"/>
    </row>
    <row r="161" spans="1:10">
      <c r="A161" s="171">
        <v>299</v>
      </c>
      <c r="B161" s="172" t="s">
        <v>1624</v>
      </c>
      <c r="C161" s="172" t="s">
        <v>1625</v>
      </c>
      <c r="D161" s="176">
        <v>40</v>
      </c>
      <c r="F161" s="171">
        <v>371</v>
      </c>
      <c r="G161" s="172" t="s">
        <v>1682</v>
      </c>
      <c r="H161" s="172" t="s">
        <v>1683</v>
      </c>
      <c r="I161" s="176">
        <v>60</v>
      </c>
      <c r="J161" s="233"/>
    </row>
    <row r="162" spans="1:10">
      <c r="A162" s="171">
        <v>300</v>
      </c>
      <c r="B162" s="172" t="s">
        <v>1853</v>
      </c>
      <c r="C162" s="172" t="s">
        <v>1637</v>
      </c>
      <c r="D162" s="176">
        <v>11.3</v>
      </c>
      <c r="F162" s="171">
        <v>372</v>
      </c>
      <c r="G162" s="172" t="s">
        <v>1682</v>
      </c>
      <c r="H162" s="172" t="s">
        <v>1683</v>
      </c>
      <c r="I162" s="176">
        <v>30</v>
      </c>
      <c r="J162" s="233"/>
    </row>
    <row r="163" spans="1:10">
      <c r="A163" s="171">
        <v>301</v>
      </c>
      <c r="B163" s="172" t="s">
        <v>1857</v>
      </c>
      <c r="C163" s="172" t="s">
        <v>1858</v>
      </c>
      <c r="D163" s="176">
        <v>66.099999999999994</v>
      </c>
      <c r="F163" s="171">
        <v>373</v>
      </c>
      <c r="G163" s="172" t="s">
        <v>1708</v>
      </c>
      <c r="H163" s="172" t="s">
        <v>1615</v>
      </c>
      <c r="I163" s="176">
        <v>15.5</v>
      </c>
      <c r="J163" s="233"/>
    </row>
    <row r="164" spans="1:10">
      <c r="A164" s="171">
        <v>302</v>
      </c>
      <c r="B164" s="172" t="s">
        <v>1800</v>
      </c>
      <c r="C164" s="172" t="s">
        <v>1625</v>
      </c>
      <c r="D164" s="176">
        <v>40</v>
      </c>
      <c r="F164" s="171">
        <v>374</v>
      </c>
      <c r="G164" s="172" t="s">
        <v>2112</v>
      </c>
      <c r="H164" s="172" t="s">
        <v>1615</v>
      </c>
      <c r="I164" s="176">
        <v>61.2</v>
      </c>
      <c r="J164" s="233"/>
    </row>
    <row r="165" spans="1:10">
      <c r="A165" s="171">
        <v>303</v>
      </c>
      <c r="B165" s="172" t="s">
        <v>2168</v>
      </c>
      <c r="C165" s="172" t="s">
        <v>2164</v>
      </c>
      <c r="D165" s="176">
        <v>25</v>
      </c>
      <c r="F165" s="171">
        <v>375</v>
      </c>
      <c r="G165" s="172" t="s">
        <v>2026</v>
      </c>
      <c r="H165" s="172" t="s">
        <v>1749</v>
      </c>
      <c r="I165" s="176">
        <v>24.25</v>
      </c>
      <c r="J165" s="233"/>
    </row>
    <row r="166" spans="1:10">
      <c r="A166" s="171">
        <v>304</v>
      </c>
      <c r="B166" s="172" t="s">
        <v>1653</v>
      </c>
      <c r="C166" s="172" t="s">
        <v>2039</v>
      </c>
      <c r="D166" s="176">
        <v>62.57</v>
      </c>
      <c r="F166" s="171">
        <v>376</v>
      </c>
      <c r="G166" s="172" t="s">
        <v>1960</v>
      </c>
      <c r="H166" s="172" t="s">
        <v>1920</v>
      </c>
      <c r="I166" s="176">
        <v>70</v>
      </c>
      <c r="J166" s="233"/>
    </row>
    <row r="167" spans="1:10">
      <c r="A167" s="171">
        <v>305</v>
      </c>
      <c r="B167" s="172" t="s">
        <v>2143</v>
      </c>
      <c r="C167" s="172" t="s">
        <v>2144</v>
      </c>
      <c r="D167" s="176">
        <v>16.21</v>
      </c>
      <c r="F167" s="171">
        <v>377</v>
      </c>
      <c r="G167" s="172" t="s">
        <v>1577</v>
      </c>
      <c r="H167" s="172" t="s">
        <v>1578</v>
      </c>
      <c r="I167" s="176">
        <v>31.5</v>
      </c>
      <c r="J167" s="233"/>
    </row>
    <row r="168" spans="1:10">
      <c r="A168" s="171">
        <v>306</v>
      </c>
      <c r="B168" s="172" t="s">
        <v>1778</v>
      </c>
      <c r="C168" s="172" t="s">
        <v>1779</v>
      </c>
      <c r="D168" s="176">
        <v>26.1</v>
      </c>
      <c r="F168" s="171">
        <v>378</v>
      </c>
      <c r="G168" s="172" t="s">
        <v>1841</v>
      </c>
      <c r="H168" s="172" t="s">
        <v>1625</v>
      </c>
      <c r="I168" s="176">
        <v>40</v>
      </c>
      <c r="J168" s="233"/>
    </row>
    <row r="169" spans="1:10">
      <c r="A169" s="171">
        <v>307</v>
      </c>
      <c r="B169" s="172" t="s">
        <v>1874</v>
      </c>
      <c r="C169" s="172" t="s">
        <v>1584</v>
      </c>
      <c r="D169" s="176">
        <v>50.5</v>
      </c>
      <c r="F169" s="171">
        <v>379</v>
      </c>
      <c r="G169" s="172" t="s">
        <v>1587</v>
      </c>
      <c r="H169" s="172" t="s">
        <v>1588</v>
      </c>
      <c r="I169" s="176">
        <v>23</v>
      </c>
      <c r="J169" s="233"/>
    </row>
    <row r="170" spans="1:10">
      <c r="A170" s="171">
        <v>308</v>
      </c>
      <c r="B170" s="172" t="s">
        <v>2024</v>
      </c>
      <c r="C170" s="172" t="s">
        <v>1617</v>
      </c>
      <c r="D170" s="176">
        <v>43.67</v>
      </c>
      <c r="F170" s="171">
        <v>380</v>
      </c>
      <c r="G170" s="172" t="s">
        <v>2074</v>
      </c>
      <c r="H170" s="172" t="s">
        <v>1744</v>
      </c>
      <c r="I170" s="176">
        <v>70</v>
      </c>
      <c r="J170" s="233"/>
    </row>
    <row r="171" spans="1:10">
      <c r="A171" s="171">
        <v>309</v>
      </c>
      <c r="B171" s="172" t="s">
        <v>2024</v>
      </c>
      <c r="C171" s="172" t="s">
        <v>1570</v>
      </c>
      <c r="D171" s="176">
        <v>49.39</v>
      </c>
      <c r="F171" s="171">
        <v>381</v>
      </c>
      <c r="G171" s="172" t="s">
        <v>1784</v>
      </c>
      <c r="H171" s="172" t="s">
        <v>1776</v>
      </c>
      <c r="I171" s="176">
        <v>19.07</v>
      </c>
      <c r="J171" s="233"/>
    </row>
    <row r="172" spans="1:10">
      <c r="A172" s="171">
        <v>310</v>
      </c>
      <c r="B172" s="172" t="s">
        <v>2163</v>
      </c>
      <c r="C172" s="172" t="s">
        <v>2164</v>
      </c>
      <c r="D172" s="176">
        <v>50</v>
      </c>
      <c r="F172" s="171">
        <v>382</v>
      </c>
      <c r="G172" s="172" t="s">
        <v>1754</v>
      </c>
      <c r="H172" s="172" t="s">
        <v>1755</v>
      </c>
      <c r="I172" s="176">
        <v>55.14</v>
      </c>
      <c r="J172" s="233"/>
    </row>
    <row r="173" spans="1:10">
      <c r="A173" s="171">
        <v>311</v>
      </c>
      <c r="B173" s="172" t="s">
        <v>1767</v>
      </c>
      <c r="C173" s="172" t="s">
        <v>2035</v>
      </c>
      <c r="D173" s="176">
        <v>27.54</v>
      </c>
      <c r="F173" s="171">
        <v>383</v>
      </c>
      <c r="G173" s="172" t="s">
        <v>2387</v>
      </c>
      <c r="H173" s="172" t="s">
        <v>2388</v>
      </c>
      <c r="I173" s="176">
        <v>35.950000000000003</v>
      </c>
      <c r="J173" s="233"/>
    </row>
    <row r="174" spans="1:10">
      <c r="A174" s="171">
        <v>312</v>
      </c>
      <c r="B174" s="172" t="s">
        <v>1738</v>
      </c>
      <c r="C174" s="172" t="s">
        <v>1739</v>
      </c>
      <c r="D174" s="176">
        <v>35</v>
      </c>
      <c r="F174" s="171">
        <v>384</v>
      </c>
      <c r="G174" s="172" t="s">
        <v>1562</v>
      </c>
      <c r="H174" s="172" t="s">
        <v>1559</v>
      </c>
      <c r="I174" s="176">
        <v>36.299999999999997</v>
      </c>
      <c r="J174" s="233"/>
    </row>
    <row r="175" spans="1:10">
      <c r="A175" s="171">
        <v>313</v>
      </c>
      <c r="B175" s="172" t="s">
        <v>1738</v>
      </c>
      <c r="C175" s="172" t="s">
        <v>1622</v>
      </c>
      <c r="D175" s="176">
        <v>70</v>
      </c>
      <c r="F175" s="171">
        <v>385</v>
      </c>
      <c r="G175" s="172" t="s">
        <v>1705</v>
      </c>
      <c r="H175" s="172" t="s">
        <v>1611</v>
      </c>
      <c r="I175" s="176">
        <v>67.849999999999994</v>
      </c>
      <c r="J175" s="233"/>
    </row>
    <row r="176" spans="1:10">
      <c r="A176" s="171">
        <v>314</v>
      </c>
      <c r="B176" s="172" t="s">
        <v>1614</v>
      </c>
      <c r="C176" s="172" t="s">
        <v>1556</v>
      </c>
      <c r="D176" s="176">
        <v>70</v>
      </c>
      <c r="F176" s="171">
        <v>386</v>
      </c>
      <c r="G176" s="172" t="s">
        <v>1553</v>
      </c>
      <c r="H176" s="172" t="s">
        <v>1554</v>
      </c>
      <c r="I176" s="176">
        <v>54</v>
      </c>
      <c r="J176" s="233"/>
    </row>
    <row r="177" spans="1:10">
      <c r="A177" s="171">
        <v>315</v>
      </c>
      <c r="B177" s="172" t="s">
        <v>2138</v>
      </c>
      <c r="C177" s="172" t="s">
        <v>1625</v>
      </c>
      <c r="D177" s="176">
        <v>22.68</v>
      </c>
      <c r="F177" s="171">
        <v>387</v>
      </c>
      <c r="G177" s="172" t="s">
        <v>1553</v>
      </c>
      <c r="H177" s="172" t="s">
        <v>1656</v>
      </c>
      <c r="I177" s="176">
        <v>34</v>
      </c>
      <c r="J177" s="233"/>
    </row>
    <row r="178" spans="1:10">
      <c r="A178" s="171">
        <v>316</v>
      </c>
      <c r="B178" s="172" t="s">
        <v>2130</v>
      </c>
      <c r="C178" s="172" t="s">
        <v>1625</v>
      </c>
      <c r="D178" s="176">
        <v>52.6</v>
      </c>
      <c r="F178" s="171">
        <v>388</v>
      </c>
      <c r="G178" s="172" t="s">
        <v>1553</v>
      </c>
      <c r="H178" s="172" t="s">
        <v>1701</v>
      </c>
      <c r="I178" s="176">
        <v>30.3</v>
      </c>
      <c r="J178" s="233"/>
    </row>
    <row r="179" spans="1:10">
      <c r="A179" s="171">
        <v>317</v>
      </c>
      <c r="B179" s="172" t="s">
        <v>1733</v>
      </c>
      <c r="C179" s="172" t="s">
        <v>1734</v>
      </c>
      <c r="D179" s="176">
        <v>43.5</v>
      </c>
      <c r="F179" s="171">
        <v>389</v>
      </c>
      <c r="G179" s="172" t="s">
        <v>1553</v>
      </c>
      <c r="H179" s="172" t="s">
        <v>1714</v>
      </c>
      <c r="I179" s="176">
        <v>30.03</v>
      </c>
      <c r="J179" s="233"/>
    </row>
    <row r="180" spans="1:10">
      <c r="A180" s="171">
        <v>318</v>
      </c>
      <c r="B180" s="172" t="s">
        <v>1733</v>
      </c>
      <c r="C180" s="172" t="s">
        <v>1644</v>
      </c>
      <c r="D180" s="176">
        <v>70</v>
      </c>
      <c r="F180" s="171">
        <v>390</v>
      </c>
      <c r="G180" s="172" t="s">
        <v>1553</v>
      </c>
      <c r="H180" s="172" t="s">
        <v>1554</v>
      </c>
      <c r="I180" s="176">
        <v>40</v>
      </c>
      <c r="J180" s="233"/>
    </row>
    <row r="181" spans="1:10">
      <c r="A181" s="171">
        <v>319</v>
      </c>
      <c r="B181" s="172" t="s">
        <v>1733</v>
      </c>
      <c r="C181" s="172" t="s">
        <v>2022</v>
      </c>
      <c r="D181" s="176">
        <v>46.1</v>
      </c>
      <c r="F181" s="171">
        <v>391</v>
      </c>
      <c r="G181" s="172" t="s">
        <v>1997</v>
      </c>
      <c r="H181" s="172" t="s">
        <v>1625</v>
      </c>
      <c r="I181" s="176">
        <v>32.99</v>
      </c>
      <c r="J181" s="233"/>
    </row>
    <row r="182" spans="1:10">
      <c r="A182" s="171">
        <v>320</v>
      </c>
      <c r="B182" s="172" t="s">
        <v>1788</v>
      </c>
      <c r="C182" s="172" t="s">
        <v>1789</v>
      </c>
      <c r="D182" s="176">
        <v>39.33</v>
      </c>
      <c r="F182" s="171">
        <v>392</v>
      </c>
      <c r="G182" s="172" t="s">
        <v>1940</v>
      </c>
      <c r="H182" s="172" t="s">
        <v>1625</v>
      </c>
      <c r="I182" s="176">
        <v>40</v>
      </c>
      <c r="J182" s="233"/>
    </row>
    <row r="183" spans="1:10">
      <c r="A183" s="171">
        <v>321</v>
      </c>
      <c r="B183" s="172" t="s">
        <v>1609</v>
      </c>
      <c r="C183" s="172" t="s">
        <v>1572</v>
      </c>
      <c r="D183" s="176">
        <v>50</v>
      </c>
      <c r="F183" s="171">
        <v>393</v>
      </c>
      <c r="G183" s="172" t="s">
        <v>2077</v>
      </c>
      <c r="H183" s="172" t="s">
        <v>2078</v>
      </c>
      <c r="I183" s="176">
        <v>53.3</v>
      </c>
      <c r="J183" s="233"/>
    </row>
    <row r="184" spans="1:10">
      <c r="A184" s="171">
        <v>322</v>
      </c>
      <c r="B184" s="172" t="s">
        <v>1609</v>
      </c>
      <c r="C184" s="172" t="s">
        <v>1620</v>
      </c>
      <c r="D184" s="176">
        <v>30.95</v>
      </c>
      <c r="F184" s="171">
        <v>394</v>
      </c>
      <c r="G184" s="172" t="s">
        <v>1901</v>
      </c>
      <c r="H184" s="172" t="s">
        <v>2127</v>
      </c>
      <c r="I184" s="176">
        <v>23.7</v>
      </c>
      <c r="J184" s="233"/>
    </row>
    <row r="185" spans="1:10">
      <c r="A185" s="171">
        <v>323</v>
      </c>
      <c r="B185" s="172" t="s">
        <v>1609</v>
      </c>
      <c r="C185" s="172" t="s">
        <v>1638</v>
      </c>
      <c r="D185" s="176">
        <v>30.5</v>
      </c>
      <c r="F185" s="171">
        <v>395</v>
      </c>
      <c r="G185" s="172" t="s">
        <v>1685</v>
      </c>
      <c r="H185" s="172" t="s">
        <v>2023</v>
      </c>
      <c r="I185" s="176">
        <v>36.369999999999997</v>
      </c>
      <c r="J185" s="233"/>
    </row>
    <row r="186" spans="1:10">
      <c r="A186" s="171">
        <v>324</v>
      </c>
      <c r="B186" s="172" t="s">
        <v>1609</v>
      </c>
      <c r="C186" s="172" t="s">
        <v>1574</v>
      </c>
      <c r="D186" s="176">
        <v>62</v>
      </c>
      <c r="F186" s="171">
        <v>396</v>
      </c>
      <c r="G186" s="172" t="s">
        <v>1685</v>
      </c>
      <c r="H186" s="172" t="s">
        <v>1572</v>
      </c>
      <c r="I186" s="176">
        <v>37.799999999999997</v>
      </c>
      <c r="J186" s="233"/>
    </row>
    <row r="187" spans="1:10">
      <c r="A187" s="171">
        <v>325</v>
      </c>
      <c r="B187" s="172" t="s">
        <v>1609</v>
      </c>
      <c r="C187" s="172" t="s">
        <v>1625</v>
      </c>
      <c r="D187" s="176">
        <v>48.7</v>
      </c>
      <c r="F187" s="171">
        <v>397</v>
      </c>
      <c r="G187" s="172" t="s">
        <v>1947</v>
      </c>
      <c r="H187" s="172" t="s">
        <v>1920</v>
      </c>
      <c r="I187" s="176">
        <v>62.99</v>
      </c>
      <c r="J187" s="233"/>
    </row>
    <row r="188" spans="1:10">
      <c r="A188" s="171">
        <v>326</v>
      </c>
      <c r="B188" s="172" t="s">
        <v>1609</v>
      </c>
      <c r="C188" s="172" t="s">
        <v>1743</v>
      </c>
      <c r="D188" s="176">
        <v>70</v>
      </c>
      <c r="F188" s="171">
        <v>398</v>
      </c>
      <c r="G188" s="172" t="s">
        <v>1885</v>
      </c>
      <c r="H188" s="172" t="s">
        <v>1886</v>
      </c>
      <c r="I188" s="176">
        <v>40</v>
      </c>
      <c r="J188" s="233"/>
    </row>
    <row r="189" spans="1:10">
      <c r="A189" s="171">
        <v>327</v>
      </c>
      <c r="B189" s="172" t="s">
        <v>1609</v>
      </c>
      <c r="C189" s="172" t="s">
        <v>1715</v>
      </c>
      <c r="D189" s="176">
        <v>21.15</v>
      </c>
      <c r="F189" s="171">
        <v>399</v>
      </c>
      <c r="G189" s="172" t="s">
        <v>1956</v>
      </c>
      <c r="H189" s="172" t="s">
        <v>1806</v>
      </c>
      <c r="I189" s="176">
        <v>54.17</v>
      </c>
      <c r="J189" s="233"/>
    </row>
    <row r="190" spans="1:10">
      <c r="A190" s="171">
        <v>328</v>
      </c>
      <c r="B190" s="172" t="s">
        <v>1609</v>
      </c>
      <c r="C190" s="172" t="s">
        <v>1939</v>
      </c>
      <c r="D190" s="176">
        <v>39.659999999999997</v>
      </c>
      <c r="F190" s="171">
        <v>400</v>
      </c>
      <c r="G190" s="172" t="s">
        <v>2018</v>
      </c>
      <c r="H190" s="172" t="s">
        <v>1862</v>
      </c>
      <c r="I190" s="176">
        <v>39.85</v>
      </c>
      <c r="J190" s="233"/>
    </row>
    <row r="191" spans="1:10">
      <c r="A191" s="171">
        <v>329</v>
      </c>
      <c r="B191" s="172" t="s">
        <v>1609</v>
      </c>
      <c r="C191" s="172" t="s">
        <v>1964</v>
      </c>
      <c r="D191" s="176">
        <v>48.72</v>
      </c>
      <c r="F191" s="171">
        <v>401</v>
      </c>
      <c r="G191" s="172" t="s">
        <v>1764</v>
      </c>
      <c r="H191" s="172" t="s">
        <v>1765</v>
      </c>
      <c r="I191" s="176">
        <v>25.62</v>
      </c>
      <c r="J191" s="233"/>
    </row>
    <row r="192" spans="1:10">
      <c r="A192" s="171">
        <v>330</v>
      </c>
      <c r="B192" s="172" t="s">
        <v>1609</v>
      </c>
      <c r="C192" s="172" t="s">
        <v>1990</v>
      </c>
      <c r="D192" s="176">
        <v>70</v>
      </c>
      <c r="F192" s="171">
        <v>402</v>
      </c>
      <c r="G192" s="172" t="s">
        <v>1404</v>
      </c>
      <c r="H192" s="172" t="s">
        <v>2136</v>
      </c>
      <c r="I192" s="176">
        <v>65</v>
      </c>
      <c r="J192" s="233"/>
    </row>
    <row r="193" spans="1:10">
      <c r="A193" s="171">
        <v>331</v>
      </c>
      <c r="B193" s="172" t="s">
        <v>1609</v>
      </c>
      <c r="C193" s="172" t="s">
        <v>1741</v>
      </c>
      <c r="D193" s="176">
        <v>70</v>
      </c>
      <c r="F193" s="171">
        <v>403</v>
      </c>
      <c r="G193" s="172" t="s">
        <v>1975</v>
      </c>
      <c r="H193" s="172" t="s">
        <v>1976</v>
      </c>
      <c r="I193" s="176">
        <v>70</v>
      </c>
      <c r="J193" s="233"/>
    </row>
    <row r="194" spans="1:10">
      <c r="A194" s="171">
        <v>332</v>
      </c>
      <c r="B194" s="172" t="s">
        <v>1609</v>
      </c>
      <c r="C194" s="172" t="s">
        <v>1590</v>
      </c>
      <c r="D194" s="176">
        <v>63.16</v>
      </c>
      <c r="F194" s="171">
        <v>404</v>
      </c>
      <c r="G194" s="172" t="s">
        <v>1696</v>
      </c>
      <c r="H194" s="172" t="s">
        <v>1697</v>
      </c>
      <c r="I194" s="176">
        <v>30.34</v>
      </c>
      <c r="J194" s="233"/>
    </row>
    <row r="195" spans="1:10">
      <c r="A195" s="171">
        <v>333</v>
      </c>
      <c r="B195" s="172" t="s">
        <v>1609</v>
      </c>
      <c r="C195" s="172" t="s">
        <v>1570</v>
      </c>
      <c r="D195" s="176">
        <v>45.43</v>
      </c>
      <c r="F195" s="171">
        <v>405</v>
      </c>
      <c r="G195" s="172" t="s">
        <v>1696</v>
      </c>
      <c r="H195" s="172" t="s">
        <v>1862</v>
      </c>
      <c r="I195" s="176">
        <v>47.33</v>
      </c>
      <c r="J195" s="233"/>
    </row>
    <row r="196" spans="1:10">
      <c r="A196" s="171">
        <v>334</v>
      </c>
      <c r="B196" s="172" t="s">
        <v>1609</v>
      </c>
      <c r="C196" s="172" t="s">
        <v>2072</v>
      </c>
      <c r="D196" s="176">
        <v>59.49</v>
      </c>
      <c r="F196" s="171">
        <v>406</v>
      </c>
      <c r="G196" s="172" t="s">
        <v>1696</v>
      </c>
      <c r="H196" s="172" t="s">
        <v>1865</v>
      </c>
      <c r="I196" s="176">
        <v>41.69</v>
      </c>
      <c r="J196" s="233"/>
    </row>
    <row r="197" spans="1:10">
      <c r="A197" s="171">
        <v>335</v>
      </c>
      <c r="B197" s="172" t="s">
        <v>1609</v>
      </c>
      <c r="C197" s="172" t="s">
        <v>1858</v>
      </c>
      <c r="D197" s="176">
        <v>70</v>
      </c>
      <c r="F197" s="171">
        <v>407</v>
      </c>
      <c r="G197" s="172" t="s">
        <v>1584</v>
      </c>
      <c r="H197" s="172" t="s">
        <v>1767</v>
      </c>
      <c r="I197" s="176">
        <v>65.569999999999993</v>
      </c>
      <c r="J197" s="233"/>
    </row>
    <row r="198" spans="1:10">
      <c r="A198" s="171">
        <v>336</v>
      </c>
      <c r="B198" s="172" t="s">
        <v>1609</v>
      </c>
      <c r="C198" s="172" t="s">
        <v>2139</v>
      </c>
      <c r="D198" s="176">
        <v>70</v>
      </c>
      <c r="F198" s="171">
        <v>408</v>
      </c>
      <c r="G198" s="172" t="s">
        <v>1584</v>
      </c>
      <c r="H198" s="172" t="s">
        <v>1687</v>
      </c>
      <c r="I198" s="176">
        <v>49.8</v>
      </c>
      <c r="J198" s="233"/>
    </row>
    <row r="199" spans="1:10">
      <c r="A199" s="171">
        <v>337</v>
      </c>
      <c r="B199" s="172" t="s">
        <v>1609</v>
      </c>
      <c r="C199" s="172" t="s">
        <v>1687</v>
      </c>
      <c r="D199" s="176">
        <v>40</v>
      </c>
      <c r="F199" s="171">
        <v>409</v>
      </c>
      <c r="G199" s="172" t="s">
        <v>1584</v>
      </c>
      <c r="H199" s="172" t="s">
        <v>2002</v>
      </c>
      <c r="I199" s="176">
        <v>45.5</v>
      </c>
      <c r="J199" s="233"/>
    </row>
    <row r="200" spans="1:10">
      <c r="A200" s="171">
        <v>338</v>
      </c>
      <c r="B200" s="172" t="s">
        <v>1609</v>
      </c>
      <c r="C200" s="172" t="s">
        <v>1574</v>
      </c>
      <c r="D200" s="176">
        <v>40</v>
      </c>
      <c r="F200" s="171">
        <v>410</v>
      </c>
      <c r="G200" s="172" t="s">
        <v>1584</v>
      </c>
      <c r="H200" s="172" t="s">
        <v>2103</v>
      </c>
      <c r="I200" s="176">
        <v>46.33</v>
      </c>
      <c r="J200" s="233"/>
    </row>
    <row r="201" spans="1:10">
      <c r="A201" s="171">
        <v>339</v>
      </c>
      <c r="B201" s="172" t="s">
        <v>1609</v>
      </c>
      <c r="C201" s="172" t="s">
        <v>1606</v>
      </c>
      <c r="D201" s="176">
        <v>23.5</v>
      </c>
      <c r="F201" s="171">
        <v>411</v>
      </c>
      <c r="G201" s="172" t="s">
        <v>1584</v>
      </c>
      <c r="H201" s="172" t="s">
        <v>1725</v>
      </c>
      <c r="I201" s="176">
        <v>34.799999999999997</v>
      </c>
      <c r="J201" s="233"/>
    </row>
    <row r="202" spans="1:10">
      <c r="A202" s="171">
        <v>340</v>
      </c>
      <c r="B202" s="172" t="s">
        <v>1609</v>
      </c>
      <c r="C202" s="172" t="s">
        <v>1964</v>
      </c>
      <c r="D202" s="176">
        <v>40</v>
      </c>
      <c r="F202" s="171">
        <v>412</v>
      </c>
      <c r="G202" s="172" t="s">
        <v>1584</v>
      </c>
      <c r="H202" s="172" t="s">
        <v>1620</v>
      </c>
      <c r="I202" s="176">
        <v>39.200000000000003</v>
      </c>
      <c r="J202" s="233"/>
    </row>
    <row r="203" spans="1:10">
      <c r="A203" s="171">
        <v>341</v>
      </c>
      <c r="B203" s="172" t="s">
        <v>1609</v>
      </c>
      <c r="C203" s="172" t="s">
        <v>1906</v>
      </c>
      <c r="D203" s="176">
        <v>15.6</v>
      </c>
      <c r="F203" s="171">
        <v>413</v>
      </c>
      <c r="G203" s="172" t="s">
        <v>1584</v>
      </c>
      <c r="H203" s="172" t="s">
        <v>1806</v>
      </c>
      <c r="I203" s="176">
        <v>38.82</v>
      </c>
      <c r="J203" s="233"/>
    </row>
    <row r="204" spans="1:10">
      <c r="A204" s="171">
        <v>342</v>
      </c>
      <c r="B204" s="172" t="s">
        <v>1609</v>
      </c>
      <c r="C204" s="172" t="s">
        <v>2072</v>
      </c>
      <c r="D204" s="176">
        <v>28.5</v>
      </c>
      <c r="F204" s="171">
        <v>414</v>
      </c>
      <c r="G204" s="172" t="s">
        <v>1612</v>
      </c>
      <c r="H204" s="172" t="s">
        <v>1613</v>
      </c>
      <c r="I204" s="176">
        <v>61.33</v>
      </c>
      <c r="J204" s="233"/>
    </row>
    <row r="205" spans="1:10">
      <c r="A205" s="171">
        <v>343</v>
      </c>
      <c r="B205" s="172" t="s">
        <v>2020</v>
      </c>
      <c r="C205" s="172" t="s">
        <v>2021</v>
      </c>
      <c r="D205" s="176">
        <v>50</v>
      </c>
      <c r="F205" s="171">
        <v>415</v>
      </c>
      <c r="G205" s="172" t="s">
        <v>1612</v>
      </c>
      <c r="H205" s="172" t="s">
        <v>1584</v>
      </c>
      <c r="I205" s="176">
        <v>58.04</v>
      </c>
      <c r="J205" s="233"/>
    </row>
    <row r="206" spans="1:10">
      <c r="A206" s="171">
        <v>344</v>
      </c>
      <c r="B206" s="172" t="s">
        <v>1967</v>
      </c>
      <c r="C206" s="172" t="s">
        <v>1592</v>
      </c>
      <c r="D206" s="176">
        <v>70</v>
      </c>
      <c r="F206" s="171">
        <v>416</v>
      </c>
      <c r="G206" s="172" t="s">
        <v>2110</v>
      </c>
      <c r="H206" s="172" t="s">
        <v>2111</v>
      </c>
      <c r="I206" s="176">
        <v>60</v>
      </c>
      <c r="J206" s="233"/>
    </row>
    <row r="207" spans="1:10">
      <c r="A207" s="171">
        <v>345</v>
      </c>
      <c r="B207" s="172" t="s">
        <v>1928</v>
      </c>
      <c r="C207" s="172" t="s">
        <v>1552</v>
      </c>
      <c r="D207" s="176">
        <v>18.3</v>
      </c>
      <c r="F207" s="171">
        <v>417</v>
      </c>
      <c r="G207" s="172" t="s">
        <v>1772</v>
      </c>
      <c r="H207" s="172" t="s">
        <v>2402</v>
      </c>
      <c r="I207" s="176">
        <v>34.92</v>
      </c>
      <c r="J207" s="233"/>
    </row>
    <row r="208" spans="1:10">
      <c r="A208" s="171">
        <v>346</v>
      </c>
      <c r="B208" s="172" t="s">
        <v>1928</v>
      </c>
      <c r="C208" s="172" t="s">
        <v>1633</v>
      </c>
      <c r="D208" s="176">
        <v>57.91</v>
      </c>
      <c r="F208" s="171">
        <v>418</v>
      </c>
      <c r="G208" s="172" t="s">
        <v>2389</v>
      </c>
      <c r="H208" s="172" t="s">
        <v>1592</v>
      </c>
      <c r="I208" s="176">
        <v>52.84</v>
      </c>
      <c r="J208" s="233"/>
    </row>
    <row r="209" spans="1:10">
      <c r="A209" s="171">
        <v>347</v>
      </c>
      <c r="B209" s="172" t="s">
        <v>2386</v>
      </c>
      <c r="C209" s="172" t="s">
        <v>1687</v>
      </c>
      <c r="D209" s="176">
        <v>70</v>
      </c>
      <c r="F209" s="171">
        <v>419</v>
      </c>
      <c r="G209" s="172" t="s">
        <v>2017</v>
      </c>
      <c r="H209" s="172" t="s">
        <v>1617</v>
      </c>
      <c r="I209" s="176">
        <v>18</v>
      </c>
      <c r="J209" s="233"/>
    </row>
    <row r="210" spans="1:10">
      <c r="A210" s="171">
        <v>348</v>
      </c>
      <c r="B210" s="172" t="s">
        <v>1657</v>
      </c>
      <c r="C210" s="172" t="s">
        <v>1658</v>
      </c>
      <c r="D210" s="176">
        <v>70</v>
      </c>
      <c r="F210" s="171">
        <v>420</v>
      </c>
      <c r="G210" s="172" t="s">
        <v>1898</v>
      </c>
      <c r="H210" s="172" t="s">
        <v>1899</v>
      </c>
      <c r="I210" s="176">
        <v>40</v>
      </c>
      <c r="J210" s="233"/>
    </row>
    <row r="211" spans="1:10">
      <c r="A211" s="171">
        <v>349</v>
      </c>
      <c r="B211" s="172" t="s">
        <v>1657</v>
      </c>
      <c r="C211" s="172" t="s">
        <v>1767</v>
      </c>
      <c r="D211" s="176">
        <v>44.32</v>
      </c>
      <c r="F211" s="171">
        <v>421</v>
      </c>
      <c r="G211" s="172" t="s">
        <v>1675</v>
      </c>
      <c r="H211" s="172" t="s">
        <v>1676</v>
      </c>
      <c r="I211" s="176">
        <v>58</v>
      </c>
      <c r="J211" s="233"/>
    </row>
    <row r="212" spans="1:10">
      <c r="A212" s="171">
        <v>350</v>
      </c>
      <c r="B212" s="172" t="s">
        <v>1909</v>
      </c>
      <c r="C212" s="172" t="s">
        <v>1572</v>
      </c>
      <c r="D212" s="176">
        <v>42</v>
      </c>
      <c r="F212" s="171">
        <v>422</v>
      </c>
      <c r="G212" s="172" t="s">
        <v>1675</v>
      </c>
      <c r="H212" s="172" t="s">
        <v>1625</v>
      </c>
      <c r="I212" s="176">
        <v>29.66</v>
      </c>
      <c r="J212" s="233"/>
    </row>
    <row r="213" spans="1:10">
      <c r="A213" s="171">
        <v>351</v>
      </c>
      <c r="B213" s="172" t="s">
        <v>1993</v>
      </c>
      <c r="C213" s="172" t="s">
        <v>1592</v>
      </c>
      <c r="D213" s="176">
        <v>70</v>
      </c>
      <c r="F213" s="171">
        <v>423</v>
      </c>
      <c r="G213" s="172" t="s">
        <v>1675</v>
      </c>
      <c r="H213" s="172" t="s">
        <v>1920</v>
      </c>
      <c r="I213" s="176">
        <v>52.37</v>
      </c>
      <c r="J213" s="233"/>
    </row>
    <row r="214" spans="1:10">
      <c r="A214" s="171">
        <v>352</v>
      </c>
      <c r="B214" s="172" t="s">
        <v>1993</v>
      </c>
      <c r="C214" s="172" t="s">
        <v>2029</v>
      </c>
      <c r="D214" s="176">
        <v>54.11</v>
      </c>
      <c r="F214" s="171">
        <v>424</v>
      </c>
      <c r="G214" s="172" t="s">
        <v>1942</v>
      </c>
      <c r="H214" s="172" t="s">
        <v>1913</v>
      </c>
      <c r="I214" s="176">
        <v>70</v>
      </c>
      <c r="J214" s="233"/>
    </row>
    <row r="215" spans="1:10">
      <c r="A215" s="171">
        <v>353</v>
      </c>
      <c r="B215" s="172" t="s">
        <v>1650</v>
      </c>
      <c r="C215" s="172" t="s">
        <v>1651</v>
      </c>
      <c r="D215" s="176">
        <v>38.6</v>
      </c>
      <c r="F215" s="171">
        <v>425</v>
      </c>
      <c r="G215" s="172" t="s">
        <v>1598</v>
      </c>
      <c r="H215" s="172" t="s">
        <v>1686</v>
      </c>
      <c r="I215" s="176">
        <v>61.6</v>
      </c>
      <c r="J215" s="233"/>
    </row>
    <row r="216" spans="1:10">
      <c r="A216" s="171">
        <v>354</v>
      </c>
      <c r="B216" s="172" t="s">
        <v>1607</v>
      </c>
      <c r="C216" s="172" t="s">
        <v>1608</v>
      </c>
      <c r="D216" s="176">
        <v>51.9</v>
      </c>
      <c r="F216" s="171">
        <v>426</v>
      </c>
      <c r="G216" s="172" t="s">
        <v>1598</v>
      </c>
      <c r="H216" s="172" t="s">
        <v>1703</v>
      </c>
      <c r="I216" s="176">
        <v>48.01</v>
      </c>
      <c r="J216" s="233"/>
    </row>
    <row r="217" spans="1:10">
      <c r="A217" s="171">
        <v>355</v>
      </c>
      <c r="B217" s="172" t="s">
        <v>1607</v>
      </c>
      <c r="C217" s="172" t="s">
        <v>1572</v>
      </c>
      <c r="D217" s="176">
        <v>65.8</v>
      </c>
      <c r="F217" s="171">
        <v>427</v>
      </c>
      <c r="G217" s="172" t="s">
        <v>1598</v>
      </c>
      <c r="H217" s="172" t="s">
        <v>1552</v>
      </c>
      <c r="I217" s="176">
        <v>36.1</v>
      </c>
      <c r="J217" s="233"/>
    </row>
    <row r="218" spans="1:10">
      <c r="A218" s="171">
        <v>428</v>
      </c>
      <c r="B218" s="172" t="s">
        <v>1598</v>
      </c>
      <c r="C218" s="172" t="s">
        <v>1745</v>
      </c>
      <c r="D218" s="176">
        <v>40</v>
      </c>
      <c r="F218" s="171">
        <v>500</v>
      </c>
      <c r="G218" s="172" t="s">
        <v>1726</v>
      </c>
      <c r="H218" s="172" t="s">
        <v>1625</v>
      </c>
      <c r="I218" s="176">
        <v>62.3</v>
      </c>
      <c r="J218" s="233"/>
    </row>
    <row r="219" spans="1:10">
      <c r="A219" s="171">
        <v>429</v>
      </c>
      <c r="B219" s="172" t="s">
        <v>1598</v>
      </c>
      <c r="C219" s="172" t="s">
        <v>1590</v>
      </c>
      <c r="D219" s="176">
        <v>64.900000000000006</v>
      </c>
      <c r="F219" s="171">
        <v>501</v>
      </c>
      <c r="G219" s="172" t="s">
        <v>1762</v>
      </c>
      <c r="H219" s="172" t="s">
        <v>1631</v>
      </c>
      <c r="I219" s="176">
        <v>34.979999999999997</v>
      </c>
      <c r="J219" s="233"/>
    </row>
    <row r="220" spans="1:10">
      <c r="A220" s="171">
        <v>430</v>
      </c>
      <c r="B220" s="172" t="s">
        <v>1598</v>
      </c>
      <c r="C220" s="172" t="s">
        <v>1572</v>
      </c>
      <c r="D220" s="176">
        <v>47.43</v>
      </c>
      <c r="F220" s="171">
        <v>502</v>
      </c>
      <c r="G220" s="172" t="s">
        <v>2054</v>
      </c>
      <c r="H220" s="172" t="s">
        <v>1920</v>
      </c>
      <c r="I220" s="176">
        <v>35.65</v>
      </c>
      <c r="J220" s="233"/>
    </row>
    <row r="221" spans="1:10">
      <c r="A221" s="171">
        <v>431</v>
      </c>
      <c r="B221" s="172" t="s">
        <v>1598</v>
      </c>
      <c r="C221" s="172" t="s">
        <v>1590</v>
      </c>
      <c r="D221" s="176">
        <v>69.040000000000006</v>
      </c>
      <c r="F221" s="171">
        <v>503</v>
      </c>
      <c r="G221" s="172" t="s">
        <v>2147</v>
      </c>
      <c r="H221" s="172" t="s">
        <v>2148</v>
      </c>
      <c r="I221" s="176">
        <v>43.59</v>
      </c>
      <c r="J221" s="233"/>
    </row>
    <row r="222" spans="1:10">
      <c r="A222" s="171">
        <v>432</v>
      </c>
      <c r="B222" s="172" t="s">
        <v>1598</v>
      </c>
      <c r="C222" s="172" t="s">
        <v>1572</v>
      </c>
      <c r="D222" s="176">
        <v>40</v>
      </c>
      <c r="F222" s="171">
        <v>504</v>
      </c>
      <c r="G222" s="172" t="s">
        <v>1706</v>
      </c>
      <c r="H222" s="172" t="s">
        <v>1554</v>
      </c>
      <c r="I222" s="176">
        <v>70</v>
      </c>
      <c r="J222" s="233"/>
    </row>
    <row r="223" spans="1:10">
      <c r="A223" s="171">
        <v>433</v>
      </c>
      <c r="B223" s="172" t="s">
        <v>1598</v>
      </c>
      <c r="C223" s="172" t="s">
        <v>1590</v>
      </c>
      <c r="D223" s="176">
        <v>40</v>
      </c>
      <c r="F223" s="171">
        <v>505</v>
      </c>
      <c r="G223" s="172" t="s">
        <v>2390</v>
      </c>
      <c r="H223" s="172" t="s">
        <v>1592</v>
      </c>
      <c r="I223" s="176">
        <v>70</v>
      </c>
      <c r="J223" s="233"/>
    </row>
    <row r="224" spans="1:10">
      <c r="A224" s="171">
        <v>434</v>
      </c>
      <c r="B224" s="172" t="s">
        <v>1748</v>
      </c>
      <c r="C224" s="172" t="s">
        <v>1584</v>
      </c>
      <c r="D224" s="176">
        <v>45.33</v>
      </c>
      <c r="F224" s="171">
        <v>506</v>
      </c>
      <c r="G224" s="172" t="s">
        <v>2390</v>
      </c>
      <c r="H224" s="172" t="s">
        <v>2391</v>
      </c>
      <c r="I224" s="176">
        <v>51.09</v>
      </c>
      <c r="J224" s="233"/>
    </row>
    <row r="225" spans="1:10">
      <c r="A225" s="171">
        <v>435</v>
      </c>
      <c r="B225" s="172" t="s">
        <v>2159</v>
      </c>
      <c r="C225" s="172" t="s">
        <v>1802</v>
      </c>
      <c r="D225" s="176">
        <v>42.5</v>
      </c>
      <c r="F225" s="171">
        <v>507</v>
      </c>
      <c r="G225" s="172" t="s">
        <v>2058</v>
      </c>
      <c r="H225" s="172" t="s">
        <v>1554</v>
      </c>
      <c r="I225" s="176">
        <v>20</v>
      </c>
      <c r="J225" s="233"/>
    </row>
    <row r="226" spans="1:10">
      <c r="A226" s="171">
        <v>436</v>
      </c>
      <c r="B226" s="172" t="s">
        <v>1814</v>
      </c>
      <c r="C226" s="172" t="s">
        <v>1815</v>
      </c>
      <c r="D226" s="176">
        <v>31.3</v>
      </c>
      <c r="F226" s="171">
        <v>508</v>
      </c>
      <c r="G226" s="172" t="s">
        <v>1601</v>
      </c>
      <c r="H226" s="172" t="s">
        <v>1551</v>
      </c>
      <c r="I226" s="176">
        <v>59.1</v>
      </c>
      <c r="J226" s="233"/>
    </row>
    <row r="227" spans="1:10">
      <c r="A227" s="171">
        <v>437</v>
      </c>
      <c r="B227" s="172" t="s">
        <v>1642</v>
      </c>
      <c r="C227" s="172" t="s">
        <v>2117</v>
      </c>
      <c r="D227" s="176">
        <v>70</v>
      </c>
      <c r="F227" s="171">
        <v>509</v>
      </c>
      <c r="G227" s="172" t="s">
        <v>2392</v>
      </c>
      <c r="H227" s="172" t="s">
        <v>2393</v>
      </c>
      <c r="I227" s="176">
        <v>44.35</v>
      </c>
      <c r="J227" s="233"/>
    </row>
    <row r="228" spans="1:10">
      <c r="A228" s="171">
        <v>438</v>
      </c>
      <c r="B228" s="172" t="s">
        <v>2162</v>
      </c>
      <c r="C228" s="172" t="s">
        <v>1862</v>
      </c>
      <c r="D228" s="176">
        <v>43</v>
      </c>
      <c r="F228" s="171">
        <v>510</v>
      </c>
      <c r="G228" s="172" t="s">
        <v>2133</v>
      </c>
      <c r="H228" s="172" t="s">
        <v>1739</v>
      </c>
      <c r="I228" s="176">
        <v>63</v>
      </c>
      <c r="J228" s="233"/>
    </row>
    <row r="229" spans="1:10">
      <c r="A229" s="171">
        <v>439</v>
      </c>
      <c r="B229" s="172" t="s">
        <v>1735</v>
      </c>
      <c r="C229" s="172" t="s">
        <v>1617</v>
      </c>
      <c r="D229" s="176">
        <v>69.66</v>
      </c>
      <c r="F229" s="171">
        <v>511</v>
      </c>
      <c r="G229" s="172" t="s">
        <v>1849</v>
      </c>
      <c r="H229" s="172" t="s">
        <v>1745</v>
      </c>
      <c r="I229" s="176">
        <v>58.1</v>
      </c>
      <c r="J229" s="233"/>
    </row>
    <row r="230" spans="1:10">
      <c r="A230" s="171">
        <v>440</v>
      </c>
      <c r="B230" s="172" t="s">
        <v>1551</v>
      </c>
      <c r="C230" s="172" t="s">
        <v>1694</v>
      </c>
      <c r="D230" s="176">
        <v>70</v>
      </c>
      <c r="F230" s="171">
        <v>512</v>
      </c>
      <c r="G230" s="172" t="s">
        <v>2033</v>
      </c>
      <c r="H230" s="172" t="s">
        <v>1687</v>
      </c>
      <c r="I230" s="176">
        <v>58.73</v>
      </c>
      <c r="J230" s="233"/>
    </row>
    <row r="231" spans="1:10">
      <c r="A231" s="171">
        <v>441</v>
      </c>
      <c r="B231" s="172" t="s">
        <v>1897</v>
      </c>
      <c r="C231" s="172" t="s">
        <v>1572</v>
      </c>
      <c r="D231" s="176">
        <v>34.92</v>
      </c>
      <c r="F231" s="171">
        <v>513</v>
      </c>
      <c r="G231" s="172" t="s">
        <v>2033</v>
      </c>
      <c r="H231" s="172" t="s">
        <v>1959</v>
      </c>
      <c r="I231" s="176">
        <v>57.75</v>
      </c>
      <c r="J231" s="233"/>
    </row>
    <row r="232" spans="1:10">
      <c r="A232" s="171">
        <v>442</v>
      </c>
      <c r="B232" s="172" t="s">
        <v>1670</v>
      </c>
      <c r="C232" s="172" t="s">
        <v>1568</v>
      </c>
      <c r="D232" s="176">
        <v>45.31</v>
      </c>
      <c r="F232" s="171">
        <v>514</v>
      </c>
      <c r="G232" s="172" t="s">
        <v>2033</v>
      </c>
      <c r="H232" s="172" t="s">
        <v>1808</v>
      </c>
      <c r="I232" s="176">
        <v>24.06</v>
      </c>
      <c r="J232" s="233"/>
    </row>
    <row r="233" spans="1:10">
      <c r="A233" s="171">
        <v>443</v>
      </c>
      <c r="B233" s="172" t="s">
        <v>1670</v>
      </c>
      <c r="C233" s="172" t="s">
        <v>1741</v>
      </c>
      <c r="D233" s="176">
        <v>21</v>
      </c>
      <c r="F233" s="171">
        <v>515</v>
      </c>
      <c r="G233" s="172" t="s">
        <v>2033</v>
      </c>
      <c r="H233" s="172" t="s">
        <v>1572</v>
      </c>
      <c r="I233" s="176">
        <v>40</v>
      </c>
      <c r="J233" s="233"/>
    </row>
    <row r="234" spans="1:10">
      <c r="A234" s="171">
        <v>444</v>
      </c>
      <c r="B234" s="172" t="s">
        <v>1944</v>
      </c>
      <c r="C234" s="172" t="s">
        <v>1945</v>
      </c>
      <c r="D234" s="176">
        <v>42.9</v>
      </c>
      <c r="F234" s="171">
        <v>516</v>
      </c>
      <c r="G234" s="172" t="s">
        <v>2033</v>
      </c>
      <c r="H234" s="172" t="s">
        <v>2132</v>
      </c>
      <c r="I234" s="176">
        <v>48.4</v>
      </c>
      <c r="J234" s="233"/>
    </row>
    <row r="235" spans="1:10">
      <c r="A235" s="171">
        <v>445</v>
      </c>
      <c r="B235" s="172" t="s">
        <v>1605</v>
      </c>
      <c r="C235" s="172" t="s">
        <v>1592</v>
      </c>
      <c r="D235" s="176">
        <v>57</v>
      </c>
      <c r="F235" s="171">
        <v>517</v>
      </c>
      <c r="G235" s="172" t="s">
        <v>2033</v>
      </c>
      <c r="H235" s="172" t="s">
        <v>1678</v>
      </c>
      <c r="I235" s="176">
        <v>48.3</v>
      </c>
      <c r="J235" s="233"/>
    </row>
    <row r="236" spans="1:10">
      <c r="A236" s="171">
        <v>446</v>
      </c>
      <c r="B236" s="172" t="s">
        <v>1605</v>
      </c>
      <c r="C236" s="172" t="s">
        <v>1720</v>
      </c>
      <c r="D236" s="176">
        <v>60.33</v>
      </c>
      <c r="F236" s="171">
        <v>518</v>
      </c>
      <c r="G236" s="172" t="s">
        <v>2033</v>
      </c>
      <c r="H236" s="172" t="s">
        <v>2132</v>
      </c>
      <c r="I236" s="176">
        <v>25.2</v>
      </c>
      <c r="J236" s="233"/>
    </row>
    <row r="237" spans="1:10">
      <c r="A237" s="171">
        <v>447</v>
      </c>
      <c r="B237" s="172" t="s">
        <v>1605</v>
      </c>
      <c r="C237" s="172" t="s">
        <v>1584</v>
      </c>
      <c r="D237" s="176">
        <v>49.49</v>
      </c>
      <c r="F237" s="171">
        <v>519</v>
      </c>
      <c r="G237" s="172" t="s">
        <v>2044</v>
      </c>
      <c r="H237" s="172" t="s">
        <v>2045</v>
      </c>
      <c r="I237" s="176">
        <v>47.68</v>
      </c>
      <c r="J237" s="233"/>
    </row>
    <row r="238" spans="1:10">
      <c r="A238" s="171">
        <v>448</v>
      </c>
      <c r="B238" s="172" t="s">
        <v>1605</v>
      </c>
      <c r="C238" s="172" t="s">
        <v>1606</v>
      </c>
      <c r="D238" s="176">
        <v>40</v>
      </c>
      <c r="F238" s="171">
        <v>520</v>
      </c>
      <c r="G238" s="172" t="s">
        <v>2016</v>
      </c>
      <c r="H238" s="172" t="s">
        <v>1687</v>
      </c>
      <c r="I238" s="176">
        <v>35</v>
      </c>
      <c r="J238" s="233"/>
    </row>
    <row r="239" spans="1:10">
      <c r="A239" s="171">
        <v>449</v>
      </c>
      <c r="B239" s="172" t="s">
        <v>1575</v>
      </c>
      <c r="C239" s="172" t="s">
        <v>1576</v>
      </c>
      <c r="D239" s="176">
        <v>26.97</v>
      </c>
      <c r="F239" s="171">
        <v>521</v>
      </c>
      <c r="G239" s="172" t="s">
        <v>2016</v>
      </c>
      <c r="H239" s="172" t="s">
        <v>1622</v>
      </c>
      <c r="I239" s="176">
        <v>70</v>
      </c>
      <c r="J239" s="233"/>
    </row>
    <row r="240" spans="1:10">
      <c r="A240" s="171">
        <v>450</v>
      </c>
      <c r="B240" s="172" t="s">
        <v>2036</v>
      </c>
      <c r="C240" s="172" t="s">
        <v>1566</v>
      </c>
      <c r="D240" s="176">
        <v>41</v>
      </c>
      <c r="F240" s="171">
        <v>522</v>
      </c>
      <c r="G240" s="172" t="s">
        <v>1599</v>
      </c>
      <c r="H240" s="172" t="s">
        <v>1600</v>
      </c>
      <c r="I240" s="176">
        <v>70</v>
      </c>
      <c r="J240" s="233"/>
    </row>
    <row r="241" spans="1:10">
      <c r="A241" s="171">
        <v>451</v>
      </c>
      <c r="B241" s="172" t="s">
        <v>1986</v>
      </c>
      <c r="C241" s="172" t="s">
        <v>1987</v>
      </c>
      <c r="D241" s="176">
        <v>35.58</v>
      </c>
      <c r="F241" s="171">
        <v>523</v>
      </c>
      <c r="G241" s="172" t="s">
        <v>1863</v>
      </c>
      <c r="H241" s="172" t="s">
        <v>1848</v>
      </c>
      <c r="I241" s="176">
        <v>37.58</v>
      </c>
      <c r="J241" s="233"/>
    </row>
    <row r="242" spans="1:10">
      <c r="A242" s="171">
        <v>452</v>
      </c>
      <c r="B242" s="172" t="s">
        <v>1790</v>
      </c>
      <c r="C242" s="172" t="s">
        <v>1791</v>
      </c>
      <c r="D242" s="176">
        <v>70</v>
      </c>
      <c r="F242" s="171">
        <v>524</v>
      </c>
      <c r="G242" s="172" t="s">
        <v>1648</v>
      </c>
      <c r="H242" s="172" t="s">
        <v>1638</v>
      </c>
      <c r="I242" s="176">
        <v>62</v>
      </c>
      <c r="J242" s="233"/>
    </row>
    <row r="243" spans="1:10">
      <c r="A243" s="171">
        <v>453</v>
      </c>
      <c r="B243" s="172" t="s">
        <v>1780</v>
      </c>
      <c r="C243" s="172" t="s">
        <v>1781</v>
      </c>
      <c r="D243" s="176">
        <v>47</v>
      </c>
      <c r="F243" s="171">
        <v>525</v>
      </c>
      <c r="G243" s="172" t="s">
        <v>1950</v>
      </c>
      <c r="H243" s="172" t="s">
        <v>1554</v>
      </c>
      <c r="I243" s="176">
        <v>70</v>
      </c>
      <c r="J243" s="233"/>
    </row>
    <row r="244" spans="1:10">
      <c r="A244" s="171">
        <v>454</v>
      </c>
      <c r="B244" s="172" t="s">
        <v>2059</v>
      </c>
      <c r="C244" s="172" t="s">
        <v>2060</v>
      </c>
      <c r="D244" s="176">
        <v>48.9</v>
      </c>
      <c r="F244" s="171">
        <v>526</v>
      </c>
      <c r="G244" s="172" t="s">
        <v>1579</v>
      </c>
      <c r="H244" s="172" t="s">
        <v>1580</v>
      </c>
      <c r="I244" s="176">
        <v>45.5</v>
      </c>
      <c r="J244" s="233"/>
    </row>
    <row r="245" spans="1:10">
      <c r="A245" s="171">
        <v>455</v>
      </c>
      <c r="B245" s="172" t="s">
        <v>1859</v>
      </c>
      <c r="C245" s="172" t="s">
        <v>1860</v>
      </c>
      <c r="D245" s="176">
        <v>49.03</v>
      </c>
      <c r="F245" s="171">
        <v>527</v>
      </c>
      <c r="G245" s="172" t="s">
        <v>1850</v>
      </c>
      <c r="H245" s="172" t="s">
        <v>1615</v>
      </c>
      <c r="I245" s="176">
        <v>70</v>
      </c>
      <c r="J245" s="233"/>
    </row>
    <row r="246" spans="1:10">
      <c r="A246" s="171">
        <v>456</v>
      </c>
      <c r="B246" s="172" t="s">
        <v>1919</v>
      </c>
      <c r="C246" s="172" t="s">
        <v>1590</v>
      </c>
      <c r="D246" s="176">
        <v>70</v>
      </c>
      <c r="F246" s="171">
        <v>528</v>
      </c>
      <c r="G246" s="172" t="s">
        <v>1851</v>
      </c>
      <c r="H246" s="172" t="s">
        <v>1552</v>
      </c>
      <c r="I246" s="176">
        <v>70</v>
      </c>
      <c r="J246" s="233"/>
    </row>
    <row r="247" spans="1:10">
      <c r="A247" s="171">
        <v>457</v>
      </c>
      <c r="B247" s="172" t="s">
        <v>1919</v>
      </c>
      <c r="C247" s="172" t="s">
        <v>1920</v>
      </c>
      <c r="D247" s="176">
        <v>33</v>
      </c>
      <c r="F247" s="171">
        <v>529</v>
      </c>
      <c r="G247" s="172" t="s">
        <v>1851</v>
      </c>
      <c r="H247" s="172" t="s">
        <v>1590</v>
      </c>
      <c r="I247" s="176">
        <v>62.2</v>
      </c>
      <c r="J247" s="233"/>
    </row>
    <row r="248" spans="1:10">
      <c r="A248" s="171">
        <v>458</v>
      </c>
      <c r="B248" s="172" t="s">
        <v>1746</v>
      </c>
      <c r="C248" s="172" t="s">
        <v>1747</v>
      </c>
      <c r="D248" s="176">
        <v>70</v>
      </c>
      <c r="F248" s="171">
        <v>530</v>
      </c>
      <c r="G248" s="172" t="s">
        <v>2121</v>
      </c>
      <c r="H248" s="172" t="s">
        <v>2122</v>
      </c>
      <c r="I248" s="176">
        <v>24.98</v>
      </c>
      <c r="J248" s="233"/>
    </row>
    <row r="249" spans="1:10">
      <c r="A249" s="171">
        <v>459</v>
      </c>
      <c r="B249" s="172" t="s">
        <v>2403</v>
      </c>
      <c r="C249" s="172" t="s">
        <v>1625</v>
      </c>
      <c r="D249" s="176">
        <v>70</v>
      </c>
      <c r="F249" s="171">
        <v>531</v>
      </c>
      <c r="G249" s="172" t="s">
        <v>1628</v>
      </c>
      <c r="H249" s="172" t="s">
        <v>1629</v>
      </c>
      <c r="I249" s="176">
        <v>67.33</v>
      </c>
      <c r="J249" s="233"/>
    </row>
    <row r="250" spans="1:10">
      <c r="A250" s="171">
        <v>460</v>
      </c>
      <c r="B250" s="172" t="s">
        <v>1803</v>
      </c>
      <c r="C250" s="172" t="s">
        <v>1804</v>
      </c>
      <c r="D250" s="176">
        <v>38.5</v>
      </c>
      <c r="F250" s="171">
        <v>532</v>
      </c>
      <c r="G250" s="172" t="s">
        <v>1583</v>
      </c>
      <c r="H250" s="172" t="s">
        <v>1584</v>
      </c>
      <c r="I250" s="176">
        <v>38.200000000000003</v>
      </c>
      <c r="J250" s="233"/>
    </row>
    <row r="251" spans="1:10">
      <c r="A251" s="171">
        <v>461</v>
      </c>
      <c r="B251" s="172" t="s">
        <v>2010</v>
      </c>
      <c r="C251" s="172" t="s">
        <v>2011</v>
      </c>
      <c r="D251" s="176">
        <v>14.6</v>
      </c>
      <c r="F251" s="171">
        <v>533</v>
      </c>
      <c r="G251" s="172" t="s">
        <v>2093</v>
      </c>
      <c r="H251" s="172" t="s">
        <v>2094</v>
      </c>
      <c r="I251" s="176">
        <v>50.83</v>
      </c>
      <c r="J251" s="233"/>
    </row>
    <row r="252" spans="1:10">
      <c r="A252" s="171">
        <v>462</v>
      </c>
      <c r="B252" s="172" t="s">
        <v>1829</v>
      </c>
      <c r="C252" s="172" t="s">
        <v>1570</v>
      </c>
      <c r="D252" s="176">
        <v>70</v>
      </c>
      <c r="F252" s="171">
        <v>534</v>
      </c>
      <c r="G252" s="172" t="s">
        <v>1721</v>
      </c>
      <c r="H252" s="172" t="s">
        <v>1722</v>
      </c>
      <c r="I252" s="176">
        <v>66.2</v>
      </c>
      <c r="J252" s="233"/>
    </row>
    <row r="253" spans="1:10">
      <c r="A253" s="171">
        <v>463</v>
      </c>
      <c r="B253" s="172" t="s">
        <v>1915</v>
      </c>
      <c r="C253" s="172" t="s">
        <v>1916</v>
      </c>
      <c r="D253" s="176">
        <v>50</v>
      </c>
      <c r="F253" s="171">
        <v>535</v>
      </c>
      <c r="G253" s="172" t="s">
        <v>1736</v>
      </c>
      <c r="H253" s="172" t="s">
        <v>1554</v>
      </c>
      <c r="I253" s="176">
        <v>49</v>
      </c>
      <c r="J253" s="233"/>
    </row>
    <row r="254" spans="1:10">
      <c r="A254" s="171">
        <v>464</v>
      </c>
      <c r="B254" s="172" t="s">
        <v>1915</v>
      </c>
      <c r="C254" s="172" t="s">
        <v>1907</v>
      </c>
      <c r="D254" s="176">
        <v>55.3</v>
      </c>
      <c r="F254" s="171">
        <v>536</v>
      </c>
      <c r="G254" s="172" t="s">
        <v>2028</v>
      </c>
      <c r="H254" s="172" t="s">
        <v>1578</v>
      </c>
      <c r="I254" s="176">
        <v>31.78</v>
      </c>
      <c r="J254" s="233"/>
    </row>
    <row r="255" spans="1:10">
      <c r="A255" s="171">
        <v>465</v>
      </c>
      <c r="B255" s="172" t="s">
        <v>1915</v>
      </c>
      <c r="C255" s="172" t="s">
        <v>1572</v>
      </c>
      <c r="D255" s="176">
        <v>56.73</v>
      </c>
      <c r="F255" s="171">
        <v>537</v>
      </c>
      <c r="G255" s="172" t="s">
        <v>2028</v>
      </c>
      <c r="H255" s="172" t="s">
        <v>1741</v>
      </c>
      <c r="I255" s="176">
        <v>20.25</v>
      </c>
      <c r="J255" s="233"/>
    </row>
    <row r="256" spans="1:10">
      <c r="A256" s="171">
        <v>466</v>
      </c>
      <c r="B256" s="172" t="s">
        <v>1571</v>
      </c>
      <c r="C256" s="172" t="s">
        <v>1572</v>
      </c>
      <c r="D256" s="176">
        <v>35.299999999999997</v>
      </c>
      <c r="F256" s="171">
        <v>538</v>
      </c>
      <c r="G256" s="172" t="s">
        <v>1932</v>
      </c>
      <c r="H256" s="172" t="s">
        <v>2036</v>
      </c>
      <c r="I256" s="176">
        <v>13.5</v>
      </c>
      <c r="J256" s="233"/>
    </row>
    <row r="257" spans="1:10">
      <c r="A257" s="171">
        <v>467</v>
      </c>
      <c r="B257" s="172" t="s">
        <v>2155</v>
      </c>
      <c r="C257" s="172" t="s">
        <v>2156</v>
      </c>
      <c r="D257" s="176">
        <v>46.83</v>
      </c>
      <c r="F257" s="171">
        <v>539</v>
      </c>
      <c r="G257" s="172" t="s">
        <v>1782</v>
      </c>
      <c r="H257" s="172" t="s">
        <v>1783</v>
      </c>
      <c r="I257" s="176">
        <v>25.5</v>
      </c>
      <c r="J257" s="233"/>
    </row>
    <row r="258" spans="1:10">
      <c r="A258" s="171">
        <v>468</v>
      </c>
      <c r="B258" s="172" t="s">
        <v>1906</v>
      </c>
      <c r="C258" s="172" t="s">
        <v>1907</v>
      </c>
      <c r="D258" s="176">
        <v>47</v>
      </c>
      <c r="F258" s="171">
        <v>540</v>
      </c>
      <c r="G258" s="172" t="s">
        <v>1775</v>
      </c>
      <c r="H258" s="172" t="s">
        <v>1776</v>
      </c>
      <c r="I258" s="176">
        <v>40</v>
      </c>
      <c r="J258" s="233"/>
    </row>
    <row r="259" spans="1:10">
      <c r="A259" s="171">
        <v>469</v>
      </c>
      <c r="B259" s="172" t="s">
        <v>1902</v>
      </c>
      <c r="C259" s="172" t="s">
        <v>1552</v>
      </c>
      <c r="D259" s="176">
        <v>42</v>
      </c>
      <c r="F259" s="171">
        <v>541</v>
      </c>
      <c r="G259" s="172" t="s">
        <v>2047</v>
      </c>
      <c r="H259" s="172" t="s">
        <v>1631</v>
      </c>
      <c r="I259" s="176">
        <v>58</v>
      </c>
      <c r="J259" s="233"/>
    </row>
    <row r="260" spans="1:10">
      <c r="A260" s="171">
        <v>470</v>
      </c>
      <c r="B260" s="172" t="s">
        <v>1902</v>
      </c>
      <c r="C260" s="172" t="s">
        <v>2102</v>
      </c>
      <c r="D260" s="176">
        <v>46.17</v>
      </c>
      <c r="F260" s="171">
        <v>542</v>
      </c>
      <c r="G260" s="172" t="s">
        <v>1769</v>
      </c>
      <c r="H260" s="172" t="s">
        <v>1570</v>
      </c>
      <c r="I260" s="176">
        <v>43.1</v>
      </c>
      <c r="J260" s="233"/>
    </row>
    <row r="261" spans="1:10">
      <c r="A261" s="171">
        <v>471</v>
      </c>
      <c r="B261" s="172" t="s">
        <v>2099</v>
      </c>
      <c r="C261" s="172" t="s">
        <v>1637</v>
      </c>
      <c r="D261" s="176">
        <v>45</v>
      </c>
      <c r="F261" s="171">
        <v>543</v>
      </c>
      <c r="G261" s="172" t="s">
        <v>1839</v>
      </c>
      <c r="H261" s="172" t="s">
        <v>1840</v>
      </c>
      <c r="I261" s="176">
        <v>62.81</v>
      </c>
      <c r="J261" s="233"/>
    </row>
    <row r="262" spans="1:10">
      <c r="A262" s="171">
        <v>472</v>
      </c>
      <c r="B262" s="172" t="s">
        <v>2120</v>
      </c>
      <c r="C262" s="172" t="s">
        <v>2097</v>
      </c>
      <c r="D262" s="176">
        <v>44.04</v>
      </c>
      <c r="F262" s="171">
        <v>544</v>
      </c>
      <c r="G262" s="172" t="s">
        <v>2082</v>
      </c>
      <c r="H262" s="172" t="s">
        <v>2083</v>
      </c>
      <c r="I262" s="176">
        <v>66.09</v>
      </c>
      <c r="J262" s="233"/>
    </row>
    <row r="263" spans="1:10">
      <c r="A263" s="171">
        <v>473</v>
      </c>
      <c r="B263" s="172" t="s">
        <v>2027</v>
      </c>
      <c r="C263" s="172" t="s">
        <v>1985</v>
      </c>
      <c r="D263" s="176">
        <v>40</v>
      </c>
      <c r="F263" s="171">
        <v>545</v>
      </c>
      <c r="G263" s="172" t="s">
        <v>1969</v>
      </c>
      <c r="H263" s="172" t="s">
        <v>1568</v>
      </c>
      <c r="I263" s="176">
        <v>35.979999999999997</v>
      </c>
      <c r="J263" s="233"/>
    </row>
    <row r="264" spans="1:10">
      <c r="A264" s="171">
        <v>474</v>
      </c>
      <c r="B264" s="172" t="s">
        <v>1963</v>
      </c>
      <c r="C264" s="172" t="s">
        <v>1620</v>
      </c>
      <c r="D264" s="176">
        <v>60.33</v>
      </c>
      <c r="F264" s="171">
        <v>546</v>
      </c>
      <c r="G264" s="172" t="s">
        <v>1969</v>
      </c>
      <c r="H264" s="172" t="s">
        <v>1568</v>
      </c>
      <c r="I264" s="176">
        <v>70</v>
      </c>
      <c r="J264" s="233"/>
    </row>
    <row r="265" spans="1:10">
      <c r="A265" s="171">
        <v>475</v>
      </c>
      <c r="B265" s="172" t="s">
        <v>2071</v>
      </c>
      <c r="C265" s="172" t="s">
        <v>1568</v>
      </c>
      <c r="D265" s="176">
        <v>32.5</v>
      </c>
      <c r="F265" s="171">
        <v>547</v>
      </c>
      <c r="G265" s="172" t="s">
        <v>2165</v>
      </c>
      <c r="H265" s="172" t="s">
        <v>2166</v>
      </c>
      <c r="I265" s="176">
        <v>52.33</v>
      </c>
      <c r="J265" s="233"/>
    </row>
    <row r="266" spans="1:10">
      <c r="A266" s="171">
        <v>476</v>
      </c>
      <c r="B266" s="172" t="s">
        <v>1878</v>
      </c>
      <c r="C266" s="172" t="s">
        <v>1701</v>
      </c>
      <c r="D266" s="176">
        <v>29.8</v>
      </c>
      <c r="F266" s="171">
        <v>548</v>
      </c>
      <c r="G266" s="172" t="s">
        <v>2394</v>
      </c>
      <c r="H266" s="172" t="s">
        <v>1717</v>
      </c>
      <c r="I266" s="176">
        <v>44.93</v>
      </c>
      <c r="J266" s="233"/>
    </row>
    <row r="267" spans="1:10">
      <c r="A267" s="171">
        <v>477</v>
      </c>
      <c r="B267" s="172" t="s">
        <v>1878</v>
      </c>
      <c r="C267" s="172" t="s">
        <v>1701</v>
      </c>
      <c r="D267" s="176">
        <v>40</v>
      </c>
      <c r="F267" s="171">
        <v>549</v>
      </c>
      <c r="G267" s="172" t="s">
        <v>1795</v>
      </c>
      <c r="H267" s="172" t="s">
        <v>1796</v>
      </c>
      <c r="I267" s="176">
        <v>54.42</v>
      </c>
      <c r="J267" s="233"/>
    </row>
    <row r="268" spans="1:10">
      <c r="A268" s="171">
        <v>478</v>
      </c>
      <c r="B268" s="172" t="s">
        <v>1871</v>
      </c>
      <c r="C268" s="172" t="s">
        <v>1625</v>
      </c>
      <c r="D268" s="176">
        <v>49</v>
      </c>
      <c r="F268" s="171">
        <v>550</v>
      </c>
      <c r="G268" s="172" t="s">
        <v>1977</v>
      </c>
      <c r="H268" s="172" t="s">
        <v>1957</v>
      </c>
      <c r="I268" s="176">
        <v>24.28</v>
      </c>
      <c r="J268" s="233"/>
    </row>
    <row r="269" spans="1:10">
      <c r="A269" s="171">
        <v>479</v>
      </c>
      <c r="B269" s="172" t="s">
        <v>1871</v>
      </c>
      <c r="C269" s="172" t="s">
        <v>1653</v>
      </c>
      <c r="D269" s="176">
        <v>38.17</v>
      </c>
      <c r="F269" s="171">
        <v>551</v>
      </c>
      <c r="G269" s="172" t="s">
        <v>1977</v>
      </c>
      <c r="H269" s="172" t="s">
        <v>1985</v>
      </c>
      <c r="I269" s="176">
        <v>36.159999999999997</v>
      </c>
      <c r="J269" s="233"/>
    </row>
    <row r="270" spans="1:10">
      <c r="A270" s="171">
        <v>480</v>
      </c>
      <c r="B270" s="172" t="s">
        <v>1871</v>
      </c>
      <c r="C270" s="172" t="s">
        <v>1687</v>
      </c>
      <c r="D270" s="176">
        <v>46</v>
      </c>
      <c r="F270" s="171">
        <v>552</v>
      </c>
      <c r="G270" s="172" t="s">
        <v>1977</v>
      </c>
      <c r="H270" s="172" t="s">
        <v>1767</v>
      </c>
      <c r="I270" s="176">
        <v>40</v>
      </c>
      <c r="J270" s="233"/>
    </row>
    <row r="271" spans="1:10">
      <c r="A271" s="171">
        <v>481</v>
      </c>
      <c r="B271" s="172" t="s">
        <v>2129</v>
      </c>
      <c r="C271" s="172" t="s">
        <v>1725</v>
      </c>
      <c r="D271" s="176">
        <v>6</v>
      </c>
      <c r="F271" s="171">
        <v>553</v>
      </c>
      <c r="G271" s="172" t="s">
        <v>1801</v>
      </c>
      <c r="H271" s="172" t="s">
        <v>1802</v>
      </c>
      <c r="I271" s="176">
        <v>31.4</v>
      </c>
      <c r="J271" s="233"/>
    </row>
    <row r="272" spans="1:10">
      <c r="A272" s="171">
        <v>482</v>
      </c>
      <c r="B272" s="172" t="s">
        <v>1639</v>
      </c>
      <c r="C272" s="172" t="s">
        <v>1606</v>
      </c>
      <c r="D272" s="176">
        <v>28.8</v>
      </c>
      <c r="F272" s="171">
        <v>554</v>
      </c>
      <c r="G272" s="172" t="s">
        <v>1813</v>
      </c>
      <c r="H272" s="172" t="s">
        <v>1678</v>
      </c>
      <c r="I272" s="176">
        <v>42.83</v>
      </c>
      <c r="J272" s="233"/>
    </row>
    <row r="273" spans="1:10">
      <c r="A273" s="171">
        <v>483</v>
      </c>
      <c r="B273" s="172" t="s">
        <v>1995</v>
      </c>
      <c r="C273" s="172" t="s">
        <v>1996</v>
      </c>
      <c r="D273" s="176">
        <v>25.2</v>
      </c>
      <c r="F273" s="171">
        <v>555</v>
      </c>
      <c r="G273" s="172" t="s">
        <v>1813</v>
      </c>
      <c r="H273" s="172" t="s">
        <v>1549</v>
      </c>
      <c r="I273" s="176">
        <v>62.57</v>
      </c>
      <c r="J273" s="233"/>
    </row>
    <row r="274" spans="1:10">
      <c r="A274" s="171">
        <v>484</v>
      </c>
      <c r="B274" s="172" t="s">
        <v>2128</v>
      </c>
      <c r="C274" s="172" t="s">
        <v>2039</v>
      </c>
      <c r="D274" s="176">
        <v>50.8</v>
      </c>
      <c r="F274" s="171">
        <v>556</v>
      </c>
      <c r="G274" s="172" t="s">
        <v>1980</v>
      </c>
      <c r="H274" s="172" t="s">
        <v>1981</v>
      </c>
      <c r="I274" s="176">
        <v>47</v>
      </c>
      <c r="J274" s="233"/>
    </row>
    <row r="275" spans="1:10">
      <c r="A275" s="171">
        <v>485</v>
      </c>
      <c r="B275" s="172" t="s">
        <v>1961</v>
      </c>
      <c r="C275" s="172" t="s">
        <v>1962</v>
      </c>
      <c r="D275" s="176">
        <v>40.53</v>
      </c>
      <c r="F275" s="171">
        <v>557</v>
      </c>
      <c r="G275" s="172" t="s">
        <v>1980</v>
      </c>
      <c r="H275" s="172" t="s">
        <v>1981</v>
      </c>
      <c r="I275" s="176">
        <v>40</v>
      </c>
      <c r="J275" s="233"/>
    </row>
    <row r="276" spans="1:10">
      <c r="A276" s="171">
        <v>486</v>
      </c>
      <c r="B276" s="172" t="s">
        <v>1880</v>
      </c>
      <c r="C276" s="172" t="s">
        <v>1653</v>
      </c>
      <c r="D276" s="176">
        <v>47.7</v>
      </c>
      <c r="F276" s="171">
        <v>558</v>
      </c>
      <c r="G276" s="172" t="s">
        <v>1921</v>
      </c>
      <c r="H276" s="172" t="s">
        <v>1922</v>
      </c>
      <c r="I276" s="176">
        <v>70</v>
      </c>
      <c r="J276" s="233"/>
    </row>
    <row r="277" spans="1:10">
      <c r="A277" s="171">
        <v>487</v>
      </c>
      <c r="B277" s="172" t="s">
        <v>1707</v>
      </c>
      <c r="C277" s="172" t="s">
        <v>1606</v>
      </c>
      <c r="D277" s="176">
        <v>42.47</v>
      </c>
      <c r="F277" s="171">
        <v>559</v>
      </c>
      <c r="G277" s="172" t="s">
        <v>2014</v>
      </c>
      <c r="H277" s="172" t="s">
        <v>1907</v>
      </c>
      <c r="I277" s="176">
        <v>35</v>
      </c>
      <c r="J277" s="233"/>
    </row>
    <row r="278" spans="1:10">
      <c r="A278" s="171">
        <v>488</v>
      </c>
      <c r="B278" s="172" t="s">
        <v>2032</v>
      </c>
      <c r="C278" s="172" t="s">
        <v>1676</v>
      </c>
      <c r="D278" s="176">
        <v>57.69</v>
      </c>
      <c r="F278" s="171">
        <v>560</v>
      </c>
      <c r="G278" s="172" t="s">
        <v>1729</v>
      </c>
      <c r="H278" s="172" t="s">
        <v>1703</v>
      </c>
      <c r="I278" s="176">
        <v>65.5</v>
      </c>
      <c r="J278" s="233"/>
    </row>
    <row r="279" spans="1:10">
      <c r="A279" s="171">
        <v>489</v>
      </c>
      <c r="B279" s="172" t="s">
        <v>1958</v>
      </c>
      <c r="C279" s="172" t="s">
        <v>1959</v>
      </c>
      <c r="D279" s="176">
        <v>55.4</v>
      </c>
      <c r="F279" s="171">
        <v>561</v>
      </c>
      <c r="G279" s="172" t="s">
        <v>2055</v>
      </c>
      <c r="H279" s="172" t="s">
        <v>1633</v>
      </c>
      <c r="I279" s="176">
        <v>67.52</v>
      </c>
      <c r="J279" s="233"/>
    </row>
    <row r="280" spans="1:10">
      <c r="A280" s="171">
        <v>490</v>
      </c>
      <c r="B280" s="172" t="s">
        <v>1900</v>
      </c>
      <c r="C280" s="172" t="s">
        <v>1653</v>
      </c>
      <c r="D280" s="176">
        <v>47</v>
      </c>
      <c r="F280" s="171">
        <v>562</v>
      </c>
      <c r="G280" s="172" t="s">
        <v>2057</v>
      </c>
      <c r="H280" s="172" t="s">
        <v>1566</v>
      </c>
      <c r="I280" s="176">
        <v>43.7</v>
      </c>
      <c r="J280" s="233"/>
    </row>
    <row r="281" spans="1:10">
      <c r="A281" s="171">
        <v>491</v>
      </c>
      <c r="B281" s="172" t="s">
        <v>1999</v>
      </c>
      <c r="C281" s="172" t="s">
        <v>2000</v>
      </c>
      <c r="D281" s="176">
        <v>63.83</v>
      </c>
      <c r="F281" s="171">
        <v>563</v>
      </c>
      <c r="G281" s="172" t="s">
        <v>2125</v>
      </c>
      <c r="H281" s="172" t="s">
        <v>2126</v>
      </c>
      <c r="I281" s="176">
        <v>50</v>
      </c>
      <c r="J281" s="233"/>
    </row>
    <row r="282" spans="1:10">
      <c r="A282" s="171">
        <v>492</v>
      </c>
      <c r="B282" s="172" t="s">
        <v>2012</v>
      </c>
      <c r="C282" s="172" t="s">
        <v>2013</v>
      </c>
      <c r="D282" s="176">
        <v>25.65</v>
      </c>
      <c r="F282" s="171">
        <v>564</v>
      </c>
      <c r="G282" s="172" t="s">
        <v>2395</v>
      </c>
      <c r="H282" s="172" t="s">
        <v>2396</v>
      </c>
      <c r="I282" s="176">
        <v>56.83</v>
      </c>
      <c r="J282" s="233"/>
    </row>
    <row r="283" spans="1:10">
      <c r="A283" s="171">
        <v>493</v>
      </c>
      <c r="B283" s="172" t="s">
        <v>2012</v>
      </c>
      <c r="C283" s="172" t="s">
        <v>1786</v>
      </c>
      <c r="D283" s="176">
        <v>30.04</v>
      </c>
      <c r="F283" s="171">
        <v>565</v>
      </c>
      <c r="G283" s="172" t="s">
        <v>2106</v>
      </c>
      <c r="H283" s="172" t="s">
        <v>2107</v>
      </c>
      <c r="I283" s="176">
        <v>33.6</v>
      </c>
      <c r="J283" s="233"/>
    </row>
    <row r="284" spans="1:10">
      <c r="A284" s="171">
        <v>494</v>
      </c>
      <c r="B284" s="172" t="s">
        <v>1597</v>
      </c>
      <c r="C284" s="172" t="s">
        <v>1590</v>
      </c>
      <c r="D284" s="176">
        <v>70</v>
      </c>
      <c r="F284" s="171">
        <v>566</v>
      </c>
      <c r="G284" s="172" t="s">
        <v>2062</v>
      </c>
      <c r="H284" s="172" t="s">
        <v>1595</v>
      </c>
      <c r="I284" s="176">
        <v>65.48</v>
      </c>
      <c r="J284" s="233"/>
    </row>
    <row r="285" spans="1:10">
      <c r="A285" s="171">
        <v>495</v>
      </c>
      <c r="B285" s="172" t="s">
        <v>2003</v>
      </c>
      <c r="C285" s="172" t="s">
        <v>1808</v>
      </c>
      <c r="D285" s="176">
        <v>60.89</v>
      </c>
      <c r="F285" s="171">
        <v>567</v>
      </c>
      <c r="G285" s="172" t="s">
        <v>1854</v>
      </c>
      <c r="H285" s="172" t="s">
        <v>1590</v>
      </c>
      <c r="I285" s="176">
        <v>40</v>
      </c>
      <c r="J285" s="233"/>
    </row>
    <row r="286" spans="1:10">
      <c r="A286" s="171">
        <v>496</v>
      </c>
      <c r="B286" s="172" t="s">
        <v>1558</v>
      </c>
      <c r="C286" s="172" t="s">
        <v>1559</v>
      </c>
      <c r="D286" s="176">
        <v>31.02</v>
      </c>
      <c r="F286" s="171">
        <v>568</v>
      </c>
      <c r="G286" s="172" t="s">
        <v>1671</v>
      </c>
      <c r="H286" s="172" t="s">
        <v>1672</v>
      </c>
      <c r="I286" s="176">
        <v>40</v>
      </c>
      <c r="J286" s="233"/>
    </row>
    <row r="287" spans="1:10">
      <c r="A287" s="171">
        <v>497</v>
      </c>
      <c r="B287" s="172" t="s">
        <v>1842</v>
      </c>
      <c r="C287" s="172" t="s">
        <v>1843</v>
      </c>
      <c r="D287" s="176">
        <v>36</v>
      </c>
      <c r="F287" s="171">
        <v>569</v>
      </c>
      <c r="G287" s="172" t="s">
        <v>1621</v>
      </c>
      <c r="H287" s="172" t="s">
        <v>1557</v>
      </c>
      <c r="I287" s="176">
        <v>40</v>
      </c>
      <c r="J287" s="233"/>
    </row>
    <row r="288" spans="1:10">
      <c r="A288" s="171">
        <v>498</v>
      </c>
      <c r="B288" s="172" t="s">
        <v>1903</v>
      </c>
      <c r="C288" s="172" t="s">
        <v>1606</v>
      </c>
      <c r="D288" s="176">
        <v>53.7</v>
      </c>
      <c r="F288" s="171">
        <v>570</v>
      </c>
      <c r="G288" s="172" t="s">
        <v>2134</v>
      </c>
      <c r="H288" s="172" t="s">
        <v>1900</v>
      </c>
      <c r="I288" s="176">
        <v>35</v>
      </c>
      <c r="J288" s="233"/>
    </row>
    <row r="289" spans="1:10">
      <c r="A289" s="171">
        <v>499</v>
      </c>
      <c r="B289" s="172" t="s">
        <v>2145</v>
      </c>
      <c r="C289" s="172" t="s">
        <v>2146</v>
      </c>
      <c r="D289" s="176">
        <v>53.89</v>
      </c>
      <c r="F289" s="171">
        <v>571</v>
      </c>
      <c r="G289" s="172" t="s">
        <v>1889</v>
      </c>
      <c r="H289" s="172" t="s">
        <v>1559</v>
      </c>
      <c r="I289" s="176">
        <v>30.9</v>
      </c>
      <c r="J289" s="233"/>
    </row>
    <row r="290" spans="1:10">
      <c r="A290" s="171">
        <v>572</v>
      </c>
      <c r="B290" s="172" t="s">
        <v>1889</v>
      </c>
      <c r="C290" s="172" t="s">
        <v>1584</v>
      </c>
      <c r="D290" s="176">
        <v>57.02</v>
      </c>
      <c r="J290" s="233"/>
    </row>
    <row r="291" spans="1:10">
      <c r="A291" s="171">
        <v>573</v>
      </c>
      <c r="B291" s="172" t="s">
        <v>1889</v>
      </c>
      <c r="C291" s="172" t="s">
        <v>1572</v>
      </c>
      <c r="D291" s="176">
        <v>62.5</v>
      </c>
      <c r="J291" s="233"/>
    </row>
    <row r="292" spans="1:10">
      <c r="A292" s="171">
        <v>574</v>
      </c>
      <c r="B292" s="172" t="s">
        <v>1889</v>
      </c>
      <c r="C292" s="172" t="s">
        <v>1590</v>
      </c>
      <c r="D292" s="176">
        <v>10.38</v>
      </c>
      <c r="J292" s="233"/>
    </row>
    <row r="293" spans="1:10">
      <c r="A293" s="171">
        <v>575</v>
      </c>
      <c r="B293" s="172" t="s">
        <v>1953</v>
      </c>
      <c r="C293" s="172" t="s">
        <v>1954</v>
      </c>
      <c r="D293" s="176">
        <v>42</v>
      </c>
      <c r="J293" s="233"/>
    </row>
    <row r="294" spans="1:10">
      <c r="A294" s="171">
        <v>576</v>
      </c>
      <c r="B294" s="172" t="s">
        <v>2025</v>
      </c>
      <c r="C294" s="172" t="s">
        <v>1570</v>
      </c>
      <c r="D294" s="176">
        <v>44.38</v>
      </c>
      <c r="J294" s="233"/>
    </row>
    <row r="295" spans="1:10">
      <c r="A295" s="171">
        <v>577</v>
      </c>
      <c r="B295" s="172" t="s">
        <v>1737</v>
      </c>
      <c r="C295" s="172" t="s">
        <v>1555</v>
      </c>
      <c r="D295" s="176">
        <v>55</v>
      </c>
      <c r="J295" s="233"/>
    </row>
    <row r="296" spans="1:10">
      <c r="A296" s="171">
        <v>578</v>
      </c>
      <c r="B296" s="172" t="s">
        <v>1908</v>
      </c>
      <c r="C296" s="172" t="s">
        <v>1781</v>
      </c>
      <c r="D296" s="176">
        <v>63</v>
      </c>
      <c r="J296" s="233"/>
    </row>
    <row r="297" spans="1:10">
      <c r="A297" s="171">
        <v>579</v>
      </c>
      <c r="B297" s="172" t="s">
        <v>1817</v>
      </c>
      <c r="C297" s="172" t="s">
        <v>1818</v>
      </c>
      <c r="D297" s="176">
        <v>32.65</v>
      </c>
      <c r="J297" s="233"/>
    </row>
    <row r="298" spans="1:10">
      <c r="A298" s="171">
        <v>580</v>
      </c>
      <c r="B298" s="172" t="s">
        <v>1810</v>
      </c>
      <c r="C298" s="172" t="s">
        <v>1570</v>
      </c>
      <c r="D298" s="176">
        <v>32</v>
      </c>
      <c r="J298" s="233"/>
    </row>
    <row r="299" spans="1:10">
      <c r="A299" s="171">
        <v>581</v>
      </c>
      <c r="B299" s="172" t="s">
        <v>1810</v>
      </c>
      <c r="C299" s="172" t="s">
        <v>1724</v>
      </c>
      <c r="D299" s="176">
        <v>65</v>
      </c>
      <c r="J299" s="233"/>
    </row>
    <row r="300" spans="1:10">
      <c r="A300" s="171">
        <v>582</v>
      </c>
      <c r="B300" s="172" t="s">
        <v>1810</v>
      </c>
      <c r="C300" s="172" t="s">
        <v>1570</v>
      </c>
      <c r="D300" s="176">
        <v>33</v>
      </c>
      <c r="J300" s="233"/>
    </row>
    <row r="301" spans="1:10">
      <c r="A301" s="171">
        <v>583</v>
      </c>
      <c r="B301" s="172" t="s">
        <v>1647</v>
      </c>
      <c r="C301" s="172" t="s">
        <v>1572</v>
      </c>
      <c r="D301" s="176">
        <v>68.86</v>
      </c>
      <c r="J301" s="233"/>
    </row>
    <row r="302" spans="1:10">
      <c r="A302" s="171">
        <v>584</v>
      </c>
      <c r="B302" s="172" t="s">
        <v>1662</v>
      </c>
      <c r="C302" s="172" t="s">
        <v>1663</v>
      </c>
      <c r="D302" s="176">
        <v>30</v>
      </c>
      <c r="J302" s="233"/>
    </row>
    <row r="303" spans="1:10">
      <c r="A303" s="171">
        <v>585</v>
      </c>
      <c r="B303" s="172" t="s">
        <v>1828</v>
      </c>
      <c r="C303" s="172" t="s">
        <v>1808</v>
      </c>
      <c r="D303" s="176">
        <v>21.3</v>
      </c>
      <c r="J303" s="233"/>
    </row>
    <row r="304" spans="1:10">
      <c r="A304" s="171">
        <v>586</v>
      </c>
      <c r="B304" s="172" t="s">
        <v>1680</v>
      </c>
      <c r="C304" s="172" t="s">
        <v>1681</v>
      </c>
      <c r="D304" s="176">
        <v>44</v>
      </c>
      <c r="J304" s="233"/>
    </row>
    <row r="305" spans="1:10">
      <c r="A305" s="171">
        <v>587</v>
      </c>
      <c r="B305" s="172" t="s">
        <v>1641</v>
      </c>
      <c r="C305" s="172" t="s">
        <v>1642</v>
      </c>
      <c r="D305" s="176">
        <v>27</v>
      </c>
      <c r="J305" s="233"/>
    </row>
    <row r="306" spans="1:10">
      <c r="A306" s="171">
        <v>588</v>
      </c>
      <c r="B306" s="172" t="s">
        <v>1552</v>
      </c>
      <c r="C306" s="172" t="s">
        <v>1985</v>
      </c>
      <c r="D306" s="176">
        <v>40.67</v>
      </c>
      <c r="J306" s="233"/>
    </row>
    <row r="307" spans="1:10">
      <c r="A307" s="171">
        <v>589</v>
      </c>
      <c r="B307" s="172" t="s">
        <v>1768</v>
      </c>
      <c r="C307" s="172" t="s">
        <v>1572</v>
      </c>
      <c r="D307" s="176">
        <v>27</v>
      </c>
      <c r="J307" s="233"/>
    </row>
    <row r="308" spans="1:10">
      <c r="A308" s="171">
        <v>590</v>
      </c>
      <c r="B308" s="172" t="s">
        <v>1852</v>
      </c>
      <c r="C308" s="172" t="s">
        <v>1572</v>
      </c>
      <c r="D308" s="176">
        <v>40</v>
      </c>
      <c r="J308" s="233"/>
    </row>
    <row r="309" spans="1:10">
      <c r="A309" s="171">
        <v>591</v>
      </c>
      <c r="B309" s="172" t="s">
        <v>1852</v>
      </c>
      <c r="C309" s="172" t="s">
        <v>1615</v>
      </c>
      <c r="D309" s="176">
        <v>55.24</v>
      </c>
      <c r="J309" s="233"/>
    </row>
    <row r="310" spans="1:10">
      <c r="A310" s="171">
        <v>592</v>
      </c>
      <c r="B310" s="172" t="s">
        <v>1852</v>
      </c>
      <c r="C310" s="172" t="s">
        <v>1676</v>
      </c>
      <c r="D310" s="176">
        <v>44.04</v>
      </c>
      <c r="J310" s="233"/>
    </row>
    <row r="311" spans="1:10">
      <c r="A311" s="171">
        <v>593</v>
      </c>
      <c r="B311" s="172" t="s">
        <v>2397</v>
      </c>
      <c r="C311" s="172" t="s">
        <v>2398</v>
      </c>
      <c r="D311" s="176">
        <v>31.58</v>
      </c>
      <c r="J311" s="233"/>
    </row>
    <row r="312" spans="1:10">
      <c r="A312" s="171">
        <v>594</v>
      </c>
      <c r="B312" s="172" t="s">
        <v>1565</v>
      </c>
      <c r="C312" s="172" t="s">
        <v>1566</v>
      </c>
      <c r="D312" s="176">
        <v>43.82</v>
      </c>
      <c r="J312" s="233"/>
    </row>
    <row r="313" spans="1:10">
      <c r="A313" s="171">
        <v>595</v>
      </c>
      <c r="B313" s="172" t="s">
        <v>1565</v>
      </c>
      <c r="C313" s="172" t="s">
        <v>1604</v>
      </c>
      <c r="D313" s="176">
        <v>45</v>
      </c>
      <c r="J313" s="233"/>
    </row>
    <row r="314" spans="1:10">
      <c r="A314" s="171">
        <v>596</v>
      </c>
      <c r="B314" s="172" t="s">
        <v>1565</v>
      </c>
      <c r="C314" s="172" t="s">
        <v>1704</v>
      </c>
      <c r="D314" s="176">
        <v>46.67</v>
      </c>
      <c r="J314" s="233"/>
    </row>
    <row r="315" spans="1:10">
      <c r="A315" s="171">
        <v>597</v>
      </c>
      <c r="B315" s="172" t="s">
        <v>1565</v>
      </c>
      <c r="C315" s="172" t="s">
        <v>1924</v>
      </c>
      <c r="D315" s="176">
        <v>40</v>
      </c>
      <c r="J315" s="233"/>
    </row>
    <row r="316" spans="1:10">
      <c r="A316" s="171">
        <v>598</v>
      </c>
      <c r="B316" s="172" t="s">
        <v>1565</v>
      </c>
      <c r="C316" s="172" t="s">
        <v>1704</v>
      </c>
      <c r="D316" s="176">
        <v>29.94</v>
      </c>
      <c r="J316" s="233"/>
    </row>
    <row r="317" spans="1:10">
      <c r="A317" s="171">
        <v>599</v>
      </c>
      <c r="B317" s="172" t="s">
        <v>1972</v>
      </c>
      <c r="C317" s="172" t="s">
        <v>1584</v>
      </c>
      <c r="D317" s="176">
        <v>63.78</v>
      </c>
      <c r="J317" s="233"/>
    </row>
    <row r="318" spans="1:10">
      <c r="A318" s="171">
        <v>600</v>
      </c>
      <c r="B318" s="172" t="s">
        <v>1820</v>
      </c>
      <c r="C318" s="172" t="s">
        <v>1821</v>
      </c>
      <c r="D318" s="176">
        <v>36.299999999999997</v>
      </c>
      <c r="J318" s="233"/>
    </row>
    <row r="319" spans="1:10">
      <c r="A319" s="171">
        <v>601</v>
      </c>
      <c r="B319" s="172" t="s">
        <v>1943</v>
      </c>
      <c r="C319" s="172" t="s">
        <v>1611</v>
      </c>
      <c r="D319" s="176">
        <v>70</v>
      </c>
      <c r="J319" s="233"/>
    </row>
    <row r="320" spans="1:10">
      <c r="A320" s="171">
        <v>602</v>
      </c>
      <c r="B320" s="172" t="s">
        <v>1943</v>
      </c>
      <c r="C320" s="172" t="s">
        <v>2066</v>
      </c>
      <c r="D320" s="176">
        <v>70</v>
      </c>
      <c r="J320" s="233"/>
    </row>
    <row r="321" spans="1:10">
      <c r="A321" s="171">
        <v>603</v>
      </c>
      <c r="B321" s="172" t="s">
        <v>1654</v>
      </c>
      <c r="C321" s="172" t="s">
        <v>1572</v>
      </c>
      <c r="D321" s="176">
        <v>30.3</v>
      </c>
      <c r="J321" s="233"/>
    </row>
    <row r="322" spans="1:10">
      <c r="A322" s="171">
        <v>604</v>
      </c>
      <c r="B322" s="172" t="s">
        <v>1654</v>
      </c>
      <c r="C322" s="172" t="s">
        <v>2399</v>
      </c>
      <c r="D322" s="176">
        <v>70</v>
      </c>
      <c r="J322" s="233"/>
    </row>
    <row r="323" spans="1:10">
      <c r="A323" s="171">
        <v>605</v>
      </c>
      <c r="B323" s="172" t="s">
        <v>1654</v>
      </c>
      <c r="C323" s="172" t="s">
        <v>1655</v>
      </c>
      <c r="D323" s="176">
        <v>40</v>
      </c>
      <c r="J323" s="233"/>
    </row>
    <row r="324" spans="1:10">
      <c r="A324" s="171">
        <v>606</v>
      </c>
      <c r="B324" s="172" t="s">
        <v>2160</v>
      </c>
      <c r="C324" s="172" t="s">
        <v>2161</v>
      </c>
      <c r="D324" s="176">
        <v>35</v>
      </c>
      <c r="J324" s="233"/>
    </row>
    <row r="325" spans="1:10">
      <c r="A325" s="171">
        <v>607</v>
      </c>
      <c r="B325" s="172" t="s">
        <v>1929</v>
      </c>
      <c r="C325" s="172" t="s">
        <v>1930</v>
      </c>
      <c r="D325" s="176">
        <v>41.7</v>
      </c>
      <c r="J325" s="233"/>
    </row>
    <row r="326" spans="1:10">
      <c r="A326" s="171">
        <v>608</v>
      </c>
      <c r="B326" s="172" t="s">
        <v>1756</v>
      </c>
      <c r="C326" s="172" t="s">
        <v>1757</v>
      </c>
      <c r="D326" s="176">
        <v>45.99</v>
      </c>
      <c r="J326" s="233"/>
    </row>
    <row r="327" spans="1:10">
      <c r="A327" s="171">
        <v>609</v>
      </c>
      <c r="B327" s="172" t="s">
        <v>1990</v>
      </c>
      <c r="C327" s="172" t="s">
        <v>1678</v>
      </c>
      <c r="D327" s="176">
        <v>7</v>
      </c>
      <c r="J327" s="233"/>
    </row>
    <row r="328" spans="1:10">
      <c r="A328" s="171">
        <v>610</v>
      </c>
      <c r="B328" s="172" t="s">
        <v>1990</v>
      </c>
      <c r="C328" s="172" t="s">
        <v>1678</v>
      </c>
      <c r="D328" s="176">
        <v>32.4</v>
      </c>
      <c r="J328" s="233"/>
    </row>
    <row r="329" spans="1:10">
      <c r="A329" s="171">
        <v>611</v>
      </c>
      <c r="B329" s="172" t="s">
        <v>1990</v>
      </c>
      <c r="C329" s="172" t="s">
        <v>1584</v>
      </c>
      <c r="D329" s="176">
        <v>21.85</v>
      </c>
      <c r="J329" s="233"/>
    </row>
    <row r="330" spans="1:10">
      <c r="A330" s="171">
        <v>612</v>
      </c>
      <c r="B330" s="172" t="s">
        <v>1702</v>
      </c>
      <c r="C330" s="172" t="s">
        <v>1703</v>
      </c>
      <c r="D330" s="176">
        <v>21.7</v>
      </c>
      <c r="J330" s="233"/>
    </row>
    <row r="331" spans="1:10">
      <c r="A331" s="171">
        <v>613</v>
      </c>
      <c r="B331" s="172" t="s">
        <v>1702</v>
      </c>
      <c r="C331" s="172" t="s">
        <v>1676</v>
      </c>
      <c r="D331" s="176">
        <v>43.71</v>
      </c>
      <c r="J331" s="233"/>
    </row>
    <row r="332" spans="1:10">
      <c r="A332" s="171">
        <v>614</v>
      </c>
      <c r="B332" s="172" t="s">
        <v>1702</v>
      </c>
      <c r="C332" s="172" t="s">
        <v>1568</v>
      </c>
      <c r="D332" s="176">
        <v>24.7</v>
      </c>
      <c r="J332" s="233"/>
    </row>
    <row r="333" spans="1:10">
      <c r="A333" s="171">
        <v>615</v>
      </c>
      <c r="B333" s="172" t="s">
        <v>1702</v>
      </c>
      <c r="C333" s="172" t="s">
        <v>1568</v>
      </c>
      <c r="D333" s="176">
        <v>40</v>
      </c>
      <c r="J333" s="233"/>
    </row>
    <row r="334" spans="1:10">
      <c r="A334" s="171">
        <v>616</v>
      </c>
      <c r="B334" s="172" t="s">
        <v>1660</v>
      </c>
      <c r="C334" s="172" t="s">
        <v>1661</v>
      </c>
      <c r="D334" s="176">
        <v>21</v>
      </c>
      <c r="J334" s="233"/>
    </row>
    <row r="335" spans="1:10">
      <c r="A335" s="171">
        <v>617</v>
      </c>
      <c r="B335" s="172" t="s">
        <v>2175</v>
      </c>
      <c r="C335" s="172" t="s">
        <v>2176</v>
      </c>
      <c r="D335" s="176">
        <v>40</v>
      </c>
      <c r="J335" s="233"/>
    </row>
    <row r="336" spans="1:10">
      <c r="A336" s="171">
        <v>618</v>
      </c>
      <c r="B336" s="172" t="s">
        <v>2400</v>
      </c>
      <c r="C336" s="172" t="s">
        <v>1745</v>
      </c>
      <c r="D336" s="176">
        <v>70</v>
      </c>
      <c r="J336" s="233"/>
    </row>
    <row r="337" spans="1:10">
      <c r="A337" s="171">
        <v>619</v>
      </c>
      <c r="B337" s="172" t="s">
        <v>1550</v>
      </c>
      <c r="C337" s="172" t="s">
        <v>1551</v>
      </c>
      <c r="D337" s="176">
        <v>65</v>
      </c>
      <c r="J337" s="233"/>
    </row>
    <row r="338" spans="1:10">
      <c r="A338" s="171">
        <v>620</v>
      </c>
      <c r="B338" s="172" t="s">
        <v>1550</v>
      </c>
      <c r="C338" s="172" t="s">
        <v>1552</v>
      </c>
      <c r="D338" s="176">
        <v>14.27</v>
      </c>
      <c r="J338" s="233"/>
    </row>
    <row r="339" spans="1:10">
      <c r="A339" s="171">
        <v>621</v>
      </c>
      <c r="B339" s="172" t="s">
        <v>1550</v>
      </c>
      <c r="C339" s="172" t="s">
        <v>1557</v>
      </c>
      <c r="D339" s="176">
        <v>63.8</v>
      </c>
      <c r="J339" s="233"/>
    </row>
    <row r="340" spans="1:10">
      <c r="A340" s="171">
        <v>622</v>
      </c>
      <c r="B340" s="172" t="s">
        <v>1550</v>
      </c>
      <c r="C340" s="172" t="s">
        <v>1846</v>
      </c>
      <c r="D340" s="176">
        <v>61.25</v>
      </c>
      <c r="J340" s="233"/>
    </row>
    <row r="341" spans="1:10">
      <c r="A341" s="171">
        <v>623</v>
      </c>
      <c r="B341" s="172" t="s">
        <v>1550</v>
      </c>
      <c r="C341" s="172" t="s">
        <v>1606</v>
      </c>
      <c r="D341" s="176">
        <v>46.6</v>
      </c>
      <c r="J341" s="233"/>
    </row>
    <row r="342" spans="1:10">
      <c r="A342" s="171">
        <v>624</v>
      </c>
      <c r="B342" s="172" t="s">
        <v>1872</v>
      </c>
      <c r="C342" s="172" t="s">
        <v>1554</v>
      </c>
      <c r="D342" s="176">
        <v>70</v>
      </c>
      <c r="J342" s="233"/>
    </row>
    <row r="343" spans="1:10">
      <c r="A343" s="171">
        <v>625</v>
      </c>
      <c r="B343" s="172" t="s">
        <v>1872</v>
      </c>
      <c r="C343" s="172" t="s">
        <v>1859</v>
      </c>
      <c r="D343" s="176">
        <v>59.5</v>
      </c>
      <c r="J343" s="233"/>
    </row>
    <row r="344" spans="1:10">
      <c r="A344" s="171">
        <v>626</v>
      </c>
      <c r="B344" s="172" t="s">
        <v>1872</v>
      </c>
      <c r="C344" s="172" t="s">
        <v>2050</v>
      </c>
      <c r="D344" s="176">
        <v>46</v>
      </c>
      <c r="J344" s="233"/>
    </row>
    <row r="345" spans="1:10">
      <c r="A345" s="171">
        <v>627</v>
      </c>
      <c r="B345" s="172" t="s">
        <v>1872</v>
      </c>
      <c r="C345" s="172" t="s">
        <v>1595</v>
      </c>
      <c r="D345" s="176">
        <v>40</v>
      </c>
      <c r="J345" s="233"/>
    </row>
    <row r="346" spans="1:10">
      <c r="A346" s="171">
        <v>628</v>
      </c>
      <c r="B346" s="172" t="s">
        <v>1912</v>
      </c>
      <c r="C346" s="172" t="s">
        <v>1913</v>
      </c>
      <c r="D346" s="176">
        <v>65.209999999999994</v>
      </c>
      <c r="J346" s="233"/>
    </row>
    <row r="347" spans="1:10">
      <c r="A347" s="171">
        <v>629</v>
      </c>
      <c r="B347" s="172" t="s">
        <v>1688</v>
      </c>
      <c r="C347" s="172" t="s">
        <v>1615</v>
      </c>
      <c r="D347" s="176">
        <v>60.1</v>
      </c>
      <c r="J347" s="233"/>
    </row>
    <row r="348" spans="1:10">
      <c r="A348" s="171">
        <v>630</v>
      </c>
      <c r="B348" s="172" t="s">
        <v>1688</v>
      </c>
      <c r="C348" s="172" t="s">
        <v>1894</v>
      </c>
      <c r="D348" s="176">
        <v>40.67</v>
      </c>
      <c r="J348" s="233"/>
    </row>
    <row r="349" spans="1:10" ht="15" thickBot="1">
      <c r="A349" s="173">
        <v>631</v>
      </c>
      <c r="B349" s="174" t="s">
        <v>1688</v>
      </c>
      <c r="C349" s="174" t="s">
        <v>1676</v>
      </c>
      <c r="D349" s="177">
        <v>44</v>
      </c>
      <c r="J349" s="233"/>
    </row>
    <row r="350" spans="1:10" ht="15">
      <c r="A350" s="259"/>
      <c r="B350" s="259" t="s">
        <v>2181</v>
      </c>
      <c r="C350" s="259"/>
      <c r="D350" s="260">
        <f>SUM(D4:D349)/100</f>
        <v>157.56589999999994</v>
      </c>
    </row>
    <row r="351" spans="1:10" ht="15">
      <c r="A351" s="89"/>
      <c r="B351" s="89" t="s">
        <v>2182</v>
      </c>
      <c r="C351" s="89"/>
      <c r="D351" s="90">
        <f>COUNT(D4:D349)</f>
        <v>344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3" firstPageNumber="78" orientation="portrait" useFirstPageNumber="1" r:id="rId1"/>
  <headerFooter>
    <oddFooter>&amp;L&amp;P&amp;Cלאישור מועצת העיר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53"/>
  <sheetViews>
    <sheetView rightToLeft="1" zoomScaleNormal="100" workbookViewId="0">
      <selection sqref="A1:Q1"/>
    </sheetView>
  </sheetViews>
  <sheetFormatPr defaultColWidth="9" defaultRowHeight="15"/>
  <cols>
    <col min="1" max="1" width="4.375" style="184" customWidth="1"/>
    <col min="2" max="2" width="19.25" style="120" bestFit="1" customWidth="1"/>
    <col min="3" max="3" width="9.875" style="120" customWidth="1"/>
    <col min="4" max="4" width="13.375" style="120" hidden="1" customWidth="1"/>
    <col min="5" max="5" width="11" style="120" hidden="1" customWidth="1"/>
    <col min="6" max="6" width="16.375" style="120" customWidth="1"/>
    <col min="7" max="7" width="5.5" style="120" customWidth="1"/>
    <col min="8" max="8" width="12.5" style="120" bestFit="1" customWidth="1"/>
    <col min="9" max="9" width="10.875" style="120" bestFit="1" customWidth="1"/>
    <col min="10" max="10" width="12.125" style="120" customWidth="1"/>
    <col min="11" max="11" width="11.25" style="120" hidden="1" customWidth="1"/>
    <col min="12" max="12" width="10" style="120" hidden="1" customWidth="1"/>
    <col min="13" max="13" width="9.375" style="120" customWidth="1"/>
    <col min="14" max="14" width="7.375" style="120" customWidth="1"/>
    <col min="15" max="15" width="18.875" style="120" customWidth="1"/>
    <col min="16" max="17" width="14.25" style="104" customWidth="1"/>
    <col min="18" max="16384" width="9" style="104"/>
  </cols>
  <sheetData>
    <row r="1" spans="1:17" ht="27" customHeight="1">
      <c r="A1" s="1098" t="s">
        <v>2240</v>
      </c>
      <c r="B1" s="1098"/>
      <c r="C1" s="1098"/>
      <c r="D1" s="1098"/>
      <c r="E1" s="1098"/>
      <c r="F1" s="1098"/>
      <c r="G1" s="1098"/>
      <c r="H1" s="1098"/>
      <c r="I1" s="1098"/>
      <c r="J1" s="1098"/>
      <c r="K1" s="1098"/>
      <c r="L1" s="1098"/>
      <c r="M1" s="1098"/>
      <c r="N1" s="1098"/>
      <c r="O1" s="1098"/>
      <c r="P1" s="1098"/>
      <c r="Q1" s="1098"/>
    </row>
    <row r="2" spans="1:17">
      <c r="A2" s="120"/>
    </row>
    <row r="3" spans="1:17" ht="33.75" customHeight="1">
      <c r="A3" s="178" t="s">
        <v>967</v>
      </c>
      <c r="B3" s="178" t="s">
        <v>968</v>
      </c>
      <c r="C3" s="179" t="s">
        <v>2241</v>
      </c>
      <c r="D3" s="179" t="s">
        <v>969</v>
      </c>
      <c r="E3" s="179" t="s">
        <v>970</v>
      </c>
      <c r="F3" s="178" t="s">
        <v>971</v>
      </c>
      <c r="G3" s="178" t="s">
        <v>972</v>
      </c>
      <c r="H3" s="179" t="s">
        <v>973</v>
      </c>
      <c r="I3" s="179" t="s">
        <v>974</v>
      </c>
      <c r="J3" s="179" t="s">
        <v>975</v>
      </c>
      <c r="K3" s="178" t="s">
        <v>976</v>
      </c>
      <c r="L3" s="178" t="s">
        <v>977</v>
      </c>
      <c r="M3" s="179" t="s">
        <v>978</v>
      </c>
      <c r="N3" s="179" t="s">
        <v>979</v>
      </c>
      <c r="O3" s="179" t="s">
        <v>5</v>
      </c>
      <c r="P3" s="178" t="s">
        <v>2338</v>
      </c>
      <c r="Q3" s="178" t="s">
        <v>2339</v>
      </c>
    </row>
    <row r="4" spans="1:17" s="105" customFormat="1" ht="22.5" customHeight="1">
      <c r="A4" s="185"/>
      <c r="B4" s="186" t="s">
        <v>980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7"/>
      <c r="P4" s="187"/>
      <c r="Q4" s="187"/>
    </row>
    <row r="5" spans="1:17">
      <c r="A5" s="180" t="s">
        <v>981</v>
      </c>
      <c r="B5" s="106" t="s">
        <v>982</v>
      </c>
      <c r="C5" s="106" t="s">
        <v>983</v>
      </c>
      <c r="D5" s="106" t="s">
        <v>984</v>
      </c>
      <c r="E5" s="106" t="s">
        <v>985</v>
      </c>
      <c r="F5" s="106" t="s">
        <v>2242</v>
      </c>
      <c r="G5" s="107">
        <v>2019</v>
      </c>
      <c r="H5" s="106" t="s">
        <v>986</v>
      </c>
      <c r="I5" s="106" t="s">
        <v>987</v>
      </c>
      <c r="J5" s="106" t="s">
        <v>988</v>
      </c>
      <c r="K5" s="108">
        <v>43469</v>
      </c>
      <c r="L5" s="106" t="s">
        <v>988</v>
      </c>
      <c r="M5" s="108"/>
      <c r="N5" s="106" t="s">
        <v>989</v>
      </c>
      <c r="O5" s="106"/>
      <c r="P5" s="106" t="s">
        <v>2340</v>
      </c>
      <c r="Q5" s="106" t="s">
        <v>2341</v>
      </c>
    </row>
    <row r="6" spans="1:17">
      <c r="A6" s="181" t="s">
        <v>990</v>
      </c>
      <c r="B6" s="109" t="s">
        <v>991</v>
      </c>
      <c r="C6" s="109" t="s">
        <v>992</v>
      </c>
      <c r="D6" s="109" t="s">
        <v>993</v>
      </c>
      <c r="E6" s="109" t="s">
        <v>994</v>
      </c>
      <c r="F6" s="109" t="s">
        <v>995</v>
      </c>
      <c r="G6" s="110">
        <v>2020</v>
      </c>
      <c r="H6" s="109" t="s">
        <v>996</v>
      </c>
      <c r="I6" s="109" t="s">
        <v>997</v>
      </c>
      <c r="J6" s="109" t="s">
        <v>988</v>
      </c>
      <c r="K6" s="111">
        <v>43479</v>
      </c>
      <c r="L6" s="109" t="s">
        <v>988</v>
      </c>
      <c r="M6" s="111"/>
      <c r="N6" s="109" t="s">
        <v>989</v>
      </c>
      <c r="O6" s="109" t="s">
        <v>4</v>
      </c>
      <c r="P6" s="109" t="s">
        <v>2340</v>
      </c>
      <c r="Q6" s="109" t="s">
        <v>2342</v>
      </c>
    </row>
    <row r="7" spans="1:17">
      <c r="A7" s="181" t="s">
        <v>998</v>
      </c>
      <c r="B7" s="109" t="s">
        <v>999</v>
      </c>
      <c r="C7" s="109" t="s">
        <v>992</v>
      </c>
      <c r="D7" s="109"/>
      <c r="E7" s="109"/>
      <c r="F7" s="109" t="s">
        <v>1000</v>
      </c>
      <c r="G7" s="110">
        <v>2019</v>
      </c>
      <c r="H7" s="109" t="s">
        <v>1001</v>
      </c>
      <c r="I7" s="109" t="s">
        <v>1002</v>
      </c>
      <c r="J7" s="109" t="s">
        <v>988</v>
      </c>
      <c r="K7" s="111"/>
      <c r="L7" s="109"/>
      <c r="M7" s="111"/>
      <c r="N7" s="109" t="s">
        <v>989</v>
      </c>
      <c r="O7" s="109"/>
      <c r="P7" s="109" t="s">
        <v>2340</v>
      </c>
      <c r="Q7" s="109" t="s">
        <v>2341</v>
      </c>
    </row>
    <row r="8" spans="1:17" s="105" customFormat="1" ht="22.5" customHeight="1">
      <c r="A8" s="185"/>
      <c r="B8" s="186" t="s">
        <v>309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7"/>
      <c r="P8" s="187"/>
      <c r="Q8" s="187"/>
    </row>
    <row r="9" spans="1:17">
      <c r="A9" s="181" t="s">
        <v>1003</v>
      </c>
      <c r="B9" s="109" t="s">
        <v>1006</v>
      </c>
      <c r="C9" s="109" t="s">
        <v>1004</v>
      </c>
      <c r="D9" s="109" t="s">
        <v>1007</v>
      </c>
      <c r="E9" s="109" t="s">
        <v>309</v>
      </c>
      <c r="F9" s="109" t="s">
        <v>1531</v>
      </c>
      <c r="G9" s="110">
        <v>2020</v>
      </c>
      <c r="H9" s="109" t="s">
        <v>1008</v>
      </c>
      <c r="I9" s="109" t="s">
        <v>1009</v>
      </c>
      <c r="J9" s="109" t="s">
        <v>988</v>
      </c>
      <c r="K9" s="111">
        <v>43301</v>
      </c>
      <c r="L9" s="109" t="s">
        <v>988</v>
      </c>
      <c r="M9" s="111">
        <v>42947</v>
      </c>
      <c r="N9" s="109" t="s">
        <v>989</v>
      </c>
      <c r="O9" s="109"/>
      <c r="P9" s="109" t="s">
        <v>2343</v>
      </c>
      <c r="Q9" s="109" t="s">
        <v>2342</v>
      </c>
    </row>
    <row r="10" spans="1:17">
      <c r="A10" s="182"/>
      <c r="B10" s="188" t="s">
        <v>1010</v>
      </c>
      <c r="C10" s="112"/>
      <c r="D10" s="112"/>
      <c r="E10" s="112"/>
      <c r="F10" s="112"/>
      <c r="G10" s="113"/>
      <c r="H10" s="112"/>
      <c r="I10" s="112"/>
      <c r="J10" s="112"/>
      <c r="K10" s="114"/>
      <c r="L10" s="112"/>
      <c r="M10" s="114"/>
      <c r="N10" s="112"/>
      <c r="O10" s="112"/>
      <c r="P10" s="112"/>
      <c r="Q10" s="112"/>
    </row>
    <row r="11" spans="1:17">
      <c r="A11" s="181" t="s">
        <v>1005</v>
      </c>
      <c r="B11" s="109" t="s">
        <v>2243</v>
      </c>
      <c r="C11" s="109" t="s">
        <v>1012</v>
      </c>
      <c r="D11" s="109" t="s">
        <v>1013</v>
      </c>
      <c r="E11" s="109" t="s">
        <v>309</v>
      </c>
      <c r="F11" s="109" t="s">
        <v>339</v>
      </c>
      <c r="G11" s="110">
        <v>2021</v>
      </c>
      <c r="H11" s="109" t="s">
        <v>2244</v>
      </c>
      <c r="I11" s="109" t="s">
        <v>2245</v>
      </c>
      <c r="J11" s="109" t="s">
        <v>988</v>
      </c>
      <c r="K11" s="111">
        <v>43471</v>
      </c>
      <c r="L11" s="109" t="s">
        <v>988</v>
      </c>
      <c r="M11" s="111">
        <v>44479</v>
      </c>
      <c r="N11" s="109" t="s">
        <v>1015</v>
      </c>
      <c r="O11" s="109"/>
      <c r="P11" s="109" t="s">
        <v>2343</v>
      </c>
      <c r="Q11" s="109" t="s">
        <v>2344</v>
      </c>
    </row>
    <row r="12" spans="1:17">
      <c r="A12" s="182"/>
      <c r="B12" s="188" t="s">
        <v>1016</v>
      </c>
      <c r="C12" s="112"/>
      <c r="D12" s="112"/>
      <c r="E12" s="112"/>
      <c r="F12" s="112"/>
      <c r="G12" s="113"/>
      <c r="H12" s="112"/>
      <c r="I12" s="112"/>
      <c r="J12" s="112"/>
      <c r="K12" s="114"/>
      <c r="L12" s="112"/>
      <c r="M12" s="114"/>
      <c r="N12" s="112"/>
      <c r="O12" s="112"/>
      <c r="P12" s="112"/>
      <c r="Q12" s="112"/>
    </row>
    <row r="13" spans="1:17">
      <c r="A13" s="181" t="s">
        <v>1011</v>
      </c>
      <c r="B13" s="109" t="s">
        <v>1018</v>
      </c>
      <c r="C13" s="109" t="s">
        <v>1019</v>
      </c>
      <c r="D13" s="109" t="s">
        <v>1020</v>
      </c>
      <c r="E13" s="109" t="s">
        <v>309</v>
      </c>
      <c r="F13" s="109" t="s">
        <v>1021</v>
      </c>
      <c r="G13" s="110">
        <v>2018</v>
      </c>
      <c r="H13" s="109" t="s">
        <v>1022</v>
      </c>
      <c r="I13" s="109" t="s">
        <v>1023</v>
      </c>
      <c r="J13" s="109" t="s">
        <v>1024</v>
      </c>
      <c r="K13" s="111">
        <v>43704</v>
      </c>
      <c r="L13" s="109" t="s">
        <v>988</v>
      </c>
      <c r="M13" s="111">
        <v>43348</v>
      </c>
      <c r="N13" s="109" t="s">
        <v>1015</v>
      </c>
      <c r="O13" s="109" t="s">
        <v>2345</v>
      </c>
      <c r="P13" s="109" t="s">
        <v>2343</v>
      </c>
      <c r="Q13" s="109" t="s">
        <v>2346</v>
      </c>
    </row>
    <row r="14" spans="1:17" s="105" customFormat="1" ht="22.5" customHeight="1">
      <c r="A14" s="185"/>
      <c r="B14" s="186" t="s">
        <v>1029</v>
      </c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7"/>
      <c r="P14" s="187"/>
      <c r="Q14" s="187"/>
    </row>
    <row r="15" spans="1:17">
      <c r="A15" s="181" t="s">
        <v>1017</v>
      </c>
      <c r="B15" s="109" t="s">
        <v>1031</v>
      </c>
      <c r="C15" s="109" t="s">
        <v>1032</v>
      </c>
      <c r="D15" s="109" t="s">
        <v>1033</v>
      </c>
      <c r="E15" s="109" t="s">
        <v>1034</v>
      </c>
      <c r="F15" s="109" t="s">
        <v>2246</v>
      </c>
      <c r="G15" s="110">
        <v>2020</v>
      </c>
      <c r="H15" s="109" t="s">
        <v>1001</v>
      </c>
      <c r="I15" s="109" t="s">
        <v>1002</v>
      </c>
      <c r="J15" s="109" t="s">
        <v>988</v>
      </c>
      <c r="K15" s="111">
        <v>43497</v>
      </c>
      <c r="L15" s="109" t="s">
        <v>988</v>
      </c>
      <c r="M15" s="111"/>
      <c r="N15" s="109" t="s">
        <v>989</v>
      </c>
      <c r="O15" s="109"/>
      <c r="P15" s="109" t="s">
        <v>2340</v>
      </c>
      <c r="Q15" s="109" t="s">
        <v>2342</v>
      </c>
    </row>
    <row r="16" spans="1:17" s="105" customFormat="1" ht="22.5" customHeight="1">
      <c r="A16" s="185"/>
      <c r="B16" s="186" t="s">
        <v>1034</v>
      </c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7"/>
      <c r="P16" s="187"/>
      <c r="Q16" s="187"/>
    </row>
    <row r="17" spans="1:17">
      <c r="A17" s="181" t="s">
        <v>1025</v>
      </c>
      <c r="B17" s="109" t="s">
        <v>1036</v>
      </c>
      <c r="C17" s="109" t="s">
        <v>1037</v>
      </c>
      <c r="D17" s="109" t="s">
        <v>1033</v>
      </c>
      <c r="E17" s="109" t="s">
        <v>1034</v>
      </c>
      <c r="F17" s="109" t="s">
        <v>1033</v>
      </c>
      <c r="G17" s="110">
        <v>2019</v>
      </c>
      <c r="H17" s="109" t="s">
        <v>986</v>
      </c>
      <c r="I17" s="109" t="s">
        <v>1038</v>
      </c>
      <c r="J17" s="109" t="s">
        <v>988</v>
      </c>
      <c r="K17" s="111">
        <v>43497</v>
      </c>
      <c r="L17" s="109" t="s">
        <v>988</v>
      </c>
      <c r="M17" s="111"/>
      <c r="N17" s="109" t="s">
        <v>989</v>
      </c>
      <c r="O17" s="109"/>
      <c r="P17" s="109" t="s">
        <v>2343</v>
      </c>
      <c r="Q17" s="109" t="s">
        <v>2341</v>
      </c>
    </row>
    <row r="18" spans="1:17" s="105" customFormat="1" ht="22.5" customHeight="1">
      <c r="A18" s="185"/>
      <c r="B18" s="186" t="s">
        <v>1039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7"/>
      <c r="P18" s="187"/>
      <c r="Q18" s="187"/>
    </row>
    <row r="19" spans="1:17">
      <c r="A19" s="181" t="s">
        <v>1030</v>
      </c>
      <c r="B19" s="109" t="s">
        <v>1042</v>
      </c>
      <c r="C19" s="109">
        <v>1621000530</v>
      </c>
      <c r="D19" s="109" t="s">
        <v>1043</v>
      </c>
      <c r="E19" s="109" t="s">
        <v>985</v>
      </c>
      <c r="F19" s="109" t="s">
        <v>2347</v>
      </c>
      <c r="G19" s="110">
        <v>2019</v>
      </c>
      <c r="H19" s="109" t="s">
        <v>1001</v>
      </c>
      <c r="I19" s="109" t="s">
        <v>1002</v>
      </c>
      <c r="J19" s="109" t="s">
        <v>988</v>
      </c>
      <c r="K19" s="111"/>
      <c r="L19" s="109" t="s">
        <v>988</v>
      </c>
      <c r="M19" s="111"/>
      <c r="N19" s="109" t="s">
        <v>989</v>
      </c>
      <c r="O19" s="109"/>
      <c r="P19" s="109" t="s">
        <v>2343</v>
      </c>
      <c r="Q19" s="109" t="s">
        <v>2341</v>
      </c>
    </row>
    <row r="20" spans="1:17">
      <c r="A20" s="182"/>
      <c r="B20" s="188" t="s">
        <v>1044</v>
      </c>
      <c r="C20" s="112"/>
      <c r="D20" s="112"/>
      <c r="E20" s="112"/>
      <c r="F20" s="112"/>
      <c r="G20" s="113"/>
      <c r="H20" s="112"/>
      <c r="I20" s="112"/>
      <c r="J20" s="112"/>
      <c r="K20" s="114"/>
      <c r="L20" s="112"/>
      <c r="M20" s="114"/>
      <c r="N20" s="112"/>
      <c r="O20" s="112"/>
      <c r="P20" s="112"/>
      <c r="Q20" s="112"/>
    </row>
    <row r="21" spans="1:17">
      <c r="A21" s="181" t="s">
        <v>1035</v>
      </c>
      <c r="B21" s="109" t="s">
        <v>1046</v>
      </c>
      <c r="C21" s="109" t="s">
        <v>1047</v>
      </c>
      <c r="D21" s="109" t="s">
        <v>1048</v>
      </c>
      <c r="E21" s="109" t="s">
        <v>1049</v>
      </c>
      <c r="F21" s="109" t="s">
        <v>1048</v>
      </c>
      <c r="G21" s="110">
        <v>2019</v>
      </c>
      <c r="H21" s="109" t="s">
        <v>1001</v>
      </c>
      <c r="I21" s="109" t="s">
        <v>1002</v>
      </c>
      <c r="J21" s="109" t="s">
        <v>988</v>
      </c>
      <c r="K21" s="111">
        <v>43679</v>
      </c>
      <c r="L21" s="109" t="s">
        <v>988</v>
      </c>
      <c r="M21" s="111"/>
      <c r="N21" s="109" t="s">
        <v>989</v>
      </c>
      <c r="O21" s="109"/>
      <c r="P21" s="109" t="s">
        <v>2343</v>
      </c>
      <c r="Q21" s="109" t="s">
        <v>2341</v>
      </c>
    </row>
    <row r="22" spans="1:17">
      <c r="A22" s="181" t="s">
        <v>1040</v>
      </c>
      <c r="B22" s="109" t="s">
        <v>2247</v>
      </c>
      <c r="C22" s="109" t="s">
        <v>1047</v>
      </c>
      <c r="D22" s="109" t="s">
        <v>1052</v>
      </c>
      <c r="E22" s="109" t="s">
        <v>1049</v>
      </c>
      <c r="F22" s="109" t="s">
        <v>1050</v>
      </c>
      <c r="G22" s="110">
        <v>2021</v>
      </c>
      <c r="H22" s="109" t="s">
        <v>2244</v>
      </c>
      <c r="I22" s="109" t="s">
        <v>2245</v>
      </c>
      <c r="J22" s="109" t="s">
        <v>988</v>
      </c>
      <c r="K22" s="111">
        <v>43482</v>
      </c>
      <c r="L22" s="109" t="s">
        <v>988</v>
      </c>
      <c r="M22" s="111">
        <v>44479</v>
      </c>
      <c r="N22" s="109" t="s">
        <v>1015</v>
      </c>
      <c r="O22" s="109"/>
      <c r="P22" s="109" t="s">
        <v>2343</v>
      </c>
      <c r="Q22" s="109" t="s">
        <v>2344</v>
      </c>
    </row>
    <row r="23" spans="1:17">
      <c r="A23" s="181" t="s">
        <v>1041</v>
      </c>
      <c r="B23" s="109" t="s">
        <v>2248</v>
      </c>
      <c r="C23" s="109" t="s">
        <v>1047</v>
      </c>
      <c r="D23" s="109" t="s">
        <v>1054</v>
      </c>
      <c r="E23" s="109" t="s">
        <v>1049</v>
      </c>
      <c r="F23" s="109" t="s">
        <v>1050</v>
      </c>
      <c r="G23" s="110">
        <v>2017</v>
      </c>
      <c r="H23" s="109" t="s">
        <v>1055</v>
      </c>
      <c r="I23" s="109" t="s">
        <v>1056</v>
      </c>
      <c r="J23" s="109" t="s">
        <v>1057</v>
      </c>
      <c r="K23" s="111">
        <v>43685</v>
      </c>
      <c r="L23" s="109" t="s">
        <v>988</v>
      </c>
      <c r="M23" s="111">
        <v>42968</v>
      </c>
      <c r="N23" s="109" t="s">
        <v>1057</v>
      </c>
      <c r="O23" s="109"/>
      <c r="P23" s="109" t="s">
        <v>2348</v>
      </c>
      <c r="Q23" s="109"/>
    </row>
    <row r="24" spans="1:17">
      <c r="A24" s="181" t="s">
        <v>1045</v>
      </c>
      <c r="B24" s="109" t="s">
        <v>2249</v>
      </c>
      <c r="C24" s="109" t="s">
        <v>1047</v>
      </c>
      <c r="D24" s="109" t="s">
        <v>1059</v>
      </c>
      <c r="E24" s="109" t="s">
        <v>1049</v>
      </c>
      <c r="F24" s="109" t="s">
        <v>1050</v>
      </c>
      <c r="G24" s="110">
        <v>2015</v>
      </c>
      <c r="H24" s="109" t="s">
        <v>1055</v>
      </c>
      <c r="I24" s="109" t="s">
        <v>1060</v>
      </c>
      <c r="J24" s="109" t="s">
        <v>1057</v>
      </c>
      <c r="K24" s="111">
        <v>43535</v>
      </c>
      <c r="L24" s="109" t="s">
        <v>988</v>
      </c>
      <c r="M24" s="111">
        <v>42047</v>
      </c>
      <c r="N24" s="109" t="s">
        <v>1057</v>
      </c>
      <c r="O24" s="109"/>
      <c r="P24" s="109" t="s">
        <v>2348</v>
      </c>
      <c r="Q24" s="109"/>
    </row>
    <row r="25" spans="1:17" s="105" customFormat="1" ht="22.5" customHeight="1">
      <c r="A25" s="185"/>
      <c r="B25" s="186" t="s">
        <v>1061</v>
      </c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7"/>
      <c r="P25" s="187"/>
      <c r="Q25" s="187"/>
    </row>
    <row r="26" spans="1:17">
      <c r="A26" s="181" t="s">
        <v>1051</v>
      </c>
      <c r="B26" s="109" t="s">
        <v>1063</v>
      </c>
      <c r="C26" s="109" t="s">
        <v>1064</v>
      </c>
      <c r="D26" s="109" t="s">
        <v>1065</v>
      </c>
      <c r="E26" s="109" t="s">
        <v>1066</v>
      </c>
      <c r="F26" s="109" t="s">
        <v>1065</v>
      </c>
      <c r="G26" s="110">
        <v>2020</v>
      </c>
      <c r="H26" s="109" t="s">
        <v>1067</v>
      </c>
      <c r="I26" s="109" t="s">
        <v>1068</v>
      </c>
      <c r="J26" s="109" t="s">
        <v>1069</v>
      </c>
      <c r="K26" s="111">
        <v>43373</v>
      </c>
      <c r="L26" s="109" t="s">
        <v>988</v>
      </c>
      <c r="M26" s="111"/>
      <c r="N26" s="109" t="s">
        <v>989</v>
      </c>
      <c r="O26" s="109"/>
      <c r="P26" s="109" t="s">
        <v>2343</v>
      </c>
      <c r="Q26" s="109" t="s">
        <v>2342</v>
      </c>
    </row>
    <row r="27" spans="1:17">
      <c r="A27" s="182"/>
      <c r="B27" s="188" t="s">
        <v>1070</v>
      </c>
      <c r="C27" s="112"/>
      <c r="D27" s="112"/>
      <c r="E27" s="112"/>
      <c r="F27" s="112"/>
      <c r="G27" s="113"/>
      <c r="H27" s="112"/>
      <c r="I27" s="112"/>
      <c r="J27" s="112"/>
      <c r="K27" s="114"/>
      <c r="L27" s="112"/>
      <c r="M27" s="114"/>
      <c r="N27" s="112"/>
      <c r="O27" s="112"/>
      <c r="P27" s="112"/>
      <c r="Q27" s="112"/>
    </row>
    <row r="28" spans="1:17">
      <c r="A28" s="181" t="s">
        <v>1053</v>
      </c>
      <c r="B28" s="109" t="s">
        <v>1072</v>
      </c>
      <c r="C28" s="109" t="s">
        <v>1073</v>
      </c>
      <c r="D28" s="109" t="s">
        <v>1074</v>
      </c>
      <c r="E28" s="109" t="s">
        <v>1066</v>
      </c>
      <c r="F28" s="109" t="s">
        <v>1532</v>
      </c>
      <c r="G28" s="110">
        <v>2020</v>
      </c>
      <c r="H28" s="109" t="s">
        <v>1008</v>
      </c>
      <c r="I28" s="109" t="s">
        <v>1075</v>
      </c>
      <c r="J28" s="109" t="s">
        <v>988</v>
      </c>
      <c r="K28" s="111">
        <v>43507</v>
      </c>
      <c r="L28" s="109" t="s">
        <v>988</v>
      </c>
      <c r="M28" s="111"/>
      <c r="N28" s="109" t="s">
        <v>989</v>
      </c>
      <c r="O28" s="109"/>
      <c r="P28" s="109" t="s">
        <v>2343</v>
      </c>
      <c r="Q28" s="109" t="s">
        <v>2342</v>
      </c>
    </row>
    <row r="29" spans="1:17" s="105" customFormat="1" ht="22.5" customHeight="1">
      <c r="A29" s="185"/>
      <c r="B29" s="186" t="s">
        <v>1076</v>
      </c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7"/>
      <c r="P29" s="187"/>
      <c r="Q29" s="187"/>
    </row>
    <row r="30" spans="1:17">
      <c r="A30" s="181" t="s">
        <v>1058</v>
      </c>
      <c r="B30" s="109" t="s">
        <v>2250</v>
      </c>
      <c r="C30" s="109" t="s">
        <v>1078</v>
      </c>
      <c r="D30" s="109" t="s">
        <v>471</v>
      </c>
      <c r="E30" s="109" t="s">
        <v>471</v>
      </c>
      <c r="F30" s="109" t="s">
        <v>471</v>
      </c>
      <c r="G30" s="110">
        <v>2013</v>
      </c>
      <c r="H30" s="109" t="s">
        <v>1084</v>
      </c>
      <c r="I30" s="109" t="s">
        <v>1082</v>
      </c>
      <c r="J30" s="109" t="s">
        <v>1082</v>
      </c>
      <c r="K30" s="111">
        <v>43299</v>
      </c>
      <c r="L30" s="109" t="s">
        <v>988</v>
      </c>
      <c r="M30" s="110"/>
      <c r="N30" s="109" t="s">
        <v>1015</v>
      </c>
      <c r="O30" s="109"/>
      <c r="P30" s="109" t="s">
        <v>2348</v>
      </c>
      <c r="Q30" s="109"/>
    </row>
    <row r="31" spans="1:17">
      <c r="A31" s="181" t="s">
        <v>1062</v>
      </c>
      <c r="B31" s="109" t="s">
        <v>2251</v>
      </c>
      <c r="C31" s="109" t="s">
        <v>1078</v>
      </c>
      <c r="D31" s="109" t="s">
        <v>471</v>
      </c>
      <c r="E31" s="109" t="s">
        <v>471</v>
      </c>
      <c r="F31" s="109" t="s">
        <v>471</v>
      </c>
      <c r="G31" s="110">
        <v>2016</v>
      </c>
      <c r="H31" s="109" t="s">
        <v>1084</v>
      </c>
      <c r="I31" s="109" t="s">
        <v>1082</v>
      </c>
      <c r="J31" s="109" t="s">
        <v>1082</v>
      </c>
      <c r="K31" s="111">
        <v>43182</v>
      </c>
      <c r="L31" s="109" t="s">
        <v>988</v>
      </c>
      <c r="M31" s="110"/>
      <c r="N31" s="109" t="s">
        <v>1015</v>
      </c>
      <c r="O31" s="109"/>
      <c r="P31" s="109" t="s">
        <v>2348</v>
      </c>
      <c r="Q31" s="109"/>
    </row>
    <row r="32" spans="1:17">
      <c r="A32" s="181" t="s">
        <v>1071</v>
      </c>
      <c r="B32" s="109" t="s">
        <v>2252</v>
      </c>
      <c r="C32" s="109" t="s">
        <v>1078</v>
      </c>
      <c r="D32" s="109" t="s">
        <v>471</v>
      </c>
      <c r="E32" s="109" t="s">
        <v>471</v>
      </c>
      <c r="F32" s="109" t="s">
        <v>471</v>
      </c>
      <c r="G32" s="110">
        <v>2018</v>
      </c>
      <c r="H32" s="109" t="s">
        <v>1084</v>
      </c>
      <c r="I32" s="109" t="s">
        <v>1082</v>
      </c>
      <c r="J32" s="109" t="s">
        <v>1082</v>
      </c>
      <c r="K32" s="111">
        <v>43299</v>
      </c>
      <c r="L32" s="109" t="s">
        <v>988</v>
      </c>
      <c r="M32" s="111">
        <v>43221</v>
      </c>
      <c r="N32" s="109" t="s">
        <v>1015</v>
      </c>
      <c r="O32" s="109"/>
      <c r="P32" s="109" t="s">
        <v>2348</v>
      </c>
      <c r="Q32" s="109"/>
    </row>
    <row r="33" spans="1:17">
      <c r="A33" s="181" t="s">
        <v>1077</v>
      </c>
      <c r="B33" s="109" t="s">
        <v>2253</v>
      </c>
      <c r="C33" s="109" t="s">
        <v>1078</v>
      </c>
      <c r="D33" s="109" t="s">
        <v>1088</v>
      </c>
      <c r="E33" s="109" t="s">
        <v>309</v>
      </c>
      <c r="F33" s="109" t="s">
        <v>1089</v>
      </c>
      <c r="G33" s="110">
        <v>2016</v>
      </c>
      <c r="H33" s="109" t="s">
        <v>1022</v>
      </c>
      <c r="I33" s="109" t="s">
        <v>1023</v>
      </c>
      <c r="J33" s="109" t="s">
        <v>1024</v>
      </c>
      <c r="K33" s="111">
        <v>43621</v>
      </c>
      <c r="L33" s="109" t="s">
        <v>988</v>
      </c>
      <c r="M33" s="111">
        <v>42527</v>
      </c>
      <c r="N33" s="109" t="s">
        <v>1015</v>
      </c>
      <c r="O33" s="109"/>
      <c r="P33" s="109" t="s">
        <v>2349</v>
      </c>
      <c r="Q33" s="109"/>
    </row>
    <row r="34" spans="1:17">
      <c r="A34" s="181" t="s">
        <v>1080</v>
      </c>
      <c r="B34" s="110">
        <v>47503201</v>
      </c>
      <c r="C34" s="110">
        <v>1747000530</v>
      </c>
      <c r="D34" s="110" t="s">
        <v>471</v>
      </c>
      <c r="E34" s="110" t="s">
        <v>471</v>
      </c>
      <c r="F34" s="110" t="s">
        <v>471</v>
      </c>
      <c r="G34" s="110">
        <v>2018</v>
      </c>
      <c r="H34" s="110"/>
      <c r="I34" s="110" t="s">
        <v>1090</v>
      </c>
      <c r="J34" s="110" t="s">
        <v>988</v>
      </c>
      <c r="K34" s="111"/>
      <c r="L34" s="109" t="s">
        <v>988</v>
      </c>
      <c r="M34" s="111">
        <v>43382</v>
      </c>
      <c r="N34" s="109" t="s">
        <v>1015</v>
      </c>
      <c r="O34" s="109" t="s">
        <v>2345</v>
      </c>
      <c r="P34" s="109" t="s">
        <v>2343</v>
      </c>
      <c r="Q34" s="109" t="s">
        <v>2346</v>
      </c>
    </row>
    <row r="35" spans="1:17">
      <c r="A35" s="181" t="s">
        <v>1081</v>
      </c>
      <c r="B35" s="110">
        <v>20899502</v>
      </c>
      <c r="C35" s="110">
        <v>1747000530</v>
      </c>
      <c r="D35" s="110"/>
      <c r="E35" s="110"/>
      <c r="F35" s="110" t="s">
        <v>471</v>
      </c>
      <c r="G35" s="110">
        <v>2020</v>
      </c>
      <c r="H35" s="110" t="s">
        <v>1093</v>
      </c>
      <c r="I35" s="110"/>
      <c r="J35" s="110"/>
      <c r="K35" s="111"/>
      <c r="L35" s="109"/>
      <c r="M35" s="111"/>
      <c r="N35" s="109" t="s">
        <v>1015</v>
      </c>
      <c r="O35" s="109"/>
      <c r="P35" s="109" t="s">
        <v>2348</v>
      </c>
      <c r="Q35" s="109"/>
    </row>
    <row r="36" spans="1:17">
      <c r="A36" s="181" t="s">
        <v>1083</v>
      </c>
      <c r="B36" s="110">
        <v>20899602</v>
      </c>
      <c r="C36" s="110">
        <v>1747000530</v>
      </c>
      <c r="D36" s="110"/>
      <c r="E36" s="110"/>
      <c r="F36" s="110" t="s">
        <v>471</v>
      </c>
      <c r="G36" s="110">
        <v>2020</v>
      </c>
      <c r="H36" s="110" t="s">
        <v>1093</v>
      </c>
      <c r="I36" s="110"/>
      <c r="J36" s="110"/>
      <c r="K36" s="111"/>
      <c r="L36" s="109"/>
      <c r="M36" s="111"/>
      <c r="N36" s="109" t="s">
        <v>1015</v>
      </c>
      <c r="O36" s="109"/>
      <c r="P36" s="109" t="s">
        <v>2348</v>
      </c>
      <c r="Q36" s="109"/>
    </row>
    <row r="37" spans="1:17">
      <c r="A37" s="181" t="s">
        <v>1085</v>
      </c>
      <c r="B37" s="110">
        <v>12705302</v>
      </c>
      <c r="C37" s="110">
        <v>1747000530</v>
      </c>
      <c r="D37" s="110"/>
      <c r="E37" s="110"/>
      <c r="F37" s="110" t="s">
        <v>471</v>
      </c>
      <c r="G37" s="110">
        <v>2017</v>
      </c>
      <c r="H37" s="110" t="s">
        <v>1096</v>
      </c>
      <c r="I37" s="110"/>
      <c r="J37" s="110"/>
      <c r="K37" s="111"/>
      <c r="L37" s="109"/>
      <c r="M37" s="111"/>
      <c r="N37" s="109" t="s">
        <v>1015</v>
      </c>
      <c r="O37" s="109"/>
      <c r="P37" s="109" t="s">
        <v>2348</v>
      </c>
      <c r="Q37" s="109"/>
    </row>
    <row r="38" spans="1:17">
      <c r="A38" s="181" t="s">
        <v>1086</v>
      </c>
      <c r="B38" s="110">
        <v>8437252</v>
      </c>
      <c r="C38" s="110">
        <v>1747000530</v>
      </c>
      <c r="D38" s="110"/>
      <c r="E38" s="110"/>
      <c r="F38" s="110" t="s">
        <v>471</v>
      </c>
      <c r="G38" s="110">
        <v>2017</v>
      </c>
      <c r="H38" s="110" t="s">
        <v>1098</v>
      </c>
      <c r="I38" s="110"/>
      <c r="J38" s="110"/>
      <c r="K38" s="111"/>
      <c r="L38" s="109"/>
      <c r="M38" s="111"/>
      <c r="N38" s="109" t="s">
        <v>1015</v>
      </c>
      <c r="O38" s="109"/>
      <c r="P38" s="109" t="s">
        <v>2348</v>
      </c>
      <c r="Q38" s="109"/>
    </row>
    <row r="39" spans="1:17" s="105" customFormat="1" ht="22.5" customHeight="1">
      <c r="A39" s="185"/>
      <c r="B39" s="186" t="s">
        <v>1099</v>
      </c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7"/>
      <c r="P39" s="187"/>
      <c r="Q39" s="187"/>
    </row>
    <row r="40" spans="1:17">
      <c r="A40" s="181" t="s">
        <v>1087</v>
      </c>
      <c r="B40" s="109" t="s">
        <v>1101</v>
      </c>
      <c r="C40" s="109" t="s">
        <v>1102</v>
      </c>
      <c r="D40" s="109" t="s">
        <v>1103</v>
      </c>
      <c r="E40" s="109" t="s">
        <v>1104</v>
      </c>
      <c r="F40" s="109" t="s">
        <v>1533</v>
      </c>
      <c r="G40" s="110">
        <v>2019</v>
      </c>
      <c r="H40" s="109" t="s">
        <v>1008</v>
      </c>
      <c r="I40" s="109" t="s">
        <v>1075</v>
      </c>
      <c r="J40" s="109" t="s">
        <v>988</v>
      </c>
      <c r="K40" s="111">
        <v>43479</v>
      </c>
      <c r="L40" s="109" t="s">
        <v>988</v>
      </c>
      <c r="M40" s="111"/>
      <c r="N40" s="109" t="s">
        <v>989</v>
      </c>
      <c r="O40" s="109"/>
      <c r="P40" s="109" t="s">
        <v>2343</v>
      </c>
      <c r="Q40" s="109" t="s">
        <v>2341</v>
      </c>
    </row>
    <row r="41" spans="1:17">
      <c r="A41" s="181" t="s">
        <v>964</v>
      </c>
      <c r="B41" s="109" t="s">
        <v>2254</v>
      </c>
      <c r="C41" s="109" t="s">
        <v>1102</v>
      </c>
      <c r="D41" s="109" t="s">
        <v>1104</v>
      </c>
      <c r="E41" s="109" t="s">
        <v>1104</v>
      </c>
      <c r="F41" s="109" t="s">
        <v>1104</v>
      </c>
      <c r="G41" s="110">
        <v>2021</v>
      </c>
      <c r="H41" s="109" t="s">
        <v>2255</v>
      </c>
      <c r="I41" s="109" t="s">
        <v>1079</v>
      </c>
      <c r="J41" s="109" t="s">
        <v>1024</v>
      </c>
      <c r="K41" s="111">
        <v>43466</v>
      </c>
      <c r="L41" s="109" t="s">
        <v>988</v>
      </c>
      <c r="M41" s="111">
        <v>44479</v>
      </c>
      <c r="N41" s="109" t="s">
        <v>1015</v>
      </c>
      <c r="O41" s="109"/>
      <c r="P41" s="109" t="s">
        <v>2343</v>
      </c>
      <c r="Q41" s="109" t="s">
        <v>2344</v>
      </c>
    </row>
    <row r="42" spans="1:17">
      <c r="A42" s="181" t="s">
        <v>1091</v>
      </c>
      <c r="B42" s="109" t="s">
        <v>2256</v>
      </c>
      <c r="C42" s="109" t="s">
        <v>1102</v>
      </c>
      <c r="D42" s="109" t="s">
        <v>1104</v>
      </c>
      <c r="E42" s="109" t="s">
        <v>1104</v>
      </c>
      <c r="F42" s="109" t="s">
        <v>1104</v>
      </c>
      <c r="G42" s="110">
        <v>2021</v>
      </c>
      <c r="H42" s="109" t="s">
        <v>2255</v>
      </c>
      <c r="I42" s="109" t="s">
        <v>1079</v>
      </c>
      <c r="J42" s="109" t="s">
        <v>1024</v>
      </c>
      <c r="K42" s="111">
        <v>43466</v>
      </c>
      <c r="L42" s="109" t="s">
        <v>988</v>
      </c>
      <c r="M42" s="111">
        <v>44479</v>
      </c>
      <c r="N42" s="109" t="s">
        <v>1015</v>
      </c>
      <c r="O42" s="109"/>
      <c r="P42" s="109" t="s">
        <v>2343</v>
      </c>
      <c r="Q42" s="109" t="s">
        <v>2344</v>
      </c>
    </row>
    <row r="43" spans="1:17">
      <c r="A43" s="181" t="s">
        <v>1092</v>
      </c>
      <c r="B43" s="109" t="s">
        <v>1109</v>
      </c>
      <c r="C43" s="109" t="s">
        <v>1102</v>
      </c>
      <c r="D43" s="109" t="s">
        <v>1110</v>
      </c>
      <c r="E43" s="109" t="s">
        <v>1104</v>
      </c>
      <c r="F43" s="109" t="s">
        <v>1104</v>
      </c>
      <c r="G43" s="110">
        <v>2019</v>
      </c>
      <c r="H43" s="109" t="s">
        <v>1111</v>
      </c>
      <c r="I43" s="109" t="s">
        <v>1112</v>
      </c>
      <c r="J43" s="109" t="s">
        <v>1024</v>
      </c>
      <c r="K43" s="111">
        <v>43637</v>
      </c>
      <c r="L43" s="109" t="s">
        <v>988</v>
      </c>
      <c r="M43" s="111"/>
      <c r="N43" s="109" t="s">
        <v>1015</v>
      </c>
      <c r="O43" s="109"/>
      <c r="P43" s="109" t="s">
        <v>2343</v>
      </c>
      <c r="Q43" s="109" t="s">
        <v>2341</v>
      </c>
    </row>
    <row r="44" spans="1:17" s="115" customFormat="1">
      <c r="A44" s="181" t="s">
        <v>1094</v>
      </c>
      <c r="B44" s="109" t="s">
        <v>2257</v>
      </c>
      <c r="C44" s="109" t="s">
        <v>1102</v>
      </c>
      <c r="D44" s="109" t="s">
        <v>1114</v>
      </c>
      <c r="E44" s="109" t="s">
        <v>899</v>
      </c>
      <c r="F44" s="109" t="s">
        <v>1104</v>
      </c>
      <c r="G44" s="110">
        <v>2021</v>
      </c>
      <c r="H44" s="109" t="s">
        <v>2255</v>
      </c>
      <c r="I44" s="109"/>
      <c r="J44" s="109" t="s">
        <v>1024</v>
      </c>
      <c r="K44" s="111">
        <v>43733</v>
      </c>
      <c r="L44" s="109" t="s">
        <v>988</v>
      </c>
      <c r="M44" s="111">
        <v>44479</v>
      </c>
      <c r="N44" s="109" t="s">
        <v>1015</v>
      </c>
      <c r="O44" s="109" t="s">
        <v>4</v>
      </c>
      <c r="P44" s="109" t="s">
        <v>2343</v>
      </c>
      <c r="Q44" s="109" t="s">
        <v>2344</v>
      </c>
    </row>
    <row r="45" spans="1:17" s="115" customFormat="1">
      <c r="A45" s="181" t="s">
        <v>1095</v>
      </c>
      <c r="B45" s="109" t="s">
        <v>2258</v>
      </c>
      <c r="C45" s="109" t="s">
        <v>1102</v>
      </c>
      <c r="D45" s="109"/>
      <c r="E45" s="109"/>
      <c r="F45" s="109" t="s">
        <v>1104</v>
      </c>
      <c r="G45" s="110">
        <v>2021</v>
      </c>
      <c r="H45" s="109" t="s">
        <v>2244</v>
      </c>
      <c r="I45" s="109" t="s">
        <v>2245</v>
      </c>
      <c r="J45" s="109" t="s">
        <v>988</v>
      </c>
      <c r="K45" s="111"/>
      <c r="L45" s="109"/>
      <c r="M45" s="111">
        <v>44479</v>
      </c>
      <c r="N45" s="109" t="s">
        <v>1015</v>
      </c>
      <c r="O45" s="109"/>
      <c r="P45" s="109" t="s">
        <v>2343</v>
      </c>
      <c r="Q45" s="109" t="s">
        <v>2344</v>
      </c>
    </row>
    <row r="46" spans="1:17" s="115" customFormat="1">
      <c r="A46" s="181" t="s">
        <v>1097</v>
      </c>
      <c r="B46" s="109" t="s">
        <v>1117</v>
      </c>
      <c r="C46" s="109" t="s">
        <v>1102</v>
      </c>
      <c r="D46" s="109"/>
      <c r="E46" s="109"/>
      <c r="F46" s="109" t="s">
        <v>1104</v>
      </c>
      <c r="G46" s="110">
        <v>2019</v>
      </c>
      <c r="H46" s="109" t="s">
        <v>1001</v>
      </c>
      <c r="I46" s="109" t="s">
        <v>1014</v>
      </c>
      <c r="J46" s="109" t="s">
        <v>988</v>
      </c>
      <c r="K46" s="111"/>
      <c r="L46" s="109"/>
      <c r="M46" s="110"/>
      <c r="N46" s="109" t="s">
        <v>1015</v>
      </c>
      <c r="O46" s="109" t="s">
        <v>1118</v>
      </c>
      <c r="P46" s="109" t="s">
        <v>2343</v>
      </c>
      <c r="Q46" s="109" t="s">
        <v>2341</v>
      </c>
    </row>
    <row r="47" spans="1:17">
      <c r="A47" s="181" t="s">
        <v>1100</v>
      </c>
      <c r="B47" s="109" t="s">
        <v>2259</v>
      </c>
      <c r="C47" s="109" t="s">
        <v>1102</v>
      </c>
      <c r="D47" s="109" t="s">
        <v>1104</v>
      </c>
      <c r="E47" s="109" t="s">
        <v>1104</v>
      </c>
      <c r="F47" s="109" t="s">
        <v>1104</v>
      </c>
      <c r="G47" s="110">
        <v>2006</v>
      </c>
      <c r="H47" s="109" t="s">
        <v>1120</v>
      </c>
      <c r="I47" s="109" t="s">
        <v>1121</v>
      </c>
      <c r="J47" s="109" t="s">
        <v>1121</v>
      </c>
      <c r="K47" s="111">
        <v>43447</v>
      </c>
      <c r="L47" s="109" t="s">
        <v>988</v>
      </c>
      <c r="M47" s="110"/>
      <c r="N47" s="109" t="s">
        <v>1015</v>
      </c>
      <c r="O47" s="109"/>
      <c r="P47" s="109"/>
      <c r="Q47" s="109"/>
    </row>
    <row r="48" spans="1:17" s="105" customFormat="1" ht="22.5" customHeight="1">
      <c r="A48" s="185"/>
      <c r="B48" s="186" t="s">
        <v>914</v>
      </c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7"/>
      <c r="P48" s="187"/>
      <c r="Q48" s="187"/>
    </row>
    <row r="49" spans="1:17">
      <c r="A49" s="181" t="s">
        <v>1105</v>
      </c>
      <c r="B49" s="109" t="s">
        <v>1123</v>
      </c>
      <c r="C49" s="109" t="s">
        <v>1124</v>
      </c>
      <c r="D49" s="109" t="s">
        <v>1125</v>
      </c>
      <c r="E49" s="109" t="s">
        <v>914</v>
      </c>
      <c r="F49" s="109" t="s">
        <v>1126</v>
      </c>
      <c r="G49" s="110">
        <v>2020</v>
      </c>
      <c r="H49" s="109" t="s">
        <v>1001</v>
      </c>
      <c r="I49" s="109" t="s">
        <v>1002</v>
      </c>
      <c r="J49" s="109" t="s">
        <v>988</v>
      </c>
      <c r="K49" s="111">
        <v>43314</v>
      </c>
      <c r="L49" s="109" t="s">
        <v>988</v>
      </c>
      <c r="M49" s="111"/>
      <c r="N49" s="109" t="s">
        <v>989</v>
      </c>
      <c r="O49" s="109"/>
      <c r="P49" s="109" t="s">
        <v>2343</v>
      </c>
      <c r="Q49" s="109" t="s">
        <v>2342</v>
      </c>
    </row>
    <row r="50" spans="1:17">
      <c r="A50" s="181" t="s">
        <v>1107</v>
      </c>
      <c r="B50" s="109" t="s">
        <v>1128</v>
      </c>
      <c r="C50" s="109">
        <v>1811000530</v>
      </c>
      <c r="D50" s="109" t="s">
        <v>1129</v>
      </c>
      <c r="E50" s="109" t="s">
        <v>914</v>
      </c>
      <c r="F50" s="109" t="s">
        <v>1130</v>
      </c>
      <c r="G50" s="110">
        <v>2019</v>
      </c>
      <c r="H50" s="109" t="s">
        <v>1001</v>
      </c>
      <c r="I50" s="109" t="s">
        <v>1002</v>
      </c>
      <c r="J50" s="109" t="s">
        <v>988</v>
      </c>
      <c r="K50" s="111"/>
      <c r="L50" s="109" t="s">
        <v>988</v>
      </c>
      <c r="M50" s="111"/>
      <c r="N50" s="109" t="s">
        <v>989</v>
      </c>
      <c r="O50" s="109"/>
      <c r="P50" s="109" t="s">
        <v>2343</v>
      </c>
      <c r="Q50" s="109" t="s">
        <v>2341</v>
      </c>
    </row>
    <row r="51" spans="1:17">
      <c r="A51" s="181" t="s">
        <v>1108</v>
      </c>
      <c r="B51" s="109" t="s">
        <v>2260</v>
      </c>
      <c r="C51" s="109">
        <v>1811000530</v>
      </c>
      <c r="D51" s="109"/>
      <c r="E51" s="109"/>
      <c r="F51" s="109" t="s">
        <v>1132</v>
      </c>
      <c r="G51" s="110">
        <v>2021</v>
      </c>
      <c r="H51" s="109" t="s">
        <v>996</v>
      </c>
      <c r="I51" s="109" t="s">
        <v>2261</v>
      </c>
      <c r="J51" s="109" t="s">
        <v>988</v>
      </c>
      <c r="K51" s="111"/>
      <c r="L51" s="109"/>
      <c r="M51" s="111"/>
      <c r="N51" s="109" t="s">
        <v>989</v>
      </c>
      <c r="O51" s="109"/>
      <c r="P51" s="109" t="s">
        <v>2343</v>
      </c>
      <c r="Q51" s="109" t="s">
        <v>2344</v>
      </c>
    </row>
    <row r="52" spans="1:17">
      <c r="A52" s="181" t="s">
        <v>1113</v>
      </c>
      <c r="B52" s="109" t="s">
        <v>2262</v>
      </c>
      <c r="C52" s="109" t="s">
        <v>1124</v>
      </c>
      <c r="D52" s="109" t="s">
        <v>1138</v>
      </c>
      <c r="E52" s="109" t="s">
        <v>914</v>
      </c>
      <c r="F52" s="109" t="s">
        <v>914</v>
      </c>
      <c r="G52" s="110">
        <v>2017</v>
      </c>
      <c r="H52" s="109" t="s">
        <v>1139</v>
      </c>
      <c r="I52" s="109" t="s">
        <v>1140</v>
      </c>
      <c r="J52" s="109" t="s">
        <v>1141</v>
      </c>
      <c r="K52" s="110"/>
      <c r="L52" s="109" t="s">
        <v>988</v>
      </c>
      <c r="M52" s="111">
        <v>42930</v>
      </c>
      <c r="N52" s="109" t="s">
        <v>1015</v>
      </c>
      <c r="O52" s="109"/>
      <c r="P52" s="109" t="s">
        <v>2348</v>
      </c>
      <c r="Q52" s="109"/>
    </row>
    <row r="53" spans="1:17">
      <c r="A53" s="181" t="s">
        <v>1115</v>
      </c>
      <c r="B53" s="109" t="s">
        <v>2263</v>
      </c>
      <c r="C53" s="109" t="s">
        <v>1124</v>
      </c>
      <c r="D53" s="109"/>
      <c r="E53" s="109"/>
      <c r="F53" s="109" t="s">
        <v>2264</v>
      </c>
      <c r="G53" s="110">
        <v>2019</v>
      </c>
      <c r="H53" s="109" t="s">
        <v>2265</v>
      </c>
      <c r="I53" s="109" t="s">
        <v>2266</v>
      </c>
      <c r="J53" s="109"/>
      <c r="K53" s="110"/>
      <c r="L53" s="109"/>
      <c r="M53" s="111"/>
      <c r="N53" s="109" t="s">
        <v>989</v>
      </c>
      <c r="O53" s="109"/>
      <c r="P53" s="109" t="s">
        <v>2350</v>
      </c>
      <c r="Q53" s="109" t="s">
        <v>2266</v>
      </c>
    </row>
    <row r="54" spans="1:17" s="105" customFormat="1">
      <c r="A54" s="181" t="s">
        <v>1116</v>
      </c>
      <c r="B54" s="109" t="s">
        <v>1143</v>
      </c>
      <c r="C54" s="109" t="s">
        <v>1124</v>
      </c>
      <c r="D54" s="109"/>
      <c r="E54" s="109"/>
      <c r="F54" s="109" t="s">
        <v>914</v>
      </c>
      <c r="G54" s="110">
        <v>2019</v>
      </c>
      <c r="H54" s="109" t="s">
        <v>1093</v>
      </c>
      <c r="I54" s="109" t="s">
        <v>1144</v>
      </c>
      <c r="J54" s="109" t="s">
        <v>602</v>
      </c>
      <c r="K54" s="110"/>
      <c r="L54" s="109"/>
      <c r="M54" s="111"/>
      <c r="N54" s="109" t="s">
        <v>1015</v>
      </c>
      <c r="O54" s="109" t="s">
        <v>602</v>
      </c>
      <c r="P54" s="109" t="s">
        <v>2351</v>
      </c>
      <c r="Q54" s="109"/>
    </row>
    <row r="55" spans="1:17" s="105" customFormat="1" ht="22.5" customHeight="1">
      <c r="A55" s="185"/>
      <c r="B55" s="186" t="s">
        <v>538</v>
      </c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7"/>
      <c r="P55" s="187"/>
      <c r="Q55" s="187"/>
    </row>
    <row r="56" spans="1:17" s="105" customFormat="1">
      <c r="A56" s="181" t="s">
        <v>1119</v>
      </c>
      <c r="B56" s="109" t="s">
        <v>1146</v>
      </c>
      <c r="C56" s="109" t="s">
        <v>1135</v>
      </c>
      <c r="D56" s="109"/>
      <c r="E56" s="109"/>
      <c r="F56" s="109" t="s">
        <v>1147</v>
      </c>
      <c r="G56" s="110">
        <v>2019</v>
      </c>
      <c r="H56" s="109" t="s">
        <v>1121</v>
      </c>
      <c r="I56" s="109" t="s">
        <v>1121</v>
      </c>
      <c r="J56" s="109" t="s">
        <v>1121</v>
      </c>
      <c r="K56" s="110"/>
      <c r="L56" s="109"/>
      <c r="M56" s="111"/>
      <c r="N56" s="109" t="s">
        <v>1015</v>
      </c>
      <c r="O56" s="109"/>
      <c r="P56" s="109" t="s">
        <v>2348</v>
      </c>
      <c r="Q56" s="109"/>
    </row>
    <row r="57" spans="1:17" s="105" customFormat="1">
      <c r="A57" s="181" t="s">
        <v>1122</v>
      </c>
      <c r="B57" s="109" t="s">
        <v>2267</v>
      </c>
      <c r="C57" s="109" t="s">
        <v>1135</v>
      </c>
      <c r="D57" s="109"/>
      <c r="E57" s="109"/>
      <c r="F57" s="109" t="s">
        <v>2268</v>
      </c>
      <c r="G57" s="110">
        <v>2020</v>
      </c>
      <c r="H57" s="109" t="s">
        <v>2352</v>
      </c>
      <c r="I57" s="109" t="s">
        <v>2266</v>
      </c>
      <c r="J57" s="109" t="s">
        <v>988</v>
      </c>
      <c r="K57" s="110"/>
      <c r="L57" s="109"/>
      <c r="M57" s="111"/>
      <c r="N57" s="109" t="s">
        <v>989</v>
      </c>
      <c r="O57" s="109"/>
      <c r="P57" s="109" t="s">
        <v>2350</v>
      </c>
      <c r="Q57" s="109" t="s">
        <v>2266</v>
      </c>
    </row>
    <row r="58" spans="1:17" s="105" customFormat="1">
      <c r="A58" s="181" t="s">
        <v>1127</v>
      </c>
      <c r="B58" s="109" t="s">
        <v>1134</v>
      </c>
      <c r="C58" s="109" t="s">
        <v>1135</v>
      </c>
      <c r="D58" s="109"/>
      <c r="E58" s="109"/>
      <c r="F58" s="109" t="s">
        <v>2269</v>
      </c>
      <c r="G58" s="110">
        <v>2020</v>
      </c>
      <c r="H58" s="109" t="s">
        <v>1001</v>
      </c>
      <c r="I58" s="109" t="s">
        <v>1014</v>
      </c>
      <c r="J58" s="109" t="s">
        <v>988</v>
      </c>
      <c r="K58" s="111"/>
      <c r="L58" s="109"/>
      <c r="M58" s="111"/>
      <c r="N58" s="109" t="s">
        <v>989</v>
      </c>
      <c r="O58" s="109"/>
      <c r="P58" s="109" t="s">
        <v>2340</v>
      </c>
      <c r="Q58" s="109" t="s">
        <v>2342</v>
      </c>
    </row>
    <row r="59" spans="1:17" s="105" customFormat="1" ht="22.5" customHeight="1">
      <c r="A59" s="185"/>
      <c r="B59" s="186" t="s">
        <v>651</v>
      </c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7"/>
      <c r="P59" s="187"/>
      <c r="Q59" s="187"/>
    </row>
    <row r="60" spans="1:17" s="105" customFormat="1">
      <c r="A60" s="181" t="s">
        <v>1131</v>
      </c>
      <c r="B60" s="109" t="s">
        <v>1149</v>
      </c>
      <c r="C60" s="109" t="s">
        <v>1150</v>
      </c>
      <c r="D60" s="109" t="s">
        <v>1151</v>
      </c>
      <c r="E60" s="109" t="s">
        <v>918</v>
      </c>
      <c r="F60" s="109" t="s">
        <v>1152</v>
      </c>
      <c r="G60" s="110">
        <v>2020</v>
      </c>
      <c r="H60" s="109" t="s">
        <v>1001</v>
      </c>
      <c r="I60" s="109" t="s">
        <v>1002</v>
      </c>
      <c r="J60" s="109" t="s">
        <v>988</v>
      </c>
      <c r="K60" s="111">
        <v>43609</v>
      </c>
      <c r="L60" s="109" t="s">
        <v>988</v>
      </c>
      <c r="M60" s="111"/>
      <c r="N60" s="109" t="s">
        <v>989</v>
      </c>
      <c r="O60" s="109"/>
      <c r="P60" s="109" t="s">
        <v>2343</v>
      </c>
      <c r="Q60" s="109" t="s">
        <v>2342</v>
      </c>
    </row>
    <row r="61" spans="1:17" s="105" customFormat="1">
      <c r="A61" s="182"/>
      <c r="B61" s="188" t="s">
        <v>670</v>
      </c>
      <c r="C61" s="109"/>
      <c r="D61" s="109"/>
      <c r="E61" s="109"/>
      <c r="F61" s="109"/>
      <c r="G61" s="110"/>
      <c r="H61" s="109"/>
      <c r="I61" s="109"/>
      <c r="J61" s="109"/>
      <c r="K61" s="111"/>
      <c r="L61" s="109"/>
      <c r="M61" s="111"/>
      <c r="N61" s="109"/>
      <c r="O61" s="109"/>
      <c r="P61" s="109"/>
      <c r="Q61" s="109"/>
    </row>
    <row r="62" spans="1:17" s="105" customFormat="1">
      <c r="A62" s="181" t="s">
        <v>1133</v>
      </c>
      <c r="B62" s="109" t="s">
        <v>2270</v>
      </c>
      <c r="C62" s="109" t="s">
        <v>1026</v>
      </c>
      <c r="D62" s="109" t="s">
        <v>1027</v>
      </c>
      <c r="E62" s="109" t="s">
        <v>309</v>
      </c>
      <c r="F62" s="109" t="s">
        <v>1028</v>
      </c>
      <c r="G62" s="110">
        <v>2021</v>
      </c>
      <c r="H62" s="109" t="s">
        <v>2244</v>
      </c>
      <c r="I62" s="109" t="s">
        <v>2245</v>
      </c>
      <c r="J62" s="109" t="s">
        <v>988</v>
      </c>
      <c r="K62" s="111">
        <v>43488</v>
      </c>
      <c r="L62" s="109" t="s">
        <v>988</v>
      </c>
      <c r="M62" s="111">
        <v>44479</v>
      </c>
      <c r="N62" s="109" t="s">
        <v>1015</v>
      </c>
      <c r="O62" s="109"/>
      <c r="P62" s="109" t="s">
        <v>2353</v>
      </c>
      <c r="Q62" s="109" t="s">
        <v>2344</v>
      </c>
    </row>
    <row r="63" spans="1:17" s="105" customFormat="1" ht="22.5" customHeight="1">
      <c r="A63" s="185"/>
      <c r="B63" s="186" t="s">
        <v>1153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7"/>
      <c r="P63" s="187"/>
      <c r="Q63" s="187"/>
    </row>
    <row r="64" spans="1:17">
      <c r="A64" s="181" t="s">
        <v>1136</v>
      </c>
      <c r="B64" s="109" t="s">
        <v>2271</v>
      </c>
      <c r="C64" s="109" t="s">
        <v>2272</v>
      </c>
      <c r="D64" s="109"/>
      <c r="E64" s="109"/>
      <c r="F64" s="109" t="s">
        <v>2273</v>
      </c>
      <c r="G64" s="110">
        <v>2021</v>
      </c>
      <c r="H64" s="109" t="s">
        <v>996</v>
      </c>
      <c r="I64" s="109"/>
      <c r="J64" s="109" t="s">
        <v>1</v>
      </c>
      <c r="K64" s="111"/>
      <c r="L64" s="109"/>
      <c r="M64" s="111"/>
      <c r="N64" s="109" t="s">
        <v>1015</v>
      </c>
      <c r="O64" s="109"/>
      <c r="P64" s="109" t="s">
        <v>2343</v>
      </c>
      <c r="Q64" s="109" t="s">
        <v>2344</v>
      </c>
    </row>
    <row r="65" spans="1:17">
      <c r="A65" s="181" t="s">
        <v>2409</v>
      </c>
      <c r="B65" s="109" t="s">
        <v>2274</v>
      </c>
      <c r="C65" s="109" t="s">
        <v>2272</v>
      </c>
      <c r="D65" s="109"/>
      <c r="E65" s="109"/>
      <c r="F65" s="109" t="s">
        <v>2275</v>
      </c>
      <c r="G65" s="110">
        <v>2021</v>
      </c>
      <c r="H65" s="109" t="s">
        <v>1001</v>
      </c>
      <c r="I65" s="109" t="s">
        <v>2276</v>
      </c>
      <c r="J65" s="109" t="s">
        <v>988</v>
      </c>
      <c r="K65" s="111"/>
      <c r="L65" s="109"/>
      <c r="M65" s="111">
        <v>44236</v>
      </c>
      <c r="N65" s="109" t="s">
        <v>989</v>
      </c>
      <c r="O65" s="109"/>
      <c r="P65" s="109" t="s">
        <v>2343</v>
      </c>
      <c r="Q65" s="109" t="s">
        <v>2344</v>
      </c>
    </row>
    <row r="66" spans="1:17" s="105" customFormat="1">
      <c r="A66" s="182"/>
      <c r="B66" s="188" t="s">
        <v>761</v>
      </c>
      <c r="C66" s="109"/>
      <c r="D66" s="109"/>
      <c r="E66" s="109"/>
      <c r="F66" s="109"/>
      <c r="G66" s="110"/>
      <c r="H66" s="109"/>
      <c r="I66" s="109"/>
      <c r="J66" s="109"/>
      <c r="K66" s="111"/>
      <c r="L66" s="109"/>
      <c r="M66" s="111"/>
      <c r="N66" s="109"/>
      <c r="O66" s="109"/>
      <c r="P66" s="109"/>
      <c r="Q66" s="109"/>
    </row>
    <row r="67" spans="1:17">
      <c r="A67" s="181" t="s">
        <v>1142</v>
      </c>
      <c r="B67" s="109" t="s">
        <v>2277</v>
      </c>
      <c r="C67" s="109" t="s">
        <v>1155</v>
      </c>
      <c r="D67" s="109" t="s">
        <v>1151</v>
      </c>
      <c r="E67" s="109" t="s">
        <v>918</v>
      </c>
      <c r="F67" s="109" t="s">
        <v>761</v>
      </c>
      <c r="G67" s="110">
        <v>2021</v>
      </c>
      <c r="H67" s="109" t="s">
        <v>2255</v>
      </c>
      <c r="I67" s="109"/>
      <c r="J67" s="109" t="s">
        <v>1024</v>
      </c>
      <c r="K67" s="111">
        <v>43609</v>
      </c>
      <c r="L67" s="109" t="s">
        <v>988</v>
      </c>
      <c r="M67" s="111">
        <v>44479</v>
      </c>
      <c r="N67" s="109" t="s">
        <v>1015</v>
      </c>
      <c r="O67" s="109"/>
      <c r="P67" s="109" t="s">
        <v>2343</v>
      </c>
      <c r="Q67" s="109" t="s">
        <v>2344</v>
      </c>
    </row>
    <row r="68" spans="1:17" s="105" customFormat="1" ht="22.5" customHeight="1">
      <c r="A68" s="185"/>
      <c r="B68" s="186" t="s">
        <v>380</v>
      </c>
      <c r="C68" s="186"/>
      <c r="D68" s="186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7"/>
      <c r="P68" s="187"/>
      <c r="Q68" s="187"/>
    </row>
    <row r="69" spans="1:17">
      <c r="A69" s="181" t="s">
        <v>1145</v>
      </c>
      <c r="B69" s="109" t="s">
        <v>2278</v>
      </c>
      <c r="C69" s="109" t="s">
        <v>1157</v>
      </c>
      <c r="D69" s="109" t="s">
        <v>1158</v>
      </c>
      <c r="E69" s="109" t="s">
        <v>985</v>
      </c>
      <c r="F69" s="109" t="s">
        <v>1158</v>
      </c>
      <c r="G69" s="110">
        <v>2020</v>
      </c>
      <c r="H69" s="109" t="s">
        <v>2279</v>
      </c>
      <c r="I69" s="109" t="s">
        <v>2266</v>
      </c>
      <c r="J69" s="109" t="s">
        <v>988</v>
      </c>
      <c r="K69" s="111">
        <v>43514</v>
      </c>
      <c r="L69" s="109" t="s">
        <v>988</v>
      </c>
      <c r="M69" s="111">
        <v>44075</v>
      </c>
      <c r="N69" s="109" t="s">
        <v>989</v>
      </c>
      <c r="O69" s="109"/>
      <c r="P69" s="109" t="s">
        <v>2354</v>
      </c>
      <c r="Q69" s="109" t="s">
        <v>2266</v>
      </c>
    </row>
    <row r="70" spans="1:17">
      <c r="A70" s="182"/>
      <c r="B70" s="188" t="s">
        <v>1159</v>
      </c>
      <c r="C70" s="112"/>
      <c r="D70" s="112"/>
      <c r="E70" s="112"/>
      <c r="F70" s="112"/>
      <c r="G70" s="113"/>
      <c r="H70" s="112"/>
      <c r="I70" s="112"/>
      <c r="J70" s="112"/>
      <c r="K70" s="114"/>
      <c r="L70" s="112"/>
      <c r="M70" s="114"/>
      <c r="N70" s="112"/>
      <c r="O70" s="112"/>
      <c r="P70" s="112"/>
      <c r="Q70" s="112"/>
    </row>
    <row r="71" spans="1:17">
      <c r="A71" s="181" t="s">
        <v>1148</v>
      </c>
      <c r="B71" s="109" t="s">
        <v>2280</v>
      </c>
      <c r="C71" s="109" t="s">
        <v>1157</v>
      </c>
      <c r="D71" s="109" t="s">
        <v>1161</v>
      </c>
      <c r="E71" s="109" t="s">
        <v>899</v>
      </c>
      <c r="F71" s="109" t="s">
        <v>1162</v>
      </c>
      <c r="G71" s="110">
        <v>2021</v>
      </c>
      <c r="H71" s="109" t="s">
        <v>2281</v>
      </c>
      <c r="I71" s="109"/>
      <c r="J71" s="109" t="s">
        <v>1057</v>
      </c>
      <c r="K71" s="111">
        <v>43438</v>
      </c>
      <c r="L71" s="109" t="s">
        <v>988</v>
      </c>
      <c r="M71" s="111">
        <v>41978</v>
      </c>
      <c r="N71" s="109" t="s">
        <v>1057</v>
      </c>
      <c r="O71" s="109"/>
      <c r="P71" s="109" t="s">
        <v>2348</v>
      </c>
      <c r="Q71" s="109"/>
    </row>
    <row r="72" spans="1:17">
      <c r="A72" s="182"/>
      <c r="B72" s="188" t="s">
        <v>1163</v>
      </c>
      <c r="C72" s="112"/>
      <c r="D72" s="112"/>
      <c r="E72" s="112"/>
      <c r="F72" s="112"/>
      <c r="G72" s="113"/>
      <c r="H72" s="112"/>
      <c r="I72" s="112"/>
      <c r="J72" s="112"/>
      <c r="K72" s="114"/>
      <c r="L72" s="112"/>
      <c r="M72" s="114"/>
      <c r="N72" s="112"/>
      <c r="O72" s="112"/>
      <c r="P72" s="112"/>
      <c r="Q72" s="112"/>
    </row>
    <row r="73" spans="1:17">
      <c r="A73" s="181" t="s">
        <v>1154</v>
      </c>
      <c r="B73" s="109" t="s">
        <v>2282</v>
      </c>
      <c r="C73" s="109" t="s">
        <v>1165</v>
      </c>
      <c r="D73" s="109" t="s">
        <v>1166</v>
      </c>
      <c r="E73" s="109" t="s">
        <v>899</v>
      </c>
      <c r="F73" s="109" t="s">
        <v>1167</v>
      </c>
      <c r="G73" s="110">
        <v>2021</v>
      </c>
      <c r="H73" s="109" t="s">
        <v>2244</v>
      </c>
      <c r="I73" s="109" t="s">
        <v>2245</v>
      </c>
      <c r="J73" s="109" t="s">
        <v>988</v>
      </c>
      <c r="K73" s="111">
        <v>43373</v>
      </c>
      <c r="L73" s="109" t="s">
        <v>988</v>
      </c>
      <c r="M73" s="111">
        <v>44479</v>
      </c>
      <c r="N73" s="109" t="s">
        <v>1015</v>
      </c>
      <c r="O73" s="109"/>
      <c r="P73" s="109" t="s">
        <v>2343</v>
      </c>
      <c r="Q73" s="109" t="s">
        <v>2344</v>
      </c>
    </row>
    <row r="74" spans="1:17">
      <c r="A74" s="181" t="s">
        <v>1156</v>
      </c>
      <c r="B74" s="109" t="s">
        <v>2283</v>
      </c>
      <c r="C74" s="109" t="s">
        <v>1165</v>
      </c>
      <c r="D74" s="109" t="s">
        <v>1166</v>
      </c>
      <c r="E74" s="109" t="s">
        <v>899</v>
      </c>
      <c r="F74" s="109" t="s">
        <v>1167</v>
      </c>
      <c r="G74" s="110">
        <v>2021</v>
      </c>
      <c r="H74" s="109" t="s">
        <v>2284</v>
      </c>
      <c r="I74" s="109" t="s">
        <v>2285</v>
      </c>
      <c r="J74" s="109" t="s">
        <v>1024</v>
      </c>
      <c r="K74" s="111">
        <v>43284</v>
      </c>
      <c r="L74" s="109" t="s">
        <v>988</v>
      </c>
      <c r="M74" s="111"/>
      <c r="N74" s="109" t="s">
        <v>1015</v>
      </c>
      <c r="O74" s="109"/>
      <c r="P74" s="109" t="s">
        <v>2343</v>
      </c>
      <c r="Q74" s="109" t="s">
        <v>2344</v>
      </c>
    </row>
    <row r="75" spans="1:17" s="115" customFormat="1">
      <c r="A75" s="181" t="s">
        <v>1160</v>
      </c>
      <c r="B75" s="109" t="s">
        <v>2286</v>
      </c>
      <c r="C75" s="109" t="s">
        <v>1165</v>
      </c>
      <c r="D75" s="109" t="s">
        <v>1170</v>
      </c>
      <c r="E75" s="109" t="s">
        <v>899</v>
      </c>
      <c r="F75" s="109" t="s">
        <v>1167</v>
      </c>
      <c r="G75" s="110">
        <v>1991</v>
      </c>
      <c r="H75" s="109" t="s">
        <v>1171</v>
      </c>
      <c r="I75" s="109" t="s">
        <v>1172</v>
      </c>
      <c r="J75" s="109" t="s">
        <v>1121</v>
      </c>
      <c r="K75" s="111">
        <v>43180</v>
      </c>
      <c r="L75" s="109" t="s">
        <v>988</v>
      </c>
      <c r="M75" s="110"/>
      <c r="N75" s="109" t="s">
        <v>1015</v>
      </c>
      <c r="O75" s="109" t="s">
        <v>4</v>
      </c>
      <c r="P75" s="109" t="s">
        <v>2348</v>
      </c>
      <c r="Q75" s="109" t="s">
        <v>4</v>
      </c>
    </row>
    <row r="76" spans="1:17">
      <c r="A76" s="181"/>
      <c r="B76" s="188" t="s">
        <v>1173</v>
      </c>
      <c r="C76" s="112"/>
      <c r="D76" s="112"/>
      <c r="E76" s="112"/>
      <c r="F76" s="112"/>
      <c r="G76" s="113"/>
      <c r="H76" s="112"/>
      <c r="I76" s="112"/>
      <c r="J76" s="112"/>
      <c r="K76" s="114"/>
      <c r="L76" s="112"/>
      <c r="M76" s="114"/>
      <c r="N76" s="112"/>
      <c r="O76" s="112"/>
      <c r="P76" s="112"/>
      <c r="Q76" s="112"/>
    </row>
    <row r="77" spans="1:17">
      <c r="A77" s="181" t="s">
        <v>1164</v>
      </c>
      <c r="B77" s="109" t="s">
        <v>2287</v>
      </c>
      <c r="C77" s="109" t="s">
        <v>1176</v>
      </c>
      <c r="D77" s="109" t="s">
        <v>1177</v>
      </c>
      <c r="E77" s="109" t="s">
        <v>899</v>
      </c>
      <c r="F77" s="109" t="s">
        <v>1178</v>
      </c>
      <c r="G77" s="110">
        <v>2014</v>
      </c>
      <c r="H77" s="109" t="s">
        <v>2281</v>
      </c>
      <c r="I77" s="109"/>
      <c r="J77" s="109" t="s">
        <v>1057</v>
      </c>
      <c r="K77" s="111">
        <v>43371</v>
      </c>
      <c r="L77" s="109" t="s">
        <v>988</v>
      </c>
      <c r="M77" s="111"/>
      <c r="N77" s="109" t="s">
        <v>1057</v>
      </c>
      <c r="O77" s="109"/>
      <c r="P77" s="109" t="s">
        <v>2348</v>
      </c>
      <c r="Q77" s="109"/>
    </row>
    <row r="78" spans="1:17">
      <c r="A78" s="181" t="s">
        <v>1168</v>
      </c>
      <c r="B78" s="109" t="s">
        <v>2288</v>
      </c>
      <c r="C78" s="109" t="s">
        <v>1176</v>
      </c>
      <c r="D78" s="109" t="s">
        <v>1177</v>
      </c>
      <c r="E78" s="109" t="s">
        <v>899</v>
      </c>
      <c r="F78" s="109" t="s">
        <v>1178</v>
      </c>
      <c r="G78" s="110">
        <v>2021</v>
      </c>
      <c r="H78" s="109" t="s">
        <v>2244</v>
      </c>
      <c r="I78" s="109" t="s">
        <v>2245</v>
      </c>
      <c r="J78" s="109" t="s">
        <v>988</v>
      </c>
      <c r="K78" s="111">
        <v>43374</v>
      </c>
      <c r="L78" s="109" t="s">
        <v>988</v>
      </c>
      <c r="M78" s="111">
        <v>44479</v>
      </c>
      <c r="N78" s="109" t="s">
        <v>1015</v>
      </c>
      <c r="O78" s="109"/>
      <c r="P78" s="109" t="s">
        <v>2343</v>
      </c>
      <c r="Q78" s="109" t="s">
        <v>2344</v>
      </c>
    </row>
    <row r="79" spans="1:17">
      <c r="A79" s="181" t="s">
        <v>1169</v>
      </c>
      <c r="B79" s="109" t="s">
        <v>2289</v>
      </c>
      <c r="C79" s="109" t="s">
        <v>1176</v>
      </c>
      <c r="D79" s="109" t="s">
        <v>1177</v>
      </c>
      <c r="E79" s="109" t="s">
        <v>899</v>
      </c>
      <c r="F79" s="109" t="s">
        <v>1178</v>
      </c>
      <c r="G79" s="110">
        <v>2021</v>
      </c>
      <c r="H79" s="109" t="s">
        <v>2284</v>
      </c>
      <c r="I79" s="109" t="s">
        <v>2285</v>
      </c>
      <c r="J79" s="109" t="s">
        <v>1024</v>
      </c>
      <c r="K79" s="111">
        <v>43284</v>
      </c>
      <c r="L79" s="109" t="s">
        <v>988</v>
      </c>
      <c r="M79" s="111"/>
      <c r="N79" s="109" t="s">
        <v>1015</v>
      </c>
      <c r="O79" s="109"/>
      <c r="P79" s="109" t="s">
        <v>2343</v>
      </c>
      <c r="Q79" s="109" t="s">
        <v>2344</v>
      </c>
    </row>
    <row r="80" spans="1:17">
      <c r="A80" s="181" t="s">
        <v>1174</v>
      </c>
      <c r="B80" s="109" t="s">
        <v>2290</v>
      </c>
      <c r="C80" s="109" t="s">
        <v>1176</v>
      </c>
      <c r="D80" s="109" t="s">
        <v>1184</v>
      </c>
      <c r="E80" s="109" t="s">
        <v>899</v>
      </c>
      <c r="F80" s="109" t="s">
        <v>1178</v>
      </c>
      <c r="G80" s="110">
        <v>2016</v>
      </c>
      <c r="H80" s="109" t="s">
        <v>1185</v>
      </c>
      <c r="I80" s="109" t="s">
        <v>1186</v>
      </c>
      <c r="J80" s="109" t="s">
        <v>1121</v>
      </c>
      <c r="K80" s="111">
        <v>43327</v>
      </c>
      <c r="L80" s="109" t="s">
        <v>988</v>
      </c>
      <c r="M80" s="111">
        <v>42598</v>
      </c>
      <c r="N80" s="109" t="s">
        <v>1015</v>
      </c>
      <c r="O80" s="109"/>
      <c r="P80" s="109" t="s">
        <v>2348</v>
      </c>
      <c r="Q80" s="109"/>
    </row>
    <row r="81" spans="1:17">
      <c r="A81" s="181"/>
      <c r="B81" s="188" t="s">
        <v>1193</v>
      </c>
      <c r="C81" s="112"/>
      <c r="D81" s="112"/>
      <c r="E81" s="112"/>
      <c r="F81" s="112"/>
      <c r="G81" s="113"/>
      <c r="H81" s="112"/>
      <c r="I81" s="112"/>
      <c r="J81" s="112"/>
      <c r="K81" s="114"/>
      <c r="L81" s="112"/>
      <c r="M81" s="114"/>
      <c r="N81" s="112"/>
      <c r="O81" s="112"/>
      <c r="P81" s="112"/>
      <c r="Q81" s="112"/>
    </row>
    <row r="82" spans="1:17">
      <c r="A82" s="181" t="s">
        <v>1181</v>
      </c>
      <c r="B82" s="109" t="s">
        <v>2291</v>
      </c>
      <c r="C82" s="109" t="s">
        <v>1176</v>
      </c>
      <c r="D82" s="109" t="s">
        <v>1184</v>
      </c>
      <c r="E82" s="109" t="s">
        <v>899</v>
      </c>
      <c r="F82" s="109" t="s">
        <v>1195</v>
      </c>
      <c r="G82" s="110">
        <v>2021</v>
      </c>
      <c r="H82" s="109" t="s">
        <v>2244</v>
      </c>
      <c r="I82" s="109" t="s">
        <v>2245</v>
      </c>
      <c r="J82" s="109" t="s">
        <v>988</v>
      </c>
      <c r="K82" s="111"/>
      <c r="L82" s="109"/>
      <c r="M82" s="111">
        <v>44479</v>
      </c>
      <c r="N82" s="109" t="s">
        <v>1015</v>
      </c>
      <c r="O82" s="109"/>
      <c r="P82" s="109" t="s">
        <v>2343</v>
      </c>
      <c r="Q82" s="109" t="s">
        <v>2344</v>
      </c>
    </row>
    <row r="83" spans="1:17">
      <c r="A83" s="181" t="s">
        <v>1182</v>
      </c>
      <c r="B83" s="109" t="s">
        <v>2292</v>
      </c>
      <c r="C83" s="109" t="s">
        <v>1176</v>
      </c>
      <c r="D83" s="109" t="s">
        <v>1184</v>
      </c>
      <c r="E83" s="109" t="s">
        <v>899</v>
      </c>
      <c r="F83" s="109" t="s">
        <v>1195</v>
      </c>
      <c r="G83" s="110">
        <v>2021</v>
      </c>
      <c r="H83" s="109" t="s">
        <v>2284</v>
      </c>
      <c r="I83" s="109" t="s">
        <v>2285</v>
      </c>
      <c r="J83" s="109" t="s">
        <v>1024</v>
      </c>
      <c r="K83" s="111">
        <v>43387</v>
      </c>
      <c r="L83" s="109" t="s">
        <v>988</v>
      </c>
      <c r="M83" s="111"/>
      <c r="N83" s="109" t="s">
        <v>1015</v>
      </c>
      <c r="O83" s="109"/>
      <c r="P83" s="109" t="s">
        <v>2343</v>
      </c>
      <c r="Q83" s="109" t="s">
        <v>2344</v>
      </c>
    </row>
    <row r="84" spans="1:17">
      <c r="A84" s="181" t="s">
        <v>1183</v>
      </c>
      <c r="B84" s="109" t="s">
        <v>2293</v>
      </c>
      <c r="C84" s="109" t="s">
        <v>1176</v>
      </c>
      <c r="D84" s="109" t="s">
        <v>1177</v>
      </c>
      <c r="E84" s="109" t="s">
        <v>899</v>
      </c>
      <c r="F84" s="109" t="s">
        <v>1195</v>
      </c>
      <c r="G84" s="110">
        <v>2007</v>
      </c>
      <c r="H84" s="109" t="s">
        <v>1120</v>
      </c>
      <c r="I84" s="109" t="s">
        <v>1198</v>
      </c>
      <c r="J84" s="109" t="s">
        <v>1121</v>
      </c>
      <c r="K84" s="111">
        <v>43186</v>
      </c>
      <c r="L84" s="109" t="s">
        <v>988</v>
      </c>
      <c r="M84" s="110"/>
      <c r="N84" s="109" t="s">
        <v>1015</v>
      </c>
      <c r="O84" s="109"/>
      <c r="P84" s="109" t="s">
        <v>2348</v>
      </c>
      <c r="Q84" s="109"/>
    </row>
    <row r="85" spans="1:17">
      <c r="A85" s="181"/>
      <c r="B85" s="188" t="s">
        <v>1199</v>
      </c>
      <c r="C85" s="112"/>
      <c r="D85" s="112"/>
      <c r="E85" s="112"/>
      <c r="F85" s="112"/>
      <c r="G85" s="113"/>
      <c r="H85" s="112"/>
      <c r="I85" s="112"/>
      <c r="J85" s="112"/>
      <c r="K85" s="114"/>
      <c r="L85" s="112"/>
      <c r="M85" s="114"/>
      <c r="N85" s="112"/>
      <c r="O85" s="112"/>
      <c r="P85" s="112"/>
      <c r="Q85" s="112"/>
    </row>
    <row r="86" spans="1:17">
      <c r="A86" s="181" t="s">
        <v>1187</v>
      </c>
      <c r="B86" s="109" t="s">
        <v>2294</v>
      </c>
      <c r="C86" s="109" t="s">
        <v>1176</v>
      </c>
      <c r="D86" s="109" t="s">
        <v>1201</v>
      </c>
      <c r="E86" s="109" t="s">
        <v>899</v>
      </c>
      <c r="F86" s="109" t="s">
        <v>1202</v>
      </c>
      <c r="G86" s="110">
        <v>2021</v>
      </c>
      <c r="H86" s="109" t="s">
        <v>2244</v>
      </c>
      <c r="I86" s="109" t="s">
        <v>2245</v>
      </c>
      <c r="J86" s="109" t="s">
        <v>988</v>
      </c>
      <c r="K86" s="111">
        <v>43489</v>
      </c>
      <c r="L86" s="109" t="s">
        <v>988</v>
      </c>
      <c r="M86" s="111">
        <v>44479</v>
      </c>
      <c r="N86" s="109" t="s">
        <v>1015</v>
      </c>
      <c r="O86" s="109"/>
      <c r="P86" s="109" t="s">
        <v>2343</v>
      </c>
      <c r="Q86" s="109" t="s">
        <v>2344</v>
      </c>
    </row>
    <row r="87" spans="1:17">
      <c r="A87" s="181" t="s">
        <v>1191</v>
      </c>
      <c r="B87" s="109" t="s">
        <v>2295</v>
      </c>
      <c r="C87" s="109" t="s">
        <v>1176</v>
      </c>
      <c r="D87" s="109" t="s">
        <v>1201</v>
      </c>
      <c r="E87" s="109" t="s">
        <v>899</v>
      </c>
      <c r="F87" s="109" t="s">
        <v>1202</v>
      </c>
      <c r="G87" s="110">
        <v>2021</v>
      </c>
      <c r="H87" s="109" t="s">
        <v>2255</v>
      </c>
      <c r="I87" s="109"/>
      <c r="J87" s="109" t="s">
        <v>1024</v>
      </c>
      <c r="K87" s="111">
        <v>43223</v>
      </c>
      <c r="L87" s="109" t="s">
        <v>988</v>
      </c>
      <c r="M87" s="111">
        <v>44479</v>
      </c>
      <c r="N87" s="109" t="s">
        <v>1015</v>
      </c>
      <c r="O87" s="109"/>
      <c r="P87" s="109" t="s">
        <v>2343</v>
      </c>
      <c r="Q87" s="109" t="s">
        <v>2344</v>
      </c>
    </row>
    <row r="88" spans="1:17">
      <c r="A88" s="181" t="s">
        <v>1194</v>
      </c>
      <c r="B88" s="109" t="s">
        <v>1205</v>
      </c>
      <c r="C88" s="109" t="s">
        <v>1176</v>
      </c>
      <c r="D88" s="109" t="s">
        <v>1177</v>
      </c>
      <c r="E88" s="109" t="s">
        <v>899</v>
      </c>
      <c r="F88" s="109" t="s">
        <v>1202</v>
      </c>
      <c r="G88" s="110">
        <v>2019</v>
      </c>
      <c r="H88" s="109" t="s">
        <v>1179</v>
      </c>
      <c r="I88" s="109" t="s">
        <v>1180</v>
      </c>
      <c r="J88" s="109" t="s">
        <v>1057</v>
      </c>
      <c r="K88" s="111">
        <v>43371</v>
      </c>
      <c r="L88" s="109" t="s">
        <v>988</v>
      </c>
      <c r="M88" s="111"/>
      <c r="N88" s="109" t="s">
        <v>1057</v>
      </c>
      <c r="O88" s="109"/>
      <c r="P88" s="109" t="s">
        <v>2348</v>
      </c>
      <c r="Q88" s="109"/>
    </row>
    <row r="89" spans="1:17">
      <c r="A89" s="181" t="s">
        <v>1196</v>
      </c>
      <c r="B89" s="109" t="s">
        <v>2296</v>
      </c>
      <c r="C89" s="109" t="s">
        <v>1176</v>
      </c>
      <c r="D89" s="109" t="s">
        <v>1201</v>
      </c>
      <c r="E89" s="109" t="s">
        <v>899</v>
      </c>
      <c r="F89" s="109" t="s">
        <v>1202</v>
      </c>
      <c r="G89" s="110">
        <v>2015</v>
      </c>
      <c r="H89" s="109" t="s">
        <v>1120</v>
      </c>
      <c r="I89" s="109" t="s">
        <v>1207</v>
      </c>
      <c r="J89" s="109" t="s">
        <v>1121</v>
      </c>
      <c r="K89" s="111">
        <v>43476</v>
      </c>
      <c r="L89" s="109" t="s">
        <v>988</v>
      </c>
      <c r="M89" s="111">
        <v>42016</v>
      </c>
      <c r="N89" s="109" t="s">
        <v>1015</v>
      </c>
      <c r="O89" s="109"/>
      <c r="P89" s="109" t="s">
        <v>2348</v>
      </c>
      <c r="Q89" s="109"/>
    </row>
    <row r="90" spans="1:17" s="115" customFormat="1">
      <c r="A90" s="181" t="s">
        <v>1197</v>
      </c>
      <c r="B90" s="109" t="s">
        <v>2297</v>
      </c>
      <c r="C90" s="109" t="s">
        <v>1176</v>
      </c>
      <c r="D90" s="109" t="s">
        <v>1201</v>
      </c>
      <c r="E90" s="109" t="s">
        <v>899</v>
      </c>
      <c r="F90" s="109" t="s">
        <v>1202</v>
      </c>
      <c r="G90" s="110">
        <v>2012</v>
      </c>
      <c r="H90" s="109" t="s">
        <v>1022</v>
      </c>
      <c r="I90" s="109" t="s">
        <v>1023</v>
      </c>
      <c r="J90" s="109" t="s">
        <v>1024</v>
      </c>
      <c r="K90" s="111">
        <v>43688</v>
      </c>
      <c r="L90" s="109" t="s">
        <v>1024</v>
      </c>
      <c r="M90" s="111">
        <v>41196</v>
      </c>
      <c r="N90" s="109" t="s">
        <v>1015</v>
      </c>
      <c r="O90" s="109" t="s">
        <v>4</v>
      </c>
      <c r="P90" s="109" t="s">
        <v>2348</v>
      </c>
      <c r="Q90" s="109" t="s">
        <v>4</v>
      </c>
    </row>
    <row r="91" spans="1:17">
      <c r="A91" s="181"/>
      <c r="B91" s="188" t="s">
        <v>1209</v>
      </c>
      <c r="C91" s="112"/>
      <c r="D91" s="112"/>
      <c r="E91" s="112"/>
      <c r="F91" s="112"/>
      <c r="G91" s="113"/>
      <c r="H91" s="112"/>
      <c r="I91" s="112"/>
      <c r="J91" s="112"/>
      <c r="K91" s="114"/>
      <c r="L91" s="112"/>
      <c r="M91" s="114"/>
      <c r="N91" s="112"/>
      <c r="O91" s="112"/>
      <c r="P91" s="112"/>
      <c r="Q91" s="112"/>
    </row>
    <row r="92" spans="1:17">
      <c r="A92" s="181" t="s">
        <v>1200</v>
      </c>
      <c r="B92" s="109" t="s">
        <v>1211</v>
      </c>
      <c r="C92" s="109" t="s">
        <v>1212</v>
      </c>
      <c r="D92" s="109"/>
      <c r="E92" s="109"/>
      <c r="F92" s="109" t="s">
        <v>2298</v>
      </c>
      <c r="G92" s="110">
        <v>2019</v>
      </c>
      <c r="H92" s="109" t="s">
        <v>1001</v>
      </c>
      <c r="I92" s="109" t="s">
        <v>1002</v>
      </c>
      <c r="J92" s="109" t="s">
        <v>988</v>
      </c>
      <c r="K92" s="111"/>
      <c r="L92" s="109"/>
      <c r="M92" s="111"/>
      <c r="N92" s="109" t="s">
        <v>989</v>
      </c>
      <c r="O92" s="109"/>
      <c r="P92" s="109" t="s">
        <v>2343</v>
      </c>
      <c r="Q92" s="109" t="s">
        <v>2341</v>
      </c>
    </row>
    <row r="93" spans="1:17">
      <c r="A93" s="181" t="s">
        <v>1203</v>
      </c>
      <c r="B93" s="109" t="s">
        <v>2299</v>
      </c>
      <c r="C93" s="109" t="s">
        <v>1212</v>
      </c>
      <c r="D93" s="109" t="s">
        <v>1214</v>
      </c>
      <c r="E93" s="109" t="s">
        <v>1066</v>
      </c>
      <c r="F93" s="109" t="s">
        <v>1215</v>
      </c>
      <c r="G93" s="110">
        <v>2014</v>
      </c>
      <c r="H93" s="109" t="s">
        <v>1055</v>
      </c>
      <c r="I93" s="109" t="s">
        <v>1060</v>
      </c>
      <c r="J93" s="109" t="s">
        <v>1057</v>
      </c>
      <c r="K93" s="111">
        <v>43346</v>
      </c>
      <c r="L93" s="109" t="s">
        <v>988</v>
      </c>
      <c r="M93" s="111">
        <v>41886</v>
      </c>
      <c r="N93" s="109" t="s">
        <v>1057</v>
      </c>
      <c r="O93" s="109"/>
      <c r="P93" s="109" t="s">
        <v>2348</v>
      </c>
      <c r="Q93" s="109"/>
    </row>
    <row r="94" spans="1:17">
      <c r="A94" s="181" t="s">
        <v>1204</v>
      </c>
      <c r="B94" s="116" t="s">
        <v>2300</v>
      </c>
      <c r="C94" s="109" t="s">
        <v>1212</v>
      </c>
      <c r="D94" s="109" t="s">
        <v>1104</v>
      </c>
      <c r="E94" s="109" t="s">
        <v>1104</v>
      </c>
      <c r="F94" s="109" t="s">
        <v>1215</v>
      </c>
      <c r="G94" s="110">
        <v>2021</v>
      </c>
      <c r="H94" s="109" t="s">
        <v>1022</v>
      </c>
      <c r="I94" s="109" t="s">
        <v>1023</v>
      </c>
      <c r="J94" s="109" t="s">
        <v>1024</v>
      </c>
      <c r="K94" s="111">
        <v>43473</v>
      </c>
      <c r="L94" s="109" t="s">
        <v>988</v>
      </c>
      <c r="M94" s="111">
        <v>43165</v>
      </c>
      <c r="N94" s="109" t="s">
        <v>1015</v>
      </c>
      <c r="O94" s="109"/>
      <c r="P94" s="109" t="s">
        <v>2343</v>
      </c>
      <c r="Q94" s="109" t="s">
        <v>2344</v>
      </c>
    </row>
    <row r="95" spans="1:17">
      <c r="A95" s="181"/>
      <c r="B95" s="188" t="s">
        <v>1217</v>
      </c>
      <c r="C95" s="112"/>
      <c r="D95" s="112"/>
      <c r="E95" s="112"/>
      <c r="F95" s="112"/>
      <c r="G95" s="113"/>
      <c r="H95" s="112"/>
      <c r="I95" s="112"/>
      <c r="J95" s="112"/>
      <c r="K95" s="114"/>
      <c r="L95" s="112"/>
      <c r="M95" s="114"/>
      <c r="N95" s="112"/>
      <c r="O95" s="112"/>
      <c r="P95" s="112"/>
      <c r="Q95" s="112"/>
    </row>
    <row r="96" spans="1:17">
      <c r="A96" s="181" t="s">
        <v>1206</v>
      </c>
      <c r="B96" s="109" t="s">
        <v>2301</v>
      </c>
      <c r="C96" s="109" t="s">
        <v>1219</v>
      </c>
      <c r="D96" s="109" t="s">
        <v>1220</v>
      </c>
      <c r="E96" s="109" t="s">
        <v>899</v>
      </c>
      <c r="F96" s="109" t="s">
        <v>1221</v>
      </c>
      <c r="G96" s="110">
        <v>2021</v>
      </c>
      <c r="H96" s="109" t="s">
        <v>2302</v>
      </c>
      <c r="I96" s="109" t="s">
        <v>2261</v>
      </c>
      <c r="J96" s="109" t="s">
        <v>1024</v>
      </c>
      <c r="K96" s="111">
        <v>43284</v>
      </c>
      <c r="L96" s="109" t="s">
        <v>988</v>
      </c>
      <c r="M96" s="111">
        <v>44343</v>
      </c>
      <c r="N96" s="109" t="s">
        <v>1015</v>
      </c>
      <c r="O96" s="109"/>
      <c r="P96" s="109" t="s">
        <v>2343</v>
      </c>
      <c r="Q96" s="109" t="s">
        <v>2344</v>
      </c>
    </row>
    <row r="97" spans="1:17">
      <c r="A97" s="181" t="s">
        <v>1208</v>
      </c>
      <c r="B97" s="109" t="s">
        <v>1223</v>
      </c>
      <c r="C97" s="109" t="s">
        <v>1219</v>
      </c>
      <c r="D97" s="109" t="s">
        <v>1224</v>
      </c>
      <c r="E97" s="109" t="s">
        <v>899</v>
      </c>
      <c r="F97" s="109" t="s">
        <v>1221</v>
      </c>
      <c r="G97" s="110">
        <v>2019</v>
      </c>
      <c r="H97" s="109" t="s">
        <v>1106</v>
      </c>
      <c r="I97" s="117" t="s">
        <v>1225</v>
      </c>
      <c r="J97" s="109" t="s">
        <v>1024</v>
      </c>
      <c r="K97" s="111">
        <v>43588</v>
      </c>
      <c r="L97" s="109" t="s">
        <v>988</v>
      </c>
      <c r="M97" s="111"/>
      <c r="N97" s="109" t="s">
        <v>1015</v>
      </c>
      <c r="O97" s="109"/>
      <c r="P97" s="109" t="s">
        <v>2343</v>
      </c>
      <c r="Q97" s="109" t="s">
        <v>2341</v>
      </c>
    </row>
    <row r="98" spans="1:17">
      <c r="A98" s="181" t="s">
        <v>1210</v>
      </c>
      <c r="B98" s="109" t="s">
        <v>1192</v>
      </c>
      <c r="C98" s="109" t="s">
        <v>1219</v>
      </c>
      <c r="D98" s="109"/>
      <c r="E98" s="109"/>
      <c r="F98" s="109" t="s">
        <v>1221</v>
      </c>
      <c r="G98" s="110">
        <v>2018</v>
      </c>
      <c r="H98" s="109" t="s">
        <v>1121</v>
      </c>
      <c r="I98" s="109" t="s">
        <v>1121</v>
      </c>
      <c r="J98" s="109" t="s">
        <v>1121</v>
      </c>
      <c r="K98" s="111"/>
      <c r="L98" s="109"/>
      <c r="M98" s="111"/>
      <c r="N98" s="109" t="s">
        <v>1015</v>
      </c>
      <c r="O98" s="109"/>
      <c r="P98" s="109" t="s">
        <v>2348</v>
      </c>
      <c r="Q98" s="109"/>
    </row>
    <row r="99" spans="1:17">
      <c r="A99" s="181"/>
      <c r="B99" s="188" t="s">
        <v>1226</v>
      </c>
      <c r="C99" s="112"/>
      <c r="D99" s="112"/>
      <c r="E99" s="112"/>
      <c r="F99" s="112"/>
      <c r="G99" s="113"/>
      <c r="H99" s="112"/>
      <c r="I99" s="112"/>
      <c r="J99" s="112"/>
      <c r="K99" s="114"/>
      <c r="L99" s="112"/>
      <c r="M99" s="114"/>
      <c r="N99" s="112"/>
      <c r="O99" s="112"/>
      <c r="P99" s="112"/>
      <c r="Q99" s="112"/>
    </row>
    <row r="100" spans="1:17">
      <c r="A100" s="181" t="s">
        <v>1213</v>
      </c>
      <c r="B100" s="109" t="s">
        <v>2303</v>
      </c>
      <c r="C100" s="109" t="s">
        <v>1228</v>
      </c>
      <c r="D100" s="109" t="s">
        <v>1229</v>
      </c>
      <c r="E100" s="109" t="s">
        <v>899</v>
      </c>
      <c r="F100" s="109" t="s">
        <v>311</v>
      </c>
      <c r="G100" s="110">
        <v>2021</v>
      </c>
      <c r="H100" s="109" t="s">
        <v>2244</v>
      </c>
      <c r="I100" s="109" t="s">
        <v>2245</v>
      </c>
      <c r="J100" s="109" t="s">
        <v>988</v>
      </c>
      <c r="K100" s="111">
        <v>43373</v>
      </c>
      <c r="L100" s="109" t="s">
        <v>988</v>
      </c>
      <c r="M100" s="111">
        <v>44479</v>
      </c>
      <c r="N100" s="109" t="s">
        <v>1015</v>
      </c>
      <c r="O100" s="109"/>
      <c r="P100" s="109" t="s">
        <v>2343</v>
      </c>
      <c r="Q100" s="109" t="s">
        <v>2344</v>
      </c>
    </row>
    <row r="101" spans="1:17">
      <c r="A101" s="181" t="s">
        <v>1216</v>
      </c>
      <c r="B101" s="109" t="s">
        <v>2304</v>
      </c>
      <c r="C101" s="109" t="s">
        <v>1228</v>
      </c>
      <c r="D101" s="109" t="s">
        <v>1231</v>
      </c>
      <c r="E101" s="109" t="s">
        <v>899</v>
      </c>
      <c r="F101" s="109" t="s">
        <v>311</v>
      </c>
      <c r="G101" s="110">
        <v>2016</v>
      </c>
      <c r="H101" s="109" t="s">
        <v>1022</v>
      </c>
      <c r="I101" s="109" t="s">
        <v>1232</v>
      </c>
      <c r="J101" s="109" t="s">
        <v>1233</v>
      </c>
      <c r="K101" s="111">
        <v>43693</v>
      </c>
      <c r="L101" s="109" t="s">
        <v>988</v>
      </c>
      <c r="M101" s="111">
        <v>42632</v>
      </c>
      <c r="N101" s="109" t="s">
        <v>1015</v>
      </c>
      <c r="O101" s="109"/>
      <c r="P101" s="109" t="s">
        <v>2266</v>
      </c>
      <c r="Q101" s="109"/>
    </row>
    <row r="102" spans="1:17">
      <c r="A102" s="181" t="s">
        <v>1218</v>
      </c>
      <c r="B102" s="109" t="s">
        <v>1235</v>
      </c>
      <c r="C102" s="109" t="s">
        <v>1228</v>
      </c>
      <c r="D102" s="109" t="s">
        <v>1236</v>
      </c>
      <c r="E102" s="109" t="s">
        <v>899</v>
      </c>
      <c r="F102" s="109" t="s">
        <v>311</v>
      </c>
      <c r="G102" s="110">
        <v>2019</v>
      </c>
      <c r="H102" s="109" t="s">
        <v>1106</v>
      </c>
      <c r="I102" s="117" t="s">
        <v>1225</v>
      </c>
      <c r="J102" s="109" t="s">
        <v>1024</v>
      </c>
      <c r="K102" s="111">
        <v>43585</v>
      </c>
      <c r="L102" s="109" t="s">
        <v>988</v>
      </c>
      <c r="M102" s="111"/>
      <c r="N102" s="109" t="s">
        <v>1015</v>
      </c>
      <c r="O102" s="109" t="s">
        <v>4</v>
      </c>
      <c r="P102" s="109" t="s">
        <v>2343</v>
      </c>
      <c r="Q102" s="109" t="s">
        <v>2341</v>
      </c>
    </row>
    <row r="103" spans="1:17">
      <c r="A103" s="181" t="s">
        <v>1222</v>
      </c>
      <c r="B103" s="109" t="s">
        <v>1175</v>
      </c>
      <c r="C103" s="109" t="s">
        <v>1176</v>
      </c>
      <c r="D103" s="109" t="s">
        <v>1177</v>
      </c>
      <c r="E103" s="109" t="s">
        <v>899</v>
      </c>
      <c r="F103" s="109" t="s">
        <v>311</v>
      </c>
      <c r="G103" s="110">
        <v>2019</v>
      </c>
      <c r="H103" s="109" t="s">
        <v>2305</v>
      </c>
      <c r="I103" s="109" t="s">
        <v>2305</v>
      </c>
      <c r="J103" s="109" t="s">
        <v>1057</v>
      </c>
      <c r="K103" s="111">
        <v>43371</v>
      </c>
      <c r="L103" s="109" t="s">
        <v>988</v>
      </c>
      <c r="M103" s="111"/>
      <c r="N103" s="109" t="s">
        <v>1057</v>
      </c>
      <c r="O103" s="109"/>
      <c r="P103" s="109" t="s">
        <v>2348</v>
      </c>
      <c r="Q103" s="109"/>
    </row>
    <row r="104" spans="1:17">
      <c r="A104" s="181" t="s">
        <v>1227</v>
      </c>
      <c r="B104" s="109" t="s">
        <v>2306</v>
      </c>
      <c r="C104" s="109" t="s">
        <v>1228</v>
      </c>
      <c r="D104" s="109" t="s">
        <v>1236</v>
      </c>
      <c r="E104" s="109" t="s">
        <v>899</v>
      </c>
      <c r="F104" s="109" t="s">
        <v>311</v>
      </c>
      <c r="G104" s="110">
        <v>2001</v>
      </c>
      <c r="H104" s="109" t="s">
        <v>1120</v>
      </c>
      <c r="I104" s="109" t="s">
        <v>1238</v>
      </c>
      <c r="J104" s="109" t="s">
        <v>1121</v>
      </c>
      <c r="K104" s="111">
        <v>43633</v>
      </c>
      <c r="L104" s="109" t="s">
        <v>988</v>
      </c>
      <c r="M104" s="110"/>
      <c r="N104" s="109" t="s">
        <v>1015</v>
      </c>
      <c r="O104" s="109"/>
      <c r="P104" s="109" t="s">
        <v>2348</v>
      </c>
      <c r="Q104" s="109"/>
    </row>
    <row r="105" spans="1:17">
      <c r="A105" s="181"/>
      <c r="B105" s="188" t="s">
        <v>1239</v>
      </c>
      <c r="C105" s="112"/>
      <c r="D105" s="112"/>
      <c r="E105" s="112"/>
      <c r="F105" s="112"/>
      <c r="G105" s="113"/>
      <c r="H105" s="112"/>
      <c r="I105" s="112"/>
      <c r="J105" s="112"/>
      <c r="K105" s="114"/>
      <c r="L105" s="112"/>
      <c r="M105" s="114"/>
      <c r="N105" s="112"/>
      <c r="O105" s="112"/>
      <c r="P105" s="112"/>
      <c r="Q105" s="112"/>
    </row>
    <row r="106" spans="1:17">
      <c r="A106" s="181" t="s">
        <v>1230</v>
      </c>
      <c r="B106" s="109" t="s">
        <v>1241</v>
      </c>
      <c r="C106" s="109" t="s">
        <v>2307</v>
      </c>
      <c r="D106" s="109"/>
      <c r="E106" s="109"/>
      <c r="F106" s="109" t="s">
        <v>2308</v>
      </c>
      <c r="G106" s="110">
        <v>2020</v>
      </c>
      <c r="H106" s="109" t="s">
        <v>1242</v>
      </c>
      <c r="I106" s="117" t="s">
        <v>1243</v>
      </c>
      <c r="J106" s="117" t="s">
        <v>1244</v>
      </c>
      <c r="K106" s="111"/>
      <c r="L106" s="109"/>
      <c r="M106" s="111"/>
      <c r="N106" s="109" t="s">
        <v>1015</v>
      </c>
      <c r="O106" s="109" t="s">
        <v>1245</v>
      </c>
      <c r="P106" s="109" t="s">
        <v>2343</v>
      </c>
      <c r="Q106" s="109" t="s">
        <v>2342</v>
      </c>
    </row>
    <row r="107" spans="1:17">
      <c r="A107" s="181" t="s">
        <v>1234</v>
      </c>
      <c r="B107" s="109" t="s">
        <v>2309</v>
      </c>
      <c r="C107" s="109" t="s">
        <v>2307</v>
      </c>
      <c r="D107" s="109" t="s">
        <v>1137</v>
      </c>
      <c r="E107" s="109" t="s">
        <v>914</v>
      </c>
      <c r="F107" s="109" t="s">
        <v>2308</v>
      </c>
      <c r="G107" s="110">
        <v>2021</v>
      </c>
      <c r="H107" s="109" t="s">
        <v>2244</v>
      </c>
      <c r="I107" s="109" t="s">
        <v>2245</v>
      </c>
      <c r="J107" s="109" t="s">
        <v>988</v>
      </c>
      <c r="K107" s="111">
        <v>43489</v>
      </c>
      <c r="L107" s="109" t="s">
        <v>988</v>
      </c>
      <c r="M107" s="111">
        <v>44479</v>
      </c>
      <c r="N107" s="109" t="s">
        <v>1015</v>
      </c>
      <c r="O107" s="109"/>
      <c r="P107" s="109" t="s">
        <v>2343</v>
      </c>
      <c r="Q107" s="109" t="s">
        <v>2344</v>
      </c>
    </row>
    <row r="108" spans="1:17">
      <c r="A108" s="181" t="s">
        <v>1237</v>
      </c>
      <c r="B108" s="109" t="s">
        <v>1250</v>
      </c>
      <c r="C108" s="109" t="s">
        <v>1157</v>
      </c>
      <c r="D108" s="109" t="s">
        <v>1177</v>
      </c>
      <c r="E108" s="109" t="s">
        <v>899</v>
      </c>
      <c r="F108" s="109" t="s">
        <v>899</v>
      </c>
      <c r="G108" s="110">
        <v>2019</v>
      </c>
      <c r="H108" s="109" t="s">
        <v>1179</v>
      </c>
      <c r="I108" s="109" t="s">
        <v>1180</v>
      </c>
      <c r="J108" s="109" t="s">
        <v>1057</v>
      </c>
      <c r="K108" s="111">
        <v>43371</v>
      </c>
      <c r="L108" s="109" t="s">
        <v>988</v>
      </c>
      <c r="M108" s="111"/>
      <c r="N108" s="109" t="s">
        <v>1057</v>
      </c>
      <c r="O108" s="109"/>
      <c r="P108" s="109" t="s">
        <v>2348</v>
      </c>
      <c r="Q108" s="109"/>
    </row>
    <row r="109" spans="1:17">
      <c r="A109" s="181" t="s">
        <v>1240</v>
      </c>
      <c r="B109" s="109" t="s">
        <v>1252</v>
      </c>
      <c r="C109" s="109" t="s">
        <v>1157</v>
      </c>
      <c r="D109" s="109"/>
      <c r="E109" s="109"/>
      <c r="F109" s="109" t="s">
        <v>899</v>
      </c>
      <c r="G109" s="110">
        <v>2020</v>
      </c>
      <c r="H109" s="109" t="s">
        <v>996</v>
      </c>
      <c r="I109" s="109" t="s">
        <v>1253</v>
      </c>
      <c r="J109" s="109" t="s">
        <v>988</v>
      </c>
      <c r="K109" s="111"/>
      <c r="L109" s="109"/>
      <c r="M109" s="111"/>
      <c r="N109" s="109" t="s">
        <v>1015</v>
      </c>
      <c r="O109" s="109"/>
      <c r="P109" s="109" t="s">
        <v>2343</v>
      </c>
      <c r="Q109" s="109" t="s">
        <v>2342</v>
      </c>
    </row>
    <row r="110" spans="1:17">
      <c r="A110" s="181"/>
      <c r="B110" s="188" t="s">
        <v>17</v>
      </c>
      <c r="C110" s="109"/>
      <c r="D110" s="109"/>
      <c r="E110" s="109"/>
      <c r="F110" s="109"/>
      <c r="G110" s="110"/>
      <c r="H110" s="109"/>
      <c r="I110" s="109"/>
      <c r="J110" s="109"/>
      <c r="K110" s="111"/>
      <c r="L110" s="109"/>
      <c r="M110" s="111"/>
      <c r="N110" s="109"/>
      <c r="O110" s="109"/>
      <c r="P110" s="109"/>
      <c r="Q110" s="109"/>
    </row>
    <row r="111" spans="1:17">
      <c r="A111" s="181" t="s">
        <v>1246</v>
      </c>
      <c r="B111" s="109" t="s">
        <v>2310</v>
      </c>
      <c r="C111" s="109" t="s">
        <v>2311</v>
      </c>
      <c r="D111" s="109"/>
      <c r="E111" s="109"/>
      <c r="F111" s="109" t="s">
        <v>17</v>
      </c>
      <c r="G111" s="110">
        <v>2011</v>
      </c>
      <c r="H111" s="109" t="s">
        <v>1188</v>
      </c>
      <c r="I111" s="109" t="s">
        <v>1189</v>
      </c>
      <c r="J111" s="109" t="s">
        <v>1190</v>
      </c>
      <c r="K111" s="111">
        <v>43713</v>
      </c>
      <c r="L111" s="109" t="s">
        <v>1079</v>
      </c>
      <c r="M111" s="111">
        <v>40766</v>
      </c>
      <c r="N111" s="109" t="s">
        <v>1015</v>
      </c>
      <c r="O111" s="109"/>
      <c r="P111" s="109" t="s">
        <v>2348</v>
      </c>
      <c r="Q111" s="109"/>
    </row>
    <row r="112" spans="1:17">
      <c r="A112" s="181" t="s">
        <v>1249</v>
      </c>
      <c r="B112" s="109" t="s">
        <v>1247</v>
      </c>
      <c r="C112" s="109" t="s">
        <v>2311</v>
      </c>
      <c r="D112" s="109"/>
      <c r="E112" s="109"/>
      <c r="F112" s="109" t="s">
        <v>17</v>
      </c>
      <c r="G112" s="110">
        <v>2020</v>
      </c>
      <c r="H112" s="109" t="s">
        <v>1188</v>
      </c>
      <c r="I112" s="117"/>
      <c r="J112" s="109" t="s">
        <v>1248</v>
      </c>
      <c r="K112" s="111"/>
      <c r="L112" s="109"/>
      <c r="M112" s="111"/>
      <c r="N112" s="109" t="s">
        <v>1015</v>
      </c>
      <c r="O112" s="109"/>
      <c r="P112" s="109" t="s">
        <v>2348</v>
      </c>
      <c r="Q112" s="109"/>
    </row>
    <row r="113" spans="1:17">
      <c r="A113" s="181"/>
      <c r="B113" s="188" t="s">
        <v>1254</v>
      </c>
      <c r="C113" s="112"/>
      <c r="D113" s="112"/>
      <c r="E113" s="112"/>
      <c r="F113" s="112"/>
      <c r="G113" s="113"/>
      <c r="H113" s="112"/>
      <c r="I113" s="112"/>
      <c r="J113" s="112"/>
      <c r="K113" s="114"/>
      <c r="L113" s="112"/>
      <c r="M113" s="114"/>
      <c r="N113" s="112"/>
      <c r="O113" s="112"/>
      <c r="P113" s="112"/>
      <c r="Q113" s="112"/>
    </row>
    <row r="114" spans="1:17">
      <c r="A114" s="181" t="s">
        <v>1251</v>
      </c>
      <c r="B114" s="109" t="s">
        <v>2312</v>
      </c>
      <c r="C114" s="109" t="s">
        <v>1256</v>
      </c>
      <c r="D114" s="109" t="s">
        <v>1257</v>
      </c>
      <c r="E114" s="109" t="s">
        <v>1258</v>
      </c>
      <c r="F114" s="109" t="s">
        <v>1170</v>
      </c>
      <c r="G114" s="110">
        <v>2017</v>
      </c>
      <c r="H114" s="109" t="s">
        <v>1259</v>
      </c>
      <c r="I114" s="109" t="s">
        <v>1093</v>
      </c>
      <c r="J114" s="109" t="s">
        <v>1093</v>
      </c>
      <c r="K114" s="111">
        <v>43465</v>
      </c>
      <c r="L114" s="109" t="s">
        <v>988</v>
      </c>
      <c r="M114" s="111">
        <v>42750</v>
      </c>
      <c r="N114" s="109" t="s">
        <v>1015</v>
      </c>
      <c r="O114" s="109"/>
      <c r="P114" s="109" t="s">
        <v>2348</v>
      </c>
      <c r="Q114" s="109"/>
    </row>
    <row r="115" spans="1:17">
      <c r="A115" s="181" t="s">
        <v>1255</v>
      </c>
      <c r="B115" s="109" t="s">
        <v>2313</v>
      </c>
      <c r="C115" s="109" t="s">
        <v>1256</v>
      </c>
      <c r="D115" s="109" t="s">
        <v>1261</v>
      </c>
      <c r="E115" s="109" t="s">
        <v>899</v>
      </c>
      <c r="F115" s="109" t="s">
        <v>1262</v>
      </c>
      <c r="G115" s="110">
        <v>2021</v>
      </c>
      <c r="H115" s="109" t="s">
        <v>2244</v>
      </c>
      <c r="I115" s="109" t="s">
        <v>2245</v>
      </c>
      <c r="J115" s="109" t="s">
        <v>988</v>
      </c>
      <c r="K115" s="111">
        <v>43488</v>
      </c>
      <c r="L115" s="109" t="s">
        <v>988</v>
      </c>
      <c r="M115" s="111">
        <v>44479</v>
      </c>
      <c r="N115" s="109" t="s">
        <v>1015</v>
      </c>
      <c r="O115" s="109"/>
      <c r="P115" s="109" t="s">
        <v>2343</v>
      </c>
      <c r="Q115" s="109" t="s">
        <v>2344</v>
      </c>
    </row>
    <row r="116" spans="1:17">
      <c r="A116" s="181" t="s">
        <v>1260</v>
      </c>
      <c r="B116" s="109" t="s">
        <v>2314</v>
      </c>
      <c r="C116" s="109" t="s">
        <v>1256</v>
      </c>
      <c r="D116" s="109" t="s">
        <v>1264</v>
      </c>
      <c r="E116" s="109" t="s">
        <v>899</v>
      </c>
      <c r="F116" s="109" t="s">
        <v>1262</v>
      </c>
      <c r="G116" s="110">
        <v>2017</v>
      </c>
      <c r="H116" s="109" t="s">
        <v>1055</v>
      </c>
      <c r="I116" s="109" t="s">
        <v>1056</v>
      </c>
      <c r="J116" s="109" t="s">
        <v>1057</v>
      </c>
      <c r="K116" s="111">
        <v>43616</v>
      </c>
      <c r="L116" s="109" t="s">
        <v>988</v>
      </c>
      <c r="M116" s="111">
        <v>42893</v>
      </c>
      <c r="N116" s="109" t="s">
        <v>1057</v>
      </c>
      <c r="O116" s="109"/>
      <c r="P116" s="109" t="s">
        <v>2348</v>
      </c>
      <c r="Q116" s="109"/>
    </row>
    <row r="117" spans="1:17">
      <c r="A117" s="181" t="s">
        <v>1263</v>
      </c>
      <c r="B117" s="109" t="s">
        <v>1266</v>
      </c>
      <c r="C117" s="109" t="s">
        <v>1256</v>
      </c>
      <c r="D117" s="109"/>
      <c r="E117" s="109"/>
      <c r="F117" s="109" t="s">
        <v>1170</v>
      </c>
      <c r="G117" s="110">
        <v>2019</v>
      </c>
      <c r="H117" s="109" t="s">
        <v>1121</v>
      </c>
      <c r="I117" s="109" t="s">
        <v>1121</v>
      </c>
      <c r="J117" s="109" t="s">
        <v>1121</v>
      </c>
      <c r="K117" s="111"/>
      <c r="L117" s="109"/>
      <c r="M117" s="111"/>
      <c r="N117" s="109" t="s">
        <v>1015</v>
      </c>
      <c r="O117" s="109"/>
      <c r="P117" s="109" t="s">
        <v>2348</v>
      </c>
      <c r="Q117" s="109"/>
    </row>
    <row r="118" spans="1:17">
      <c r="A118" s="181" t="s">
        <v>1265</v>
      </c>
      <c r="B118" s="109" t="s">
        <v>1268</v>
      </c>
      <c r="C118" s="109" t="s">
        <v>1256</v>
      </c>
      <c r="D118" s="109"/>
      <c r="E118" s="109"/>
      <c r="F118" s="109" t="s">
        <v>1170</v>
      </c>
      <c r="G118" s="110">
        <v>2019</v>
      </c>
      <c r="H118" s="109" t="s">
        <v>1269</v>
      </c>
      <c r="I118" s="109" t="s">
        <v>1269</v>
      </c>
      <c r="J118" s="109" t="s">
        <v>1269</v>
      </c>
      <c r="K118" s="111"/>
      <c r="L118" s="109"/>
      <c r="M118" s="111"/>
      <c r="N118" s="109" t="s">
        <v>1015</v>
      </c>
      <c r="O118" s="109"/>
      <c r="P118" s="109" t="s">
        <v>2348</v>
      </c>
      <c r="Q118" s="109"/>
    </row>
    <row r="119" spans="1:17" s="105" customFormat="1" ht="22.5" customHeight="1">
      <c r="A119" s="185"/>
      <c r="B119" s="186" t="s">
        <v>521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7"/>
      <c r="P119" s="187"/>
      <c r="Q119" s="187"/>
    </row>
    <row r="120" spans="1:17">
      <c r="A120" s="181" t="s">
        <v>1267</v>
      </c>
      <c r="B120" s="109" t="s">
        <v>1271</v>
      </c>
      <c r="C120" s="109" t="s">
        <v>1272</v>
      </c>
      <c r="D120" s="109" t="s">
        <v>1273</v>
      </c>
      <c r="E120" s="109" t="s">
        <v>949</v>
      </c>
      <c r="F120" s="109" t="s">
        <v>1534</v>
      </c>
      <c r="G120" s="110">
        <v>2020</v>
      </c>
      <c r="H120" s="109" t="s">
        <v>996</v>
      </c>
      <c r="I120" s="109" t="s">
        <v>997</v>
      </c>
      <c r="J120" s="109" t="s">
        <v>988</v>
      </c>
      <c r="K120" s="111">
        <v>43602</v>
      </c>
      <c r="L120" s="109" t="s">
        <v>988</v>
      </c>
      <c r="M120" s="111"/>
      <c r="N120" s="109" t="s">
        <v>989</v>
      </c>
      <c r="O120" s="109"/>
      <c r="P120" s="109" t="s">
        <v>2343</v>
      </c>
      <c r="Q120" s="109" t="s">
        <v>2342</v>
      </c>
    </row>
    <row r="121" spans="1:17">
      <c r="A121" s="181"/>
      <c r="B121" s="188" t="s">
        <v>1274</v>
      </c>
      <c r="C121" s="112"/>
      <c r="D121" s="112"/>
      <c r="E121" s="112"/>
      <c r="F121" s="112"/>
      <c r="G121" s="113"/>
      <c r="H121" s="112"/>
      <c r="I121" s="112"/>
      <c r="J121" s="112"/>
      <c r="K121" s="114"/>
      <c r="L121" s="112"/>
      <c r="M121" s="114"/>
      <c r="N121" s="112"/>
      <c r="O121" s="112"/>
      <c r="P121" s="112"/>
      <c r="Q121" s="112"/>
    </row>
    <row r="122" spans="1:17">
      <c r="A122" s="181" t="s">
        <v>1270</v>
      </c>
      <c r="B122" s="109" t="s">
        <v>1276</v>
      </c>
      <c r="C122" s="109" t="s">
        <v>1277</v>
      </c>
      <c r="D122" s="109" t="s">
        <v>1000</v>
      </c>
      <c r="E122" s="109" t="s">
        <v>949</v>
      </c>
      <c r="F122" s="109" t="s">
        <v>2315</v>
      </c>
      <c r="G122" s="110">
        <v>2020</v>
      </c>
      <c r="H122" s="109" t="s">
        <v>996</v>
      </c>
      <c r="I122" s="109" t="s">
        <v>997</v>
      </c>
      <c r="J122" s="109" t="s">
        <v>988</v>
      </c>
      <c r="K122" s="111"/>
      <c r="L122" s="109" t="s">
        <v>988</v>
      </c>
      <c r="M122" s="111"/>
      <c r="N122" s="109" t="s">
        <v>989</v>
      </c>
      <c r="O122" s="109"/>
      <c r="P122" s="109" t="s">
        <v>2343</v>
      </c>
      <c r="Q122" s="109" t="s">
        <v>2342</v>
      </c>
    </row>
    <row r="123" spans="1:17">
      <c r="A123" s="181" t="s">
        <v>1275</v>
      </c>
      <c r="B123" s="109" t="s">
        <v>2316</v>
      </c>
      <c r="C123" s="109" t="s">
        <v>1277</v>
      </c>
      <c r="D123" s="109" t="s">
        <v>36</v>
      </c>
      <c r="E123" s="109" t="s">
        <v>949</v>
      </c>
      <c r="F123" s="109" t="s">
        <v>1279</v>
      </c>
      <c r="G123" s="110">
        <v>2021</v>
      </c>
      <c r="H123" s="109" t="s">
        <v>2244</v>
      </c>
      <c r="I123" s="109" t="s">
        <v>2245</v>
      </c>
      <c r="J123" s="109" t="s">
        <v>988</v>
      </c>
      <c r="K123" s="111">
        <v>43387</v>
      </c>
      <c r="L123" s="109" t="s">
        <v>988</v>
      </c>
      <c r="M123" s="111">
        <v>44479</v>
      </c>
      <c r="N123" s="109" t="s">
        <v>1015</v>
      </c>
      <c r="O123" s="109"/>
      <c r="P123" s="109" t="s">
        <v>2343</v>
      </c>
      <c r="Q123" s="109" t="s">
        <v>2344</v>
      </c>
    </row>
    <row r="124" spans="1:17">
      <c r="A124" s="181" t="s">
        <v>1278</v>
      </c>
      <c r="B124" s="109" t="s">
        <v>1281</v>
      </c>
      <c r="C124" s="109" t="s">
        <v>1277</v>
      </c>
      <c r="D124" s="109" t="s">
        <v>949</v>
      </c>
      <c r="E124" s="109" t="s">
        <v>949</v>
      </c>
      <c r="F124" s="109" t="s">
        <v>1279</v>
      </c>
      <c r="G124" s="110">
        <v>2018</v>
      </c>
      <c r="H124" s="109" t="s">
        <v>1120</v>
      </c>
      <c r="I124" s="109" t="s">
        <v>1207</v>
      </c>
      <c r="J124" s="109" t="s">
        <v>1121</v>
      </c>
      <c r="K124" s="111">
        <v>43470</v>
      </c>
      <c r="L124" s="109" t="s">
        <v>988</v>
      </c>
      <c r="M124" s="111">
        <v>43348</v>
      </c>
      <c r="N124" s="109" t="s">
        <v>1282</v>
      </c>
      <c r="O124" s="109"/>
      <c r="P124" s="109" t="s">
        <v>2348</v>
      </c>
      <c r="Q124" s="109"/>
    </row>
    <row r="125" spans="1:17">
      <c r="A125" s="181" t="s">
        <v>1280</v>
      </c>
      <c r="B125" s="109" t="s">
        <v>2317</v>
      </c>
      <c r="C125" s="109" t="s">
        <v>1277</v>
      </c>
      <c r="D125" s="109" t="s">
        <v>1284</v>
      </c>
      <c r="E125" s="109" t="s">
        <v>949</v>
      </c>
      <c r="F125" s="109" t="s">
        <v>1279</v>
      </c>
      <c r="G125" s="110">
        <v>2014</v>
      </c>
      <c r="H125" s="109" t="s">
        <v>1285</v>
      </c>
      <c r="I125" s="109" t="s">
        <v>1286</v>
      </c>
      <c r="J125" s="109" t="s">
        <v>1121</v>
      </c>
      <c r="K125" s="111">
        <v>43507</v>
      </c>
      <c r="L125" s="109" t="s">
        <v>988</v>
      </c>
      <c r="M125" s="111">
        <v>41681</v>
      </c>
      <c r="N125" s="109" t="s">
        <v>1015</v>
      </c>
      <c r="O125" s="109"/>
      <c r="P125" s="109" t="s">
        <v>2348</v>
      </c>
      <c r="Q125" s="109"/>
    </row>
    <row r="126" spans="1:17">
      <c r="A126" s="181" t="s">
        <v>1283</v>
      </c>
      <c r="B126" s="109" t="s">
        <v>2318</v>
      </c>
      <c r="C126" s="109" t="s">
        <v>1277</v>
      </c>
      <c r="D126" s="109" t="s">
        <v>1284</v>
      </c>
      <c r="E126" s="109" t="s">
        <v>949</v>
      </c>
      <c r="F126" s="109" t="s">
        <v>1279</v>
      </c>
      <c r="G126" s="110">
        <v>2015</v>
      </c>
      <c r="H126" s="109" t="s">
        <v>1285</v>
      </c>
      <c r="I126" s="109" t="s">
        <v>1288</v>
      </c>
      <c r="J126" s="109" t="s">
        <v>1121</v>
      </c>
      <c r="K126" s="111">
        <v>43454</v>
      </c>
      <c r="L126" s="109" t="s">
        <v>988</v>
      </c>
      <c r="M126" s="111">
        <v>42359</v>
      </c>
      <c r="N126" s="109" t="s">
        <v>1015</v>
      </c>
      <c r="O126" s="109"/>
      <c r="P126" s="109" t="s">
        <v>2348</v>
      </c>
      <c r="Q126" s="109"/>
    </row>
    <row r="127" spans="1:17">
      <c r="A127" s="181" t="s">
        <v>1287</v>
      </c>
      <c r="B127" s="109" t="s">
        <v>2319</v>
      </c>
      <c r="C127" s="109" t="s">
        <v>1277</v>
      </c>
      <c r="D127" s="109"/>
      <c r="E127" s="109"/>
      <c r="F127" s="109" t="s">
        <v>1279</v>
      </c>
      <c r="G127" s="110">
        <v>2018</v>
      </c>
      <c r="H127" s="109" t="s">
        <v>1121</v>
      </c>
      <c r="I127" s="109" t="s">
        <v>1121</v>
      </c>
      <c r="J127" s="109" t="s">
        <v>1121</v>
      </c>
      <c r="K127" s="111"/>
      <c r="L127" s="109"/>
      <c r="M127" s="111">
        <v>43461</v>
      </c>
      <c r="N127" s="109" t="s">
        <v>1015</v>
      </c>
      <c r="O127" s="109"/>
      <c r="P127" s="109" t="s">
        <v>2348</v>
      </c>
      <c r="Q127" s="109"/>
    </row>
    <row r="128" spans="1:17">
      <c r="A128" s="181" t="s">
        <v>1289</v>
      </c>
      <c r="B128" s="109" t="s">
        <v>2320</v>
      </c>
      <c r="C128" s="109" t="s">
        <v>1277</v>
      </c>
      <c r="D128" s="109" t="s">
        <v>1284</v>
      </c>
      <c r="E128" s="109" t="s">
        <v>949</v>
      </c>
      <c r="F128" s="109" t="s">
        <v>1279</v>
      </c>
      <c r="G128" s="110">
        <v>2016</v>
      </c>
      <c r="H128" s="109" t="s">
        <v>1120</v>
      </c>
      <c r="I128" s="109" t="s">
        <v>1207</v>
      </c>
      <c r="J128" s="109" t="s">
        <v>1121</v>
      </c>
      <c r="K128" s="111">
        <v>43431</v>
      </c>
      <c r="L128" s="109" t="s">
        <v>988</v>
      </c>
      <c r="M128" s="111">
        <v>42715</v>
      </c>
      <c r="N128" s="109" t="s">
        <v>1015</v>
      </c>
      <c r="O128" s="109"/>
      <c r="P128" s="109" t="s">
        <v>2348</v>
      </c>
      <c r="Q128" s="109"/>
    </row>
    <row r="129" spans="1:17">
      <c r="A129" s="181" t="s">
        <v>1290</v>
      </c>
      <c r="B129" s="109" t="s">
        <v>2321</v>
      </c>
      <c r="C129" s="109" t="s">
        <v>1277</v>
      </c>
      <c r="D129" s="109" t="s">
        <v>1291</v>
      </c>
      <c r="E129" s="109" t="s">
        <v>949</v>
      </c>
      <c r="F129" s="109" t="s">
        <v>1292</v>
      </c>
      <c r="G129" s="110">
        <v>2015</v>
      </c>
      <c r="H129" s="109" t="s">
        <v>1055</v>
      </c>
      <c r="I129" s="109" t="s">
        <v>1060</v>
      </c>
      <c r="J129" s="109" t="s">
        <v>1057</v>
      </c>
      <c r="K129" s="111">
        <v>43507</v>
      </c>
      <c r="L129" s="109" t="s">
        <v>988</v>
      </c>
      <c r="M129" s="111">
        <v>42047</v>
      </c>
      <c r="N129" s="109" t="s">
        <v>1057</v>
      </c>
      <c r="O129" s="109"/>
      <c r="P129" s="109" t="s">
        <v>2348</v>
      </c>
      <c r="Q129" s="109"/>
    </row>
    <row r="130" spans="1:17">
      <c r="A130" s="181"/>
      <c r="B130" s="188" t="s">
        <v>414</v>
      </c>
      <c r="C130" s="112"/>
      <c r="D130" s="112"/>
      <c r="E130" s="112"/>
      <c r="F130" s="112"/>
      <c r="G130" s="113"/>
      <c r="H130" s="112"/>
      <c r="I130" s="112"/>
      <c r="J130" s="112"/>
      <c r="K130" s="114"/>
      <c r="L130" s="112"/>
      <c r="M130" s="114"/>
      <c r="N130" s="112"/>
      <c r="O130" s="112"/>
      <c r="P130" s="112"/>
      <c r="Q130" s="112"/>
    </row>
    <row r="131" spans="1:17">
      <c r="A131" s="181" t="s">
        <v>1293</v>
      </c>
      <c r="B131" s="109" t="s">
        <v>1294</v>
      </c>
      <c r="C131" s="110">
        <v>1722300530</v>
      </c>
      <c r="D131" s="109" t="s">
        <v>414</v>
      </c>
      <c r="E131" s="109" t="s">
        <v>949</v>
      </c>
      <c r="F131" s="109" t="s">
        <v>414</v>
      </c>
      <c r="G131" s="110">
        <v>2020</v>
      </c>
      <c r="H131" s="109" t="s">
        <v>1001</v>
      </c>
      <c r="I131" s="109" t="s">
        <v>1002</v>
      </c>
      <c r="J131" s="109" t="s">
        <v>988</v>
      </c>
      <c r="K131" s="111"/>
      <c r="L131" s="109" t="s">
        <v>988</v>
      </c>
      <c r="M131" s="111"/>
      <c r="N131" s="109" t="s">
        <v>1015</v>
      </c>
      <c r="O131" s="109"/>
      <c r="P131" s="109" t="s">
        <v>2343</v>
      </c>
      <c r="Q131" s="109" t="s">
        <v>2342</v>
      </c>
    </row>
    <row r="132" spans="1:17">
      <c r="A132" s="181" t="s">
        <v>1295</v>
      </c>
      <c r="B132" s="109" t="s">
        <v>1317</v>
      </c>
      <c r="C132" s="109" t="s">
        <v>1297</v>
      </c>
      <c r="D132" s="109" t="s">
        <v>1318</v>
      </c>
      <c r="E132" s="109" t="s">
        <v>949</v>
      </c>
      <c r="F132" s="109" t="s">
        <v>414</v>
      </c>
      <c r="G132" s="110">
        <v>2017</v>
      </c>
      <c r="H132" s="109" t="s">
        <v>1055</v>
      </c>
      <c r="I132" s="109" t="s">
        <v>1056</v>
      </c>
      <c r="J132" s="109" t="s">
        <v>1057</v>
      </c>
      <c r="K132" s="111">
        <v>43450</v>
      </c>
      <c r="L132" s="109" t="s">
        <v>988</v>
      </c>
      <c r="M132" s="111">
        <v>43093</v>
      </c>
      <c r="N132" s="109" t="s">
        <v>1057</v>
      </c>
      <c r="O132" s="109" t="s">
        <v>2322</v>
      </c>
      <c r="P132" s="109" t="s">
        <v>2348</v>
      </c>
      <c r="Q132" s="109"/>
    </row>
    <row r="133" spans="1:17">
      <c r="A133" s="181" t="s">
        <v>1296</v>
      </c>
      <c r="B133" s="110">
        <v>42784601</v>
      </c>
      <c r="C133" s="110">
        <v>1722300530</v>
      </c>
      <c r="D133" s="109" t="s">
        <v>414</v>
      </c>
      <c r="E133" s="109" t="s">
        <v>949</v>
      </c>
      <c r="F133" s="109" t="s">
        <v>414</v>
      </c>
      <c r="G133" s="110">
        <v>2019</v>
      </c>
      <c r="H133" s="109" t="s">
        <v>1001</v>
      </c>
      <c r="I133" s="109" t="s">
        <v>1002</v>
      </c>
      <c r="J133" s="109" t="s">
        <v>988</v>
      </c>
      <c r="K133" s="111"/>
      <c r="L133" s="109" t="s">
        <v>988</v>
      </c>
      <c r="M133" s="111">
        <v>43387</v>
      </c>
      <c r="N133" s="109" t="s">
        <v>1015</v>
      </c>
      <c r="O133" s="109"/>
      <c r="P133" s="109" t="s">
        <v>2343</v>
      </c>
      <c r="Q133" s="109" t="s">
        <v>2341</v>
      </c>
    </row>
    <row r="134" spans="1:17">
      <c r="A134" s="181"/>
      <c r="B134" s="188" t="s">
        <v>36</v>
      </c>
      <c r="C134" s="112"/>
      <c r="D134" s="112"/>
      <c r="E134" s="112"/>
      <c r="F134" s="112"/>
      <c r="G134" s="113"/>
      <c r="H134" s="112"/>
      <c r="I134" s="112"/>
      <c r="J134" s="112"/>
      <c r="K134" s="114"/>
      <c r="L134" s="112"/>
      <c r="M134" s="114"/>
      <c r="N134" s="112"/>
      <c r="O134" s="112"/>
      <c r="P134" s="112"/>
      <c r="Q134" s="112"/>
    </row>
    <row r="135" spans="1:17">
      <c r="A135" s="181" t="s">
        <v>1298</v>
      </c>
      <c r="B135" s="109" t="s">
        <v>2323</v>
      </c>
      <c r="C135" s="109" t="s">
        <v>1297</v>
      </c>
      <c r="D135" s="109" t="s">
        <v>36</v>
      </c>
      <c r="E135" s="109" t="s">
        <v>949</v>
      </c>
      <c r="F135" s="109" t="s">
        <v>36</v>
      </c>
      <c r="G135" s="110">
        <v>2021</v>
      </c>
      <c r="H135" s="109" t="s">
        <v>2244</v>
      </c>
      <c r="I135" s="109" t="s">
        <v>2245</v>
      </c>
      <c r="J135" s="109" t="s">
        <v>988</v>
      </c>
      <c r="K135" s="111">
        <v>43738</v>
      </c>
      <c r="L135" s="109" t="s">
        <v>988</v>
      </c>
      <c r="M135" s="111">
        <v>44479</v>
      </c>
      <c r="N135" s="109" t="s">
        <v>1015</v>
      </c>
      <c r="O135" s="109"/>
      <c r="P135" s="109" t="s">
        <v>2343</v>
      </c>
      <c r="Q135" s="109" t="s">
        <v>2344</v>
      </c>
    </row>
    <row r="136" spans="1:17">
      <c r="A136" s="181" t="s">
        <v>1299</v>
      </c>
      <c r="B136" s="109" t="s">
        <v>2324</v>
      </c>
      <c r="C136" s="109" t="s">
        <v>1297</v>
      </c>
      <c r="D136" s="109" t="s">
        <v>36</v>
      </c>
      <c r="E136" s="109" t="s">
        <v>949</v>
      </c>
      <c r="F136" s="109" t="s">
        <v>36</v>
      </c>
      <c r="G136" s="110">
        <v>2021</v>
      </c>
      <c r="H136" s="109" t="s">
        <v>2244</v>
      </c>
      <c r="I136" s="109" t="s">
        <v>2245</v>
      </c>
      <c r="J136" s="109" t="s">
        <v>988</v>
      </c>
      <c r="K136" s="111">
        <v>43738</v>
      </c>
      <c r="L136" s="109" t="s">
        <v>988</v>
      </c>
      <c r="M136" s="111">
        <v>44479</v>
      </c>
      <c r="N136" s="109" t="s">
        <v>1015</v>
      </c>
      <c r="O136" s="109"/>
      <c r="P136" s="109" t="s">
        <v>2343</v>
      </c>
      <c r="Q136" s="109" t="s">
        <v>2344</v>
      </c>
    </row>
    <row r="137" spans="1:17">
      <c r="A137" s="181" t="s">
        <v>1301</v>
      </c>
      <c r="B137" s="109" t="s">
        <v>2325</v>
      </c>
      <c r="C137" s="109" t="s">
        <v>1297</v>
      </c>
      <c r="D137" s="109" t="s">
        <v>1300</v>
      </c>
      <c r="E137" s="109" t="s">
        <v>949</v>
      </c>
      <c r="F137" s="109" t="s">
        <v>36</v>
      </c>
      <c r="G137" s="110">
        <v>2021</v>
      </c>
      <c r="H137" s="109" t="s">
        <v>2244</v>
      </c>
      <c r="I137" s="109" t="s">
        <v>2245</v>
      </c>
      <c r="J137" s="109" t="s">
        <v>988</v>
      </c>
      <c r="K137" s="111">
        <v>43738</v>
      </c>
      <c r="L137" s="109" t="s">
        <v>988</v>
      </c>
      <c r="M137" s="111">
        <v>44479</v>
      </c>
      <c r="N137" s="109" t="s">
        <v>1015</v>
      </c>
      <c r="O137" s="109"/>
      <c r="P137" s="109" t="s">
        <v>2343</v>
      </c>
      <c r="Q137" s="109" t="s">
        <v>2344</v>
      </c>
    </row>
    <row r="138" spans="1:17">
      <c r="A138" s="181" t="s">
        <v>1302</v>
      </c>
      <c r="B138" s="110">
        <v>25544402</v>
      </c>
      <c r="C138" s="110">
        <v>1747000530</v>
      </c>
      <c r="D138" s="110"/>
      <c r="E138" s="110"/>
      <c r="F138" s="110" t="s">
        <v>36</v>
      </c>
      <c r="G138" s="110">
        <v>2020</v>
      </c>
      <c r="H138" s="110" t="s">
        <v>1001</v>
      </c>
      <c r="I138" s="110" t="s">
        <v>1014</v>
      </c>
      <c r="J138" s="110" t="s">
        <v>988</v>
      </c>
      <c r="K138" s="111"/>
      <c r="L138" s="109"/>
      <c r="M138" s="111"/>
      <c r="N138" s="109" t="s">
        <v>1015</v>
      </c>
      <c r="O138" s="109" t="s">
        <v>2326</v>
      </c>
      <c r="P138" s="109" t="s">
        <v>2343</v>
      </c>
      <c r="Q138" s="109" t="s">
        <v>2342</v>
      </c>
    </row>
    <row r="139" spans="1:17">
      <c r="A139" s="181" t="s">
        <v>1304</v>
      </c>
      <c r="B139" s="109" t="s">
        <v>2327</v>
      </c>
      <c r="C139" s="109" t="s">
        <v>1297</v>
      </c>
      <c r="D139" s="109" t="s">
        <v>1303</v>
      </c>
      <c r="E139" s="109" t="s">
        <v>949</v>
      </c>
      <c r="F139" s="109" t="s">
        <v>36</v>
      </c>
      <c r="G139" s="110">
        <v>2017</v>
      </c>
      <c r="H139" s="109" t="s">
        <v>1055</v>
      </c>
      <c r="I139" s="109" t="s">
        <v>1056</v>
      </c>
      <c r="J139" s="109" t="s">
        <v>1057</v>
      </c>
      <c r="K139" s="111">
        <v>43616</v>
      </c>
      <c r="L139" s="109" t="s">
        <v>988</v>
      </c>
      <c r="M139" s="111">
        <v>42893</v>
      </c>
      <c r="N139" s="109" t="s">
        <v>1057</v>
      </c>
      <c r="O139" s="109"/>
      <c r="P139" s="109" t="s">
        <v>2348</v>
      </c>
      <c r="Q139" s="109"/>
    </row>
    <row r="140" spans="1:17">
      <c r="A140" s="181" t="s">
        <v>1307</v>
      </c>
      <c r="B140" s="109" t="s">
        <v>1305</v>
      </c>
      <c r="C140" s="109" t="s">
        <v>1297</v>
      </c>
      <c r="D140" s="109" t="s">
        <v>1306</v>
      </c>
      <c r="E140" s="109" t="s">
        <v>949</v>
      </c>
      <c r="F140" s="109" t="s">
        <v>36</v>
      </c>
      <c r="G140" s="110">
        <v>2017</v>
      </c>
      <c r="H140" s="109" t="s">
        <v>1055</v>
      </c>
      <c r="I140" s="109" t="s">
        <v>1056</v>
      </c>
      <c r="J140" s="109" t="s">
        <v>1057</v>
      </c>
      <c r="K140" s="111">
        <v>43450</v>
      </c>
      <c r="L140" s="109" t="s">
        <v>988</v>
      </c>
      <c r="M140" s="111">
        <v>43093</v>
      </c>
      <c r="N140" s="109" t="s">
        <v>1057</v>
      </c>
      <c r="O140" s="109"/>
      <c r="P140" s="109" t="s">
        <v>2348</v>
      </c>
      <c r="Q140" s="109"/>
    </row>
    <row r="141" spans="1:17">
      <c r="A141" s="181" t="s">
        <v>1308</v>
      </c>
      <c r="B141" s="109" t="s">
        <v>1309</v>
      </c>
      <c r="C141" s="109" t="s">
        <v>1297</v>
      </c>
      <c r="D141" s="109" t="s">
        <v>1310</v>
      </c>
      <c r="E141" s="109" t="s">
        <v>949</v>
      </c>
      <c r="F141" s="109" t="s">
        <v>36</v>
      </c>
      <c r="G141" s="110">
        <v>2017</v>
      </c>
      <c r="H141" s="109" t="s">
        <v>1055</v>
      </c>
      <c r="I141" s="109" t="s">
        <v>1056</v>
      </c>
      <c r="J141" s="109" t="s">
        <v>1057</v>
      </c>
      <c r="K141" s="111">
        <v>43450</v>
      </c>
      <c r="L141" s="109" t="s">
        <v>988</v>
      </c>
      <c r="M141" s="111">
        <v>43093</v>
      </c>
      <c r="N141" s="109" t="s">
        <v>1057</v>
      </c>
      <c r="O141" s="109"/>
      <c r="P141" s="109" t="s">
        <v>2348</v>
      </c>
      <c r="Q141" s="109"/>
    </row>
    <row r="142" spans="1:17">
      <c r="A142" s="181" t="s">
        <v>1311</v>
      </c>
      <c r="B142" s="109" t="s">
        <v>2328</v>
      </c>
      <c r="C142" s="109" t="s">
        <v>1297</v>
      </c>
      <c r="D142" s="109" t="s">
        <v>1312</v>
      </c>
      <c r="E142" s="109" t="s">
        <v>949</v>
      </c>
      <c r="F142" s="109" t="s">
        <v>36</v>
      </c>
      <c r="G142" s="110">
        <v>2014</v>
      </c>
      <c r="H142" s="109" t="s">
        <v>1055</v>
      </c>
      <c r="I142" s="109" t="s">
        <v>1060</v>
      </c>
      <c r="J142" s="109" t="s">
        <v>1057</v>
      </c>
      <c r="K142" s="111">
        <v>43687</v>
      </c>
      <c r="L142" s="109" t="s">
        <v>988</v>
      </c>
      <c r="M142" s="111">
        <v>41862</v>
      </c>
      <c r="N142" s="109" t="s">
        <v>1057</v>
      </c>
      <c r="O142" s="109"/>
      <c r="P142" s="109" t="s">
        <v>2348</v>
      </c>
      <c r="Q142" s="109"/>
    </row>
    <row r="143" spans="1:17">
      <c r="A143" s="181" t="s">
        <v>1313</v>
      </c>
      <c r="B143" s="109" t="s">
        <v>2329</v>
      </c>
      <c r="C143" s="109" t="s">
        <v>1297</v>
      </c>
      <c r="D143" s="109" t="s">
        <v>1314</v>
      </c>
      <c r="E143" s="109" t="s">
        <v>949</v>
      </c>
      <c r="F143" s="109" t="s">
        <v>36</v>
      </c>
      <c r="G143" s="110">
        <v>2014</v>
      </c>
      <c r="H143" s="109" t="s">
        <v>1055</v>
      </c>
      <c r="I143" s="109" t="s">
        <v>1060</v>
      </c>
      <c r="J143" s="109" t="s">
        <v>1057</v>
      </c>
      <c r="K143" s="111">
        <v>43539</v>
      </c>
      <c r="L143" s="109" t="s">
        <v>988</v>
      </c>
      <c r="M143" s="111">
        <v>42445</v>
      </c>
      <c r="N143" s="109" t="s">
        <v>1057</v>
      </c>
      <c r="O143" s="109"/>
      <c r="P143" s="109" t="s">
        <v>2348</v>
      </c>
      <c r="Q143" s="109"/>
    </row>
    <row r="144" spans="1:17">
      <c r="A144" s="181" t="s">
        <v>1315</v>
      </c>
      <c r="B144" s="109" t="s">
        <v>1320</v>
      </c>
      <c r="C144" s="109" t="s">
        <v>1297</v>
      </c>
      <c r="D144" s="109" t="s">
        <v>1321</v>
      </c>
      <c r="E144" s="109" t="s">
        <v>949</v>
      </c>
      <c r="F144" s="109" t="s">
        <v>36</v>
      </c>
      <c r="G144" s="110">
        <v>2017</v>
      </c>
      <c r="H144" s="109" t="s">
        <v>1055</v>
      </c>
      <c r="I144" s="109" t="s">
        <v>1056</v>
      </c>
      <c r="J144" s="109" t="s">
        <v>1057</v>
      </c>
      <c r="K144" s="111">
        <v>43450</v>
      </c>
      <c r="L144" s="109" t="s">
        <v>988</v>
      </c>
      <c r="M144" s="111">
        <v>43093</v>
      </c>
      <c r="N144" s="109" t="s">
        <v>1057</v>
      </c>
      <c r="O144" s="109" t="s">
        <v>4</v>
      </c>
      <c r="P144" s="109" t="s">
        <v>2351</v>
      </c>
      <c r="Q144" s="109" t="s">
        <v>4</v>
      </c>
    </row>
    <row r="145" spans="1:17">
      <c r="A145" s="181" t="s">
        <v>1316</v>
      </c>
      <c r="B145" s="109" t="s">
        <v>2330</v>
      </c>
      <c r="C145" s="109" t="s">
        <v>1297</v>
      </c>
      <c r="D145" s="109" t="s">
        <v>1321</v>
      </c>
      <c r="E145" s="109" t="s">
        <v>949</v>
      </c>
      <c r="F145" s="109" t="s">
        <v>36</v>
      </c>
      <c r="G145" s="110">
        <v>2020</v>
      </c>
      <c r="H145" s="109" t="s">
        <v>1055</v>
      </c>
      <c r="I145" s="109" t="s">
        <v>1056</v>
      </c>
      <c r="J145" s="109" t="s">
        <v>1057</v>
      </c>
      <c r="K145" s="111"/>
      <c r="L145" s="109"/>
      <c r="M145" s="111"/>
      <c r="N145" s="109" t="s">
        <v>1057</v>
      </c>
      <c r="O145" s="109"/>
      <c r="P145" s="109" t="s">
        <v>2348</v>
      </c>
      <c r="Q145" s="109"/>
    </row>
    <row r="146" spans="1:17">
      <c r="A146" s="181" t="s">
        <v>1319</v>
      </c>
      <c r="B146" s="109" t="s">
        <v>2331</v>
      </c>
      <c r="C146" s="109" t="s">
        <v>1297</v>
      </c>
      <c r="D146" s="109" t="s">
        <v>1321</v>
      </c>
      <c r="E146" s="109" t="s">
        <v>949</v>
      </c>
      <c r="F146" s="109" t="s">
        <v>36</v>
      </c>
      <c r="G146" s="110">
        <v>2020</v>
      </c>
      <c r="H146" s="109" t="s">
        <v>1055</v>
      </c>
      <c r="I146" s="109" t="s">
        <v>1056</v>
      </c>
      <c r="J146" s="109" t="s">
        <v>1057</v>
      </c>
      <c r="K146" s="111"/>
      <c r="L146" s="109"/>
      <c r="M146" s="111"/>
      <c r="N146" s="109" t="s">
        <v>1057</v>
      </c>
      <c r="O146" s="109"/>
      <c r="P146" s="109" t="s">
        <v>2348</v>
      </c>
      <c r="Q146" s="109"/>
    </row>
    <row r="147" spans="1:17">
      <c r="A147" s="181" t="s">
        <v>1322</v>
      </c>
      <c r="B147" s="109" t="s">
        <v>2332</v>
      </c>
      <c r="C147" s="109" t="s">
        <v>1297</v>
      </c>
      <c r="D147" s="109" t="s">
        <v>1323</v>
      </c>
      <c r="E147" s="109" t="s">
        <v>949</v>
      </c>
      <c r="F147" s="109" t="s">
        <v>36</v>
      </c>
      <c r="G147" s="110">
        <v>2017</v>
      </c>
      <c r="H147" s="109" t="s">
        <v>1055</v>
      </c>
      <c r="I147" s="109" t="s">
        <v>1056</v>
      </c>
      <c r="J147" s="109" t="s">
        <v>1057</v>
      </c>
      <c r="K147" s="111">
        <v>43616</v>
      </c>
      <c r="L147" s="109" t="s">
        <v>988</v>
      </c>
      <c r="M147" s="111">
        <v>42893</v>
      </c>
      <c r="N147" s="109" t="s">
        <v>1057</v>
      </c>
      <c r="O147" s="109"/>
      <c r="P147" s="109" t="s">
        <v>2348</v>
      </c>
      <c r="Q147" s="109"/>
    </row>
    <row r="148" spans="1:17">
      <c r="A148" s="181" t="s">
        <v>1324</v>
      </c>
      <c r="B148" s="109" t="s">
        <v>2333</v>
      </c>
      <c r="C148" s="109" t="s">
        <v>1297</v>
      </c>
      <c r="D148" s="109"/>
      <c r="E148" s="109"/>
      <c r="F148" s="109" t="s">
        <v>36</v>
      </c>
      <c r="G148" s="110">
        <v>2021</v>
      </c>
      <c r="H148" s="109" t="s">
        <v>1055</v>
      </c>
      <c r="I148" s="109" t="s">
        <v>1056</v>
      </c>
      <c r="J148" s="109" t="s">
        <v>1057</v>
      </c>
      <c r="K148" s="111"/>
      <c r="L148" s="109"/>
      <c r="M148" s="111">
        <v>44270</v>
      </c>
      <c r="N148" s="109" t="s">
        <v>1057</v>
      </c>
      <c r="O148" s="109"/>
      <c r="P148" s="109" t="s">
        <v>2348</v>
      </c>
      <c r="Q148" s="109"/>
    </row>
    <row r="149" spans="1:17">
      <c r="A149" s="181"/>
      <c r="B149" s="188" t="s">
        <v>229</v>
      </c>
      <c r="C149" s="112"/>
      <c r="D149" s="112"/>
      <c r="E149" s="112"/>
      <c r="F149" s="112"/>
      <c r="G149" s="113"/>
      <c r="H149" s="112"/>
      <c r="I149" s="112"/>
      <c r="J149" s="112"/>
      <c r="K149" s="114"/>
      <c r="L149" s="112"/>
      <c r="M149" s="114"/>
      <c r="N149" s="112"/>
      <c r="O149" s="112"/>
      <c r="P149" s="112"/>
      <c r="Q149" s="112"/>
    </row>
    <row r="150" spans="1:17">
      <c r="A150" s="181" t="s">
        <v>1330</v>
      </c>
      <c r="B150" s="109" t="s">
        <v>1325</v>
      </c>
      <c r="C150" s="109" t="s">
        <v>1326</v>
      </c>
      <c r="D150" s="109" t="s">
        <v>1327</v>
      </c>
      <c r="E150" s="109" t="s">
        <v>949</v>
      </c>
      <c r="F150" s="109" t="s">
        <v>1328</v>
      </c>
      <c r="G150" s="110">
        <v>2019</v>
      </c>
      <c r="H150" s="109" t="s">
        <v>1001</v>
      </c>
      <c r="I150" s="109" t="s">
        <v>1002</v>
      </c>
      <c r="J150" s="109" t="s">
        <v>988</v>
      </c>
      <c r="K150" s="111">
        <v>43387</v>
      </c>
      <c r="L150" s="109" t="s">
        <v>988</v>
      </c>
      <c r="M150" s="111">
        <v>42292</v>
      </c>
      <c r="N150" s="109" t="s">
        <v>1015</v>
      </c>
      <c r="O150" s="109" t="s">
        <v>1329</v>
      </c>
      <c r="P150" s="109" t="s">
        <v>2343</v>
      </c>
      <c r="Q150" s="109" t="s">
        <v>2341</v>
      </c>
    </row>
    <row r="151" spans="1:17">
      <c r="A151" s="181"/>
      <c r="B151" s="188" t="s">
        <v>44</v>
      </c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</row>
    <row r="152" spans="1:17">
      <c r="A152" s="181" t="s">
        <v>1331</v>
      </c>
      <c r="B152" s="109" t="s">
        <v>2334</v>
      </c>
      <c r="C152" s="109" t="s">
        <v>1272</v>
      </c>
      <c r="D152" s="109" t="s">
        <v>1332</v>
      </c>
      <c r="E152" s="109" t="s">
        <v>1066</v>
      </c>
      <c r="F152" s="109" t="s">
        <v>44</v>
      </c>
      <c r="G152" s="110">
        <v>2015</v>
      </c>
      <c r="H152" s="109" t="s">
        <v>1055</v>
      </c>
      <c r="I152" s="109" t="s">
        <v>1060</v>
      </c>
      <c r="J152" s="109" t="s">
        <v>1057</v>
      </c>
      <c r="K152" s="111">
        <v>43582</v>
      </c>
      <c r="L152" s="109" t="s">
        <v>988</v>
      </c>
      <c r="M152" s="111">
        <v>42122</v>
      </c>
      <c r="N152" s="109" t="s">
        <v>1057</v>
      </c>
      <c r="O152" s="109"/>
      <c r="P152" s="109" t="s">
        <v>2348</v>
      </c>
      <c r="Q152" s="109"/>
    </row>
    <row r="153" spans="1:17">
      <c r="A153" s="183">
        <v>114</v>
      </c>
      <c r="B153" s="118">
        <v>14411002</v>
      </c>
      <c r="C153" s="118">
        <v>1780000530</v>
      </c>
      <c r="D153" s="118"/>
      <c r="E153" s="118"/>
      <c r="F153" s="118" t="s">
        <v>44</v>
      </c>
      <c r="G153" s="118">
        <v>2021</v>
      </c>
      <c r="H153" s="118" t="s">
        <v>1055</v>
      </c>
      <c r="I153" s="109" t="s">
        <v>1056</v>
      </c>
      <c r="J153" s="118" t="s">
        <v>1057</v>
      </c>
      <c r="K153" s="118"/>
      <c r="L153" s="118"/>
      <c r="M153" s="119">
        <v>44270</v>
      </c>
      <c r="N153" s="118" t="s">
        <v>1057</v>
      </c>
      <c r="O153" s="118"/>
      <c r="P153" s="118" t="s">
        <v>2348</v>
      </c>
      <c r="Q153" s="118"/>
    </row>
  </sheetData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scale="77" firstPageNumber="83" fitToHeight="0" orientation="landscape" useFirstPageNumber="1" r:id="rId1"/>
  <headerFooter>
    <oddFooter>&amp;L&amp;P&amp;Cלאישור מועצת העיר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6"/>
  <sheetViews>
    <sheetView rightToLeft="1" zoomScale="80" zoomScaleNormal="80" workbookViewId="0">
      <selection sqref="A1:N1"/>
    </sheetView>
  </sheetViews>
  <sheetFormatPr defaultColWidth="9.25" defaultRowHeight="18"/>
  <cols>
    <col min="1" max="1" width="7.25" style="10" bestFit="1" customWidth="1"/>
    <col min="2" max="2" width="12.625" style="10" bestFit="1" customWidth="1"/>
    <col min="3" max="3" width="11.875" style="10" customWidth="1"/>
    <col min="4" max="4" width="32.75" style="10" bestFit="1" customWidth="1"/>
    <col min="5" max="5" width="33.375" style="10" bestFit="1" customWidth="1"/>
    <col min="6" max="6" width="27.375" style="10" customWidth="1"/>
    <col min="7" max="7" width="6.625" style="10" bestFit="1" customWidth="1"/>
    <col min="8" max="8" width="15.625" style="18" bestFit="1" customWidth="1"/>
    <col min="9" max="9" width="15.75" style="19" bestFit="1" customWidth="1"/>
    <col min="10" max="10" width="14.5" style="19" bestFit="1" customWidth="1"/>
    <col min="11" max="11" width="12.25" style="20" customWidth="1"/>
    <col min="12" max="12" width="25.125" style="20" customWidth="1"/>
    <col min="13" max="13" width="14.625" style="19" customWidth="1"/>
    <col min="14" max="14" width="26.625" style="210" bestFit="1" customWidth="1"/>
    <col min="15" max="15" width="64.5" style="15" customWidth="1"/>
    <col min="16" max="16384" width="9.25" style="10"/>
  </cols>
  <sheetData>
    <row r="1" spans="1:16384" ht="27.75">
      <c r="A1" s="1098" t="s">
        <v>2410</v>
      </c>
      <c r="B1" s="1098"/>
      <c r="C1" s="1098"/>
      <c r="D1" s="1098"/>
      <c r="E1" s="1098"/>
      <c r="F1" s="1098"/>
      <c r="G1" s="1098"/>
      <c r="H1" s="1098"/>
      <c r="I1" s="1098"/>
      <c r="J1" s="1098"/>
      <c r="K1" s="1098"/>
      <c r="L1" s="1098"/>
      <c r="M1" s="1098"/>
      <c r="N1" s="1098"/>
      <c r="O1" s="10"/>
    </row>
    <row r="2" spans="1:16384" ht="18.75" thickBot="1">
      <c r="A2" s="11"/>
      <c r="B2" s="11"/>
      <c r="C2" s="11"/>
      <c r="D2" s="11"/>
      <c r="E2" s="11"/>
      <c r="F2" s="11"/>
      <c r="G2" s="11"/>
      <c r="H2" s="12"/>
      <c r="I2" s="13"/>
      <c r="J2" s="13"/>
      <c r="K2" s="14"/>
      <c r="L2" s="14"/>
      <c r="M2" s="13"/>
      <c r="N2" s="209"/>
      <c r="O2" s="10"/>
    </row>
    <row r="3" spans="1:16384" s="213" customFormat="1" ht="23.25">
      <c r="A3" s="203" t="s">
        <v>878</v>
      </c>
      <c r="B3" s="204" t="s">
        <v>879</v>
      </c>
      <c r="C3" s="204" t="s">
        <v>880</v>
      </c>
      <c r="D3" s="204" t="s">
        <v>881</v>
      </c>
      <c r="E3" s="204" t="s">
        <v>882</v>
      </c>
      <c r="F3" s="204" t="s">
        <v>883</v>
      </c>
      <c r="G3" s="204" t="s">
        <v>2414</v>
      </c>
      <c r="H3" s="204" t="s">
        <v>884</v>
      </c>
      <c r="I3" s="204" t="s">
        <v>885</v>
      </c>
      <c r="J3" s="204" t="s">
        <v>886</v>
      </c>
      <c r="K3" s="204" t="s">
        <v>2415</v>
      </c>
      <c r="L3" s="204" t="s">
        <v>887</v>
      </c>
      <c r="M3" s="204" t="s">
        <v>2416</v>
      </c>
      <c r="N3" s="211" t="s">
        <v>965</v>
      </c>
      <c r="O3" s="208" t="s">
        <v>2417</v>
      </c>
      <c r="P3" s="205" t="s">
        <v>2418</v>
      </c>
      <c r="Q3" s="206" t="s">
        <v>2419</v>
      </c>
      <c r="R3" s="206" t="s">
        <v>2420</v>
      </c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212"/>
      <c r="AE3" s="46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212"/>
      <c r="AT3" s="46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212"/>
      <c r="BI3" s="46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212"/>
      <c r="BX3" s="46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212"/>
      <c r="CM3" s="46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212"/>
      <c r="DB3" s="46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212"/>
      <c r="DQ3" s="46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212"/>
      <c r="EF3" s="46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212"/>
      <c r="EU3" s="46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212"/>
      <c r="FJ3" s="46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212"/>
      <c r="FY3" s="46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212"/>
      <c r="GN3" s="46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212"/>
      <c r="HC3" s="46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212"/>
      <c r="HR3" s="46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212"/>
      <c r="IG3" s="46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212"/>
      <c r="IV3" s="46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212"/>
      <c r="JK3" s="46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212"/>
      <c r="JZ3" s="46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212"/>
      <c r="KO3" s="46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212"/>
      <c r="LD3" s="46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212"/>
      <c r="LS3" s="46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212"/>
      <c r="MH3" s="46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212"/>
      <c r="MW3" s="46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212"/>
      <c r="NL3" s="46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212"/>
      <c r="OA3" s="46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212"/>
      <c r="OP3" s="46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212"/>
      <c r="PE3" s="46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212"/>
      <c r="PT3" s="46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212"/>
      <c r="QI3" s="46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212"/>
      <c r="QX3" s="46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212"/>
      <c r="RM3" s="46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212"/>
      <c r="SB3" s="46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212"/>
      <c r="SQ3" s="46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212"/>
      <c r="TF3" s="46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212"/>
      <c r="TU3" s="46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212"/>
      <c r="UJ3" s="46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212"/>
      <c r="UY3" s="46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212"/>
      <c r="VN3" s="46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212"/>
      <c r="WC3" s="46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212"/>
      <c r="WR3" s="46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212"/>
      <c r="XG3" s="46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212"/>
      <c r="XV3" s="46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212"/>
      <c r="YK3" s="46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212"/>
      <c r="YZ3" s="46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212"/>
      <c r="ZO3" s="46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212"/>
      <c r="AAD3" s="46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212"/>
      <c r="AAS3" s="46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212"/>
      <c r="ABH3" s="46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212"/>
      <c r="ABW3" s="46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212"/>
      <c r="ACL3" s="46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212"/>
      <c r="ADA3" s="46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212"/>
      <c r="ADP3" s="46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212"/>
      <c r="AEE3" s="46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212"/>
      <c r="AET3" s="46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212"/>
      <c r="AFI3" s="46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212"/>
      <c r="AFX3" s="46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212"/>
      <c r="AGM3" s="46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212"/>
      <c r="AHB3" s="46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212"/>
      <c r="AHQ3" s="46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212"/>
      <c r="AIF3" s="46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212"/>
      <c r="AIU3" s="46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212"/>
      <c r="AJJ3" s="46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212"/>
      <c r="AJY3" s="46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212"/>
      <c r="AKN3" s="46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212"/>
      <c r="ALC3" s="46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212"/>
      <c r="ALR3" s="46"/>
      <c r="ALS3" s="53"/>
      <c r="ALT3" s="53"/>
      <c r="ALU3" s="53"/>
      <c r="ALV3" s="53"/>
      <c r="ALW3" s="53"/>
      <c r="ALX3" s="53"/>
      <c r="ALY3" s="53"/>
      <c r="ALZ3" s="53"/>
      <c r="AMA3" s="53"/>
      <c r="AMB3" s="53"/>
      <c r="AMC3" s="53"/>
      <c r="AMD3" s="53"/>
      <c r="AME3" s="53"/>
      <c r="AMF3" s="212"/>
      <c r="AMG3" s="46"/>
      <c r="AMH3" s="53"/>
      <c r="AMI3" s="53"/>
      <c r="AMJ3" s="53"/>
      <c r="AMK3" s="53"/>
      <c r="AML3" s="53"/>
      <c r="AMM3" s="53"/>
      <c r="AMN3" s="53"/>
      <c r="AMO3" s="53"/>
      <c r="AMP3" s="53"/>
      <c r="AMQ3" s="53"/>
      <c r="AMR3" s="53"/>
      <c r="AMS3" s="53"/>
      <c r="AMT3" s="53"/>
      <c r="AMU3" s="212"/>
      <c r="AMV3" s="46"/>
      <c r="AMW3" s="53"/>
      <c r="AMX3" s="53"/>
      <c r="AMY3" s="53"/>
      <c r="AMZ3" s="53"/>
      <c r="ANA3" s="53"/>
      <c r="ANB3" s="53"/>
      <c r="ANC3" s="53"/>
      <c r="AND3" s="53"/>
      <c r="ANE3" s="53"/>
      <c r="ANF3" s="53"/>
      <c r="ANG3" s="53"/>
      <c r="ANH3" s="53"/>
      <c r="ANI3" s="53"/>
      <c r="ANJ3" s="212"/>
      <c r="ANK3" s="46"/>
      <c r="ANL3" s="53"/>
      <c r="ANM3" s="53"/>
      <c r="ANN3" s="53"/>
      <c r="ANO3" s="53"/>
      <c r="ANP3" s="53"/>
      <c r="ANQ3" s="53"/>
      <c r="ANR3" s="53"/>
      <c r="ANS3" s="53"/>
      <c r="ANT3" s="53"/>
      <c r="ANU3" s="53"/>
      <c r="ANV3" s="53"/>
      <c r="ANW3" s="53"/>
      <c r="ANX3" s="53"/>
      <c r="ANY3" s="212"/>
      <c r="ANZ3" s="46"/>
      <c r="AOA3" s="53"/>
      <c r="AOB3" s="53"/>
      <c r="AOC3" s="53"/>
      <c r="AOD3" s="53"/>
      <c r="AOE3" s="53"/>
      <c r="AOF3" s="53"/>
      <c r="AOG3" s="53"/>
      <c r="AOH3" s="53"/>
      <c r="AOI3" s="53"/>
      <c r="AOJ3" s="53"/>
      <c r="AOK3" s="53"/>
      <c r="AOL3" s="53"/>
      <c r="AOM3" s="53"/>
      <c r="AON3" s="212"/>
      <c r="AOO3" s="46"/>
      <c r="AOP3" s="53"/>
      <c r="AOQ3" s="53"/>
      <c r="AOR3" s="53"/>
      <c r="AOS3" s="53"/>
      <c r="AOT3" s="53"/>
      <c r="AOU3" s="53"/>
      <c r="AOV3" s="53"/>
      <c r="AOW3" s="53"/>
      <c r="AOX3" s="53"/>
      <c r="AOY3" s="53"/>
      <c r="AOZ3" s="53"/>
      <c r="APA3" s="53"/>
      <c r="APB3" s="53"/>
      <c r="APC3" s="212"/>
      <c r="APD3" s="46"/>
      <c r="APE3" s="53"/>
      <c r="APF3" s="53"/>
      <c r="APG3" s="53"/>
      <c r="APH3" s="53"/>
      <c r="API3" s="53"/>
      <c r="APJ3" s="53"/>
      <c r="APK3" s="53"/>
      <c r="APL3" s="53"/>
      <c r="APM3" s="53"/>
      <c r="APN3" s="53"/>
      <c r="APO3" s="53"/>
      <c r="APP3" s="53"/>
      <c r="APQ3" s="53"/>
      <c r="APR3" s="212"/>
      <c r="APS3" s="46"/>
      <c r="APT3" s="53"/>
      <c r="APU3" s="53"/>
      <c r="APV3" s="53"/>
      <c r="APW3" s="53"/>
      <c r="APX3" s="53"/>
      <c r="APY3" s="53"/>
      <c r="APZ3" s="53"/>
      <c r="AQA3" s="53"/>
      <c r="AQB3" s="53"/>
      <c r="AQC3" s="53"/>
      <c r="AQD3" s="53"/>
      <c r="AQE3" s="53"/>
      <c r="AQF3" s="53"/>
      <c r="AQG3" s="212"/>
      <c r="AQH3" s="46"/>
      <c r="AQI3" s="53"/>
      <c r="AQJ3" s="53"/>
      <c r="AQK3" s="53"/>
      <c r="AQL3" s="53"/>
      <c r="AQM3" s="53"/>
      <c r="AQN3" s="53"/>
      <c r="AQO3" s="53"/>
      <c r="AQP3" s="53"/>
      <c r="AQQ3" s="53"/>
      <c r="AQR3" s="53"/>
      <c r="AQS3" s="53"/>
      <c r="AQT3" s="53"/>
      <c r="AQU3" s="53"/>
      <c r="AQV3" s="212"/>
      <c r="AQW3" s="46"/>
      <c r="AQX3" s="53"/>
      <c r="AQY3" s="53"/>
      <c r="AQZ3" s="53"/>
      <c r="ARA3" s="53"/>
      <c r="ARB3" s="53"/>
      <c r="ARC3" s="53"/>
      <c r="ARD3" s="53"/>
      <c r="ARE3" s="53"/>
      <c r="ARF3" s="53"/>
      <c r="ARG3" s="53"/>
      <c r="ARH3" s="53"/>
      <c r="ARI3" s="53"/>
      <c r="ARJ3" s="53"/>
      <c r="ARK3" s="212"/>
      <c r="ARL3" s="46"/>
      <c r="ARM3" s="53"/>
      <c r="ARN3" s="53"/>
      <c r="ARO3" s="53"/>
      <c r="ARP3" s="53"/>
      <c r="ARQ3" s="53"/>
      <c r="ARR3" s="53"/>
      <c r="ARS3" s="53"/>
      <c r="ART3" s="53"/>
      <c r="ARU3" s="53"/>
      <c r="ARV3" s="53"/>
      <c r="ARW3" s="53"/>
      <c r="ARX3" s="53"/>
      <c r="ARY3" s="53"/>
      <c r="ARZ3" s="212"/>
      <c r="ASA3" s="46"/>
      <c r="ASB3" s="53"/>
      <c r="ASC3" s="53"/>
      <c r="ASD3" s="53"/>
      <c r="ASE3" s="53"/>
      <c r="ASF3" s="53"/>
      <c r="ASG3" s="53"/>
      <c r="ASH3" s="53"/>
      <c r="ASI3" s="53"/>
      <c r="ASJ3" s="53"/>
      <c r="ASK3" s="53"/>
      <c r="ASL3" s="53"/>
      <c r="ASM3" s="53"/>
      <c r="ASN3" s="53"/>
      <c r="ASO3" s="212"/>
      <c r="ASP3" s="46"/>
      <c r="ASQ3" s="53"/>
      <c r="ASR3" s="53"/>
      <c r="ASS3" s="53"/>
      <c r="AST3" s="53"/>
      <c r="ASU3" s="53"/>
      <c r="ASV3" s="53"/>
      <c r="ASW3" s="53"/>
      <c r="ASX3" s="53"/>
      <c r="ASY3" s="53"/>
      <c r="ASZ3" s="53"/>
      <c r="ATA3" s="53"/>
      <c r="ATB3" s="53"/>
      <c r="ATC3" s="53"/>
      <c r="ATD3" s="212"/>
      <c r="ATE3" s="46"/>
      <c r="ATF3" s="53"/>
      <c r="ATG3" s="53"/>
      <c r="ATH3" s="53"/>
      <c r="ATI3" s="53"/>
      <c r="ATJ3" s="53"/>
      <c r="ATK3" s="53"/>
      <c r="ATL3" s="53"/>
      <c r="ATM3" s="53"/>
      <c r="ATN3" s="53"/>
      <c r="ATO3" s="53"/>
      <c r="ATP3" s="53"/>
      <c r="ATQ3" s="53"/>
      <c r="ATR3" s="53"/>
      <c r="ATS3" s="212"/>
      <c r="ATT3" s="46"/>
      <c r="ATU3" s="53"/>
      <c r="ATV3" s="53"/>
      <c r="ATW3" s="53"/>
      <c r="ATX3" s="53"/>
      <c r="ATY3" s="53"/>
      <c r="ATZ3" s="53"/>
      <c r="AUA3" s="53"/>
      <c r="AUB3" s="53"/>
      <c r="AUC3" s="53"/>
      <c r="AUD3" s="53"/>
      <c r="AUE3" s="53"/>
      <c r="AUF3" s="53"/>
      <c r="AUG3" s="53"/>
      <c r="AUH3" s="212"/>
      <c r="AUI3" s="46"/>
      <c r="AUJ3" s="53"/>
      <c r="AUK3" s="53"/>
      <c r="AUL3" s="53"/>
      <c r="AUM3" s="53"/>
      <c r="AUN3" s="53"/>
      <c r="AUO3" s="53"/>
      <c r="AUP3" s="53"/>
      <c r="AUQ3" s="53"/>
      <c r="AUR3" s="53"/>
      <c r="AUS3" s="53"/>
      <c r="AUT3" s="53"/>
      <c r="AUU3" s="53"/>
      <c r="AUV3" s="53"/>
      <c r="AUW3" s="212"/>
      <c r="AUX3" s="46"/>
      <c r="AUY3" s="53"/>
      <c r="AUZ3" s="53"/>
      <c r="AVA3" s="53"/>
      <c r="AVB3" s="53"/>
      <c r="AVC3" s="53"/>
      <c r="AVD3" s="53"/>
      <c r="AVE3" s="53"/>
      <c r="AVF3" s="53"/>
      <c r="AVG3" s="53"/>
      <c r="AVH3" s="53"/>
      <c r="AVI3" s="53"/>
      <c r="AVJ3" s="53"/>
      <c r="AVK3" s="53"/>
      <c r="AVL3" s="212"/>
      <c r="AVM3" s="46"/>
      <c r="AVN3" s="53"/>
      <c r="AVO3" s="53"/>
      <c r="AVP3" s="53"/>
      <c r="AVQ3" s="53"/>
      <c r="AVR3" s="53"/>
      <c r="AVS3" s="53"/>
      <c r="AVT3" s="53"/>
      <c r="AVU3" s="53"/>
      <c r="AVV3" s="53"/>
      <c r="AVW3" s="53"/>
      <c r="AVX3" s="53"/>
      <c r="AVY3" s="53"/>
      <c r="AVZ3" s="53"/>
      <c r="AWA3" s="212"/>
      <c r="AWB3" s="46"/>
      <c r="AWC3" s="53"/>
      <c r="AWD3" s="53"/>
      <c r="AWE3" s="53"/>
      <c r="AWF3" s="53"/>
      <c r="AWG3" s="53"/>
      <c r="AWH3" s="53"/>
      <c r="AWI3" s="53"/>
      <c r="AWJ3" s="53"/>
      <c r="AWK3" s="53"/>
      <c r="AWL3" s="53"/>
      <c r="AWM3" s="53"/>
      <c r="AWN3" s="53"/>
      <c r="AWO3" s="53"/>
      <c r="AWP3" s="212"/>
      <c r="AWQ3" s="46"/>
      <c r="AWR3" s="53"/>
      <c r="AWS3" s="53"/>
      <c r="AWT3" s="53"/>
      <c r="AWU3" s="53"/>
      <c r="AWV3" s="53"/>
      <c r="AWW3" s="53"/>
      <c r="AWX3" s="53"/>
      <c r="AWY3" s="53"/>
      <c r="AWZ3" s="53"/>
      <c r="AXA3" s="53"/>
      <c r="AXB3" s="53"/>
      <c r="AXC3" s="53"/>
      <c r="AXD3" s="53"/>
      <c r="AXE3" s="212"/>
      <c r="AXF3" s="46"/>
      <c r="AXG3" s="53"/>
      <c r="AXH3" s="53"/>
      <c r="AXI3" s="53"/>
      <c r="AXJ3" s="53"/>
      <c r="AXK3" s="53"/>
      <c r="AXL3" s="53"/>
      <c r="AXM3" s="53"/>
      <c r="AXN3" s="53"/>
      <c r="AXO3" s="53"/>
      <c r="AXP3" s="53"/>
      <c r="AXQ3" s="53"/>
      <c r="AXR3" s="53"/>
      <c r="AXS3" s="53"/>
      <c r="AXT3" s="212"/>
      <c r="AXU3" s="46"/>
      <c r="AXV3" s="53"/>
      <c r="AXW3" s="53"/>
      <c r="AXX3" s="53"/>
      <c r="AXY3" s="53"/>
      <c r="AXZ3" s="53"/>
      <c r="AYA3" s="53"/>
      <c r="AYB3" s="53"/>
      <c r="AYC3" s="53"/>
      <c r="AYD3" s="53"/>
      <c r="AYE3" s="53"/>
      <c r="AYF3" s="53"/>
      <c r="AYG3" s="53"/>
      <c r="AYH3" s="53"/>
      <c r="AYI3" s="212"/>
      <c r="AYJ3" s="46"/>
      <c r="AYK3" s="53"/>
      <c r="AYL3" s="53"/>
      <c r="AYM3" s="53"/>
      <c r="AYN3" s="53"/>
      <c r="AYO3" s="53"/>
      <c r="AYP3" s="53"/>
      <c r="AYQ3" s="53"/>
      <c r="AYR3" s="53"/>
      <c r="AYS3" s="53"/>
      <c r="AYT3" s="53"/>
      <c r="AYU3" s="53"/>
      <c r="AYV3" s="53"/>
      <c r="AYW3" s="53"/>
      <c r="AYX3" s="212"/>
      <c r="AYY3" s="46"/>
      <c r="AYZ3" s="53"/>
      <c r="AZA3" s="53"/>
      <c r="AZB3" s="53"/>
      <c r="AZC3" s="53"/>
      <c r="AZD3" s="53"/>
      <c r="AZE3" s="53"/>
      <c r="AZF3" s="53"/>
      <c r="AZG3" s="53"/>
      <c r="AZH3" s="53"/>
      <c r="AZI3" s="53"/>
      <c r="AZJ3" s="53"/>
      <c r="AZK3" s="53"/>
      <c r="AZL3" s="53"/>
      <c r="AZM3" s="212"/>
      <c r="AZN3" s="46"/>
      <c r="AZO3" s="53"/>
      <c r="AZP3" s="53"/>
      <c r="AZQ3" s="53"/>
      <c r="AZR3" s="53"/>
      <c r="AZS3" s="53"/>
      <c r="AZT3" s="53"/>
      <c r="AZU3" s="53"/>
      <c r="AZV3" s="53"/>
      <c r="AZW3" s="53"/>
      <c r="AZX3" s="53"/>
      <c r="AZY3" s="53"/>
      <c r="AZZ3" s="53"/>
      <c r="BAA3" s="53"/>
      <c r="BAB3" s="212"/>
      <c r="BAC3" s="46"/>
      <c r="BAD3" s="53"/>
      <c r="BAE3" s="53"/>
      <c r="BAF3" s="53"/>
      <c r="BAG3" s="53"/>
      <c r="BAH3" s="53"/>
      <c r="BAI3" s="53"/>
      <c r="BAJ3" s="53"/>
      <c r="BAK3" s="53"/>
      <c r="BAL3" s="53"/>
      <c r="BAM3" s="53"/>
      <c r="BAN3" s="53"/>
      <c r="BAO3" s="53"/>
      <c r="BAP3" s="53"/>
      <c r="BAQ3" s="212"/>
      <c r="BAR3" s="46"/>
      <c r="BAS3" s="53"/>
      <c r="BAT3" s="53"/>
      <c r="BAU3" s="53"/>
      <c r="BAV3" s="53"/>
      <c r="BAW3" s="53"/>
      <c r="BAX3" s="53"/>
      <c r="BAY3" s="53"/>
      <c r="BAZ3" s="53"/>
      <c r="BBA3" s="53"/>
      <c r="BBB3" s="53"/>
      <c r="BBC3" s="53"/>
      <c r="BBD3" s="53"/>
      <c r="BBE3" s="53"/>
      <c r="BBF3" s="212"/>
      <c r="BBG3" s="46"/>
      <c r="BBH3" s="53"/>
      <c r="BBI3" s="53"/>
      <c r="BBJ3" s="53"/>
      <c r="BBK3" s="53"/>
      <c r="BBL3" s="53"/>
      <c r="BBM3" s="53"/>
      <c r="BBN3" s="53"/>
      <c r="BBO3" s="53"/>
      <c r="BBP3" s="53"/>
      <c r="BBQ3" s="53"/>
      <c r="BBR3" s="53"/>
      <c r="BBS3" s="53"/>
      <c r="BBT3" s="53"/>
      <c r="BBU3" s="212"/>
      <c r="BBV3" s="46"/>
      <c r="BBW3" s="53"/>
      <c r="BBX3" s="53"/>
      <c r="BBY3" s="53"/>
      <c r="BBZ3" s="53"/>
      <c r="BCA3" s="53"/>
      <c r="BCB3" s="53"/>
      <c r="BCC3" s="53"/>
      <c r="BCD3" s="53"/>
      <c r="BCE3" s="53"/>
      <c r="BCF3" s="53"/>
      <c r="BCG3" s="53"/>
      <c r="BCH3" s="53"/>
      <c r="BCI3" s="53"/>
      <c r="BCJ3" s="212"/>
      <c r="BCK3" s="46"/>
      <c r="BCL3" s="53"/>
      <c r="BCM3" s="53"/>
      <c r="BCN3" s="53"/>
      <c r="BCO3" s="53"/>
      <c r="BCP3" s="53"/>
      <c r="BCQ3" s="53"/>
      <c r="BCR3" s="53"/>
      <c r="BCS3" s="53"/>
      <c r="BCT3" s="53"/>
      <c r="BCU3" s="53"/>
      <c r="BCV3" s="53"/>
      <c r="BCW3" s="53"/>
      <c r="BCX3" s="53"/>
      <c r="BCY3" s="212"/>
      <c r="BCZ3" s="46"/>
      <c r="BDA3" s="53"/>
      <c r="BDB3" s="53"/>
      <c r="BDC3" s="53"/>
      <c r="BDD3" s="53"/>
      <c r="BDE3" s="53"/>
      <c r="BDF3" s="53"/>
      <c r="BDG3" s="53"/>
      <c r="BDH3" s="53"/>
      <c r="BDI3" s="53"/>
      <c r="BDJ3" s="53"/>
      <c r="BDK3" s="53"/>
      <c r="BDL3" s="53"/>
      <c r="BDM3" s="53"/>
      <c r="BDN3" s="212"/>
      <c r="BDO3" s="46"/>
      <c r="BDP3" s="53"/>
      <c r="BDQ3" s="53"/>
      <c r="BDR3" s="53"/>
      <c r="BDS3" s="53"/>
      <c r="BDT3" s="53"/>
      <c r="BDU3" s="53"/>
      <c r="BDV3" s="53"/>
      <c r="BDW3" s="53"/>
      <c r="BDX3" s="53"/>
      <c r="BDY3" s="53"/>
      <c r="BDZ3" s="53"/>
      <c r="BEA3" s="53"/>
      <c r="BEB3" s="53"/>
      <c r="BEC3" s="212"/>
      <c r="BED3" s="46"/>
      <c r="BEE3" s="53"/>
      <c r="BEF3" s="53"/>
      <c r="BEG3" s="53"/>
      <c r="BEH3" s="53"/>
      <c r="BEI3" s="53"/>
      <c r="BEJ3" s="53"/>
      <c r="BEK3" s="53"/>
      <c r="BEL3" s="53"/>
      <c r="BEM3" s="53"/>
      <c r="BEN3" s="53"/>
      <c r="BEO3" s="53"/>
      <c r="BEP3" s="53"/>
      <c r="BEQ3" s="53"/>
      <c r="BER3" s="212"/>
      <c r="BES3" s="46"/>
      <c r="BET3" s="53"/>
      <c r="BEU3" s="53"/>
      <c r="BEV3" s="53"/>
      <c r="BEW3" s="53"/>
      <c r="BEX3" s="53"/>
      <c r="BEY3" s="53"/>
      <c r="BEZ3" s="53"/>
      <c r="BFA3" s="53"/>
      <c r="BFB3" s="53"/>
      <c r="BFC3" s="53"/>
      <c r="BFD3" s="53"/>
      <c r="BFE3" s="53"/>
      <c r="BFF3" s="53"/>
      <c r="BFG3" s="212"/>
      <c r="BFH3" s="46"/>
      <c r="BFI3" s="53"/>
      <c r="BFJ3" s="53"/>
      <c r="BFK3" s="53"/>
      <c r="BFL3" s="53"/>
      <c r="BFM3" s="53"/>
      <c r="BFN3" s="53"/>
      <c r="BFO3" s="53"/>
      <c r="BFP3" s="53"/>
      <c r="BFQ3" s="53"/>
      <c r="BFR3" s="53"/>
      <c r="BFS3" s="53"/>
      <c r="BFT3" s="53"/>
      <c r="BFU3" s="53"/>
      <c r="BFV3" s="212"/>
      <c r="BFW3" s="46"/>
      <c r="BFX3" s="53"/>
      <c r="BFY3" s="53"/>
      <c r="BFZ3" s="53"/>
      <c r="BGA3" s="53"/>
      <c r="BGB3" s="53"/>
      <c r="BGC3" s="53"/>
      <c r="BGD3" s="53"/>
      <c r="BGE3" s="53"/>
      <c r="BGF3" s="53"/>
      <c r="BGG3" s="53"/>
      <c r="BGH3" s="53"/>
      <c r="BGI3" s="53"/>
      <c r="BGJ3" s="53"/>
      <c r="BGK3" s="212"/>
      <c r="BGL3" s="46"/>
      <c r="BGM3" s="53"/>
      <c r="BGN3" s="53"/>
      <c r="BGO3" s="53"/>
      <c r="BGP3" s="53"/>
      <c r="BGQ3" s="53"/>
      <c r="BGR3" s="53"/>
      <c r="BGS3" s="53"/>
      <c r="BGT3" s="53"/>
      <c r="BGU3" s="53"/>
      <c r="BGV3" s="53"/>
      <c r="BGW3" s="53"/>
      <c r="BGX3" s="53"/>
      <c r="BGY3" s="53"/>
      <c r="BGZ3" s="212"/>
      <c r="BHA3" s="46"/>
      <c r="BHB3" s="53"/>
      <c r="BHC3" s="53"/>
      <c r="BHD3" s="53"/>
      <c r="BHE3" s="53"/>
      <c r="BHF3" s="53"/>
      <c r="BHG3" s="53"/>
      <c r="BHH3" s="53"/>
      <c r="BHI3" s="53"/>
      <c r="BHJ3" s="53"/>
      <c r="BHK3" s="53"/>
      <c r="BHL3" s="53"/>
      <c r="BHM3" s="53"/>
      <c r="BHN3" s="53"/>
      <c r="BHO3" s="212"/>
      <c r="BHP3" s="46"/>
      <c r="BHQ3" s="53"/>
      <c r="BHR3" s="53"/>
      <c r="BHS3" s="53"/>
      <c r="BHT3" s="53"/>
      <c r="BHU3" s="53"/>
      <c r="BHV3" s="53"/>
      <c r="BHW3" s="53"/>
      <c r="BHX3" s="53"/>
      <c r="BHY3" s="53"/>
      <c r="BHZ3" s="53"/>
      <c r="BIA3" s="53"/>
      <c r="BIB3" s="53"/>
      <c r="BIC3" s="53"/>
      <c r="BID3" s="212"/>
      <c r="BIE3" s="46"/>
      <c r="BIF3" s="53"/>
      <c r="BIG3" s="53"/>
      <c r="BIH3" s="53"/>
      <c r="BII3" s="53"/>
      <c r="BIJ3" s="53"/>
      <c r="BIK3" s="53"/>
      <c r="BIL3" s="53"/>
      <c r="BIM3" s="53"/>
      <c r="BIN3" s="53"/>
      <c r="BIO3" s="53"/>
      <c r="BIP3" s="53"/>
      <c r="BIQ3" s="53"/>
      <c r="BIR3" s="53"/>
      <c r="BIS3" s="212"/>
      <c r="BIT3" s="46"/>
      <c r="BIU3" s="53"/>
      <c r="BIV3" s="53"/>
      <c r="BIW3" s="53"/>
      <c r="BIX3" s="53"/>
      <c r="BIY3" s="53"/>
      <c r="BIZ3" s="53"/>
      <c r="BJA3" s="53"/>
      <c r="BJB3" s="53"/>
      <c r="BJC3" s="53"/>
      <c r="BJD3" s="53"/>
      <c r="BJE3" s="53"/>
      <c r="BJF3" s="53"/>
      <c r="BJG3" s="53"/>
      <c r="BJH3" s="212"/>
      <c r="BJI3" s="46"/>
      <c r="BJJ3" s="53"/>
      <c r="BJK3" s="53"/>
      <c r="BJL3" s="53"/>
      <c r="BJM3" s="53"/>
      <c r="BJN3" s="53"/>
      <c r="BJO3" s="53"/>
      <c r="BJP3" s="53"/>
      <c r="BJQ3" s="53"/>
      <c r="BJR3" s="53"/>
      <c r="BJS3" s="53"/>
      <c r="BJT3" s="53"/>
      <c r="BJU3" s="53"/>
      <c r="BJV3" s="53"/>
      <c r="BJW3" s="212"/>
      <c r="BJX3" s="46"/>
      <c r="BJY3" s="53"/>
      <c r="BJZ3" s="53"/>
      <c r="BKA3" s="53"/>
      <c r="BKB3" s="53"/>
      <c r="BKC3" s="53"/>
      <c r="BKD3" s="53"/>
      <c r="BKE3" s="53"/>
      <c r="BKF3" s="53"/>
      <c r="BKG3" s="53"/>
      <c r="BKH3" s="53"/>
      <c r="BKI3" s="53"/>
      <c r="BKJ3" s="53"/>
      <c r="BKK3" s="53"/>
      <c r="BKL3" s="212"/>
      <c r="BKM3" s="46"/>
      <c r="BKN3" s="53"/>
      <c r="BKO3" s="53"/>
      <c r="BKP3" s="53"/>
      <c r="BKQ3" s="53"/>
      <c r="BKR3" s="53"/>
      <c r="BKS3" s="53"/>
      <c r="BKT3" s="53"/>
      <c r="BKU3" s="53"/>
      <c r="BKV3" s="53"/>
      <c r="BKW3" s="53"/>
      <c r="BKX3" s="53"/>
      <c r="BKY3" s="53"/>
      <c r="BKZ3" s="53"/>
      <c r="BLA3" s="212"/>
      <c r="BLB3" s="46"/>
      <c r="BLC3" s="53"/>
      <c r="BLD3" s="53"/>
      <c r="BLE3" s="53"/>
      <c r="BLF3" s="53"/>
      <c r="BLG3" s="53"/>
      <c r="BLH3" s="53"/>
      <c r="BLI3" s="53"/>
      <c r="BLJ3" s="53"/>
      <c r="BLK3" s="53"/>
      <c r="BLL3" s="53"/>
      <c r="BLM3" s="53"/>
      <c r="BLN3" s="53"/>
      <c r="BLO3" s="53"/>
      <c r="BLP3" s="212"/>
      <c r="BLQ3" s="46"/>
      <c r="BLR3" s="53"/>
      <c r="BLS3" s="53"/>
      <c r="BLT3" s="53"/>
      <c r="BLU3" s="53"/>
      <c r="BLV3" s="53"/>
      <c r="BLW3" s="53"/>
      <c r="BLX3" s="53"/>
      <c r="BLY3" s="53"/>
      <c r="BLZ3" s="53"/>
      <c r="BMA3" s="53"/>
      <c r="BMB3" s="53"/>
      <c r="BMC3" s="53"/>
      <c r="BMD3" s="53"/>
      <c r="BME3" s="212"/>
      <c r="BMF3" s="46"/>
      <c r="BMG3" s="53"/>
      <c r="BMH3" s="53"/>
      <c r="BMI3" s="53"/>
      <c r="BMJ3" s="53"/>
      <c r="BMK3" s="53"/>
      <c r="BML3" s="53"/>
      <c r="BMM3" s="53"/>
      <c r="BMN3" s="53"/>
      <c r="BMO3" s="53"/>
      <c r="BMP3" s="53"/>
      <c r="BMQ3" s="53"/>
      <c r="BMR3" s="53"/>
      <c r="BMS3" s="53"/>
      <c r="BMT3" s="212"/>
      <c r="BMU3" s="46"/>
      <c r="BMV3" s="53"/>
      <c r="BMW3" s="53"/>
      <c r="BMX3" s="53"/>
      <c r="BMY3" s="53"/>
      <c r="BMZ3" s="53"/>
      <c r="BNA3" s="53"/>
      <c r="BNB3" s="53"/>
      <c r="BNC3" s="53"/>
      <c r="BND3" s="53"/>
      <c r="BNE3" s="53"/>
      <c r="BNF3" s="53"/>
      <c r="BNG3" s="53"/>
      <c r="BNH3" s="53"/>
      <c r="BNI3" s="212"/>
      <c r="BNJ3" s="46"/>
      <c r="BNK3" s="53"/>
      <c r="BNL3" s="53"/>
      <c r="BNM3" s="53"/>
      <c r="BNN3" s="53"/>
      <c r="BNO3" s="53"/>
      <c r="BNP3" s="53"/>
      <c r="BNQ3" s="53"/>
      <c r="BNR3" s="53"/>
      <c r="BNS3" s="53"/>
      <c r="BNT3" s="53"/>
      <c r="BNU3" s="53"/>
      <c r="BNV3" s="53"/>
      <c r="BNW3" s="53"/>
      <c r="BNX3" s="212"/>
      <c r="BNY3" s="46"/>
      <c r="BNZ3" s="53"/>
      <c r="BOA3" s="53"/>
      <c r="BOB3" s="53"/>
      <c r="BOC3" s="53"/>
      <c r="BOD3" s="53"/>
      <c r="BOE3" s="53"/>
      <c r="BOF3" s="53"/>
      <c r="BOG3" s="53"/>
      <c r="BOH3" s="53"/>
      <c r="BOI3" s="53"/>
      <c r="BOJ3" s="53"/>
      <c r="BOK3" s="53"/>
      <c r="BOL3" s="53"/>
      <c r="BOM3" s="212"/>
      <c r="BON3" s="46"/>
      <c r="BOO3" s="53"/>
      <c r="BOP3" s="53"/>
      <c r="BOQ3" s="53"/>
      <c r="BOR3" s="53"/>
      <c r="BOS3" s="53"/>
      <c r="BOT3" s="53"/>
      <c r="BOU3" s="53"/>
      <c r="BOV3" s="53"/>
      <c r="BOW3" s="53"/>
      <c r="BOX3" s="53"/>
      <c r="BOY3" s="53"/>
      <c r="BOZ3" s="53"/>
      <c r="BPA3" s="53"/>
      <c r="BPB3" s="212"/>
      <c r="BPC3" s="46"/>
      <c r="BPD3" s="53"/>
      <c r="BPE3" s="53"/>
      <c r="BPF3" s="53"/>
      <c r="BPG3" s="53"/>
      <c r="BPH3" s="53"/>
      <c r="BPI3" s="53"/>
      <c r="BPJ3" s="53"/>
      <c r="BPK3" s="53"/>
      <c r="BPL3" s="53"/>
      <c r="BPM3" s="53"/>
      <c r="BPN3" s="53"/>
      <c r="BPO3" s="53"/>
      <c r="BPP3" s="53"/>
      <c r="BPQ3" s="212"/>
      <c r="BPR3" s="46"/>
      <c r="BPS3" s="53"/>
      <c r="BPT3" s="53"/>
      <c r="BPU3" s="53"/>
      <c r="BPV3" s="53"/>
      <c r="BPW3" s="53"/>
      <c r="BPX3" s="53"/>
      <c r="BPY3" s="53"/>
      <c r="BPZ3" s="53"/>
      <c r="BQA3" s="53"/>
      <c r="BQB3" s="53"/>
      <c r="BQC3" s="53"/>
      <c r="BQD3" s="53"/>
      <c r="BQE3" s="53"/>
      <c r="BQF3" s="212"/>
      <c r="BQG3" s="46"/>
      <c r="BQH3" s="53"/>
      <c r="BQI3" s="53"/>
      <c r="BQJ3" s="53"/>
      <c r="BQK3" s="53"/>
      <c r="BQL3" s="53"/>
      <c r="BQM3" s="53"/>
      <c r="BQN3" s="53"/>
      <c r="BQO3" s="53"/>
      <c r="BQP3" s="53"/>
      <c r="BQQ3" s="53"/>
      <c r="BQR3" s="53"/>
      <c r="BQS3" s="53"/>
      <c r="BQT3" s="53"/>
      <c r="BQU3" s="212"/>
      <c r="BQV3" s="46"/>
      <c r="BQW3" s="53"/>
      <c r="BQX3" s="53"/>
      <c r="BQY3" s="53"/>
      <c r="BQZ3" s="53"/>
      <c r="BRA3" s="53"/>
      <c r="BRB3" s="53"/>
      <c r="BRC3" s="53"/>
      <c r="BRD3" s="53"/>
      <c r="BRE3" s="53"/>
      <c r="BRF3" s="53"/>
      <c r="BRG3" s="53"/>
      <c r="BRH3" s="53"/>
      <c r="BRI3" s="53"/>
      <c r="BRJ3" s="212"/>
      <c r="BRK3" s="46"/>
      <c r="BRL3" s="53"/>
      <c r="BRM3" s="53"/>
      <c r="BRN3" s="53"/>
      <c r="BRO3" s="53"/>
      <c r="BRP3" s="53"/>
      <c r="BRQ3" s="53"/>
      <c r="BRR3" s="53"/>
      <c r="BRS3" s="53"/>
      <c r="BRT3" s="53"/>
      <c r="BRU3" s="53"/>
      <c r="BRV3" s="53"/>
      <c r="BRW3" s="53"/>
      <c r="BRX3" s="53"/>
      <c r="BRY3" s="212"/>
      <c r="BRZ3" s="46"/>
      <c r="BSA3" s="53"/>
      <c r="BSB3" s="53"/>
      <c r="BSC3" s="53"/>
      <c r="BSD3" s="53"/>
      <c r="BSE3" s="53"/>
      <c r="BSF3" s="53"/>
      <c r="BSG3" s="53"/>
      <c r="BSH3" s="53"/>
      <c r="BSI3" s="53"/>
      <c r="BSJ3" s="53"/>
      <c r="BSK3" s="53"/>
      <c r="BSL3" s="53"/>
      <c r="BSM3" s="53"/>
      <c r="BSN3" s="212"/>
      <c r="BSO3" s="46"/>
      <c r="BSP3" s="53"/>
      <c r="BSQ3" s="53"/>
      <c r="BSR3" s="53"/>
      <c r="BSS3" s="53"/>
      <c r="BST3" s="53"/>
      <c r="BSU3" s="53"/>
      <c r="BSV3" s="53"/>
      <c r="BSW3" s="53"/>
      <c r="BSX3" s="53"/>
      <c r="BSY3" s="53"/>
      <c r="BSZ3" s="53"/>
      <c r="BTA3" s="53"/>
      <c r="BTB3" s="53"/>
      <c r="BTC3" s="212"/>
      <c r="BTD3" s="46"/>
      <c r="BTE3" s="53"/>
      <c r="BTF3" s="53"/>
      <c r="BTG3" s="53"/>
      <c r="BTH3" s="53"/>
      <c r="BTI3" s="53"/>
      <c r="BTJ3" s="53"/>
      <c r="BTK3" s="53"/>
      <c r="BTL3" s="53"/>
      <c r="BTM3" s="53"/>
      <c r="BTN3" s="53"/>
      <c r="BTO3" s="53"/>
      <c r="BTP3" s="53"/>
      <c r="BTQ3" s="53"/>
      <c r="BTR3" s="212"/>
      <c r="BTS3" s="46"/>
      <c r="BTT3" s="53"/>
      <c r="BTU3" s="53"/>
      <c r="BTV3" s="53"/>
      <c r="BTW3" s="53"/>
      <c r="BTX3" s="53"/>
      <c r="BTY3" s="53"/>
      <c r="BTZ3" s="53"/>
      <c r="BUA3" s="53"/>
      <c r="BUB3" s="53"/>
      <c r="BUC3" s="53"/>
      <c r="BUD3" s="53"/>
      <c r="BUE3" s="53"/>
      <c r="BUF3" s="53"/>
      <c r="BUG3" s="212"/>
      <c r="BUH3" s="46"/>
      <c r="BUI3" s="53"/>
      <c r="BUJ3" s="53"/>
      <c r="BUK3" s="53"/>
      <c r="BUL3" s="53"/>
      <c r="BUM3" s="53"/>
      <c r="BUN3" s="53"/>
      <c r="BUO3" s="53"/>
      <c r="BUP3" s="53"/>
      <c r="BUQ3" s="53"/>
      <c r="BUR3" s="53"/>
      <c r="BUS3" s="53"/>
      <c r="BUT3" s="53"/>
      <c r="BUU3" s="53"/>
      <c r="BUV3" s="212"/>
      <c r="BUW3" s="46"/>
      <c r="BUX3" s="53"/>
      <c r="BUY3" s="53"/>
      <c r="BUZ3" s="53"/>
      <c r="BVA3" s="53"/>
      <c r="BVB3" s="53"/>
      <c r="BVC3" s="53"/>
      <c r="BVD3" s="53"/>
      <c r="BVE3" s="53"/>
      <c r="BVF3" s="53"/>
      <c r="BVG3" s="53"/>
      <c r="BVH3" s="53"/>
      <c r="BVI3" s="53"/>
      <c r="BVJ3" s="53"/>
      <c r="BVK3" s="212"/>
      <c r="BVL3" s="46"/>
      <c r="BVM3" s="53"/>
      <c r="BVN3" s="53"/>
      <c r="BVO3" s="53"/>
      <c r="BVP3" s="53"/>
      <c r="BVQ3" s="53"/>
      <c r="BVR3" s="53"/>
      <c r="BVS3" s="53"/>
      <c r="BVT3" s="53"/>
      <c r="BVU3" s="53"/>
      <c r="BVV3" s="53"/>
      <c r="BVW3" s="53"/>
      <c r="BVX3" s="53"/>
      <c r="BVY3" s="53"/>
      <c r="BVZ3" s="212"/>
      <c r="BWA3" s="46"/>
      <c r="BWB3" s="53"/>
      <c r="BWC3" s="53"/>
      <c r="BWD3" s="53"/>
      <c r="BWE3" s="53"/>
      <c r="BWF3" s="53"/>
      <c r="BWG3" s="53"/>
      <c r="BWH3" s="53"/>
      <c r="BWI3" s="53"/>
      <c r="BWJ3" s="53"/>
      <c r="BWK3" s="53"/>
      <c r="BWL3" s="53"/>
      <c r="BWM3" s="53"/>
      <c r="BWN3" s="53"/>
      <c r="BWO3" s="212"/>
      <c r="BWP3" s="46"/>
      <c r="BWQ3" s="53"/>
      <c r="BWR3" s="53"/>
      <c r="BWS3" s="53"/>
      <c r="BWT3" s="53"/>
      <c r="BWU3" s="53"/>
      <c r="BWV3" s="53"/>
      <c r="BWW3" s="53"/>
      <c r="BWX3" s="53"/>
      <c r="BWY3" s="53"/>
      <c r="BWZ3" s="53"/>
      <c r="BXA3" s="53"/>
      <c r="BXB3" s="53"/>
      <c r="BXC3" s="53"/>
      <c r="BXD3" s="212"/>
      <c r="BXE3" s="46"/>
      <c r="BXF3" s="53"/>
      <c r="BXG3" s="53"/>
      <c r="BXH3" s="53"/>
      <c r="BXI3" s="53"/>
      <c r="BXJ3" s="53"/>
      <c r="BXK3" s="53"/>
      <c r="BXL3" s="53"/>
      <c r="BXM3" s="53"/>
      <c r="BXN3" s="53"/>
      <c r="BXO3" s="53"/>
      <c r="BXP3" s="53"/>
      <c r="BXQ3" s="53"/>
      <c r="BXR3" s="53"/>
      <c r="BXS3" s="212"/>
      <c r="BXT3" s="46"/>
      <c r="BXU3" s="53"/>
      <c r="BXV3" s="53"/>
      <c r="BXW3" s="53"/>
      <c r="BXX3" s="53"/>
      <c r="BXY3" s="53"/>
      <c r="BXZ3" s="53"/>
      <c r="BYA3" s="53"/>
      <c r="BYB3" s="53"/>
      <c r="BYC3" s="53"/>
      <c r="BYD3" s="53"/>
      <c r="BYE3" s="53"/>
      <c r="BYF3" s="53"/>
      <c r="BYG3" s="53"/>
      <c r="BYH3" s="212"/>
      <c r="BYI3" s="46"/>
      <c r="BYJ3" s="53"/>
      <c r="BYK3" s="53"/>
      <c r="BYL3" s="53"/>
      <c r="BYM3" s="53"/>
      <c r="BYN3" s="53"/>
      <c r="BYO3" s="53"/>
      <c r="BYP3" s="53"/>
      <c r="BYQ3" s="53"/>
      <c r="BYR3" s="53"/>
      <c r="BYS3" s="53"/>
      <c r="BYT3" s="53"/>
      <c r="BYU3" s="53"/>
      <c r="BYV3" s="53"/>
      <c r="BYW3" s="212"/>
      <c r="BYX3" s="46"/>
      <c r="BYY3" s="53"/>
      <c r="BYZ3" s="53"/>
      <c r="BZA3" s="53"/>
      <c r="BZB3" s="53"/>
      <c r="BZC3" s="53"/>
      <c r="BZD3" s="53"/>
      <c r="BZE3" s="53"/>
      <c r="BZF3" s="53"/>
      <c r="BZG3" s="53"/>
      <c r="BZH3" s="53"/>
      <c r="BZI3" s="53"/>
      <c r="BZJ3" s="53"/>
      <c r="BZK3" s="53"/>
      <c r="BZL3" s="212"/>
      <c r="BZM3" s="46"/>
      <c r="BZN3" s="53"/>
      <c r="BZO3" s="53"/>
      <c r="BZP3" s="53"/>
      <c r="BZQ3" s="53"/>
      <c r="BZR3" s="53"/>
      <c r="BZS3" s="53"/>
      <c r="BZT3" s="53"/>
      <c r="BZU3" s="53"/>
      <c r="BZV3" s="53"/>
      <c r="BZW3" s="53"/>
      <c r="BZX3" s="53"/>
      <c r="BZY3" s="53"/>
      <c r="BZZ3" s="53"/>
      <c r="CAA3" s="212"/>
      <c r="CAB3" s="46"/>
      <c r="CAC3" s="53"/>
      <c r="CAD3" s="53"/>
      <c r="CAE3" s="53"/>
      <c r="CAF3" s="53"/>
      <c r="CAG3" s="53"/>
      <c r="CAH3" s="53"/>
      <c r="CAI3" s="53"/>
      <c r="CAJ3" s="53"/>
      <c r="CAK3" s="53"/>
      <c r="CAL3" s="53"/>
      <c r="CAM3" s="53"/>
      <c r="CAN3" s="53"/>
      <c r="CAO3" s="53"/>
      <c r="CAP3" s="212"/>
      <c r="CAQ3" s="46"/>
      <c r="CAR3" s="53"/>
      <c r="CAS3" s="53"/>
      <c r="CAT3" s="53"/>
      <c r="CAU3" s="53"/>
      <c r="CAV3" s="53"/>
      <c r="CAW3" s="53"/>
      <c r="CAX3" s="53"/>
      <c r="CAY3" s="53"/>
      <c r="CAZ3" s="53"/>
      <c r="CBA3" s="53"/>
      <c r="CBB3" s="53"/>
      <c r="CBC3" s="53"/>
      <c r="CBD3" s="53"/>
      <c r="CBE3" s="212"/>
      <c r="CBF3" s="46"/>
      <c r="CBG3" s="53"/>
      <c r="CBH3" s="53"/>
      <c r="CBI3" s="53"/>
      <c r="CBJ3" s="53"/>
      <c r="CBK3" s="53"/>
      <c r="CBL3" s="53"/>
      <c r="CBM3" s="53"/>
      <c r="CBN3" s="53"/>
      <c r="CBO3" s="53"/>
      <c r="CBP3" s="53"/>
      <c r="CBQ3" s="53"/>
      <c r="CBR3" s="53"/>
      <c r="CBS3" s="53"/>
      <c r="CBT3" s="212"/>
      <c r="CBU3" s="46"/>
      <c r="CBV3" s="53"/>
      <c r="CBW3" s="53"/>
      <c r="CBX3" s="53"/>
      <c r="CBY3" s="53"/>
      <c r="CBZ3" s="53"/>
      <c r="CCA3" s="53"/>
      <c r="CCB3" s="53"/>
      <c r="CCC3" s="53"/>
      <c r="CCD3" s="53"/>
      <c r="CCE3" s="53"/>
      <c r="CCF3" s="53"/>
      <c r="CCG3" s="53"/>
      <c r="CCH3" s="53"/>
      <c r="CCI3" s="212"/>
      <c r="CCJ3" s="46"/>
      <c r="CCK3" s="53"/>
      <c r="CCL3" s="53"/>
      <c r="CCM3" s="53"/>
      <c r="CCN3" s="53"/>
      <c r="CCO3" s="53"/>
      <c r="CCP3" s="53"/>
      <c r="CCQ3" s="53"/>
      <c r="CCR3" s="53"/>
      <c r="CCS3" s="53"/>
      <c r="CCT3" s="53"/>
      <c r="CCU3" s="53"/>
      <c r="CCV3" s="53"/>
      <c r="CCW3" s="53"/>
      <c r="CCX3" s="212"/>
      <c r="CCY3" s="46"/>
      <c r="CCZ3" s="53"/>
      <c r="CDA3" s="53"/>
      <c r="CDB3" s="53"/>
      <c r="CDC3" s="53"/>
      <c r="CDD3" s="53"/>
      <c r="CDE3" s="53"/>
      <c r="CDF3" s="53"/>
      <c r="CDG3" s="53"/>
      <c r="CDH3" s="53"/>
      <c r="CDI3" s="53"/>
      <c r="CDJ3" s="53"/>
      <c r="CDK3" s="53"/>
      <c r="CDL3" s="53"/>
      <c r="CDM3" s="212"/>
      <c r="CDN3" s="46"/>
      <c r="CDO3" s="53"/>
      <c r="CDP3" s="53"/>
      <c r="CDQ3" s="53"/>
      <c r="CDR3" s="53"/>
      <c r="CDS3" s="53"/>
      <c r="CDT3" s="53"/>
      <c r="CDU3" s="53"/>
      <c r="CDV3" s="53"/>
      <c r="CDW3" s="53"/>
      <c r="CDX3" s="53"/>
      <c r="CDY3" s="53"/>
      <c r="CDZ3" s="53"/>
      <c r="CEA3" s="53"/>
      <c r="CEB3" s="212"/>
      <c r="CEC3" s="46"/>
      <c r="CED3" s="53"/>
      <c r="CEE3" s="53"/>
      <c r="CEF3" s="53"/>
      <c r="CEG3" s="53"/>
      <c r="CEH3" s="53"/>
      <c r="CEI3" s="53"/>
      <c r="CEJ3" s="53"/>
      <c r="CEK3" s="53"/>
      <c r="CEL3" s="53"/>
      <c r="CEM3" s="53"/>
      <c r="CEN3" s="53"/>
      <c r="CEO3" s="53"/>
      <c r="CEP3" s="53"/>
      <c r="CEQ3" s="212"/>
      <c r="CER3" s="46"/>
      <c r="CES3" s="53"/>
      <c r="CET3" s="53"/>
      <c r="CEU3" s="53"/>
      <c r="CEV3" s="53"/>
      <c r="CEW3" s="53"/>
      <c r="CEX3" s="53"/>
      <c r="CEY3" s="53"/>
      <c r="CEZ3" s="53"/>
      <c r="CFA3" s="53"/>
      <c r="CFB3" s="53"/>
      <c r="CFC3" s="53"/>
      <c r="CFD3" s="53"/>
      <c r="CFE3" s="53"/>
      <c r="CFF3" s="212"/>
      <c r="CFG3" s="46"/>
      <c r="CFH3" s="53"/>
      <c r="CFI3" s="53"/>
      <c r="CFJ3" s="53"/>
      <c r="CFK3" s="53"/>
      <c r="CFL3" s="53"/>
      <c r="CFM3" s="53"/>
      <c r="CFN3" s="53"/>
      <c r="CFO3" s="53"/>
      <c r="CFP3" s="53"/>
      <c r="CFQ3" s="53"/>
      <c r="CFR3" s="53"/>
      <c r="CFS3" s="53"/>
      <c r="CFT3" s="53"/>
      <c r="CFU3" s="212"/>
      <c r="CFV3" s="46"/>
      <c r="CFW3" s="53"/>
      <c r="CFX3" s="53"/>
      <c r="CFY3" s="53"/>
      <c r="CFZ3" s="53"/>
      <c r="CGA3" s="53"/>
      <c r="CGB3" s="53"/>
      <c r="CGC3" s="53"/>
      <c r="CGD3" s="53"/>
      <c r="CGE3" s="53"/>
      <c r="CGF3" s="53"/>
      <c r="CGG3" s="53"/>
      <c r="CGH3" s="53"/>
      <c r="CGI3" s="53"/>
      <c r="CGJ3" s="212"/>
      <c r="CGK3" s="46"/>
      <c r="CGL3" s="53"/>
      <c r="CGM3" s="53"/>
      <c r="CGN3" s="53"/>
      <c r="CGO3" s="53"/>
      <c r="CGP3" s="53"/>
      <c r="CGQ3" s="53"/>
      <c r="CGR3" s="53"/>
      <c r="CGS3" s="53"/>
      <c r="CGT3" s="53"/>
      <c r="CGU3" s="53"/>
      <c r="CGV3" s="53"/>
      <c r="CGW3" s="53"/>
      <c r="CGX3" s="53"/>
      <c r="CGY3" s="212"/>
      <c r="CGZ3" s="46"/>
      <c r="CHA3" s="53"/>
      <c r="CHB3" s="53"/>
      <c r="CHC3" s="53"/>
      <c r="CHD3" s="53"/>
      <c r="CHE3" s="53"/>
      <c r="CHF3" s="53"/>
      <c r="CHG3" s="53"/>
      <c r="CHH3" s="53"/>
      <c r="CHI3" s="53"/>
      <c r="CHJ3" s="53"/>
      <c r="CHK3" s="53"/>
      <c r="CHL3" s="53"/>
      <c r="CHM3" s="53"/>
      <c r="CHN3" s="212"/>
      <c r="CHO3" s="46"/>
      <c r="CHP3" s="53"/>
      <c r="CHQ3" s="53"/>
      <c r="CHR3" s="53"/>
      <c r="CHS3" s="53"/>
      <c r="CHT3" s="53"/>
      <c r="CHU3" s="53"/>
      <c r="CHV3" s="53"/>
      <c r="CHW3" s="53"/>
      <c r="CHX3" s="53"/>
      <c r="CHY3" s="53"/>
      <c r="CHZ3" s="53"/>
      <c r="CIA3" s="53"/>
      <c r="CIB3" s="53"/>
      <c r="CIC3" s="212"/>
      <c r="CID3" s="46"/>
      <c r="CIE3" s="53"/>
      <c r="CIF3" s="53"/>
      <c r="CIG3" s="53"/>
      <c r="CIH3" s="53"/>
      <c r="CII3" s="53"/>
      <c r="CIJ3" s="53"/>
      <c r="CIK3" s="53"/>
      <c r="CIL3" s="53"/>
      <c r="CIM3" s="53"/>
      <c r="CIN3" s="53"/>
      <c r="CIO3" s="53"/>
      <c r="CIP3" s="53"/>
      <c r="CIQ3" s="53"/>
      <c r="CIR3" s="212"/>
      <c r="CIS3" s="46"/>
      <c r="CIT3" s="53"/>
      <c r="CIU3" s="53"/>
      <c r="CIV3" s="53"/>
      <c r="CIW3" s="53"/>
      <c r="CIX3" s="53"/>
      <c r="CIY3" s="53"/>
      <c r="CIZ3" s="53"/>
      <c r="CJA3" s="53"/>
      <c r="CJB3" s="53"/>
      <c r="CJC3" s="53"/>
      <c r="CJD3" s="53"/>
      <c r="CJE3" s="53"/>
      <c r="CJF3" s="53"/>
      <c r="CJG3" s="212"/>
      <c r="CJH3" s="46"/>
      <c r="CJI3" s="53"/>
      <c r="CJJ3" s="53"/>
      <c r="CJK3" s="53"/>
      <c r="CJL3" s="53"/>
      <c r="CJM3" s="53"/>
      <c r="CJN3" s="53"/>
      <c r="CJO3" s="53"/>
      <c r="CJP3" s="53"/>
      <c r="CJQ3" s="53"/>
      <c r="CJR3" s="53"/>
      <c r="CJS3" s="53"/>
      <c r="CJT3" s="53"/>
      <c r="CJU3" s="53"/>
      <c r="CJV3" s="212"/>
      <c r="CJW3" s="46"/>
      <c r="CJX3" s="53"/>
      <c r="CJY3" s="53"/>
      <c r="CJZ3" s="53"/>
      <c r="CKA3" s="53"/>
      <c r="CKB3" s="53"/>
      <c r="CKC3" s="53"/>
      <c r="CKD3" s="53"/>
      <c r="CKE3" s="53"/>
      <c r="CKF3" s="53"/>
      <c r="CKG3" s="53"/>
      <c r="CKH3" s="53"/>
      <c r="CKI3" s="53"/>
      <c r="CKJ3" s="53"/>
      <c r="CKK3" s="212"/>
      <c r="CKL3" s="46"/>
      <c r="CKM3" s="53"/>
      <c r="CKN3" s="53"/>
      <c r="CKO3" s="53"/>
      <c r="CKP3" s="53"/>
      <c r="CKQ3" s="53"/>
      <c r="CKR3" s="53"/>
      <c r="CKS3" s="53"/>
      <c r="CKT3" s="53"/>
      <c r="CKU3" s="53"/>
      <c r="CKV3" s="53"/>
      <c r="CKW3" s="53"/>
      <c r="CKX3" s="53"/>
      <c r="CKY3" s="53"/>
      <c r="CKZ3" s="212"/>
      <c r="CLA3" s="46"/>
      <c r="CLB3" s="53"/>
      <c r="CLC3" s="53"/>
      <c r="CLD3" s="53"/>
      <c r="CLE3" s="53"/>
      <c r="CLF3" s="53"/>
      <c r="CLG3" s="53"/>
      <c r="CLH3" s="53"/>
      <c r="CLI3" s="53"/>
      <c r="CLJ3" s="53"/>
      <c r="CLK3" s="53"/>
      <c r="CLL3" s="53"/>
      <c r="CLM3" s="53"/>
      <c r="CLN3" s="53"/>
      <c r="CLO3" s="212"/>
      <c r="CLP3" s="46"/>
      <c r="CLQ3" s="53"/>
      <c r="CLR3" s="53"/>
      <c r="CLS3" s="53"/>
      <c r="CLT3" s="53"/>
      <c r="CLU3" s="53"/>
      <c r="CLV3" s="53"/>
      <c r="CLW3" s="53"/>
      <c r="CLX3" s="53"/>
      <c r="CLY3" s="53"/>
      <c r="CLZ3" s="53"/>
      <c r="CMA3" s="53"/>
      <c r="CMB3" s="53"/>
      <c r="CMC3" s="53"/>
      <c r="CMD3" s="212"/>
      <c r="CME3" s="46"/>
      <c r="CMF3" s="53"/>
      <c r="CMG3" s="53"/>
      <c r="CMH3" s="53"/>
      <c r="CMI3" s="53"/>
      <c r="CMJ3" s="53"/>
      <c r="CMK3" s="53"/>
      <c r="CML3" s="53"/>
      <c r="CMM3" s="53"/>
      <c r="CMN3" s="53"/>
      <c r="CMO3" s="53"/>
      <c r="CMP3" s="53"/>
      <c r="CMQ3" s="53"/>
      <c r="CMR3" s="53"/>
      <c r="CMS3" s="212"/>
      <c r="CMT3" s="46"/>
      <c r="CMU3" s="53"/>
      <c r="CMV3" s="53"/>
      <c r="CMW3" s="53"/>
      <c r="CMX3" s="53"/>
      <c r="CMY3" s="53"/>
      <c r="CMZ3" s="53"/>
      <c r="CNA3" s="53"/>
      <c r="CNB3" s="53"/>
      <c r="CNC3" s="53"/>
      <c r="CND3" s="53"/>
      <c r="CNE3" s="53"/>
      <c r="CNF3" s="53"/>
      <c r="CNG3" s="53"/>
      <c r="CNH3" s="212"/>
      <c r="CNI3" s="46"/>
      <c r="CNJ3" s="53"/>
      <c r="CNK3" s="53"/>
      <c r="CNL3" s="53"/>
      <c r="CNM3" s="53"/>
      <c r="CNN3" s="53"/>
      <c r="CNO3" s="53"/>
      <c r="CNP3" s="53"/>
      <c r="CNQ3" s="53"/>
      <c r="CNR3" s="53"/>
      <c r="CNS3" s="53"/>
      <c r="CNT3" s="53"/>
      <c r="CNU3" s="53"/>
      <c r="CNV3" s="53"/>
      <c r="CNW3" s="212"/>
      <c r="CNX3" s="46"/>
      <c r="CNY3" s="53"/>
      <c r="CNZ3" s="53"/>
      <c r="COA3" s="53"/>
      <c r="COB3" s="53"/>
      <c r="COC3" s="53"/>
      <c r="COD3" s="53"/>
      <c r="COE3" s="53"/>
      <c r="COF3" s="53"/>
      <c r="COG3" s="53"/>
      <c r="COH3" s="53"/>
      <c r="COI3" s="53"/>
      <c r="COJ3" s="53"/>
      <c r="COK3" s="53"/>
      <c r="COL3" s="212"/>
      <c r="COM3" s="46"/>
      <c r="CON3" s="53"/>
      <c r="COO3" s="53"/>
      <c r="COP3" s="53"/>
      <c r="COQ3" s="53"/>
      <c r="COR3" s="53"/>
      <c r="COS3" s="53"/>
      <c r="COT3" s="53"/>
      <c r="COU3" s="53"/>
      <c r="COV3" s="53"/>
      <c r="COW3" s="53"/>
      <c r="COX3" s="53"/>
      <c r="COY3" s="53"/>
      <c r="COZ3" s="53"/>
      <c r="CPA3" s="212"/>
      <c r="CPB3" s="46"/>
      <c r="CPC3" s="53"/>
      <c r="CPD3" s="53"/>
      <c r="CPE3" s="53"/>
      <c r="CPF3" s="53"/>
      <c r="CPG3" s="53"/>
      <c r="CPH3" s="53"/>
      <c r="CPI3" s="53"/>
      <c r="CPJ3" s="53"/>
      <c r="CPK3" s="53"/>
      <c r="CPL3" s="53"/>
      <c r="CPM3" s="53"/>
      <c r="CPN3" s="53"/>
      <c r="CPO3" s="53"/>
      <c r="CPP3" s="212"/>
      <c r="CPQ3" s="46"/>
      <c r="CPR3" s="53"/>
      <c r="CPS3" s="53"/>
      <c r="CPT3" s="53"/>
      <c r="CPU3" s="53"/>
      <c r="CPV3" s="53"/>
      <c r="CPW3" s="53"/>
      <c r="CPX3" s="53"/>
      <c r="CPY3" s="53"/>
      <c r="CPZ3" s="53"/>
      <c r="CQA3" s="53"/>
      <c r="CQB3" s="53"/>
      <c r="CQC3" s="53"/>
      <c r="CQD3" s="53"/>
      <c r="CQE3" s="212"/>
      <c r="CQF3" s="46"/>
      <c r="CQG3" s="53"/>
      <c r="CQH3" s="53"/>
      <c r="CQI3" s="53"/>
      <c r="CQJ3" s="53"/>
      <c r="CQK3" s="53"/>
      <c r="CQL3" s="53"/>
      <c r="CQM3" s="53"/>
      <c r="CQN3" s="53"/>
      <c r="CQO3" s="53"/>
      <c r="CQP3" s="53"/>
      <c r="CQQ3" s="53"/>
      <c r="CQR3" s="53"/>
      <c r="CQS3" s="53"/>
      <c r="CQT3" s="212"/>
      <c r="CQU3" s="46"/>
      <c r="CQV3" s="53"/>
      <c r="CQW3" s="53"/>
      <c r="CQX3" s="53"/>
      <c r="CQY3" s="53"/>
      <c r="CQZ3" s="53"/>
      <c r="CRA3" s="53"/>
      <c r="CRB3" s="53"/>
      <c r="CRC3" s="53"/>
      <c r="CRD3" s="53"/>
      <c r="CRE3" s="53"/>
      <c r="CRF3" s="53"/>
      <c r="CRG3" s="53"/>
      <c r="CRH3" s="53"/>
      <c r="CRI3" s="212"/>
      <c r="CRJ3" s="46"/>
      <c r="CRK3" s="53"/>
      <c r="CRL3" s="53"/>
      <c r="CRM3" s="53"/>
      <c r="CRN3" s="53"/>
      <c r="CRO3" s="53"/>
      <c r="CRP3" s="53"/>
      <c r="CRQ3" s="53"/>
      <c r="CRR3" s="53"/>
      <c r="CRS3" s="53"/>
      <c r="CRT3" s="53"/>
      <c r="CRU3" s="53"/>
      <c r="CRV3" s="53"/>
      <c r="CRW3" s="53"/>
      <c r="CRX3" s="212"/>
      <c r="CRY3" s="46"/>
      <c r="CRZ3" s="53"/>
      <c r="CSA3" s="53"/>
      <c r="CSB3" s="53"/>
      <c r="CSC3" s="53"/>
      <c r="CSD3" s="53"/>
      <c r="CSE3" s="53"/>
      <c r="CSF3" s="53"/>
      <c r="CSG3" s="53"/>
      <c r="CSH3" s="53"/>
      <c r="CSI3" s="53"/>
      <c r="CSJ3" s="53"/>
      <c r="CSK3" s="53"/>
      <c r="CSL3" s="53"/>
      <c r="CSM3" s="212"/>
      <c r="CSN3" s="46"/>
      <c r="CSO3" s="53"/>
      <c r="CSP3" s="53"/>
      <c r="CSQ3" s="53"/>
      <c r="CSR3" s="53"/>
      <c r="CSS3" s="53"/>
      <c r="CST3" s="53"/>
      <c r="CSU3" s="53"/>
      <c r="CSV3" s="53"/>
      <c r="CSW3" s="53"/>
      <c r="CSX3" s="53"/>
      <c r="CSY3" s="53"/>
      <c r="CSZ3" s="53"/>
      <c r="CTA3" s="53"/>
      <c r="CTB3" s="212"/>
      <c r="CTC3" s="46"/>
      <c r="CTD3" s="53"/>
      <c r="CTE3" s="53"/>
      <c r="CTF3" s="53"/>
      <c r="CTG3" s="53"/>
      <c r="CTH3" s="53"/>
      <c r="CTI3" s="53"/>
      <c r="CTJ3" s="53"/>
      <c r="CTK3" s="53"/>
      <c r="CTL3" s="53"/>
      <c r="CTM3" s="53"/>
      <c r="CTN3" s="53"/>
      <c r="CTO3" s="53"/>
      <c r="CTP3" s="53"/>
      <c r="CTQ3" s="212"/>
      <c r="CTR3" s="46"/>
      <c r="CTS3" s="53"/>
      <c r="CTT3" s="53"/>
      <c r="CTU3" s="53"/>
      <c r="CTV3" s="53"/>
      <c r="CTW3" s="53"/>
      <c r="CTX3" s="53"/>
      <c r="CTY3" s="53"/>
      <c r="CTZ3" s="53"/>
      <c r="CUA3" s="53"/>
      <c r="CUB3" s="53"/>
      <c r="CUC3" s="53"/>
      <c r="CUD3" s="53"/>
      <c r="CUE3" s="53"/>
      <c r="CUF3" s="212"/>
      <c r="CUG3" s="46"/>
      <c r="CUH3" s="53"/>
      <c r="CUI3" s="53"/>
      <c r="CUJ3" s="53"/>
      <c r="CUK3" s="53"/>
      <c r="CUL3" s="53"/>
      <c r="CUM3" s="53"/>
      <c r="CUN3" s="53"/>
      <c r="CUO3" s="53"/>
      <c r="CUP3" s="53"/>
      <c r="CUQ3" s="53"/>
      <c r="CUR3" s="53"/>
      <c r="CUS3" s="53"/>
      <c r="CUT3" s="53"/>
      <c r="CUU3" s="212"/>
      <c r="CUV3" s="46"/>
      <c r="CUW3" s="53"/>
      <c r="CUX3" s="53"/>
      <c r="CUY3" s="53"/>
      <c r="CUZ3" s="53"/>
      <c r="CVA3" s="53"/>
      <c r="CVB3" s="53"/>
      <c r="CVC3" s="53"/>
      <c r="CVD3" s="53"/>
      <c r="CVE3" s="53"/>
      <c r="CVF3" s="53"/>
      <c r="CVG3" s="53"/>
      <c r="CVH3" s="53"/>
      <c r="CVI3" s="53"/>
      <c r="CVJ3" s="212"/>
      <c r="CVK3" s="46"/>
      <c r="CVL3" s="53"/>
      <c r="CVM3" s="53"/>
      <c r="CVN3" s="53"/>
      <c r="CVO3" s="53"/>
      <c r="CVP3" s="53"/>
      <c r="CVQ3" s="53"/>
      <c r="CVR3" s="53"/>
      <c r="CVS3" s="53"/>
      <c r="CVT3" s="53"/>
      <c r="CVU3" s="53"/>
      <c r="CVV3" s="53"/>
      <c r="CVW3" s="53"/>
      <c r="CVX3" s="53"/>
      <c r="CVY3" s="212"/>
      <c r="CVZ3" s="46"/>
      <c r="CWA3" s="53"/>
      <c r="CWB3" s="53"/>
      <c r="CWC3" s="53"/>
      <c r="CWD3" s="53"/>
      <c r="CWE3" s="53"/>
      <c r="CWF3" s="53"/>
      <c r="CWG3" s="53"/>
      <c r="CWH3" s="53"/>
      <c r="CWI3" s="53"/>
      <c r="CWJ3" s="53"/>
      <c r="CWK3" s="53"/>
      <c r="CWL3" s="53"/>
      <c r="CWM3" s="53"/>
      <c r="CWN3" s="212"/>
      <c r="CWO3" s="46"/>
      <c r="CWP3" s="53"/>
      <c r="CWQ3" s="53"/>
      <c r="CWR3" s="53"/>
      <c r="CWS3" s="53"/>
      <c r="CWT3" s="53"/>
      <c r="CWU3" s="53"/>
      <c r="CWV3" s="53"/>
      <c r="CWW3" s="53"/>
      <c r="CWX3" s="53"/>
      <c r="CWY3" s="53"/>
      <c r="CWZ3" s="53"/>
      <c r="CXA3" s="53"/>
      <c r="CXB3" s="53"/>
      <c r="CXC3" s="212"/>
      <c r="CXD3" s="46"/>
      <c r="CXE3" s="53"/>
      <c r="CXF3" s="53"/>
      <c r="CXG3" s="53"/>
      <c r="CXH3" s="53"/>
      <c r="CXI3" s="53"/>
      <c r="CXJ3" s="53"/>
      <c r="CXK3" s="53"/>
      <c r="CXL3" s="53"/>
      <c r="CXM3" s="53"/>
      <c r="CXN3" s="53"/>
      <c r="CXO3" s="53"/>
      <c r="CXP3" s="53"/>
      <c r="CXQ3" s="53"/>
      <c r="CXR3" s="212"/>
      <c r="CXS3" s="46"/>
      <c r="CXT3" s="53"/>
      <c r="CXU3" s="53"/>
      <c r="CXV3" s="53"/>
      <c r="CXW3" s="53"/>
      <c r="CXX3" s="53"/>
      <c r="CXY3" s="53"/>
      <c r="CXZ3" s="53"/>
      <c r="CYA3" s="53"/>
      <c r="CYB3" s="53"/>
      <c r="CYC3" s="53"/>
      <c r="CYD3" s="53"/>
      <c r="CYE3" s="53"/>
      <c r="CYF3" s="53"/>
      <c r="CYG3" s="212"/>
      <c r="CYH3" s="46"/>
      <c r="CYI3" s="53"/>
      <c r="CYJ3" s="53"/>
      <c r="CYK3" s="53"/>
      <c r="CYL3" s="53"/>
      <c r="CYM3" s="53"/>
      <c r="CYN3" s="53"/>
      <c r="CYO3" s="53"/>
      <c r="CYP3" s="53"/>
      <c r="CYQ3" s="53"/>
      <c r="CYR3" s="53"/>
      <c r="CYS3" s="53"/>
      <c r="CYT3" s="53"/>
      <c r="CYU3" s="53"/>
      <c r="CYV3" s="212"/>
      <c r="CYW3" s="46"/>
      <c r="CYX3" s="53"/>
      <c r="CYY3" s="53"/>
      <c r="CYZ3" s="53"/>
      <c r="CZA3" s="53"/>
      <c r="CZB3" s="53"/>
      <c r="CZC3" s="53"/>
      <c r="CZD3" s="53"/>
      <c r="CZE3" s="53"/>
      <c r="CZF3" s="53"/>
      <c r="CZG3" s="53"/>
      <c r="CZH3" s="53"/>
      <c r="CZI3" s="53"/>
      <c r="CZJ3" s="53"/>
      <c r="CZK3" s="212"/>
      <c r="CZL3" s="46"/>
      <c r="CZM3" s="53"/>
      <c r="CZN3" s="53"/>
      <c r="CZO3" s="53"/>
      <c r="CZP3" s="53"/>
      <c r="CZQ3" s="53"/>
      <c r="CZR3" s="53"/>
      <c r="CZS3" s="53"/>
      <c r="CZT3" s="53"/>
      <c r="CZU3" s="53"/>
      <c r="CZV3" s="53"/>
      <c r="CZW3" s="53"/>
      <c r="CZX3" s="53"/>
      <c r="CZY3" s="53"/>
      <c r="CZZ3" s="212"/>
      <c r="DAA3" s="46"/>
      <c r="DAB3" s="53"/>
      <c r="DAC3" s="53"/>
      <c r="DAD3" s="53"/>
      <c r="DAE3" s="53"/>
      <c r="DAF3" s="53"/>
      <c r="DAG3" s="53"/>
      <c r="DAH3" s="53"/>
      <c r="DAI3" s="53"/>
      <c r="DAJ3" s="53"/>
      <c r="DAK3" s="53"/>
      <c r="DAL3" s="53"/>
      <c r="DAM3" s="53"/>
      <c r="DAN3" s="53"/>
      <c r="DAO3" s="212"/>
      <c r="DAP3" s="46"/>
      <c r="DAQ3" s="53"/>
      <c r="DAR3" s="53"/>
      <c r="DAS3" s="53"/>
      <c r="DAT3" s="53"/>
      <c r="DAU3" s="53"/>
      <c r="DAV3" s="53"/>
      <c r="DAW3" s="53"/>
      <c r="DAX3" s="53"/>
      <c r="DAY3" s="53"/>
      <c r="DAZ3" s="53"/>
      <c r="DBA3" s="53"/>
      <c r="DBB3" s="53"/>
      <c r="DBC3" s="53"/>
      <c r="DBD3" s="212"/>
      <c r="DBE3" s="46"/>
      <c r="DBF3" s="53"/>
      <c r="DBG3" s="53"/>
      <c r="DBH3" s="53"/>
      <c r="DBI3" s="53"/>
      <c r="DBJ3" s="53"/>
      <c r="DBK3" s="53"/>
      <c r="DBL3" s="53"/>
      <c r="DBM3" s="53"/>
      <c r="DBN3" s="53"/>
      <c r="DBO3" s="53"/>
      <c r="DBP3" s="53"/>
      <c r="DBQ3" s="53"/>
      <c r="DBR3" s="53"/>
      <c r="DBS3" s="212"/>
      <c r="DBT3" s="46"/>
      <c r="DBU3" s="53"/>
      <c r="DBV3" s="53"/>
      <c r="DBW3" s="53"/>
      <c r="DBX3" s="53"/>
      <c r="DBY3" s="53"/>
      <c r="DBZ3" s="53"/>
      <c r="DCA3" s="53"/>
      <c r="DCB3" s="53"/>
      <c r="DCC3" s="53"/>
      <c r="DCD3" s="53"/>
      <c r="DCE3" s="53"/>
      <c r="DCF3" s="53"/>
      <c r="DCG3" s="53"/>
      <c r="DCH3" s="212"/>
      <c r="DCI3" s="46"/>
      <c r="DCJ3" s="53"/>
      <c r="DCK3" s="53"/>
      <c r="DCL3" s="53"/>
      <c r="DCM3" s="53"/>
      <c r="DCN3" s="53"/>
      <c r="DCO3" s="53"/>
      <c r="DCP3" s="53"/>
      <c r="DCQ3" s="53"/>
      <c r="DCR3" s="53"/>
      <c r="DCS3" s="53"/>
      <c r="DCT3" s="53"/>
      <c r="DCU3" s="53"/>
      <c r="DCV3" s="53"/>
      <c r="DCW3" s="212"/>
      <c r="DCX3" s="46"/>
      <c r="DCY3" s="53"/>
      <c r="DCZ3" s="53"/>
      <c r="DDA3" s="53"/>
      <c r="DDB3" s="53"/>
      <c r="DDC3" s="53"/>
      <c r="DDD3" s="53"/>
      <c r="DDE3" s="53"/>
      <c r="DDF3" s="53"/>
      <c r="DDG3" s="53"/>
      <c r="DDH3" s="53"/>
      <c r="DDI3" s="53"/>
      <c r="DDJ3" s="53"/>
      <c r="DDK3" s="53"/>
      <c r="DDL3" s="212"/>
      <c r="DDM3" s="46"/>
      <c r="DDN3" s="53"/>
      <c r="DDO3" s="53"/>
      <c r="DDP3" s="53"/>
      <c r="DDQ3" s="53"/>
      <c r="DDR3" s="53"/>
      <c r="DDS3" s="53"/>
      <c r="DDT3" s="53"/>
      <c r="DDU3" s="53"/>
      <c r="DDV3" s="53"/>
      <c r="DDW3" s="53"/>
      <c r="DDX3" s="53"/>
      <c r="DDY3" s="53"/>
      <c r="DDZ3" s="53"/>
      <c r="DEA3" s="212"/>
      <c r="DEB3" s="46"/>
      <c r="DEC3" s="53"/>
      <c r="DED3" s="53"/>
      <c r="DEE3" s="53"/>
      <c r="DEF3" s="53"/>
      <c r="DEG3" s="53"/>
      <c r="DEH3" s="53"/>
      <c r="DEI3" s="53"/>
      <c r="DEJ3" s="53"/>
      <c r="DEK3" s="53"/>
      <c r="DEL3" s="53"/>
      <c r="DEM3" s="53"/>
      <c r="DEN3" s="53"/>
      <c r="DEO3" s="53"/>
      <c r="DEP3" s="212"/>
      <c r="DEQ3" s="46"/>
      <c r="DER3" s="53"/>
      <c r="DES3" s="53"/>
      <c r="DET3" s="53"/>
      <c r="DEU3" s="53"/>
      <c r="DEV3" s="53"/>
      <c r="DEW3" s="53"/>
      <c r="DEX3" s="53"/>
      <c r="DEY3" s="53"/>
      <c r="DEZ3" s="53"/>
      <c r="DFA3" s="53"/>
      <c r="DFB3" s="53"/>
      <c r="DFC3" s="53"/>
      <c r="DFD3" s="53"/>
      <c r="DFE3" s="212"/>
      <c r="DFF3" s="46"/>
      <c r="DFG3" s="53"/>
      <c r="DFH3" s="53"/>
      <c r="DFI3" s="53"/>
      <c r="DFJ3" s="53"/>
      <c r="DFK3" s="53"/>
      <c r="DFL3" s="53"/>
      <c r="DFM3" s="53"/>
      <c r="DFN3" s="53"/>
      <c r="DFO3" s="53"/>
      <c r="DFP3" s="53"/>
      <c r="DFQ3" s="53"/>
      <c r="DFR3" s="53"/>
      <c r="DFS3" s="53"/>
      <c r="DFT3" s="212"/>
      <c r="DFU3" s="46"/>
      <c r="DFV3" s="53"/>
      <c r="DFW3" s="53"/>
      <c r="DFX3" s="53"/>
      <c r="DFY3" s="53"/>
      <c r="DFZ3" s="53"/>
      <c r="DGA3" s="53"/>
      <c r="DGB3" s="53"/>
      <c r="DGC3" s="53"/>
      <c r="DGD3" s="53"/>
      <c r="DGE3" s="53"/>
      <c r="DGF3" s="53"/>
      <c r="DGG3" s="53"/>
      <c r="DGH3" s="53"/>
      <c r="DGI3" s="212"/>
      <c r="DGJ3" s="46"/>
      <c r="DGK3" s="53"/>
      <c r="DGL3" s="53"/>
      <c r="DGM3" s="53"/>
      <c r="DGN3" s="53"/>
      <c r="DGO3" s="53"/>
      <c r="DGP3" s="53"/>
      <c r="DGQ3" s="53"/>
      <c r="DGR3" s="53"/>
      <c r="DGS3" s="53"/>
      <c r="DGT3" s="53"/>
      <c r="DGU3" s="53"/>
      <c r="DGV3" s="53"/>
      <c r="DGW3" s="53"/>
      <c r="DGX3" s="212"/>
      <c r="DGY3" s="46"/>
      <c r="DGZ3" s="53"/>
      <c r="DHA3" s="53"/>
      <c r="DHB3" s="53"/>
      <c r="DHC3" s="53"/>
      <c r="DHD3" s="53"/>
      <c r="DHE3" s="53"/>
      <c r="DHF3" s="53"/>
      <c r="DHG3" s="53"/>
      <c r="DHH3" s="53"/>
      <c r="DHI3" s="53"/>
      <c r="DHJ3" s="53"/>
      <c r="DHK3" s="53"/>
      <c r="DHL3" s="53"/>
      <c r="DHM3" s="212"/>
      <c r="DHN3" s="46"/>
      <c r="DHO3" s="53"/>
      <c r="DHP3" s="53"/>
      <c r="DHQ3" s="53"/>
      <c r="DHR3" s="53"/>
      <c r="DHS3" s="53"/>
      <c r="DHT3" s="53"/>
      <c r="DHU3" s="53"/>
      <c r="DHV3" s="53"/>
      <c r="DHW3" s="53"/>
      <c r="DHX3" s="53"/>
      <c r="DHY3" s="53"/>
      <c r="DHZ3" s="53"/>
      <c r="DIA3" s="53"/>
      <c r="DIB3" s="212"/>
      <c r="DIC3" s="46"/>
      <c r="DID3" s="53"/>
      <c r="DIE3" s="53"/>
      <c r="DIF3" s="53"/>
      <c r="DIG3" s="53"/>
      <c r="DIH3" s="53"/>
      <c r="DII3" s="53"/>
      <c r="DIJ3" s="53"/>
      <c r="DIK3" s="53"/>
      <c r="DIL3" s="53"/>
      <c r="DIM3" s="53"/>
      <c r="DIN3" s="53"/>
      <c r="DIO3" s="53"/>
      <c r="DIP3" s="53"/>
      <c r="DIQ3" s="212"/>
      <c r="DIR3" s="46"/>
      <c r="DIS3" s="53"/>
      <c r="DIT3" s="53"/>
      <c r="DIU3" s="53"/>
      <c r="DIV3" s="53"/>
      <c r="DIW3" s="53"/>
      <c r="DIX3" s="53"/>
      <c r="DIY3" s="53"/>
      <c r="DIZ3" s="53"/>
      <c r="DJA3" s="53"/>
      <c r="DJB3" s="53"/>
      <c r="DJC3" s="53"/>
      <c r="DJD3" s="53"/>
      <c r="DJE3" s="53"/>
      <c r="DJF3" s="212"/>
      <c r="DJG3" s="46"/>
      <c r="DJH3" s="53"/>
      <c r="DJI3" s="53"/>
      <c r="DJJ3" s="53"/>
      <c r="DJK3" s="53"/>
      <c r="DJL3" s="53"/>
      <c r="DJM3" s="53"/>
      <c r="DJN3" s="53"/>
      <c r="DJO3" s="53"/>
      <c r="DJP3" s="53"/>
      <c r="DJQ3" s="53"/>
      <c r="DJR3" s="53"/>
      <c r="DJS3" s="53"/>
      <c r="DJT3" s="53"/>
      <c r="DJU3" s="212"/>
      <c r="DJV3" s="46"/>
      <c r="DJW3" s="53"/>
      <c r="DJX3" s="53"/>
      <c r="DJY3" s="53"/>
      <c r="DJZ3" s="53"/>
      <c r="DKA3" s="53"/>
      <c r="DKB3" s="53"/>
      <c r="DKC3" s="53"/>
      <c r="DKD3" s="53"/>
      <c r="DKE3" s="53"/>
      <c r="DKF3" s="53"/>
      <c r="DKG3" s="53"/>
      <c r="DKH3" s="53"/>
      <c r="DKI3" s="53"/>
      <c r="DKJ3" s="212"/>
      <c r="DKK3" s="46"/>
      <c r="DKL3" s="53"/>
      <c r="DKM3" s="53"/>
      <c r="DKN3" s="53"/>
      <c r="DKO3" s="53"/>
      <c r="DKP3" s="53"/>
      <c r="DKQ3" s="53"/>
      <c r="DKR3" s="53"/>
      <c r="DKS3" s="53"/>
      <c r="DKT3" s="53"/>
      <c r="DKU3" s="53"/>
      <c r="DKV3" s="53"/>
      <c r="DKW3" s="53"/>
      <c r="DKX3" s="53"/>
      <c r="DKY3" s="212"/>
      <c r="DKZ3" s="46"/>
      <c r="DLA3" s="53"/>
      <c r="DLB3" s="53"/>
      <c r="DLC3" s="53"/>
      <c r="DLD3" s="53"/>
      <c r="DLE3" s="53"/>
      <c r="DLF3" s="53"/>
      <c r="DLG3" s="53"/>
      <c r="DLH3" s="53"/>
      <c r="DLI3" s="53"/>
      <c r="DLJ3" s="53"/>
      <c r="DLK3" s="53"/>
      <c r="DLL3" s="53"/>
      <c r="DLM3" s="53"/>
      <c r="DLN3" s="212"/>
      <c r="DLO3" s="46"/>
      <c r="DLP3" s="53"/>
      <c r="DLQ3" s="53"/>
      <c r="DLR3" s="53"/>
      <c r="DLS3" s="53"/>
      <c r="DLT3" s="53"/>
      <c r="DLU3" s="53"/>
      <c r="DLV3" s="53"/>
      <c r="DLW3" s="53"/>
      <c r="DLX3" s="53"/>
      <c r="DLY3" s="53"/>
      <c r="DLZ3" s="53"/>
      <c r="DMA3" s="53"/>
      <c r="DMB3" s="53"/>
      <c r="DMC3" s="212"/>
      <c r="DMD3" s="46"/>
      <c r="DME3" s="53"/>
      <c r="DMF3" s="53"/>
      <c r="DMG3" s="53"/>
      <c r="DMH3" s="53"/>
      <c r="DMI3" s="53"/>
      <c r="DMJ3" s="53"/>
      <c r="DMK3" s="53"/>
      <c r="DML3" s="53"/>
      <c r="DMM3" s="53"/>
      <c r="DMN3" s="53"/>
      <c r="DMO3" s="53"/>
      <c r="DMP3" s="53"/>
      <c r="DMQ3" s="53"/>
      <c r="DMR3" s="212"/>
      <c r="DMS3" s="46"/>
      <c r="DMT3" s="53"/>
      <c r="DMU3" s="53"/>
      <c r="DMV3" s="53"/>
      <c r="DMW3" s="53"/>
      <c r="DMX3" s="53"/>
      <c r="DMY3" s="53"/>
      <c r="DMZ3" s="53"/>
      <c r="DNA3" s="53"/>
      <c r="DNB3" s="53"/>
      <c r="DNC3" s="53"/>
      <c r="DND3" s="53"/>
      <c r="DNE3" s="53"/>
      <c r="DNF3" s="53"/>
      <c r="DNG3" s="212"/>
      <c r="DNH3" s="46"/>
      <c r="DNI3" s="53"/>
      <c r="DNJ3" s="53"/>
      <c r="DNK3" s="53"/>
      <c r="DNL3" s="53"/>
      <c r="DNM3" s="53"/>
      <c r="DNN3" s="53"/>
      <c r="DNO3" s="53"/>
      <c r="DNP3" s="53"/>
      <c r="DNQ3" s="53"/>
      <c r="DNR3" s="53"/>
      <c r="DNS3" s="53"/>
      <c r="DNT3" s="53"/>
      <c r="DNU3" s="53"/>
      <c r="DNV3" s="212"/>
      <c r="DNW3" s="46"/>
      <c r="DNX3" s="53"/>
      <c r="DNY3" s="53"/>
      <c r="DNZ3" s="53"/>
      <c r="DOA3" s="53"/>
      <c r="DOB3" s="53"/>
      <c r="DOC3" s="53"/>
      <c r="DOD3" s="53"/>
      <c r="DOE3" s="53"/>
      <c r="DOF3" s="53"/>
      <c r="DOG3" s="53"/>
      <c r="DOH3" s="53"/>
      <c r="DOI3" s="53"/>
      <c r="DOJ3" s="53"/>
      <c r="DOK3" s="212"/>
      <c r="DOL3" s="46"/>
      <c r="DOM3" s="53"/>
      <c r="DON3" s="53"/>
      <c r="DOO3" s="53"/>
      <c r="DOP3" s="53"/>
      <c r="DOQ3" s="53"/>
      <c r="DOR3" s="53"/>
      <c r="DOS3" s="53"/>
      <c r="DOT3" s="53"/>
      <c r="DOU3" s="53"/>
      <c r="DOV3" s="53"/>
      <c r="DOW3" s="53"/>
      <c r="DOX3" s="53"/>
      <c r="DOY3" s="53"/>
      <c r="DOZ3" s="212"/>
      <c r="DPA3" s="46"/>
      <c r="DPB3" s="53"/>
      <c r="DPC3" s="53"/>
      <c r="DPD3" s="53"/>
      <c r="DPE3" s="53"/>
      <c r="DPF3" s="53"/>
      <c r="DPG3" s="53"/>
      <c r="DPH3" s="53"/>
      <c r="DPI3" s="53"/>
      <c r="DPJ3" s="53"/>
      <c r="DPK3" s="53"/>
      <c r="DPL3" s="53"/>
      <c r="DPM3" s="53"/>
      <c r="DPN3" s="53"/>
      <c r="DPO3" s="212"/>
      <c r="DPP3" s="46"/>
      <c r="DPQ3" s="53"/>
      <c r="DPR3" s="53"/>
      <c r="DPS3" s="53"/>
      <c r="DPT3" s="53"/>
      <c r="DPU3" s="53"/>
      <c r="DPV3" s="53"/>
      <c r="DPW3" s="53"/>
      <c r="DPX3" s="53"/>
      <c r="DPY3" s="53"/>
      <c r="DPZ3" s="53"/>
      <c r="DQA3" s="53"/>
      <c r="DQB3" s="53"/>
      <c r="DQC3" s="53"/>
      <c r="DQD3" s="212"/>
      <c r="DQE3" s="46"/>
      <c r="DQF3" s="53"/>
      <c r="DQG3" s="53"/>
      <c r="DQH3" s="53"/>
      <c r="DQI3" s="53"/>
      <c r="DQJ3" s="53"/>
      <c r="DQK3" s="53"/>
      <c r="DQL3" s="53"/>
      <c r="DQM3" s="53"/>
      <c r="DQN3" s="53"/>
      <c r="DQO3" s="53"/>
      <c r="DQP3" s="53"/>
      <c r="DQQ3" s="53"/>
      <c r="DQR3" s="53"/>
      <c r="DQS3" s="212"/>
      <c r="DQT3" s="46"/>
      <c r="DQU3" s="53"/>
      <c r="DQV3" s="53"/>
      <c r="DQW3" s="53"/>
      <c r="DQX3" s="53"/>
      <c r="DQY3" s="53"/>
      <c r="DQZ3" s="53"/>
      <c r="DRA3" s="53"/>
      <c r="DRB3" s="53"/>
      <c r="DRC3" s="53"/>
      <c r="DRD3" s="53"/>
      <c r="DRE3" s="53"/>
      <c r="DRF3" s="53"/>
      <c r="DRG3" s="53"/>
      <c r="DRH3" s="212"/>
      <c r="DRI3" s="46"/>
      <c r="DRJ3" s="53"/>
      <c r="DRK3" s="53"/>
      <c r="DRL3" s="53"/>
      <c r="DRM3" s="53"/>
      <c r="DRN3" s="53"/>
      <c r="DRO3" s="53"/>
      <c r="DRP3" s="53"/>
      <c r="DRQ3" s="53"/>
      <c r="DRR3" s="53"/>
      <c r="DRS3" s="53"/>
      <c r="DRT3" s="53"/>
      <c r="DRU3" s="53"/>
      <c r="DRV3" s="53"/>
      <c r="DRW3" s="212"/>
      <c r="DRX3" s="46"/>
      <c r="DRY3" s="53"/>
      <c r="DRZ3" s="53"/>
      <c r="DSA3" s="53"/>
      <c r="DSB3" s="53"/>
      <c r="DSC3" s="53"/>
      <c r="DSD3" s="53"/>
      <c r="DSE3" s="53"/>
      <c r="DSF3" s="53"/>
      <c r="DSG3" s="53"/>
      <c r="DSH3" s="53"/>
      <c r="DSI3" s="53"/>
      <c r="DSJ3" s="53"/>
      <c r="DSK3" s="53"/>
      <c r="DSL3" s="212"/>
      <c r="DSM3" s="46"/>
      <c r="DSN3" s="53"/>
      <c r="DSO3" s="53"/>
      <c r="DSP3" s="53"/>
      <c r="DSQ3" s="53"/>
      <c r="DSR3" s="53"/>
      <c r="DSS3" s="53"/>
      <c r="DST3" s="53"/>
      <c r="DSU3" s="53"/>
      <c r="DSV3" s="53"/>
      <c r="DSW3" s="53"/>
      <c r="DSX3" s="53"/>
      <c r="DSY3" s="53"/>
      <c r="DSZ3" s="53"/>
      <c r="DTA3" s="212"/>
      <c r="DTB3" s="46"/>
      <c r="DTC3" s="53"/>
      <c r="DTD3" s="53"/>
      <c r="DTE3" s="53"/>
      <c r="DTF3" s="53"/>
      <c r="DTG3" s="53"/>
      <c r="DTH3" s="53"/>
      <c r="DTI3" s="53"/>
      <c r="DTJ3" s="53"/>
      <c r="DTK3" s="53"/>
      <c r="DTL3" s="53"/>
      <c r="DTM3" s="53"/>
      <c r="DTN3" s="53"/>
      <c r="DTO3" s="53"/>
      <c r="DTP3" s="212"/>
      <c r="DTQ3" s="46"/>
      <c r="DTR3" s="53"/>
      <c r="DTS3" s="53"/>
      <c r="DTT3" s="53"/>
      <c r="DTU3" s="53"/>
      <c r="DTV3" s="53"/>
      <c r="DTW3" s="53"/>
      <c r="DTX3" s="53"/>
      <c r="DTY3" s="53"/>
      <c r="DTZ3" s="53"/>
      <c r="DUA3" s="53"/>
      <c r="DUB3" s="53"/>
      <c r="DUC3" s="53"/>
      <c r="DUD3" s="53"/>
      <c r="DUE3" s="212"/>
      <c r="DUF3" s="46"/>
      <c r="DUG3" s="53"/>
      <c r="DUH3" s="53"/>
      <c r="DUI3" s="53"/>
      <c r="DUJ3" s="53"/>
      <c r="DUK3" s="53"/>
      <c r="DUL3" s="53"/>
      <c r="DUM3" s="53"/>
      <c r="DUN3" s="53"/>
      <c r="DUO3" s="53"/>
      <c r="DUP3" s="53"/>
      <c r="DUQ3" s="53"/>
      <c r="DUR3" s="53"/>
      <c r="DUS3" s="53"/>
      <c r="DUT3" s="212"/>
      <c r="DUU3" s="46"/>
      <c r="DUV3" s="53"/>
      <c r="DUW3" s="53"/>
      <c r="DUX3" s="53"/>
      <c r="DUY3" s="53"/>
      <c r="DUZ3" s="53"/>
      <c r="DVA3" s="53"/>
      <c r="DVB3" s="53"/>
      <c r="DVC3" s="53"/>
      <c r="DVD3" s="53"/>
      <c r="DVE3" s="53"/>
      <c r="DVF3" s="53"/>
      <c r="DVG3" s="53"/>
      <c r="DVH3" s="53"/>
      <c r="DVI3" s="212"/>
      <c r="DVJ3" s="46"/>
      <c r="DVK3" s="53"/>
      <c r="DVL3" s="53"/>
      <c r="DVM3" s="53"/>
      <c r="DVN3" s="53"/>
      <c r="DVO3" s="53"/>
      <c r="DVP3" s="53"/>
      <c r="DVQ3" s="53"/>
      <c r="DVR3" s="53"/>
      <c r="DVS3" s="53"/>
      <c r="DVT3" s="53"/>
      <c r="DVU3" s="53"/>
      <c r="DVV3" s="53"/>
      <c r="DVW3" s="53"/>
      <c r="DVX3" s="212"/>
      <c r="DVY3" s="46"/>
      <c r="DVZ3" s="53"/>
      <c r="DWA3" s="53"/>
      <c r="DWB3" s="53"/>
      <c r="DWC3" s="53"/>
      <c r="DWD3" s="53"/>
      <c r="DWE3" s="53"/>
      <c r="DWF3" s="53"/>
      <c r="DWG3" s="53"/>
      <c r="DWH3" s="53"/>
      <c r="DWI3" s="53"/>
      <c r="DWJ3" s="53"/>
      <c r="DWK3" s="53"/>
      <c r="DWL3" s="53"/>
      <c r="DWM3" s="212"/>
      <c r="DWN3" s="46"/>
      <c r="DWO3" s="53"/>
      <c r="DWP3" s="53"/>
      <c r="DWQ3" s="53"/>
      <c r="DWR3" s="53"/>
      <c r="DWS3" s="53"/>
      <c r="DWT3" s="53"/>
      <c r="DWU3" s="53"/>
      <c r="DWV3" s="53"/>
      <c r="DWW3" s="53"/>
      <c r="DWX3" s="53"/>
      <c r="DWY3" s="53"/>
      <c r="DWZ3" s="53"/>
      <c r="DXA3" s="53"/>
      <c r="DXB3" s="212"/>
      <c r="DXC3" s="46"/>
      <c r="DXD3" s="53"/>
      <c r="DXE3" s="53"/>
      <c r="DXF3" s="53"/>
      <c r="DXG3" s="53"/>
      <c r="DXH3" s="53"/>
      <c r="DXI3" s="53"/>
      <c r="DXJ3" s="53"/>
      <c r="DXK3" s="53"/>
      <c r="DXL3" s="53"/>
      <c r="DXM3" s="53"/>
      <c r="DXN3" s="53"/>
      <c r="DXO3" s="53"/>
      <c r="DXP3" s="53"/>
      <c r="DXQ3" s="212"/>
      <c r="DXR3" s="46"/>
      <c r="DXS3" s="53"/>
      <c r="DXT3" s="53"/>
      <c r="DXU3" s="53"/>
      <c r="DXV3" s="53"/>
      <c r="DXW3" s="53"/>
      <c r="DXX3" s="53"/>
      <c r="DXY3" s="53"/>
      <c r="DXZ3" s="53"/>
      <c r="DYA3" s="53"/>
      <c r="DYB3" s="53"/>
      <c r="DYC3" s="53"/>
      <c r="DYD3" s="53"/>
      <c r="DYE3" s="53"/>
      <c r="DYF3" s="212"/>
      <c r="DYG3" s="46"/>
      <c r="DYH3" s="53"/>
      <c r="DYI3" s="53"/>
      <c r="DYJ3" s="53"/>
      <c r="DYK3" s="53"/>
      <c r="DYL3" s="53"/>
      <c r="DYM3" s="53"/>
      <c r="DYN3" s="53"/>
      <c r="DYO3" s="53"/>
      <c r="DYP3" s="53"/>
      <c r="DYQ3" s="53"/>
      <c r="DYR3" s="53"/>
      <c r="DYS3" s="53"/>
      <c r="DYT3" s="53"/>
      <c r="DYU3" s="212"/>
      <c r="DYV3" s="46"/>
      <c r="DYW3" s="53"/>
      <c r="DYX3" s="53"/>
      <c r="DYY3" s="53"/>
      <c r="DYZ3" s="53"/>
      <c r="DZA3" s="53"/>
      <c r="DZB3" s="53"/>
      <c r="DZC3" s="53"/>
      <c r="DZD3" s="53"/>
      <c r="DZE3" s="53"/>
      <c r="DZF3" s="53"/>
      <c r="DZG3" s="53"/>
      <c r="DZH3" s="53"/>
      <c r="DZI3" s="53"/>
      <c r="DZJ3" s="212"/>
      <c r="DZK3" s="46"/>
      <c r="DZL3" s="53"/>
      <c r="DZM3" s="53"/>
      <c r="DZN3" s="53"/>
      <c r="DZO3" s="53"/>
      <c r="DZP3" s="53"/>
      <c r="DZQ3" s="53"/>
      <c r="DZR3" s="53"/>
      <c r="DZS3" s="53"/>
      <c r="DZT3" s="53"/>
      <c r="DZU3" s="53"/>
      <c r="DZV3" s="53"/>
      <c r="DZW3" s="53"/>
      <c r="DZX3" s="53"/>
      <c r="DZY3" s="212"/>
      <c r="DZZ3" s="46"/>
      <c r="EAA3" s="53"/>
      <c r="EAB3" s="53"/>
      <c r="EAC3" s="53"/>
      <c r="EAD3" s="53"/>
      <c r="EAE3" s="53"/>
      <c r="EAF3" s="53"/>
      <c r="EAG3" s="53"/>
      <c r="EAH3" s="53"/>
      <c r="EAI3" s="53"/>
      <c r="EAJ3" s="53"/>
      <c r="EAK3" s="53"/>
      <c r="EAL3" s="53"/>
      <c r="EAM3" s="53"/>
      <c r="EAN3" s="212"/>
      <c r="EAO3" s="46"/>
      <c r="EAP3" s="53"/>
      <c r="EAQ3" s="53"/>
      <c r="EAR3" s="53"/>
      <c r="EAS3" s="53"/>
      <c r="EAT3" s="53"/>
      <c r="EAU3" s="53"/>
      <c r="EAV3" s="53"/>
      <c r="EAW3" s="53"/>
      <c r="EAX3" s="53"/>
      <c r="EAY3" s="53"/>
      <c r="EAZ3" s="53"/>
      <c r="EBA3" s="53"/>
      <c r="EBB3" s="53"/>
      <c r="EBC3" s="212"/>
      <c r="EBD3" s="46"/>
      <c r="EBE3" s="53"/>
      <c r="EBF3" s="53"/>
      <c r="EBG3" s="53"/>
      <c r="EBH3" s="53"/>
      <c r="EBI3" s="53"/>
      <c r="EBJ3" s="53"/>
      <c r="EBK3" s="53"/>
      <c r="EBL3" s="53"/>
      <c r="EBM3" s="53"/>
      <c r="EBN3" s="53"/>
      <c r="EBO3" s="53"/>
      <c r="EBP3" s="53"/>
      <c r="EBQ3" s="53"/>
      <c r="EBR3" s="212"/>
      <c r="EBS3" s="46"/>
      <c r="EBT3" s="53"/>
      <c r="EBU3" s="53"/>
      <c r="EBV3" s="53"/>
      <c r="EBW3" s="53"/>
      <c r="EBX3" s="53"/>
      <c r="EBY3" s="53"/>
      <c r="EBZ3" s="53"/>
      <c r="ECA3" s="53"/>
      <c r="ECB3" s="53"/>
      <c r="ECC3" s="53"/>
      <c r="ECD3" s="53"/>
      <c r="ECE3" s="53"/>
      <c r="ECF3" s="53"/>
      <c r="ECG3" s="212"/>
      <c r="ECH3" s="46"/>
      <c r="ECI3" s="53"/>
      <c r="ECJ3" s="53"/>
      <c r="ECK3" s="53"/>
      <c r="ECL3" s="53"/>
      <c r="ECM3" s="53"/>
      <c r="ECN3" s="53"/>
      <c r="ECO3" s="53"/>
      <c r="ECP3" s="53"/>
      <c r="ECQ3" s="53"/>
      <c r="ECR3" s="53"/>
      <c r="ECS3" s="53"/>
      <c r="ECT3" s="53"/>
      <c r="ECU3" s="53"/>
      <c r="ECV3" s="212"/>
      <c r="ECW3" s="46"/>
      <c r="ECX3" s="53"/>
      <c r="ECY3" s="53"/>
      <c r="ECZ3" s="53"/>
      <c r="EDA3" s="53"/>
      <c r="EDB3" s="53"/>
      <c r="EDC3" s="53"/>
      <c r="EDD3" s="53"/>
      <c r="EDE3" s="53"/>
      <c r="EDF3" s="53"/>
      <c r="EDG3" s="53"/>
      <c r="EDH3" s="53"/>
      <c r="EDI3" s="53"/>
      <c r="EDJ3" s="53"/>
      <c r="EDK3" s="212"/>
      <c r="EDL3" s="46"/>
      <c r="EDM3" s="53"/>
      <c r="EDN3" s="53"/>
      <c r="EDO3" s="53"/>
      <c r="EDP3" s="53"/>
      <c r="EDQ3" s="53"/>
      <c r="EDR3" s="53"/>
      <c r="EDS3" s="53"/>
      <c r="EDT3" s="53"/>
      <c r="EDU3" s="53"/>
      <c r="EDV3" s="53"/>
      <c r="EDW3" s="53"/>
      <c r="EDX3" s="53"/>
      <c r="EDY3" s="53"/>
      <c r="EDZ3" s="212"/>
      <c r="EEA3" s="46"/>
      <c r="EEB3" s="53"/>
      <c r="EEC3" s="53"/>
      <c r="EED3" s="53"/>
      <c r="EEE3" s="53"/>
      <c r="EEF3" s="53"/>
      <c r="EEG3" s="53"/>
      <c r="EEH3" s="53"/>
      <c r="EEI3" s="53"/>
      <c r="EEJ3" s="53"/>
      <c r="EEK3" s="53"/>
      <c r="EEL3" s="53"/>
      <c r="EEM3" s="53"/>
      <c r="EEN3" s="53"/>
      <c r="EEO3" s="212"/>
      <c r="EEP3" s="46"/>
      <c r="EEQ3" s="53"/>
      <c r="EER3" s="53"/>
      <c r="EES3" s="53"/>
      <c r="EET3" s="53"/>
      <c r="EEU3" s="53"/>
      <c r="EEV3" s="53"/>
      <c r="EEW3" s="53"/>
      <c r="EEX3" s="53"/>
      <c r="EEY3" s="53"/>
      <c r="EEZ3" s="53"/>
      <c r="EFA3" s="53"/>
      <c r="EFB3" s="53"/>
      <c r="EFC3" s="53"/>
      <c r="EFD3" s="212"/>
      <c r="EFE3" s="46"/>
      <c r="EFF3" s="53"/>
      <c r="EFG3" s="53"/>
      <c r="EFH3" s="53"/>
      <c r="EFI3" s="53"/>
      <c r="EFJ3" s="53"/>
      <c r="EFK3" s="53"/>
      <c r="EFL3" s="53"/>
      <c r="EFM3" s="53"/>
      <c r="EFN3" s="53"/>
      <c r="EFO3" s="53"/>
      <c r="EFP3" s="53"/>
      <c r="EFQ3" s="53"/>
      <c r="EFR3" s="53"/>
      <c r="EFS3" s="212"/>
      <c r="EFT3" s="46"/>
      <c r="EFU3" s="53"/>
      <c r="EFV3" s="53"/>
      <c r="EFW3" s="53"/>
      <c r="EFX3" s="53"/>
      <c r="EFY3" s="53"/>
      <c r="EFZ3" s="53"/>
      <c r="EGA3" s="53"/>
      <c r="EGB3" s="53"/>
      <c r="EGC3" s="53"/>
      <c r="EGD3" s="53"/>
      <c r="EGE3" s="53"/>
      <c r="EGF3" s="53"/>
      <c r="EGG3" s="53"/>
      <c r="EGH3" s="212"/>
      <c r="EGI3" s="46"/>
      <c r="EGJ3" s="53"/>
      <c r="EGK3" s="53"/>
      <c r="EGL3" s="53"/>
      <c r="EGM3" s="53"/>
      <c r="EGN3" s="53"/>
      <c r="EGO3" s="53"/>
      <c r="EGP3" s="53"/>
      <c r="EGQ3" s="53"/>
      <c r="EGR3" s="53"/>
      <c r="EGS3" s="53"/>
      <c r="EGT3" s="53"/>
      <c r="EGU3" s="53"/>
      <c r="EGV3" s="53"/>
      <c r="EGW3" s="212"/>
      <c r="EGX3" s="46"/>
      <c r="EGY3" s="53"/>
      <c r="EGZ3" s="53"/>
      <c r="EHA3" s="53"/>
      <c r="EHB3" s="53"/>
      <c r="EHC3" s="53"/>
      <c r="EHD3" s="53"/>
      <c r="EHE3" s="53"/>
      <c r="EHF3" s="53"/>
      <c r="EHG3" s="53"/>
      <c r="EHH3" s="53"/>
      <c r="EHI3" s="53"/>
      <c r="EHJ3" s="53"/>
      <c r="EHK3" s="53"/>
      <c r="EHL3" s="212"/>
      <c r="EHM3" s="46"/>
      <c r="EHN3" s="53"/>
      <c r="EHO3" s="53"/>
      <c r="EHP3" s="53"/>
      <c r="EHQ3" s="53"/>
      <c r="EHR3" s="53"/>
      <c r="EHS3" s="53"/>
      <c r="EHT3" s="53"/>
      <c r="EHU3" s="53"/>
      <c r="EHV3" s="53"/>
      <c r="EHW3" s="53"/>
      <c r="EHX3" s="53"/>
      <c r="EHY3" s="53"/>
      <c r="EHZ3" s="53"/>
      <c r="EIA3" s="212"/>
      <c r="EIB3" s="46"/>
      <c r="EIC3" s="53"/>
      <c r="EID3" s="53"/>
      <c r="EIE3" s="53"/>
      <c r="EIF3" s="53"/>
      <c r="EIG3" s="53"/>
      <c r="EIH3" s="53"/>
      <c r="EII3" s="53"/>
      <c r="EIJ3" s="53"/>
      <c r="EIK3" s="53"/>
      <c r="EIL3" s="53"/>
      <c r="EIM3" s="53"/>
      <c r="EIN3" s="53"/>
      <c r="EIO3" s="53"/>
      <c r="EIP3" s="212"/>
      <c r="EIQ3" s="46"/>
      <c r="EIR3" s="53"/>
      <c r="EIS3" s="53"/>
      <c r="EIT3" s="53"/>
      <c r="EIU3" s="53"/>
      <c r="EIV3" s="53"/>
      <c r="EIW3" s="53"/>
      <c r="EIX3" s="53"/>
      <c r="EIY3" s="53"/>
      <c r="EIZ3" s="53"/>
      <c r="EJA3" s="53"/>
      <c r="EJB3" s="53"/>
      <c r="EJC3" s="53"/>
      <c r="EJD3" s="53"/>
      <c r="EJE3" s="212"/>
      <c r="EJF3" s="46"/>
      <c r="EJG3" s="53"/>
      <c r="EJH3" s="53"/>
      <c r="EJI3" s="53"/>
      <c r="EJJ3" s="53"/>
      <c r="EJK3" s="53"/>
      <c r="EJL3" s="53"/>
      <c r="EJM3" s="53"/>
      <c r="EJN3" s="53"/>
      <c r="EJO3" s="53"/>
      <c r="EJP3" s="53"/>
      <c r="EJQ3" s="53"/>
      <c r="EJR3" s="53"/>
      <c r="EJS3" s="53"/>
      <c r="EJT3" s="212"/>
      <c r="EJU3" s="46"/>
      <c r="EJV3" s="53"/>
      <c r="EJW3" s="53"/>
      <c r="EJX3" s="53"/>
      <c r="EJY3" s="53"/>
      <c r="EJZ3" s="53"/>
      <c r="EKA3" s="53"/>
      <c r="EKB3" s="53"/>
      <c r="EKC3" s="53"/>
      <c r="EKD3" s="53"/>
      <c r="EKE3" s="53"/>
      <c r="EKF3" s="53"/>
      <c r="EKG3" s="53"/>
      <c r="EKH3" s="53"/>
      <c r="EKI3" s="212"/>
      <c r="EKJ3" s="46"/>
      <c r="EKK3" s="53"/>
      <c r="EKL3" s="53"/>
      <c r="EKM3" s="53"/>
      <c r="EKN3" s="53"/>
      <c r="EKO3" s="53"/>
      <c r="EKP3" s="53"/>
      <c r="EKQ3" s="53"/>
      <c r="EKR3" s="53"/>
      <c r="EKS3" s="53"/>
      <c r="EKT3" s="53"/>
      <c r="EKU3" s="53"/>
      <c r="EKV3" s="53"/>
      <c r="EKW3" s="53"/>
      <c r="EKX3" s="212"/>
      <c r="EKY3" s="46"/>
      <c r="EKZ3" s="53"/>
      <c r="ELA3" s="53"/>
      <c r="ELB3" s="53"/>
      <c r="ELC3" s="53"/>
      <c r="ELD3" s="53"/>
      <c r="ELE3" s="53"/>
      <c r="ELF3" s="53"/>
      <c r="ELG3" s="53"/>
      <c r="ELH3" s="53"/>
      <c r="ELI3" s="53"/>
      <c r="ELJ3" s="53"/>
      <c r="ELK3" s="53"/>
      <c r="ELL3" s="53"/>
      <c r="ELM3" s="212"/>
      <c r="ELN3" s="46"/>
      <c r="ELO3" s="53"/>
      <c r="ELP3" s="53"/>
      <c r="ELQ3" s="53"/>
      <c r="ELR3" s="53"/>
      <c r="ELS3" s="53"/>
      <c r="ELT3" s="53"/>
      <c r="ELU3" s="53"/>
      <c r="ELV3" s="53"/>
      <c r="ELW3" s="53"/>
      <c r="ELX3" s="53"/>
      <c r="ELY3" s="53"/>
      <c r="ELZ3" s="53"/>
      <c r="EMA3" s="53"/>
      <c r="EMB3" s="212"/>
      <c r="EMC3" s="46"/>
      <c r="EMD3" s="53"/>
      <c r="EME3" s="53"/>
      <c r="EMF3" s="53"/>
      <c r="EMG3" s="53"/>
      <c r="EMH3" s="53"/>
      <c r="EMI3" s="53"/>
      <c r="EMJ3" s="53"/>
      <c r="EMK3" s="53"/>
      <c r="EML3" s="53"/>
      <c r="EMM3" s="53"/>
      <c r="EMN3" s="53"/>
      <c r="EMO3" s="53"/>
      <c r="EMP3" s="53"/>
      <c r="EMQ3" s="212"/>
      <c r="EMR3" s="46"/>
      <c r="EMS3" s="53"/>
      <c r="EMT3" s="53"/>
      <c r="EMU3" s="53"/>
      <c r="EMV3" s="53"/>
      <c r="EMW3" s="53"/>
      <c r="EMX3" s="53"/>
      <c r="EMY3" s="53"/>
      <c r="EMZ3" s="53"/>
      <c r="ENA3" s="53"/>
      <c r="ENB3" s="53"/>
      <c r="ENC3" s="53"/>
      <c r="END3" s="53"/>
      <c r="ENE3" s="53"/>
      <c r="ENF3" s="212"/>
      <c r="ENG3" s="46"/>
      <c r="ENH3" s="53"/>
      <c r="ENI3" s="53"/>
      <c r="ENJ3" s="53"/>
      <c r="ENK3" s="53"/>
      <c r="ENL3" s="53"/>
      <c r="ENM3" s="53"/>
      <c r="ENN3" s="53"/>
      <c r="ENO3" s="53"/>
      <c r="ENP3" s="53"/>
      <c r="ENQ3" s="53"/>
      <c r="ENR3" s="53"/>
      <c r="ENS3" s="53"/>
      <c r="ENT3" s="53"/>
      <c r="ENU3" s="212"/>
      <c r="ENV3" s="46"/>
      <c r="ENW3" s="53"/>
      <c r="ENX3" s="53"/>
      <c r="ENY3" s="53"/>
      <c r="ENZ3" s="53"/>
      <c r="EOA3" s="53"/>
      <c r="EOB3" s="53"/>
      <c r="EOC3" s="53"/>
      <c r="EOD3" s="53"/>
      <c r="EOE3" s="53"/>
      <c r="EOF3" s="53"/>
      <c r="EOG3" s="53"/>
      <c r="EOH3" s="53"/>
      <c r="EOI3" s="53"/>
      <c r="EOJ3" s="212"/>
      <c r="EOK3" s="46"/>
      <c r="EOL3" s="53"/>
      <c r="EOM3" s="53"/>
      <c r="EON3" s="53"/>
      <c r="EOO3" s="53"/>
      <c r="EOP3" s="53"/>
      <c r="EOQ3" s="53"/>
      <c r="EOR3" s="53"/>
      <c r="EOS3" s="53"/>
      <c r="EOT3" s="53"/>
      <c r="EOU3" s="53"/>
      <c r="EOV3" s="53"/>
      <c r="EOW3" s="53"/>
      <c r="EOX3" s="53"/>
      <c r="EOY3" s="212"/>
      <c r="EOZ3" s="46"/>
      <c r="EPA3" s="53"/>
      <c r="EPB3" s="53"/>
      <c r="EPC3" s="53"/>
      <c r="EPD3" s="53"/>
      <c r="EPE3" s="53"/>
      <c r="EPF3" s="53"/>
      <c r="EPG3" s="53"/>
      <c r="EPH3" s="53"/>
      <c r="EPI3" s="53"/>
      <c r="EPJ3" s="53"/>
      <c r="EPK3" s="53"/>
      <c r="EPL3" s="53"/>
      <c r="EPM3" s="53"/>
      <c r="EPN3" s="212"/>
      <c r="EPO3" s="46"/>
      <c r="EPP3" s="53"/>
      <c r="EPQ3" s="53"/>
      <c r="EPR3" s="53"/>
      <c r="EPS3" s="53"/>
      <c r="EPT3" s="53"/>
      <c r="EPU3" s="53"/>
      <c r="EPV3" s="53"/>
      <c r="EPW3" s="53"/>
      <c r="EPX3" s="53"/>
      <c r="EPY3" s="53"/>
      <c r="EPZ3" s="53"/>
      <c r="EQA3" s="53"/>
      <c r="EQB3" s="53"/>
      <c r="EQC3" s="212"/>
      <c r="EQD3" s="46"/>
      <c r="EQE3" s="53"/>
      <c r="EQF3" s="53"/>
      <c r="EQG3" s="53"/>
      <c r="EQH3" s="53"/>
      <c r="EQI3" s="53"/>
      <c r="EQJ3" s="53"/>
      <c r="EQK3" s="53"/>
      <c r="EQL3" s="53"/>
      <c r="EQM3" s="53"/>
      <c r="EQN3" s="53"/>
      <c r="EQO3" s="53"/>
      <c r="EQP3" s="53"/>
      <c r="EQQ3" s="53"/>
      <c r="EQR3" s="212"/>
      <c r="EQS3" s="46"/>
      <c r="EQT3" s="53"/>
      <c r="EQU3" s="53"/>
      <c r="EQV3" s="53"/>
      <c r="EQW3" s="53"/>
      <c r="EQX3" s="53"/>
      <c r="EQY3" s="53"/>
      <c r="EQZ3" s="53"/>
      <c r="ERA3" s="53"/>
      <c r="ERB3" s="53"/>
      <c r="ERC3" s="53"/>
      <c r="ERD3" s="53"/>
      <c r="ERE3" s="53"/>
      <c r="ERF3" s="53"/>
      <c r="ERG3" s="212"/>
      <c r="ERH3" s="46"/>
      <c r="ERI3" s="53"/>
      <c r="ERJ3" s="53"/>
      <c r="ERK3" s="53"/>
      <c r="ERL3" s="53"/>
      <c r="ERM3" s="53"/>
      <c r="ERN3" s="53"/>
      <c r="ERO3" s="53"/>
      <c r="ERP3" s="53"/>
      <c r="ERQ3" s="53"/>
      <c r="ERR3" s="53"/>
      <c r="ERS3" s="53"/>
      <c r="ERT3" s="53"/>
      <c r="ERU3" s="53"/>
      <c r="ERV3" s="212"/>
      <c r="ERW3" s="46"/>
      <c r="ERX3" s="53"/>
      <c r="ERY3" s="53"/>
      <c r="ERZ3" s="53"/>
      <c r="ESA3" s="53"/>
      <c r="ESB3" s="53"/>
      <c r="ESC3" s="53"/>
      <c r="ESD3" s="53"/>
      <c r="ESE3" s="53"/>
      <c r="ESF3" s="53"/>
      <c r="ESG3" s="53"/>
      <c r="ESH3" s="53"/>
      <c r="ESI3" s="53"/>
      <c r="ESJ3" s="53"/>
      <c r="ESK3" s="212"/>
      <c r="ESL3" s="46"/>
      <c r="ESM3" s="53"/>
      <c r="ESN3" s="53"/>
      <c r="ESO3" s="53"/>
      <c r="ESP3" s="53"/>
      <c r="ESQ3" s="53"/>
      <c r="ESR3" s="53"/>
      <c r="ESS3" s="53"/>
      <c r="EST3" s="53"/>
      <c r="ESU3" s="53"/>
      <c r="ESV3" s="53"/>
      <c r="ESW3" s="53"/>
      <c r="ESX3" s="53"/>
      <c r="ESY3" s="53"/>
      <c r="ESZ3" s="212"/>
      <c r="ETA3" s="46"/>
      <c r="ETB3" s="53"/>
      <c r="ETC3" s="53"/>
      <c r="ETD3" s="53"/>
      <c r="ETE3" s="53"/>
      <c r="ETF3" s="53"/>
      <c r="ETG3" s="53"/>
      <c r="ETH3" s="53"/>
      <c r="ETI3" s="53"/>
      <c r="ETJ3" s="53"/>
      <c r="ETK3" s="53"/>
      <c r="ETL3" s="53"/>
      <c r="ETM3" s="53"/>
      <c r="ETN3" s="53"/>
      <c r="ETO3" s="212"/>
      <c r="ETP3" s="46"/>
      <c r="ETQ3" s="53"/>
      <c r="ETR3" s="53"/>
      <c r="ETS3" s="53"/>
      <c r="ETT3" s="53"/>
      <c r="ETU3" s="53"/>
      <c r="ETV3" s="53"/>
      <c r="ETW3" s="53"/>
      <c r="ETX3" s="53"/>
      <c r="ETY3" s="53"/>
      <c r="ETZ3" s="53"/>
      <c r="EUA3" s="53"/>
      <c r="EUB3" s="53"/>
      <c r="EUC3" s="53"/>
      <c r="EUD3" s="212"/>
      <c r="EUE3" s="46"/>
      <c r="EUF3" s="53"/>
      <c r="EUG3" s="53"/>
      <c r="EUH3" s="53"/>
      <c r="EUI3" s="53"/>
      <c r="EUJ3" s="53"/>
      <c r="EUK3" s="53"/>
      <c r="EUL3" s="53"/>
      <c r="EUM3" s="53"/>
      <c r="EUN3" s="53"/>
      <c r="EUO3" s="53"/>
      <c r="EUP3" s="53"/>
      <c r="EUQ3" s="53"/>
      <c r="EUR3" s="53"/>
      <c r="EUS3" s="212"/>
      <c r="EUT3" s="46"/>
      <c r="EUU3" s="53"/>
      <c r="EUV3" s="53"/>
      <c r="EUW3" s="53"/>
      <c r="EUX3" s="53"/>
      <c r="EUY3" s="53"/>
      <c r="EUZ3" s="53"/>
      <c r="EVA3" s="53"/>
      <c r="EVB3" s="53"/>
      <c r="EVC3" s="53"/>
      <c r="EVD3" s="53"/>
      <c r="EVE3" s="53"/>
      <c r="EVF3" s="53"/>
      <c r="EVG3" s="53"/>
      <c r="EVH3" s="212"/>
      <c r="EVI3" s="46"/>
      <c r="EVJ3" s="53"/>
      <c r="EVK3" s="53"/>
      <c r="EVL3" s="53"/>
      <c r="EVM3" s="53"/>
      <c r="EVN3" s="53"/>
      <c r="EVO3" s="53"/>
      <c r="EVP3" s="53"/>
      <c r="EVQ3" s="53"/>
      <c r="EVR3" s="53"/>
      <c r="EVS3" s="53"/>
      <c r="EVT3" s="53"/>
      <c r="EVU3" s="53"/>
      <c r="EVV3" s="53"/>
      <c r="EVW3" s="212"/>
      <c r="EVX3" s="46"/>
      <c r="EVY3" s="53"/>
      <c r="EVZ3" s="53"/>
      <c r="EWA3" s="53"/>
      <c r="EWB3" s="53"/>
      <c r="EWC3" s="53"/>
      <c r="EWD3" s="53"/>
      <c r="EWE3" s="53"/>
      <c r="EWF3" s="53"/>
      <c r="EWG3" s="53"/>
      <c r="EWH3" s="53"/>
      <c r="EWI3" s="53"/>
      <c r="EWJ3" s="53"/>
      <c r="EWK3" s="53"/>
      <c r="EWL3" s="212"/>
      <c r="EWM3" s="46"/>
      <c r="EWN3" s="53"/>
      <c r="EWO3" s="53"/>
      <c r="EWP3" s="53"/>
      <c r="EWQ3" s="53"/>
      <c r="EWR3" s="53"/>
      <c r="EWS3" s="53"/>
      <c r="EWT3" s="53"/>
      <c r="EWU3" s="53"/>
      <c r="EWV3" s="53"/>
      <c r="EWW3" s="53"/>
      <c r="EWX3" s="53"/>
      <c r="EWY3" s="53"/>
      <c r="EWZ3" s="53"/>
      <c r="EXA3" s="212"/>
      <c r="EXB3" s="46"/>
      <c r="EXC3" s="53"/>
      <c r="EXD3" s="53"/>
      <c r="EXE3" s="53"/>
      <c r="EXF3" s="53"/>
      <c r="EXG3" s="53"/>
      <c r="EXH3" s="53"/>
      <c r="EXI3" s="53"/>
      <c r="EXJ3" s="53"/>
      <c r="EXK3" s="53"/>
      <c r="EXL3" s="53"/>
      <c r="EXM3" s="53"/>
      <c r="EXN3" s="53"/>
      <c r="EXO3" s="53"/>
      <c r="EXP3" s="212"/>
      <c r="EXQ3" s="46"/>
      <c r="EXR3" s="53"/>
      <c r="EXS3" s="53"/>
      <c r="EXT3" s="53"/>
      <c r="EXU3" s="53"/>
      <c r="EXV3" s="53"/>
      <c r="EXW3" s="53"/>
      <c r="EXX3" s="53"/>
      <c r="EXY3" s="53"/>
      <c r="EXZ3" s="53"/>
      <c r="EYA3" s="53"/>
      <c r="EYB3" s="53"/>
      <c r="EYC3" s="53"/>
      <c r="EYD3" s="53"/>
      <c r="EYE3" s="212"/>
      <c r="EYF3" s="46"/>
      <c r="EYG3" s="53"/>
      <c r="EYH3" s="53"/>
      <c r="EYI3" s="53"/>
      <c r="EYJ3" s="53"/>
      <c r="EYK3" s="53"/>
      <c r="EYL3" s="53"/>
      <c r="EYM3" s="53"/>
      <c r="EYN3" s="53"/>
      <c r="EYO3" s="53"/>
      <c r="EYP3" s="53"/>
      <c r="EYQ3" s="53"/>
      <c r="EYR3" s="53"/>
      <c r="EYS3" s="53"/>
      <c r="EYT3" s="212"/>
      <c r="EYU3" s="46"/>
      <c r="EYV3" s="53"/>
      <c r="EYW3" s="53"/>
      <c r="EYX3" s="53"/>
      <c r="EYY3" s="53"/>
      <c r="EYZ3" s="53"/>
      <c r="EZA3" s="53"/>
      <c r="EZB3" s="53"/>
      <c r="EZC3" s="53"/>
      <c r="EZD3" s="53"/>
      <c r="EZE3" s="53"/>
      <c r="EZF3" s="53"/>
      <c r="EZG3" s="53"/>
      <c r="EZH3" s="53"/>
      <c r="EZI3" s="212"/>
      <c r="EZJ3" s="46"/>
      <c r="EZK3" s="53"/>
      <c r="EZL3" s="53"/>
      <c r="EZM3" s="53"/>
      <c r="EZN3" s="53"/>
      <c r="EZO3" s="53"/>
      <c r="EZP3" s="53"/>
      <c r="EZQ3" s="53"/>
      <c r="EZR3" s="53"/>
      <c r="EZS3" s="53"/>
      <c r="EZT3" s="53"/>
      <c r="EZU3" s="53"/>
      <c r="EZV3" s="53"/>
      <c r="EZW3" s="53"/>
      <c r="EZX3" s="212"/>
      <c r="EZY3" s="46"/>
      <c r="EZZ3" s="53"/>
      <c r="FAA3" s="53"/>
      <c r="FAB3" s="53"/>
      <c r="FAC3" s="53"/>
      <c r="FAD3" s="53"/>
      <c r="FAE3" s="53"/>
      <c r="FAF3" s="53"/>
      <c r="FAG3" s="53"/>
      <c r="FAH3" s="53"/>
      <c r="FAI3" s="53"/>
      <c r="FAJ3" s="53"/>
      <c r="FAK3" s="53"/>
      <c r="FAL3" s="53"/>
      <c r="FAM3" s="212"/>
      <c r="FAN3" s="46"/>
      <c r="FAO3" s="53"/>
      <c r="FAP3" s="53"/>
      <c r="FAQ3" s="53"/>
      <c r="FAR3" s="53"/>
      <c r="FAS3" s="53"/>
      <c r="FAT3" s="53"/>
      <c r="FAU3" s="53"/>
      <c r="FAV3" s="53"/>
      <c r="FAW3" s="53"/>
      <c r="FAX3" s="53"/>
      <c r="FAY3" s="53"/>
      <c r="FAZ3" s="53"/>
      <c r="FBA3" s="53"/>
      <c r="FBB3" s="212"/>
      <c r="FBC3" s="46"/>
      <c r="FBD3" s="53"/>
      <c r="FBE3" s="53"/>
      <c r="FBF3" s="53"/>
      <c r="FBG3" s="53"/>
      <c r="FBH3" s="53"/>
      <c r="FBI3" s="53"/>
      <c r="FBJ3" s="53"/>
      <c r="FBK3" s="53"/>
      <c r="FBL3" s="53"/>
      <c r="FBM3" s="53"/>
      <c r="FBN3" s="53"/>
      <c r="FBO3" s="53"/>
      <c r="FBP3" s="53"/>
      <c r="FBQ3" s="212"/>
      <c r="FBR3" s="46"/>
      <c r="FBS3" s="53"/>
      <c r="FBT3" s="53"/>
      <c r="FBU3" s="53"/>
      <c r="FBV3" s="53"/>
      <c r="FBW3" s="53"/>
      <c r="FBX3" s="53"/>
      <c r="FBY3" s="53"/>
      <c r="FBZ3" s="53"/>
      <c r="FCA3" s="53"/>
      <c r="FCB3" s="53"/>
      <c r="FCC3" s="53"/>
      <c r="FCD3" s="53"/>
      <c r="FCE3" s="53"/>
      <c r="FCF3" s="212"/>
      <c r="FCG3" s="46"/>
      <c r="FCH3" s="53"/>
      <c r="FCI3" s="53"/>
      <c r="FCJ3" s="53"/>
      <c r="FCK3" s="53"/>
      <c r="FCL3" s="53"/>
      <c r="FCM3" s="53"/>
      <c r="FCN3" s="53"/>
      <c r="FCO3" s="53"/>
      <c r="FCP3" s="53"/>
      <c r="FCQ3" s="53"/>
      <c r="FCR3" s="53"/>
      <c r="FCS3" s="53"/>
      <c r="FCT3" s="53"/>
      <c r="FCU3" s="212"/>
      <c r="FCV3" s="46"/>
      <c r="FCW3" s="53"/>
      <c r="FCX3" s="53"/>
      <c r="FCY3" s="53"/>
      <c r="FCZ3" s="53"/>
      <c r="FDA3" s="53"/>
      <c r="FDB3" s="53"/>
      <c r="FDC3" s="53"/>
      <c r="FDD3" s="53"/>
      <c r="FDE3" s="53"/>
      <c r="FDF3" s="53"/>
      <c r="FDG3" s="53"/>
      <c r="FDH3" s="53"/>
      <c r="FDI3" s="53"/>
      <c r="FDJ3" s="212"/>
      <c r="FDK3" s="46"/>
      <c r="FDL3" s="53"/>
      <c r="FDM3" s="53"/>
      <c r="FDN3" s="53"/>
      <c r="FDO3" s="53"/>
      <c r="FDP3" s="53"/>
      <c r="FDQ3" s="53"/>
      <c r="FDR3" s="53"/>
      <c r="FDS3" s="53"/>
      <c r="FDT3" s="53"/>
      <c r="FDU3" s="53"/>
      <c r="FDV3" s="53"/>
      <c r="FDW3" s="53"/>
      <c r="FDX3" s="53"/>
      <c r="FDY3" s="212"/>
      <c r="FDZ3" s="46"/>
      <c r="FEA3" s="53"/>
      <c r="FEB3" s="53"/>
      <c r="FEC3" s="53"/>
      <c r="FED3" s="53"/>
      <c r="FEE3" s="53"/>
      <c r="FEF3" s="53"/>
      <c r="FEG3" s="53"/>
      <c r="FEH3" s="53"/>
      <c r="FEI3" s="53"/>
      <c r="FEJ3" s="53"/>
      <c r="FEK3" s="53"/>
      <c r="FEL3" s="53"/>
      <c r="FEM3" s="53"/>
      <c r="FEN3" s="212"/>
      <c r="FEO3" s="46"/>
      <c r="FEP3" s="53"/>
      <c r="FEQ3" s="53"/>
      <c r="FER3" s="53"/>
      <c r="FES3" s="53"/>
      <c r="FET3" s="53"/>
      <c r="FEU3" s="53"/>
      <c r="FEV3" s="53"/>
      <c r="FEW3" s="53"/>
      <c r="FEX3" s="53"/>
      <c r="FEY3" s="53"/>
      <c r="FEZ3" s="53"/>
      <c r="FFA3" s="53"/>
      <c r="FFB3" s="53"/>
      <c r="FFC3" s="212"/>
      <c r="FFD3" s="46"/>
      <c r="FFE3" s="53"/>
      <c r="FFF3" s="53"/>
      <c r="FFG3" s="53"/>
      <c r="FFH3" s="53"/>
      <c r="FFI3" s="53"/>
      <c r="FFJ3" s="53"/>
      <c r="FFK3" s="53"/>
      <c r="FFL3" s="53"/>
      <c r="FFM3" s="53"/>
      <c r="FFN3" s="53"/>
      <c r="FFO3" s="53"/>
      <c r="FFP3" s="53"/>
      <c r="FFQ3" s="53"/>
      <c r="FFR3" s="212"/>
      <c r="FFS3" s="46"/>
      <c r="FFT3" s="53"/>
      <c r="FFU3" s="53"/>
      <c r="FFV3" s="53"/>
      <c r="FFW3" s="53"/>
      <c r="FFX3" s="53"/>
      <c r="FFY3" s="53"/>
      <c r="FFZ3" s="53"/>
      <c r="FGA3" s="53"/>
      <c r="FGB3" s="53"/>
      <c r="FGC3" s="53"/>
      <c r="FGD3" s="53"/>
      <c r="FGE3" s="53"/>
      <c r="FGF3" s="53"/>
      <c r="FGG3" s="212"/>
      <c r="FGH3" s="46"/>
      <c r="FGI3" s="53"/>
      <c r="FGJ3" s="53"/>
      <c r="FGK3" s="53"/>
      <c r="FGL3" s="53"/>
      <c r="FGM3" s="53"/>
      <c r="FGN3" s="53"/>
      <c r="FGO3" s="53"/>
      <c r="FGP3" s="53"/>
      <c r="FGQ3" s="53"/>
      <c r="FGR3" s="53"/>
      <c r="FGS3" s="53"/>
      <c r="FGT3" s="53"/>
      <c r="FGU3" s="53"/>
      <c r="FGV3" s="212"/>
      <c r="FGW3" s="46"/>
      <c r="FGX3" s="53"/>
      <c r="FGY3" s="53"/>
      <c r="FGZ3" s="53"/>
      <c r="FHA3" s="53"/>
      <c r="FHB3" s="53"/>
      <c r="FHC3" s="53"/>
      <c r="FHD3" s="53"/>
      <c r="FHE3" s="53"/>
      <c r="FHF3" s="53"/>
      <c r="FHG3" s="53"/>
      <c r="FHH3" s="53"/>
      <c r="FHI3" s="53"/>
      <c r="FHJ3" s="53"/>
      <c r="FHK3" s="212"/>
      <c r="FHL3" s="46"/>
      <c r="FHM3" s="53"/>
      <c r="FHN3" s="53"/>
      <c r="FHO3" s="53"/>
      <c r="FHP3" s="53"/>
      <c r="FHQ3" s="53"/>
      <c r="FHR3" s="53"/>
      <c r="FHS3" s="53"/>
      <c r="FHT3" s="53"/>
      <c r="FHU3" s="53"/>
      <c r="FHV3" s="53"/>
      <c r="FHW3" s="53"/>
      <c r="FHX3" s="53"/>
      <c r="FHY3" s="53"/>
      <c r="FHZ3" s="212"/>
      <c r="FIA3" s="46"/>
      <c r="FIB3" s="53"/>
      <c r="FIC3" s="53"/>
      <c r="FID3" s="53"/>
      <c r="FIE3" s="53"/>
      <c r="FIF3" s="53"/>
      <c r="FIG3" s="53"/>
      <c r="FIH3" s="53"/>
      <c r="FII3" s="53"/>
      <c r="FIJ3" s="53"/>
      <c r="FIK3" s="53"/>
      <c r="FIL3" s="53"/>
      <c r="FIM3" s="53"/>
      <c r="FIN3" s="53"/>
      <c r="FIO3" s="212"/>
      <c r="FIP3" s="46"/>
      <c r="FIQ3" s="53"/>
      <c r="FIR3" s="53"/>
      <c r="FIS3" s="53"/>
      <c r="FIT3" s="53"/>
      <c r="FIU3" s="53"/>
      <c r="FIV3" s="53"/>
      <c r="FIW3" s="53"/>
      <c r="FIX3" s="53"/>
      <c r="FIY3" s="53"/>
      <c r="FIZ3" s="53"/>
      <c r="FJA3" s="53"/>
      <c r="FJB3" s="53"/>
      <c r="FJC3" s="53"/>
      <c r="FJD3" s="212"/>
      <c r="FJE3" s="46"/>
      <c r="FJF3" s="53"/>
      <c r="FJG3" s="53"/>
      <c r="FJH3" s="53"/>
      <c r="FJI3" s="53"/>
      <c r="FJJ3" s="53"/>
      <c r="FJK3" s="53"/>
      <c r="FJL3" s="53"/>
      <c r="FJM3" s="53"/>
      <c r="FJN3" s="53"/>
      <c r="FJO3" s="53"/>
      <c r="FJP3" s="53"/>
      <c r="FJQ3" s="53"/>
      <c r="FJR3" s="53"/>
      <c r="FJS3" s="212"/>
      <c r="FJT3" s="46"/>
      <c r="FJU3" s="53"/>
      <c r="FJV3" s="53"/>
      <c r="FJW3" s="53"/>
      <c r="FJX3" s="53"/>
      <c r="FJY3" s="53"/>
      <c r="FJZ3" s="53"/>
      <c r="FKA3" s="53"/>
      <c r="FKB3" s="53"/>
      <c r="FKC3" s="53"/>
      <c r="FKD3" s="53"/>
      <c r="FKE3" s="53"/>
      <c r="FKF3" s="53"/>
      <c r="FKG3" s="53"/>
      <c r="FKH3" s="212"/>
      <c r="FKI3" s="46"/>
      <c r="FKJ3" s="53"/>
      <c r="FKK3" s="53"/>
      <c r="FKL3" s="53"/>
      <c r="FKM3" s="53"/>
      <c r="FKN3" s="53"/>
      <c r="FKO3" s="53"/>
      <c r="FKP3" s="53"/>
      <c r="FKQ3" s="53"/>
      <c r="FKR3" s="53"/>
      <c r="FKS3" s="53"/>
      <c r="FKT3" s="53"/>
      <c r="FKU3" s="53"/>
      <c r="FKV3" s="53"/>
      <c r="FKW3" s="212"/>
      <c r="FKX3" s="46"/>
      <c r="FKY3" s="53"/>
      <c r="FKZ3" s="53"/>
      <c r="FLA3" s="53"/>
      <c r="FLB3" s="53"/>
      <c r="FLC3" s="53"/>
      <c r="FLD3" s="53"/>
      <c r="FLE3" s="53"/>
      <c r="FLF3" s="53"/>
      <c r="FLG3" s="53"/>
      <c r="FLH3" s="53"/>
      <c r="FLI3" s="53"/>
      <c r="FLJ3" s="53"/>
      <c r="FLK3" s="53"/>
      <c r="FLL3" s="212"/>
      <c r="FLM3" s="46"/>
      <c r="FLN3" s="53"/>
      <c r="FLO3" s="53"/>
      <c r="FLP3" s="53"/>
      <c r="FLQ3" s="53"/>
      <c r="FLR3" s="53"/>
      <c r="FLS3" s="53"/>
      <c r="FLT3" s="53"/>
      <c r="FLU3" s="53"/>
      <c r="FLV3" s="53"/>
      <c r="FLW3" s="53"/>
      <c r="FLX3" s="53"/>
      <c r="FLY3" s="53"/>
      <c r="FLZ3" s="53"/>
      <c r="FMA3" s="212"/>
      <c r="FMB3" s="46"/>
      <c r="FMC3" s="53"/>
      <c r="FMD3" s="53"/>
      <c r="FME3" s="53"/>
      <c r="FMF3" s="53"/>
      <c r="FMG3" s="53"/>
      <c r="FMH3" s="53"/>
      <c r="FMI3" s="53"/>
      <c r="FMJ3" s="53"/>
      <c r="FMK3" s="53"/>
      <c r="FML3" s="53"/>
      <c r="FMM3" s="53"/>
      <c r="FMN3" s="53"/>
      <c r="FMO3" s="53"/>
      <c r="FMP3" s="212"/>
      <c r="FMQ3" s="46"/>
      <c r="FMR3" s="53"/>
      <c r="FMS3" s="53"/>
      <c r="FMT3" s="53"/>
      <c r="FMU3" s="53"/>
      <c r="FMV3" s="53"/>
      <c r="FMW3" s="53"/>
      <c r="FMX3" s="53"/>
      <c r="FMY3" s="53"/>
      <c r="FMZ3" s="53"/>
      <c r="FNA3" s="53"/>
      <c r="FNB3" s="53"/>
      <c r="FNC3" s="53"/>
      <c r="FND3" s="53"/>
      <c r="FNE3" s="212"/>
      <c r="FNF3" s="46"/>
      <c r="FNG3" s="53"/>
      <c r="FNH3" s="53"/>
      <c r="FNI3" s="53"/>
      <c r="FNJ3" s="53"/>
      <c r="FNK3" s="53"/>
      <c r="FNL3" s="53"/>
      <c r="FNM3" s="53"/>
      <c r="FNN3" s="53"/>
      <c r="FNO3" s="53"/>
      <c r="FNP3" s="53"/>
      <c r="FNQ3" s="53"/>
      <c r="FNR3" s="53"/>
      <c r="FNS3" s="53"/>
      <c r="FNT3" s="212"/>
      <c r="FNU3" s="46"/>
      <c r="FNV3" s="53"/>
      <c r="FNW3" s="53"/>
      <c r="FNX3" s="53"/>
      <c r="FNY3" s="53"/>
      <c r="FNZ3" s="53"/>
      <c r="FOA3" s="53"/>
      <c r="FOB3" s="53"/>
      <c r="FOC3" s="53"/>
      <c r="FOD3" s="53"/>
      <c r="FOE3" s="53"/>
      <c r="FOF3" s="53"/>
      <c r="FOG3" s="53"/>
      <c r="FOH3" s="53"/>
      <c r="FOI3" s="212"/>
      <c r="FOJ3" s="46"/>
      <c r="FOK3" s="53"/>
      <c r="FOL3" s="53"/>
      <c r="FOM3" s="53"/>
      <c r="FON3" s="53"/>
      <c r="FOO3" s="53"/>
      <c r="FOP3" s="53"/>
      <c r="FOQ3" s="53"/>
      <c r="FOR3" s="53"/>
      <c r="FOS3" s="53"/>
      <c r="FOT3" s="53"/>
      <c r="FOU3" s="53"/>
      <c r="FOV3" s="53"/>
      <c r="FOW3" s="53"/>
      <c r="FOX3" s="212"/>
      <c r="FOY3" s="46"/>
      <c r="FOZ3" s="53"/>
      <c r="FPA3" s="53"/>
      <c r="FPB3" s="53"/>
      <c r="FPC3" s="53"/>
      <c r="FPD3" s="53"/>
      <c r="FPE3" s="53"/>
      <c r="FPF3" s="53"/>
      <c r="FPG3" s="53"/>
      <c r="FPH3" s="53"/>
      <c r="FPI3" s="53"/>
      <c r="FPJ3" s="53"/>
      <c r="FPK3" s="53"/>
      <c r="FPL3" s="53"/>
      <c r="FPM3" s="212"/>
      <c r="FPN3" s="46"/>
      <c r="FPO3" s="53"/>
      <c r="FPP3" s="53"/>
      <c r="FPQ3" s="53"/>
      <c r="FPR3" s="53"/>
      <c r="FPS3" s="53"/>
      <c r="FPT3" s="53"/>
      <c r="FPU3" s="53"/>
      <c r="FPV3" s="53"/>
      <c r="FPW3" s="53"/>
      <c r="FPX3" s="53"/>
      <c r="FPY3" s="53"/>
      <c r="FPZ3" s="53"/>
      <c r="FQA3" s="53"/>
      <c r="FQB3" s="212"/>
      <c r="FQC3" s="46"/>
      <c r="FQD3" s="53"/>
      <c r="FQE3" s="53"/>
      <c r="FQF3" s="53"/>
      <c r="FQG3" s="53"/>
      <c r="FQH3" s="53"/>
      <c r="FQI3" s="53"/>
      <c r="FQJ3" s="53"/>
      <c r="FQK3" s="53"/>
      <c r="FQL3" s="53"/>
      <c r="FQM3" s="53"/>
      <c r="FQN3" s="53"/>
      <c r="FQO3" s="53"/>
      <c r="FQP3" s="53"/>
      <c r="FQQ3" s="212"/>
      <c r="FQR3" s="46"/>
      <c r="FQS3" s="53"/>
      <c r="FQT3" s="53"/>
      <c r="FQU3" s="53"/>
      <c r="FQV3" s="53"/>
      <c r="FQW3" s="53"/>
      <c r="FQX3" s="53"/>
      <c r="FQY3" s="53"/>
      <c r="FQZ3" s="53"/>
      <c r="FRA3" s="53"/>
      <c r="FRB3" s="53"/>
      <c r="FRC3" s="53"/>
      <c r="FRD3" s="53"/>
      <c r="FRE3" s="53"/>
      <c r="FRF3" s="212"/>
      <c r="FRG3" s="46"/>
      <c r="FRH3" s="53"/>
      <c r="FRI3" s="53"/>
      <c r="FRJ3" s="53"/>
      <c r="FRK3" s="53"/>
      <c r="FRL3" s="53"/>
      <c r="FRM3" s="53"/>
      <c r="FRN3" s="53"/>
      <c r="FRO3" s="53"/>
      <c r="FRP3" s="53"/>
      <c r="FRQ3" s="53"/>
      <c r="FRR3" s="53"/>
      <c r="FRS3" s="53"/>
      <c r="FRT3" s="53"/>
      <c r="FRU3" s="212"/>
      <c r="FRV3" s="46"/>
      <c r="FRW3" s="53"/>
      <c r="FRX3" s="53"/>
      <c r="FRY3" s="53"/>
      <c r="FRZ3" s="53"/>
      <c r="FSA3" s="53"/>
      <c r="FSB3" s="53"/>
      <c r="FSC3" s="53"/>
      <c r="FSD3" s="53"/>
      <c r="FSE3" s="53"/>
      <c r="FSF3" s="53"/>
      <c r="FSG3" s="53"/>
      <c r="FSH3" s="53"/>
      <c r="FSI3" s="53"/>
      <c r="FSJ3" s="212"/>
      <c r="FSK3" s="46"/>
      <c r="FSL3" s="53"/>
      <c r="FSM3" s="53"/>
      <c r="FSN3" s="53"/>
      <c r="FSO3" s="53"/>
      <c r="FSP3" s="53"/>
      <c r="FSQ3" s="53"/>
      <c r="FSR3" s="53"/>
      <c r="FSS3" s="53"/>
      <c r="FST3" s="53"/>
      <c r="FSU3" s="53"/>
      <c r="FSV3" s="53"/>
      <c r="FSW3" s="53"/>
      <c r="FSX3" s="53"/>
      <c r="FSY3" s="212"/>
      <c r="FSZ3" s="46"/>
      <c r="FTA3" s="53"/>
      <c r="FTB3" s="53"/>
      <c r="FTC3" s="53"/>
      <c r="FTD3" s="53"/>
      <c r="FTE3" s="53"/>
      <c r="FTF3" s="53"/>
      <c r="FTG3" s="53"/>
      <c r="FTH3" s="53"/>
      <c r="FTI3" s="53"/>
      <c r="FTJ3" s="53"/>
      <c r="FTK3" s="53"/>
      <c r="FTL3" s="53"/>
      <c r="FTM3" s="53"/>
      <c r="FTN3" s="212"/>
      <c r="FTO3" s="46"/>
      <c r="FTP3" s="53"/>
      <c r="FTQ3" s="53"/>
      <c r="FTR3" s="53"/>
      <c r="FTS3" s="53"/>
      <c r="FTT3" s="53"/>
      <c r="FTU3" s="53"/>
      <c r="FTV3" s="53"/>
      <c r="FTW3" s="53"/>
      <c r="FTX3" s="53"/>
      <c r="FTY3" s="53"/>
      <c r="FTZ3" s="53"/>
      <c r="FUA3" s="53"/>
      <c r="FUB3" s="53"/>
      <c r="FUC3" s="212"/>
      <c r="FUD3" s="46"/>
      <c r="FUE3" s="53"/>
      <c r="FUF3" s="53"/>
      <c r="FUG3" s="53"/>
      <c r="FUH3" s="53"/>
      <c r="FUI3" s="53"/>
      <c r="FUJ3" s="53"/>
      <c r="FUK3" s="53"/>
      <c r="FUL3" s="53"/>
      <c r="FUM3" s="53"/>
      <c r="FUN3" s="53"/>
      <c r="FUO3" s="53"/>
      <c r="FUP3" s="53"/>
      <c r="FUQ3" s="53"/>
      <c r="FUR3" s="212"/>
      <c r="FUS3" s="46"/>
      <c r="FUT3" s="53"/>
      <c r="FUU3" s="53"/>
      <c r="FUV3" s="53"/>
      <c r="FUW3" s="53"/>
      <c r="FUX3" s="53"/>
      <c r="FUY3" s="53"/>
      <c r="FUZ3" s="53"/>
      <c r="FVA3" s="53"/>
      <c r="FVB3" s="53"/>
      <c r="FVC3" s="53"/>
      <c r="FVD3" s="53"/>
      <c r="FVE3" s="53"/>
      <c r="FVF3" s="53"/>
      <c r="FVG3" s="212"/>
      <c r="FVH3" s="46"/>
      <c r="FVI3" s="53"/>
      <c r="FVJ3" s="53"/>
      <c r="FVK3" s="53"/>
      <c r="FVL3" s="53"/>
      <c r="FVM3" s="53"/>
      <c r="FVN3" s="53"/>
      <c r="FVO3" s="53"/>
      <c r="FVP3" s="53"/>
      <c r="FVQ3" s="53"/>
      <c r="FVR3" s="53"/>
      <c r="FVS3" s="53"/>
      <c r="FVT3" s="53"/>
      <c r="FVU3" s="53"/>
      <c r="FVV3" s="212"/>
      <c r="FVW3" s="46"/>
      <c r="FVX3" s="53"/>
      <c r="FVY3" s="53"/>
      <c r="FVZ3" s="53"/>
      <c r="FWA3" s="53"/>
      <c r="FWB3" s="53"/>
      <c r="FWC3" s="53"/>
      <c r="FWD3" s="53"/>
      <c r="FWE3" s="53"/>
      <c r="FWF3" s="53"/>
      <c r="FWG3" s="53"/>
      <c r="FWH3" s="53"/>
      <c r="FWI3" s="53"/>
      <c r="FWJ3" s="53"/>
      <c r="FWK3" s="212"/>
      <c r="FWL3" s="46"/>
      <c r="FWM3" s="53"/>
      <c r="FWN3" s="53"/>
      <c r="FWO3" s="53"/>
      <c r="FWP3" s="53"/>
      <c r="FWQ3" s="53"/>
      <c r="FWR3" s="53"/>
      <c r="FWS3" s="53"/>
      <c r="FWT3" s="53"/>
      <c r="FWU3" s="53"/>
      <c r="FWV3" s="53"/>
      <c r="FWW3" s="53"/>
      <c r="FWX3" s="53"/>
      <c r="FWY3" s="53"/>
      <c r="FWZ3" s="212"/>
      <c r="FXA3" s="46"/>
      <c r="FXB3" s="53"/>
      <c r="FXC3" s="53"/>
      <c r="FXD3" s="53"/>
      <c r="FXE3" s="53"/>
      <c r="FXF3" s="53"/>
      <c r="FXG3" s="53"/>
      <c r="FXH3" s="53"/>
      <c r="FXI3" s="53"/>
      <c r="FXJ3" s="53"/>
      <c r="FXK3" s="53"/>
      <c r="FXL3" s="53"/>
      <c r="FXM3" s="53"/>
      <c r="FXN3" s="53"/>
      <c r="FXO3" s="212"/>
      <c r="FXP3" s="46"/>
      <c r="FXQ3" s="53"/>
      <c r="FXR3" s="53"/>
      <c r="FXS3" s="53"/>
      <c r="FXT3" s="53"/>
      <c r="FXU3" s="53"/>
      <c r="FXV3" s="53"/>
      <c r="FXW3" s="53"/>
      <c r="FXX3" s="53"/>
      <c r="FXY3" s="53"/>
      <c r="FXZ3" s="53"/>
      <c r="FYA3" s="53"/>
      <c r="FYB3" s="53"/>
      <c r="FYC3" s="53"/>
      <c r="FYD3" s="212"/>
      <c r="FYE3" s="46"/>
      <c r="FYF3" s="53"/>
      <c r="FYG3" s="53"/>
      <c r="FYH3" s="53"/>
      <c r="FYI3" s="53"/>
      <c r="FYJ3" s="53"/>
      <c r="FYK3" s="53"/>
      <c r="FYL3" s="53"/>
      <c r="FYM3" s="53"/>
      <c r="FYN3" s="53"/>
      <c r="FYO3" s="53"/>
      <c r="FYP3" s="53"/>
      <c r="FYQ3" s="53"/>
      <c r="FYR3" s="53"/>
      <c r="FYS3" s="212"/>
      <c r="FYT3" s="46"/>
      <c r="FYU3" s="53"/>
      <c r="FYV3" s="53"/>
      <c r="FYW3" s="53"/>
      <c r="FYX3" s="53"/>
      <c r="FYY3" s="53"/>
      <c r="FYZ3" s="53"/>
      <c r="FZA3" s="53"/>
      <c r="FZB3" s="53"/>
      <c r="FZC3" s="53"/>
      <c r="FZD3" s="53"/>
      <c r="FZE3" s="53"/>
      <c r="FZF3" s="53"/>
      <c r="FZG3" s="53"/>
      <c r="FZH3" s="212"/>
      <c r="FZI3" s="46"/>
      <c r="FZJ3" s="53"/>
      <c r="FZK3" s="53"/>
      <c r="FZL3" s="53"/>
      <c r="FZM3" s="53"/>
      <c r="FZN3" s="53"/>
      <c r="FZO3" s="53"/>
      <c r="FZP3" s="53"/>
      <c r="FZQ3" s="53"/>
      <c r="FZR3" s="53"/>
      <c r="FZS3" s="53"/>
      <c r="FZT3" s="53"/>
      <c r="FZU3" s="53"/>
      <c r="FZV3" s="53"/>
      <c r="FZW3" s="212"/>
      <c r="FZX3" s="46"/>
      <c r="FZY3" s="53"/>
      <c r="FZZ3" s="53"/>
      <c r="GAA3" s="53"/>
      <c r="GAB3" s="53"/>
      <c r="GAC3" s="53"/>
      <c r="GAD3" s="53"/>
      <c r="GAE3" s="53"/>
      <c r="GAF3" s="53"/>
      <c r="GAG3" s="53"/>
      <c r="GAH3" s="53"/>
      <c r="GAI3" s="53"/>
      <c r="GAJ3" s="53"/>
      <c r="GAK3" s="53"/>
      <c r="GAL3" s="212"/>
      <c r="GAM3" s="46"/>
      <c r="GAN3" s="53"/>
      <c r="GAO3" s="53"/>
      <c r="GAP3" s="53"/>
      <c r="GAQ3" s="53"/>
      <c r="GAR3" s="53"/>
      <c r="GAS3" s="53"/>
      <c r="GAT3" s="53"/>
      <c r="GAU3" s="53"/>
      <c r="GAV3" s="53"/>
      <c r="GAW3" s="53"/>
      <c r="GAX3" s="53"/>
      <c r="GAY3" s="53"/>
      <c r="GAZ3" s="53"/>
      <c r="GBA3" s="212"/>
      <c r="GBB3" s="46"/>
      <c r="GBC3" s="53"/>
      <c r="GBD3" s="53"/>
      <c r="GBE3" s="53"/>
      <c r="GBF3" s="53"/>
      <c r="GBG3" s="53"/>
      <c r="GBH3" s="53"/>
      <c r="GBI3" s="53"/>
      <c r="GBJ3" s="53"/>
      <c r="GBK3" s="53"/>
      <c r="GBL3" s="53"/>
      <c r="GBM3" s="53"/>
      <c r="GBN3" s="53"/>
      <c r="GBO3" s="53"/>
      <c r="GBP3" s="212"/>
      <c r="GBQ3" s="46"/>
      <c r="GBR3" s="53"/>
      <c r="GBS3" s="53"/>
      <c r="GBT3" s="53"/>
      <c r="GBU3" s="53"/>
      <c r="GBV3" s="53"/>
      <c r="GBW3" s="53"/>
      <c r="GBX3" s="53"/>
      <c r="GBY3" s="53"/>
      <c r="GBZ3" s="53"/>
      <c r="GCA3" s="53"/>
      <c r="GCB3" s="53"/>
      <c r="GCC3" s="53"/>
      <c r="GCD3" s="53"/>
      <c r="GCE3" s="212"/>
      <c r="GCF3" s="46"/>
      <c r="GCG3" s="53"/>
      <c r="GCH3" s="53"/>
      <c r="GCI3" s="53"/>
      <c r="GCJ3" s="53"/>
      <c r="GCK3" s="53"/>
      <c r="GCL3" s="53"/>
      <c r="GCM3" s="53"/>
      <c r="GCN3" s="53"/>
      <c r="GCO3" s="53"/>
      <c r="GCP3" s="53"/>
      <c r="GCQ3" s="53"/>
      <c r="GCR3" s="53"/>
      <c r="GCS3" s="53"/>
      <c r="GCT3" s="212"/>
      <c r="GCU3" s="46"/>
      <c r="GCV3" s="53"/>
      <c r="GCW3" s="53"/>
      <c r="GCX3" s="53"/>
      <c r="GCY3" s="53"/>
      <c r="GCZ3" s="53"/>
      <c r="GDA3" s="53"/>
      <c r="GDB3" s="53"/>
      <c r="GDC3" s="53"/>
      <c r="GDD3" s="53"/>
      <c r="GDE3" s="53"/>
      <c r="GDF3" s="53"/>
      <c r="GDG3" s="53"/>
      <c r="GDH3" s="53"/>
      <c r="GDI3" s="212"/>
      <c r="GDJ3" s="46"/>
      <c r="GDK3" s="53"/>
      <c r="GDL3" s="53"/>
      <c r="GDM3" s="53"/>
      <c r="GDN3" s="53"/>
      <c r="GDO3" s="53"/>
      <c r="GDP3" s="53"/>
      <c r="GDQ3" s="53"/>
      <c r="GDR3" s="53"/>
      <c r="GDS3" s="53"/>
      <c r="GDT3" s="53"/>
      <c r="GDU3" s="53"/>
      <c r="GDV3" s="53"/>
      <c r="GDW3" s="53"/>
      <c r="GDX3" s="212"/>
      <c r="GDY3" s="46"/>
      <c r="GDZ3" s="53"/>
      <c r="GEA3" s="53"/>
      <c r="GEB3" s="53"/>
      <c r="GEC3" s="53"/>
      <c r="GED3" s="53"/>
      <c r="GEE3" s="53"/>
      <c r="GEF3" s="53"/>
      <c r="GEG3" s="53"/>
      <c r="GEH3" s="53"/>
      <c r="GEI3" s="53"/>
      <c r="GEJ3" s="53"/>
      <c r="GEK3" s="53"/>
      <c r="GEL3" s="53"/>
      <c r="GEM3" s="212"/>
      <c r="GEN3" s="46"/>
      <c r="GEO3" s="53"/>
      <c r="GEP3" s="53"/>
      <c r="GEQ3" s="53"/>
      <c r="GER3" s="53"/>
      <c r="GES3" s="53"/>
      <c r="GET3" s="53"/>
      <c r="GEU3" s="53"/>
      <c r="GEV3" s="53"/>
      <c r="GEW3" s="53"/>
      <c r="GEX3" s="53"/>
      <c r="GEY3" s="53"/>
      <c r="GEZ3" s="53"/>
      <c r="GFA3" s="53"/>
      <c r="GFB3" s="212"/>
      <c r="GFC3" s="46"/>
      <c r="GFD3" s="53"/>
      <c r="GFE3" s="53"/>
      <c r="GFF3" s="53"/>
      <c r="GFG3" s="53"/>
      <c r="GFH3" s="53"/>
      <c r="GFI3" s="53"/>
      <c r="GFJ3" s="53"/>
      <c r="GFK3" s="53"/>
      <c r="GFL3" s="53"/>
      <c r="GFM3" s="53"/>
      <c r="GFN3" s="53"/>
      <c r="GFO3" s="53"/>
      <c r="GFP3" s="53"/>
      <c r="GFQ3" s="212"/>
      <c r="GFR3" s="46"/>
      <c r="GFS3" s="53"/>
      <c r="GFT3" s="53"/>
      <c r="GFU3" s="53"/>
      <c r="GFV3" s="53"/>
      <c r="GFW3" s="53"/>
      <c r="GFX3" s="53"/>
      <c r="GFY3" s="53"/>
      <c r="GFZ3" s="53"/>
      <c r="GGA3" s="53"/>
      <c r="GGB3" s="53"/>
      <c r="GGC3" s="53"/>
      <c r="GGD3" s="53"/>
      <c r="GGE3" s="53"/>
      <c r="GGF3" s="212"/>
      <c r="GGG3" s="46"/>
      <c r="GGH3" s="53"/>
      <c r="GGI3" s="53"/>
      <c r="GGJ3" s="53"/>
      <c r="GGK3" s="53"/>
      <c r="GGL3" s="53"/>
      <c r="GGM3" s="53"/>
      <c r="GGN3" s="53"/>
      <c r="GGO3" s="53"/>
      <c r="GGP3" s="53"/>
      <c r="GGQ3" s="53"/>
      <c r="GGR3" s="53"/>
      <c r="GGS3" s="53"/>
      <c r="GGT3" s="53"/>
      <c r="GGU3" s="212"/>
      <c r="GGV3" s="46"/>
      <c r="GGW3" s="53"/>
      <c r="GGX3" s="53"/>
      <c r="GGY3" s="53"/>
      <c r="GGZ3" s="53"/>
      <c r="GHA3" s="53"/>
      <c r="GHB3" s="53"/>
      <c r="GHC3" s="53"/>
      <c r="GHD3" s="53"/>
      <c r="GHE3" s="53"/>
      <c r="GHF3" s="53"/>
      <c r="GHG3" s="53"/>
      <c r="GHH3" s="53"/>
      <c r="GHI3" s="53"/>
      <c r="GHJ3" s="212"/>
      <c r="GHK3" s="46"/>
      <c r="GHL3" s="53"/>
      <c r="GHM3" s="53"/>
      <c r="GHN3" s="53"/>
      <c r="GHO3" s="53"/>
      <c r="GHP3" s="53"/>
      <c r="GHQ3" s="53"/>
      <c r="GHR3" s="53"/>
      <c r="GHS3" s="53"/>
      <c r="GHT3" s="53"/>
      <c r="GHU3" s="53"/>
      <c r="GHV3" s="53"/>
      <c r="GHW3" s="53"/>
      <c r="GHX3" s="53"/>
      <c r="GHY3" s="212"/>
      <c r="GHZ3" s="46"/>
      <c r="GIA3" s="53"/>
      <c r="GIB3" s="53"/>
      <c r="GIC3" s="53"/>
      <c r="GID3" s="53"/>
      <c r="GIE3" s="53"/>
      <c r="GIF3" s="53"/>
      <c r="GIG3" s="53"/>
      <c r="GIH3" s="53"/>
      <c r="GII3" s="53"/>
      <c r="GIJ3" s="53"/>
      <c r="GIK3" s="53"/>
      <c r="GIL3" s="53"/>
      <c r="GIM3" s="53"/>
      <c r="GIN3" s="212"/>
      <c r="GIO3" s="46"/>
      <c r="GIP3" s="53"/>
      <c r="GIQ3" s="53"/>
      <c r="GIR3" s="53"/>
      <c r="GIS3" s="53"/>
      <c r="GIT3" s="53"/>
      <c r="GIU3" s="53"/>
      <c r="GIV3" s="53"/>
      <c r="GIW3" s="53"/>
      <c r="GIX3" s="53"/>
      <c r="GIY3" s="53"/>
      <c r="GIZ3" s="53"/>
      <c r="GJA3" s="53"/>
      <c r="GJB3" s="53"/>
      <c r="GJC3" s="212"/>
      <c r="GJD3" s="46"/>
      <c r="GJE3" s="53"/>
      <c r="GJF3" s="53"/>
      <c r="GJG3" s="53"/>
      <c r="GJH3" s="53"/>
      <c r="GJI3" s="53"/>
      <c r="GJJ3" s="53"/>
      <c r="GJK3" s="53"/>
      <c r="GJL3" s="53"/>
      <c r="GJM3" s="53"/>
      <c r="GJN3" s="53"/>
      <c r="GJO3" s="53"/>
      <c r="GJP3" s="53"/>
      <c r="GJQ3" s="53"/>
      <c r="GJR3" s="212"/>
      <c r="GJS3" s="46"/>
      <c r="GJT3" s="53"/>
      <c r="GJU3" s="53"/>
      <c r="GJV3" s="53"/>
      <c r="GJW3" s="53"/>
      <c r="GJX3" s="53"/>
      <c r="GJY3" s="53"/>
      <c r="GJZ3" s="53"/>
      <c r="GKA3" s="53"/>
      <c r="GKB3" s="53"/>
      <c r="GKC3" s="53"/>
      <c r="GKD3" s="53"/>
      <c r="GKE3" s="53"/>
      <c r="GKF3" s="53"/>
      <c r="GKG3" s="212"/>
      <c r="GKH3" s="46"/>
      <c r="GKI3" s="53"/>
      <c r="GKJ3" s="53"/>
      <c r="GKK3" s="53"/>
      <c r="GKL3" s="53"/>
      <c r="GKM3" s="53"/>
      <c r="GKN3" s="53"/>
      <c r="GKO3" s="53"/>
      <c r="GKP3" s="53"/>
      <c r="GKQ3" s="53"/>
      <c r="GKR3" s="53"/>
      <c r="GKS3" s="53"/>
      <c r="GKT3" s="53"/>
      <c r="GKU3" s="53"/>
      <c r="GKV3" s="212"/>
      <c r="GKW3" s="46"/>
      <c r="GKX3" s="53"/>
      <c r="GKY3" s="53"/>
      <c r="GKZ3" s="53"/>
      <c r="GLA3" s="53"/>
      <c r="GLB3" s="53"/>
      <c r="GLC3" s="53"/>
      <c r="GLD3" s="53"/>
      <c r="GLE3" s="53"/>
      <c r="GLF3" s="53"/>
      <c r="GLG3" s="53"/>
      <c r="GLH3" s="53"/>
      <c r="GLI3" s="53"/>
      <c r="GLJ3" s="53"/>
      <c r="GLK3" s="212"/>
      <c r="GLL3" s="46"/>
      <c r="GLM3" s="53"/>
      <c r="GLN3" s="53"/>
      <c r="GLO3" s="53"/>
      <c r="GLP3" s="53"/>
      <c r="GLQ3" s="53"/>
      <c r="GLR3" s="53"/>
      <c r="GLS3" s="53"/>
      <c r="GLT3" s="53"/>
      <c r="GLU3" s="53"/>
      <c r="GLV3" s="53"/>
      <c r="GLW3" s="53"/>
      <c r="GLX3" s="53"/>
      <c r="GLY3" s="53"/>
      <c r="GLZ3" s="212"/>
      <c r="GMA3" s="46"/>
      <c r="GMB3" s="53"/>
      <c r="GMC3" s="53"/>
      <c r="GMD3" s="53"/>
      <c r="GME3" s="53"/>
      <c r="GMF3" s="53"/>
      <c r="GMG3" s="53"/>
      <c r="GMH3" s="53"/>
      <c r="GMI3" s="53"/>
      <c r="GMJ3" s="53"/>
      <c r="GMK3" s="53"/>
      <c r="GML3" s="53"/>
      <c r="GMM3" s="53"/>
      <c r="GMN3" s="53"/>
      <c r="GMO3" s="212"/>
      <c r="GMP3" s="46"/>
      <c r="GMQ3" s="53"/>
      <c r="GMR3" s="53"/>
      <c r="GMS3" s="53"/>
      <c r="GMT3" s="53"/>
      <c r="GMU3" s="53"/>
      <c r="GMV3" s="53"/>
      <c r="GMW3" s="53"/>
      <c r="GMX3" s="53"/>
      <c r="GMY3" s="53"/>
      <c r="GMZ3" s="53"/>
      <c r="GNA3" s="53"/>
      <c r="GNB3" s="53"/>
      <c r="GNC3" s="53"/>
      <c r="GND3" s="212"/>
      <c r="GNE3" s="46"/>
      <c r="GNF3" s="53"/>
      <c r="GNG3" s="53"/>
      <c r="GNH3" s="53"/>
      <c r="GNI3" s="53"/>
      <c r="GNJ3" s="53"/>
      <c r="GNK3" s="53"/>
      <c r="GNL3" s="53"/>
      <c r="GNM3" s="53"/>
      <c r="GNN3" s="53"/>
      <c r="GNO3" s="53"/>
      <c r="GNP3" s="53"/>
      <c r="GNQ3" s="53"/>
      <c r="GNR3" s="53"/>
      <c r="GNS3" s="212"/>
      <c r="GNT3" s="46"/>
      <c r="GNU3" s="53"/>
      <c r="GNV3" s="53"/>
      <c r="GNW3" s="53"/>
      <c r="GNX3" s="53"/>
      <c r="GNY3" s="53"/>
      <c r="GNZ3" s="53"/>
      <c r="GOA3" s="53"/>
      <c r="GOB3" s="53"/>
      <c r="GOC3" s="53"/>
      <c r="GOD3" s="53"/>
      <c r="GOE3" s="53"/>
      <c r="GOF3" s="53"/>
      <c r="GOG3" s="53"/>
      <c r="GOH3" s="212"/>
      <c r="GOI3" s="46"/>
      <c r="GOJ3" s="53"/>
      <c r="GOK3" s="53"/>
      <c r="GOL3" s="53"/>
      <c r="GOM3" s="53"/>
      <c r="GON3" s="53"/>
      <c r="GOO3" s="53"/>
      <c r="GOP3" s="53"/>
      <c r="GOQ3" s="53"/>
      <c r="GOR3" s="53"/>
      <c r="GOS3" s="53"/>
      <c r="GOT3" s="53"/>
      <c r="GOU3" s="53"/>
      <c r="GOV3" s="53"/>
      <c r="GOW3" s="212"/>
      <c r="GOX3" s="46"/>
      <c r="GOY3" s="53"/>
      <c r="GOZ3" s="53"/>
      <c r="GPA3" s="53"/>
      <c r="GPB3" s="53"/>
      <c r="GPC3" s="53"/>
      <c r="GPD3" s="53"/>
      <c r="GPE3" s="53"/>
      <c r="GPF3" s="53"/>
      <c r="GPG3" s="53"/>
      <c r="GPH3" s="53"/>
      <c r="GPI3" s="53"/>
      <c r="GPJ3" s="53"/>
      <c r="GPK3" s="53"/>
      <c r="GPL3" s="212"/>
      <c r="GPM3" s="46"/>
      <c r="GPN3" s="53"/>
      <c r="GPO3" s="53"/>
      <c r="GPP3" s="53"/>
      <c r="GPQ3" s="53"/>
      <c r="GPR3" s="53"/>
      <c r="GPS3" s="53"/>
      <c r="GPT3" s="53"/>
      <c r="GPU3" s="53"/>
      <c r="GPV3" s="53"/>
      <c r="GPW3" s="53"/>
      <c r="GPX3" s="53"/>
      <c r="GPY3" s="53"/>
      <c r="GPZ3" s="53"/>
      <c r="GQA3" s="212"/>
      <c r="GQB3" s="46"/>
      <c r="GQC3" s="53"/>
      <c r="GQD3" s="53"/>
      <c r="GQE3" s="53"/>
      <c r="GQF3" s="53"/>
      <c r="GQG3" s="53"/>
      <c r="GQH3" s="53"/>
      <c r="GQI3" s="53"/>
      <c r="GQJ3" s="53"/>
      <c r="GQK3" s="53"/>
      <c r="GQL3" s="53"/>
      <c r="GQM3" s="53"/>
      <c r="GQN3" s="53"/>
      <c r="GQO3" s="53"/>
      <c r="GQP3" s="212"/>
      <c r="GQQ3" s="46"/>
      <c r="GQR3" s="53"/>
      <c r="GQS3" s="53"/>
      <c r="GQT3" s="53"/>
      <c r="GQU3" s="53"/>
      <c r="GQV3" s="53"/>
      <c r="GQW3" s="53"/>
      <c r="GQX3" s="53"/>
      <c r="GQY3" s="53"/>
      <c r="GQZ3" s="53"/>
      <c r="GRA3" s="53"/>
      <c r="GRB3" s="53"/>
      <c r="GRC3" s="53"/>
      <c r="GRD3" s="53"/>
      <c r="GRE3" s="212"/>
      <c r="GRF3" s="46"/>
      <c r="GRG3" s="53"/>
      <c r="GRH3" s="53"/>
      <c r="GRI3" s="53"/>
      <c r="GRJ3" s="53"/>
      <c r="GRK3" s="53"/>
      <c r="GRL3" s="53"/>
      <c r="GRM3" s="53"/>
      <c r="GRN3" s="53"/>
      <c r="GRO3" s="53"/>
      <c r="GRP3" s="53"/>
      <c r="GRQ3" s="53"/>
      <c r="GRR3" s="53"/>
      <c r="GRS3" s="53"/>
      <c r="GRT3" s="212"/>
      <c r="GRU3" s="46"/>
      <c r="GRV3" s="53"/>
      <c r="GRW3" s="53"/>
      <c r="GRX3" s="53"/>
      <c r="GRY3" s="53"/>
      <c r="GRZ3" s="53"/>
      <c r="GSA3" s="53"/>
      <c r="GSB3" s="53"/>
      <c r="GSC3" s="53"/>
      <c r="GSD3" s="53"/>
      <c r="GSE3" s="53"/>
      <c r="GSF3" s="53"/>
      <c r="GSG3" s="53"/>
      <c r="GSH3" s="53"/>
      <c r="GSI3" s="212"/>
      <c r="GSJ3" s="46"/>
      <c r="GSK3" s="53"/>
      <c r="GSL3" s="53"/>
      <c r="GSM3" s="53"/>
      <c r="GSN3" s="53"/>
      <c r="GSO3" s="53"/>
      <c r="GSP3" s="53"/>
      <c r="GSQ3" s="53"/>
      <c r="GSR3" s="53"/>
      <c r="GSS3" s="53"/>
      <c r="GST3" s="53"/>
      <c r="GSU3" s="53"/>
      <c r="GSV3" s="53"/>
      <c r="GSW3" s="53"/>
      <c r="GSX3" s="212"/>
      <c r="GSY3" s="46"/>
      <c r="GSZ3" s="53"/>
      <c r="GTA3" s="53"/>
      <c r="GTB3" s="53"/>
      <c r="GTC3" s="53"/>
      <c r="GTD3" s="53"/>
      <c r="GTE3" s="53"/>
      <c r="GTF3" s="53"/>
      <c r="GTG3" s="53"/>
      <c r="GTH3" s="53"/>
      <c r="GTI3" s="53"/>
      <c r="GTJ3" s="53"/>
      <c r="GTK3" s="53"/>
      <c r="GTL3" s="53"/>
      <c r="GTM3" s="212"/>
      <c r="GTN3" s="46"/>
      <c r="GTO3" s="53"/>
      <c r="GTP3" s="53"/>
      <c r="GTQ3" s="53"/>
      <c r="GTR3" s="53"/>
      <c r="GTS3" s="53"/>
      <c r="GTT3" s="53"/>
      <c r="GTU3" s="53"/>
      <c r="GTV3" s="53"/>
      <c r="GTW3" s="53"/>
      <c r="GTX3" s="53"/>
      <c r="GTY3" s="53"/>
      <c r="GTZ3" s="53"/>
      <c r="GUA3" s="53"/>
      <c r="GUB3" s="212"/>
      <c r="GUC3" s="46"/>
      <c r="GUD3" s="53"/>
      <c r="GUE3" s="53"/>
      <c r="GUF3" s="53"/>
      <c r="GUG3" s="53"/>
      <c r="GUH3" s="53"/>
      <c r="GUI3" s="53"/>
      <c r="GUJ3" s="53"/>
      <c r="GUK3" s="53"/>
      <c r="GUL3" s="53"/>
      <c r="GUM3" s="53"/>
      <c r="GUN3" s="53"/>
      <c r="GUO3" s="53"/>
      <c r="GUP3" s="53"/>
      <c r="GUQ3" s="212"/>
      <c r="GUR3" s="46"/>
      <c r="GUS3" s="53"/>
      <c r="GUT3" s="53"/>
      <c r="GUU3" s="53"/>
      <c r="GUV3" s="53"/>
      <c r="GUW3" s="53"/>
      <c r="GUX3" s="53"/>
      <c r="GUY3" s="53"/>
      <c r="GUZ3" s="53"/>
      <c r="GVA3" s="53"/>
      <c r="GVB3" s="53"/>
      <c r="GVC3" s="53"/>
      <c r="GVD3" s="53"/>
      <c r="GVE3" s="53"/>
      <c r="GVF3" s="212"/>
      <c r="GVG3" s="46"/>
      <c r="GVH3" s="53"/>
      <c r="GVI3" s="53"/>
      <c r="GVJ3" s="53"/>
      <c r="GVK3" s="53"/>
      <c r="GVL3" s="53"/>
      <c r="GVM3" s="53"/>
      <c r="GVN3" s="53"/>
      <c r="GVO3" s="53"/>
      <c r="GVP3" s="53"/>
      <c r="GVQ3" s="53"/>
      <c r="GVR3" s="53"/>
      <c r="GVS3" s="53"/>
      <c r="GVT3" s="53"/>
      <c r="GVU3" s="212"/>
      <c r="GVV3" s="46"/>
      <c r="GVW3" s="53"/>
      <c r="GVX3" s="53"/>
      <c r="GVY3" s="53"/>
      <c r="GVZ3" s="53"/>
      <c r="GWA3" s="53"/>
      <c r="GWB3" s="53"/>
      <c r="GWC3" s="53"/>
      <c r="GWD3" s="53"/>
      <c r="GWE3" s="53"/>
      <c r="GWF3" s="53"/>
      <c r="GWG3" s="53"/>
      <c r="GWH3" s="53"/>
      <c r="GWI3" s="53"/>
      <c r="GWJ3" s="212"/>
      <c r="GWK3" s="46"/>
      <c r="GWL3" s="53"/>
      <c r="GWM3" s="53"/>
      <c r="GWN3" s="53"/>
      <c r="GWO3" s="53"/>
      <c r="GWP3" s="53"/>
      <c r="GWQ3" s="53"/>
      <c r="GWR3" s="53"/>
      <c r="GWS3" s="53"/>
      <c r="GWT3" s="53"/>
      <c r="GWU3" s="53"/>
      <c r="GWV3" s="53"/>
      <c r="GWW3" s="53"/>
      <c r="GWX3" s="53"/>
      <c r="GWY3" s="212"/>
      <c r="GWZ3" s="46"/>
      <c r="GXA3" s="53"/>
      <c r="GXB3" s="53"/>
      <c r="GXC3" s="53"/>
      <c r="GXD3" s="53"/>
      <c r="GXE3" s="53"/>
      <c r="GXF3" s="53"/>
      <c r="GXG3" s="53"/>
      <c r="GXH3" s="53"/>
      <c r="GXI3" s="53"/>
      <c r="GXJ3" s="53"/>
      <c r="GXK3" s="53"/>
      <c r="GXL3" s="53"/>
      <c r="GXM3" s="53"/>
      <c r="GXN3" s="212"/>
      <c r="GXO3" s="46"/>
      <c r="GXP3" s="53"/>
      <c r="GXQ3" s="53"/>
      <c r="GXR3" s="53"/>
      <c r="GXS3" s="53"/>
      <c r="GXT3" s="53"/>
      <c r="GXU3" s="53"/>
      <c r="GXV3" s="53"/>
      <c r="GXW3" s="53"/>
      <c r="GXX3" s="53"/>
      <c r="GXY3" s="53"/>
      <c r="GXZ3" s="53"/>
      <c r="GYA3" s="53"/>
      <c r="GYB3" s="53"/>
      <c r="GYC3" s="212"/>
      <c r="GYD3" s="46"/>
      <c r="GYE3" s="53"/>
      <c r="GYF3" s="53"/>
      <c r="GYG3" s="53"/>
      <c r="GYH3" s="53"/>
      <c r="GYI3" s="53"/>
      <c r="GYJ3" s="53"/>
      <c r="GYK3" s="53"/>
      <c r="GYL3" s="53"/>
      <c r="GYM3" s="53"/>
      <c r="GYN3" s="53"/>
      <c r="GYO3" s="53"/>
      <c r="GYP3" s="53"/>
      <c r="GYQ3" s="53"/>
      <c r="GYR3" s="212"/>
      <c r="GYS3" s="46"/>
      <c r="GYT3" s="53"/>
      <c r="GYU3" s="53"/>
      <c r="GYV3" s="53"/>
      <c r="GYW3" s="53"/>
      <c r="GYX3" s="53"/>
      <c r="GYY3" s="53"/>
      <c r="GYZ3" s="53"/>
      <c r="GZA3" s="53"/>
      <c r="GZB3" s="53"/>
      <c r="GZC3" s="53"/>
      <c r="GZD3" s="53"/>
      <c r="GZE3" s="53"/>
      <c r="GZF3" s="53"/>
      <c r="GZG3" s="212"/>
      <c r="GZH3" s="46"/>
      <c r="GZI3" s="53"/>
      <c r="GZJ3" s="53"/>
      <c r="GZK3" s="53"/>
      <c r="GZL3" s="53"/>
      <c r="GZM3" s="53"/>
      <c r="GZN3" s="53"/>
      <c r="GZO3" s="53"/>
      <c r="GZP3" s="53"/>
      <c r="GZQ3" s="53"/>
      <c r="GZR3" s="53"/>
      <c r="GZS3" s="53"/>
      <c r="GZT3" s="53"/>
      <c r="GZU3" s="53"/>
      <c r="GZV3" s="212"/>
      <c r="GZW3" s="46"/>
      <c r="GZX3" s="53"/>
      <c r="GZY3" s="53"/>
      <c r="GZZ3" s="53"/>
      <c r="HAA3" s="53"/>
      <c r="HAB3" s="53"/>
      <c r="HAC3" s="53"/>
      <c r="HAD3" s="53"/>
      <c r="HAE3" s="53"/>
      <c r="HAF3" s="53"/>
      <c r="HAG3" s="53"/>
      <c r="HAH3" s="53"/>
      <c r="HAI3" s="53"/>
      <c r="HAJ3" s="53"/>
      <c r="HAK3" s="212"/>
      <c r="HAL3" s="46"/>
      <c r="HAM3" s="53"/>
      <c r="HAN3" s="53"/>
      <c r="HAO3" s="53"/>
      <c r="HAP3" s="53"/>
      <c r="HAQ3" s="53"/>
      <c r="HAR3" s="53"/>
      <c r="HAS3" s="53"/>
      <c r="HAT3" s="53"/>
      <c r="HAU3" s="53"/>
      <c r="HAV3" s="53"/>
      <c r="HAW3" s="53"/>
      <c r="HAX3" s="53"/>
      <c r="HAY3" s="53"/>
      <c r="HAZ3" s="212"/>
      <c r="HBA3" s="46"/>
      <c r="HBB3" s="53"/>
      <c r="HBC3" s="53"/>
      <c r="HBD3" s="53"/>
      <c r="HBE3" s="53"/>
      <c r="HBF3" s="53"/>
      <c r="HBG3" s="53"/>
      <c r="HBH3" s="53"/>
      <c r="HBI3" s="53"/>
      <c r="HBJ3" s="53"/>
      <c r="HBK3" s="53"/>
      <c r="HBL3" s="53"/>
      <c r="HBM3" s="53"/>
      <c r="HBN3" s="53"/>
      <c r="HBO3" s="212"/>
      <c r="HBP3" s="46"/>
      <c r="HBQ3" s="53"/>
      <c r="HBR3" s="53"/>
      <c r="HBS3" s="53"/>
      <c r="HBT3" s="53"/>
      <c r="HBU3" s="53"/>
      <c r="HBV3" s="53"/>
      <c r="HBW3" s="53"/>
      <c r="HBX3" s="53"/>
      <c r="HBY3" s="53"/>
      <c r="HBZ3" s="53"/>
      <c r="HCA3" s="53"/>
      <c r="HCB3" s="53"/>
      <c r="HCC3" s="53"/>
      <c r="HCD3" s="212"/>
      <c r="HCE3" s="46"/>
      <c r="HCF3" s="53"/>
      <c r="HCG3" s="53"/>
      <c r="HCH3" s="53"/>
      <c r="HCI3" s="53"/>
      <c r="HCJ3" s="53"/>
      <c r="HCK3" s="53"/>
      <c r="HCL3" s="53"/>
      <c r="HCM3" s="53"/>
      <c r="HCN3" s="53"/>
      <c r="HCO3" s="53"/>
      <c r="HCP3" s="53"/>
      <c r="HCQ3" s="53"/>
      <c r="HCR3" s="53"/>
      <c r="HCS3" s="212"/>
      <c r="HCT3" s="46"/>
      <c r="HCU3" s="53"/>
      <c r="HCV3" s="53"/>
      <c r="HCW3" s="53"/>
      <c r="HCX3" s="53"/>
      <c r="HCY3" s="53"/>
      <c r="HCZ3" s="53"/>
      <c r="HDA3" s="53"/>
      <c r="HDB3" s="53"/>
      <c r="HDC3" s="53"/>
      <c r="HDD3" s="53"/>
      <c r="HDE3" s="53"/>
      <c r="HDF3" s="53"/>
      <c r="HDG3" s="53"/>
      <c r="HDH3" s="212"/>
      <c r="HDI3" s="46"/>
      <c r="HDJ3" s="53"/>
      <c r="HDK3" s="53"/>
      <c r="HDL3" s="53"/>
      <c r="HDM3" s="53"/>
      <c r="HDN3" s="53"/>
      <c r="HDO3" s="53"/>
      <c r="HDP3" s="53"/>
      <c r="HDQ3" s="53"/>
      <c r="HDR3" s="53"/>
      <c r="HDS3" s="53"/>
      <c r="HDT3" s="53"/>
      <c r="HDU3" s="53"/>
      <c r="HDV3" s="53"/>
      <c r="HDW3" s="212"/>
      <c r="HDX3" s="46"/>
      <c r="HDY3" s="53"/>
      <c r="HDZ3" s="53"/>
      <c r="HEA3" s="53"/>
      <c r="HEB3" s="53"/>
      <c r="HEC3" s="53"/>
      <c r="HED3" s="53"/>
      <c r="HEE3" s="53"/>
      <c r="HEF3" s="53"/>
      <c r="HEG3" s="53"/>
      <c r="HEH3" s="53"/>
      <c r="HEI3" s="53"/>
      <c r="HEJ3" s="53"/>
      <c r="HEK3" s="53"/>
      <c r="HEL3" s="212"/>
      <c r="HEM3" s="46"/>
      <c r="HEN3" s="53"/>
      <c r="HEO3" s="53"/>
      <c r="HEP3" s="53"/>
      <c r="HEQ3" s="53"/>
      <c r="HER3" s="53"/>
      <c r="HES3" s="53"/>
      <c r="HET3" s="53"/>
      <c r="HEU3" s="53"/>
      <c r="HEV3" s="53"/>
      <c r="HEW3" s="53"/>
      <c r="HEX3" s="53"/>
      <c r="HEY3" s="53"/>
      <c r="HEZ3" s="53"/>
      <c r="HFA3" s="212"/>
      <c r="HFB3" s="46"/>
      <c r="HFC3" s="53"/>
      <c r="HFD3" s="53"/>
      <c r="HFE3" s="53"/>
      <c r="HFF3" s="53"/>
      <c r="HFG3" s="53"/>
      <c r="HFH3" s="53"/>
      <c r="HFI3" s="53"/>
      <c r="HFJ3" s="53"/>
      <c r="HFK3" s="53"/>
      <c r="HFL3" s="53"/>
      <c r="HFM3" s="53"/>
      <c r="HFN3" s="53"/>
      <c r="HFO3" s="53"/>
      <c r="HFP3" s="212"/>
      <c r="HFQ3" s="46"/>
      <c r="HFR3" s="53"/>
      <c r="HFS3" s="53"/>
      <c r="HFT3" s="53"/>
      <c r="HFU3" s="53"/>
      <c r="HFV3" s="53"/>
      <c r="HFW3" s="53"/>
      <c r="HFX3" s="53"/>
      <c r="HFY3" s="53"/>
      <c r="HFZ3" s="53"/>
      <c r="HGA3" s="53"/>
      <c r="HGB3" s="53"/>
      <c r="HGC3" s="53"/>
      <c r="HGD3" s="53"/>
      <c r="HGE3" s="212"/>
      <c r="HGF3" s="46"/>
      <c r="HGG3" s="53"/>
      <c r="HGH3" s="53"/>
      <c r="HGI3" s="53"/>
      <c r="HGJ3" s="53"/>
      <c r="HGK3" s="53"/>
      <c r="HGL3" s="53"/>
      <c r="HGM3" s="53"/>
      <c r="HGN3" s="53"/>
      <c r="HGO3" s="53"/>
      <c r="HGP3" s="53"/>
      <c r="HGQ3" s="53"/>
      <c r="HGR3" s="53"/>
      <c r="HGS3" s="53"/>
      <c r="HGT3" s="212"/>
      <c r="HGU3" s="46"/>
      <c r="HGV3" s="53"/>
      <c r="HGW3" s="53"/>
      <c r="HGX3" s="53"/>
      <c r="HGY3" s="53"/>
      <c r="HGZ3" s="53"/>
      <c r="HHA3" s="53"/>
      <c r="HHB3" s="53"/>
      <c r="HHC3" s="53"/>
      <c r="HHD3" s="53"/>
      <c r="HHE3" s="53"/>
      <c r="HHF3" s="53"/>
      <c r="HHG3" s="53"/>
      <c r="HHH3" s="53"/>
      <c r="HHI3" s="212"/>
      <c r="HHJ3" s="46"/>
      <c r="HHK3" s="53"/>
      <c r="HHL3" s="53"/>
      <c r="HHM3" s="53"/>
      <c r="HHN3" s="53"/>
      <c r="HHO3" s="53"/>
      <c r="HHP3" s="53"/>
      <c r="HHQ3" s="53"/>
      <c r="HHR3" s="53"/>
      <c r="HHS3" s="53"/>
      <c r="HHT3" s="53"/>
      <c r="HHU3" s="53"/>
      <c r="HHV3" s="53"/>
      <c r="HHW3" s="53"/>
      <c r="HHX3" s="212"/>
      <c r="HHY3" s="46"/>
      <c r="HHZ3" s="53"/>
      <c r="HIA3" s="53"/>
      <c r="HIB3" s="53"/>
      <c r="HIC3" s="53"/>
      <c r="HID3" s="53"/>
      <c r="HIE3" s="53"/>
      <c r="HIF3" s="53"/>
      <c r="HIG3" s="53"/>
      <c r="HIH3" s="53"/>
      <c r="HII3" s="53"/>
      <c r="HIJ3" s="53"/>
      <c r="HIK3" s="53"/>
      <c r="HIL3" s="53"/>
      <c r="HIM3" s="212"/>
      <c r="HIN3" s="46"/>
      <c r="HIO3" s="53"/>
      <c r="HIP3" s="53"/>
      <c r="HIQ3" s="53"/>
      <c r="HIR3" s="53"/>
      <c r="HIS3" s="53"/>
      <c r="HIT3" s="53"/>
      <c r="HIU3" s="53"/>
      <c r="HIV3" s="53"/>
      <c r="HIW3" s="53"/>
      <c r="HIX3" s="53"/>
      <c r="HIY3" s="53"/>
      <c r="HIZ3" s="53"/>
      <c r="HJA3" s="53"/>
      <c r="HJB3" s="212"/>
      <c r="HJC3" s="46"/>
      <c r="HJD3" s="53"/>
      <c r="HJE3" s="53"/>
      <c r="HJF3" s="53"/>
      <c r="HJG3" s="53"/>
      <c r="HJH3" s="53"/>
      <c r="HJI3" s="53"/>
      <c r="HJJ3" s="53"/>
      <c r="HJK3" s="53"/>
      <c r="HJL3" s="53"/>
      <c r="HJM3" s="53"/>
      <c r="HJN3" s="53"/>
      <c r="HJO3" s="53"/>
      <c r="HJP3" s="53"/>
      <c r="HJQ3" s="212"/>
      <c r="HJR3" s="46"/>
      <c r="HJS3" s="53"/>
      <c r="HJT3" s="53"/>
      <c r="HJU3" s="53"/>
      <c r="HJV3" s="53"/>
      <c r="HJW3" s="53"/>
      <c r="HJX3" s="53"/>
      <c r="HJY3" s="53"/>
      <c r="HJZ3" s="53"/>
      <c r="HKA3" s="53"/>
      <c r="HKB3" s="53"/>
      <c r="HKC3" s="53"/>
      <c r="HKD3" s="53"/>
      <c r="HKE3" s="53"/>
      <c r="HKF3" s="212"/>
      <c r="HKG3" s="46"/>
      <c r="HKH3" s="53"/>
      <c r="HKI3" s="53"/>
      <c r="HKJ3" s="53"/>
      <c r="HKK3" s="53"/>
      <c r="HKL3" s="53"/>
      <c r="HKM3" s="53"/>
      <c r="HKN3" s="53"/>
      <c r="HKO3" s="53"/>
      <c r="HKP3" s="53"/>
      <c r="HKQ3" s="53"/>
      <c r="HKR3" s="53"/>
      <c r="HKS3" s="53"/>
      <c r="HKT3" s="53"/>
      <c r="HKU3" s="212"/>
      <c r="HKV3" s="46"/>
      <c r="HKW3" s="53"/>
      <c r="HKX3" s="53"/>
      <c r="HKY3" s="53"/>
      <c r="HKZ3" s="53"/>
      <c r="HLA3" s="53"/>
      <c r="HLB3" s="53"/>
      <c r="HLC3" s="53"/>
      <c r="HLD3" s="53"/>
      <c r="HLE3" s="53"/>
      <c r="HLF3" s="53"/>
      <c r="HLG3" s="53"/>
      <c r="HLH3" s="53"/>
      <c r="HLI3" s="53"/>
      <c r="HLJ3" s="212"/>
      <c r="HLK3" s="46"/>
      <c r="HLL3" s="53"/>
      <c r="HLM3" s="53"/>
      <c r="HLN3" s="53"/>
      <c r="HLO3" s="53"/>
      <c r="HLP3" s="53"/>
      <c r="HLQ3" s="53"/>
      <c r="HLR3" s="53"/>
      <c r="HLS3" s="53"/>
      <c r="HLT3" s="53"/>
      <c r="HLU3" s="53"/>
      <c r="HLV3" s="53"/>
      <c r="HLW3" s="53"/>
      <c r="HLX3" s="53"/>
      <c r="HLY3" s="212"/>
      <c r="HLZ3" s="46"/>
      <c r="HMA3" s="53"/>
      <c r="HMB3" s="53"/>
      <c r="HMC3" s="53"/>
      <c r="HMD3" s="53"/>
      <c r="HME3" s="53"/>
      <c r="HMF3" s="53"/>
      <c r="HMG3" s="53"/>
      <c r="HMH3" s="53"/>
      <c r="HMI3" s="53"/>
      <c r="HMJ3" s="53"/>
      <c r="HMK3" s="53"/>
      <c r="HML3" s="53"/>
      <c r="HMM3" s="53"/>
      <c r="HMN3" s="212"/>
      <c r="HMO3" s="46"/>
      <c r="HMP3" s="53"/>
      <c r="HMQ3" s="53"/>
      <c r="HMR3" s="53"/>
      <c r="HMS3" s="53"/>
      <c r="HMT3" s="53"/>
      <c r="HMU3" s="53"/>
      <c r="HMV3" s="53"/>
      <c r="HMW3" s="53"/>
      <c r="HMX3" s="53"/>
      <c r="HMY3" s="53"/>
      <c r="HMZ3" s="53"/>
      <c r="HNA3" s="53"/>
      <c r="HNB3" s="53"/>
      <c r="HNC3" s="212"/>
      <c r="HND3" s="46"/>
      <c r="HNE3" s="53"/>
      <c r="HNF3" s="53"/>
      <c r="HNG3" s="53"/>
      <c r="HNH3" s="53"/>
      <c r="HNI3" s="53"/>
      <c r="HNJ3" s="53"/>
      <c r="HNK3" s="53"/>
      <c r="HNL3" s="53"/>
      <c r="HNM3" s="53"/>
      <c r="HNN3" s="53"/>
      <c r="HNO3" s="53"/>
      <c r="HNP3" s="53"/>
      <c r="HNQ3" s="53"/>
      <c r="HNR3" s="212"/>
      <c r="HNS3" s="46"/>
      <c r="HNT3" s="53"/>
      <c r="HNU3" s="53"/>
      <c r="HNV3" s="53"/>
      <c r="HNW3" s="53"/>
      <c r="HNX3" s="53"/>
      <c r="HNY3" s="53"/>
      <c r="HNZ3" s="53"/>
      <c r="HOA3" s="53"/>
      <c r="HOB3" s="53"/>
      <c r="HOC3" s="53"/>
      <c r="HOD3" s="53"/>
      <c r="HOE3" s="53"/>
      <c r="HOF3" s="53"/>
      <c r="HOG3" s="212"/>
      <c r="HOH3" s="46"/>
      <c r="HOI3" s="53"/>
      <c r="HOJ3" s="53"/>
      <c r="HOK3" s="53"/>
      <c r="HOL3" s="53"/>
      <c r="HOM3" s="53"/>
      <c r="HON3" s="53"/>
      <c r="HOO3" s="53"/>
      <c r="HOP3" s="53"/>
      <c r="HOQ3" s="53"/>
      <c r="HOR3" s="53"/>
      <c r="HOS3" s="53"/>
      <c r="HOT3" s="53"/>
      <c r="HOU3" s="53"/>
      <c r="HOV3" s="212"/>
      <c r="HOW3" s="46"/>
      <c r="HOX3" s="53"/>
      <c r="HOY3" s="53"/>
      <c r="HOZ3" s="53"/>
      <c r="HPA3" s="53"/>
      <c r="HPB3" s="53"/>
      <c r="HPC3" s="53"/>
      <c r="HPD3" s="53"/>
      <c r="HPE3" s="53"/>
      <c r="HPF3" s="53"/>
      <c r="HPG3" s="53"/>
      <c r="HPH3" s="53"/>
      <c r="HPI3" s="53"/>
      <c r="HPJ3" s="53"/>
      <c r="HPK3" s="212"/>
      <c r="HPL3" s="46"/>
      <c r="HPM3" s="53"/>
      <c r="HPN3" s="53"/>
      <c r="HPO3" s="53"/>
      <c r="HPP3" s="53"/>
      <c r="HPQ3" s="53"/>
      <c r="HPR3" s="53"/>
      <c r="HPS3" s="53"/>
      <c r="HPT3" s="53"/>
      <c r="HPU3" s="53"/>
      <c r="HPV3" s="53"/>
      <c r="HPW3" s="53"/>
      <c r="HPX3" s="53"/>
      <c r="HPY3" s="53"/>
      <c r="HPZ3" s="212"/>
      <c r="HQA3" s="46"/>
      <c r="HQB3" s="53"/>
      <c r="HQC3" s="53"/>
      <c r="HQD3" s="53"/>
      <c r="HQE3" s="53"/>
      <c r="HQF3" s="53"/>
      <c r="HQG3" s="53"/>
      <c r="HQH3" s="53"/>
      <c r="HQI3" s="53"/>
      <c r="HQJ3" s="53"/>
      <c r="HQK3" s="53"/>
      <c r="HQL3" s="53"/>
      <c r="HQM3" s="53"/>
      <c r="HQN3" s="53"/>
      <c r="HQO3" s="212"/>
      <c r="HQP3" s="46"/>
      <c r="HQQ3" s="53"/>
      <c r="HQR3" s="53"/>
      <c r="HQS3" s="53"/>
      <c r="HQT3" s="53"/>
      <c r="HQU3" s="53"/>
      <c r="HQV3" s="53"/>
      <c r="HQW3" s="53"/>
      <c r="HQX3" s="53"/>
      <c r="HQY3" s="53"/>
      <c r="HQZ3" s="53"/>
      <c r="HRA3" s="53"/>
      <c r="HRB3" s="53"/>
      <c r="HRC3" s="53"/>
      <c r="HRD3" s="212"/>
      <c r="HRE3" s="46"/>
      <c r="HRF3" s="53"/>
      <c r="HRG3" s="53"/>
      <c r="HRH3" s="53"/>
      <c r="HRI3" s="53"/>
      <c r="HRJ3" s="53"/>
      <c r="HRK3" s="53"/>
      <c r="HRL3" s="53"/>
      <c r="HRM3" s="53"/>
      <c r="HRN3" s="53"/>
      <c r="HRO3" s="53"/>
      <c r="HRP3" s="53"/>
      <c r="HRQ3" s="53"/>
      <c r="HRR3" s="53"/>
      <c r="HRS3" s="212"/>
      <c r="HRT3" s="46"/>
      <c r="HRU3" s="53"/>
      <c r="HRV3" s="53"/>
      <c r="HRW3" s="53"/>
      <c r="HRX3" s="53"/>
      <c r="HRY3" s="53"/>
      <c r="HRZ3" s="53"/>
      <c r="HSA3" s="53"/>
      <c r="HSB3" s="53"/>
      <c r="HSC3" s="53"/>
      <c r="HSD3" s="53"/>
      <c r="HSE3" s="53"/>
      <c r="HSF3" s="53"/>
      <c r="HSG3" s="53"/>
      <c r="HSH3" s="212"/>
      <c r="HSI3" s="46"/>
      <c r="HSJ3" s="53"/>
      <c r="HSK3" s="53"/>
      <c r="HSL3" s="53"/>
      <c r="HSM3" s="53"/>
      <c r="HSN3" s="53"/>
      <c r="HSO3" s="53"/>
      <c r="HSP3" s="53"/>
      <c r="HSQ3" s="53"/>
      <c r="HSR3" s="53"/>
      <c r="HSS3" s="53"/>
      <c r="HST3" s="53"/>
      <c r="HSU3" s="53"/>
      <c r="HSV3" s="53"/>
      <c r="HSW3" s="212"/>
      <c r="HSX3" s="46"/>
      <c r="HSY3" s="53"/>
      <c r="HSZ3" s="53"/>
      <c r="HTA3" s="53"/>
      <c r="HTB3" s="53"/>
      <c r="HTC3" s="53"/>
      <c r="HTD3" s="53"/>
      <c r="HTE3" s="53"/>
      <c r="HTF3" s="53"/>
      <c r="HTG3" s="53"/>
      <c r="HTH3" s="53"/>
      <c r="HTI3" s="53"/>
      <c r="HTJ3" s="53"/>
      <c r="HTK3" s="53"/>
      <c r="HTL3" s="212"/>
      <c r="HTM3" s="46"/>
      <c r="HTN3" s="53"/>
      <c r="HTO3" s="53"/>
      <c r="HTP3" s="53"/>
      <c r="HTQ3" s="53"/>
      <c r="HTR3" s="53"/>
      <c r="HTS3" s="53"/>
      <c r="HTT3" s="53"/>
      <c r="HTU3" s="53"/>
      <c r="HTV3" s="53"/>
      <c r="HTW3" s="53"/>
      <c r="HTX3" s="53"/>
      <c r="HTY3" s="53"/>
      <c r="HTZ3" s="53"/>
      <c r="HUA3" s="212"/>
      <c r="HUB3" s="46"/>
      <c r="HUC3" s="53"/>
      <c r="HUD3" s="53"/>
      <c r="HUE3" s="53"/>
      <c r="HUF3" s="53"/>
      <c r="HUG3" s="53"/>
      <c r="HUH3" s="53"/>
      <c r="HUI3" s="53"/>
      <c r="HUJ3" s="53"/>
      <c r="HUK3" s="53"/>
      <c r="HUL3" s="53"/>
      <c r="HUM3" s="53"/>
      <c r="HUN3" s="53"/>
      <c r="HUO3" s="53"/>
      <c r="HUP3" s="212"/>
      <c r="HUQ3" s="46"/>
      <c r="HUR3" s="53"/>
      <c r="HUS3" s="53"/>
      <c r="HUT3" s="53"/>
      <c r="HUU3" s="53"/>
      <c r="HUV3" s="53"/>
      <c r="HUW3" s="53"/>
      <c r="HUX3" s="53"/>
      <c r="HUY3" s="53"/>
      <c r="HUZ3" s="53"/>
      <c r="HVA3" s="53"/>
      <c r="HVB3" s="53"/>
      <c r="HVC3" s="53"/>
      <c r="HVD3" s="53"/>
      <c r="HVE3" s="212"/>
      <c r="HVF3" s="46"/>
      <c r="HVG3" s="53"/>
      <c r="HVH3" s="53"/>
      <c r="HVI3" s="53"/>
      <c r="HVJ3" s="53"/>
      <c r="HVK3" s="53"/>
      <c r="HVL3" s="53"/>
      <c r="HVM3" s="53"/>
      <c r="HVN3" s="53"/>
      <c r="HVO3" s="53"/>
      <c r="HVP3" s="53"/>
      <c r="HVQ3" s="53"/>
      <c r="HVR3" s="53"/>
      <c r="HVS3" s="53"/>
      <c r="HVT3" s="212"/>
      <c r="HVU3" s="46"/>
      <c r="HVV3" s="53"/>
      <c r="HVW3" s="53"/>
      <c r="HVX3" s="53"/>
      <c r="HVY3" s="53"/>
      <c r="HVZ3" s="53"/>
      <c r="HWA3" s="53"/>
      <c r="HWB3" s="53"/>
      <c r="HWC3" s="53"/>
      <c r="HWD3" s="53"/>
      <c r="HWE3" s="53"/>
      <c r="HWF3" s="53"/>
      <c r="HWG3" s="53"/>
      <c r="HWH3" s="53"/>
      <c r="HWI3" s="212"/>
      <c r="HWJ3" s="46"/>
      <c r="HWK3" s="53"/>
      <c r="HWL3" s="53"/>
      <c r="HWM3" s="53"/>
      <c r="HWN3" s="53"/>
      <c r="HWO3" s="53"/>
      <c r="HWP3" s="53"/>
      <c r="HWQ3" s="53"/>
      <c r="HWR3" s="53"/>
      <c r="HWS3" s="53"/>
      <c r="HWT3" s="53"/>
      <c r="HWU3" s="53"/>
      <c r="HWV3" s="53"/>
      <c r="HWW3" s="53"/>
      <c r="HWX3" s="212"/>
      <c r="HWY3" s="46"/>
      <c r="HWZ3" s="53"/>
      <c r="HXA3" s="53"/>
      <c r="HXB3" s="53"/>
      <c r="HXC3" s="53"/>
      <c r="HXD3" s="53"/>
      <c r="HXE3" s="53"/>
      <c r="HXF3" s="53"/>
      <c r="HXG3" s="53"/>
      <c r="HXH3" s="53"/>
      <c r="HXI3" s="53"/>
      <c r="HXJ3" s="53"/>
      <c r="HXK3" s="53"/>
      <c r="HXL3" s="53"/>
      <c r="HXM3" s="212"/>
      <c r="HXN3" s="46"/>
      <c r="HXO3" s="53"/>
      <c r="HXP3" s="53"/>
      <c r="HXQ3" s="53"/>
      <c r="HXR3" s="53"/>
      <c r="HXS3" s="53"/>
      <c r="HXT3" s="53"/>
      <c r="HXU3" s="53"/>
      <c r="HXV3" s="53"/>
      <c r="HXW3" s="53"/>
      <c r="HXX3" s="53"/>
      <c r="HXY3" s="53"/>
      <c r="HXZ3" s="53"/>
      <c r="HYA3" s="53"/>
      <c r="HYB3" s="212"/>
      <c r="HYC3" s="46"/>
      <c r="HYD3" s="53"/>
      <c r="HYE3" s="53"/>
      <c r="HYF3" s="53"/>
      <c r="HYG3" s="53"/>
      <c r="HYH3" s="53"/>
      <c r="HYI3" s="53"/>
      <c r="HYJ3" s="53"/>
      <c r="HYK3" s="53"/>
      <c r="HYL3" s="53"/>
      <c r="HYM3" s="53"/>
      <c r="HYN3" s="53"/>
      <c r="HYO3" s="53"/>
      <c r="HYP3" s="53"/>
      <c r="HYQ3" s="212"/>
      <c r="HYR3" s="46"/>
      <c r="HYS3" s="53"/>
      <c r="HYT3" s="53"/>
      <c r="HYU3" s="53"/>
      <c r="HYV3" s="53"/>
      <c r="HYW3" s="53"/>
      <c r="HYX3" s="53"/>
      <c r="HYY3" s="53"/>
      <c r="HYZ3" s="53"/>
      <c r="HZA3" s="53"/>
      <c r="HZB3" s="53"/>
      <c r="HZC3" s="53"/>
      <c r="HZD3" s="53"/>
      <c r="HZE3" s="53"/>
      <c r="HZF3" s="212"/>
      <c r="HZG3" s="46"/>
      <c r="HZH3" s="53"/>
      <c r="HZI3" s="53"/>
      <c r="HZJ3" s="53"/>
      <c r="HZK3" s="53"/>
      <c r="HZL3" s="53"/>
      <c r="HZM3" s="53"/>
      <c r="HZN3" s="53"/>
      <c r="HZO3" s="53"/>
      <c r="HZP3" s="53"/>
      <c r="HZQ3" s="53"/>
      <c r="HZR3" s="53"/>
      <c r="HZS3" s="53"/>
      <c r="HZT3" s="53"/>
      <c r="HZU3" s="212"/>
      <c r="HZV3" s="46"/>
      <c r="HZW3" s="53"/>
      <c r="HZX3" s="53"/>
      <c r="HZY3" s="53"/>
      <c r="HZZ3" s="53"/>
      <c r="IAA3" s="53"/>
      <c r="IAB3" s="53"/>
      <c r="IAC3" s="53"/>
      <c r="IAD3" s="53"/>
      <c r="IAE3" s="53"/>
      <c r="IAF3" s="53"/>
      <c r="IAG3" s="53"/>
      <c r="IAH3" s="53"/>
      <c r="IAI3" s="53"/>
      <c r="IAJ3" s="212"/>
      <c r="IAK3" s="46"/>
      <c r="IAL3" s="53"/>
      <c r="IAM3" s="53"/>
      <c r="IAN3" s="53"/>
      <c r="IAO3" s="53"/>
      <c r="IAP3" s="53"/>
      <c r="IAQ3" s="53"/>
      <c r="IAR3" s="53"/>
      <c r="IAS3" s="53"/>
      <c r="IAT3" s="53"/>
      <c r="IAU3" s="53"/>
      <c r="IAV3" s="53"/>
      <c r="IAW3" s="53"/>
      <c r="IAX3" s="53"/>
      <c r="IAY3" s="212"/>
      <c r="IAZ3" s="46"/>
      <c r="IBA3" s="53"/>
      <c r="IBB3" s="53"/>
      <c r="IBC3" s="53"/>
      <c r="IBD3" s="53"/>
      <c r="IBE3" s="53"/>
      <c r="IBF3" s="53"/>
      <c r="IBG3" s="53"/>
      <c r="IBH3" s="53"/>
      <c r="IBI3" s="53"/>
      <c r="IBJ3" s="53"/>
      <c r="IBK3" s="53"/>
      <c r="IBL3" s="53"/>
      <c r="IBM3" s="53"/>
      <c r="IBN3" s="212"/>
      <c r="IBO3" s="46"/>
      <c r="IBP3" s="53"/>
      <c r="IBQ3" s="53"/>
      <c r="IBR3" s="53"/>
      <c r="IBS3" s="53"/>
      <c r="IBT3" s="53"/>
      <c r="IBU3" s="53"/>
      <c r="IBV3" s="53"/>
      <c r="IBW3" s="53"/>
      <c r="IBX3" s="53"/>
      <c r="IBY3" s="53"/>
      <c r="IBZ3" s="53"/>
      <c r="ICA3" s="53"/>
      <c r="ICB3" s="53"/>
      <c r="ICC3" s="212"/>
      <c r="ICD3" s="46"/>
      <c r="ICE3" s="53"/>
      <c r="ICF3" s="53"/>
      <c r="ICG3" s="53"/>
      <c r="ICH3" s="53"/>
      <c r="ICI3" s="53"/>
      <c r="ICJ3" s="53"/>
      <c r="ICK3" s="53"/>
      <c r="ICL3" s="53"/>
      <c r="ICM3" s="53"/>
      <c r="ICN3" s="53"/>
      <c r="ICO3" s="53"/>
      <c r="ICP3" s="53"/>
      <c r="ICQ3" s="53"/>
      <c r="ICR3" s="212"/>
      <c r="ICS3" s="46"/>
      <c r="ICT3" s="53"/>
      <c r="ICU3" s="53"/>
      <c r="ICV3" s="53"/>
      <c r="ICW3" s="53"/>
      <c r="ICX3" s="53"/>
      <c r="ICY3" s="53"/>
      <c r="ICZ3" s="53"/>
      <c r="IDA3" s="53"/>
      <c r="IDB3" s="53"/>
      <c r="IDC3" s="53"/>
      <c r="IDD3" s="53"/>
      <c r="IDE3" s="53"/>
      <c r="IDF3" s="53"/>
      <c r="IDG3" s="212"/>
      <c r="IDH3" s="46"/>
      <c r="IDI3" s="53"/>
      <c r="IDJ3" s="53"/>
      <c r="IDK3" s="53"/>
      <c r="IDL3" s="53"/>
      <c r="IDM3" s="53"/>
      <c r="IDN3" s="53"/>
      <c r="IDO3" s="53"/>
      <c r="IDP3" s="53"/>
      <c r="IDQ3" s="53"/>
      <c r="IDR3" s="53"/>
      <c r="IDS3" s="53"/>
      <c r="IDT3" s="53"/>
      <c r="IDU3" s="53"/>
      <c r="IDV3" s="212"/>
      <c r="IDW3" s="46"/>
      <c r="IDX3" s="53"/>
      <c r="IDY3" s="53"/>
      <c r="IDZ3" s="53"/>
      <c r="IEA3" s="53"/>
      <c r="IEB3" s="53"/>
      <c r="IEC3" s="53"/>
      <c r="IED3" s="53"/>
      <c r="IEE3" s="53"/>
      <c r="IEF3" s="53"/>
      <c r="IEG3" s="53"/>
      <c r="IEH3" s="53"/>
      <c r="IEI3" s="53"/>
      <c r="IEJ3" s="53"/>
      <c r="IEK3" s="212"/>
      <c r="IEL3" s="46"/>
      <c r="IEM3" s="53"/>
      <c r="IEN3" s="53"/>
      <c r="IEO3" s="53"/>
      <c r="IEP3" s="53"/>
      <c r="IEQ3" s="53"/>
      <c r="IER3" s="53"/>
      <c r="IES3" s="53"/>
      <c r="IET3" s="53"/>
      <c r="IEU3" s="53"/>
      <c r="IEV3" s="53"/>
      <c r="IEW3" s="53"/>
      <c r="IEX3" s="53"/>
      <c r="IEY3" s="53"/>
      <c r="IEZ3" s="212"/>
      <c r="IFA3" s="46"/>
      <c r="IFB3" s="53"/>
      <c r="IFC3" s="53"/>
      <c r="IFD3" s="53"/>
      <c r="IFE3" s="53"/>
      <c r="IFF3" s="53"/>
      <c r="IFG3" s="53"/>
      <c r="IFH3" s="53"/>
      <c r="IFI3" s="53"/>
      <c r="IFJ3" s="53"/>
      <c r="IFK3" s="53"/>
      <c r="IFL3" s="53"/>
      <c r="IFM3" s="53"/>
      <c r="IFN3" s="53"/>
      <c r="IFO3" s="212"/>
      <c r="IFP3" s="46"/>
      <c r="IFQ3" s="53"/>
      <c r="IFR3" s="53"/>
      <c r="IFS3" s="53"/>
      <c r="IFT3" s="53"/>
      <c r="IFU3" s="53"/>
      <c r="IFV3" s="53"/>
      <c r="IFW3" s="53"/>
      <c r="IFX3" s="53"/>
      <c r="IFY3" s="53"/>
      <c r="IFZ3" s="53"/>
      <c r="IGA3" s="53"/>
      <c r="IGB3" s="53"/>
      <c r="IGC3" s="53"/>
      <c r="IGD3" s="212"/>
      <c r="IGE3" s="46"/>
      <c r="IGF3" s="53"/>
      <c r="IGG3" s="53"/>
      <c r="IGH3" s="53"/>
      <c r="IGI3" s="53"/>
      <c r="IGJ3" s="53"/>
      <c r="IGK3" s="53"/>
      <c r="IGL3" s="53"/>
      <c r="IGM3" s="53"/>
      <c r="IGN3" s="53"/>
      <c r="IGO3" s="53"/>
      <c r="IGP3" s="53"/>
      <c r="IGQ3" s="53"/>
      <c r="IGR3" s="53"/>
      <c r="IGS3" s="212"/>
      <c r="IGT3" s="46"/>
      <c r="IGU3" s="53"/>
      <c r="IGV3" s="53"/>
      <c r="IGW3" s="53"/>
      <c r="IGX3" s="53"/>
      <c r="IGY3" s="53"/>
      <c r="IGZ3" s="53"/>
      <c r="IHA3" s="53"/>
      <c r="IHB3" s="53"/>
      <c r="IHC3" s="53"/>
      <c r="IHD3" s="53"/>
      <c r="IHE3" s="53"/>
      <c r="IHF3" s="53"/>
      <c r="IHG3" s="53"/>
      <c r="IHH3" s="212"/>
      <c r="IHI3" s="46"/>
      <c r="IHJ3" s="53"/>
      <c r="IHK3" s="53"/>
      <c r="IHL3" s="53"/>
      <c r="IHM3" s="53"/>
      <c r="IHN3" s="53"/>
      <c r="IHO3" s="53"/>
      <c r="IHP3" s="53"/>
      <c r="IHQ3" s="53"/>
      <c r="IHR3" s="53"/>
      <c r="IHS3" s="53"/>
      <c r="IHT3" s="53"/>
      <c r="IHU3" s="53"/>
      <c r="IHV3" s="53"/>
      <c r="IHW3" s="212"/>
      <c r="IHX3" s="46"/>
      <c r="IHY3" s="53"/>
      <c r="IHZ3" s="53"/>
      <c r="IIA3" s="53"/>
      <c r="IIB3" s="53"/>
      <c r="IIC3" s="53"/>
      <c r="IID3" s="53"/>
      <c r="IIE3" s="53"/>
      <c r="IIF3" s="53"/>
      <c r="IIG3" s="53"/>
      <c r="IIH3" s="53"/>
      <c r="III3" s="53"/>
      <c r="IIJ3" s="53"/>
      <c r="IIK3" s="53"/>
      <c r="IIL3" s="212"/>
      <c r="IIM3" s="46"/>
      <c r="IIN3" s="53"/>
      <c r="IIO3" s="53"/>
      <c r="IIP3" s="53"/>
      <c r="IIQ3" s="53"/>
      <c r="IIR3" s="53"/>
      <c r="IIS3" s="53"/>
      <c r="IIT3" s="53"/>
      <c r="IIU3" s="53"/>
      <c r="IIV3" s="53"/>
      <c r="IIW3" s="53"/>
      <c r="IIX3" s="53"/>
      <c r="IIY3" s="53"/>
      <c r="IIZ3" s="53"/>
      <c r="IJA3" s="212"/>
      <c r="IJB3" s="46"/>
      <c r="IJC3" s="53"/>
      <c r="IJD3" s="53"/>
      <c r="IJE3" s="53"/>
      <c r="IJF3" s="53"/>
      <c r="IJG3" s="53"/>
      <c r="IJH3" s="53"/>
      <c r="IJI3" s="53"/>
      <c r="IJJ3" s="53"/>
      <c r="IJK3" s="53"/>
      <c r="IJL3" s="53"/>
      <c r="IJM3" s="53"/>
      <c r="IJN3" s="53"/>
      <c r="IJO3" s="53"/>
      <c r="IJP3" s="212"/>
      <c r="IJQ3" s="46"/>
      <c r="IJR3" s="53"/>
      <c r="IJS3" s="53"/>
      <c r="IJT3" s="53"/>
      <c r="IJU3" s="53"/>
      <c r="IJV3" s="53"/>
      <c r="IJW3" s="53"/>
      <c r="IJX3" s="53"/>
      <c r="IJY3" s="53"/>
      <c r="IJZ3" s="53"/>
      <c r="IKA3" s="53"/>
      <c r="IKB3" s="53"/>
      <c r="IKC3" s="53"/>
      <c r="IKD3" s="53"/>
      <c r="IKE3" s="212"/>
      <c r="IKF3" s="46"/>
      <c r="IKG3" s="53"/>
      <c r="IKH3" s="53"/>
      <c r="IKI3" s="53"/>
      <c r="IKJ3" s="53"/>
      <c r="IKK3" s="53"/>
      <c r="IKL3" s="53"/>
      <c r="IKM3" s="53"/>
      <c r="IKN3" s="53"/>
      <c r="IKO3" s="53"/>
      <c r="IKP3" s="53"/>
      <c r="IKQ3" s="53"/>
      <c r="IKR3" s="53"/>
      <c r="IKS3" s="53"/>
      <c r="IKT3" s="212"/>
      <c r="IKU3" s="46"/>
      <c r="IKV3" s="53"/>
      <c r="IKW3" s="53"/>
      <c r="IKX3" s="53"/>
      <c r="IKY3" s="53"/>
      <c r="IKZ3" s="53"/>
      <c r="ILA3" s="53"/>
      <c r="ILB3" s="53"/>
      <c r="ILC3" s="53"/>
      <c r="ILD3" s="53"/>
      <c r="ILE3" s="53"/>
      <c r="ILF3" s="53"/>
      <c r="ILG3" s="53"/>
      <c r="ILH3" s="53"/>
      <c r="ILI3" s="212"/>
      <c r="ILJ3" s="46"/>
      <c r="ILK3" s="53"/>
      <c r="ILL3" s="53"/>
      <c r="ILM3" s="53"/>
      <c r="ILN3" s="53"/>
      <c r="ILO3" s="53"/>
      <c r="ILP3" s="53"/>
      <c r="ILQ3" s="53"/>
      <c r="ILR3" s="53"/>
      <c r="ILS3" s="53"/>
      <c r="ILT3" s="53"/>
      <c r="ILU3" s="53"/>
      <c r="ILV3" s="53"/>
      <c r="ILW3" s="53"/>
      <c r="ILX3" s="212"/>
      <c r="ILY3" s="46"/>
      <c r="ILZ3" s="53"/>
      <c r="IMA3" s="53"/>
      <c r="IMB3" s="53"/>
      <c r="IMC3" s="53"/>
      <c r="IMD3" s="53"/>
      <c r="IME3" s="53"/>
      <c r="IMF3" s="53"/>
      <c r="IMG3" s="53"/>
      <c r="IMH3" s="53"/>
      <c r="IMI3" s="53"/>
      <c r="IMJ3" s="53"/>
      <c r="IMK3" s="53"/>
      <c r="IML3" s="53"/>
      <c r="IMM3" s="212"/>
      <c r="IMN3" s="46"/>
      <c r="IMO3" s="53"/>
      <c r="IMP3" s="53"/>
      <c r="IMQ3" s="53"/>
      <c r="IMR3" s="53"/>
      <c r="IMS3" s="53"/>
      <c r="IMT3" s="53"/>
      <c r="IMU3" s="53"/>
      <c r="IMV3" s="53"/>
      <c r="IMW3" s="53"/>
      <c r="IMX3" s="53"/>
      <c r="IMY3" s="53"/>
      <c r="IMZ3" s="53"/>
      <c r="INA3" s="53"/>
      <c r="INB3" s="212"/>
      <c r="INC3" s="46"/>
      <c r="IND3" s="53"/>
      <c r="INE3" s="53"/>
      <c r="INF3" s="53"/>
      <c r="ING3" s="53"/>
      <c r="INH3" s="53"/>
      <c r="INI3" s="53"/>
      <c r="INJ3" s="53"/>
      <c r="INK3" s="53"/>
      <c r="INL3" s="53"/>
      <c r="INM3" s="53"/>
      <c r="INN3" s="53"/>
      <c r="INO3" s="53"/>
      <c r="INP3" s="53"/>
      <c r="INQ3" s="212"/>
      <c r="INR3" s="46"/>
      <c r="INS3" s="53"/>
      <c r="INT3" s="53"/>
      <c r="INU3" s="53"/>
      <c r="INV3" s="53"/>
      <c r="INW3" s="53"/>
      <c r="INX3" s="53"/>
      <c r="INY3" s="53"/>
      <c r="INZ3" s="53"/>
      <c r="IOA3" s="53"/>
      <c r="IOB3" s="53"/>
      <c r="IOC3" s="53"/>
      <c r="IOD3" s="53"/>
      <c r="IOE3" s="53"/>
      <c r="IOF3" s="212"/>
      <c r="IOG3" s="46"/>
      <c r="IOH3" s="53"/>
      <c r="IOI3" s="53"/>
      <c r="IOJ3" s="53"/>
      <c r="IOK3" s="53"/>
      <c r="IOL3" s="53"/>
      <c r="IOM3" s="53"/>
      <c r="ION3" s="53"/>
      <c r="IOO3" s="53"/>
      <c r="IOP3" s="53"/>
      <c r="IOQ3" s="53"/>
      <c r="IOR3" s="53"/>
      <c r="IOS3" s="53"/>
      <c r="IOT3" s="53"/>
      <c r="IOU3" s="212"/>
      <c r="IOV3" s="46"/>
      <c r="IOW3" s="53"/>
      <c r="IOX3" s="53"/>
      <c r="IOY3" s="53"/>
      <c r="IOZ3" s="53"/>
      <c r="IPA3" s="53"/>
      <c r="IPB3" s="53"/>
      <c r="IPC3" s="53"/>
      <c r="IPD3" s="53"/>
      <c r="IPE3" s="53"/>
      <c r="IPF3" s="53"/>
      <c r="IPG3" s="53"/>
      <c r="IPH3" s="53"/>
      <c r="IPI3" s="53"/>
      <c r="IPJ3" s="212"/>
      <c r="IPK3" s="46"/>
      <c r="IPL3" s="53"/>
      <c r="IPM3" s="53"/>
      <c r="IPN3" s="53"/>
      <c r="IPO3" s="53"/>
      <c r="IPP3" s="53"/>
      <c r="IPQ3" s="53"/>
      <c r="IPR3" s="53"/>
      <c r="IPS3" s="53"/>
      <c r="IPT3" s="53"/>
      <c r="IPU3" s="53"/>
      <c r="IPV3" s="53"/>
      <c r="IPW3" s="53"/>
      <c r="IPX3" s="53"/>
      <c r="IPY3" s="212"/>
      <c r="IPZ3" s="46"/>
      <c r="IQA3" s="53"/>
      <c r="IQB3" s="53"/>
      <c r="IQC3" s="53"/>
      <c r="IQD3" s="53"/>
      <c r="IQE3" s="53"/>
      <c r="IQF3" s="53"/>
      <c r="IQG3" s="53"/>
      <c r="IQH3" s="53"/>
      <c r="IQI3" s="53"/>
      <c r="IQJ3" s="53"/>
      <c r="IQK3" s="53"/>
      <c r="IQL3" s="53"/>
      <c r="IQM3" s="53"/>
      <c r="IQN3" s="212"/>
      <c r="IQO3" s="46"/>
      <c r="IQP3" s="53"/>
      <c r="IQQ3" s="53"/>
      <c r="IQR3" s="53"/>
      <c r="IQS3" s="53"/>
      <c r="IQT3" s="53"/>
      <c r="IQU3" s="53"/>
      <c r="IQV3" s="53"/>
      <c r="IQW3" s="53"/>
      <c r="IQX3" s="53"/>
      <c r="IQY3" s="53"/>
      <c r="IQZ3" s="53"/>
      <c r="IRA3" s="53"/>
      <c r="IRB3" s="53"/>
      <c r="IRC3" s="212"/>
      <c r="IRD3" s="46"/>
      <c r="IRE3" s="53"/>
      <c r="IRF3" s="53"/>
      <c r="IRG3" s="53"/>
      <c r="IRH3" s="53"/>
      <c r="IRI3" s="53"/>
      <c r="IRJ3" s="53"/>
      <c r="IRK3" s="53"/>
      <c r="IRL3" s="53"/>
      <c r="IRM3" s="53"/>
      <c r="IRN3" s="53"/>
      <c r="IRO3" s="53"/>
      <c r="IRP3" s="53"/>
      <c r="IRQ3" s="53"/>
      <c r="IRR3" s="212"/>
      <c r="IRS3" s="46"/>
      <c r="IRT3" s="53"/>
      <c r="IRU3" s="53"/>
      <c r="IRV3" s="53"/>
      <c r="IRW3" s="53"/>
      <c r="IRX3" s="53"/>
      <c r="IRY3" s="53"/>
      <c r="IRZ3" s="53"/>
      <c r="ISA3" s="53"/>
      <c r="ISB3" s="53"/>
      <c r="ISC3" s="53"/>
      <c r="ISD3" s="53"/>
      <c r="ISE3" s="53"/>
      <c r="ISF3" s="53"/>
      <c r="ISG3" s="212"/>
      <c r="ISH3" s="46"/>
      <c r="ISI3" s="53"/>
      <c r="ISJ3" s="53"/>
      <c r="ISK3" s="53"/>
      <c r="ISL3" s="53"/>
      <c r="ISM3" s="53"/>
      <c r="ISN3" s="53"/>
      <c r="ISO3" s="53"/>
      <c r="ISP3" s="53"/>
      <c r="ISQ3" s="53"/>
      <c r="ISR3" s="53"/>
      <c r="ISS3" s="53"/>
      <c r="IST3" s="53"/>
      <c r="ISU3" s="53"/>
      <c r="ISV3" s="212"/>
      <c r="ISW3" s="46"/>
      <c r="ISX3" s="53"/>
      <c r="ISY3" s="53"/>
      <c r="ISZ3" s="53"/>
      <c r="ITA3" s="53"/>
      <c r="ITB3" s="53"/>
      <c r="ITC3" s="53"/>
      <c r="ITD3" s="53"/>
      <c r="ITE3" s="53"/>
      <c r="ITF3" s="53"/>
      <c r="ITG3" s="53"/>
      <c r="ITH3" s="53"/>
      <c r="ITI3" s="53"/>
      <c r="ITJ3" s="53"/>
      <c r="ITK3" s="212"/>
      <c r="ITL3" s="46"/>
      <c r="ITM3" s="53"/>
      <c r="ITN3" s="53"/>
      <c r="ITO3" s="53"/>
      <c r="ITP3" s="53"/>
      <c r="ITQ3" s="53"/>
      <c r="ITR3" s="53"/>
      <c r="ITS3" s="53"/>
      <c r="ITT3" s="53"/>
      <c r="ITU3" s="53"/>
      <c r="ITV3" s="53"/>
      <c r="ITW3" s="53"/>
      <c r="ITX3" s="53"/>
      <c r="ITY3" s="53"/>
      <c r="ITZ3" s="212"/>
      <c r="IUA3" s="46"/>
      <c r="IUB3" s="53"/>
      <c r="IUC3" s="53"/>
      <c r="IUD3" s="53"/>
      <c r="IUE3" s="53"/>
      <c r="IUF3" s="53"/>
      <c r="IUG3" s="53"/>
      <c r="IUH3" s="53"/>
      <c r="IUI3" s="53"/>
      <c r="IUJ3" s="53"/>
      <c r="IUK3" s="53"/>
      <c r="IUL3" s="53"/>
      <c r="IUM3" s="53"/>
      <c r="IUN3" s="53"/>
      <c r="IUO3" s="212"/>
      <c r="IUP3" s="46"/>
      <c r="IUQ3" s="53"/>
      <c r="IUR3" s="53"/>
      <c r="IUS3" s="53"/>
      <c r="IUT3" s="53"/>
      <c r="IUU3" s="53"/>
      <c r="IUV3" s="53"/>
      <c r="IUW3" s="53"/>
      <c r="IUX3" s="53"/>
      <c r="IUY3" s="53"/>
      <c r="IUZ3" s="53"/>
      <c r="IVA3" s="53"/>
      <c r="IVB3" s="53"/>
      <c r="IVC3" s="53"/>
      <c r="IVD3" s="212"/>
      <c r="IVE3" s="46"/>
      <c r="IVF3" s="53"/>
      <c r="IVG3" s="53"/>
      <c r="IVH3" s="53"/>
      <c r="IVI3" s="53"/>
      <c r="IVJ3" s="53"/>
      <c r="IVK3" s="53"/>
      <c r="IVL3" s="53"/>
      <c r="IVM3" s="53"/>
      <c r="IVN3" s="53"/>
      <c r="IVO3" s="53"/>
      <c r="IVP3" s="53"/>
      <c r="IVQ3" s="53"/>
      <c r="IVR3" s="53"/>
      <c r="IVS3" s="212"/>
      <c r="IVT3" s="46"/>
      <c r="IVU3" s="53"/>
      <c r="IVV3" s="53"/>
      <c r="IVW3" s="53"/>
      <c r="IVX3" s="53"/>
      <c r="IVY3" s="53"/>
      <c r="IVZ3" s="53"/>
      <c r="IWA3" s="53"/>
      <c r="IWB3" s="53"/>
      <c r="IWC3" s="53"/>
      <c r="IWD3" s="53"/>
      <c r="IWE3" s="53"/>
      <c r="IWF3" s="53"/>
      <c r="IWG3" s="53"/>
      <c r="IWH3" s="212"/>
      <c r="IWI3" s="46"/>
      <c r="IWJ3" s="53"/>
      <c r="IWK3" s="53"/>
      <c r="IWL3" s="53"/>
      <c r="IWM3" s="53"/>
      <c r="IWN3" s="53"/>
      <c r="IWO3" s="53"/>
      <c r="IWP3" s="53"/>
      <c r="IWQ3" s="53"/>
      <c r="IWR3" s="53"/>
      <c r="IWS3" s="53"/>
      <c r="IWT3" s="53"/>
      <c r="IWU3" s="53"/>
      <c r="IWV3" s="53"/>
      <c r="IWW3" s="212"/>
      <c r="IWX3" s="46"/>
      <c r="IWY3" s="53"/>
      <c r="IWZ3" s="53"/>
      <c r="IXA3" s="53"/>
      <c r="IXB3" s="53"/>
      <c r="IXC3" s="53"/>
      <c r="IXD3" s="53"/>
      <c r="IXE3" s="53"/>
      <c r="IXF3" s="53"/>
      <c r="IXG3" s="53"/>
      <c r="IXH3" s="53"/>
      <c r="IXI3" s="53"/>
      <c r="IXJ3" s="53"/>
      <c r="IXK3" s="53"/>
      <c r="IXL3" s="212"/>
      <c r="IXM3" s="46"/>
      <c r="IXN3" s="53"/>
      <c r="IXO3" s="53"/>
      <c r="IXP3" s="53"/>
      <c r="IXQ3" s="53"/>
      <c r="IXR3" s="53"/>
      <c r="IXS3" s="53"/>
      <c r="IXT3" s="53"/>
      <c r="IXU3" s="53"/>
      <c r="IXV3" s="53"/>
      <c r="IXW3" s="53"/>
      <c r="IXX3" s="53"/>
      <c r="IXY3" s="53"/>
      <c r="IXZ3" s="53"/>
      <c r="IYA3" s="212"/>
      <c r="IYB3" s="46"/>
      <c r="IYC3" s="53"/>
      <c r="IYD3" s="53"/>
      <c r="IYE3" s="53"/>
      <c r="IYF3" s="53"/>
      <c r="IYG3" s="53"/>
      <c r="IYH3" s="53"/>
      <c r="IYI3" s="53"/>
      <c r="IYJ3" s="53"/>
      <c r="IYK3" s="53"/>
      <c r="IYL3" s="53"/>
      <c r="IYM3" s="53"/>
      <c r="IYN3" s="53"/>
      <c r="IYO3" s="53"/>
      <c r="IYP3" s="212"/>
      <c r="IYQ3" s="46"/>
      <c r="IYR3" s="53"/>
      <c r="IYS3" s="53"/>
      <c r="IYT3" s="53"/>
      <c r="IYU3" s="53"/>
      <c r="IYV3" s="53"/>
      <c r="IYW3" s="53"/>
      <c r="IYX3" s="53"/>
      <c r="IYY3" s="53"/>
      <c r="IYZ3" s="53"/>
      <c r="IZA3" s="53"/>
      <c r="IZB3" s="53"/>
      <c r="IZC3" s="53"/>
      <c r="IZD3" s="53"/>
      <c r="IZE3" s="212"/>
      <c r="IZF3" s="46"/>
      <c r="IZG3" s="53"/>
      <c r="IZH3" s="53"/>
      <c r="IZI3" s="53"/>
      <c r="IZJ3" s="53"/>
      <c r="IZK3" s="53"/>
      <c r="IZL3" s="53"/>
      <c r="IZM3" s="53"/>
      <c r="IZN3" s="53"/>
      <c r="IZO3" s="53"/>
      <c r="IZP3" s="53"/>
      <c r="IZQ3" s="53"/>
      <c r="IZR3" s="53"/>
      <c r="IZS3" s="53"/>
      <c r="IZT3" s="212"/>
      <c r="IZU3" s="46"/>
      <c r="IZV3" s="53"/>
      <c r="IZW3" s="53"/>
      <c r="IZX3" s="53"/>
      <c r="IZY3" s="53"/>
      <c r="IZZ3" s="53"/>
      <c r="JAA3" s="53"/>
      <c r="JAB3" s="53"/>
      <c r="JAC3" s="53"/>
      <c r="JAD3" s="53"/>
      <c r="JAE3" s="53"/>
      <c r="JAF3" s="53"/>
      <c r="JAG3" s="53"/>
      <c r="JAH3" s="53"/>
      <c r="JAI3" s="212"/>
      <c r="JAJ3" s="46"/>
      <c r="JAK3" s="53"/>
      <c r="JAL3" s="53"/>
      <c r="JAM3" s="53"/>
      <c r="JAN3" s="53"/>
      <c r="JAO3" s="53"/>
      <c r="JAP3" s="53"/>
      <c r="JAQ3" s="53"/>
      <c r="JAR3" s="53"/>
      <c r="JAS3" s="53"/>
      <c r="JAT3" s="53"/>
      <c r="JAU3" s="53"/>
      <c r="JAV3" s="53"/>
      <c r="JAW3" s="53"/>
      <c r="JAX3" s="212"/>
      <c r="JAY3" s="46"/>
      <c r="JAZ3" s="53"/>
      <c r="JBA3" s="53"/>
      <c r="JBB3" s="53"/>
      <c r="JBC3" s="53"/>
      <c r="JBD3" s="53"/>
      <c r="JBE3" s="53"/>
      <c r="JBF3" s="53"/>
      <c r="JBG3" s="53"/>
      <c r="JBH3" s="53"/>
      <c r="JBI3" s="53"/>
      <c r="JBJ3" s="53"/>
      <c r="JBK3" s="53"/>
      <c r="JBL3" s="53"/>
      <c r="JBM3" s="212"/>
      <c r="JBN3" s="46"/>
      <c r="JBO3" s="53"/>
      <c r="JBP3" s="53"/>
      <c r="JBQ3" s="53"/>
      <c r="JBR3" s="53"/>
      <c r="JBS3" s="53"/>
      <c r="JBT3" s="53"/>
      <c r="JBU3" s="53"/>
      <c r="JBV3" s="53"/>
      <c r="JBW3" s="53"/>
      <c r="JBX3" s="53"/>
      <c r="JBY3" s="53"/>
      <c r="JBZ3" s="53"/>
      <c r="JCA3" s="53"/>
      <c r="JCB3" s="212"/>
      <c r="JCC3" s="46"/>
      <c r="JCD3" s="53"/>
      <c r="JCE3" s="53"/>
      <c r="JCF3" s="53"/>
      <c r="JCG3" s="53"/>
      <c r="JCH3" s="53"/>
      <c r="JCI3" s="53"/>
      <c r="JCJ3" s="53"/>
      <c r="JCK3" s="53"/>
      <c r="JCL3" s="53"/>
      <c r="JCM3" s="53"/>
      <c r="JCN3" s="53"/>
      <c r="JCO3" s="53"/>
      <c r="JCP3" s="53"/>
      <c r="JCQ3" s="212"/>
      <c r="JCR3" s="46"/>
      <c r="JCS3" s="53"/>
      <c r="JCT3" s="53"/>
      <c r="JCU3" s="53"/>
      <c r="JCV3" s="53"/>
      <c r="JCW3" s="53"/>
      <c r="JCX3" s="53"/>
      <c r="JCY3" s="53"/>
      <c r="JCZ3" s="53"/>
      <c r="JDA3" s="53"/>
      <c r="JDB3" s="53"/>
      <c r="JDC3" s="53"/>
      <c r="JDD3" s="53"/>
      <c r="JDE3" s="53"/>
      <c r="JDF3" s="212"/>
      <c r="JDG3" s="46"/>
      <c r="JDH3" s="53"/>
      <c r="JDI3" s="53"/>
      <c r="JDJ3" s="53"/>
      <c r="JDK3" s="53"/>
      <c r="JDL3" s="53"/>
      <c r="JDM3" s="53"/>
      <c r="JDN3" s="53"/>
      <c r="JDO3" s="53"/>
      <c r="JDP3" s="53"/>
      <c r="JDQ3" s="53"/>
      <c r="JDR3" s="53"/>
      <c r="JDS3" s="53"/>
      <c r="JDT3" s="53"/>
      <c r="JDU3" s="212"/>
      <c r="JDV3" s="46"/>
      <c r="JDW3" s="53"/>
      <c r="JDX3" s="53"/>
      <c r="JDY3" s="53"/>
      <c r="JDZ3" s="53"/>
      <c r="JEA3" s="53"/>
      <c r="JEB3" s="53"/>
      <c r="JEC3" s="53"/>
      <c r="JED3" s="53"/>
      <c r="JEE3" s="53"/>
      <c r="JEF3" s="53"/>
      <c r="JEG3" s="53"/>
      <c r="JEH3" s="53"/>
      <c r="JEI3" s="53"/>
      <c r="JEJ3" s="212"/>
      <c r="JEK3" s="46"/>
      <c r="JEL3" s="53"/>
      <c r="JEM3" s="53"/>
      <c r="JEN3" s="53"/>
      <c r="JEO3" s="53"/>
      <c r="JEP3" s="53"/>
      <c r="JEQ3" s="53"/>
      <c r="JER3" s="53"/>
      <c r="JES3" s="53"/>
      <c r="JET3" s="53"/>
      <c r="JEU3" s="53"/>
      <c r="JEV3" s="53"/>
      <c r="JEW3" s="53"/>
      <c r="JEX3" s="53"/>
      <c r="JEY3" s="212"/>
      <c r="JEZ3" s="46"/>
      <c r="JFA3" s="53"/>
      <c r="JFB3" s="53"/>
      <c r="JFC3" s="53"/>
      <c r="JFD3" s="53"/>
      <c r="JFE3" s="53"/>
      <c r="JFF3" s="53"/>
      <c r="JFG3" s="53"/>
      <c r="JFH3" s="53"/>
      <c r="JFI3" s="53"/>
      <c r="JFJ3" s="53"/>
      <c r="JFK3" s="53"/>
      <c r="JFL3" s="53"/>
      <c r="JFM3" s="53"/>
      <c r="JFN3" s="212"/>
      <c r="JFO3" s="46"/>
      <c r="JFP3" s="53"/>
      <c r="JFQ3" s="53"/>
      <c r="JFR3" s="53"/>
      <c r="JFS3" s="53"/>
      <c r="JFT3" s="53"/>
      <c r="JFU3" s="53"/>
      <c r="JFV3" s="53"/>
      <c r="JFW3" s="53"/>
      <c r="JFX3" s="53"/>
      <c r="JFY3" s="53"/>
      <c r="JFZ3" s="53"/>
      <c r="JGA3" s="53"/>
      <c r="JGB3" s="53"/>
      <c r="JGC3" s="212"/>
      <c r="JGD3" s="46"/>
      <c r="JGE3" s="53"/>
      <c r="JGF3" s="53"/>
      <c r="JGG3" s="53"/>
      <c r="JGH3" s="53"/>
      <c r="JGI3" s="53"/>
      <c r="JGJ3" s="53"/>
      <c r="JGK3" s="53"/>
      <c r="JGL3" s="53"/>
      <c r="JGM3" s="53"/>
      <c r="JGN3" s="53"/>
      <c r="JGO3" s="53"/>
      <c r="JGP3" s="53"/>
      <c r="JGQ3" s="53"/>
      <c r="JGR3" s="212"/>
      <c r="JGS3" s="46"/>
      <c r="JGT3" s="53"/>
      <c r="JGU3" s="53"/>
      <c r="JGV3" s="53"/>
      <c r="JGW3" s="53"/>
      <c r="JGX3" s="53"/>
      <c r="JGY3" s="53"/>
      <c r="JGZ3" s="53"/>
      <c r="JHA3" s="53"/>
      <c r="JHB3" s="53"/>
      <c r="JHC3" s="53"/>
      <c r="JHD3" s="53"/>
      <c r="JHE3" s="53"/>
      <c r="JHF3" s="53"/>
      <c r="JHG3" s="212"/>
      <c r="JHH3" s="46"/>
      <c r="JHI3" s="53"/>
      <c r="JHJ3" s="53"/>
      <c r="JHK3" s="53"/>
      <c r="JHL3" s="53"/>
      <c r="JHM3" s="53"/>
      <c r="JHN3" s="53"/>
      <c r="JHO3" s="53"/>
      <c r="JHP3" s="53"/>
      <c r="JHQ3" s="53"/>
      <c r="JHR3" s="53"/>
      <c r="JHS3" s="53"/>
      <c r="JHT3" s="53"/>
      <c r="JHU3" s="53"/>
      <c r="JHV3" s="212"/>
      <c r="JHW3" s="46"/>
      <c r="JHX3" s="53"/>
      <c r="JHY3" s="53"/>
      <c r="JHZ3" s="53"/>
      <c r="JIA3" s="53"/>
      <c r="JIB3" s="53"/>
      <c r="JIC3" s="53"/>
      <c r="JID3" s="53"/>
      <c r="JIE3" s="53"/>
      <c r="JIF3" s="53"/>
      <c r="JIG3" s="53"/>
      <c r="JIH3" s="53"/>
      <c r="JII3" s="53"/>
      <c r="JIJ3" s="53"/>
      <c r="JIK3" s="212"/>
      <c r="JIL3" s="46"/>
      <c r="JIM3" s="53"/>
      <c r="JIN3" s="53"/>
      <c r="JIO3" s="53"/>
      <c r="JIP3" s="53"/>
      <c r="JIQ3" s="53"/>
      <c r="JIR3" s="53"/>
      <c r="JIS3" s="53"/>
      <c r="JIT3" s="53"/>
      <c r="JIU3" s="53"/>
      <c r="JIV3" s="53"/>
      <c r="JIW3" s="53"/>
      <c r="JIX3" s="53"/>
      <c r="JIY3" s="53"/>
      <c r="JIZ3" s="212"/>
      <c r="JJA3" s="46"/>
      <c r="JJB3" s="53"/>
      <c r="JJC3" s="53"/>
      <c r="JJD3" s="53"/>
      <c r="JJE3" s="53"/>
      <c r="JJF3" s="53"/>
      <c r="JJG3" s="53"/>
      <c r="JJH3" s="53"/>
      <c r="JJI3" s="53"/>
      <c r="JJJ3" s="53"/>
      <c r="JJK3" s="53"/>
      <c r="JJL3" s="53"/>
      <c r="JJM3" s="53"/>
      <c r="JJN3" s="53"/>
      <c r="JJO3" s="212"/>
      <c r="JJP3" s="46"/>
      <c r="JJQ3" s="53"/>
      <c r="JJR3" s="53"/>
      <c r="JJS3" s="53"/>
      <c r="JJT3" s="53"/>
      <c r="JJU3" s="53"/>
      <c r="JJV3" s="53"/>
      <c r="JJW3" s="53"/>
      <c r="JJX3" s="53"/>
      <c r="JJY3" s="53"/>
      <c r="JJZ3" s="53"/>
      <c r="JKA3" s="53"/>
      <c r="JKB3" s="53"/>
      <c r="JKC3" s="53"/>
      <c r="JKD3" s="212"/>
      <c r="JKE3" s="46"/>
      <c r="JKF3" s="53"/>
      <c r="JKG3" s="53"/>
      <c r="JKH3" s="53"/>
      <c r="JKI3" s="53"/>
      <c r="JKJ3" s="53"/>
      <c r="JKK3" s="53"/>
      <c r="JKL3" s="53"/>
      <c r="JKM3" s="53"/>
      <c r="JKN3" s="53"/>
      <c r="JKO3" s="53"/>
      <c r="JKP3" s="53"/>
      <c r="JKQ3" s="53"/>
      <c r="JKR3" s="53"/>
      <c r="JKS3" s="212"/>
      <c r="JKT3" s="46"/>
      <c r="JKU3" s="53"/>
      <c r="JKV3" s="53"/>
      <c r="JKW3" s="53"/>
      <c r="JKX3" s="53"/>
      <c r="JKY3" s="53"/>
      <c r="JKZ3" s="53"/>
      <c r="JLA3" s="53"/>
      <c r="JLB3" s="53"/>
      <c r="JLC3" s="53"/>
      <c r="JLD3" s="53"/>
      <c r="JLE3" s="53"/>
      <c r="JLF3" s="53"/>
      <c r="JLG3" s="53"/>
      <c r="JLH3" s="212"/>
      <c r="JLI3" s="46"/>
      <c r="JLJ3" s="53"/>
      <c r="JLK3" s="53"/>
      <c r="JLL3" s="53"/>
      <c r="JLM3" s="53"/>
      <c r="JLN3" s="53"/>
      <c r="JLO3" s="53"/>
      <c r="JLP3" s="53"/>
      <c r="JLQ3" s="53"/>
      <c r="JLR3" s="53"/>
      <c r="JLS3" s="53"/>
      <c r="JLT3" s="53"/>
      <c r="JLU3" s="53"/>
      <c r="JLV3" s="53"/>
      <c r="JLW3" s="212"/>
      <c r="JLX3" s="46"/>
      <c r="JLY3" s="53"/>
      <c r="JLZ3" s="53"/>
      <c r="JMA3" s="53"/>
      <c r="JMB3" s="53"/>
      <c r="JMC3" s="53"/>
      <c r="JMD3" s="53"/>
      <c r="JME3" s="53"/>
      <c r="JMF3" s="53"/>
      <c r="JMG3" s="53"/>
      <c r="JMH3" s="53"/>
      <c r="JMI3" s="53"/>
      <c r="JMJ3" s="53"/>
      <c r="JMK3" s="53"/>
      <c r="JML3" s="212"/>
      <c r="JMM3" s="46"/>
      <c r="JMN3" s="53"/>
      <c r="JMO3" s="53"/>
      <c r="JMP3" s="53"/>
      <c r="JMQ3" s="53"/>
      <c r="JMR3" s="53"/>
      <c r="JMS3" s="53"/>
      <c r="JMT3" s="53"/>
      <c r="JMU3" s="53"/>
      <c r="JMV3" s="53"/>
      <c r="JMW3" s="53"/>
      <c r="JMX3" s="53"/>
      <c r="JMY3" s="53"/>
      <c r="JMZ3" s="53"/>
      <c r="JNA3" s="212"/>
      <c r="JNB3" s="46"/>
      <c r="JNC3" s="53"/>
      <c r="JND3" s="53"/>
      <c r="JNE3" s="53"/>
      <c r="JNF3" s="53"/>
      <c r="JNG3" s="53"/>
      <c r="JNH3" s="53"/>
      <c r="JNI3" s="53"/>
      <c r="JNJ3" s="53"/>
      <c r="JNK3" s="53"/>
      <c r="JNL3" s="53"/>
      <c r="JNM3" s="53"/>
      <c r="JNN3" s="53"/>
      <c r="JNO3" s="53"/>
      <c r="JNP3" s="212"/>
      <c r="JNQ3" s="46"/>
      <c r="JNR3" s="53"/>
      <c r="JNS3" s="53"/>
      <c r="JNT3" s="53"/>
      <c r="JNU3" s="53"/>
      <c r="JNV3" s="53"/>
      <c r="JNW3" s="53"/>
      <c r="JNX3" s="53"/>
      <c r="JNY3" s="53"/>
      <c r="JNZ3" s="53"/>
      <c r="JOA3" s="53"/>
      <c r="JOB3" s="53"/>
      <c r="JOC3" s="53"/>
      <c r="JOD3" s="53"/>
      <c r="JOE3" s="212"/>
      <c r="JOF3" s="46"/>
      <c r="JOG3" s="53"/>
      <c r="JOH3" s="53"/>
      <c r="JOI3" s="53"/>
      <c r="JOJ3" s="53"/>
      <c r="JOK3" s="53"/>
      <c r="JOL3" s="53"/>
      <c r="JOM3" s="53"/>
      <c r="JON3" s="53"/>
      <c r="JOO3" s="53"/>
      <c r="JOP3" s="53"/>
      <c r="JOQ3" s="53"/>
      <c r="JOR3" s="53"/>
      <c r="JOS3" s="53"/>
      <c r="JOT3" s="212"/>
      <c r="JOU3" s="46"/>
      <c r="JOV3" s="53"/>
      <c r="JOW3" s="53"/>
      <c r="JOX3" s="53"/>
      <c r="JOY3" s="53"/>
      <c r="JOZ3" s="53"/>
      <c r="JPA3" s="53"/>
      <c r="JPB3" s="53"/>
      <c r="JPC3" s="53"/>
      <c r="JPD3" s="53"/>
      <c r="JPE3" s="53"/>
      <c r="JPF3" s="53"/>
      <c r="JPG3" s="53"/>
      <c r="JPH3" s="53"/>
      <c r="JPI3" s="212"/>
      <c r="JPJ3" s="46"/>
      <c r="JPK3" s="53"/>
      <c r="JPL3" s="53"/>
      <c r="JPM3" s="53"/>
      <c r="JPN3" s="53"/>
      <c r="JPO3" s="53"/>
      <c r="JPP3" s="53"/>
      <c r="JPQ3" s="53"/>
      <c r="JPR3" s="53"/>
      <c r="JPS3" s="53"/>
      <c r="JPT3" s="53"/>
      <c r="JPU3" s="53"/>
      <c r="JPV3" s="53"/>
      <c r="JPW3" s="53"/>
      <c r="JPX3" s="212"/>
      <c r="JPY3" s="46"/>
      <c r="JPZ3" s="53"/>
      <c r="JQA3" s="53"/>
      <c r="JQB3" s="53"/>
      <c r="JQC3" s="53"/>
      <c r="JQD3" s="53"/>
      <c r="JQE3" s="53"/>
      <c r="JQF3" s="53"/>
      <c r="JQG3" s="53"/>
      <c r="JQH3" s="53"/>
      <c r="JQI3" s="53"/>
      <c r="JQJ3" s="53"/>
      <c r="JQK3" s="53"/>
      <c r="JQL3" s="53"/>
      <c r="JQM3" s="212"/>
      <c r="JQN3" s="46"/>
      <c r="JQO3" s="53"/>
      <c r="JQP3" s="53"/>
      <c r="JQQ3" s="53"/>
      <c r="JQR3" s="53"/>
      <c r="JQS3" s="53"/>
      <c r="JQT3" s="53"/>
      <c r="JQU3" s="53"/>
      <c r="JQV3" s="53"/>
      <c r="JQW3" s="53"/>
      <c r="JQX3" s="53"/>
      <c r="JQY3" s="53"/>
      <c r="JQZ3" s="53"/>
      <c r="JRA3" s="53"/>
      <c r="JRB3" s="212"/>
      <c r="JRC3" s="46"/>
      <c r="JRD3" s="53"/>
      <c r="JRE3" s="53"/>
      <c r="JRF3" s="53"/>
      <c r="JRG3" s="53"/>
      <c r="JRH3" s="53"/>
      <c r="JRI3" s="53"/>
      <c r="JRJ3" s="53"/>
      <c r="JRK3" s="53"/>
      <c r="JRL3" s="53"/>
      <c r="JRM3" s="53"/>
      <c r="JRN3" s="53"/>
      <c r="JRO3" s="53"/>
      <c r="JRP3" s="53"/>
      <c r="JRQ3" s="212"/>
      <c r="JRR3" s="46"/>
      <c r="JRS3" s="53"/>
      <c r="JRT3" s="53"/>
      <c r="JRU3" s="53"/>
      <c r="JRV3" s="53"/>
      <c r="JRW3" s="53"/>
      <c r="JRX3" s="53"/>
      <c r="JRY3" s="53"/>
      <c r="JRZ3" s="53"/>
      <c r="JSA3" s="53"/>
      <c r="JSB3" s="53"/>
      <c r="JSC3" s="53"/>
      <c r="JSD3" s="53"/>
      <c r="JSE3" s="53"/>
      <c r="JSF3" s="212"/>
      <c r="JSG3" s="46"/>
      <c r="JSH3" s="53"/>
      <c r="JSI3" s="53"/>
      <c r="JSJ3" s="53"/>
      <c r="JSK3" s="53"/>
      <c r="JSL3" s="53"/>
      <c r="JSM3" s="53"/>
      <c r="JSN3" s="53"/>
      <c r="JSO3" s="53"/>
      <c r="JSP3" s="53"/>
      <c r="JSQ3" s="53"/>
      <c r="JSR3" s="53"/>
      <c r="JSS3" s="53"/>
      <c r="JST3" s="53"/>
      <c r="JSU3" s="212"/>
      <c r="JSV3" s="46"/>
      <c r="JSW3" s="53"/>
      <c r="JSX3" s="53"/>
      <c r="JSY3" s="53"/>
      <c r="JSZ3" s="53"/>
      <c r="JTA3" s="53"/>
      <c r="JTB3" s="53"/>
      <c r="JTC3" s="53"/>
      <c r="JTD3" s="53"/>
      <c r="JTE3" s="53"/>
      <c r="JTF3" s="53"/>
      <c r="JTG3" s="53"/>
      <c r="JTH3" s="53"/>
      <c r="JTI3" s="53"/>
      <c r="JTJ3" s="212"/>
      <c r="JTK3" s="46"/>
      <c r="JTL3" s="53"/>
      <c r="JTM3" s="53"/>
      <c r="JTN3" s="53"/>
      <c r="JTO3" s="53"/>
      <c r="JTP3" s="53"/>
      <c r="JTQ3" s="53"/>
      <c r="JTR3" s="53"/>
      <c r="JTS3" s="53"/>
      <c r="JTT3" s="53"/>
      <c r="JTU3" s="53"/>
      <c r="JTV3" s="53"/>
      <c r="JTW3" s="53"/>
      <c r="JTX3" s="53"/>
      <c r="JTY3" s="212"/>
      <c r="JTZ3" s="46"/>
      <c r="JUA3" s="53"/>
      <c r="JUB3" s="53"/>
      <c r="JUC3" s="53"/>
      <c r="JUD3" s="53"/>
      <c r="JUE3" s="53"/>
      <c r="JUF3" s="53"/>
      <c r="JUG3" s="53"/>
      <c r="JUH3" s="53"/>
      <c r="JUI3" s="53"/>
      <c r="JUJ3" s="53"/>
      <c r="JUK3" s="53"/>
      <c r="JUL3" s="53"/>
      <c r="JUM3" s="53"/>
      <c r="JUN3" s="212"/>
      <c r="JUO3" s="46"/>
      <c r="JUP3" s="53"/>
      <c r="JUQ3" s="53"/>
      <c r="JUR3" s="53"/>
      <c r="JUS3" s="53"/>
      <c r="JUT3" s="53"/>
      <c r="JUU3" s="53"/>
      <c r="JUV3" s="53"/>
      <c r="JUW3" s="53"/>
      <c r="JUX3" s="53"/>
      <c r="JUY3" s="53"/>
      <c r="JUZ3" s="53"/>
      <c r="JVA3" s="53"/>
      <c r="JVB3" s="53"/>
      <c r="JVC3" s="212"/>
      <c r="JVD3" s="46"/>
      <c r="JVE3" s="53"/>
      <c r="JVF3" s="53"/>
      <c r="JVG3" s="53"/>
      <c r="JVH3" s="53"/>
      <c r="JVI3" s="53"/>
      <c r="JVJ3" s="53"/>
      <c r="JVK3" s="53"/>
      <c r="JVL3" s="53"/>
      <c r="JVM3" s="53"/>
      <c r="JVN3" s="53"/>
      <c r="JVO3" s="53"/>
      <c r="JVP3" s="53"/>
      <c r="JVQ3" s="53"/>
      <c r="JVR3" s="212"/>
      <c r="JVS3" s="46"/>
      <c r="JVT3" s="53"/>
      <c r="JVU3" s="53"/>
      <c r="JVV3" s="53"/>
      <c r="JVW3" s="53"/>
      <c r="JVX3" s="53"/>
      <c r="JVY3" s="53"/>
      <c r="JVZ3" s="53"/>
      <c r="JWA3" s="53"/>
      <c r="JWB3" s="53"/>
      <c r="JWC3" s="53"/>
      <c r="JWD3" s="53"/>
      <c r="JWE3" s="53"/>
      <c r="JWF3" s="53"/>
      <c r="JWG3" s="212"/>
      <c r="JWH3" s="46"/>
      <c r="JWI3" s="53"/>
      <c r="JWJ3" s="53"/>
      <c r="JWK3" s="53"/>
      <c r="JWL3" s="53"/>
      <c r="JWM3" s="53"/>
      <c r="JWN3" s="53"/>
      <c r="JWO3" s="53"/>
      <c r="JWP3" s="53"/>
      <c r="JWQ3" s="53"/>
      <c r="JWR3" s="53"/>
      <c r="JWS3" s="53"/>
      <c r="JWT3" s="53"/>
      <c r="JWU3" s="53"/>
      <c r="JWV3" s="212"/>
      <c r="JWW3" s="46"/>
      <c r="JWX3" s="53"/>
      <c r="JWY3" s="53"/>
      <c r="JWZ3" s="53"/>
      <c r="JXA3" s="53"/>
      <c r="JXB3" s="53"/>
      <c r="JXC3" s="53"/>
      <c r="JXD3" s="53"/>
      <c r="JXE3" s="53"/>
      <c r="JXF3" s="53"/>
      <c r="JXG3" s="53"/>
      <c r="JXH3" s="53"/>
      <c r="JXI3" s="53"/>
      <c r="JXJ3" s="53"/>
      <c r="JXK3" s="212"/>
      <c r="JXL3" s="46"/>
      <c r="JXM3" s="53"/>
      <c r="JXN3" s="53"/>
      <c r="JXO3" s="53"/>
      <c r="JXP3" s="53"/>
      <c r="JXQ3" s="53"/>
      <c r="JXR3" s="53"/>
      <c r="JXS3" s="53"/>
      <c r="JXT3" s="53"/>
      <c r="JXU3" s="53"/>
      <c r="JXV3" s="53"/>
      <c r="JXW3" s="53"/>
      <c r="JXX3" s="53"/>
      <c r="JXY3" s="53"/>
      <c r="JXZ3" s="212"/>
      <c r="JYA3" s="46"/>
      <c r="JYB3" s="53"/>
      <c r="JYC3" s="53"/>
      <c r="JYD3" s="53"/>
      <c r="JYE3" s="53"/>
      <c r="JYF3" s="53"/>
      <c r="JYG3" s="53"/>
      <c r="JYH3" s="53"/>
      <c r="JYI3" s="53"/>
      <c r="JYJ3" s="53"/>
      <c r="JYK3" s="53"/>
      <c r="JYL3" s="53"/>
      <c r="JYM3" s="53"/>
      <c r="JYN3" s="53"/>
      <c r="JYO3" s="212"/>
      <c r="JYP3" s="46"/>
      <c r="JYQ3" s="53"/>
      <c r="JYR3" s="53"/>
      <c r="JYS3" s="53"/>
      <c r="JYT3" s="53"/>
      <c r="JYU3" s="53"/>
      <c r="JYV3" s="53"/>
      <c r="JYW3" s="53"/>
      <c r="JYX3" s="53"/>
      <c r="JYY3" s="53"/>
      <c r="JYZ3" s="53"/>
      <c r="JZA3" s="53"/>
      <c r="JZB3" s="53"/>
      <c r="JZC3" s="53"/>
      <c r="JZD3" s="212"/>
      <c r="JZE3" s="46"/>
      <c r="JZF3" s="53"/>
      <c r="JZG3" s="53"/>
      <c r="JZH3" s="53"/>
      <c r="JZI3" s="53"/>
      <c r="JZJ3" s="53"/>
      <c r="JZK3" s="53"/>
      <c r="JZL3" s="53"/>
      <c r="JZM3" s="53"/>
      <c r="JZN3" s="53"/>
      <c r="JZO3" s="53"/>
      <c r="JZP3" s="53"/>
      <c r="JZQ3" s="53"/>
      <c r="JZR3" s="53"/>
      <c r="JZS3" s="212"/>
      <c r="JZT3" s="46"/>
      <c r="JZU3" s="53"/>
      <c r="JZV3" s="53"/>
      <c r="JZW3" s="53"/>
      <c r="JZX3" s="53"/>
      <c r="JZY3" s="53"/>
      <c r="JZZ3" s="53"/>
      <c r="KAA3" s="53"/>
      <c r="KAB3" s="53"/>
      <c r="KAC3" s="53"/>
      <c r="KAD3" s="53"/>
      <c r="KAE3" s="53"/>
      <c r="KAF3" s="53"/>
      <c r="KAG3" s="53"/>
      <c r="KAH3" s="212"/>
      <c r="KAI3" s="46"/>
      <c r="KAJ3" s="53"/>
      <c r="KAK3" s="53"/>
      <c r="KAL3" s="53"/>
      <c r="KAM3" s="53"/>
      <c r="KAN3" s="53"/>
      <c r="KAO3" s="53"/>
      <c r="KAP3" s="53"/>
      <c r="KAQ3" s="53"/>
      <c r="KAR3" s="53"/>
      <c r="KAS3" s="53"/>
      <c r="KAT3" s="53"/>
      <c r="KAU3" s="53"/>
      <c r="KAV3" s="53"/>
      <c r="KAW3" s="212"/>
      <c r="KAX3" s="46"/>
      <c r="KAY3" s="53"/>
      <c r="KAZ3" s="53"/>
      <c r="KBA3" s="53"/>
      <c r="KBB3" s="53"/>
      <c r="KBC3" s="53"/>
      <c r="KBD3" s="53"/>
      <c r="KBE3" s="53"/>
      <c r="KBF3" s="53"/>
      <c r="KBG3" s="53"/>
      <c r="KBH3" s="53"/>
      <c r="KBI3" s="53"/>
      <c r="KBJ3" s="53"/>
      <c r="KBK3" s="53"/>
      <c r="KBL3" s="212"/>
      <c r="KBM3" s="46"/>
      <c r="KBN3" s="53"/>
      <c r="KBO3" s="53"/>
      <c r="KBP3" s="53"/>
      <c r="KBQ3" s="53"/>
      <c r="KBR3" s="53"/>
      <c r="KBS3" s="53"/>
      <c r="KBT3" s="53"/>
      <c r="KBU3" s="53"/>
      <c r="KBV3" s="53"/>
      <c r="KBW3" s="53"/>
      <c r="KBX3" s="53"/>
      <c r="KBY3" s="53"/>
      <c r="KBZ3" s="53"/>
      <c r="KCA3" s="212"/>
      <c r="KCB3" s="46"/>
      <c r="KCC3" s="53"/>
      <c r="KCD3" s="53"/>
      <c r="KCE3" s="53"/>
      <c r="KCF3" s="53"/>
      <c r="KCG3" s="53"/>
      <c r="KCH3" s="53"/>
      <c r="KCI3" s="53"/>
      <c r="KCJ3" s="53"/>
      <c r="KCK3" s="53"/>
      <c r="KCL3" s="53"/>
      <c r="KCM3" s="53"/>
      <c r="KCN3" s="53"/>
      <c r="KCO3" s="53"/>
      <c r="KCP3" s="212"/>
      <c r="KCQ3" s="46"/>
      <c r="KCR3" s="53"/>
      <c r="KCS3" s="53"/>
      <c r="KCT3" s="53"/>
      <c r="KCU3" s="53"/>
      <c r="KCV3" s="53"/>
      <c r="KCW3" s="53"/>
      <c r="KCX3" s="53"/>
      <c r="KCY3" s="53"/>
      <c r="KCZ3" s="53"/>
      <c r="KDA3" s="53"/>
      <c r="KDB3" s="53"/>
      <c r="KDC3" s="53"/>
      <c r="KDD3" s="53"/>
      <c r="KDE3" s="212"/>
      <c r="KDF3" s="46"/>
      <c r="KDG3" s="53"/>
      <c r="KDH3" s="53"/>
      <c r="KDI3" s="53"/>
      <c r="KDJ3" s="53"/>
      <c r="KDK3" s="53"/>
      <c r="KDL3" s="53"/>
      <c r="KDM3" s="53"/>
      <c r="KDN3" s="53"/>
      <c r="KDO3" s="53"/>
      <c r="KDP3" s="53"/>
      <c r="KDQ3" s="53"/>
      <c r="KDR3" s="53"/>
      <c r="KDS3" s="53"/>
      <c r="KDT3" s="212"/>
      <c r="KDU3" s="46"/>
      <c r="KDV3" s="53"/>
      <c r="KDW3" s="53"/>
      <c r="KDX3" s="53"/>
      <c r="KDY3" s="53"/>
      <c r="KDZ3" s="53"/>
      <c r="KEA3" s="53"/>
      <c r="KEB3" s="53"/>
      <c r="KEC3" s="53"/>
      <c r="KED3" s="53"/>
      <c r="KEE3" s="53"/>
      <c r="KEF3" s="53"/>
      <c r="KEG3" s="53"/>
      <c r="KEH3" s="53"/>
      <c r="KEI3" s="212"/>
      <c r="KEJ3" s="46"/>
      <c r="KEK3" s="53"/>
      <c r="KEL3" s="53"/>
      <c r="KEM3" s="53"/>
      <c r="KEN3" s="53"/>
      <c r="KEO3" s="53"/>
      <c r="KEP3" s="53"/>
      <c r="KEQ3" s="53"/>
      <c r="KER3" s="53"/>
      <c r="KES3" s="53"/>
      <c r="KET3" s="53"/>
      <c r="KEU3" s="53"/>
      <c r="KEV3" s="53"/>
      <c r="KEW3" s="53"/>
      <c r="KEX3" s="212"/>
      <c r="KEY3" s="46"/>
      <c r="KEZ3" s="53"/>
      <c r="KFA3" s="53"/>
      <c r="KFB3" s="53"/>
      <c r="KFC3" s="53"/>
      <c r="KFD3" s="53"/>
      <c r="KFE3" s="53"/>
      <c r="KFF3" s="53"/>
      <c r="KFG3" s="53"/>
      <c r="KFH3" s="53"/>
      <c r="KFI3" s="53"/>
      <c r="KFJ3" s="53"/>
      <c r="KFK3" s="53"/>
      <c r="KFL3" s="53"/>
      <c r="KFM3" s="212"/>
      <c r="KFN3" s="46"/>
      <c r="KFO3" s="53"/>
      <c r="KFP3" s="53"/>
      <c r="KFQ3" s="53"/>
      <c r="KFR3" s="53"/>
      <c r="KFS3" s="53"/>
      <c r="KFT3" s="53"/>
      <c r="KFU3" s="53"/>
      <c r="KFV3" s="53"/>
      <c r="KFW3" s="53"/>
      <c r="KFX3" s="53"/>
      <c r="KFY3" s="53"/>
      <c r="KFZ3" s="53"/>
      <c r="KGA3" s="53"/>
      <c r="KGB3" s="212"/>
      <c r="KGC3" s="46"/>
      <c r="KGD3" s="53"/>
      <c r="KGE3" s="53"/>
      <c r="KGF3" s="53"/>
      <c r="KGG3" s="53"/>
      <c r="KGH3" s="53"/>
      <c r="KGI3" s="53"/>
      <c r="KGJ3" s="53"/>
      <c r="KGK3" s="53"/>
      <c r="KGL3" s="53"/>
      <c r="KGM3" s="53"/>
      <c r="KGN3" s="53"/>
      <c r="KGO3" s="53"/>
      <c r="KGP3" s="53"/>
      <c r="KGQ3" s="212"/>
      <c r="KGR3" s="46"/>
      <c r="KGS3" s="53"/>
      <c r="KGT3" s="53"/>
      <c r="KGU3" s="53"/>
      <c r="KGV3" s="53"/>
      <c r="KGW3" s="53"/>
      <c r="KGX3" s="53"/>
      <c r="KGY3" s="53"/>
      <c r="KGZ3" s="53"/>
      <c r="KHA3" s="53"/>
      <c r="KHB3" s="53"/>
      <c r="KHC3" s="53"/>
      <c r="KHD3" s="53"/>
      <c r="KHE3" s="53"/>
      <c r="KHF3" s="212"/>
      <c r="KHG3" s="46"/>
      <c r="KHH3" s="53"/>
      <c r="KHI3" s="53"/>
      <c r="KHJ3" s="53"/>
      <c r="KHK3" s="53"/>
      <c r="KHL3" s="53"/>
      <c r="KHM3" s="53"/>
      <c r="KHN3" s="53"/>
      <c r="KHO3" s="53"/>
      <c r="KHP3" s="53"/>
      <c r="KHQ3" s="53"/>
      <c r="KHR3" s="53"/>
      <c r="KHS3" s="53"/>
      <c r="KHT3" s="53"/>
      <c r="KHU3" s="212"/>
      <c r="KHV3" s="46"/>
      <c r="KHW3" s="53"/>
      <c r="KHX3" s="53"/>
      <c r="KHY3" s="53"/>
      <c r="KHZ3" s="53"/>
      <c r="KIA3" s="53"/>
      <c r="KIB3" s="53"/>
      <c r="KIC3" s="53"/>
      <c r="KID3" s="53"/>
      <c r="KIE3" s="53"/>
      <c r="KIF3" s="53"/>
      <c r="KIG3" s="53"/>
      <c r="KIH3" s="53"/>
      <c r="KII3" s="53"/>
      <c r="KIJ3" s="212"/>
      <c r="KIK3" s="46"/>
      <c r="KIL3" s="53"/>
      <c r="KIM3" s="53"/>
      <c r="KIN3" s="53"/>
      <c r="KIO3" s="53"/>
      <c r="KIP3" s="53"/>
      <c r="KIQ3" s="53"/>
      <c r="KIR3" s="53"/>
      <c r="KIS3" s="53"/>
      <c r="KIT3" s="53"/>
      <c r="KIU3" s="53"/>
      <c r="KIV3" s="53"/>
      <c r="KIW3" s="53"/>
      <c r="KIX3" s="53"/>
      <c r="KIY3" s="212"/>
      <c r="KIZ3" s="46"/>
      <c r="KJA3" s="53"/>
      <c r="KJB3" s="53"/>
      <c r="KJC3" s="53"/>
      <c r="KJD3" s="53"/>
      <c r="KJE3" s="53"/>
      <c r="KJF3" s="53"/>
      <c r="KJG3" s="53"/>
      <c r="KJH3" s="53"/>
      <c r="KJI3" s="53"/>
      <c r="KJJ3" s="53"/>
      <c r="KJK3" s="53"/>
      <c r="KJL3" s="53"/>
      <c r="KJM3" s="53"/>
      <c r="KJN3" s="212"/>
      <c r="KJO3" s="46"/>
      <c r="KJP3" s="53"/>
      <c r="KJQ3" s="53"/>
      <c r="KJR3" s="53"/>
      <c r="KJS3" s="53"/>
      <c r="KJT3" s="53"/>
      <c r="KJU3" s="53"/>
      <c r="KJV3" s="53"/>
      <c r="KJW3" s="53"/>
      <c r="KJX3" s="53"/>
      <c r="KJY3" s="53"/>
      <c r="KJZ3" s="53"/>
      <c r="KKA3" s="53"/>
      <c r="KKB3" s="53"/>
      <c r="KKC3" s="212"/>
      <c r="KKD3" s="46"/>
      <c r="KKE3" s="53"/>
      <c r="KKF3" s="53"/>
      <c r="KKG3" s="53"/>
      <c r="KKH3" s="53"/>
      <c r="KKI3" s="53"/>
      <c r="KKJ3" s="53"/>
      <c r="KKK3" s="53"/>
      <c r="KKL3" s="53"/>
      <c r="KKM3" s="53"/>
      <c r="KKN3" s="53"/>
      <c r="KKO3" s="53"/>
      <c r="KKP3" s="53"/>
      <c r="KKQ3" s="53"/>
      <c r="KKR3" s="212"/>
      <c r="KKS3" s="46"/>
      <c r="KKT3" s="53"/>
      <c r="KKU3" s="53"/>
      <c r="KKV3" s="53"/>
      <c r="KKW3" s="53"/>
      <c r="KKX3" s="53"/>
      <c r="KKY3" s="53"/>
      <c r="KKZ3" s="53"/>
      <c r="KLA3" s="53"/>
      <c r="KLB3" s="53"/>
      <c r="KLC3" s="53"/>
      <c r="KLD3" s="53"/>
      <c r="KLE3" s="53"/>
      <c r="KLF3" s="53"/>
      <c r="KLG3" s="212"/>
      <c r="KLH3" s="46"/>
      <c r="KLI3" s="53"/>
      <c r="KLJ3" s="53"/>
      <c r="KLK3" s="53"/>
      <c r="KLL3" s="53"/>
      <c r="KLM3" s="53"/>
      <c r="KLN3" s="53"/>
      <c r="KLO3" s="53"/>
      <c r="KLP3" s="53"/>
      <c r="KLQ3" s="53"/>
      <c r="KLR3" s="53"/>
      <c r="KLS3" s="53"/>
      <c r="KLT3" s="53"/>
      <c r="KLU3" s="53"/>
      <c r="KLV3" s="212"/>
      <c r="KLW3" s="46"/>
      <c r="KLX3" s="53"/>
      <c r="KLY3" s="53"/>
      <c r="KLZ3" s="53"/>
      <c r="KMA3" s="53"/>
      <c r="KMB3" s="53"/>
      <c r="KMC3" s="53"/>
      <c r="KMD3" s="53"/>
      <c r="KME3" s="53"/>
      <c r="KMF3" s="53"/>
      <c r="KMG3" s="53"/>
      <c r="KMH3" s="53"/>
      <c r="KMI3" s="53"/>
      <c r="KMJ3" s="53"/>
      <c r="KMK3" s="212"/>
      <c r="KML3" s="46"/>
      <c r="KMM3" s="53"/>
      <c r="KMN3" s="53"/>
      <c r="KMO3" s="53"/>
      <c r="KMP3" s="53"/>
      <c r="KMQ3" s="53"/>
      <c r="KMR3" s="53"/>
      <c r="KMS3" s="53"/>
      <c r="KMT3" s="53"/>
      <c r="KMU3" s="53"/>
      <c r="KMV3" s="53"/>
      <c r="KMW3" s="53"/>
      <c r="KMX3" s="53"/>
      <c r="KMY3" s="53"/>
      <c r="KMZ3" s="212"/>
      <c r="KNA3" s="46"/>
      <c r="KNB3" s="53"/>
      <c r="KNC3" s="53"/>
      <c r="KND3" s="53"/>
      <c r="KNE3" s="53"/>
      <c r="KNF3" s="53"/>
      <c r="KNG3" s="53"/>
      <c r="KNH3" s="53"/>
      <c r="KNI3" s="53"/>
      <c r="KNJ3" s="53"/>
      <c r="KNK3" s="53"/>
      <c r="KNL3" s="53"/>
      <c r="KNM3" s="53"/>
      <c r="KNN3" s="53"/>
      <c r="KNO3" s="212"/>
      <c r="KNP3" s="46"/>
      <c r="KNQ3" s="53"/>
      <c r="KNR3" s="53"/>
      <c r="KNS3" s="53"/>
      <c r="KNT3" s="53"/>
      <c r="KNU3" s="53"/>
      <c r="KNV3" s="53"/>
      <c r="KNW3" s="53"/>
      <c r="KNX3" s="53"/>
      <c r="KNY3" s="53"/>
      <c r="KNZ3" s="53"/>
      <c r="KOA3" s="53"/>
      <c r="KOB3" s="53"/>
      <c r="KOC3" s="53"/>
      <c r="KOD3" s="212"/>
      <c r="KOE3" s="46"/>
      <c r="KOF3" s="53"/>
      <c r="KOG3" s="53"/>
      <c r="KOH3" s="53"/>
      <c r="KOI3" s="53"/>
      <c r="KOJ3" s="53"/>
      <c r="KOK3" s="53"/>
      <c r="KOL3" s="53"/>
      <c r="KOM3" s="53"/>
      <c r="KON3" s="53"/>
      <c r="KOO3" s="53"/>
      <c r="KOP3" s="53"/>
      <c r="KOQ3" s="53"/>
      <c r="KOR3" s="53"/>
      <c r="KOS3" s="212"/>
      <c r="KOT3" s="46"/>
      <c r="KOU3" s="53"/>
      <c r="KOV3" s="53"/>
      <c r="KOW3" s="53"/>
      <c r="KOX3" s="53"/>
      <c r="KOY3" s="53"/>
      <c r="KOZ3" s="53"/>
      <c r="KPA3" s="53"/>
      <c r="KPB3" s="53"/>
      <c r="KPC3" s="53"/>
      <c r="KPD3" s="53"/>
      <c r="KPE3" s="53"/>
      <c r="KPF3" s="53"/>
      <c r="KPG3" s="53"/>
      <c r="KPH3" s="212"/>
      <c r="KPI3" s="46"/>
      <c r="KPJ3" s="53"/>
      <c r="KPK3" s="53"/>
      <c r="KPL3" s="53"/>
      <c r="KPM3" s="53"/>
      <c r="KPN3" s="53"/>
      <c r="KPO3" s="53"/>
      <c r="KPP3" s="53"/>
      <c r="KPQ3" s="53"/>
      <c r="KPR3" s="53"/>
      <c r="KPS3" s="53"/>
      <c r="KPT3" s="53"/>
      <c r="KPU3" s="53"/>
      <c r="KPV3" s="53"/>
      <c r="KPW3" s="212"/>
      <c r="KPX3" s="46"/>
      <c r="KPY3" s="53"/>
      <c r="KPZ3" s="53"/>
      <c r="KQA3" s="53"/>
      <c r="KQB3" s="53"/>
      <c r="KQC3" s="53"/>
      <c r="KQD3" s="53"/>
      <c r="KQE3" s="53"/>
      <c r="KQF3" s="53"/>
      <c r="KQG3" s="53"/>
      <c r="KQH3" s="53"/>
      <c r="KQI3" s="53"/>
      <c r="KQJ3" s="53"/>
      <c r="KQK3" s="53"/>
      <c r="KQL3" s="212"/>
      <c r="KQM3" s="46"/>
      <c r="KQN3" s="53"/>
      <c r="KQO3" s="53"/>
      <c r="KQP3" s="53"/>
      <c r="KQQ3" s="53"/>
      <c r="KQR3" s="53"/>
      <c r="KQS3" s="53"/>
      <c r="KQT3" s="53"/>
      <c r="KQU3" s="53"/>
      <c r="KQV3" s="53"/>
      <c r="KQW3" s="53"/>
      <c r="KQX3" s="53"/>
      <c r="KQY3" s="53"/>
      <c r="KQZ3" s="53"/>
      <c r="KRA3" s="212"/>
      <c r="KRB3" s="46"/>
      <c r="KRC3" s="53"/>
      <c r="KRD3" s="53"/>
      <c r="KRE3" s="53"/>
      <c r="KRF3" s="53"/>
      <c r="KRG3" s="53"/>
      <c r="KRH3" s="53"/>
      <c r="KRI3" s="53"/>
      <c r="KRJ3" s="53"/>
      <c r="KRK3" s="53"/>
      <c r="KRL3" s="53"/>
      <c r="KRM3" s="53"/>
      <c r="KRN3" s="53"/>
      <c r="KRO3" s="53"/>
      <c r="KRP3" s="212"/>
      <c r="KRQ3" s="46"/>
      <c r="KRR3" s="53"/>
      <c r="KRS3" s="53"/>
      <c r="KRT3" s="53"/>
      <c r="KRU3" s="53"/>
      <c r="KRV3" s="53"/>
      <c r="KRW3" s="53"/>
      <c r="KRX3" s="53"/>
      <c r="KRY3" s="53"/>
      <c r="KRZ3" s="53"/>
      <c r="KSA3" s="53"/>
      <c r="KSB3" s="53"/>
      <c r="KSC3" s="53"/>
      <c r="KSD3" s="53"/>
      <c r="KSE3" s="212"/>
      <c r="KSF3" s="46"/>
      <c r="KSG3" s="53"/>
      <c r="KSH3" s="53"/>
      <c r="KSI3" s="53"/>
      <c r="KSJ3" s="53"/>
      <c r="KSK3" s="53"/>
      <c r="KSL3" s="53"/>
      <c r="KSM3" s="53"/>
      <c r="KSN3" s="53"/>
      <c r="KSO3" s="53"/>
      <c r="KSP3" s="53"/>
      <c r="KSQ3" s="53"/>
      <c r="KSR3" s="53"/>
      <c r="KSS3" s="53"/>
      <c r="KST3" s="212"/>
      <c r="KSU3" s="46"/>
      <c r="KSV3" s="53"/>
      <c r="KSW3" s="53"/>
      <c r="KSX3" s="53"/>
      <c r="KSY3" s="53"/>
      <c r="KSZ3" s="53"/>
      <c r="KTA3" s="53"/>
      <c r="KTB3" s="53"/>
      <c r="KTC3" s="53"/>
      <c r="KTD3" s="53"/>
      <c r="KTE3" s="53"/>
      <c r="KTF3" s="53"/>
      <c r="KTG3" s="53"/>
      <c r="KTH3" s="53"/>
      <c r="KTI3" s="212"/>
      <c r="KTJ3" s="46"/>
      <c r="KTK3" s="53"/>
      <c r="KTL3" s="53"/>
      <c r="KTM3" s="53"/>
      <c r="KTN3" s="53"/>
      <c r="KTO3" s="53"/>
      <c r="KTP3" s="53"/>
      <c r="KTQ3" s="53"/>
      <c r="KTR3" s="53"/>
      <c r="KTS3" s="53"/>
      <c r="KTT3" s="53"/>
      <c r="KTU3" s="53"/>
      <c r="KTV3" s="53"/>
      <c r="KTW3" s="53"/>
      <c r="KTX3" s="212"/>
      <c r="KTY3" s="46"/>
      <c r="KTZ3" s="53"/>
      <c r="KUA3" s="53"/>
      <c r="KUB3" s="53"/>
      <c r="KUC3" s="53"/>
      <c r="KUD3" s="53"/>
      <c r="KUE3" s="53"/>
      <c r="KUF3" s="53"/>
      <c r="KUG3" s="53"/>
      <c r="KUH3" s="53"/>
      <c r="KUI3" s="53"/>
      <c r="KUJ3" s="53"/>
      <c r="KUK3" s="53"/>
      <c r="KUL3" s="53"/>
      <c r="KUM3" s="212"/>
      <c r="KUN3" s="46"/>
      <c r="KUO3" s="53"/>
      <c r="KUP3" s="53"/>
      <c r="KUQ3" s="53"/>
      <c r="KUR3" s="53"/>
      <c r="KUS3" s="53"/>
      <c r="KUT3" s="53"/>
      <c r="KUU3" s="53"/>
      <c r="KUV3" s="53"/>
      <c r="KUW3" s="53"/>
      <c r="KUX3" s="53"/>
      <c r="KUY3" s="53"/>
      <c r="KUZ3" s="53"/>
      <c r="KVA3" s="53"/>
      <c r="KVB3" s="212"/>
      <c r="KVC3" s="46"/>
      <c r="KVD3" s="53"/>
      <c r="KVE3" s="53"/>
      <c r="KVF3" s="53"/>
      <c r="KVG3" s="53"/>
      <c r="KVH3" s="53"/>
      <c r="KVI3" s="53"/>
      <c r="KVJ3" s="53"/>
      <c r="KVK3" s="53"/>
      <c r="KVL3" s="53"/>
      <c r="KVM3" s="53"/>
      <c r="KVN3" s="53"/>
      <c r="KVO3" s="53"/>
      <c r="KVP3" s="53"/>
      <c r="KVQ3" s="212"/>
      <c r="KVR3" s="46"/>
      <c r="KVS3" s="53"/>
      <c r="KVT3" s="53"/>
      <c r="KVU3" s="53"/>
      <c r="KVV3" s="53"/>
      <c r="KVW3" s="53"/>
      <c r="KVX3" s="53"/>
      <c r="KVY3" s="53"/>
      <c r="KVZ3" s="53"/>
      <c r="KWA3" s="53"/>
      <c r="KWB3" s="53"/>
      <c r="KWC3" s="53"/>
      <c r="KWD3" s="53"/>
      <c r="KWE3" s="53"/>
      <c r="KWF3" s="212"/>
      <c r="KWG3" s="46"/>
      <c r="KWH3" s="53"/>
      <c r="KWI3" s="53"/>
      <c r="KWJ3" s="53"/>
      <c r="KWK3" s="53"/>
      <c r="KWL3" s="53"/>
      <c r="KWM3" s="53"/>
      <c r="KWN3" s="53"/>
      <c r="KWO3" s="53"/>
      <c r="KWP3" s="53"/>
      <c r="KWQ3" s="53"/>
      <c r="KWR3" s="53"/>
      <c r="KWS3" s="53"/>
      <c r="KWT3" s="53"/>
      <c r="KWU3" s="212"/>
      <c r="KWV3" s="46"/>
      <c r="KWW3" s="53"/>
      <c r="KWX3" s="53"/>
      <c r="KWY3" s="53"/>
      <c r="KWZ3" s="53"/>
      <c r="KXA3" s="53"/>
      <c r="KXB3" s="53"/>
      <c r="KXC3" s="53"/>
      <c r="KXD3" s="53"/>
      <c r="KXE3" s="53"/>
      <c r="KXF3" s="53"/>
      <c r="KXG3" s="53"/>
      <c r="KXH3" s="53"/>
      <c r="KXI3" s="53"/>
      <c r="KXJ3" s="212"/>
      <c r="KXK3" s="46"/>
      <c r="KXL3" s="53"/>
      <c r="KXM3" s="53"/>
      <c r="KXN3" s="53"/>
      <c r="KXO3" s="53"/>
      <c r="KXP3" s="53"/>
      <c r="KXQ3" s="53"/>
      <c r="KXR3" s="53"/>
      <c r="KXS3" s="53"/>
      <c r="KXT3" s="53"/>
      <c r="KXU3" s="53"/>
      <c r="KXV3" s="53"/>
      <c r="KXW3" s="53"/>
      <c r="KXX3" s="53"/>
      <c r="KXY3" s="212"/>
      <c r="KXZ3" s="46"/>
      <c r="KYA3" s="53"/>
      <c r="KYB3" s="53"/>
      <c r="KYC3" s="53"/>
      <c r="KYD3" s="53"/>
      <c r="KYE3" s="53"/>
      <c r="KYF3" s="53"/>
      <c r="KYG3" s="53"/>
      <c r="KYH3" s="53"/>
      <c r="KYI3" s="53"/>
      <c r="KYJ3" s="53"/>
      <c r="KYK3" s="53"/>
      <c r="KYL3" s="53"/>
      <c r="KYM3" s="53"/>
      <c r="KYN3" s="212"/>
      <c r="KYO3" s="46"/>
      <c r="KYP3" s="53"/>
      <c r="KYQ3" s="53"/>
      <c r="KYR3" s="53"/>
      <c r="KYS3" s="53"/>
      <c r="KYT3" s="53"/>
      <c r="KYU3" s="53"/>
      <c r="KYV3" s="53"/>
      <c r="KYW3" s="53"/>
      <c r="KYX3" s="53"/>
      <c r="KYY3" s="53"/>
      <c r="KYZ3" s="53"/>
      <c r="KZA3" s="53"/>
      <c r="KZB3" s="53"/>
      <c r="KZC3" s="212"/>
      <c r="KZD3" s="46"/>
      <c r="KZE3" s="53"/>
      <c r="KZF3" s="53"/>
      <c r="KZG3" s="53"/>
      <c r="KZH3" s="53"/>
      <c r="KZI3" s="53"/>
      <c r="KZJ3" s="53"/>
      <c r="KZK3" s="53"/>
      <c r="KZL3" s="53"/>
      <c r="KZM3" s="53"/>
      <c r="KZN3" s="53"/>
      <c r="KZO3" s="53"/>
      <c r="KZP3" s="53"/>
      <c r="KZQ3" s="53"/>
      <c r="KZR3" s="212"/>
      <c r="KZS3" s="46"/>
      <c r="KZT3" s="53"/>
      <c r="KZU3" s="53"/>
      <c r="KZV3" s="53"/>
      <c r="KZW3" s="53"/>
      <c r="KZX3" s="53"/>
      <c r="KZY3" s="53"/>
      <c r="KZZ3" s="53"/>
      <c r="LAA3" s="53"/>
      <c r="LAB3" s="53"/>
      <c r="LAC3" s="53"/>
      <c r="LAD3" s="53"/>
      <c r="LAE3" s="53"/>
      <c r="LAF3" s="53"/>
      <c r="LAG3" s="212"/>
      <c r="LAH3" s="46"/>
      <c r="LAI3" s="53"/>
      <c r="LAJ3" s="53"/>
      <c r="LAK3" s="53"/>
      <c r="LAL3" s="53"/>
      <c r="LAM3" s="53"/>
      <c r="LAN3" s="53"/>
      <c r="LAO3" s="53"/>
      <c r="LAP3" s="53"/>
      <c r="LAQ3" s="53"/>
      <c r="LAR3" s="53"/>
      <c r="LAS3" s="53"/>
      <c r="LAT3" s="53"/>
      <c r="LAU3" s="53"/>
      <c r="LAV3" s="212"/>
      <c r="LAW3" s="46"/>
      <c r="LAX3" s="53"/>
      <c r="LAY3" s="53"/>
      <c r="LAZ3" s="53"/>
      <c r="LBA3" s="53"/>
      <c r="LBB3" s="53"/>
      <c r="LBC3" s="53"/>
      <c r="LBD3" s="53"/>
      <c r="LBE3" s="53"/>
      <c r="LBF3" s="53"/>
      <c r="LBG3" s="53"/>
      <c r="LBH3" s="53"/>
      <c r="LBI3" s="53"/>
      <c r="LBJ3" s="53"/>
      <c r="LBK3" s="212"/>
      <c r="LBL3" s="46"/>
      <c r="LBM3" s="53"/>
      <c r="LBN3" s="53"/>
      <c r="LBO3" s="53"/>
      <c r="LBP3" s="53"/>
      <c r="LBQ3" s="53"/>
      <c r="LBR3" s="53"/>
      <c r="LBS3" s="53"/>
      <c r="LBT3" s="53"/>
      <c r="LBU3" s="53"/>
      <c r="LBV3" s="53"/>
      <c r="LBW3" s="53"/>
      <c r="LBX3" s="53"/>
      <c r="LBY3" s="53"/>
      <c r="LBZ3" s="212"/>
      <c r="LCA3" s="46"/>
      <c r="LCB3" s="53"/>
      <c r="LCC3" s="53"/>
      <c r="LCD3" s="53"/>
      <c r="LCE3" s="53"/>
      <c r="LCF3" s="53"/>
      <c r="LCG3" s="53"/>
      <c r="LCH3" s="53"/>
      <c r="LCI3" s="53"/>
      <c r="LCJ3" s="53"/>
      <c r="LCK3" s="53"/>
      <c r="LCL3" s="53"/>
      <c r="LCM3" s="53"/>
      <c r="LCN3" s="53"/>
      <c r="LCO3" s="212"/>
      <c r="LCP3" s="46"/>
      <c r="LCQ3" s="53"/>
      <c r="LCR3" s="53"/>
      <c r="LCS3" s="53"/>
      <c r="LCT3" s="53"/>
      <c r="LCU3" s="53"/>
      <c r="LCV3" s="53"/>
      <c r="LCW3" s="53"/>
      <c r="LCX3" s="53"/>
      <c r="LCY3" s="53"/>
      <c r="LCZ3" s="53"/>
      <c r="LDA3" s="53"/>
      <c r="LDB3" s="53"/>
      <c r="LDC3" s="53"/>
      <c r="LDD3" s="212"/>
      <c r="LDE3" s="46"/>
      <c r="LDF3" s="53"/>
      <c r="LDG3" s="53"/>
      <c r="LDH3" s="53"/>
      <c r="LDI3" s="53"/>
      <c r="LDJ3" s="53"/>
      <c r="LDK3" s="53"/>
      <c r="LDL3" s="53"/>
      <c r="LDM3" s="53"/>
      <c r="LDN3" s="53"/>
      <c r="LDO3" s="53"/>
      <c r="LDP3" s="53"/>
      <c r="LDQ3" s="53"/>
      <c r="LDR3" s="53"/>
      <c r="LDS3" s="212"/>
      <c r="LDT3" s="46"/>
      <c r="LDU3" s="53"/>
      <c r="LDV3" s="53"/>
      <c r="LDW3" s="53"/>
      <c r="LDX3" s="53"/>
      <c r="LDY3" s="53"/>
      <c r="LDZ3" s="53"/>
      <c r="LEA3" s="53"/>
      <c r="LEB3" s="53"/>
      <c r="LEC3" s="53"/>
      <c r="LED3" s="53"/>
      <c r="LEE3" s="53"/>
      <c r="LEF3" s="53"/>
      <c r="LEG3" s="53"/>
      <c r="LEH3" s="212"/>
      <c r="LEI3" s="46"/>
      <c r="LEJ3" s="53"/>
      <c r="LEK3" s="53"/>
      <c r="LEL3" s="53"/>
      <c r="LEM3" s="53"/>
      <c r="LEN3" s="53"/>
      <c r="LEO3" s="53"/>
      <c r="LEP3" s="53"/>
      <c r="LEQ3" s="53"/>
      <c r="LER3" s="53"/>
      <c r="LES3" s="53"/>
      <c r="LET3" s="53"/>
      <c r="LEU3" s="53"/>
      <c r="LEV3" s="53"/>
      <c r="LEW3" s="212"/>
      <c r="LEX3" s="46"/>
      <c r="LEY3" s="53"/>
      <c r="LEZ3" s="53"/>
      <c r="LFA3" s="53"/>
      <c r="LFB3" s="53"/>
      <c r="LFC3" s="53"/>
      <c r="LFD3" s="53"/>
      <c r="LFE3" s="53"/>
      <c r="LFF3" s="53"/>
      <c r="LFG3" s="53"/>
      <c r="LFH3" s="53"/>
      <c r="LFI3" s="53"/>
      <c r="LFJ3" s="53"/>
      <c r="LFK3" s="53"/>
      <c r="LFL3" s="212"/>
      <c r="LFM3" s="46"/>
      <c r="LFN3" s="53"/>
      <c r="LFO3" s="53"/>
      <c r="LFP3" s="53"/>
      <c r="LFQ3" s="53"/>
      <c r="LFR3" s="53"/>
      <c r="LFS3" s="53"/>
      <c r="LFT3" s="53"/>
      <c r="LFU3" s="53"/>
      <c r="LFV3" s="53"/>
      <c r="LFW3" s="53"/>
      <c r="LFX3" s="53"/>
      <c r="LFY3" s="53"/>
      <c r="LFZ3" s="53"/>
      <c r="LGA3" s="212"/>
      <c r="LGB3" s="46"/>
      <c r="LGC3" s="53"/>
      <c r="LGD3" s="53"/>
      <c r="LGE3" s="53"/>
      <c r="LGF3" s="53"/>
      <c r="LGG3" s="53"/>
      <c r="LGH3" s="53"/>
      <c r="LGI3" s="53"/>
      <c r="LGJ3" s="53"/>
      <c r="LGK3" s="53"/>
      <c r="LGL3" s="53"/>
      <c r="LGM3" s="53"/>
      <c r="LGN3" s="53"/>
      <c r="LGO3" s="53"/>
      <c r="LGP3" s="212"/>
      <c r="LGQ3" s="46"/>
      <c r="LGR3" s="53"/>
      <c r="LGS3" s="53"/>
      <c r="LGT3" s="53"/>
      <c r="LGU3" s="53"/>
      <c r="LGV3" s="53"/>
      <c r="LGW3" s="53"/>
      <c r="LGX3" s="53"/>
      <c r="LGY3" s="53"/>
      <c r="LGZ3" s="53"/>
      <c r="LHA3" s="53"/>
      <c r="LHB3" s="53"/>
      <c r="LHC3" s="53"/>
      <c r="LHD3" s="53"/>
      <c r="LHE3" s="212"/>
      <c r="LHF3" s="46"/>
      <c r="LHG3" s="53"/>
      <c r="LHH3" s="53"/>
      <c r="LHI3" s="53"/>
      <c r="LHJ3" s="53"/>
      <c r="LHK3" s="53"/>
      <c r="LHL3" s="53"/>
      <c r="LHM3" s="53"/>
      <c r="LHN3" s="53"/>
      <c r="LHO3" s="53"/>
      <c r="LHP3" s="53"/>
      <c r="LHQ3" s="53"/>
      <c r="LHR3" s="53"/>
      <c r="LHS3" s="53"/>
      <c r="LHT3" s="212"/>
      <c r="LHU3" s="46"/>
      <c r="LHV3" s="53"/>
      <c r="LHW3" s="53"/>
      <c r="LHX3" s="53"/>
      <c r="LHY3" s="53"/>
      <c r="LHZ3" s="53"/>
      <c r="LIA3" s="53"/>
      <c r="LIB3" s="53"/>
      <c r="LIC3" s="53"/>
      <c r="LID3" s="53"/>
      <c r="LIE3" s="53"/>
      <c r="LIF3" s="53"/>
      <c r="LIG3" s="53"/>
      <c r="LIH3" s="53"/>
      <c r="LII3" s="212"/>
      <c r="LIJ3" s="46"/>
      <c r="LIK3" s="53"/>
      <c r="LIL3" s="53"/>
      <c r="LIM3" s="53"/>
      <c r="LIN3" s="53"/>
      <c r="LIO3" s="53"/>
      <c r="LIP3" s="53"/>
      <c r="LIQ3" s="53"/>
      <c r="LIR3" s="53"/>
      <c r="LIS3" s="53"/>
      <c r="LIT3" s="53"/>
      <c r="LIU3" s="53"/>
      <c r="LIV3" s="53"/>
      <c r="LIW3" s="53"/>
      <c r="LIX3" s="212"/>
      <c r="LIY3" s="46"/>
      <c r="LIZ3" s="53"/>
      <c r="LJA3" s="53"/>
      <c r="LJB3" s="53"/>
      <c r="LJC3" s="53"/>
      <c r="LJD3" s="53"/>
      <c r="LJE3" s="53"/>
      <c r="LJF3" s="53"/>
      <c r="LJG3" s="53"/>
      <c r="LJH3" s="53"/>
      <c r="LJI3" s="53"/>
      <c r="LJJ3" s="53"/>
      <c r="LJK3" s="53"/>
      <c r="LJL3" s="53"/>
      <c r="LJM3" s="212"/>
      <c r="LJN3" s="46"/>
      <c r="LJO3" s="53"/>
      <c r="LJP3" s="53"/>
      <c r="LJQ3" s="53"/>
      <c r="LJR3" s="53"/>
      <c r="LJS3" s="53"/>
      <c r="LJT3" s="53"/>
      <c r="LJU3" s="53"/>
      <c r="LJV3" s="53"/>
      <c r="LJW3" s="53"/>
      <c r="LJX3" s="53"/>
      <c r="LJY3" s="53"/>
      <c r="LJZ3" s="53"/>
      <c r="LKA3" s="53"/>
      <c r="LKB3" s="212"/>
      <c r="LKC3" s="46"/>
      <c r="LKD3" s="53"/>
      <c r="LKE3" s="53"/>
      <c r="LKF3" s="53"/>
      <c r="LKG3" s="53"/>
      <c r="LKH3" s="53"/>
      <c r="LKI3" s="53"/>
      <c r="LKJ3" s="53"/>
      <c r="LKK3" s="53"/>
      <c r="LKL3" s="53"/>
      <c r="LKM3" s="53"/>
      <c r="LKN3" s="53"/>
      <c r="LKO3" s="53"/>
      <c r="LKP3" s="53"/>
      <c r="LKQ3" s="212"/>
      <c r="LKR3" s="46"/>
      <c r="LKS3" s="53"/>
      <c r="LKT3" s="53"/>
      <c r="LKU3" s="53"/>
      <c r="LKV3" s="53"/>
      <c r="LKW3" s="53"/>
      <c r="LKX3" s="53"/>
      <c r="LKY3" s="53"/>
      <c r="LKZ3" s="53"/>
      <c r="LLA3" s="53"/>
      <c r="LLB3" s="53"/>
      <c r="LLC3" s="53"/>
      <c r="LLD3" s="53"/>
      <c r="LLE3" s="53"/>
      <c r="LLF3" s="212"/>
      <c r="LLG3" s="46"/>
      <c r="LLH3" s="53"/>
      <c r="LLI3" s="53"/>
      <c r="LLJ3" s="53"/>
      <c r="LLK3" s="53"/>
      <c r="LLL3" s="53"/>
      <c r="LLM3" s="53"/>
      <c r="LLN3" s="53"/>
      <c r="LLO3" s="53"/>
      <c r="LLP3" s="53"/>
      <c r="LLQ3" s="53"/>
      <c r="LLR3" s="53"/>
      <c r="LLS3" s="53"/>
      <c r="LLT3" s="53"/>
      <c r="LLU3" s="212"/>
      <c r="LLV3" s="46"/>
      <c r="LLW3" s="53"/>
      <c r="LLX3" s="53"/>
      <c r="LLY3" s="53"/>
      <c r="LLZ3" s="53"/>
      <c r="LMA3" s="53"/>
      <c r="LMB3" s="53"/>
      <c r="LMC3" s="53"/>
      <c r="LMD3" s="53"/>
      <c r="LME3" s="53"/>
      <c r="LMF3" s="53"/>
      <c r="LMG3" s="53"/>
      <c r="LMH3" s="53"/>
      <c r="LMI3" s="53"/>
      <c r="LMJ3" s="212"/>
      <c r="LMK3" s="46"/>
      <c r="LML3" s="53"/>
      <c r="LMM3" s="53"/>
      <c r="LMN3" s="53"/>
      <c r="LMO3" s="53"/>
      <c r="LMP3" s="53"/>
      <c r="LMQ3" s="53"/>
      <c r="LMR3" s="53"/>
      <c r="LMS3" s="53"/>
      <c r="LMT3" s="53"/>
      <c r="LMU3" s="53"/>
      <c r="LMV3" s="53"/>
      <c r="LMW3" s="53"/>
      <c r="LMX3" s="53"/>
      <c r="LMY3" s="212"/>
      <c r="LMZ3" s="46"/>
      <c r="LNA3" s="53"/>
      <c r="LNB3" s="53"/>
      <c r="LNC3" s="53"/>
      <c r="LND3" s="53"/>
      <c r="LNE3" s="53"/>
      <c r="LNF3" s="53"/>
      <c r="LNG3" s="53"/>
      <c r="LNH3" s="53"/>
      <c r="LNI3" s="53"/>
      <c r="LNJ3" s="53"/>
      <c r="LNK3" s="53"/>
      <c r="LNL3" s="53"/>
      <c r="LNM3" s="53"/>
      <c r="LNN3" s="212"/>
      <c r="LNO3" s="46"/>
      <c r="LNP3" s="53"/>
      <c r="LNQ3" s="53"/>
      <c r="LNR3" s="53"/>
      <c r="LNS3" s="53"/>
      <c r="LNT3" s="53"/>
      <c r="LNU3" s="53"/>
      <c r="LNV3" s="53"/>
      <c r="LNW3" s="53"/>
      <c r="LNX3" s="53"/>
      <c r="LNY3" s="53"/>
      <c r="LNZ3" s="53"/>
      <c r="LOA3" s="53"/>
      <c r="LOB3" s="53"/>
      <c r="LOC3" s="212"/>
      <c r="LOD3" s="46"/>
      <c r="LOE3" s="53"/>
      <c r="LOF3" s="53"/>
      <c r="LOG3" s="53"/>
      <c r="LOH3" s="53"/>
      <c r="LOI3" s="53"/>
      <c r="LOJ3" s="53"/>
      <c r="LOK3" s="53"/>
      <c r="LOL3" s="53"/>
      <c r="LOM3" s="53"/>
      <c r="LON3" s="53"/>
      <c r="LOO3" s="53"/>
      <c r="LOP3" s="53"/>
      <c r="LOQ3" s="53"/>
      <c r="LOR3" s="212"/>
      <c r="LOS3" s="46"/>
      <c r="LOT3" s="53"/>
      <c r="LOU3" s="53"/>
      <c r="LOV3" s="53"/>
      <c r="LOW3" s="53"/>
      <c r="LOX3" s="53"/>
      <c r="LOY3" s="53"/>
      <c r="LOZ3" s="53"/>
      <c r="LPA3" s="53"/>
      <c r="LPB3" s="53"/>
      <c r="LPC3" s="53"/>
      <c r="LPD3" s="53"/>
      <c r="LPE3" s="53"/>
      <c r="LPF3" s="53"/>
      <c r="LPG3" s="212"/>
      <c r="LPH3" s="46"/>
      <c r="LPI3" s="53"/>
      <c r="LPJ3" s="53"/>
      <c r="LPK3" s="53"/>
      <c r="LPL3" s="53"/>
      <c r="LPM3" s="53"/>
      <c r="LPN3" s="53"/>
      <c r="LPO3" s="53"/>
      <c r="LPP3" s="53"/>
      <c r="LPQ3" s="53"/>
      <c r="LPR3" s="53"/>
      <c r="LPS3" s="53"/>
      <c r="LPT3" s="53"/>
      <c r="LPU3" s="53"/>
      <c r="LPV3" s="212"/>
      <c r="LPW3" s="46"/>
      <c r="LPX3" s="53"/>
      <c r="LPY3" s="53"/>
      <c r="LPZ3" s="53"/>
      <c r="LQA3" s="53"/>
      <c r="LQB3" s="53"/>
      <c r="LQC3" s="53"/>
      <c r="LQD3" s="53"/>
      <c r="LQE3" s="53"/>
      <c r="LQF3" s="53"/>
      <c r="LQG3" s="53"/>
      <c r="LQH3" s="53"/>
      <c r="LQI3" s="53"/>
      <c r="LQJ3" s="53"/>
      <c r="LQK3" s="212"/>
      <c r="LQL3" s="46"/>
      <c r="LQM3" s="53"/>
      <c r="LQN3" s="53"/>
      <c r="LQO3" s="53"/>
      <c r="LQP3" s="53"/>
      <c r="LQQ3" s="53"/>
      <c r="LQR3" s="53"/>
      <c r="LQS3" s="53"/>
      <c r="LQT3" s="53"/>
      <c r="LQU3" s="53"/>
      <c r="LQV3" s="53"/>
      <c r="LQW3" s="53"/>
      <c r="LQX3" s="53"/>
      <c r="LQY3" s="53"/>
      <c r="LQZ3" s="212"/>
      <c r="LRA3" s="46"/>
      <c r="LRB3" s="53"/>
      <c r="LRC3" s="53"/>
      <c r="LRD3" s="53"/>
      <c r="LRE3" s="53"/>
      <c r="LRF3" s="53"/>
      <c r="LRG3" s="53"/>
      <c r="LRH3" s="53"/>
      <c r="LRI3" s="53"/>
      <c r="LRJ3" s="53"/>
      <c r="LRK3" s="53"/>
      <c r="LRL3" s="53"/>
      <c r="LRM3" s="53"/>
      <c r="LRN3" s="53"/>
      <c r="LRO3" s="212"/>
      <c r="LRP3" s="46"/>
      <c r="LRQ3" s="53"/>
      <c r="LRR3" s="53"/>
      <c r="LRS3" s="53"/>
      <c r="LRT3" s="53"/>
      <c r="LRU3" s="53"/>
      <c r="LRV3" s="53"/>
      <c r="LRW3" s="53"/>
      <c r="LRX3" s="53"/>
      <c r="LRY3" s="53"/>
      <c r="LRZ3" s="53"/>
      <c r="LSA3" s="53"/>
      <c r="LSB3" s="53"/>
      <c r="LSC3" s="53"/>
      <c r="LSD3" s="212"/>
      <c r="LSE3" s="46"/>
      <c r="LSF3" s="53"/>
      <c r="LSG3" s="53"/>
      <c r="LSH3" s="53"/>
      <c r="LSI3" s="53"/>
      <c r="LSJ3" s="53"/>
      <c r="LSK3" s="53"/>
      <c r="LSL3" s="53"/>
      <c r="LSM3" s="53"/>
      <c r="LSN3" s="53"/>
      <c r="LSO3" s="53"/>
      <c r="LSP3" s="53"/>
      <c r="LSQ3" s="53"/>
      <c r="LSR3" s="53"/>
      <c r="LSS3" s="212"/>
      <c r="LST3" s="46"/>
      <c r="LSU3" s="53"/>
      <c r="LSV3" s="53"/>
      <c r="LSW3" s="53"/>
      <c r="LSX3" s="53"/>
      <c r="LSY3" s="53"/>
      <c r="LSZ3" s="53"/>
      <c r="LTA3" s="53"/>
      <c r="LTB3" s="53"/>
      <c r="LTC3" s="53"/>
      <c r="LTD3" s="53"/>
      <c r="LTE3" s="53"/>
      <c r="LTF3" s="53"/>
      <c r="LTG3" s="53"/>
      <c r="LTH3" s="212"/>
      <c r="LTI3" s="46"/>
      <c r="LTJ3" s="53"/>
      <c r="LTK3" s="53"/>
      <c r="LTL3" s="53"/>
      <c r="LTM3" s="53"/>
      <c r="LTN3" s="53"/>
      <c r="LTO3" s="53"/>
      <c r="LTP3" s="53"/>
      <c r="LTQ3" s="53"/>
      <c r="LTR3" s="53"/>
      <c r="LTS3" s="53"/>
      <c r="LTT3" s="53"/>
      <c r="LTU3" s="53"/>
      <c r="LTV3" s="53"/>
      <c r="LTW3" s="212"/>
      <c r="LTX3" s="46"/>
      <c r="LTY3" s="53"/>
      <c r="LTZ3" s="53"/>
      <c r="LUA3" s="53"/>
      <c r="LUB3" s="53"/>
      <c r="LUC3" s="53"/>
      <c r="LUD3" s="53"/>
      <c r="LUE3" s="53"/>
      <c r="LUF3" s="53"/>
      <c r="LUG3" s="53"/>
      <c r="LUH3" s="53"/>
      <c r="LUI3" s="53"/>
      <c r="LUJ3" s="53"/>
      <c r="LUK3" s="53"/>
      <c r="LUL3" s="212"/>
      <c r="LUM3" s="46"/>
      <c r="LUN3" s="53"/>
      <c r="LUO3" s="53"/>
      <c r="LUP3" s="53"/>
      <c r="LUQ3" s="53"/>
      <c r="LUR3" s="53"/>
      <c r="LUS3" s="53"/>
      <c r="LUT3" s="53"/>
      <c r="LUU3" s="53"/>
      <c r="LUV3" s="53"/>
      <c r="LUW3" s="53"/>
      <c r="LUX3" s="53"/>
      <c r="LUY3" s="53"/>
      <c r="LUZ3" s="53"/>
      <c r="LVA3" s="212"/>
      <c r="LVB3" s="46"/>
      <c r="LVC3" s="53"/>
      <c r="LVD3" s="53"/>
      <c r="LVE3" s="53"/>
      <c r="LVF3" s="53"/>
      <c r="LVG3" s="53"/>
      <c r="LVH3" s="53"/>
      <c r="LVI3" s="53"/>
      <c r="LVJ3" s="53"/>
      <c r="LVK3" s="53"/>
      <c r="LVL3" s="53"/>
      <c r="LVM3" s="53"/>
      <c r="LVN3" s="53"/>
      <c r="LVO3" s="53"/>
      <c r="LVP3" s="212"/>
      <c r="LVQ3" s="46"/>
      <c r="LVR3" s="53"/>
      <c r="LVS3" s="53"/>
      <c r="LVT3" s="53"/>
      <c r="LVU3" s="53"/>
      <c r="LVV3" s="53"/>
      <c r="LVW3" s="53"/>
      <c r="LVX3" s="53"/>
      <c r="LVY3" s="53"/>
      <c r="LVZ3" s="53"/>
      <c r="LWA3" s="53"/>
      <c r="LWB3" s="53"/>
      <c r="LWC3" s="53"/>
      <c r="LWD3" s="53"/>
      <c r="LWE3" s="212"/>
      <c r="LWF3" s="46"/>
      <c r="LWG3" s="53"/>
      <c r="LWH3" s="53"/>
      <c r="LWI3" s="53"/>
      <c r="LWJ3" s="53"/>
      <c r="LWK3" s="53"/>
      <c r="LWL3" s="53"/>
      <c r="LWM3" s="53"/>
      <c r="LWN3" s="53"/>
      <c r="LWO3" s="53"/>
      <c r="LWP3" s="53"/>
      <c r="LWQ3" s="53"/>
      <c r="LWR3" s="53"/>
      <c r="LWS3" s="53"/>
      <c r="LWT3" s="212"/>
      <c r="LWU3" s="46"/>
      <c r="LWV3" s="53"/>
      <c r="LWW3" s="53"/>
      <c r="LWX3" s="53"/>
      <c r="LWY3" s="53"/>
      <c r="LWZ3" s="53"/>
      <c r="LXA3" s="53"/>
      <c r="LXB3" s="53"/>
      <c r="LXC3" s="53"/>
      <c r="LXD3" s="53"/>
      <c r="LXE3" s="53"/>
      <c r="LXF3" s="53"/>
      <c r="LXG3" s="53"/>
      <c r="LXH3" s="53"/>
      <c r="LXI3" s="212"/>
      <c r="LXJ3" s="46"/>
      <c r="LXK3" s="53"/>
      <c r="LXL3" s="53"/>
      <c r="LXM3" s="53"/>
      <c r="LXN3" s="53"/>
      <c r="LXO3" s="53"/>
      <c r="LXP3" s="53"/>
      <c r="LXQ3" s="53"/>
      <c r="LXR3" s="53"/>
      <c r="LXS3" s="53"/>
      <c r="LXT3" s="53"/>
      <c r="LXU3" s="53"/>
      <c r="LXV3" s="53"/>
      <c r="LXW3" s="53"/>
      <c r="LXX3" s="212"/>
      <c r="LXY3" s="46"/>
      <c r="LXZ3" s="53"/>
      <c r="LYA3" s="53"/>
      <c r="LYB3" s="53"/>
      <c r="LYC3" s="53"/>
      <c r="LYD3" s="53"/>
      <c r="LYE3" s="53"/>
      <c r="LYF3" s="53"/>
      <c r="LYG3" s="53"/>
      <c r="LYH3" s="53"/>
      <c r="LYI3" s="53"/>
      <c r="LYJ3" s="53"/>
      <c r="LYK3" s="53"/>
      <c r="LYL3" s="53"/>
      <c r="LYM3" s="212"/>
      <c r="LYN3" s="46"/>
      <c r="LYO3" s="53"/>
      <c r="LYP3" s="53"/>
      <c r="LYQ3" s="53"/>
      <c r="LYR3" s="53"/>
      <c r="LYS3" s="53"/>
      <c r="LYT3" s="53"/>
      <c r="LYU3" s="53"/>
      <c r="LYV3" s="53"/>
      <c r="LYW3" s="53"/>
      <c r="LYX3" s="53"/>
      <c r="LYY3" s="53"/>
      <c r="LYZ3" s="53"/>
      <c r="LZA3" s="53"/>
      <c r="LZB3" s="212"/>
      <c r="LZC3" s="46"/>
      <c r="LZD3" s="53"/>
      <c r="LZE3" s="53"/>
      <c r="LZF3" s="53"/>
      <c r="LZG3" s="53"/>
      <c r="LZH3" s="53"/>
      <c r="LZI3" s="53"/>
      <c r="LZJ3" s="53"/>
      <c r="LZK3" s="53"/>
      <c r="LZL3" s="53"/>
      <c r="LZM3" s="53"/>
      <c r="LZN3" s="53"/>
      <c r="LZO3" s="53"/>
      <c r="LZP3" s="53"/>
      <c r="LZQ3" s="212"/>
      <c r="LZR3" s="46"/>
      <c r="LZS3" s="53"/>
      <c r="LZT3" s="53"/>
      <c r="LZU3" s="53"/>
      <c r="LZV3" s="53"/>
      <c r="LZW3" s="53"/>
      <c r="LZX3" s="53"/>
      <c r="LZY3" s="53"/>
      <c r="LZZ3" s="53"/>
      <c r="MAA3" s="53"/>
      <c r="MAB3" s="53"/>
      <c r="MAC3" s="53"/>
      <c r="MAD3" s="53"/>
      <c r="MAE3" s="53"/>
      <c r="MAF3" s="212"/>
      <c r="MAG3" s="46"/>
      <c r="MAH3" s="53"/>
      <c r="MAI3" s="53"/>
      <c r="MAJ3" s="53"/>
      <c r="MAK3" s="53"/>
      <c r="MAL3" s="53"/>
      <c r="MAM3" s="53"/>
      <c r="MAN3" s="53"/>
      <c r="MAO3" s="53"/>
      <c r="MAP3" s="53"/>
      <c r="MAQ3" s="53"/>
      <c r="MAR3" s="53"/>
      <c r="MAS3" s="53"/>
      <c r="MAT3" s="53"/>
      <c r="MAU3" s="212"/>
      <c r="MAV3" s="46"/>
      <c r="MAW3" s="53"/>
      <c r="MAX3" s="53"/>
      <c r="MAY3" s="53"/>
      <c r="MAZ3" s="53"/>
      <c r="MBA3" s="53"/>
      <c r="MBB3" s="53"/>
      <c r="MBC3" s="53"/>
      <c r="MBD3" s="53"/>
      <c r="MBE3" s="53"/>
      <c r="MBF3" s="53"/>
      <c r="MBG3" s="53"/>
      <c r="MBH3" s="53"/>
      <c r="MBI3" s="53"/>
      <c r="MBJ3" s="212"/>
      <c r="MBK3" s="46"/>
      <c r="MBL3" s="53"/>
      <c r="MBM3" s="53"/>
      <c r="MBN3" s="53"/>
      <c r="MBO3" s="53"/>
      <c r="MBP3" s="53"/>
      <c r="MBQ3" s="53"/>
      <c r="MBR3" s="53"/>
      <c r="MBS3" s="53"/>
      <c r="MBT3" s="53"/>
      <c r="MBU3" s="53"/>
      <c r="MBV3" s="53"/>
      <c r="MBW3" s="53"/>
      <c r="MBX3" s="53"/>
      <c r="MBY3" s="212"/>
      <c r="MBZ3" s="46"/>
      <c r="MCA3" s="53"/>
      <c r="MCB3" s="53"/>
      <c r="MCC3" s="53"/>
      <c r="MCD3" s="53"/>
      <c r="MCE3" s="53"/>
      <c r="MCF3" s="53"/>
      <c r="MCG3" s="53"/>
      <c r="MCH3" s="53"/>
      <c r="MCI3" s="53"/>
      <c r="MCJ3" s="53"/>
      <c r="MCK3" s="53"/>
      <c r="MCL3" s="53"/>
      <c r="MCM3" s="53"/>
      <c r="MCN3" s="212"/>
      <c r="MCO3" s="46"/>
      <c r="MCP3" s="53"/>
      <c r="MCQ3" s="53"/>
      <c r="MCR3" s="53"/>
      <c r="MCS3" s="53"/>
      <c r="MCT3" s="53"/>
      <c r="MCU3" s="53"/>
      <c r="MCV3" s="53"/>
      <c r="MCW3" s="53"/>
      <c r="MCX3" s="53"/>
      <c r="MCY3" s="53"/>
      <c r="MCZ3" s="53"/>
      <c r="MDA3" s="53"/>
      <c r="MDB3" s="53"/>
      <c r="MDC3" s="212"/>
      <c r="MDD3" s="46"/>
      <c r="MDE3" s="53"/>
      <c r="MDF3" s="53"/>
      <c r="MDG3" s="53"/>
      <c r="MDH3" s="53"/>
      <c r="MDI3" s="53"/>
      <c r="MDJ3" s="53"/>
      <c r="MDK3" s="53"/>
      <c r="MDL3" s="53"/>
      <c r="MDM3" s="53"/>
      <c r="MDN3" s="53"/>
      <c r="MDO3" s="53"/>
      <c r="MDP3" s="53"/>
      <c r="MDQ3" s="53"/>
      <c r="MDR3" s="212"/>
      <c r="MDS3" s="46"/>
      <c r="MDT3" s="53"/>
      <c r="MDU3" s="53"/>
      <c r="MDV3" s="53"/>
      <c r="MDW3" s="53"/>
      <c r="MDX3" s="53"/>
      <c r="MDY3" s="53"/>
      <c r="MDZ3" s="53"/>
      <c r="MEA3" s="53"/>
      <c r="MEB3" s="53"/>
      <c r="MEC3" s="53"/>
      <c r="MED3" s="53"/>
      <c r="MEE3" s="53"/>
      <c r="MEF3" s="53"/>
      <c r="MEG3" s="212"/>
      <c r="MEH3" s="46"/>
      <c r="MEI3" s="53"/>
      <c r="MEJ3" s="53"/>
      <c r="MEK3" s="53"/>
      <c r="MEL3" s="53"/>
      <c r="MEM3" s="53"/>
      <c r="MEN3" s="53"/>
      <c r="MEO3" s="53"/>
      <c r="MEP3" s="53"/>
      <c r="MEQ3" s="53"/>
      <c r="MER3" s="53"/>
      <c r="MES3" s="53"/>
      <c r="MET3" s="53"/>
      <c r="MEU3" s="53"/>
      <c r="MEV3" s="212"/>
      <c r="MEW3" s="46"/>
      <c r="MEX3" s="53"/>
      <c r="MEY3" s="53"/>
      <c r="MEZ3" s="53"/>
      <c r="MFA3" s="53"/>
      <c r="MFB3" s="53"/>
      <c r="MFC3" s="53"/>
      <c r="MFD3" s="53"/>
      <c r="MFE3" s="53"/>
      <c r="MFF3" s="53"/>
      <c r="MFG3" s="53"/>
      <c r="MFH3" s="53"/>
      <c r="MFI3" s="53"/>
      <c r="MFJ3" s="53"/>
      <c r="MFK3" s="212"/>
      <c r="MFL3" s="46"/>
      <c r="MFM3" s="53"/>
      <c r="MFN3" s="53"/>
      <c r="MFO3" s="53"/>
      <c r="MFP3" s="53"/>
      <c r="MFQ3" s="53"/>
      <c r="MFR3" s="53"/>
      <c r="MFS3" s="53"/>
      <c r="MFT3" s="53"/>
      <c r="MFU3" s="53"/>
      <c r="MFV3" s="53"/>
      <c r="MFW3" s="53"/>
      <c r="MFX3" s="53"/>
      <c r="MFY3" s="53"/>
      <c r="MFZ3" s="212"/>
      <c r="MGA3" s="46"/>
      <c r="MGB3" s="53"/>
      <c r="MGC3" s="53"/>
      <c r="MGD3" s="53"/>
      <c r="MGE3" s="53"/>
      <c r="MGF3" s="53"/>
      <c r="MGG3" s="53"/>
      <c r="MGH3" s="53"/>
      <c r="MGI3" s="53"/>
      <c r="MGJ3" s="53"/>
      <c r="MGK3" s="53"/>
      <c r="MGL3" s="53"/>
      <c r="MGM3" s="53"/>
      <c r="MGN3" s="53"/>
      <c r="MGO3" s="212"/>
      <c r="MGP3" s="46"/>
      <c r="MGQ3" s="53"/>
      <c r="MGR3" s="53"/>
      <c r="MGS3" s="53"/>
      <c r="MGT3" s="53"/>
      <c r="MGU3" s="53"/>
      <c r="MGV3" s="53"/>
      <c r="MGW3" s="53"/>
      <c r="MGX3" s="53"/>
      <c r="MGY3" s="53"/>
      <c r="MGZ3" s="53"/>
      <c r="MHA3" s="53"/>
      <c r="MHB3" s="53"/>
      <c r="MHC3" s="53"/>
      <c r="MHD3" s="212"/>
      <c r="MHE3" s="46"/>
      <c r="MHF3" s="53"/>
      <c r="MHG3" s="53"/>
      <c r="MHH3" s="53"/>
      <c r="MHI3" s="53"/>
      <c r="MHJ3" s="53"/>
      <c r="MHK3" s="53"/>
      <c r="MHL3" s="53"/>
      <c r="MHM3" s="53"/>
      <c r="MHN3" s="53"/>
      <c r="MHO3" s="53"/>
      <c r="MHP3" s="53"/>
      <c r="MHQ3" s="53"/>
      <c r="MHR3" s="53"/>
      <c r="MHS3" s="212"/>
      <c r="MHT3" s="46"/>
      <c r="MHU3" s="53"/>
      <c r="MHV3" s="53"/>
      <c r="MHW3" s="53"/>
      <c r="MHX3" s="53"/>
      <c r="MHY3" s="53"/>
      <c r="MHZ3" s="53"/>
      <c r="MIA3" s="53"/>
      <c r="MIB3" s="53"/>
      <c r="MIC3" s="53"/>
      <c r="MID3" s="53"/>
      <c r="MIE3" s="53"/>
      <c r="MIF3" s="53"/>
      <c r="MIG3" s="53"/>
      <c r="MIH3" s="212"/>
      <c r="MII3" s="46"/>
      <c r="MIJ3" s="53"/>
      <c r="MIK3" s="53"/>
      <c r="MIL3" s="53"/>
      <c r="MIM3" s="53"/>
      <c r="MIN3" s="53"/>
      <c r="MIO3" s="53"/>
      <c r="MIP3" s="53"/>
      <c r="MIQ3" s="53"/>
      <c r="MIR3" s="53"/>
      <c r="MIS3" s="53"/>
      <c r="MIT3" s="53"/>
      <c r="MIU3" s="53"/>
      <c r="MIV3" s="53"/>
      <c r="MIW3" s="212"/>
      <c r="MIX3" s="46"/>
      <c r="MIY3" s="53"/>
      <c r="MIZ3" s="53"/>
      <c r="MJA3" s="53"/>
      <c r="MJB3" s="53"/>
      <c r="MJC3" s="53"/>
      <c r="MJD3" s="53"/>
      <c r="MJE3" s="53"/>
      <c r="MJF3" s="53"/>
      <c r="MJG3" s="53"/>
      <c r="MJH3" s="53"/>
      <c r="MJI3" s="53"/>
      <c r="MJJ3" s="53"/>
      <c r="MJK3" s="53"/>
      <c r="MJL3" s="212"/>
      <c r="MJM3" s="46"/>
      <c r="MJN3" s="53"/>
      <c r="MJO3" s="53"/>
      <c r="MJP3" s="53"/>
      <c r="MJQ3" s="53"/>
      <c r="MJR3" s="53"/>
      <c r="MJS3" s="53"/>
      <c r="MJT3" s="53"/>
      <c r="MJU3" s="53"/>
      <c r="MJV3" s="53"/>
      <c r="MJW3" s="53"/>
      <c r="MJX3" s="53"/>
      <c r="MJY3" s="53"/>
      <c r="MJZ3" s="53"/>
      <c r="MKA3" s="212"/>
      <c r="MKB3" s="46"/>
      <c r="MKC3" s="53"/>
      <c r="MKD3" s="53"/>
      <c r="MKE3" s="53"/>
      <c r="MKF3" s="53"/>
      <c r="MKG3" s="53"/>
      <c r="MKH3" s="53"/>
      <c r="MKI3" s="53"/>
      <c r="MKJ3" s="53"/>
      <c r="MKK3" s="53"/>
      <c r="MKL3" s="53"/>
      <c r="MKM3" s="53"/>
      <c r="MKN3" s="53"/>
      <c r="MKO3" s="53"/>
      <c r="MKP3" s="212"/>
      <c r="MKQ3" s="46"/>
      <c r="MKR3" s="53"/>
      <c r="MKS3" s="53"/>
      <c r="MKT3" s="53"/>
      <c r="MKU3" s="53"/>
      <c r="MKV3" s="53"/>
      <c r="MKW3" s="53"/>
      <c r="MKX3" s="53"/>
      <c r="MKY3" s="53"/>
      <c r="MKZ3" s="53"/>
      <c r="MLA3" s="53"/>
      <c r="MLB3" s="53"/>
      <c r="MLC3" s="53"/>
      <c r="MLD3" s="53"/>
      <c r="MLE3" s="212"/>
      <c r="MLF3" s="46"/>
      <c r="MLG3" s="53"/>
      <c r="MLH3" s="53"/>
      <c r="MLI3" s="53"/>
      <c r="MLJ3" s="53"/>
      <c r="MLK3" s="53"/>
      <c r="MLL3" s="53"/>
      <c r="MLM3" s="53"/>
      <c r="MLN3" s="53"/>
      <c r="MLO3" s="53"/>
      <c r="MLP3" s="53"/>
      <c r="MLQ3" s="53"/>
      <c r="MLR3" s="53"/>
      <c r="MLS3" s="53"/>
      <c r="MLT3" s="212"/>
      <c r="MLU3" s="46"/>
      <c r="MLV3" s="53"/>
      <c r="MLW3" s="53"/>
      <c r="MLX3" s="53"/>
      <c r="MLY3" s="53"/>
      <c r="MLZ3" s="53"/>
      <c r="MMA3" s="53"/>
      <c r="MMB3" s="53"/>
      <c r="MMC3" s="53"/>
      <c r="MMD3" s="53"/>
      <c r="MME3" s="53"/>
      <c r="MMF3" s="53"/>
      <c r="MMG3" s="53"/>
      <c r="MMH3" s="53"/>
      <c r="MMI3" s="212"/>
      <c r="MMJ3" s="46"/>
      <c r="MMK3" s="53"/>
      <c r="MML3" s="53"/>
      <c r="MMM3" s="53"/>
      <c r="MMN3" s="53"/>
      <c r="MMO3" s="53"/>
      <c r="MMP3" s="53"/>
      <c r="MMQ3" s="53"/>
      <c r="MMR3" s="53"/>
      <c r="MMS3" s="53"/>
      <c r="MMT3" s="53"/>
      <c r="MMU3" s="53"/>
      <c r="MMV3" s="53"/>
      <c r="MMW3" s="53"/>
      <c r="MMX3" s="212"/>
      <c r="MMY3" s="46"/>
      <c r="MMZ3" s="53"/>
      <c r="MNA3" s="53"/>
      <c r="MNB3" s="53"/>
      <c r="MNC3" s="53"/>
      <c r="MND3" s="53"/>
      <c r="MNE3" s="53"/>
      <c r="MNF3" s="53"/>
      <c r="MNG3" s="53"/>
      <c r="MNH3" s="53"/>
      <c r="MNI3" s="53"/>
      <c r="MNJ3" s="53"/>
      <c r="MNK3" s="53"/>
      <c r="MNL3" s="53"/>
      <c r="MNM3" s="212"/>
      <c r="MNN3" s="46"/>
      <c r="MNO3" s="53"/>
      <c r="MNP3" s="53"/>
      <c r="MNQ3" s="53"/>
      <c r="MNR3" s="53"/>
      <c r="MNS3" s="53"/>
      <c r="MNT3" s="53"/>
      <c r="MNU3" s="53"/>
      <c r="MNV3" s="53"/>
      <c r="MNW3" s="53"/>
      <c r="MNX3" s="53"/>
      <c r="MNY3" s="53"/>
      <c r="MNZ3" s="53"/>
      <c r="MOA3" s="53"/>
      <c r="MOB3" s="212"/>
      <c r="MOC3" s="46"/>
      <c r="MOD3" s="53"/>
      <c r="MOE3" s="53"/>
      <c r="MOF3" s="53"/>
      <c r="MOG3" s="53"/>
      <c r="MOH3" s="53"/>
      <c r="MOI3" s="53"/>
      <c r="MOJ3" s="53"/>
      <c r="MOK3" s="53"/>
      <c r="MOL3" s="53"/>
      <c r="MOM3" s="53"/>
      <c r="MON3" s="53"/>
      <c r="MOO3" s="53"/>
      <c r="MOP3" s="53"/>
      <c r="MOQ3" s="212"/>
      <c r="MOR3" s="46"/>
      <c r="MOS3" s="53"/>
      <c r="MOT3" s="53"/>
      <c r="MOU3" s="53"/>
      <c r="MOV3" s="53"/>
      <c r="MOW3" s="53"/>
      <c r="MOX3" s="53"/>
      <c r="MOY3" s="53"/>
      <c r="MOZ3" s="53"/>
      <c r="MPA3" s="53"/>
      <c r="MPB3" s="53"/>
      <c r="MPC3" s="53"/>
      <c r="MPD3" s="53"/>
      <c r="MPE3" s="53"/>
      <c r="MPF3" s="212"/>
      <c r="MPG3" s="46"/>
      <c r="MPH3" s="53"/>
      <c r="MPI3" s="53"/>
      <c r="MPJ3" s="53"/>
      <c r="MPK3" s="53"/>
      <c r="MPL3" s="53"/>
      <c r="MPM3" s="53"/>
      <c r="MPN3" s="53"/>
      <c r="MPO3" s="53"/>
      <c r="MPP3" s="53"/>
      <c r="MPQ3" s="53"/>
      <c r="MPR3" s="53"/>
      <c r="MPS3" s="53"/>
      <c r="MPT3" s="53"/>
      <c r="MPU3" s="212"/>
      <c r="MPV3" s="46"/>
      <c r="MPW3" s="53"/>
      <c r="MPX3" s="53"/>
      <c r="MPY3" s="53"/>
      <c r="MPZ3" s="53"/>
      <c r="MQA3" s="53"/>
      <c r="MQB3" s="53"/>
      <c r="MQC3" s="53"/>
      <c r="MQD3" s="53"/>
      <c r="MQE3" s="53"/>
      <c r="MQF3" s="53"/>
      <c r="MQG3" s="53"/>
      <c r="MQH3" s="53"/>
      <c r="MQI3" s="53"/>
      <c r="MQJ3" s="212"/>
      <c r="MQK3" s="46"/>
      <c r="MQL3" s="53"/>
      <c r="MQM3" s="53"/>
      <c r="MQN3" s="53"/>
      <c r="MQO3" s="53"/>
      <c r="MQP3" s="53"/>
      <c r="MQQ3" s="53"/>
      <c r="MQR3" s="53"/>
      <c r="MQS3" s="53"/>
      <c r="MQT3" s="53"/>
      <c r="MQU3" s="53"/>
      <c r="MQV3" s="53"/>
      <c r="MQW3" s="53"/>
      <c r="MQX3" s="53"/>
      <c r="MQY3" s="212"/>
      <c r="MQZ3" s="46"/>
      <c r="MRA3" s="53"/>
      <c r="MRB3" s="53"/>
      <c r="MRC3" s="53"/>
      <c r="MRD3" s="53"/>
      <c r="MRE3" s="53"/>
      <c r="MRF3" s="53"/>
      <c r="MRG3" s="53"/>
      <c r="MRH3" s="53"/>
      <c r="MRI3" s="53"/>
      <c r="MRJ3" s="53"/>
      <c r="MRK3" s="53"/>
      <c r="MRL3" s="53"/>
      <c r="MRM3" s="53"/>
      <c r="MRN3" s="212"/>
      <c r="MRO3" s="46"/>
      <c r="MRP3" s="53"/>
      <c r="MRQ3" s="53"/>
      <c r="MRR3" s="53"/>
      <c r="MRS3" s="53"/>
      <c r="MRT3" s="53"/>
      <c r="MRU3" s="53"/>
      <c r="MRV3" s="53"/>
      <c r="MRW3" s="53"/>
      <c r="MRX3" s="53"/>
      <c r="MRY3" s="53"/>
      <c r="MRZ3" s="53"/>
      <c r="MSA3" s="53"/>
      <c r="MSB3" s="53"/>
      <c r="MSC3" s="212"/>
      <c r="MSD3" s="46"/>
      <c r="MSE3" s="53"/>
      <c r="MSF3" s="53"/>
      <c r="MSG3" s="53"/>
      <c r="MSH3" s="53"/>
      <c r="MSI3" s="53"/>
      <c r="MSJ3" s="53"/>
      <c r="MSK3" s="53"/>
      <c r="MSL3" s="53"/>
      <c r="MSM3" s="53"/>
      <c r="MSN3" s="53"/>
      <c r="MSO3" s="53"/>
      <c r="MSP3" s="53"/>
      <c r="MSQ3" s="53"/>
      <c r="MSR3" s="212"/>
      <c r="MSS3" s="46"/>
      <c r="MST3" s="53"/>
      <c r="MSU3" s="53"/>
      <c r="MSV3" s="53"/>
      <c r="MSW3" s="53"/>
      <c r="MSX3" s="53"/>
      <c r="MSY3" s="53"/>
      <c r="MSZ3" s="53"/>
      <c r="MTA3" s="53"/>
      <c r="MTB3" s="53"/>
      <c r="MTC3" s="53"/>
      <c r="MTD3" s="53"/>
      <c r="MTE3" s="53"/>
      <c r="MTF3" s="53"/>
      <c r="MTG3" s="212"/>
      <c r="MTH3" s="46"/>
      <c r="MTI3" s="53"/>
      <c r="MTJ3" s="53"/>
      <c r="MTK3" s="53"/>
      <c r="MTL3" s="53"/>
      <c r="MTM3" s="53"/>
      <c r="MTN3" s="53"/>
      <c r="MTO3" s="53"/>
      <c r="MTP3" s="53"/>
      <c r="MTQ3" s="53"/>
      <c r="MTR3" s="53"/>
      <c r="MTS3" s="53"/>
      <c r="MTT3" s="53"/>
      <c r="MTU3" s="53"/>
      <c r="MTV3" s="212"/>
      <c r="MTW3" s="46"/>
      <c r="MTX3" s="53"/>
      <c r="MTY3" s="53"/>
      <c r="MTZ3" s="53"/>
      <c r="MUA3" s="53"/>
      <c r="MUB3" s="53"/>
      <c r="MUC3" s="53"/>
      <c r="MUD3" s="53"/>
      <c r="MUE3" s="53"/>
      <c r="MUF3" s="53"/>
      <c r="MUG3" s="53"/>
      <c r="MUH3" s="53"/>
      <c r="MUI3" s="53"/>
      <c r="MUJ3" s="53"/>
      <c r="MUK3" s="212"/>
      <c r="MUL3" s="46"/>
      <c r="MUM3" s="53"/>
      <c r="MUN3" s="53"/>
      <c r="MUO3" s="53"/>
      <c r="MUP3" s="53"/>
      <c r="MUQ3" s="53"/>
      <c r="MUR3" s="53"/>
      <c r="MUS3" s="53"/>
      <c r="MUT3" s="53"/>
      <c r="MUU3" s="53"/>
      <c r="MUV3" s="53"/>
      <c r="MUW3" s="53"/>
      <c r="MUX3" s="53"/>
      <c r="MUY3" s="53"/>
      <c r="MUZ3" s="212"/>
      <c r="MVA3" s="46"/>
      <c r="MVB3" s="53"/>
      <c r="MVC3" s="53"/>
      <c r="MVD3" s="53"/>
      <c r="MVE3" s="53"/>
      <c r="MVF3" s="53"/>
      <c r="MVG3" s="53"/>
      <c r="MVH3" s="53"/>
      <c r="MVI3" s="53"/>
      <c r="MVJ3" s="53"/>
      <c r="MVK3" s="53"/>
      <c r="MVL3" s="53"/>
      <c r="MVM3" s="53"/>
      <c r="MVN3" s="53"/>
      <c r="MVO3" s="212"/>
      <c r="MVP3" s="46"/>
      <c r="MVQ3" s="53"/>
      <c r="MVR3" s="53"/>
      <c r="MVS3" s="53"/>
      <c r="MVT3" s="53"/>
      <c r="MVU3" s="53"/>
      <c r="MVV3" s="53"/>
      <c r="MVW3" s="53"/>
      <c r="MVX3" s="53"/>
      <c r="MVY3" s="53"/>
      <c r="MVZ3" s="53"/>
      <c r="MWA3" s="53"/>
      <c r="MWB3" s="53"/>
      <c r="MWC3" s="53"/>
      <c r="MWD3" s="212"/>
      <c r="MWE3" s="46"/>
      <c r="MWF3" s="53"/>
      <c r="MWG3" s="53"/>
      <c r="MWH3" s="53"/>
      <c r="MWI3" s="53"/>
      <c r="MWJ3" s="53"/>
      <c r="MWK3" s="53"/>
      <c r="MWL3" s="53"/>
      <c r="MWM3" s="53"/>
      <c r="MWN3" s="53"/>
      <c r="MWO3" s="53"/>
      <c r="MWP3" s="53"/>
      <c r="MWQ3" s="53"/>
      <c r="MWR3" s="53"/>
      <c r="MWS3" s="212"/>
      <c r="MWT3" s="46"/>
      <c r="MWU3" s="53"/>
      <c r="MWV3" s="53"/>
      <c r="MWW3" s="53"/>
      <c r="MWX3" s="53"/>
      <c r="MWY3" s="53"/>
      <c r="MWZ3" s="53"/>
      <c r="MXA3" s="53"/>
      <c r="MXB3" s="53"/>
      <c r="MXC3" s="53"/>
      <c r="MXD3" s="53"/>
      <c r="MXE3" s="53"/>
      <c r="MXF3" s="53"/>
      <c r="MXG3" s="53"/>
      <c r="MXH3" s="212"/>
      <c r="MXI3" s="46"/>
      <c r="MXJ3" s="53"/>
      <c r="MXK3" s="53"/>
      <c r="MXL3" s="53"/>
      <c r="MXM3" s="53"/>
      <c r="MXN3" s="53"/>
      <c r="MXO3" s="53"/>
      <c r="MXP3" s="53"/>
      <c r="MXQ3" s="53"/>
      <c r="MXR3" s="53"/>
      <c r="MXS3" s="53"/>
      <c r="MXT3" s="53"/>
      <c r="MXU3" s="53"/>
      <c r="MXV3" s="53"/>
      <c r="MXW3" s="212"/>
      <c r="MXX3" s="46"/>
      <c r="MXY3" s="53"/>
      <c r="MXZ3" s="53"/>
      <c r="MYA3" s="53"/>
      <c r="MYB3" s="53"/>
      <c r="MYC3" s="53"/>
      <c r="MYD3" s="53"/>
      <c r="MYE3" s="53"/>
      <c r="MYF3" s="53"/>
      <c r="MYG3" s="53"/>
      <c r="MYH3" s="53"/>
      <c r="MYI3" s="53"/>
      <c r="MYJ3" s="53"/>
      <c r="MYK3" s="53"/>
      <c r="MYL3" s="212"/>
      <c r="MYM3" s="46"/>
      <c r="MYN3" s="53"/>
      <c r="MYO3" s="53"/>
      <c r="MYP3" s="53"/>
      <c r="MYQ3" s="53"/>
      <c r="MYR3" s="53"/>
      <c r="MYS3" s="53"/>
      <c r="MYT3" s="53"/>
      <c r="MYU3" s="53"/>
      <c r="MYV3" s="53"/>
      <c r="MYW3" s="53"/>
      <c r="MYX3" s="53"/>
      <c r="MYY3" s="53"/>
      <c r="MYZ3" s="53"/>
      <c r="MZA3" s="212"/>
      <c r="MZB3" s="46"/>
      <c r="MZC3" s="53"/>
      <c r="MZD3" s="53"/>
      <c r="MZE3" s="53"/>
      <c r="MZF3" s="53"/>
      <c r="MZG3" s="53"/>
      <c r="MZH3" s="53"/>
      <c r="MZI3" s="53"/>
      <c r="MZJ3" s="53"/>
      <c r="MZK3" s="53"/>
      <c r="MZL3" s="53"/>
      <c r="MZM3" s="53"/>
      <c r="MZN3" s="53"/>
      <c r="MZO3" s="53"/>
      <c r="MZP3" s="212"/>
      <c r="MZQ3" s="46"/>
      <c r="MZR3" s="53"/>
      <c r="MZS3" s="53"/>
      <c r="MZT3" s="53"/>
      <c r="MZU3" s="53"/>
      <c r="MZV3" s="53"/>
      <c r="MZW3" s="53"/>
      <c r="MZX3" s="53"/>
      <c r="MZY3" s="53"/>
      <c r="MZZ3" s="53"/>
      <c r="NAA3" s="53"/>
      <c r="NAB3" s="53"/>
      <c r="NAC3" s="53"/>
      <c r="NAD3" s="53"/>
      <c r="NAE3" s="212"/>
      <c r="NAF3" s="46"/>
      <c r="NAG3" s="53"/>
      <c r="NAH3" s="53"/>
      <c r="NAI3" s="53"/>
      <c r="NAJ3" s="53"/>
      <c r="NAK3" s="53"/>
      <c r="NAL3" s="53"/>
      <c r="NAM3" s="53"/>
      <c r="NAN3" s="53"/>
      <c r="NAO3" s="53"/>
      <c r="NAP3" s="53"/>
      <c r="NAQ3" s="53"/>
      <c r="NAR3" s="53"/>
      <c r="NAS3" s="53"/>
      <c r="NAT3" s="212"/>
      <c r="NAU3" s="46"/>
      <c r="NAV3" s="53"/>
      <c r="NAW3" s="53"/>
      <c r="NAX3" s="53"/>
      <c r="NAY3" s="53"/>
      <c r="NAZ3" s="53"/>
      <c r="NBA3" s="53"/>
      <c r="NBB3" s="53"/>
      <c r="NBC3" s="53"/>
      <c r="NBD3" s="53"/>
      <c r="NBE3" s="53"/>
      <c r="NBF3" s="53"/>
      <c r="NBG3" s="53"/>
      <c r="NBH3" s="53"/>
      <c r="NBI3" s="212"/>
      <c r="NBJ3" s="46"/>
      <c r="NBK3" s="53"/>
      <c r="NBL3" s="53"/>
      <c r="NBM3" s="53"/>
      <c r="NBN3" s="53"/>
      <c r="NBO3" s="53"/>
      <c r="NBP3" s="53"/>
      <c r="NBQ3" s="53"/>
      <c r="NBR3" s="53"/>
      <c r="NBS3" s="53"/>
      <c r="NBT3" s="53"/>
      <c r="NBU3" s="53"/>
      <c r="NBV3" s="53"/>
      <c r="NBW3" s="53"/>
      <c r="NBX3" s="212"/>
      <c r="NBY3" s="46"/>
      <c r="NBZ3" s="53"/>
      <c r="NCA3" s="53"/>
      <c r="NCB3" s="53"/>
      <c r="NCC3" s="53"/>
      <c r="NCD3" s="53"/>
      <c r="NCE3" s="53"/>
      <c r="NCF3" s="53"/>
      <c r="NCG3" s="53"/>
      <c r="NCH3" s="53"/>
      <c r="NCI3" s="53"/>
      <c r="NCJ3" s="53"/>
      <c r="NCK3" s="53"/>
      <c r="NCL3" s="53"/>
      <c r="NCM3" s="212"/>
      <c r="NCN3" s="46"/>
      <c r="NCO3" s="53"/>
      <c r="NCP3" s="53"/>
      <c r="NCQ3" s="53"/>
      <c r="NCR3" s="53"/>
      <c r="NCS3" s="53"/>
      <c r="NCT3" s="53"/>
      <c r="NCU3" s="53"/>
      <c r="NCV3" s="53"/>
      <c r="NCW3" s="53"/>
      <c r="NCX3" s="53"/>
      <c r="NCY3" s="53"/>
      <c r="NCZ3" s="53"/>
      <c r="NDA3" s="53"/>
      <c r="NDB3" s="212"/>
      <c r="NDC3" s="46"/>
      <c r="NDD3" s="53"/>
      <c r="NDE3" s="53"/>
      <c r="NDF3" s="53"/>
      <c r="NDG3" s="53"/>
      <c r="NDH3" s="53"/>
      <c r="NDI3" s="53"/>
      <c r="NDJ3" s="53"/>
      <c r="NDK3" s="53"/>
      <c r="NDL3" s="53"/>
      <c r="NDM3" s="53"/>
      <c r="NDN3" s="53"/>
      <c r="NDO3" s="53"/>
      <c r="NDP3" s="53"/>
      <c r="NDQ3" s="212"/>
      <c r="NDR3" s="46"/>
      <c r="NDS3" s="53"/>
      <c r="NDT3" s="53"/>
      <c r="NDU3" s="53"/>
      <c r="NDV3" s="53"/>
      <c r="NDW3" s="53"/>
      <c r="NDX3" s="53"/>
      <c r="NDY3" s="53"/>
      <c r="NDZ3" s="53"/>
      <c r="NEA3" s="53"/>
      <c r="NEB3" s="53"/>
      <c r="NEC3" s="53"/>
      <c r="NED3" s="53"/>
      <c r="NEE3" s="53"/>
      <c r="NEF3" s="212"/>
      <c r="NEG3" s="46"/>
      <c r="NEH3" s="53"/>
      <c r="NEI3" s="53"/>
      <c r="NEJ3" s="53"/>
      <c r="NEK3" s="53"/>
      <c r="NEL3" s="53"/>
      <c r="NEM3" s="53"/>
      <c r="NEN3" s="53"/>
      <c r="NEO3" s="53"/>
      <c r="NEP3" s="53"/>
      <c r="NEQ3" s="53"/>
      <c r="NER3" s="53"/>
      <c r="NES3" s="53"/>
      <c r="NET3" s="53"/>
      <c r="NEU3" s="212"/>
      <c r="NEV3" s="46"/>
      <c r="NEW3" s="53"/>
      <c r="NEX3" s="53"/>
      <c r="NEY3" s="53"/>
      <c r="NEZ3" s="53"/>
      <c r="NFA3" s="53"/>
      <c r="NFB3" s="53"/>
      <c r="NFC3" s="53"/>
      <c r="NFD3" s="53"/>
      <c r="NFE3" s="53"/>
      <c r="NFF3" s="53"/>
      <c r="NFG3" s="53"/>
      <c r="NFH3" s="53"/>
      <c r="NFI3" s="53"/>
      <c r="NFJ3" s="212"/>
      <c r="NFK3" s="46"/>
      <c r="NFL3" s="53"/>
      <c r="NFM3" s="53"/>
      <c r="NFN3" s="53"/>
      <c r="NFO3" s="53"/>
      <c r="NFP3" s="53"/>
      <c r="NFQ3" s="53"/>
      <c r="NFR3" s="53"/>
      <c r="NFS3" s="53"/>
      <c r="NFT3" s="53"/>
      <c r="NFU3" s="53"/>
      <c r="NFV3" s="53"/>
      <c r="NFW3" s="53"/>
      <c r="NFX3" s="53"/>
      <c r="NFY3" s="212"/>
      <c r="NFZ3" s="46"/>
      <c r="NGA3" s="53"/>
      <c r="NGB3" s="53"/>
      <c r="NGC3" s="53"/>
      <c r="NGD3" s="53"/>
      <c r="NGE3" s="53"/>
      <c r="NGF3" s="53"/>
      <c r="NGG3" s="53"/>
      <c r="NGH3" s="53"/>
      <c r="NGI3" s="53"/>
      <c r="NGJ3" s="53"/>
      <c r="NGK3" s="53"/>
      <c r="NGL3" s="53"/>
      <c r="NGM3" s="53"/>
      <c r="NGN3" s="212"/>
      <c r="NGO3" s="46"/>
      <c r="NGP3" s="53"/>
      <c r="NGQ3" s="53"/>
      <c r="NGR3" s="53"/>
      <c r="NGS3" s="53"/>
      <c r="NGT3" s="53"/>
      <c r="NGU3" s="53"/>
      <c r="NGV3" s="53"/>
      <c r="NGW3" s="53"/>
      <c r="NGX3" s="53"/>
      <c r="NGY3" s="53"/>
      <c r="NGZ3" s="53"/>
      <c r="NHA3" s="53"/>
      <c r="NHB3" s="53"/>
      <c r="NHC3" s="212"/>
      <c r="NHD3" s="46"/>
      <c r="NHE3" s="53"/>
      <c r="NHF3" s="53"/>
      <c r="NHG3" s="53"/>
      <c r="NHH3" s="53"/>
      <c r="NHI3" s="53"/>
      <c r="NHJ3" s="53"/>
      <c r="NHK3" s="53"/>
      <c r="NHL3" s="53"/>
      <c r="NHM3" s="53"/>
      <c r="NHN3" s="53"/>
      <c r="NHO3" s="53"/>
      <c r="NHP3" s="53"/>
      <c r="NHQ3" s="53"/>
      <c r="NHR3" s="212"/>
      <c r="NHS3" s="46"/>
      <c r="NHT3" s="53"/>
      <c r="NHU3" s="53"/>
      <c r="NHV3" s="53"/>
      <c r="NHW3" s="53"/>
      <c r="NHX3" s="53"/>
      <c r="NHY3" s="53"/>
      <c r="NHZ3" s="53"/>
      <c r="NIA3" s="53"/>
      <c r="NIB3" s="53"/>
      <c r="NIC3" s="53"/>
      <c r="NID3" s="53"/>
      <c r="NIE3" s="53"/>
      <c r="NIF3" s="53"/>
      <c r="NIG3" s="212"/>
      <c r="NIH3" s="46"/>
      <c r="NII3" s="53"/>
      <c r="NIJ3" s="53"/>
      <c r="NIK3" s="53"/>
      <c r="NIL3" s="53"/>
      <c r="NIM3" s="53"/>
      <c r="NIN3" s="53"/>
      <c r="NIO3" s="53"/>
      <c r="NIP3" s="53"/>
      <c r="NIQ3" s="53"/>
      <c r="NIR3" s="53"/>
      <c r="NIS3" s="53"/>
      <c r="NIT3" s="53"/>
      <c r="NIU3" s="53"/>
      <c r="NIV3" s="212"/>
      <c r="NIW3" s="46"/>
      <c r="NIX3" s="53"/>
      <c r="NIY3" s="53"/>
      <c r="NIZ3" s="53"/>
      <c r="NJA3" s="53"/>
      <c r="NJB3" s="53"/>
      <c r="NJC3" s="53"/>
      <c r="NJD3" s="53"/>
      <c r="NJE3" s="53"/>
      <c r="NJF3" s="53"/>
      <c r="NJG3" s="53"/>
      <c r="NJH3" s="53"/>
      <c r="NJI3" s="53"/>
      <c r="NJJ3" s="53"/>
      <c r="NJK3" s="212"/>
      <c r="NJL3" s="46"/>
      <c r="NJM3" s="53"/>
      <c r="NJN3" s="53"/>
      <c r="NJO3" s="53"/>
      <c r="NJP3" s="53"/>
      <c r="NJQ3" s="53"/>
      <c r="NJR3" s="53"/>
      <c r="NJS3" s="53"/>
      <c r="NJT3" s="53"/>
      <c r="NJU3" s="53"/>
      <c r="NJV3" s="53"/>
      <c r="NJW3" s="53"/>
      <c r="NJX3" s="53"/>
      <c r="NJY3" s="53"/>
      <c r="NJZ3" s="212"/>
      <c r="NKA3" s="46"/>
      <c r="NKB3" s="53"/>
      <c r="NKC3" s="53"/>
      <c r="NKD3" s="53"/>
      <c r="NKE3" s="53"/>
      <c r="NKF3" s="53"/>
      <c r="NKG3" s="53"/>
      <c r="NKH3" s="53"/>
      <c r="NKI3" s="53"/>
      <c r="NKJ3" s="53"/>
      <c r="NKK3" s="53"/>
      <c r="NKL3" s="53"/>
      <c r="NKM3" s="53"/>
      <c r="NKN3" s="53"/>
      <c r="NKO3" s="212"/>
      <c r="NKP3" s="46"/>
      <c r="NKQ3" s="53"/>
      <c r="NKR3" s="53"/>
      <c r="NKS3" s="53"/>
      <c r="NKT3" s="53"/>
      <c r="NKU3" s="53"/>
      <c r="NKV3" s="53"/>
      <c r="NKW3" s="53"/>
      <c r="NKX3" s="53"/>
      <c r="NKY3" s="53"/>
      <c r="NKZ3" s="53"/>
      <c r="NLA3" s="53"/>
      <c r="NLB3" s="53"/>
      <c r="NLC3" s="53"/>
      <c r="NLD3" s="212"/>
      <c r="NLE3" s="46"/>
      <c r="NLF3" s="53"/>
      <c r="NLG3" s="53"/>
      <c r="NLH3" s="53"/>
      <c r="NLI3" s="53"/>
      <c r="NLJ3" s="53"/>
      <c r="NLK3" s="53"/>
      <c r="NLL3" s="53"/>
      <c r="NLM3" s="53"/>
      <c r="NLN3" s="53"/>
      <c r="NLO3" s="53"/>
      <c r="NLP3" s="53"/>
      <c r="NLQ3" s="53"/>
      <c r="NLR3" s="53"/>
      <c r="NLS3" s="212"/>
      <c r="NLT3" s="46"/>
      <c r="NLU3" s="53"/>
      <c r="NLV3" s="53"/>
      <c r="NLW3" s="53"/>
      <c r="NLX3" s="53"/>
      <c r="NLY3" s="53"/>
      <c r="NLZ3" s="53"/>
      <c r="NMA3" s="53"/>
      <c r="NMB3" s="53"/>
      <c r="NMC3" s="53"/>
      <c r="NMD3" s="53"/>
      <c r="NME3" s="53"/>
      <c r="NMF3" s="53"/>
      <c r="NMG3" s="53"/>
      <c r="NMH3" s="212"/>
      <c r="NMI3" s="46"/>
      <c r="NMJ3" s="53"/>
      <c r="NMK3" s="53"/>
      <c r="NML3" s="53"/>
      <c r="NMM3" s="53"/>
      <c r="NMN3" s="53"/>
      <c r="NMO3" s="53"/>
      <c r="NMP3" s="53"/>
      <c r="NMQ3" s="53"/>
      <c r="NMR3" s="53"/>
      <c r="NMS3" s="53"/>
      <c r="NMT3" s="53"/>
      <c r="NMU3" s="53"/>
      <c r="NMV3" s="53"/>
      <c r="NMW3" s="212"/>
      <c r="NMX3" s="46"/>
      <c r="NMY3" s="53"/>
      <c r="NMZ3" s="53"/>
      <c r="NNA3" s="53"/>
      <c r="NNB3" s="53"/>
      <c r="NNC3" s="53"/>
      <c r="NND3" s="53"/>
      <c r="NNE3" s="53"/>
      <c r="NNF3" s="53"/>
      <c r="NNG3" s="53"/>
      <c r="NNH3" s="53"/>
      <c r="NNI3" s="53"/>
      <c r="NNJ3" s="53"/>
      <c r="NNK3" s="53"/>
      <c r="NNL3" s="212"/>
      <c r="NNM3" s="46"/>
      <c r="NNN3" s="53"/>
      <c r="NNO3" s="53"/>
      <c r="NNP3" s="53"/>
      <c r="NNQ3" s="53"/>
      <c r="NNR3" s="53"/>
      <c r="NNS3" s="53"/>
      <c r="NNT3" s="53"/>
      <c r="NNU3" s="53"/>
      <c r="NNV3" s="53"/>
      <c r="NNW3" s="53"/>
      <c r="NNX3" s="53"/>
      <c r="NNY3" s="53"/>
      <c r="NNZ3" s="53"/>
      <c r="NOA3" s="212"/>
      <c r="NOB3" s="46"/>
      <c r="NOC3" s="53"/>
      <c r="NOD3" s="53"/>
      <c r="NOE3" s="53"/>
      <c r="NOF3" s="53"/>
      <c r="NOG3" s="53"/>
      <c r="NOH3" s="53"/>
      <c r="NOI3" s="53"/>
      <c r="NOJ3" s="53"/>
      <c r="NOK3" s="53"/>
      <c r="NOL3" s="53"/>
      <c r="NOM3" s="53"/>
      <c r="NON3" s="53"/>
      <c r="NOO3" s="53"/>
      <c r="NOP3" s="212"/>
      <c r="NOQ3" s="46"/>
      <c r="NOR3" s="53"/>
      <c r="NOS3" s="53"/>
      <c r="NOT3" s="53"/>
      <c r="NOU3" s="53"/>
      <c r="NOV3" s="53"/>
      <c r="NOW3" s="53"/>
      <c r="NOX3" s="53"/>
      <c r="NOY3" s="53"/>
      <c r="NOZ3" s="53"/>
      <c r="NPA3" s="53"/>
      <c r="NPB3" s="53"/>
      <c r="NPC3" s="53"/>
      <c r="NPD3" s="53"/>
      <c r="NPE3" s="212"/>
      <c r="NPF3" s="46"/>
      <c r="NPG3" s="53"/>
      <c r="NPH3" s="53"/>
      <c r="NPI3" s="53"/>
      <c r="NPJ3" s="53"/>
      <c r="NPK3" s="53"/>
      <c r="NPL3" s="53"/>
      <c r="NPM3" s="53"/>
      <c r="NPN3" s="53"/>
      <c r="NPO3" s="53"/>
      <c r="NPP3" s="53"/>
      <c r="NPQ3" s="53"/>
      <c r="NPR3" s="53"/>
      <c r="NPS3" s="53"/>
      <c r="NPT3" s="212"/>
      <c r="NPU3" s="46"/>
      <c r="NPV3" s="53"/>
      <c r="NPW3" s="53"/>
      <c r="NPX3" s="53"/>
      <c r="NPY3" s="53"/>
      <c r="NPZ3" s="53"/>
      <c r="NQA3" s="53"/>
      <c r="NQB3" s="53"/>
      <c r="NQC3" s="53"/>
      <c r="NQD3" s="53"/>
      <c r="NQE3" s="53"/>
      <c r="NQF3" s="53"/>
      <c r="NQG3" s="53"/>
      <c r="NQH3" s="53"/>
      <c r="NQI3" s="212"/>
      <c r="NQJ3" s="46"/>
      <c r="NQK3" s="53"/>
      <c r="NQL3" s="53"/>
      <c r="NQM3" s="53"/>
      <c r="NQN3" s="53"/>
      <c r="NQO3" s="53"/>
      <c r="NQP3" s="53"/>
      <c r="NQQ3" s="53"/>
      <c r="NQR3" s="53"/>
      <c r="NQS3" s="53"/>
      <c r="NQT3" s="53"/>
      <c r="NQU3" s="53"/>
      <c r="NQV3" s="53"/>
      <c r="NQW3" s="53"/>
      <c r="NQX3" s="212"/>
      <c r="NQY3" s="46"/>
      <c r="NQZ3" s="53"/>
      <c r="NRA3" s="53"/>
      <c r="NRB3" s="53"/>
      <c r="NRC3" s="53"/>
      <c r="NRD3" s="53"/>
      <c r="NRE3" s="53"/>
      <c r="NRF3" s="53"/>
      <c r="NRG3" s="53"/>
      <c r="NRH3" s="53"/>
      <c r="NRI3" s="53"/>
      <c r="NRJ3" s="53"/>
      <c r="NRK3" s="53"/>
      <c r="NRL3" s="53"/>
      <c r="NRM3" s="212"/>
      <c r="NRN3" s="46"/>
      <c r="NRO3" s="53"/>
      <c r="NRP3" s="53"/>
      <c r="NRQ3" s="53"/>
      <c r="NRR3" s="53"/>
      <c r="NRS3" s="53"/>
      <c r="NRT3" s="53"/>
      <c r="NRU3" s="53"/>
      <c r="NRV3" s="53"/>
      <c r="NRW3" s="53"/>
      <c r="NRX3" s="53"/>
      <c r="NRY3" s="53"/>
      <c r="NRZ3" s="53"/>
      <c r="NSA3" s="53"/>
      <c r="NSB3" s="212"/>
      <c r="NSC3" s="46"/>
      <c r="NSD3" s="53"/>
      <c r="NSE3" s="53"/>
      <c r="NSF3" s="53"/>
      <c r="NSG3" s="53"/>
      <c r="NSH3" s="53"/>
      <c r="NSI3" s="53"/>
      <c r="NSJ3" s="53"/>
      <c r="NSK3" s="53"/>
      <c r="NSL3" s="53"/>
      <c r="NSM3" s="53"/>
      <c r="NSN3" s="53"/>
      <c r="NSO3" s="53"/>
      <c r="NSP3" s="53"/>
      <c r="NSQ3" s="212"/>
      <c r="NSR3" s="46"/>
      <c r="NSS3" s="53"/>
      <c r="NST3" s="53"/>
      <c r="NSU3" s="53"/>
      <c r="NSV3" s="53"/>
      <c r="NSW3" s="53"/>
      <c r="NSX3" s="53"/>
      <c r="NSY3" s="53"/>
      <c r="NSZ3" s="53"/>
      <c r="NTA3" s="53"/>
      <c r="NTB3" s="53"/>
      <c r="NTC3" s="53"/>
      <c r="NTD3" s="53"/>
      <c r="NTE3" s="53"/>
      <c r="NTF3" s="212"/>
      <c r="NTG3" s="46"/>
      <c r="NTH3" s="53"/>
      <c r="NTI3" s="53"/>
      <c r="NTJ3" s="53"/>
      <c r="NTK3" s="53"/>
      <c r="NTL3" s="53"/>
      <c r="NTM3" s="53"/>
      <c r="NTN3" s="53"/>
      <c r="NTO3" s="53"/>
      <c r="NTP3" s="53"/>
      <c r="NTQ3" s="53"/>
      <c r="NTR3" s="53"/>
      <c r="NTS3" s="53"/>
      <c r="NTT3" s="53"/>
      <c r="NTU3" s="212"/>
      <c r="NTV3" s="46"/>
      <c r="NTW3" s="53"/>
      <c r="NTX3" s="53"/>
      <c r="NTY3" s="53"/>
      <c r="NTZ3" s="53"/>
      <c r="NUA3" s="53"/>
      <c r="NUB3" s="53"/>
      <c r="NUC3" s="53"/>
      <c r="NUD3" s="53"/>
      <c r="NUE3" s="53"/>
      <c r="NUF3" s="53"/>
      <c r="NUG3" s="53"/>
      <c r="NUH3" s="53"/>
      <c r="NUI3" s="53"/>
      <c r="NUJ3" s="212"/>
      <c r="NUK3" s="46"/>
      <c r="NUL3" s="53"/>
      <c r="NUM3" s="53"/>
      <c r="NUN3" s="53"/>
      <c r="NUO3" s="53"/>
      <c r="NUP3" s="53"/>
      <c r="NUQ3" s="53"/>
      <c r="NUR3" s="53"/>
      <c r="NUS3" s="53"/>
      <c r="NUT3" s="53"/>
      <c r="NUU3" s="53"/>
      <c r="NUV3" s="53"/>
      <c r="NUW3" s="53"/>
      <c r="NUX3" s="53"/>
      <c r="NUY3" s="212"/>
      <c r="NUZ3" s="46"/>
      <c r="NVA3" s="53"/>
      <c r="NVB3" s="53"/>
      <c r="NVC3" s="53"/>
      <c r="NVD3" s="53"/>
      <c r="NVE3" s="53"/>
      <c r="NVF3" s="53"/>
      <c r="NVG3" s="53"/>
      <c r="NVH3" s="53"/>
      <c r="NVI3" s="53"/>
      <c r="NVJ3" s="53"/>
      <c r="NVK3" s="53"/>
      <c r="NVL3" s="53"/>
      <c r="NVM3" s="53"/>
      <c r="NVN3" s="212"/>
      <c r="NVO3" s="46"/>
      <c r="NVP3" s="53"/>
      <c r="NVQ3" s="53"/>
      <c r="NVR3" s="53"/>
      <c r="NVS3" s="53"/>
      <c r="NVT3" s="53"/>
      <c r="NVU3" s="53"/>
      <c r="NVV3" s="53"/>
      <c r="NVW3" s="53"/>
      <c r="NVX3" s="53"/>
      <c r="NVY3" s="53"/>
      <c r="NVZ3" s="53"/>
      <c r="NWA3" s="53"/>
      <c r="NWB3" s="53"/>
      <c r="NWC3" s="212"/>
      <c r="NWD3" s="46"/>
      <c r="NWE3" s="53"/>
      <c r="NWF3" s="53"/>
      <c r="NWG3" s="53"/>
      <c r="NWH3" s="53"/>
      <c r="NWI3" s="53"/>
      <c r="NWJ3" s="53"/>
      <c r="NWK3" s="53"/>
      <c r="NWL3" s="53"/>
      <c r="NWM3" s="53"/>
      <c r="NWN3" s="53"/>
      <c r="NWO3" s="53"/>
      <c r="NWP3" s="53"/>
      <c r="NWQ3" s="53"/>
      <c r="NWR3" s="212"/>
      <c r="NWS3" s="46"/>
      <c r="NWT3" s="53"/>
      <c r="NWU3" s="53"/>
      <c r="NWV3" s="53"/>
      <c r="NWW3" s="53"/>
      <c r="NWX3" s="53"/>
      <c r="NWY3" s="53"/>
      <c r="NWZ3" s="53"/>
      <c r="NXA3" s="53"/>
      <c r="NXB3" s="53"/>
      <c r="NXC3" s="53"/>
      <c r="NXD3" s="53"/>
      <c r="NXE3" s="53"/>
      <c r="NXF3" s="53"/>
      <c r="NXG3" s="212"/>
      <c r="NXH3" s="46"/>
      <c r="NXI3" s="53"/>
      <c r="NXJ3" s="53"/>
      <c r="NXK3" s="53"/>
      <c r="NXL3" s="53"/>
      <c r="NXM3" s="53"/>
      <c r="NXN3" s="53"/>
      <c r="NXO3" s="53"/>
      <c r="NXP3" s="53"/>
      <c r="NXQ3" s="53"/>
      <c r="NXR3" s="53"/>
      <c r="NXS3" s="53"/>
      <c r="NXT3" s="53"/>
      <c r="NXU3" s="53"/>
      <c r="NXV3" s="212"/>
      <c r="NXW3" s="46"/>
      <c r="NXX3" s="53"/>
      <c r="NXY3" s="53"/>
      <c r="NXZ3" s="53"/>
      <c r="NYA3" s="53"/>
      <c r="NYB3" s="53"/>
      <c r="NYC3" s="53"/>
      <c r="NYD3" s="53"/>
      <c r="NYE3" s="53"/>
      <c r="NYF3" s="53"/>
      <c r="NYG3" s="53"/>
      <c r="NYH3" s="53"/>
      <c r="NYI3" s="53"/>
      <c r="NYJ3" s="53"/>
      <c r="NYK3" s="212"/>
      <c r="NYL3" s="46"/>
      <c r="NYM3" s="53"/>
      <c r="NYN3" s="53"/>
      <c r="NYO3" s="53"/>
      <c r="NYP3" s="53"/>
      <c r="NYQ3" s="53"/>
      <c r="NYR3" s="53"/>
      <c r="NYS3" s="53"/>
      <c r="NYT3" s="53"/>
      <c r="NYU3" s="53"/>
      <c r="NYV3" s="53"/>
      <c r="NYW3" s="53"/>
      <c r="NYX3" s="53"/>
      <c r="NYY3" s="53"/>
      <c r="NYZ3" s="212"/>
      <c r="NZA3" s="46"/>
      <c r="NZB3" s="53"/>
      <c r="NZC3" s="53"/>
      <c r="NZD3" s="53"/>
      <c r="NZE3" s="53"/>
      <c r="NZF3" s="53"/>
      <c r="NZG3" s="53"/>
      <c r="NZH3" s="53"/>
      <c r="NZI3" s="53"/>
      <c r="NZJ3" s="53"/>
      <c r="NZK3" s="53"/>
      <c r="NZL3" s="53"/>
      <c r="NZM3" s="53"/>
      <c r="NZN3" s="53"/>
      <c r="NZO3" s="212"/>
      <c r="NZP3" s="46"/>
      <c r="NZQ3" s="53"/>
      <c r="NZR3" s="53"/>
      <c r="NZS3" s="53"/>
      <c r="NZT3" s="53"/>
      <c r="NZU3" s="53"/>
      <c r="NZV3" s="53"/>
      <c r="NZW3" s="53"/>
      <c r="NZX3" s="53"/>
      <c r="NZY3" s="53"/>
      <c r="NZZ3" s="53"/>
      <c r="OAA3" s="53"/>
      <c r="OAB3" s="53"/>
      <c r="OAC3" s="53"/>
      <c r="OAD3" s="212"/>
      <c r="OAE3" s="46"/>
      <c r="OAF3" s="53"/>
      <c r="OAG3" s="53"/>
      <c r="OAH3" s="53"/>
      <c r="OAI3" s="53"/>
      <c r="OAJ3" s="53"/>
      <c r="OAK3" s="53"/>
      <c r="OAL3" s="53"/>
      <c r="OAM3" s="53"/>
      <c r="OAN3" s="53"/>
      <c r="OAO3" s="53"/>
      <c r="OAP3" s="53"/>
      <c r="OAQ3" s="53"/>
      <c r="OAR3" s="53"/>
      <c r="OAS3" s="212"/>
      <c r="OAT3" s="46"/>
      <c r="OAU3" s="53"/>
      <c r="OAV3" s="53"/>
      <c r="OAW3" s="53"/>
      <c r="OAX3" s="53"/>
      <c r="OAY3" s="53"/>
      <c r="OAZ3" s="53"/>
      <c r="OBA3" s="53"/>
      <c r="OBB3" s="53"/>
      <c r="OBC3" s="53"/>
      <c r="OBD3" s="53"/>
      <c r="OBE3" s="53"/>
      <c r="OBF3" s="53"/>
      <c r="OBG3" s="53"/>
      <c r="OBH3" s="212"/>
      <c r="OBI3" s="46"/>
      <c r="OBJ3" s="53"/>
      <c r="OBK3" s="53"/>
      <c r="OBL3" s="53"/>
      <c r="OBM3" s="53"/>
      <c r="OBN3" s="53"/>
      <c r="OBO3" s="53"/>
      <c r="OBP3" s="53"/>
      <c r="OBQ3" s="53"/>
      <c r="OBR3" s="53"/>
      <c r="OBS3" s="53"/>
      <c r="OBT3" s="53"/>
      <c r="OBU3" s="53"/>
      <c r="OBV3" s="53"/>
      <c r="OBW3" s="212"/>
      <c r="OBX3" s="46"/>
      <c r="OBY3" s="53"/>
      <c r="OBZ3" s="53"/>
      <c r="OCA3" s="53"/>
      <c r="OCB3" s="53"/>
      <c r="OCC3" s="53"/>
      <c r="OCD3" s="53"/>
      <c r="OCE3" s="53"/>
      <c r="OCF3" s="53"/>
      <c r="OCG3" s="53"/>
      <c r="OCH3" s="53"/>
      <c r="OCI3" s="53"/>
      <c r="OCJ3" s="53"/>
      <c r="OCK3" s="53"/>
      <c r="OCL3" s="212"/>
      <c r="OCM3" s="46"/>
      <c r="OCN3" s="53"/>
      <c r="OCO3" s="53"/>
      <c r="OCP3" s="53"/>
      <c r="OCQ3" s="53"/>
      <c r="OCR3" s="53"/>
      <c r="OCS3" s="53"/>
      <c r="OCT3" s="53"/>
      <c r="OCU3" s="53"/>
      <c r="OCV3" s="53"/>
      <c r="OCW3" s="53"/>
      <c r="OCX3" s="53"/>
      <c r="OCY3" s="53"/>
      <c r="OCZ3" s="53"/>
      <c r="ODA3" s="212"/>
      <c r="ODB3" s="46"/>
      <c r="ODC3" s="53"/>
      <c r="ODD3" s="53"/>
      <c r="ODE3" s="53"/>
      <c r="ODF3" s="53"/>
      <c r="ODG3" s="53"/>
      <c r="ODH3" s="53"/>
      <c r="ODI3" s="53"/>
      <c r="ODJ3" s="53"/>
      <c r="ODK3" s="53"/>
      <c r="ODL3" s="53"/>
      <c r="ODM3" s="53"/>
      <c r="ODN3" s="53"/>
      <c r="ODO3" s="53"/>
      <c r="ODP3" s="212"/>
      <c r="ODQ3" s="46"/>
      <c r="ODR3" s="53"/>
      <c r="ODS3" s="53"/>
      <c r="ODT3" s="53"/>
      <c r="ODU3" s="53"/>
      <c r="ODV3" s="53"/>
      <c r="ODW3" s="53"/>
      <c r="ODX3" s="53"/>
      <c r="ODY3" s="53"/>
      <c r="ODZ3" s="53"/>
      <c r="OEA3" s="53"/>
      <c r="OEB3" s="53"/>
      <c r="OEC3" s="53"/>
      <c r="OED3" s="53"/>
      <c r="OEE3" s="212"/>
      <c r="OEF3" s="46"/>
      <c r="OEG3" s="53"/>
      <c r="OEH3" s="53"/>
      <c r="OEI3" s="53"/>
      <c r="OEJ3" s="53"/>
      <c r="OEK3" s="53"/>
      <c r="OEL3" s="53"/>
      <c r="OEM3" s="53"/>
      <c r="OEN3" s="53"/>
      <c r="OEO3" s="53"/>
      <c r="OEP3" s="53"/>
      <c r="OEQ3" s="53"/>
      <c r="OER3" s="53"/>
      <c r="OES3" s="53"/>
      <c r="OET3" s="212"/>
      <c r="OEU3" s="46"/>
      <c r="OEV3" s="53"/>
      <c r="OEW3" s="53"/>
      <c r="OEX3" s="53"/>
      <c r="OEY3" s="53"/>
      <c r="OEZ3" s="53"/>
      <c r="OFA3" s="53"/>
      <c r="OFB3" s="53"/>
      <c r="OFC3" s="53"/>
      <c r="OFD3" s="53"/>
      <c r="OFE3" s="53"/>
      <c r="OFF3" s="53"/>
      <c r="OFG3" s="53"/>
      <c r="OFH3" s="53"/>
      <c r="OFI3" s="212"/>
      <c r="OFJ3" s="46"/>
      <c r="OFK3" s="53"/>
      <c r="OFL3" s="53"/>
      <c r="OFM3" s="53"/>
      <c r="OFN3" s="53"/>
      <c r="OFO3" s="53"/>
      <c r="OFP3" s="53"/>
      <c r="OFQ3" s="53"/>
      <c r="OFR3" s="53"/>
      <c r="OFS3" s="53"/>
      <c r="OFT3" s="53"/>
      <c r="OFU3" s="53"/>
      <c r="OFV3" s="53"/>
      <c r="OFW3" s="53"/>
      <c r="OFX3" s="212"/>
      <c r="OFY3" s="46"/>
      <c r="OFZ3" s="53"/>
      <c r="OGA3" s="53"/>
      <c r="OGB3" s="53"/>
      <c r="OGC3" s="53"/>
      <c r="OGD3" s="53"/>
      <c r="OGE3" s="53"/>
      <c r="OGF3" s="53"/>
      <c r="OGG3" s="53"/>
      <c r="OGH3" s="53"/>
      <c r="OGI3" s="53"/>
      <c r="OGJ3" s="53"/>
      <c r="OGK3" s="53"/>
      <c r="OGL3" s="53"/>
      <c r="OGM3" s="212"/>
      <c r="OGN3" s="46"/>
      <c r="OGO3" s="53"/>
      <c r="OGP3" s="53"/>
      <c r="OGQ3" s="53"/>
      <c r="OGR3" s="53"/>
      <c r="OGS3" s="53"/>
      <c r="OGT3" s="53"/>
      <c r="OGU3" s="53"/>
      <c r="OGV3" s="53"/>
      <c r="OGW3" s="53"/>
      <c r="OGX3" s="53"/>
      <c r="OGY3" s="53"/>
      <c r="OGZ3" s="53"/>
      <c r="OHA3" s="53"/>
      <c r="OHB3" s="212"/>
      <c r="OHC3" s="46"/>
      <c r="OHD3" s="53"/>
      <c r="OHE3" s="53"/>
      <c r="OHF3" s="53"/>
      <c r="OHG3" s="53"/>
      <c r="OHH3" s="53"/>
      <c r="OHI3" s="53"/>
      <c r="OHJ3" s="53"/>
      <c r="OHK3" s="53"/>
      <c r="OHL3" s="53"/>
      <c r="OHM3" s="53"/>
      <c r="OHN3" s="53"/>
      <c r="OHO3" s="53"/>
      <c r="OHP3" s="53"/>
      <c r="OHQ3" s="212"/>
      <c r="OHR3" s="46"/>
      <c r="OHS3" s="53"/>
      <c r="OHT3" s="53"/>
      <c r="OHU3" s="53"/>
      <c r="OHV3" s="53"/>
      <c r="OHW3" s="53"/>
      <c r="OHX3" s="53"/>
      <c r="OHY3" s="53"/>
      <c r="OHZ3" s="53"/>
      <c r="OIA3" s="53"/>
      <c r="OIB3" s="53"/>
      <c r="OIC3" s="53"/>
      <c r="OID3" s="53"/>
      <c r="OIE3" s="53"/>
      <c r="OIF3" s="212"/>
      <c r="OIG3" s="46"/>
      <c r="OIH3" s="53"/>
      <c r="OII3" s="53"/>
      <c r="OIJ3" s="53"/>
      <c r="OIK3" s="53"/>
      <c r="OIL3" s="53"/>
      <c r="OIM3" s="53"/>
      <c r="OIN3" s="53"/>
      <c r="OIO3" s="53"/>
      <c r="OIP3" s="53"/>
      <c r="OIQ3" s="53"/>
      <c r="OIR3" s="53"/>
      <c r="OIS3" s="53"/>
      <c r="OIT3" s="53"/>
      <c r="OIU3" s="212"/>
      <c r="OIV3" s="46"/>
      <c r="OIW3" s="53"/>
      <c r="OIX3" s="53"/>
      <c r="OIY3" s="53"/>
      <c r="OIZ3" s="53"/>
      <c r="OJA3" s="53"/>
      <c r="OJB3" s="53"/>
      <c r="OJC3" s="53"/>
      <c r="OJD3" s="53"/>
      <c r="OJE3" s="53"/>
      <c r="OJF3" s="53"/>
      <c r="OJG3" s="53"/>
      <c r="OJH3" s="53"/>
      <c r="OJI3" s="53"/>
      <c r="OJJ3" s="212"/>
      <c r="OJK3" s="46"/>
      <c r="OJL3" s="53"/>
      <c r="OJM3" s="53"/>
      <c r="OJN3" s="53"/>
      <c r="OJO3" s="53"/>
      <c r="OJP3" s="53"/>
      <c r="OJQ3" s="53"/>
      <c r="OJR3" s="53"/>
      <c r="OJS3" s="53"/>
      <c r="OJT3" s="53"/>
      <c r="OJU3" s="53"/>
      <c r="OJV3" s="53"/>
      <c r="OJW3" s="53"/>
      <c r="OJX3" s="53"/>
      <c r="OJY3" s="212"/>
      <c r="OJZ3" s="46"/>
      <c r="OKA3" s="53"/>
      <c r="OKB3" s="53"/>
      <c r="OKC3" s="53"/>
      <c r="OKD3" s="53"/>
      <c r="OKE3" s="53"/>
      <c r="OKF3" s="53"/>
      <c r="OKG3" s="53"/>
      <c r="OKH3" s="53"/>
      <c r="OKI3" s="53"/>
      <c r="OKJ3" s="53"/>
      <c r="OKK3" s="53"/>
      <c r="OKL3" s="53"/>
      <c r="OKM3" s="53"/>
      <c r="OKN3" s="212"/>
      <c r="OKO3" s="46"/>
      <c r="OKP3" s="53"/>
      <c r="OKQ3" s="53"/>
      <c r="OKR3" s="53"/>
      <c r="OKS3" s="53"/>
      <c r="OKT3" s="53"/>
      <c r="OKU3" s="53"/>
      <c r="OKV3" s="53"/>
      <c r="OKW3" s="53"/>
      <c r="OKX3" s="53"/>
      <c r="OKY3" s="53"/>
      <c r="OKZ3" s="53"/>
      <c r="OLA3" s="53"/>
      <c r="OLB3" s="53"/>
      <c r="OLC3" s="212"/>
      <c r="OLD3" s="46"/>
      <c r="OLE3" s="53"/>
      <c r="OLF3" s="53"/>
      <c r="OLG3" s="53"/>
      <c r="OLH3" s="53"/>
      <c r="OLI3" s="53"/>
      <c r="OLJ3" s="53"/>
      <c r="OLK3" s="53"/>
      <c r="OLL3" s="53"/>
      <c r="OLM3" s="53"/>
      <c r="OLN3" s="53"/>
      <c r="OLO3" s="53"/>
      <c r="OLP3" s="53"/>
      <c r="OLQ3" s="53"/>
      <c r="OLR3" s="212"/>
      <c r="OLS3" s="46"/>
      <c r="OLT3" s="53"/>
      <c r="OLU3" s="53"/>
      <c r="OLV3" s="53"/>
      <c r="OLW3" s="53"/>
      <c r="OLX3" s="53"/>
      <c r="OLY3" s="53"/>
      <c r="OLZ3" s="53"/>
      <c r="OMA3" s="53"/>
      <c r="OMB3" s="53"/>
      <c r="OMC3" s="53"/>
      <c r="OMD3" s="53"/>
      <c r="OME3" s="53"/>
      <c r="OMF3" s="53"/>
      <c r="OMG3" s="212"/>
      <c r="OMH3" s="46"/>
      <c r="OMI3" s="53"/>
      <c r="OMJ3" s="53"/>
      <c r="OMK3" s="53"/>
      <c r="OML3" s="53"/>
      <c r="OMM3" s="53"/>
      <c r="OMN3" s="53"/>
      <c r="OMO3" s="53"/>
      <c r="OMP3" s="53"/>
      <c r="OMQ3" s="53"/>
      <c r="OMR3" s="53"/>
      <c r="OMS3" s="53"/>
      <c r="OMT3" s="53"/>
      <c r="OMU3" s="53"/>
      <c r="OMV3" s="212"/>
      <c r="OMW3" s="46"/>
      <c r="OMX3" s="53"/>
      <c r="OMY3" s="53"/>
      <c r="OMZ3" s="53"/>
      <c r="ONA3" s="53"/>
      <c r="ONB3" s="53"/>
      <c r="ONC3" s="53"/>
      <c r="OND3" s="53"/>
      <c r="ONE3" s="53"/>
      <c r="ONF3" s="53"/>
      <c r="ONG3" s="53"/>
      <c r="ONH3" s="53"/>
      <c r="ONI3" s="53"/>
      <c r="ONJ3" s="53"/>
      <c r="ONK3" s="212"/>
      <c r="ONL3" s="46"/>
      <c r="ONM3" s="53"/>
      <c r="ONN3" s="53"/>
      <c r="ONO3" s="53"/>
      <c r="ONP3" s="53"/>
      <c r="ONQ3" s="53"/>
      <c r="ONR3" s="53"/>
      <c r="ONS3" s="53"/>
      <c r="ONT3" s="53"/>
      <c r="ONU3" s="53"/>
      <c r="ONV3" s="53"/>
      <c r="ONW3" s="53"/>
      <c r="ONX3" s="53"/>
      <c r="ONY3" s="53"/>
      <c r="ONZ3" s="212"/>
      <c r="OOA3" s="46"/>
      <c r="OOB3" s="53"/>
      <c r="OOC3" s="53"/>
      <c r="OOD3" s="53"/>
      <c r="OOE3" s="53"/>
      <c r="OOF3" s="53"/>
      <c r="OOG3" s="53"/>
      <c r="OOH3" s="53"/>
      <c r="OOI3" s="53"/>
      <c r="OOJ3" s="53"/>
      <c r="OOK3" s="53"/>
      <c r="OOL3" s="53"/>
      <c r="OOM3" s="53"/>
      <c r="OON3" s="53"/>
      <c r="OOO3" s="212"/>
      <c r="OOP3" s="46"/>
      <c r="OOQ3" s="53"/>
      <c r="OOR3" s="53"/>
      <c r="OOS3" s="53"/>
      <c r="OOT3" s="53"/>
      <c r="OOU3" s="53"/>
      <c r="OOV3" s="53"/>
      <c r="OOW3" s="53"/>
      <c r="OOX3" s="53"/>
      <c r="OOY3" s="53"/>
      <c r="OOZ3" s="53"/>
      <c r="OPA3" s="53"/>
      <c r="OPB3" s="53"/>
      <c r="OPC3" s="53"/>
      <c r="OPD3" s="212"/>
      <c r="OPE3" s="46"/>
      <c r="OPF3" s="53"/>
      <c r="OPG3" s="53"/>
      <c r="OPH3" s="53"/>
      <c r="OPI3" s="53"/>
      <c r="OPJ3" s="53"/>
      <c r="OPK3" s="53"/>
      <c r="OPL3" s="53"/>
      <c r="OPM3" s="53"/>
      <c r="OPN3" s="53"/>
      <c r="OPO3" s="53"/>
      <c r="OPP3" s="53"/>
      <c r="OPQ3" s="53"/>
      <c r="OPR3" s="53"/>
      <c r="OPS3" s="212"/>
      <c r="OPT3" s="46"/>
      <c r="OPU3" s="53"/>
      <c r="OPV3" s="53"/>
      <c r="OPW3" s="53"/>
      <c r="OPX3" s="53"/>
      <c r="OPY3" s="53"/>
      <c r="OPZ3" s="53"/>
      <c r="OQA3" s="53"/>
      <c r="OQB3" s="53"/>
      <c r="OQC3" s="53"/>
      <c r="OQD3" s="53"/>
      <c r="OQE3" s="53"/>
      <c r="OQF3" s="53"/>
      <c r="OQG3" s="53"/>
      <c r="OQH3" s="212"/>
      <c r="OQI3" s="46"/>
      <c r="OQJ3" s="53"/>
      <c r="OQK3" s="53"/>
      <c r="OQL3" s="53"/>
      <c r="OQM3" s="53"/>
      <c r="OQN3" s="53"/>
      <c r="OQO3" s="53"/>
      <c r="OQP3" s="53"/>
      <c r="OQQ3" s="53"/>
      <c r="OQR3" s="53"/>
      <c r="OQS3" s="53"/>
      <c r="OQT3" s="53"/>
      <c r="OQU3" s="53"/>
      <c r="OQV3" s="53"/>
      <c r="OQW3" s="212"/>
      <c r="OQX3" s="46"/>
      <c r="OQY3" s="53"/>
      <c r="OQZ3" s="53"/>
      <c r="ORA3" s="53"/>
      <c r="ORB3" s="53"/>
      <c r="ORC3" s="53"/>
      <c r="ORD3" s="53"/>
      <c r="ORE3" s="53"/>
      <c r="ORF3" s="53"/>
      <c r="ORG3" s="53"/>
      <c r="ORH3" s="53"/>
      <c r="ORI3" s="53"/>
      <c r="ORJ3" s="53"/>
      <c r="ORK3" s="53"/>
      <c r="ORL3" s="212"/>
      <c r="ORM3" s="46"/>
      <c r="ORN3" s="53"/>
      <c r="ORO3" s="53"/>
      <c r="ORP3" s="53"/>
      <c r="ORQ3" s="53"/>
      <c r="ORR3" s="53"/>
      <c r="ORS3" s="53"/>
      <c r="ORT3" s="53"/>
      <c r="ORU3" s="53"/>
      <c r="ORV3" s="53"/>
      <c r="ORW3" s="53"/>
      <c r="ORX3" s="53"/>
      <c r="ORY3" s="53"/>
      <c r="ORZ3" s="53"/>
      <c r="OSA3" s="212"/>
      <c r="OSB3" s="46"/>
      <c r="OSC3" s="53"/>
      <c r="OSD3" s="53"/>
      <c r="OSE3" s="53"/>
      <c r="OSF3" s="53"/>
      <c r="OSG3" s="53"/>
      <c r="OSH3" s="53"/>
      <c r="OSI3" s="53"/>
      <c r="OSJ3" s="53"/>
      <c r="OSK3" s="53"/>
      <c r="OSL3" s="53"/>
      <c r="OSM3" s="53"/>
      <c r="OSN3" s="53"/>
      <c r="OSO3" s="53"/>
      <c r="OSP3" s="212"/>
      <c r="OSQ3" s="46"/>
      <c r="OSR3" s="53"/>
      <c r="OSS3" s="53"/>
      <c r="OST3" s="53"/>
      <c r="OSU3" s="53"/>
      <c r="OSV3" s="53"/>
      <c r="OSW3" s="53"/>
      <c r="OSX3" s="53"/>
      <c r="OSY3" s="53"/>
      <c r="OSZ3" s="53"/>
      <c r="OTA3" s="53"/>
      <c r="OTB3" s="53"/>
      <c r="OTC3" s="53"/>
      <c r="OTD3" s="53"/>
      <c r="OTE3" s="212"/>
      <c r="OTF3" s="46"/>
      <c r="OTG3" s="53"/>
      <c r="OTH3" s="53"/>
      <c r="OTI3" s="53"/>
      <c r="OTJ3" s="53"/>
      <c r="OTK3" s="53"/>
      <c r="OTL3" s="53"/>
      <c r="OTM3" s="53"/>
      <c r="OTN3" s="53"/>
      <c r="OTO3" s="53"/>
      <c r="OTP3" s="53"/>
      <c r="OTQ3" s="53"/>
      <c r="OTR3" s="53"/>
      <c r="OTS3" s="53"/>
      <c r="OTT3" s="212"/>
      <c r="OTU3" s="46"/>
      <c r="OTV3" s="53"/>
      <c r="OTW3" s="53"/>
      <c r="OTX3" s="53"/>
      <c r="OTY3" s="53"/>
      <c r="OTZ3" s="53"/>
      <c r="OUA3" s="53"/>
      <c r="OUB3" s="53"/>
      <c r="OUC3" s="53"/>
      <c r="OUD3" s="53"/>
      <c r="OUE3" s="53"/>
      <c r="OUF3" s="53"/>
      <c r="OUG3" s="53"/>
      <c r="OUH3" s="53"/>
      <c r="OUI3" s="212"/>
      <c r="OUJ3" s="46"/>
      <c r="OUK3" s="53"/>
      <c r="OUL3" s="53"/>
      <c r="OUM3" s="53"/>
      <c r="OUN3" s="53"/>
      <c r="OUO3" s="53"/>
      <c r="OUP3" s="53"/>
      <c r="OUQ3" s="53"/>
      <c r="OUR3" s="53"/>
      <c r="OUS3" s="53"/>
      <c r="OUT3" s="53"/>
      <c r="OUU3" s="53"/>
      <c r="OUV3" s="53"/>
      <c r="OUW3" s="53"/>
      <c r="OUX3" s="212"/>
      <c r="OUY3" s="46"/>
      <c r="OUZ3" s="53"/>
      <c r="OVA3" s="53"/>
      <c r="OVB3" s="53"/>
      <c r="OVC3" s="53"/>
      <c r="OVD3" s="53"/>
      <c r="OVE3" s="53"/>
      <c r="OVF3" s="53"/>
      <c r="OVG3" s="53"/>
      <c r="OVH3" s="53"/>
      <c r="OVI3" s="53"/>
      <c r="OVJ3" s="53"/>
      <c r="OVK3" s="53"/>
      <c r="OVL3" s="53"/>
      <c r="OVM3" s="212"/>
      <c r="OVN3" s="46"/>
      <c r="OVO3" s="53"/>
      <c r="OVP3" s="53"/>
      <c r="OVQ3" s="53"/>
      <c r="OVR3" s="53"/>
      <c r="OVS3" s="53"/>
      <c r="OVT3" s="53"/>
      <c r="OVU3" s="53"/>
      <c r="OVV3" s="53"/>
      <c r="OVW3" s="53"/>
      <c r="OVX3" s="53"/>
      <c r="OVY3" s="53"/>
      <c r="OVZ3" s="53"/>
      <c r="OWA3" s="53"/>
      <c r="OWB3" s="212"/>
      <c r="OWC3" s="46"/>
      <c r="OWD3" s="53"/>
      <c r="OWE3" s="53"/>
      <c r="OWF3" s="53"/>
      <c r="OWG3" s="53"/>
      <c r="OWH3" s="53"/>
      <c r="OWI3" s="53"/>
      <c r="OWJ3" s="53"/>
      <c r="OWK3" s="53"/>
      <c r="OWL3" s="53"/>
      <c r="OWM3" s="53"/>
      <c r="OWN3" s="53"/>
      <c r="OWO3" s="53"/>
      <c r="OWP3" s="53"/>
      <c r="OWQ3" s="212"/>
      <c r="OWR3" s="46"/>
      <c r="OWS3" s="53"/>
      <c r="OWT3" s="53"/>
      <c r="OWU3" s="53"/>
      <c r="OWV3" s="53"/>
      <c r="OWW3" s="53"/>
      <c r="OWX3" s="53"/>
      <c r="OWY3" s="53"/>
      <c r="OWZ3" s="53"/>
      <c r="OXA3" s="53"/>
      <c r="OXB3" s="53"/>
      <c r="OXC3" s="53"/>
      <c r="OXD3" s="53"/>
      <c r="OXE3" s="53"/>
      <c r="OXF3" s="212"/>
      <c r="OXG3" s="46"/>
      <c r="OXH3" s="53"/>
      <c r="OXI3" s="53"/>
      <c r="OXJ3" s="53"/>
      <c r="OXK3" s="53"/>
      <c r="OXL3" s="53"/>
      <c r="OXM3" s="53"/>
      <c r="OXN3" s="53"/>
      <c r="OXO3" s="53"/>
      <c r="OXP3" s="53"/>
      <c r="OXQ3" s="53"/>
      <c r="OXR3" s="53"/>
      <c r="OXS3" s="53"/>
      <c r="OXT3" s="53"/>
      <c r="OXU3" s="212"/>
      <c r="OXV3" s="46"/>
      <c r="OXW3" s="53"/>
      <c r="OXX3" s="53"/>
      <c r="OXY3" s="53"/>
      <c r="OXZ3" s="53"/>
      <c r="OYA3" s="53"/>
      <c r="OYB3" s="53"/>
      <c r="OYC3" s="53"/>
      <c r="OYD3" s="53"/>
      <c r="OYE3" s="53"/>
      <c r="OYF3" s="53"/>
      <c r="OYG3" s="53"/>
      <c r="OYH3" s="53"/>
      <c r="OYI3" s="53"/>
      <c r="OYJ3" s="212"/>
      <c r="OYK3" s="46"/>
      <c r="OYL3" s="53"/>
      <c r="OYM3" s="53"/>
      <c r="OYN3" s="53"/>
      <c r="OYO3" s="53"/>
      <c r="OYP3" s="53"/>
      <c r="OYQ3" s="53"/>
      <c r="OYR3" s="53"/>
      <c r="OYS3" s="53"/>
      <c r="OYT3" s="53"/>
      <c r="OYU3" s="53"/>
      <c r="OYV3" s="53"/>
      <c r="OYW3" s="53"/>
      <c r="OYX3" s="53"/>
      <c r="OYY3" s="212"/>
      <c r="OYZ3" s="46"/>
      <c r="OZA3" s="53"/>
      <c r="OZB3" s="53"/>
      <c r="OZC3" s="53"/>
      <c r="OZD3" s="53"/>
      <c r="OZE3" s="53"/>
      <c r="OZF3" s="53"/>
      <c r="OZG3" s="53"/>
      <c r="OZH3" s="53"/>
      <c r="OZI3" s="53"/>
      <c r="OZJ3" s="53"/>
      <c r="OZK3" s="53"/>
      <c r="OZL3" s="53"/>
      <c r="OZM3" s="53"/>
      <c r="OZN3" s="212"/>
      <c r="OZO3" s="46"/>
      <c r="OZP3" s="53"/>
      <c r="OZQ3" s="53"/>
      <c r="OZR3" s="53"/>
      <c r="OZS3" s="53"/>
      <c r="OZT3" s="53"/>
      <c r="OZU3" s="53"/>
      <c r="OZV3" s="53"/>
      <c r="OZW3" s="53"/>
      <c r="OZX3" s="53"/>
      <c r="OZY3" s="53"/>
      <c r="OZZ3" s="53"/>
      <c r="PAA3" s="53"/>
      <c r="PAB3" s="53"/>
      <c r="PAC3" s="212"/>
      <c r="PAD3" s="46"/>
      <c r="PAE3" s="53"/>
      <c r="PAF3" s="53"/>
      <c r="PAG3" s="53"/>
      <c r="PAH3" s="53"/>
      <c r="PAI3" s="53"/>
      <c r="PAJ3" s="53"/>
      <c r="PAK3" s="53"/>
      <c r="PAL3" s="53"/>
      <c r="PAM3" s="53"/>
      <c r="PAN3" s="53"/>
      <c r="PAO3" s="53"/>
      <c r="PAP3" s="53"/>
      <c r="PAQ3" s="53"/>
      <c r="PAR3" s="212"/>
      <c r="PAS3" s="46"/>
      <c r="PAT3" s="53"/>
      <c r="PAU3" s="53"/>
      <c r="PAV3" s="53"/>
      <c r="PAW3" s="53"/>
      <c r="PAX3" s="53"/>
      <c r="PAY3" s="53"/>
      <c r="PAZ3" s="53"/>
      <c r="PBA3" s="53"/>
      <c r="PBB3" s="53"/>
      <c r="PBC3" s="53"/>
      <c r="PBD3" s="53"/>
      <c r="PBE3" s="53"/>
      <c r="PBF3" s="53"/>
      <c r="PBG3" s="212"/>
      <c r="PBH3" s="46"/>
      <c r="PBI3" s="53"/>
      <c r="PBJ3" s="53"/>
      <c r="PBK3" s="53"/>
      <c r="PBL3" s="53"/>
      <c r="PBM3" s="53"/>
      <c r="PBN3" s="53"/>
      <c r="PBO3" s="53"/>
      <c r="PBP3" s="53"/>
      <c r="PBQ3" s="53"/>
      <c r="PBR3" s="53"/>
      <c r="PBS3" s="53"/>
      <c r="PBT3" s="53"/>
      <c r="PBU3" s="53"/>
      <c r="PBV3" s="212"/>
      <c r="PBW3" s="46"/>
      <c r="PBX3" s="53"/>
      <c r="PBY3" s="53"/>
      <c r="PBZ3" s="53"/>
      <c r="PCA3" s="53"/>
      <c r="PCB3" s="53"/>
      <c r="PCC3" s="53"/>
      <c r="PCD3" s="53"/>
      <c r="PCE3" s="53"/>
      <c r="PCF3" s="53"/>
      <c r="PCG3" s="53"/>
      <c r="PCH3" s="53"/>
      <c r="PCI3" s="53"/>
      <c r="PCJ3" s="53"/>
      <c r="PCK3" s="212"/>
      <c r="PCL3" s="46"/>
      <c r="PCM3" s="53"/>
      <c r="PCN3" s="53"/>
      <c r="PCO3" s="53"/>
      <c r="PCP3" s="53"/>
      <c r="PCQ3" s="53"/>
      <c r="PCR3" s="53"/>
      <c r="PCS3" s="53"/>
      <c r="PCT3" s="53"/>
      <c r="PCU3" s="53"/>
      <c r="PCV3" s="53"/>
      <c r="PCW3" s="53"/>
      <c r="PCX3" s="53"/>
      <c r="PCY3" s="53"/>
      <c r="PCZ3" s="212"/>
      <c r="PDA3" s="46"/>
      <c r="PDB3" s="53"/>
      <c r="PDC3" s="53"/>
      <c r="PDD3" s="53"/>
      <c r="PDE3" s="53"/>
      <c r="PDF3" s="53"/>
      <c r="PDG3" s="53"/>
      <c r="PDH3" s="53"/>
      <c r="PDI3" s="53"/>
      <c r="PDJ3" s="53"/>
      <c r="PDK3" s="53"/>
      <c r="PDL3" s="53"/>
      <c r="PDM3" s="53"/>
      <c r="PDN3" s="53"/>
      <c r="PDO3" s="212"/>
      <c r="PDP3" s="46"/>
      <c r="PDQ3" s="53"/>
      <c r="PDR3" s="53"/>
      <c r="PDS3" s="53"/>
      <c r="PDT3" s="53"/>
      <c r="PDU3" s="53"/>
      <c r="PDV3" s="53"/>
      <c r="PDW3" s="53"/>
      <c r="PDX3" s="53"/>
      <c r="PDY3" s="53"/>
      <c r="PDZ3" s="53"/>
      <c r="PEA3" s="53"/>
      <c r="PEB3" s="53"/>
      <c r="PEC3" s="53"/>
      <c r="PED3" s="212"/>
      <c r="PEE3" s="46"/>
      <c r="PEF3" s="53"/>
      <c r="PEG3" s="53"/>
      <c r="PEH3" s="53"/>
      <c r="PEI3" s="53"/>
      <c r="PEJ3" s="53"/>
      <c r="PEK3" s="53"/>
      <c r="PEL3" s="53"/>
      <c r="PEM3" s="53"/>
      <c r="PEN3" s="53"/>
      <c r="PEO3" s="53"/>
      <c r="PEP3" s="53"/>
      <c r="PEQ3" s="53"/>
      <c r="PER3" s="53"/>
      <c r="PES3" s="212"/>
      <c r="PET3" s="46"/>
      <c r="PEU3" s="53"/>
      <c r="PEV3" s="53"/>
      <c r="PEW3" s="53"/>
      <c r="PEX3" s="53"/>
      <c r="PEY3" s="53"/>
      <c r="PEZ3" s="53"/>
      <c r="PFA3" s="53"/>
      <c r="PFB3" s="53"/>
      <c r="PFC3" s="53"/>
      <c r="PFD3" s="53"/>
      <c r="PFE3" s="53"/>
      <c r="PFF3" s="53"/>
      <c r="PFG3" s="53"/>
      <c r="PFH3" s="212"/>
      <c r="PFI3" s="46"/>
      <c r="PFJ3" s="53"/>
      <c r="PFK3" s="53"/>
      <c r="PFL3" s="53"/>
      <c r="PFM3" s="53"/>
      <c r="PFN3" s="53"/>
      <c r="PFO3" s="53"/>
      <c r="PFP3" s="53"/>
      <c r="PFQ3" s="53"/>
      <c r="PFR3" s="53"/>
      <c r="PFS3" s="53"/>
      <c r="PFT3" s="53"/>
      <c r="PFU3" s="53"/>
      <c r="PFV3" s="53"/>
      <c r="PFW3" s="212"/>
      <c r="PFX3" s="46"/>
      <c r="PFY3" s="53"/>
      <c r="PFZ3" s="53"/>
      <c r="PGA3" s="53"/>
      <c r="PGB3" s="53"/>
      <c r="PGC3" s="53"/>
      <c r="PGD3" s="53"/>
      <c r="PGE3" s="53"/>
      <c r="PGF3" s="53"/>
      <c r="PGG3" s="53"/>
      <c r="PGH3" s="53"/>
      <c r="PGI3" s="53"/>
      <c r="PGJ3" s="53"/>
      <c r="PGK3" s="53"/>
      <c r="PGL3" s="212"/>
      <c r="PGM3" s="46"/>
      <c r="PGN3" s="53"/>
      <c r="PGO3" s="53"/>
      <c r="PGP3" s="53"/>
      <c r="PGQ3" s="53"/>
      <c r="PGR3" s="53"/>
      <c r="PGS3" s="53"/>
      <c r="PGT3" s="53"/>
      <c r="PGU3" s="53"/>
      <c r="PGV3" s="53"/>
      <c r="PGW3" s="53"/>
      <c r="PGX3" s="53"/>
      <c r="PGY3" s="53"/>
      <c r="PGZ3" s="53"/>
      <c r="PHA3" s="212"/>
      <c r="PHB3" s="46"/>
      <c r="PHC3" s="53"/>
      <c r="PHD3" s="53"/>
      <c r="PHE3" s="53"/>
      <c r="PHF3" s="53"/>
      <c r="PHG3" s="53"/>
      <c r="PHH3" s="53"/>
      <c r="PHI3" s="53"/>
      <c r="PHJ3" s="53"/>
      <c r="PHK3" s="53"/>
      <c r="PHL3" s="53"/>
      <c r="PHM3" s="53"/>
      <c r="PHN3" s="53"/>
      <c r="PHO3" s="53"/>
      <c r="PHP3" s="212"/>
      <c r="PHQ3" s="46"/>
      <c r="PHR3" s="53"/>
      <c r="PHS3" s="53"/>
      <c r="PHT3" s="53"/>
      <c r="PHU3" s="53"/>
      <c r="PHV3" s="53"/>
      <c r="PHW3" s="53"/>
      <c r="PHX3" s="53"/>
      <c r="PHY3" s="53"/>
      <c r="PHZ3" s="53"/>
      <c r="PIA3" s="53"/>
      <c r="PIB3" s="53"/>
      <c r="PIC3" s="53"/>
      <c r="PID3" s="53"/>
      <c r="PIE3" s="212"/>
      <c r="PIF3" s="46"/>
      <c r="PIG3" s="53"/>
      <c r="PIH3" s="53"/>
      <c r="PII3" s="53"/>
      <c r="PIJ3" s="53"/>
      <c r="PIK3" s="53"/>
      <c r="PIL3" s="53"/>
      <c r="PIM3" s="53"/>
      <c r="PIN3" s="53"/>
      <c r="PIO3" s="53"/>
      <c r="PIP3" s="53"/>
      <c r="PIQ3" s="53"/>
      <c r="PIR3" s="53"/>
      <c r="PIS3" s="53"/>
      <c r="PIT3" s="212"/>
      <c r="PIU3" s="46"/>
      <c r="PIV3" s="53"/>
      <c r="PIW3" s="53"/>
      <c r="PIX3" s="53"/>
      <c r="PIY3" s="53"/>
      <c r="PIZ3" s="53"/>
      <c r="PJA3" s="53"/>
      <c r="PJB3" s="53"/>
      <c r="PJC3" s="53"/>
      <c r="PJD3" s="53"/>
      <c r="PJE3" s="53"/>
      <c r="PJF3" s="53"/>
      <c r="PJG3" s="53"/>
      <c r="PJH3" s="53"/>
      <c r="PJI3" s="212"/>
      <c r="PJJ3" s="46"/>
      <c r="PJK3" s="53"/>
      <c r="PJL3" s="53"/>
      <c r="PJM3" s="53"/>
      <c r="PJN3" s="53"/>
      <c r="PJO3" s="53"/>
      <c r="PJP3" s="53"/>
      <c r="PJQ3" s="53"/>
      <c r="PJR3" s="53"/>
      <c r="PJS3" s="53"/>
      <c r="PJT3" s="53"/>
      <c r="PJU3" s="53"/>
      <c r="PJV3" s="53"/>
      <c r="PJW3" s="53"/>
      <c r="PJX3" s="212"/>
      <c r="PJY3" s="46"/>
      <c r="PJZ3" s="53"/>
      <c r="PKA3" s="53"/>
      <c r="PKB3" s="53"/>
      <c r="PKC3" s="53"/>
      <c r="PKD3" s="53"/>
      <c r="PKE3" s="53"/>
      <c r="PKF3" s="53"/>
      <c r="PKG3" s="53"/>
      <c r="PKH3" s="53"/>
      <c r="PKI3" s="53"/>
      <c r="PKJ3" s="53"/>
      <c r="PKK3" s="53"/>
      <c r="PKL3" s="53"/>
      <c r="PKM3" s="212"/>
      <c r="PKN3" s="46"/>
      <c r="PKO3" s="53"/>
      <c r="PKP3" s="53"/>
      <c r="PKQ3" s="53"/>
      <c r="PKR3" s="53"/>
      <c r="PKS3" s="53"/>
      <c r="PKT3" s="53"/>
      <c r="PKU3" s="53"/>
      <c r="PKV3" s="53"/>
      <c r="PKW3" s="53"/>
      <c r="PKX3" s="53"/>
      <c r="PKY3" s="53"/>
      <c r="PKZ3" s="53"/>
      <c r="PLA3" s="53"/>
      <c r="PLB3" s="212"/>
      <c r="PLC3" s="46"/>
      <c r="PLD3" s="53"/>
      <c r="PLE3" s="53"/>
      <c r="PLF3" s="53"/>
      <c r="PLG3" s="53"/>
      <c r="PLH3" s="53"/>
      <c r="PLI3" s="53"/>
      <c r="PLJ3" s="53"/>
      <c r="PLK3" s="53"/>
      <c r="PLL3" s="53"/>
      <c r="PLM3" s="53"/>
      <c r="PLN3" s="53"/>
      <c r="PLO3" s="53"/>
      <c r="PLP3" s="53"/>
      <c r="PLQ3" s="212"/>
      <c r="PLR3" s="46"/>
      <c r="PLS3" s="53"/>
      <c r="PLT3" s="53"/>
      <c r="PLU3" s="53"/>
      <c r="PLV3" s="53"/>
      <c r="PLW3" s="53"/>
      <c r="PLX3" s="53"/>
      <c r="PLY3" s="53"/>
      <c r="PLZ3" s="53"/>
      <c r="PMA3" s="53"/>
      <c r="PMB3" s="53"/>
      <c r="PMC3" s="53"/>
      <c r="PMD3" s="53"/>
      <c r="PME3" s="53"/>
      <c r="PMF3" s="212"/>
      <c r="PMG3" s="46"/>
      <c r="PMH3" s="53"/>
      <c r="PMI3" s="53"/>
      <c r="PMJ3" s="53"/>
      <c r="PMK3" s="53"/>
      <c r="PML3" s="53"/>
      <c r="PMM3" s="53"/>
      <c r="PMN3" s="53"/>
      <c r="PMO3" s="53"/>
      <c r="PMP3" s="53"/>
      <c r="PMQ3" s="53"/>
      <c r="PMR3" s="53"/>
      <c r="PMS3" s="53"/>
      <c r="PMT3" s="53"/>
      <c r="PMU3" s="212"/>
      <c r="PMV3" s="46"/>
      <c r="PMW3" s="53"/>
      <c r="PMX3" s="53"/>
      <c r="PMY3" s="53"/>
      <c r="PMZ3" s="53"/>
      <c r="PNA3" s="53"/>
      <c r="PNB3" s="53"/>
      <c r="PNC3" s="53"/>
      <c r="PND3" s="53"/>
      <c r="PNE3" s="53"/>
      <c r="PNF3" s="53"/>
      <c r="PNG3" s="53"/>
      <c r="PNH3" s="53"/>
      <c r="PNI3" s="53"/>
      <c r="PNJ3" s="212"/>
      <c r="PNK3" s="46"/>
      <c r="PNL3" s="53"/>
      <c r="PNM3" s="53"/>
      <c r="PNN3" s="53"/>
      <c r="PNO3" s="53"/>
      <c r="PNP3" s="53"/>
      <c r="PNQ3" s="53"/>
      <c r="PNR3" s="53"/>
      <c r="PNS3" s="53"/>
      <c r="PNT3" s="53"/>
      <c r="PNU3" s="53"/>
      <c r="PNV3" s="53"/>
      <c r="PNW3" s="53"/>
      <c r="PNX3" s="53"/>
      <c r="PNY3" s="212"/>
      <c r="PNZ3" s="46"/>
      <c r="POA3" s="53"/>
      <c r="POB3" s="53"/>
      <c r="POC3" s="53"/>
      <c r="POD3" s="53"/>
      <c r="POE3" s="53"/>
      <c r="POF3" s="53"/>
      <c r="POG3" s="53"/>
      <c r="POH3" s="53"/>
      <c r="POI3" s="53"/>
      <c r="POJ3" s="53"/>
      <c r="POK3" s="53"/>
      <c r="POL3" s="53"/>
      <c r="POM3" s="53"/>
      <c r="PON3" s="212"/>
      <c r="POO3" s="46"/>
      <c r="POP3" s="53"/>
      <c r="POQ3" s="53"/>
      <c r="POR3" s="53"/>
      <c r="POS3" s="53"/>
      <c r="POT3" s="53"/>
      <c r="POU3" s="53"/>
      <c r="POV3" s="53"/>
      <c r="POW3" s="53"/>
      <c r="POX3" s="53"/>
      <c r="POY3" s="53"/>
      <c r="POZ3" s="53"/>
      <c r="PPA3" s="53"/>
      <c r="PPB3" s="53"/>
      <c r="PPC3" s="212"/>
      <c r="PPD3" s="46"/>
      <c r="PPE3" s="53"/>
      <c r="PPF3" s="53"/>
      <c r="PPG3" s="53"/>
      <c r="PPH3" s="53"/>
      <c r="PPI3" s="53"/>
      <c r="PPJ3" s="53"/>
      <c r="PPK3" s="53"/>
      <c r="PPL3" s="53"/>
      <c r="PPM3" s="53"/>
      <c r="PPN3" s="53"/>
      <c r="PPO3" s="53"/>
      <c r="PPP3" s="53"/>
      <c r="PPQ3" s="53"/>
      <c r="PPR3" s="212"/>
      <c r="PPS3" s="46"/>
      <c r="PPT3" s="53"/>
      <c r="PPU3" s="53"/>
      <c r="PPV3" s="53"/>
      <c r="PPW3" s="53"/>
      <c r="PPX3" s="53"/>
      <c r="PPY3" s="53"/>
      <c r="PPZ3" s="53"/>
      <c r="PQA3" s="53"/>
      <c r="PQB3" s="53"/>
      <c r="PQC3" s="53"/>
      <c r="PQD3" s="53"/>
      <c r="PQE3" s="53"/>
      <c r="PQF3" s="53"/>
      <c r="PQG3" s="212"/>
      <c r="PQH3" s="46"/>
      <c r="PQI3" s="53"/>
      <c r="PQJ3" s="53"/>
      <c r="PQK3" s="53"/>
      <c r="PQL3" s="53"/>
      <c r="PQM3" s="53"/>
      <c r="PQN3" s="53"/>
      <c r="PQO3" s="53"/>
      <c r="PQP3" s="53"/>
      <c r="PQQ3" s="53"/>
      <c r="PQR3" s="53"/>
      <c r="PQS3" s="53"/>
      <c r="PQT3" s="53"/>
      <c r="PQU3" s="53"/>
      <c r="PQV3" s="212"/>
      <c r="PQW3" s="46"/>
      <c r="PQX3" s="53"/>
      <c r="PQY3" s="53"/>
      <c r="PQZ3" s="53"/>
      <c r="PRA3" s="53"/>
      <c r="PRB3" s="53"/>
      <c r="PRC3" s="53"/>
      <c r="PRD3" s="53"/>
      <c r="PRE3" s="53"/>
      <c r="PRF3" s="53"/>
      <c r="PRG3" s="53"/>
      <c r="PRH3" s="53"/>
      <c r="PRI3" s="53"/>
      <c r="PRJ3" s="53"/>
      <c r="PRK3" s="212"/>
      <c r="PRL3" s="46"/>
      <c r="PRM3" s="53"/>
      <c r="PRN3" s="53"/>
      <c r="PRO3" s="53"/>
      <c r="PRP3" s="53"/>
      <c r="PRQ3" s="53"/>
      <c r="PRR3" s="53"/>
      <c r="PRS3" s="53"/>
      <c r="PRT3" s="53"/>
      <c r="PRU3" s="53"/>
      <c r="PRV3" s="53"/>
      <c r="PRW3" s="53"/>
      <c r="PRX3" s="53"/>
      <c r="PRY3" s="53"/>
      <c r="PRZ3" s="212"/>
      <c r="PSA3" s="46"/>
      <c r="PSB3" s="53"/>
      <c r="PSC3" s="53"/>
      <c r="PSD3" s="53"/>
      <c r="PSE3" s="53"/>
      <c r="PSF3" s="53"/>
      <c r="PSG3" s="53"/>
      <c r="PSH3" s="53"/>
      <c r="PSI3" s="53"/>
      <c r="PSJ3" s="53"/>
      <c r="PSK3" s="53"/>
      <c r="PSL3" s="53"/>
      <c r="PSM3" s="53"/>
      <c r="PSN3" s="53"/>
      <c r="PSO3" s="212"/>
      <c r="PSP3" s="46"/>
      <c r="PSQ3" s="53"/>
      <c r="PSR3" s="53"/>
      <c r="PSS3" s="53"/>
      <c r="PST3" s="53"/>
      <c r="PSU3" s="53"/>
      <c r="PSV3" s="53"/>
      <c r="PSW3" s="53"/>
      <c r="PSX3" s="53"/>
      <c r="PSY3" s="53"/>
      <c r="PSZ3" s="53"/>
      <c r="PTA3" s="53"/>
      <c r="PTB3" s="53"/>
      <c r="PTC3" s="53"/>
      <c r="PTD3" s="212"/>
      <c r="PTE3" s="46"/>
      <c r="PTF3" s="53"/>
      <c r="PTG3" s="53"/>
      <c r="PTH3" s="53"/>
      <c r="PTI3" s="53"/>
      <c r="PTJ3" s="53"/>
      <c r="PTK3" s="53"/>
      <c r="PTL3" s="53"/>
      <c r="PTM3" s="53"/>
      <c r="PTN3" s="53"/>
      <c r="PTO3" s="53"/>
      <c r="PTP3" s="53"/>
      <c r="PTQ3" s="53"/>
      <c r="PTR3" s="53"/>
      <c r="PTS3" s="212"/>
      <c r="PTT3" s="46"/>
      <c r="PTU3" s="53"/>
      <c r="PTV3" s="53"/>
      <c r="PTW3" s="53"/>
      <c r="PTX3" s="53"/>
      <c r="PTY3" s="53"/>
      <c r="PTZ3" s="53"/>
      <c r="PUA3" s="53"/>
      <c r="PUB3" s="53"/>
      <c r="PUC3" s="53"/>
      <c r="PUD3" s="53"/>
      <c r="PUE3" s="53"/>
      <c r="PUF3" s="53"/>
      <c r="PUG3" s="53"/>
      <c r="PUH3" s="212"/>
      <c r="PUI3" s="46"/>
      <c r="PUJ3" s="53"/>
      <c r="PUK3" s="53"/>
      <c r="PUL3" s="53"/>
      <c r="PUM3" s="53"/>
      <c r="PUN3" s="53"/>
      <c r="PUO3" s="53"/>
      <c r="PUP3" s="53"/>
      <c r="PUQ3" s="53"/>
      <c r="PUR3" s="53"/>
      <c r="PUS3" s="53"/>
      <c r="PUT3" s="53"/>
      <c r="PUU3" s="53"/>
      <c r="PUV3" s="53"/>
      <c r="PUW3" s="212"/>
      <c r="PUX3" s="46"/>
      <c r="PUY3" s="53"/>
      <c r="PUZ3" s="53"/>
      <c r="PVA3" s="53"/>
      <c r="PVB3" s="53"/>
      <c r="PVC3" s="53"/>
      <c r="PVD3" s="53"/>
      <c r="PVE3" s="53"/>
      <c r="PVF3" s="53"/>
      <c r="PVG3" s="53"/>
      <c r="PVH3" s="53"/>
      <c r="PVI3" s="53"/>
      <c r="PVJ3" s="53"/>
      <c r="PVK3" s="53"/>
      <c r="PVL3" s="212"/>
      <c r="PVM3" s="46"/>
      <c r="PVN3" s="53"/>
      <c r="PVO3" s="53"/>
      <c r="PVP3" s="53"/>
      <c r="PVQ3" s="53"/>
      <c r="PVR3" s="53"/>
      <c r="PVS3" s="53"/>
      <c r="PVT3" s="53"/>
      <c r="PVU3" s="53"/>
      <c r="PVV3" s="53"/>
      <c r="PVW3" s="53"/>
      <c r="PVX3" s="53"/>
      <c r="PVY3" s="53"/>
      <c r="PVZ3" s="53"/>
      <c r="PWA3" s="212"/>
      <c r="PWB3" s="46"/>
      <c r="PWC3" s="53"/>
      <c r="PWD3" s="53"/>
      <c r="PWE3" s="53"/>
      <c r="PWF3" s="53"/>
      <c r="PWG3" s="53"/>
      <c r="PWH3" s="53"/>
      <c r="PWI3" s="53"/>
      <c r="PWJ3" s="53"/>
      <c r="PWK3" s="53"/>
      <c r="PWL3" s="53"/>
      <c r="PWM3" s="53"/>
      <c r="PWN3" s="53"/>
      <c r="PWO3" s="53"/>
      <c r="PWP3" s="212"/>
      <c r="PWQ3" s="46"/>
      <c r="PWR3" s="53"/>
      <c r="PWS3" s="53"/>
      <c r="PWT3" s="53"/>
      <c r="PWU3" s="53"/>
      <c r="PWV3" s="53"/>
      <c r="PWW3" s="53"/>
      <c r="PWX3" s="53"/>
      <c r="PWY3" s="53"/>
      <c r="PWZ3" s="53"/>
      <c r="PXA3" s="53"/>
      <c r="PXB3" s="53"/>
      <c r="PXC3" s="53"/>
      <c r="PXD3" s="53"/>
      <c r="PXE3" s="212"/>
      <c r="PXF3" s="46"/>
      <c r="PXG3" s="53"/>
      <c r="PXH3" s="53"/>
      <c r="PXI3" s="53"/>
      <c r="PXJ3" s="53"/>
      <c r="PXK3" s="53"/>
      <c r="PXL3" s="53"/>
      <c r="PXM3" s="53"/>
      <c r="PXN3" s="53"/>
      <c r="PXO3" s="53"/>
      <c r="PXP3" s="53"/>
      <c r="PXQ3" s="53"/>
      <c r="PXR3" s="53"/>
      <c r="PXS3" s="53"/>
      <c r="PXT3" s="212"/>
      <c r="PXU3" s="46"/>
      <c r="PXV3" s="53"/>
      <c r="PXW3" s="53"/>
      <c r="PXX3" s="53"/>
      <c r="PXY3" s="53"/>
      <c r="PXZ3" s="53"/>
      <c r="PYA3" s="53"/>
      <c r="PYB3" s="53"/>
      <c r="PYC3" s="53"/>
      <c r="PYD3" s="53"/>
      <c r="PYE3" s="53"/>
      <c r="PYF3" s="53"/>
      <c r="PYG3" s="53"/>
      <c r="PYH3" s="53"/>
      <c r="PYI3" s="212"/>
      <c r="PYJ3" s="46"/>
      <c r="PYK3" s="53"/>
      <c r="PYL3" s="53"/>
      <c r="PYM3" s="53"/>
      <c r="PYN3" s="53"/>
      <c r="PYO3" s="53"/>
      <c r="PYP3" s="53"/>
      <c r="PYQ3" s="53"/>
      <c r="PYR3" s="53"/>
      <c r="PYS3" s="53"/>
      <c r="PYT3" s="53"/>
      <c r="PYU3" s="53"/>
      <c r="PYV3" s="53"/>
      <c r="PYW3" s="53"/>
      <c r="PYX3" s="212"/>
      <c r="PYY3" s="46"/>
      <c r="PYZ3" s="53"/>
      <c r="PZA3" s="53"/>
      <c r="PZB3" s="53"/>
      <c r="PZC3" s="53"/>
      <c r="PZD3" s="53"/>
      <c r="PZE3" s="53"/>
      <c r="PZF3" s="53"/>
      <c r="PZG3" s="53"/>
      <c r="PZH3" s="53"/>
      <c r="PZI3" s="53"/>
      <c r="PZJ3" s="53"/>
      <c r="PZK3" s="53"/>
      <c r="PZL3" s="53"/>
      <c r="PZM3" s="212"/>
      <c r="PZN3" s="46"/>
      <c r="PZO3" s="53"/>
      <c r="PZP3" s="53"/>
      <c r="PZQ3" s="53"/>
      <c r="PZR3" s="53"/>
      <c r="PZS3" s="53"/>
      <c r="PZT3" s="53"/>
      <c r="PZU3" s="53"/>
      <c r="PZV3" s="53"/>
      <c r="PZW3" s="53"/>
      <c r="PZX3" s="53"/>
      <c r="PZY3" s="53"/>
      <c r="PZZ3" s="53"/>
      <c r="QAA3" s="53"/>
      <c r="QAB3" s="212"/>
      <c r="QAC3" s="46"/>
      <c r="QAD3" s="53"/>
      <c r="QAE3" s="53"/>
      <c r="QAF3" s="53"/>
      <c r="QAG3" s="53"/>
      <c r="QAH3" s="53"/>
      <c r="QAI3" s="53"/>
      <c r="QAJ3" s="53"/>
      <c r="QAK3" s="53"/>
      <c r="QAL3" s="53"/>
      <c r="QAM3" s="53"/>
      <c r="QAN3" s="53"/>
      <c r="QAO3" s="53"/>
      <c r="QAP3" s="53"/>
      <c r="QAQ3" s="212"/>
      <c r="QAR3" s="46"/>
      <c r="QAS3" s="53"/>
      <c r="QAT3" s="53"/>
      <c r="QAU3" s="53"/>
      <c r="QAV3" s="53"/>
      <c r="QAW3" s="53"/>
      <c r="QAX3" s="53"/>
      <c r="QAY3" s="53"/>
      <c r="QAZ3" s="53"/>
      <c r="QBA3" s="53"/>
      <c r="QBB3" s="53"/>
      <c r="QBC3" s="53"/>
      <c r="QBD3" s="53"/>
      <c r="QBE3" s="53"/>
      <c r="QBF3" s="212"/>
      <c r="QBG3" s="46"/>
      <c r="QBH3" s="53"/>
      <c r="QBI3" s="53"/>
      <c r="QBJ3" s="53"/>
      <c r="QBK3" s="53"/>
      <c r="QBL3" s="53"/>
      <c r="QBM3" s="53"/>
      <c r="QBN3" s="53"/>
      <c r="QBO3" s="53"/>
      <c r="QBP3" s="53"/>
      <c r="QBQ3" s="53"/>
      <c r="QBR3" s="53"/>
      <c r="QBS3" s="53"/>
      <c r="QBT3" s="53"/>
      <c r="QBU3" s="212"/>
      <c r="QBV3" s="46"/>
      <c r="QBW3" s="53"/>
      <c r="QBX3" s="53"/>
      <c r="QBY3" s="53"/>
      <c r="QBZ3" s="53"/>
      <c r="QCA3" s="53"/>
      <c r="QCB3" s="53"/>
      <c r="QCC3" s="53"/>
      <c r="QCD3" s="53"/>
      <c r="QCE3" s="53"/>
      <c r="QCF3" s="53"/>
      <c r="QCG3" s="53"/>
      <c r="QCH3" s="53"/>
      <c r="QCI3" s="53"/>
      <c r="QCJ3" s="212"/>
      <c r="QCK3" s="46"/>
      <c r="QCL3" s="53"/>
      <c r="QCM3" s="53"/>
      <c r="QCN3" s="53"/>
      <c r="QCO3" s="53"/>
      <c r="QCP3" s="53"/>
      <c r="QCQ3" s="53"/>
      <c r="QCR3" s="53"/>
      <c r="QCS3" s="53"/>
      <c r="QCT3" s="53"/>
      <c r="QCU3" s="53"/>
      <c r="QCV3" s="53"/>
      <c r="QCW3" s="53"/>
      <c r="QCX3" s="53"/>
      <c r="QCY3" s="212"/>
      <c r="QCZ3" s="46"/>
      <c r="QDA3" s="53"/>
      <c r="QDB3" s="53"/>
      <c r="QDC3" s="53"/>
      <c r="QDD3" s="53"/>
      <c r="QDE3" s="53"/>
      <c r="QDF3" s="53"/>
      <c r="QDG3" s="53"/>
      <c r="QDH3" s="53"/>
      <c r="QDI3" s="53"/>
      <c r="QDJ3" s="53"/>
      <c r="QDK3" s="53"/>
      <c r="QDL3" s="53"/>
      <c r="QDM3" s="53"/>
      <c r="QDN3" s="212"/>
      <c r="QDO3" s="46"/>
      <c r="QDP3" s="53"/>
      <c r="QDQ3" s="53"/>
      <c r="QDR3" s="53"/>
      <c r="QDS3" s="53"/>
      <c r="QDT3" s="53"/>
      <c r="QDU3" s="53"/>
      <c r="QDV3" s="53"/>
      <c r="QDW3" s="53"/>
      <c r="QDX3" s="53"/>
      <c r="QDY3" s="53"/>
      <c r="QDZ3" s="53"/>
      <c r="QEA3" s="53"/>
      <c r="QEB3" s="53"/>
      <c r="QEC3" s="212"/>
      <c r="QED3" s="46"/>
      <c r="QEE3" s="53"/>
      <c r="QEF3" s="53"/>
      <c r="QEG3" s="53"/>
      <c r="QEH3" s="53"/>
      <c r="QEI3" s="53"/>
      <c r="QEJ3" s="53"/>
      <c r="QEK3" s="53"/>
      <c r="QEL3" s="53"/>
      <c r="QEM3" s="53"/>
      <c r="QEN3" s="53"/>
      <c r="QEO3" s="53"/>
      <c r="QEP3" s="53"/>
      <c r="QEQ3" s="53"/>
      <c r="QER3" s="212"/>
      <c r="QES3" s="46"/>
      <c r="QET3" s="53"/>
      <c r="QEU3" s="53"/>
      <c r="QEV3" s="53"/>
      <c r="QEW3" s="53"/>
      <c r="QEX3" s="53"/>
      <c r="QEY3" s="53"/>
      <c r="QEZ3" s="53"/>
      <c r="QFA3" s="53"/>
      <c r="QFB3" s="53"/>
      <c r="QFC3" s="53"/>
      <c r="QFD3" s="53"/>
      <c r="QFE3" s="53"/>
      <c r="QFF3" s="53"/>
      <c r="QFG3" s="212"/>
      <c r="QFH3" s="46"/>
      <c r="QFI3" s="53"/>
      <c r="QFJ3" s="53"/>
      <c r="QFK3" s="53"/>
      <c r="QFL3" s="53"/>
      <c r="QFM3" s="53"/>
      <c r="QFN3" s="53"/>
      <c r="QFO3" s="53"/>
      <c r="QFP3" s="53"/>
      <c r="QFQ3" s="53"/>
      <c r="QFR3" s="53"/>
      <c r="QFS3" s="53"/>
      <c r="QFT3" s="53"/>
      <c r="QFU3" s="53"/>
      <c r="QFV3" s="212"/>
      <c r="QFW3" s="46"/>
      <c r="QFX3" s="53"/>
      <c r="QFY3" s="53"/>
      <c r="QFZ3" s="53"/>
      <c r="QGA3" s="53"/>
      <c r="QGB3" s="53"/>
      <c r="QGC3" s="53"/>
      <c r="QGD3" s="53"/>
      <c r="QGE3" s="53"/>
      <c r="QGF3" s="53"/>
      <c r="QGG3" s="53"/>
      <c r="QGH3" s="53"/>
      <c r="QGI3" s="53"/>
      <c r="QGJ3" s="53"/>
      <c r="QGK3" s="212"/>
      <c r="QGL3" s="46"/>
      <c r="QGM3" s="53"/>
      <c r="QGN3" s="53"/>
      <c r="QGO3" s="53"/>
      <c r="QGP3" s="53"/>
      <c r="QGQ3" s="53"/>
      <c r="QGR3" s="53"/>
      <c r="QGS3" s="53"/>
      <c r="QGT3" s="53"/>
      <c r="QGU3" s="53"/>
      <c r="QGV3" s="53"/>
      <c r="QGW3" s="53"/>
      <c r="QGX3" s="53"/>
      <c r="QGY3" s="53"/>
      <c r="QGZ3" s="212"/>
      <c r="QHA3" s="46"/>
      <c r="QHB3" s="53"/>
      <c r="QHC3" s="53"/>
      <c r="QHD3" s="53"/>
      <c r="QHE3" s="53"/>
      <c r="QHF3" s="53"/>
      <c r="QHG3" s="53"/>
      <c r="QHH3" s="53"/>
      <c r="QHI3" s="53"/>
      <c r="QHJ3" s="53"/>
      <c r="QHK3" s="53"/>
      <c r="QHL3" s="53"/>
      <c r="QHM3" s="53"/>
      <c r="QHN3" s="53"/>
      <c r="QHO3" s="212"/>
      <c r="QHP3" s="46"/>
      <c r="QHQ3" s="53"/>
      <c r="QHR3" s="53"/>
      <c r="QHS3" s="53"/>
      <c r="QHT3" s="53"/>
      <c r="QHU3" s="53"/>
      <c r="QHV3" s="53"/>
      <c r="QHW3" s="53"/>
      <c r="QHX3" s="53"/>
      <c r="QHY3" s="53"/>
      <c r="QHZ3" s="53"/>
      <c r="QIA3" s="53"/>
      <c r="QIB3" s="53"/>
      <c r="QIC3" s="53"/>
      <c r="QID3" s="212"/>
      <c r="QIE3" s="46"/>
      <c r="QIF3" s="53"/>
      <c r="QIG3" s="53"/>
      <c r="QIH3" s="53"/>
      <c r="QII3" s="53"/>
      <c r="QIJ3" s="53"/>
      <c r="QIK3" s="53"/>
      <c r="QIL3" s="53"/>
      <c r="QIM3" s="53"/>
      <c r="QIN3" s="53"/>
      <c r="QIO3" s="53"/>
      <c r="QIP3" s="53"/>
      <c r="QIQ3" s="53"/>
      <c r="QIR3" s="53"/>
      <c r="QIS3" s="212"/>
      <c r="QIT3" s="46"/>
      <c r="QIU3" s="53"/>
      <c r="QIV3" s="53"/>
      <c r="QIW3" s="53"/>
      <c r="QIX3" s="53"/>
      <c r="QIY3" s="53"/>
      <c r="QIZ3" s="53"/>
      <c r="QJA3" s="53"/>
      <c r="QJB3" s="53"/>
      <c r="QJC3" s="53"/>
      <c r="QJD3" s="53"/>
      <c r="QJE3" s="53"/>
      <c r="QJF3" s="53"/>
      <c r="QJG3" s="53"/>
      <c r="QJH3" s="212"/>
      <c r="QJI3" s="46"/>
      <c r="QJJ3" s="53"/>
      <c r="QJK3" s="53"/>
      <c r="QJL3" s="53"/>
      <c r="QJM3" s="53"/>
      <c r="QJN3" s="53"/>
      <c r="QJO3" s="53"/>
      <c r="QJP3" s="53"/>
      <c r="QJQ3" s="53"/>
      <c r="QJR3" s="53"/>
      <c r="QJS3" s="53"/>
      <c r="QJT3" s="53"/>
      <c r="QJU3" s="53"/>
      <c r="QJV3" s="53"/>
      <c r="QJW3" s="212"/>
      <c r="QJX3" s="46"/>
      <c r="QJY3" s="53"/>
      <c r="QJZ3" s="53"/>
      <c r="QKA3" s="53"/>
      <c r="QKB3" s="53"/>
      <c r="QKC3" s="53"/>
      <c r="QKD3" s="53"/>
      <c r="QKE3" s="53"/>
      <c r="QKF3" s="53"/>
      <c r="QKG3" s="53"/>
      <c r="QKH3" s="53"/>
      <c r="QKI3" s="53"/>
      <c r="QKJ3" s="53"/>
      <c r="QKK3" s="53"/>
      <c r="QKL3" s="212"/>
      <c r="QKM3" s="46"/>
      <c r="QKN3" s="53"/>
      <c r="QKO3" s="53"/>
      <c r="QKP3" s="53"/>
      <c r="QKQ3" s="53"/>
      <c r="QKR3" s="53"/>
      <c r="QKS3" s="53"/>
      <c r="QKT3" s="53"/>
      <c r="QKU3" s="53"/>
      <c r="QKV3" s="53"/>
      <c r="QKW3" s="53"/>
      <c r="QKX3" s="53"/>
      <c r="QKY3" s="53"/>
      <c r="QKZ3" s="53"/>
      <c r="QLA3" s="212"/>
      <c r="QLB3" s="46"/>
      <c r="QLC3" s="53"/>
      <c r="QLD3" s="53"/>
      <c r="QLE3" s="53"/>
      <c r="QLF3" s="53"/>
      <c r="QLG3" s="53"/>
      <c r="QLH3" s="53"/>
      <c r="QLI3" s="53"/>
      <c r="QLJ3" s="53"/>
      <c r="QLK3" s="53"/>
      <c r="QLL3" s="53"/>
      <c r="QLM3" s="53"/>
      <c r="QLN3" s="53"/>
      <c r="QLO3" s="53"/>
      <c r="QLP3" s="212"/>
      <c r="QLQ3" s="46"/>
      <c r="QLR3" s="53"/>
      <c r="QLS3" s="53"/>
      <c r="QLT3" s="53"/>
      <c r="QLU3" s="53"/>
      <c r="QLV3" s="53"/>
      <c r="QLW3" s="53"/>
      <c r="QLX3" s="53"/>
      <c r="QLY3" s="53"/>
      <c r="QLZ3" s="53"/>
      <c r="QMA3" s="53"/>
      <c r="QMB3" s="53"/>
      <c r="QMC3" s="53"/>
      <c r="QMD3" s="53"/>
      <c r="QME3" s="212"/>
      <c r="QMF3" s="46"/>
      <c r="QMG3" s="53"/>
      <c r="QMH3" s="53"/>
      <c r="QMI3" s="53"/>
      <c r="QMJ3" s="53"/>
      <c r="QMK3" s="53"/>
      <c r="QML3" s="53"/>
      <c r="QMM3" s="53"/>
      <c r="QMN3" s="53"/>
      <c r="QMO3" s="53"/>
      <c r="QMP3" s="53"/>
      <c r="QMQ3" s="53"/>
      <c r="QMR3" s="53"/>
      <c r="QMS3" s="53"/>
      <c r="QMT3" s="212"/>
      <c r="QMU3" s="46"/>
      <c r="QMV3" s="53"/>
      <c r="QMW3" s="53"/>
      <c r="QMX3" s="53"/>
      <c r="QMY3" s="53"/>
      <c r="QMZ3" s="53"/>
      <c r="QNA3" s="53"/>
      <c r="QNB3" s="53"/>
      <c r="QNC3" s="53"/>
      <c r="QND3" s="53"/>
      <c r="QNE3" s="53"/>
      <c r="QNF3" s="53"/>
      <c r="QNG3" s="53"/>
      <c r="QNH3" s="53"/>
      <c r="QNI3" s="212"/>
      <c r="QNJ3" s="46"/>
      <c r="QNK3" s="53"/>
      <c r="QNL3" s="53"/>
      <c r="QNM3" s="53"/>
      <c r="QNN3" s="53"/>
      <c r="QNO3" s="53"/>
      <c r="QNP3" s="53"/>
      <c r="QNQ3" s="53"/>
      <c r="QNR3" s="53"/>
      <c r="QNS3" s="53"/>
      <c r="QNT3" s="53"/>
      <c r="QNU3" s="53"/>
      <c r="QNV3" s="53"/>
      <c r="QNW3" s="53"/>
      <c r="QNX3" s="212"/>
      <c r="QNY3" s="46"/>
      <c r="QNZ3" s="53"/>
      <c r="QOA3" s="53"/>
      <c r="QOB3" s="53"/>
      <c r="QOC3" s="53"/>
      <c r="QOD3" s="53"/>
      <c r="QOE3" s="53"/>
      <c r="QOF3" s="53"/>
      <c r="QOG3" s="53"/>
      <c r="QOH3" s="53"/>
      <c r="QOI3" s="53"/>
      <c r="QOJ3" s="53"/>
      <c r="QOK3" s="53"/>
      <c r="QOL3" s="53"/>
      <c r="QOM3" s="212"/>
      <c r="QON3" s="46"/>
      <c r="QOO3" s="53"/>
      <c r="QOP3" s="53"/>
      <c r="QOQ3" s="53"/>
      <c r="QOR3" s="53"/>
      <c r="QOS3" s="53"/>
      <c r="QOT3" s="53"/>
      <c r="QOU3" s="53"/>
      <c r="QOV3" s="53"/>
      <c r="QOW3" s="53"/>
      <c r="QOX3" s="53"/>
      <c r="QOY3" s="53"/>
      <c r="QOZ3" s="53"/>
      <c r="QPA3" s="53"/>
      <c r="QPB3" s="212"/>
      <c r="QPC3" s="46"/>
      <c r="QPD3" s="53"/>
      <c r="QPE3" s="53"/>
      <c r="QPF3" s="53"/>
      <c r="QPG3" s="53"/>
      <c r="QPH3" s="53"/>
      <c r="QPI3" s="53"/>
      <c r="QPJ3" s="53"/>
      <c r="QPK3" s="53"/>
      <c r="QPL3" s="53"/>
      <c r="QPM3" s="53"/>
      <c r="QPN3" s="53"/>
      <c r="QPO3" s="53"/>
      <c r="QPP3" s="53"/>
      <c r="QPQ3" s="212"/>
      <c r="QPR3" s="46"/>
      <c r="QPS3" s="53"/>
      <c r="QPT3" s="53"/>
      <c r="QPU3" s="53"/>
      <c r="QPV3" s="53"/>
      <c r="QPW3" s="53"/>
      <c r="QPX3" s="53"/>
      <c r="QPY3" s="53"/>
      <c r="QPZ3" s="53"/>
      <c r="QQA3" s="53"/>
      <c r="QQB3" s="53"/>
      <c r="QQC3" s="53"/>
      <c r="QQD3" s="53"/>
      <c r="QQE3" s="53"/>
      <c r="QQF3" s="212"/>
      <c r="QQG3" s="46"/>
      <c r="QQH3" s="53"/>
      <c r="QQI3" s="53"/>
      <c r="QQJ3" s="53"/>
      <c r="QQK3" s="53"/>
      <c r="QQL3" s="53"/>
      <c r="QQM3" s="53"/>
      <c r="QQN3" s="53"/>
      <c r="QQO3" s="53"/>
      <c r="QQP3" s="53"/>
      <c r="QQQ3" s="53"/>
      <c r="QQR3" s="53"/>
      <c r="QQS3" s="53"/>
      <c r="QQT3" s="53"/>
      <c r="QQU3" s="212"/>
      <c r="QQV3" s="46"/>
      <c r="QQW3" s="53"/>
      <c r="QQX3" s="53"/>
      <c r="QQY3" s="53"/>
      <c r="QQZ3" s="53"/>
      <c r="QRA3" s="53"/>
      <c r="QRB3" s="53"/>
      <c r="QRC3" s="53"/>
      <c r="QRD3" s="53"/>
      <c r="QRE3" s="53"/>
      <c r="QRF3" s="53"/>
      <c r="QRG3" s="53"/>
      <c r="QRH3" s="53"/>
      <c r="QRI3" s="53"/>
      <c r="QRJ3" s="212"/>
      <c r="QRK3" s="46"/>
      <c r="QRL3" s="53"/>
      <c r="QRM3" s="53"/>
      <c r="QRN3" s="53"/>
      <c r="QRO3" s="53"/>
      <c r="QRP3" s="53"/>
      <c r="QRQ3" s="53"/>
      <c r="QRR3" s="53"/>
      <c r="QRS3" s="53"/>
      <c r="QRT3" s="53"/>
      <c r="QRU3" s="53"/>
      <c r="QRV3" s="53"/>
      <c r="QRW3" s="53"/>
      <c r="QRX3" s="53"/>
      <c r="QRY3" s="212"/>
      <c r="QRZ3" s="46"/>
      <c r="QSA3" s="53"/>
      <c r="QSB3" s="53"/>
      <c r="QSC3" s="53"/>
      <c r="QSD3" s="53"/>
      <c r="QSE3" s="53"/>
      <c r="QSF3" s="53"/>
      <c r="QSG3" s="53"/>
      <c r="QSH3" s="53"/>
      <c r="QSI3" s="53"/>
      <c r="QSJ3" s="53"/>
      <c r="QSK3" s="53"/>
      <c r="QSL3" s="53"/>
      <c r="QSM3" s="53"/>
      <c r="QSN3" s="212"/>
      <c r="QSO3" s="46"/>
      <c r="QSP3" s="53"/>
      <c r="QSQ3" s="53"/>
      <c r="QSR3" s="53"/>
      <c r="QSS3" s="53"/>
      <c r="QST3" s="53"/>
      <c r="QSU3" s="53"/>
      <c r="QSV3" s="53"/>
      <c r="QSW3" s="53"/>
      <c r="QSX3" s="53"/>
      <c r="QSY3" s="53"/>
      <c r="QSZ3" s="53"/>
      <c r="QTA3" s="53"/>
      <c r="QTB3" s="53"/>
      <c r="QTC3" s="212"/>
      <c r="QTD3" s="46"/>
      <c r="QTE3" s="53"/>
      <c r="QTF3" s="53"/>
      <c r="QTG3" s="53"/>
      <c r="QTH3" s="53"/>
      <c r="QTI3" s="53"/>
      <c r="QTJ3" s="53"/>
      <c r="QTK3" s="53"/>
      <c r="QTL3" s="53"/>
      <c r="QTM3" s="53"/>
      <c r="QTN3" s="53"/>
      <c r="QTO3" s="53"/>
      <c r="QTP3" s="53"/>
      <c r="QTQ3" s="53"/>
      <c r="QTR3" s="212"/>
      <c r="QTS3" s="46"/>
      <c r="QTT3" s="53"/>
      <c r="QTU3" s="53"/>
      <c r="QTV3" s="53"/>
      <c r="QTW3" s="53"/>
      <c r="QTX3" s="53"/>
      <c r="QTY3" s="53"/>
      <c r="QTZ3" s="53"/>
      <c r="QUA3" s="53"/>
      <c r="QUB3" s="53"/>
      <c r="QUC3" s="53"/>
      <c r="QUD3" s="53"/>
      <c r="QUE3" s="53"/>
      <c r="QUF3" s="53"/>
      <c r="QUG3" s="212"/>
      <c r="QUH3" s="46"/>
      <c r="QUI3" s="53"/>
      <c r="QUJ3" s="53"/>
      <c r="QUK3" s="53"/>
      <c r="QUL3" s="53"/>
      <c r="QUM3" s="53"/>
      <c r="QUN3" s="53"/>
      <c r="QUO3" s="53"/>
      <c r="QUP3" s="53"/>
      <c r="QUQ3" s="53"/>
      <c r="QUR3" s="53"/>
      <c r="QUS3" s="53"/>
      <c r="QUT3" s="53"/>
      <c r="QUU3" s="53"/>
      <c r="QUV3" s="212"/>
      <c r="QUW3" s="46"/>
      <c r="QUX3" s="53"/>
      <c r="QUY3" s="53"/>
      <c r="QUZ3" s="53"/>
      <c r="QVA3" s="53"/>
      <c r="QVB3" s="53"/>
      <c r="QVC3" s="53"/>
      <c r="QVD3" s="53"/>
      <c r="QVE3" s="53"/>
      <c r="QVF3" s="53"/>
      <c r="QVG3" s="53"/>
      <c r="QVH3" s="53"/>
      <c r="QVI3" s="53"/>
      <c r="QVJ3" s="53"/>
      <c r="QVK3" s="212"/>
      <c r="QVL3" s="46"/>
      <c r="QVM3" s="53"/>
      <c r="QVN3" s="53"/>
      <c r="QVO3" s="53"/>
      <c r="QVP3" s="53"/>
      <c r="QVQ3" s="53"/>
      <c r="QVR3" s="53"/>
      <c r="QVS3" s="53"/>
      <c r="QVT3" s="53"/>
      <c r="QVU3" s="53"/>
      <c r="QVV3" s="53"/>
      <c r="QVW3" s="53"/>
      <c r="QVX3" s="53"/>
      <c r="QVY3" s="53"/>
      <c r="QVZ3" s="212"/>
      <c r="QWA3" s="46"/>
      <c r="QWB3" s="53"/>
      <c r="QWC3" s="53"/>
      <c r="QWD3" s="53"/>
      <c r="QWE3" s="53"/>
      <c r="QWF3" s="53"/>
      <c r="QWG3" s="53"/>
      <c r="QWH3" s="53"/>
      <c r="QWI3" s="53"/>
      <c r="QWJ3" s="53"/>
      <c r="QWK3" s="53"/>
      <c r="QWL3" s="53"/>
      <c r="QWM3" s="53"/>
      <c r="QWN3" s="53"/>
      <c r="QWO3" s="212"/>
      <c r="QWP3" s="46"/>
      <c r="QWQ3" s="53"/>
      <c r="QWR3" s="53"/>
      <c r="QWS3" s="53"/>
      <c r="QWT3" s="53"/>
      <c r="QWU3" s="53"/>
      <c r="QWV3" s="53"/>
      <c r="QWW3" s="53"/>
      <c r="QWX3" s="53"/>
      <c r="QWY3" s="53"/>
      <c r="QWZ3" s="53"/>
      <c r="QXA3" s="53"/>
      <c r="QXB3" s="53"/>
      <c r="QXC3" s="53"/>
      <c r="QXD3" s="212"/>
      <c r="QXE3" s="46"/>
      <c r="QXF3" s="53"/>
      <c r="QXG3" s="53"/>
      <c r="QXH3" s="53"/>
      <c r="QXI3" s="53"/>
      <c r="QXJ3" s="53"/>
      <c r="QXK3" s="53"/>
      <c r="QXL3" s="53"/>
      <c r="QXM3" s="53"/>
      <c r="QXN3" s="53"/>
      <c r="QXO3" s="53"/>
      <c r="QXP3" s="53"/>
      <c r="QXQ3" s="53"/>
      <c r="QXR3" s="53"/>
      <c r="QXS3" s="212"/>
      <c r="QXT3" s="46"/>
      <c r="QXU3" s="53"/>
      <c r="QXV3" s="53"/>
      <c r="QXW3" s="53"/>
      <c r="QXX3" s="53"/>
      <c r="QXY3" s="53"/>
      <c r="QXZ3" s="53"/>
      <c r="QYA3" s="53"/>
      <c r="QYB3" s="53"/>
      <c r="QYC3" s="53"/>
      <c r="QYD3" s="53"/>
      <c r="QYE3" s="53"/>
      <c r="QYF3" s="53"/>
      <c r="QYG3" s="53"/>
      <c r="QYH3" s="212"/>
      <c r="QYI3" s="46"/>
      <c r="QYJ3" s="53"/>
      <c r="QYK3" s="53"/>
      <c r="QYL3" s="53"/>
      <c r="QYM3" s="53"/>
      <c r="QYN3" s="53"/>
      <c r="QYO3" s="53"/>
      <c r="QYP3" s="53"/>
      <c r="QYQ3" s="53"/>
      <c r="QYR3" s="53"/>
      <c r="QYS3" s="53"/>
      <c r="QYT3" s="53"/>
      <c r="QYU3" s="53"/>
      <c r="QYV3" s="53"/>
      <c r="QYW3" s="212"/>
      <c r="QYX3" s="46"/>
      <c r="QYY3" s="53"/>
      <c r="QYZ3" s="53"/>
      <c r="QZA3" s="53"/>
      <c r="QZB3" s="53"/>
      <c r="QZC3" s="53"/>
      <c r="QZD3" s="53"/>
      <c r="QZE3" s="53"/>
      <c r="QZF3" s="53"/>
      <c r="QZG3" s="53"/>
      <c r="QZH3" s="53"/>
      <c r="QZI3" s="53"/>
      <c r="QZJ3" s="53"/>
      <c r="QZK3" s="53"/>
      <c r="QZL3" s="212"/>
      <c r="QZM3" s="46"/>
      <c r="QZN3" s="53"/>
      <c r="QZO3" s="53"/>
      <c r="QZP3" s="53"/>
      <c r="QZQ3" s="53"/>
      <c r="QZR3" s="53"/>
      <c r="QZS3" s="53"/>
      <c r="QZT3" s="53"/>
      <c r="QZU3" s="53"/>
      <c r="QZV3" s="53"/>
      <c r="QZW3" s="53"/>
      <c r="QZX3" s="53"/>
      <c r="QZY3" s="53"/>
      <c r="QZZ3" s="53"/>
      <c r="RAA3" s="212"/>
      <c r="RAB3" s="46"/>
      <c r="RAC3" s="53"/>
      <c r="RAD3" s="53"/>
      <c r="RAE3" s="53"/>
      <c r="RAF3" s="53"/>
      <c r="RAG3" s="53"/>
      <c r="RAH3" s="53"/>
      <c r="RAI3" s="53"/>
      <c r="RAJ3" s="53"/>
      <c r="RAK3" s="53"/>
      <c r="RAL3" s="53"/>
      <c r="RAM3" s="53"/>
      <c r="RAN3" s="53"/>
      <c r="RAO3" s="53"/>
      <c r="RAP3" s="212"/>
      <c r="RAQ3" s="46"/>
      <c r="RAR3" s="53"/>
      <c r="RAS3" s="53"/>
      <c r="RAT3" s="53"/>
      <c r="RAU3" s="53"/>
      <c r="RAV3" s="53"/>
      <c r="RAW3" s="53"/>
      <c r="RAX3" s="53"/>
      <c r="RAY3" s="53"/>
      <c r="RAZ3" s="53"/>
      <c r="RBA3" s="53"/>
      <c r="RBB3" s="53"/>
      <c r="RBC3" s="53"/>
      <c r="RBD3" s="53"/>
      <c r="RBE3" s="212"/>
      <c r="RBF3" s="46"/>
      <c r="RBG3" s="53"/>
      <c r="RBH3" s="53"/>
      <c r="RBI3" s="53"/>
      <c r="RBJ3" s="53"/>
      <c r="RBK3" s="53"/>
      <c r="RBL3" s="53"/>
      <c r="RBM3" s="53"/>
      <c r="RBN3" s="53"/>
      <c r="RBO3" s="53"/>
      <c r="RBP3" s="53"/>
      <c r="RBQ3" s="53"/>
      <c r="RBR3" s="53"/>
      <c r="RBS3" s="53"/>
      <c r="RBT3" s="212"/>
      <c r="RBU3" s="46"/>
      <c r="RBV3" s="53"/>
      <c r="RBW3" s="53"/>
      <c r="RBX3" s="53"/>
      <c r="RBY3" s="53"/>
      <c r="RBZ3" s="53"/>
      <c r="RCA3" s="53"/>
      <c r="RCB3" s="53"/>
      <c r="RCC3" s="53"/>
      <c r="RCD3" s="53"/>
      <c r="RCE3" s="53"/>
      <c r="RCF3" s="53"/>
      <c r="RCG3" s="53"/>
      <c r="RCH3" s="53"/>
      <c r="RCI3" s="212"/>
      <c r="RCJ3" s="46"/>
      <c r="RCK3" s="53"/>
      <c r="RCL3" s="53"/>
      <c r="RCM3" s="53"/>
      <c r="RCN3" s="53"/>
      <c r="RCO3" s="53"/>
      <c r="RCP3" s="53"/>
      <c r="RCQ3" s="53"/>
      <c r="RCR3" s="53"/>
      <c r="RCS3" s="53"/>
      <c r="RCT3" s="53"/>
      <c r="RCU3" s="53"/>
      <c r="RCV3" s="53"/>
      <c r="RCW3" s="53"/>
      <c r="RCX3" s="212"/>
      <c r="RCY3" s="46"/>
      <c r="RCZ3" s="53"/>
      <c r="RDA3" s="53"/>
      <c r="RDB3" s="53"/>
      <c r="RDC3" s="53"/>
      <c r="RDD3" s="53"/>
      <c r="RDE3" s="53"/>
      <c r="RDF3" s="53"/>
      <c r="RDG3" s="53"/>
      <c r="RDH3" s="53"/>
      <c r="RDI3" s="53"/>
      <c r="RDJ3" s="53"/>
      <c r="RDK3" s="53"/>
      <c r="RDL3" s="53"/>
      <c r="RDM3" s="212"/>
      <c r="RDN3" s="46"/>
      <c r="RDO3" s="53"/>
      <c r="RDP3" s="53"/>
      <c r="RDQ3" s="53"/>
      <c r="RDR3" s="53"/>
      <c r="RDS3" s="53"/>
      <c r="RDT3" s="53"/>
      <c r="RDU3" s="53"/>
      <c r="RDV3" s="53"/>
      <c r="RDW3" s="53"/>
      <c r="RDX3" s="53"/>
      <c r="RDY3" s="53"/>
      <c r="RDZ3" s="53"/>
      <c r="REA3" s="53"/>
      <c r="REB3" s="212"/>
      <c r="REC3" s="46"/>
      <c r="RED3" s="53"/>
      <c r="REE3" s="53"/>
      <c r="REF3" s="53"/>
      <c r="REG3" s="53"/>
      <c r="REH3" s="53"/>
      <c r="REI3" s="53"/>
      <c r="REJ3" s="53"/>
      <c r="REK3" s="53"/>
      <c r="REL3" s="53"/>
      <c r="REM3" s="53"/>
      <c r="REN3" s="53"/>
      <c r="REO3" s="53"/>
      <c r="REP3" s="53"/>
      <c r="REQ3" s="212"/>
      <c r="RER3" s="46"/>
      <c r="RES3" s="53"/>
      <c r="RET3" s="53"/>
      <c r="REU3" s="53"/>
      <c r="REV3" s="53"/>
      <c r="REW3" s="53"/>
      <c r="REX3" s="53"/>
      <c r="REY3" s="53"/>
      <c r="REZ3" s="53"/>
      <c r="RFA3" s="53"/>
      <c r="RFB3" s="53"/>
      <c r="RFC3" s="53"/>
      <c r="RFD3" s="53"/>
      <c r="RFE3" s="53"/>
      <c r="RFF3" s="212"/>
      <c r="RFG3" s="46"/>
      <c r="RFH3" s="53"/>
      <c r="RFI3" s="53"/>
      <c r="RFJ3" s="53"/>
      <c r="RFK3" s="53"/>
      <c r="RFL3" s="53"/>
      <c r="RFM3" s="53"/>
      <c r="RFN3" s="53"/>
      <c r="RFO3" s="53"/>
      <c r="RFP3" s="53"/>
      <c r="RFQ3" s="53"/>
      <c r="RFR3" s="53"/>
      <c r="RFS3" s="53"/>
      <c r="RFT3" s="53"/>
      <c r="RFU3" s="212"/>
      <c r="RFV3" s="46"/>
      <c r="RFW3" s="53"/>
      <c r="RFX3" s="53"/>
      <c r="RFY3" s="53"/>
      <c r="RFZ3" s="53"/>
      <c r="RGA3" s="53"/>
      <c r="RGB3" s="53"/>
      <c r="RGC3" s="53"/>
      <c r="RGD3" s="53"/>
      <c r="RGE3" s="53"/>
      <c r="RGF3" s="53"/>
      <c r="RGG3" s="53"/>
      <c r="RGH3" s="53"/>
      <c r="RGI3" s="53"/>
      <c r="RGJ3" s="212"/>
      <c r="RGK3" s="46"/>
      <c r="RGL3" s="53"/>
      <c r="RGM3" s="53"/>
      <c r="RGN3" s="53"/>
      <c r="RGO3" s="53"/>
      <c r="RGP3" s="53"/>
      <c r="RGQ3" s="53"/>
      <c r="RGR3" s="53"/>
      <c r="RGS3" s="53"/>
      <c r="RGT3" s="53"/>
      <c r="RGU3" s="53"/>
      <c r="RGV3" s="53"/>
      <c r="RGW3" s="53"/>
      <c r="RGX3" s="53"/>
      <c r="RGY3" s="212"/>
      <c r="RGZ3" s="46"/>
      <c r="RHA3" s="53"/>
      <c r="RHB3" s="53"/>
      <c r="RHC3" s="53"/>
      <c r="RHD3" s="53"/>
      <c r="RHE3" s="53"/>
      <c r="RHF3" s="53"/>
      <c r="RHG3" s="53"/>
      <c r="RHH3" s="53"/>
      <c r="RHI3" s="53"/>
      <c r="RHJ3" s="53"/>
      <c r="RHK3" s="53"/>
      <c r="RHL3" s="53"/>
      <c r="RHM3" s="53"/>
      <c r="RHN3" s="212"/>
      <c r="RHO3" s="46"/>
      <c r="RHP3" s="53"/>
      <c r="RHQ3" s="53"/>
      <c r="RHR3" s="53"/>
      <c r="RHS3" s="53"/>
      <c r="RHT3" s="53"/>
      <c r="RHU3" s="53"/>
      <c r="RHV3" s="53"/>
      <c r="RHW3" s="53"/>
      <c r="RHX3" s="53"/>
      <c r="RHY3" s="53"/>
      <c r="RHZ3" s="53"/>
      <c r="RIA3" s="53"/>
      <c r="RIB3" s="53"/>
      <c r="RIC3" s="212"/>
      <c r="RID3" s="46"/>
      <c r="RIE3" s="53"/>
      <c r="RIF3" s="53"/>
      <c r="RIG3" s="53"/>
      <c r="RIH3" s="53"/>
      <c r="RII3" s="53"/>
      <c r="RIJ3" s="53"/>
      <c r="RIK3" s="53"/>
      <c r="RIL3" s="53"/>
      <c r="RIM3" s="53"/>
      <c r="RIN3" s="53"/>
      <c r="RIO3" s="53"/>
      <c r="RIP3" s="53"/>
      <c r="RIQ3" s="53"/>
      <c r="RIR3" s="212"/>
      <c r="RIS3" s="46"/>
      <c r="RIT3" s="53"/>
      <c r="RIU3" s="53"/>
      <c r="RIV3" s="53"/>
      <c r="RIW3" s="53"/>
      <c r="RIX3" s="53"/>
      <c r="RIY3" s="53"/>
      <c r="RIZ3" s="53"/>
      <c r="RJA3" s="53"/>
      <c r="RJB3" s="53"/>
      <c r="RJC3" s="53"/>
      <c r="RJD3" s="53"/>
      <c r="RJE3" s="53"/>
      <c r="RJF3" s="53"/>
      <c r="RJG3" s="212"/>
      <c r="RJH3" s="46"/>
      <c r="RJI3" s="53"/>
      <c r="RJJ3" s="53"/>
      <c r="RJK3" s="53"/>
      <c r="RJL3" s="53"/>
      <c r="RJM3" s="53"/>
      <c r="RJN3" s="53"/>
      <c r="RJO3" s="53"/>
      <c r="RJP3" s="53"/>
      <c r="RJQ3" s="53"/>
      <c r="RJR3" s="53"/>
      <c r="RJS3" s="53"/>
      <c r="RJT3" s="53"/>
      <c r="RJU3" s="53"/>
      <c r="RJV3" s="212"/>
      <c r="RJW3" s="46"/>
      <c r="RJX3" s="53"/>
      <c r="RJY3" s="53"/>
      <c r="RJZ3" s="53"/>
      <c r="RKA3" s="53"/>
      <c r="RKB3" s="53"/>
      <c r="RKC3" s="53"/>
      <c r="RKD3" s="53"/>
      <c r="RKE3" s="53"/>
      <c r="RKF3" s="53"/>
      <c r="RKG3" s="53"/>
      <c r="RKH3" s="53"/>
      <c r="RKI3" s="53"/>
      <c r="RKJ3" s="53"/>
      <c r="RKK3" s="212"/>
      <c r="RKL3" s="46"/>
      <c r="RKM3" s="53"/>
      <c r="RKN3" s="53"/>
      <c r="RKO3" s="53"/>
      <c r="RKP3" s="53"/>
      <c r="RKQ3" s="53"/>
      <c r="RKR3" s="53"/>
      <c r="RKS3" s="53"/>
      <c r="RKT3" s="53"/>
      <c r="RKU3" s="53"/>
      <c r="RKV3" s="53"/>
      <c r="RKW3" s="53"/>
      <c r="RKX3" s="53"/>
      <c r="RKY3" s="53"/>
      <c r="RKZ3" s="212"/>
      <c r="RLA3" s="46"/>
      <c r="RLB3" s="53"/>
      <c r="RLC3" s="53"/>
      <c r="RLD3" s="53"/>
      <c r="RLE3" s="53"/>
      <c r="RLF3" s="53"/>
      <c r="RLG3" s="53"/>
      <c r="RLH3" s="53"/>
      <c r="RLI3" s="53"/>
      <c r="RLJ3" s="53"/>
      <c r="RLK3" s="53"/>
      <c r="RLL3" s="53"/>
      <c r="RLM3" s="53"/>
      <c r="RLN3" s="53"/>
      <c r="RLO3" s="212"/>
      <c r="RLP3" s="46"/>
      <c r="RLQ3" s="53"/>
      <c r="RLR3" s="53"/>
      <c r="RLS3" s="53"/>
      <c r="RLT3" s="53"/>
      <c r="RLU3" s="53"/>
      <c r="RLV3" s="53"/>
      <c r="RLW3" s="53"/>
      <c r="RLX3" s="53"/>
      <c r="RLY3" s="53"/>
      <c r="RLZ3" s="53"/>
      <c r="RMA3" s="53"/>
      <c r="RMB3" s="53"/>
      <c r="RMC3" s="53"/>
      <c r="RMD3" s="212"/>
      <c r="RME3" s="46"/>
      <c r="RMF3" s="53"/>
      <c r="RMG3" s="53"/>
      <c r="RMH3" s="53"/>
      <c r="RMI3" s="53"/>
      <c r="RMJ3" s="53"/>
      <c r="RMK3" s="53"/>
      <c r="RML3" s="53"/>
      <c r="RMM3" s="53"/>
      <c r="RMN3" s="53"/>
      <c r="RMO3" s="53"/>
      <c r="RMP3" s="53"/>
      <c r="RMQ3" s="53"/>
      <c r="RMR3" s="53"/>
      <c r="RMS3" s="212"/>
      <c r="RMT3" s="46"/>
      <c r="RMU3" s="53"/>
      <c r="RMV3" s="53"/>
      <c r="RMW3" s="53"/>
      <c r="RMX3" s="53"/>
      <c r="RMY3" s="53"/>
      <c r="RMZ3" s="53"/>
      <c r="RNA3" s="53"/>
      <c r="RNB3" s="53"/>
      <c r="RNC3" s="53"/>
      <c r="RND3" s="53"/>
      <c r="RNE3" s="53"/>
      <c r="RNF3" s="53"/>
      <c r="RNG3" s="53"/>
      <c r="RNH3" s="212"/>
      <c r="RNI3" s="46"/>
      <c r="RNJ3" s="53"/>
      <c r="RNK3" s="53"/>
      <c r="RNL3" s="53"/>
      <c r="RNM3" s="53"/>
      <c r="RNN3" s="53"/>
      <c r="RNO3" s="53"/>
      <c r="RNP3" s="53"/>
      <c r="RNQ3" s="53"/>
      <c r="RNR3" s="53"/>
      <c r="RNS3" s="53"/>
      <c r="RNT3" s="53"/>
      <c r="RNU3" s="53"/>
      <c r="RNV3" s="53"/>
      <c r="RNW3" s="212"/>
      <c r="RNX3" s="46"/>
      <c r="RNY3" s="53"/>
      <c r="RNZ3" s="53"/>
      <c r="ROA3" s="53"/>
      <c r="ROB3" s="53"/>
      <c r="ROC3" s="53"/>
      <c r="ROD3" s="53"/>
      <c r="ROE3" s="53"/>
      <c r="ROF3" s="53"/>
      <c r="ROG3" s="53"/>
      <c r="ROH3" s="53"/>
      <c r="ROI3" s="53"/>
      <c r="ROJ3" s="53"/>
      <c r="ROK3" s="53"/>
      <c r="ROL3" s="212"/>
      <c r="ROM3" s="46"/>
      <c r="RON3" s="53"/>
      <c r="ROO3" s="53"/>
      <c r="ROP3" s="53"/>
      <c r="ROQ3" s="53"/>
      <c r="ROR3" s="53"/>
      <c r="ROS3" s="53"/>
      <c r="ROT3" s="53"/>
      <c r="ROU3" s="53"/>
      <c r="ROV3" s="53"/>
      <c r="ROW3" s="53"/>
      <c r="ROX3" s="53"/>
      <c r="ROY3" s="53"/>
      <c r="ROZ3" s="53"/>
      <c r="RPA3" s="212"/>
      <c r="RPB3" s="46"/>
      <c r="RPC3" s="53"/>
      <c r="RPD3" s="53"/>
      <c r="RPE3" s="53"/>
      <c r="RPF3" s="53"/>
      <c r="RPG3" s="53"/>
      <c r="RPH3" s="53"/>
      <c r="RPI3" s="53"/>
      <c r="RPJ3" s="53"/>
      <c r="RPK3" s="53"/>
      <c r="RPL3" s="53"/>
      <c r="RPM3" s="53"/>
      <c r="RPN3" s="53"/>
      <c r="RPO3" s="53"/>
      <c r="RPP3" s="212"/>
      <c r="RPQ3" s="46"/>
      <c r="RPR3" s="53"/>
      <c r="RPS3" s="53"/>
      <c r="RPT3" s="53"/>
      <c r="RPU3" s="53"/>
      <c r="RPV3" s="53"/>
      <c r="RPW3" s="53"/>
      <c r="RPX3" s="53"/>
      <c r="RPY3" s="53"/>
      <c r="RPZ3" s="53"/>
      <c r="RQA3" s="53"/>
      <c r="RQB3" s="53"/>
      <c r="RQC3" s="53"/>
      <c r="RQD3" s="53"/>
      <c r="RQE3" s="212"/>
      <c r="RQF3" s="46"/>
      <c r="RQG3" s="53"/>
      <c r="RQH3" s="53"/>
      <c r="RQI3" s="53"/>
      <c r="RQJ3" s="53"/>
      <c r="RQK3" s="53"/>
      <c r="RQL3" s="53"/>
      <c r="RQM3" s="53"/>
      <c r="RQN3" s="53"/>
      <c r="RQO3" s="53"/>
      <c r="RQP3" s="53"/>
      <c r="RQQ3" s="53"/>
      <c r="RQR3" s="53"/>
      <c r="RQS3" s="53"/>
      <c r="RQT3" s="212"/>
      <c r="RQU3" s="46"/>
      <c r="RQV3" s="53"/>
      <c r="RQW3" s="53"/>
      <c r="RQX3" s="53"/>
      <c r="RQY3" s="53"/>
      <c r="RQZ3" s="53"/>
      <c r="RRA3" s="53"/>
      <c r="RRB3" s="53"/>
      <c r="RRC3" s="53"/>
      <c r="RRD3" s="53"/>
      <c r="RRE3" s="53"/>
      <c r="RRF3" s="53"/>
      <c r="RRG3" s="53"/>
      <c r="RRH3" s="53"/>
      <c r="RRI3" s="212"/>
      <c r="RRJ3" s="46"/>
      <c r="RRK3" s="53"/>
      <c r="RRL3" s="53"/>
      <c r="RRM3" s="53"/>
      <c r="RRN3" s="53"/>
      <c r="RRO3" s="53"/>
      <c r="RRP3" s="53"/>
      <c r="RRQ3" s="53"/>
      <c r="RRR3" s="53"/>
      <c r="RRS3" s="53"/>
      <c r="RRT3" s="53"/>
      <c r="RRU3" s="53"/>
      <c r="RRV3" s="53"/>
      <c r="RRW3" s="53"/>
      <c r="RRX3" s="212"/>
      <c r="RRY3" s="46"/>
      <c r="RRZ3" s="53"/>
      <c r="RSA3" s="53"/>
      <c r="RSB3" s="53"/>
      <c r="RSC3" s="53"/>
      <c r="RSD3" s="53"/>
      <c r="RSE3" s="53"/>
      <c r="RSF3" s="53"/>
      <c r="RSG3" s="53"/>
      <c r="RSH3" s="53"/>
      <c r="RSI3" s="53"/>
      <c r="RSJ3" s="53"/>
      <c r="RSK3" s="53"/>
      <c r="RSL3" s="53"/>
      <c r="RSM3" s="212"/>
      <c r="RSN3" s="46"/>
      <c r="RSO3" s="53"/>
      <c r="RSP3" s="53"/>
      <c r="RSQ3" s="53"/>
      <c r="RSR3" s="53"/>
      <c r="RSS3" s="53"/>
      <c r="RST3" s="53"/>
      <c r="RSU3" s="53"/>
      <c r="RSV3" s="53"/>
      <c r="RSW3" s="53"/>
      <c r="RSX3" s="53"/>
      <c r="RSY3" s="53"/>
      <c r="RSZ3" s="53"/>
      <c r="RTA3" s="53"/>
      <c r="RTB3" s="212"/>
      <c r="RTC3" s="46"/>
      <c r="RTD3" s="53"/>
      <c r="RTE3" s="53"/>
      <c r="RTF3" s="53"/>
      <c r="RTG3" s="53"/>
      <c r="RTH3" s="53"/>
      <c r="RTI3" s="53"/>
      <c r="RTJ3" s="53"/>
      <c r="RTK3" s="53"/>
      <c r="RTL3" s="53"/>
      <c r="RTM3" s="53"/>
      <c r="RTN3" s="53"/>
      <c r="RTO3" s="53"/>
      <c r="RTP3" s="53"/>
      <c r="RTQ3" s="212"/>
      <c r="RTR3" s="46"/>
      <c r="RTS3" s="53"/>
      <c r="RTT3" s="53"/>
      <c r="RTU3" s="53"/>
      <c r="RTV3" s="53"/>
      <c r="RTW3" s="53"/>
      <c r="RTX3" s="53"/>
      <c r="RTY3" s="53"/>
      <c r="RTZ3" s="53"/>
      <c r="RUA3" s="53"/>
      <c r="RUB3" s="53"/>
      <c r="RUC3" s="53"/>
      <c r="RUD3" s="53"/>
      <c r="RUE3" s="53"/>
      <c r="RUF3" s="212"/>
      <c r="RUG3" s="46"/>
      <c r="RUH3" s="53"/>
      <c r="RUI3" s="53"/>
      <c r="RUJ3" s="53"/>
      <c r="RUK3" s="53"/>
      <c r="RUL3" s="53"/>
      <c r="RUM3" s="53"/>
      <c r="RUN3" s="53"/>
      <c r="RUO3" s="53"/>
      <c r="RUP3" s="53"/>
      <c r="RUQ3" s="53"/>
      <c r="RUR3" s="53"/>
      <c r="RUS3" s="53"/>
      <c r="RUT3" s="53"/>
      <c r="RUU3" s="212"/>
      <c r="RUV3" s="46"/>
      <c r="RUW3" s="53"/>
      <c r="RUX3" s="53"/>
      <c r="RUY3" s="53"/>
      <c r="RUZ3" s="53"/>
      <c r="RVA3" s="53"/>
      <c r="RVB3" s="53"/>
      <c r="RVC3" s="53"/>
      <c r="RVD3" s="53"/>
      <c r="RVE3" s="53"/>
      <c r="RVF3" s="53"/>
      <c r="RVG3" s="53"/>
      <c r="RVH3" s="53"/>
      <c r="RVI3" s="53"/>
      <c r="RVJ3" s="212"/>
      <c r="RVK3" s="46"/>
      <c r="RVL3" s="53"/>
      <c r="RVM3" s="53"/>
      <c r="RVN3" s="53"/>
      <c r="RVO3" s="53"/>
      <c r="RVP3" s="53"/>
      <c r="RVQ3" s="53"/>
      <c r="RVR3" s="53"/>
      <c r="RVS3" s="53"/>
      <c r="RVT3" s="53"/>
      <c r="RVU3" s="53"/>
      <c r="RVV3" s="53"/>
      <c r="RVW3" s="53"/>
      <c r="RVX3" s="53"/>
      <c r="RVY3" s="212"/>
      <c r="RVZ3" s="46"/>
      <c r="RWA3" s="53"/>
      <c r="RWB3" s="53"/>
      <c r="RWC3" s="53"/>
      <c r="RWD3" s="53"/>
      <c r="RWE3" s="53"/>
      <c r="RWF3" s="53"/>
      <c r="RWG3" s="53"/>
      <c r="RWH3" s="53"/>
      <c r="RWI3" s="53"/>
      <c r="RWJ3" s="53"/>
      <c r="RWK3" s="53"/>
      <c r="RWL3" s="53"/>
      <c r="RWM3" s="53"/>
      <c r="RWN3" s="212"/>
      <c r="RWO3" s="46"/>
      <c r="RWP3" s="53"/>
      <c r="RWQ3" s="53"/>
      <c r="RWR3" s="53"/>
      <c r="RWS3" s="53"/>
      <c r="RWT3" s="53"/>
      <c r="RWU3" s="53"/>
      <c r="RWV3" s="53"/>
      <c r="RWW3" s="53"/>
      <c r="RWX3" s="53"/>
      <c r="RWY3" s="53"/>
      <c r="RWZ3" s="53"/>
      <c r="RXA3" s="53"/>
      <c r="RXB3" s="53"/>
      <c r="RXC3" s="212"/>
      <c r="RXD3" s="46"/>
      <c r="RXE3" s="53"/>
      <c r="RXF3" s="53"/>
      <c r="RXG3" s="53"/>
      <c r="RXH3" s="53"/>
      <c r="RXI3" s="53"/>
      <c r="RXJ3" s="53"/>
      <c r="RXK3" s="53"/>
      <c r="RXL3" s="53"/>
      <c r="RXM3" s="53"/>
      <c r="RXN3" s="53"/>
      <c r="RXO3" s="53"/>
      <c r="RXP3" s="53"/>
      <c r="RXQ3" s="53"/>
      <c r="RXR3" s="212"/>
      <c r="RXS3" s="46"/>
      <c r="RXT3" s="53"/>
      <c r="RXU3" s="53"/>
      <c r="RXV3" s="53"/>
      <c r="RXW3" s="53"/>
      <c r="RXX3" s="53"/>
      <c r="RXY3" s="53"/>
      <c r="RXZ3" s="53"/>
      <c r="RYA3" s="53"/>
      <c r="RYB3" s="53"/>
      <c r="RYC3" s="53"/>
      <c r="RYD3" s="53"/>
      <c r="RYE3" s="53"/>
      <c r="RYF3" s="53"/>
      <c r="RYG3" s="212"/>
      <c r="RYH3" s="46"/>
      <c r="RYI3" s="53"/>
      <c r="RYJ3" s="53"/>
      <c r="RYK3" s="53"/>
      <c r="RYL3" s="53"/>
      <c r="RYM3" s="53"/>
      <c r="RYN3" s="53"/>
      <c r="RYO3" s="53"/>
      <c r="RYP3" s="53"/>
      <c r="RYQ3" s="53"/>
      <c r="RYR3" s="53"/>
      <c r="RYS3" s="53"/>
      <c r="RYT3" s="53"/>
      <c r="RYU3" s="53"/>
      <c r="RYV3" s="212"/>
      <c r="RYW3" s="46"/>
      <c r="RYX3" s="53"/>
      <c r="RYY3" s="53"/>
      <c r="RYZ3" s="53"/>
      <c r="RZA3" s="53"/>
      <c r="RZB3" s="53"/>
      <c r="RZC3" s="53"/>
      <c r="RZD3" s="53"/>
      <c r="RZE3" s="53"/>
      <c r="RZF3" s="53"/>
      <c r="RZG3" s="53"/>
      <c r="RZH3" s="53"/>
      <c r="RZI3" s="53"/>
      <c r="RZJ3" s="53"/>
      <c r="RZK3" s="212"/>
      <c r="RZL3" s="46"/>
      <c r="RZM3" s="53"/>
      <c r="RZN3" s="53"/>
      <c r="RZO3" s="53"/>
      <c r="RZP3" s="53"/>
      <c r="RZQ3" s="53"/>
      <c r="RZR3" s="53"/>
      <c r="RZS3" s="53"/>
      <c r="RZT3" s="53"/>
      <c r="RZU3" s="53"/>
      <c r="RZV3" s="53"/>
      <c r="RZW3" s="53"/>
      <c r="RZX3" s="53"/>
      <c r="RZY3" s="53"/>
      <c r="RZZ3" s="212"/>
      <c r="SAA3" s="46"/>
      <c r="SAB3" s="53"/>
      <c r="SAC3" s="53"/>
      <c r="SAD3" s="53"/>
      <c r="SAE3" s="53"/>
      <c r="SAF3" s="53"/>
      <c r="SAG3" s="53"/>
      <c r="SAH3" s="53"/>
      <c r="SAI3" s="53"/>
      <c r="SAJ3" s="53"/>
      <c r="SAK3" s="53"/>
      <c r="SAL3" s="53"/>
      <c r="SAM3" s="53"/>
      <c r="SAN3" s="53"/>
      <c r="SAO3" s="212"/>
      <c r="SAP3" s="46"/>
      <c r="SAQ3" s="53"/>
      <c r="SAR3" s="53"/>
      <c r="SAS3" s="53"/>
      <c r="SAT3" s="53"/>
      <c r="SAU3" s="53"/>
      <c r="SAV3" s="53"/>
      <c r="SAW3" s="53"/>
      <c r="SAX3" s="53"/>
      <c r="SAY3" s="53"/>
      <c r="SAZ3" s="53"/>
      <c r="SBA3" s="53"/>
      <c r="SBB3" s="53"/>
      <c r="SBC3" s="53"/>
      <c r="SBD3" s="212"/>
      <c r="SBE3" s="46"/>
      <c r="SBF3" s="53"/>
      <c r="SBG3" s="53"/>
      <c r="SBH3" s="53"/>
      <c r="SBI3" s="53"/>
      <c r="SBJ3" s="53"/>
      <c r="SBK3" s="53"/>
      <c r="SBL3" s="53"/>
      <c r="SBM3" s="53"/>
      <c r="SBN3" s="53"/>
      <c r="SBO3" s="53"/>
      <c r="SBP3" s="53"/>
      <c r="SBQ3" s="53"/>
      <c r="SBR3" s="53"/>
      <c r="SBS3" s="212"/>
      <c r="SBT3" s="46"/>
      <c r="SBU3" s="53"/>
      <c r="SBV3" s="53"/>
      <c r="SBW3" s="53"/>
      <c r="SBX3" s="53"/>
      <c r="SBY3" s="53"/>
      <c r="SBZ3" s="53"/>
      <c r="SCA3" s="53"/>
      <c r="SCB3" s="53"/>
      <c r="SCC3" s="53"/>
      <c r="SCD3" s="53"/>
      <c r="SCE3" s="53"/>
      <c r="SCF3" s="53"/>
      <c r="SCG3" s="53"/>
      <c r="SCH3" s="212"/>
      <c r="SCI3" s="46"/>
      <c r="SCJ3" s="53"/>
      <c r="SCK3" s="53"/>
      <c r="SCL3" s="53"/>
      <c r="SCM3" s="53"/>
      <c r="SCN3" s="53"/>
      <c r="SCO3" s="53"/>
      <c r="SCP3" s="53"/>
      <c r="SCQ3" s="53"/>
      <c r="SCR3" s="53"/>
      <c r="SCS3" s="53"/>
      <c r="SCT3" s="53"/>
      <c r="SCU3" s="53"/>
      <c r="SCV3" s="53"/>
      <c r="SCW3" s="212"/>
      <c r="SCX3" s="46"/>
      <c r="SCY3" s="53"/>
      <c r="SCZ3" s="53"/>
      <c r="SDA3" s="53"/>
      <c r="SDB3" s="53"/>
      <c r="SDC3" s="53"/>
      <c r="SDD3" s="53"/>
      <c r="SDE3" s="53"/>
      <c r="SDF3" s="53"/>
      <c r="SDG3" s="53"/>
      <c r="SDH3" s="53"/>
      <c r="SDI3" s="53"/>
      <c r="SDJ3" s="53"/>
      <c r="SDK3" s="53"/>
      <c r="SDL3" s="212"/>
      <c r="SDM3" s="46"/>
      <c r="SDN3" s="53"/>
      <c r="SDO3" s="53"/>
      <c r="SDP3" s="53"/>
      <c r="SDQ3" s="53"/>
      <c r="SDR3" s="53"/>
      <c r="SDS3" s="53"/>
      <c r="SDT3" s="53"/>
      <c r="SDU3" s="53"/>
      <c r="SDV3" s="53"/>
      <c r="SDW3" s="53"/>
      <c r="SDX3" s="53"/>
      <c r="SDY3" s="53"/>
      <c r="SDZ3" s="53"/>
      <c r="SEA3" s="212"/>
      <c r="SEB3" s="46"/>
      <c r="SEC3" s="53"/>
      <c r="SED3" s="53"/>
      <c r="SEE3" s="53"/>
      <c r="SEF3" s="53"/>
      <c r="SEG3" s="53"/>
      <c r="SEH3" s="53"/>
      <c r="SEI3" s="53"/>
      <c r="SEJ3" s="53"/>
      <c r="SEK3" s="53"/>
      <c r="SEL3" s="53"/>
      <c r="SEM3" s="53"/>
      <c r="SEN3" s="53"/>
      <c r="SEO3" s="53"/>
      <c r="SEP3" s="212"/>
      <c r="SEQ3" s="46"/>
      <c r="SER3" s="53"/>
      <c r="SES3" s="53"/>
      <c r="SET3" s="53"/>
      <c r="SEU3" s="53"/>
      <c r="SEV3" s="53"/>
      <c r="SEW3" s="53"/>
      <c r="SEX3" s="53"/>
      <c r="SEY3" s="53"/>
      <c r="SEZ3" s="53"/>
      <c r="SFA3" s="53"/>
      <c r="SFB3" s="53"/>
      <c r="SFC3" s="53"/>
      <c r="SFD3" s="53"/>
      <c r="SFE3" s="212"/>
      <c r="SFF3" s="46"/>
      <c r="SFG3" s="53"/>
      <c r="SFH3" s="53"/>
      <c r="SFI3" s="53"/>
      <c r="SFJ3" s="53"/>
      <c r="SFK3" s="53"/>
      <c r="SFL3" s="53"/>
      <c r="SFM3" s="53"/>
      <c r="SFN3" s="53"/>
      <c r="SFO3" s="53"/>
      <c r="SFP3" s="53"/>
      <c r="SFQ3" s="53"/>
      <c r="SFR3" s="53"/>
      <c r="SFS3" s="53"/>
      <c r="SFT3" s="212"/>
      <c r="SFU3" s="46"/>
      <c r="SFV3" s="53"/>
      <c r="SFW3" s="53"/>
      <c r="SFX3" s="53"/>
      <c r="SFY3" s="53"/>
      <c r="SFZ3" s="53"/>
      <c r="SGA3" s="53"/>
      <c r="SGB3" s="53"/>
      <c r="SGC3" s="53"/>
      <c r="SGD3" s="53"/>
      <c r="SGE3" s="53"/>
      <c r="SGF3" s="53"/>
      <c r="SGG3" s="53"/>
      <c r="SGH3" s="53"/>
      <c r="SGI3" s="212"/>
      <c r="SGJ3" s="46"/>
      <c r="SGK3" s="53"/>
      <c r="SGL3" s="53"/>
      <c r="SGM3" s="53"/>
      <c r="SGN3" s="53"/>
      <c r="SGO3" s="53"/>
      <c r="SGP3" s="53"/>
      <c r="SGQ3" s="53"/>
      <c r="SGR3" s="53"/>
      <c r="SGS3" s="53"/>
      <c r="SGT3" s="53"/>
      <c r="SGU3" s="53"/>
      <c r="SGV3" s="53"/>
      <c r="SGW3" s="53"/>
      <c r="SGX3" s="212"/>
      <c r="SGY3" s="46"/>
      <c r="SGZ3" s="53"/>
      <c r="SHA3" s="53"/>
      <c r="SHB3" s="53"/>
      <c r="SHC3" s="53"/>
      <c r="SHD3" s="53"/>
      <c r="SHE3" s="53"/>
      <c r="SHF3" s="53"/>
      <c r="SHG3" s="53"/>
      <c r="SHH3" s="53"/>
      <c r="SHI3" s="53"/>
      <c r="SHJ3" s="53"/>
      <c r="SHK3" s="53"/>
      <c r="SHL3" s="53"/>
      <c r="SHM3" s="212"/>
      <c r="SHN3" s="46"/>
      <c r="SHO3" s="53"/>
      <c r="SHP3" s="53"/>
      <c r="SHQ3" s="53"/>
      <c r="SHR3" s="53"/>
      <c r="SHS3" s="53"/>
      <c r="SHT3" s="53"/>
      <c r="SHU3" s="53"/>
      <c r="SHV3" s="53"/>
      <c r="SHW3" s="53"/>
      <c r="SHX3" s="53"/>
      <c r="SHY3" s="53"/>
      <c r="SHZ3" s="53"/>
      <c r="SIA3" s="53"/>
      <c r="SIB3" s="212"/>
      <c r="SIC3" s="46"/>
      <c r="SID3" s="53"/>
      <c r="SIE3" s="53"/>
      <c r="SIF3" s="53"/>
      <c r="SIG3" s="53"/>
      <c r="SIH3" s="53"/>
      <c r="SII3" s="53"/>
      <c r="SIJ3" s="53"/>
      <c r="SIK3" s="53"/>
      <c r="SIL3" s="53"/>
      <c r="SIM3" s="53"/>
      <c r="SIN3" s="53"/>
      <c r="SIO3" s="53"/>
      <c r="SIP3" s="53"/>
      <c r="SIQ3" s="212"/>
      <c r="SIR3" s="46"/>
      <c r="SIS3" s="53"/>
      <c r="SIT3" s="53"/>
      <c r="SIU3" s="53"/>
      <c r="SIV3" s="53"/>
      <c r="SIW3" s="53"/>
      <c r="SIX3" s="53"/>
      <c r="SIY3" s="53"/>
      <c r="SIZ3" s="53"/>
      <c r="SJA3" s="53"/>
      <c r="SJB3" s="53"/>
      <c r="SJC3" s="53"/>
      <c r="SJD3" s="53"/>
      <c r="SJE3" s="53"/>
      <c r="SJF3" s="212"/>
      <c r="SJG3" s="46"/>
      <c r="SJH3" s="53"/>
      <c r="SJI3" s="53"/>
      <c r="SJJ3" s="53"/>
      <c r="SJK3" s="53"/>
      <c r="SJL3" s="53"/>
      <c r="SJM3" s="53"/>
      <c r="SJN3" s="53"/>
      <c r="SJO3" s="53"/>
      <c r="SJP3" s="53"/>
      <c r="SJQ3" s="53"/>
      <c r="SJR3" s="53"/>
      <c r="SJS3" s="53"/>
      <c r="SJT3" s="53"/>
      <c r="SJU3" s="212"/>
      <c r="SJV3" s="46"/>
      <c r="SJW3" s="53"/>
      <c r="SJX3" s="53"/>
      <c r="SJY3" s="53"/>
      <c r="SJZ3" s="53"/>
      <c r="SKA3" s="53"/>
      <c r="SKB3" s="53"/>
      <c r="SKC3" s="53"/>
      <c r="SKD3" s="53"/>
      <c r="SKE3" s="53"/>
      <c r="SKF3" s="53"/>
      <c r="SKG3" s="53"/>
      <c r="SKH3" s="53"/>
      <c r="SKI3" s="53"/>
      <c r="SKJ3" s="212"/>
      <c r="SKK3" s="46"/>
      <c r="SKL3" s="53"/>
      <c r="SKM3" s="53"/>
      <c r="SKN3" s="53"/>
      <c r="SKO3" s="53"/>
      <c r="SKP3" s="53"/>
      <c r="SKQ3" s="53"/>
      <c r="SKR3" s="53"/>
      <c r="SKS3" s="53"/>
      <c r="SKT3" s="53"/>
      <c r="SKU3" s="53"/>
      <c r="SKV3" s="53"/>
      <c r="SKW3" s="53"/>
      <c r="SKX3" s="53"/>
      <c r="SKY3" s="212"/>
      <c r="SKZ3" s="46"/>
      <c r="SLA3" s="53"/>
      <c r="SLB3" s="53"/>
      <c r="SLC3" s="53"/>
      <c r="SLD3" s="53"/>
      <c r="SLE3" s="53"/>
      <c r="SLF3" s="53"/>
      <c r="SLG3" s="53"/>
      <c r="SLH3" s="53"/>
      <c r="SLI3" s="53"/>
      <c r="SLJ3" s="53"/>
      <c r="SLK3" s="53"/>
      <c r="SLL3" s="53"/>
      <c r="SLM3" s="53"/>
      <c r="SLN3" s="212"/>
      <c r="SLO3" s="46"/>
      <c r="SLP3" s="53"/>
      <c r="SLQ3" s="53"/>
      <c r="SLR3" s="53"/>
      <c r="SLS3" s="53"/>
      <c r="SLT3" s="53"/>
      <c r="SLU3" s="53"/>
      <c r="SLV3" s="53"/>
      <c r="SLW3" s="53"/>
      <c r="SLX3" s="53"/>
      <c r="SLY3" s="53"/>
      <c r="SLZ3" s="53"/>
      <c r="SMA3" s="53"/>
      <c r="SMB3" s="53"/>
      <c r="SMC3" s="212"/>
      <c r="SMD3" s="46"/>
      <c r="SME3" s="53"/>
      <c r="SMF3" s="53"/>
      <c r="SMG3" s="53"/>
      <c r="SMH3" s="53"/>
      <c r="SMI3" s="53"/>
      <c r="SMJ3" s="53"/>
      <c r="SMK3" s="53"/>
      <c r="SML3" s="53"/>
      <c r="SMM3" s="53"/>
      <c r="SMN3" s="53"/>
      <c r="SMO3" s="53"/>
      <c r="SMP3" s="53"/>
      <c r="SMQ3" s="53"/>
      <c r="SMR3" s="212"/>
      <c r="SMS3" s="46"/>
      <c r="SMT3" s="53"/>
      <c r="SMU3" s="53"/>
      <c r="SMV3" s="53"/>
      <c r="SMW3" s="53"/>
      <c r="SMX3" s="53"/>
      <c r="SMY3" s="53"/>
      <c r="SMZ3" s="53"/>
      <c r="SNA3" s="53"/>
      <c r="SNB3" s="53"/>
      <c r="SNC3" s="53"/>
      <c r="SND3" s="53"/>
      <c r="SNE3" s="53"/>
      <c r="SNF3" s="53"/>
      <c r="SNG3" s="212"/>
      <c r="SNH3" s="46"/>
      <c r="SNI3" s="53"/>
      <c r="SNJ3" s="53"/>
      <c r="SNK3" s="53"/>
      <c r="SNL3" s="53"/>
      <c r="SNM3" s="53"/>
      <c r="SNN3" s="53"/>
      <c r="SNO3" s="53"/>
      <c r="SNP3" s="53"/>
      <c r="SNQ3" s="53"/>
      <c r="SNR3" s="53"/>
      <c r="SNS3" s="53"/>
      <c r="SNT3" s="53"/>
      <c r="SNU3" s="53"/>
      <c r="SNV3" s="212"/>
      <c r="SNW3" s="46"/>
      <c r="SNX3" s="53"/>
      <c r="SNY3" s="53"/>
      <c r="SNZ3" s="53"/>
      <c r="SOA3" s="53"/>
      <c r="SOB3" s="53"/>
      <c r="SOC3" s="53"/>
      <c r="SOD3" s="53"/>
      <c r="SOE3" s="53"/>
      <c r="SOF3" s="53"/>
      <c r="SOG3" s="53"/>
      <c r="SOH3" s="53"/>
      <c r="SOI3" s="53"/>
      <c r="SOJ3" s="53"/>
      <c r="SOK3" s="212"/>
      <c r="SOL3" s="46"/>
      <c r="SOM3" s="53"/>
      <c r="SON3" s="53"/>
      <c r="SOO3" s="53"/>
      <c r="SOP3" s="53"/>
      <c r="SOQ3" s="53"/>
      <c r="SOR3" s="53"/>
      <c r="SOS3" s="53"/>
      <c r="SOT3" s="53"/>
      <c r="SOU3" s="53"/>
      <c r="SOV3" s="53"/>
      <c r="SOW3" s="53"/>
      <c r="SOX3" s="53"/>
      <c r="SOY3" s="53"/>
      <c r="SOZ3" s="212"/>
      <c r="SPA3" s="46"/>
      <c r="SPB3" s="53"/>
      <c r="SPC3" s="53"/>
      <c r="SPD3" s="53"/>
      <c r="SPE3" s="53"/>
      <c r="SPF3" s="53"/>
      <c r="SPG3" s="53"/>
      <c r="SPH3" s="53"/>
      <c r="SPI3" s="53"/>
      <c r="SPJ3" s="53"/>
      <c r="SPK3" s="53"/>
      <c r="SPL3" s="53"/>
      <c r="SPM3" s="53"/>
      <c r="SPN3" s="53"/>
      <c r="SPO3" s="212"/>
      <c r="SPP3" s="46"/>
      <c r="SPQ3" s="53"/>
      <c r="SPR3" s="53"/>
      <c r="SPS3" s="53"/>
      <c r="SPT3" s="53"/>
      <c r="SPU3" s="53"/>
      <c r="SPV3" s="53"/>
      <c r="SPW3" s="53"/>
      <c r="SPX3" s="53"/>
      <c r="SPY3" s="53"/>
      <c r="SPZ3" s="53"/>
      <c r="SQA3" s="53"/>
      <c r="SQB3" s="53"/>
      <c r="SQC3" s="53"/>
      <c r="SQD3" s="212"/>
      <c r="SQE3" s="46"/>
      <c r="SQF3" s="53"/>
      <c r="SQG3" s="53"/>
      <c r="SQH3" s="53"/>
      <c r="SQI3" s="53"/>
      <c r="SQJ3" s="53"/>
      <c r="SQK3" s="53"/>
      <c r="SQL3" s="53"/>
      <c r="SQM3" s="53"/>
      <c r="SQN3" s="53"/>
      <c r="SQO3" s="53"/>
      <c r="SQP3" s="53"/>
      <c r="SQQ3" s="53"/>
      <c r="SQR3" s="53"/>
      <c r="SQS3" s="212"/>
      <c r="SQT3" s="46"/>
      <c r="SQU3" s="53"/>
      <c r="SQV3" s="53"/>
      <c r="SQW3" s="53"/>
      <c r="SQX3" s="53"/>
      <c r="SQY3" s="53"/>
      <c r="SQZ3" s="53"/>
      <c r="SRA3" s="53"/>
      <c r="SRB3" s="53"/>
      <c r="SRC3" s="53"/>
      <c r="SRD3" s="53"/>
      <c r="SRE3" s="53"/>
      <c r="SRF3" s="53"/>
      <c r="SRG3" s="53"/>
      <c r="SRH3" s="212"/>
      <c r="SRI3" s="46"/>
      <c r="SRJ3" s="53"/>
      <c r="SRK3" s="53"/>
      <c r="SRL3" s="53"/>
      <c r="SRM3" s="53"/>
      <c r="SRN3" s="53"/>
      <c r="SRO3" s="53"/>
      <c r="SRP3" s="53"/>
      <c r="SRQ3" s="53"/>
      <c r="SRR3" s="53"/>
      <c r="SRS3" s="53"/>
      <c r="SRT3" s="53"/>
      <c r="SRU3" s="53"/>
      <c r="SRV3" s="53"/>
      <c r="SRW3" s="212"/>
      <c r="SRX3" s="46"/>
      <c r="SRY3" s="53"/>
      <c r="SRZ3" s="53"/>
      <c r="SSA3" s="53"/>
      <c r="SSB3" s="53"/>
      <c r="SSC3" s="53"/>
      <c r="SSD3" s="53"/>
      <c r="SSE3" s="53"/>
      <c r="SSF3" s="53"/>
      <c r="SSG3" s="53"/>
      <c r="SSH3" s="53"/>
      <c r="SSI3" s="53"/>
      <c r="SSJ3" s="53"/>
      <c r="SSK3" s="53"/>
      <c r="SSL3" s="212"/>
      <c r="SSM3" s="46"/>
      <c r="SSN3" s="53"/>
      <c r="SSO3" s="53"/>
      <c r="SSP3" s="53"/>
      <c r="SSQ3" s="53"/>
      <c r="SSR3" s="53"/>
      <c r="SSS3" s="53"/>
      <c r="SST3" s="53"/>
      <c r="SSU3" s="53"/>
      <c r="SSV3" s="53"/>
      <c r="SSW3" s="53"/>
      <c r="SSX3" s="53"/>
      <c r="SSY3" s="53"/>
      <c r="SSZ3" s="53"/>
      <c r="STA3" s="212"/>
      <c r="STB3" s="46"/>
      <c r="STC3" s="53"/>
      <c r="STD3" s="53"/>
      <c r="STE3" s="53"/>
      <c r="STF3" s="53"/>
      <c r="STG3" s="53"/>
      <c r="STH3" s="53"/>
      <c r="STI3" s="53"/>
      <c r="STJ3" s="53"/>
      <c r="STK3" s="53"/>
      <c r="STL3" s="53"/>
      <c r="STM3" s="53"/>
      <c r="STN3" s="53"/>
      <c r="STO3" s="53"/>
      <c r="STP3" s="212"/>
      <c r="STQ3" s="46"/>
      <c r="STR3" s="53"/>
      <c r="STS3" s="53"/>
      <c r="STT3" s="53"/>
      <c r="STU3" s="53"/>
      <c r="STV3" s="53"/>
      <c r="STW3" s="53"/>
      <c r="STX3" s="53"/>
      <c r="STY3" s="53"/>
      <c r="STZ3" s="53"/>
      <c r="SUA3" s="53"/>
      <c r="SUB3" s="53"/>
      <c r="SUC3" s="53"/>
      <c r="SUD3" s="53"/>
      <c r="SUE3" s="212"/>
      <c r="SUF3" s="46"/>
      <c r="SUG3" s="53"/>
      <c r="SUH3" s="53"/>
      <c r="SUI3" s="53"/>
      <c r="SUJ3" s="53"/>
      <c r="SUK3" s="53"/>
      <c r="SUL3" s="53"/>
      <c r="SUM3" s="53"/>
      <c r="SUN3" s="53"/>
      <c r="SUO3" s="53"/>
      <c r="SUP3" s="53"/>
      <c r="SUQ3" s="53"/>
      <c r="SUR3" s="53"/>
      <c r="SUS3" s="53"/>
      <c r="SUT3" s="212"/>
      <c r="SUU3" s="46"/>
      <c r="SUV3" s="53"/>
      <c r="SUW3" s="53"/>
      <c r="SUX3" s="53"/>
      <c r="SUY3" s="53"/>
      <c r="SUZ3" s="53"/>
      <c r="SVA3" s="53"/>
      <c r="SVB3" s="53"/>
      <c r="SVC3" s="53"/>
      <c r="SVD3" s="53"/>
      <c r="SVE3" s="53"/>
      <c r="SVF3" s="53"/>
      <c r="SVG3" s="53"/>
      <c r="SVH3" s="53"/>
      <c r="SVI3" s="212"/>
      <c r="SVJ3" s="46"/>
      <c r="SVK3" s="53"/>
      <c r="SVL3" s="53"/>
      <c r="SVM3" s="53"/>
      <c r="SVN3" s="53"/>
      <c r="SVO3" s="53"/>
      <c r="SVP3" s="53"/>
      <c r="SVQ3" s="53"/>
      <c r="SVR3" s="53"/>
      <c r="SVS3" s="53"/>
      <c r="SVT3" s="53"/>
      <c r="SVU3" s="53"/>
      <c r="SVV3" s="53"/>
      <c r="SVW3" s="53"/>
      <c r="SVX3" s="212"/>
      <c r="SVY3" s="46"/>
      <c r="SVZ3" s="53"/>
      <c r="SWA3" s="53"/>
      <c r="SWB3" s="53"/>
      <c r="SWC3" s="53"/>
      <c r="SWD3" s="53"/>
      <c r="SWE3" s="53"/>
      <c r="SWF3" s="53"/>
      <c r="SWG3" s="53"/>
      <c r="SWH3" s="53"/>
      <c r="SWI3" s="53"/>
      <c r="SWJ3" s="53"/>
      <c r="SWK3" s="53"/>
      <c r="SWL3" s="53"/>
      <c r="SWM3" s="212"/>
      <c r="SWN3" s="46"/>
      <c r="SWO3" s="53"/>
      <c r="SWP3" s="53"/>
      <c r="SWQ3" s="53"/>
      <c r="SWR3" s="53"/>
      <c r="SWS3" s="53"/>
      <c r="SWT3" s="53"/>
      <c r="SWU3" s="53"/>
      <c r="SWV3" s="53"/>
      <c r="SWW3" s="53"/>
      <c r="SWX3" s="53"/>
      <c r="SWY3" s="53"/>
      <c r="SWZ3" s="53"/>
      <c r="SXA3" s="53"/>
      <c r="SXB3" s="212"/>
      <c r="SXC3" s="46"/>
      <c r="SXD3" s="53"/>
      <c r="SXE3" s="53"/>
      <c r="SXF3" s="53"/>
      <c r="SXG3" s="53"/>
      <c r="SXH3" s="53"/>
      <c r="SXI3" s="53"/>
      <c r="SXJ3" s="53"/>
      <c r="SXK3" s="53"/>
      <c r="SXL3" s="53"/>
      <c r="SXM3" s="53"/>
      <c r="SXN3" s="53"/>
      <c r="SXO3" s="53"/>
      <c r="SXP3" s="53"/>
      <c r="SXQ3" s="212"/>
      <c r="SXR3" s="46"/>
      <c r="SXS3" s="53"/>
      <c r="SXT3" s="53"/>
      <c r="SXU3" s="53"/>
      <c r="SXV3" s="53"/>
      <c r="SXW3" s="53"/>
      <c r="SXX3" s="53"/>
      <c r="SXY3" s="53"/>
      <c r="SXZ3" s="53"/>
      <c r="SYA3" s="53"/>
      <c r="SYB3" s="53"/>
      <c r="SYC3" s="53"/>
      <c r="SYD3" s="53"/>
      <c r="SYE3" s="53"/>
      <c r="SYF3" s="212"/>
      <c r="SYG3" s="46"/>
      <c r="SYH3" s="53"/>
      <c r="SYI3" s="53"/>
      <c r="SYJ3" s="53"/>
      <c r="SYK3" s="53"/>
      <c r="SYL3" s="53"/>
      <c r="SYM3" s="53"/>
      <c r="SYN3" s="53"/>
      <c r="SYO3" s="53"/>
      <c r="SYP3" s="53"/>
      <c r="SYQ3" s="53"/>
      <c r="SYR3" s="53"/>
      <c r="SYS3" s="53"/>
      <c r="SYT3" s="53"/>
      <c r="SYU3" s="212"/>
      <c r="SYV3" s="46"/>
      <c r="SYW3" s="53"/>
      <c r="SYX3" s="53"/>
      <c r="SYY3" s="53"/>
      <c r="SYZ3" s="53"/>
      <c r="SZA3" s="53"/>
      <c r="SZB3" s="53"/>
      <c r="SZC3" s="53"/>
      <c r="SZD3" s="53"/>
      <c r="SZE3" s="53"/>
      <c r="SZF3" s="53"/>
      <c r="SZG3" s="53"/>
      <c r="SZH3" s="53"/>
      <c r="SZI3" s="53"/>
      <c r="SZJ3" s="212"/>
      <c r="SZK3" s="46"/>
      <c r="SZL3" s="53"/>
      <c r="SZM3" s="53"/>
      <c r="SZN3" s="53"/>
      <c r="SZO3" s="53"/>
      <c r="SZP3" s="53"/>
      <c r="SZQ3" s="53"/>
      <c r="SZR3" s="53"/>
      <c r="SZS3" s="53"/>
      <c r="SZT3" s="53"/>
      <c r="SZU3" s="53"/>
      <c r="SZV3" s="53"/>
      <c r="SZW3" s="53"/>
      <c r="SZX3" s="53"/>
      <c r="SZY3" s="212"/>
      <c r="SZZ3" s="46"/>
      <c r="TAA3" s="53"/>
      <c r="TAB3" s="53"/>
      <c r="TAC3" s="53"/>
      <c r="TAD3" s="53"/>
      <c r="TAE3" s="53"/>
      <c r="TAF3" s="53"/>
      <c r="TAG3" s="53"/>
      <c r="TAH3" s="53"/>
      <c r="TAI3" s="53"/>
      <c r="TAJ3" s="53"/>
      <c r="TAK3" s="53"/>
      <c r="TAL3" s="53"/>
      <c r="TAM3" s="53"/>
      <c r="TAN3" s="212"/>
      <c r="TAO3" s="46"/>
      <c r="TAP3" s="53"/>
      <c r="TAQ3" s="53"/>
      <c r="TAR3" s="53"/>
      <c r="TAS3" s="53"/>
      <c r="TAT3" s="53"/>
      <c r="TAU3" s="53"/>
      <c r="TAV3" s="53"/>
      <c r="TAW3" s="53"/>
      <c r="TAX3" s="53"/>
      <c r="TAY3" s="53"/>
      <c r="TAZ3" s="53"/>
      <c r="TBA3" s="53"/>
      <c r="TBB3" s="53"/>
      <c r="TBC3" s="212"/>
      <c r="TBD3" s="46"/>
      <c r="TBE3" s="53"/>
      <c r="TBF3" s="53"/>
      <c r="TBG3" s="53"/>
      <c r="TBH3" s="53"/>
      <c r="TBI3" s="53"/>
      <c r="TBJ3" s="53"/>
      <c r="TBK3" s="53"/>
      <c r="TBL3" s="53"/>
      <c r="TBM3" s="53"/>
      <c r="TBN3" s="53"/>
      <c r="TBO3" s="53"/>
      <c r="TBP3" s="53"/>
      <c r="TBQ3" s="53"/>
      <c r="TBR3" s="212"/>
      <c r="TBS3" s="46"/>
      <c r="TBT3" s="53"/>
      <c r="TBU3" s="53"/>
      <c r="TBV3" s="53"/>
      <c r="TBW3" s="53"/>
      <c r="TBX3" s="53"/>
      <c r="TBY3" s="53"/>
      <c r="TBZ3" s="53"/>
      <c r="TCA3" s="53"/>
      <c r="TCB3" s="53"/>
      <c r="TCC3" s="53"/>
      <c r="TCD3" s="53"/>
      <c r="TCE3" s="53"/>
      <c r="TCF3" s="53"/>
      <c r="TCG3" s="212"/>
      <c r="TCH3" s="46"/>
      <c r="TCI3" s="53"/>
      <c r="TCJ3" s="53"/>
      <c r="TCK3" s="53"/>
      <c r="TCL3" s="53"/>
      <c r="TCM3" s="53"/>
      <c r="TCN3" s="53"/>
      <c r="TCO3" s="53"/>
      <c r="TCP3" s="53"/>
      <c r="TCQ3" s="53"/>
      <c r="TCR3" s="53"/>
      <c r="TCS3" s="53"/>
      <c r="TCT3" s="53"/>
      <c r="TCU3" s="53"/>
      <c r="TCV3" s="212"/>
      <c r="TCW3" s="46"/>
      <c r="TCX3" s="53"/>
      <c r="TCY3" s="53"/>
      <c r="TCZ3" s="53"/>
      <c r="TDA3" s="53"/>
      <c r="TDB3" s="53"/>
      <c r="TDC3" s="53"/>
      <c r="TDD3" s="53"/>
      <c r="TDE3" s="53"/>
      <c r="TDF3" s="53"/>
      <c r="TDG3" s="53"/>
      <c r="TDH3" s="53"/>
      <c r="TDI3" s="53"/>
      <c r="TDJ3" s="53"/>
      <c r="TDK3" s="212"/>
      <c r="TDL3" s="46"/>
      <c r="TDM3" s="53"/>
      <c r="TDN3" s="53"/>
      <c r="TDO3" s="53"/>
      <c r="TDP3" s="53"/>
      <c r="TDQ3" s="53"/>
      <c r="TDR3" s="53"/>
      <c r="TDS3" s="53"/>
      <c r="TDT3" s="53"/>
      <c r="TDU3" s="53"/>
      <c r="TDV3" s="53"/>
      <c r="TDW3" s="53"/>
      <c r="TDX3" s="53"/>
      <c r="TDY3" s="53"/>
      <c r="TDZ3" s="212"/>
      <c r="TEA3" s="46"/>
      <c r="TEB3" s="53"/>
      <c r="TEC3" s="53"/>
      <c r="TED3" s="53"/>
      <c r="TEE3" s="53"/>
      <c r="TEF3" s="53"/>
      <c r="TEG3" s="53"/>
      <c r="TEH3" s="53"/>
      <c r="TEI3" s="53"/>
      <c r="TEJ3" s="53"/>
      <c r="TEK3" s="53"/>
      <c r="TEL3" s="53"/>
      <c r="TEM3" s="53"/>
      <c r="TEN3" s="53"/>
      <c r="TEO3" s="212"/>
      <c r="TEP3" s="46"/>
      <c r="TEQ3" s="53"/>
      <c r="TER3" s="53"/>
      <c r="TES3" s="53"/>
      <c r="TET3" s="53"/>
      <c r="TEU3" s="53"/>
      <c r="TEV3" s="53"/>
      <c r="TEW3" s="53"/>
      <c r="TEX3" s="53"/>
      <c r="TEY3" s="53"/>
      <c r="TEZ3" s="53"/>
      <c r="TFA3" s="53"/>
      <c r="TFB3" s="53"/>
      <c r="TFC3" s="53"/>
      <c r="TFD3" s="212"/>
      <c r="TFE3" s="46"/>
      <c r="TFF3" s="53"/>
      <c r="TFG3" s="53"/>
      <c r="TFH3" s="53"/>
      <c r="TFI3" s="53"/>
      <c r="TFJ3" s="53"/>
      <c r="TFK3" s="53"/>
      <c r="TFL3" s="53"/>
      <c r="TFM3" s="53"/>
      <c r="TFN3" s="53"/>
      <c r="TFO3" s="53"/>
      <c r="TFP3" s="53"/>
      <c r="TFQ3" s="53"/>
      <c r="TFR3" s="53"/>
      <c r="TFS3" s="212"/>
      <c r="TFT3" s="46"/>
      <c r="TFU3" s="53"/>
      <c r="TFV3" s="53"/>
      <c r="TFW3" s="53"/>
      <c r="TFX3" s="53"/>
      <c r="TFY3" s="53"/>
      <c r="TFZ3" s="53"/>
      <c r="TGA3" s="53"/>
      <c r="TGB3" s="53"/>
      <c r="TGC3" s="53"/>
      <c r="TGD3" s="53"/>
      <c r="TGE3" s="53"/>
      <c r="TGF3" s="53"/>
      <c r="TGG3" s="53"/>
      <c r="TGH3" s="212"/>
      <c r="TGI3" s="46"/>
      <c r="TGJ3" s="53"/>
      <c r="TGK3" s="53"/>
      <c r="TGL3" s="53"/>
      <c r="TGM3" s="53"/>
      <c r="TGN3" s="53"/>
      <c r="TGO3" s="53"/>
      <c r="TGP3" s="53"/>
      <c r="TGQ3" s="53"/>
      <c r="TGR3" s="53"/>
      <c r="TGS3" s="53"/>
      <c r="TGT3" s="53"/>
      <c r="TGU3" s="53"/>
      <c r="TGV3" s="53"/>
      <c r="TGW3" s="212"/>
      <c r="TGX3" s="46"/>
      <c r="TGY3" s="53"/>
      <c r="TGZ3" s="53"/>
      <c r="THA3" s="53"/>
      <c r="THB3" s="53"/>
      <c r="THC3" s="53"/>
      <c r="THD3" s="53"/>
      <c r="THE3" s="53"/>
      <c r="THF3" s="53"/>
      <c r="THG3" s="53"/>
      <c r="THH3" s="53"/>
      <c r="THI3" s="53"/>
      <c r="THJ3" s="53"/>
      <c r="THK3" s="53"/>
      <c r="THL3" s="212"/>
      <c r="THM3" s="46"/>
      <c r="THN3" s="53"/>
      <c r="THO3" s="53"/>
      <c r="THP3" s="53"/>
      <c r="THQ3" s="53"/>
      <c r="THR3" s="53"/>
      <c r="THS3" s="53"/>
      <c r="THT3" s="53"/>
      <c r="THU3" s="53"/>
      <c r="THV3" s="53"/>
      <c r="THW3" s="53"/>
      <c r="THX3" s="53"/>
      <c r="THY3" s="53"/>
      <c r="THZ3" s="53"/>
      <c r="TIA3" s="212"/>
      <c r="TIB3" s="46"/>
      <c r="TIC3" s="53"/>
      <c r="TID3" s="53"/>
      <c r="TIE3" s="53"/>
      <c r="TIF3" s="53"/>
      <c r="TIG3" s="53"/>
      <c r="TIH3" s="53"/>
      <c r="TII3" s="53"/>
      <c r="TIJ3" s="53"/>
      <c r="TIK3" s="53"/>
      <c r="TIL3" s="53"/>
      <c r="TIM3" s="53"/>
      <c r="TIN3" s="53"/>
      <c r="TIO3" s="53"/>
      <c r="TIP3" s="212"/>
      <c r="TIQ3" s="46"/>
      <c r="TIR3" s="53"/>
      <c r="TIS3" s="53"/>
      <c r="TIT3" s="53"/>
      <c r="TIU3" s="53"/>
      <c r="TIV3" s="53"/>
      <c r="TIW3" s="53"/>
      <c r="TIX3" s="53"/>
      <c r="TIY3" s="53"/>
      <c r="TIZ3" s="53"/>
      <c r="TJA3" s="53"/>
      <c r="TJB3" s="53"/>
      <c r="TJC3" s="53"/>
      <c r="TJD3" s="53"/>
      <c r="TJE3" s="212"/>
      <c r="TJF3" s="46"/>
      <c r="TJG3" s="53"/>
      <c r="TJH3" s="53"/>
      <c r="TJI3" s="53"/>
      <c r="TJJ3" s="53"/>
      <c r="TJK3" s="53"/>
      <c r="TJL3" s="53"/>
      <c r="TJM3" s="53"/>
      <c r="TJN3" s="53"/>
      <c r="TJO3" s="53"/>
      <c r="TJP3" s="53"/>
      <c r="TJQ3" s="53"/>
      <c r="TJR3" s="53"/>
      <c r="TJS3" s="53"/>
      <c r="TJT3" s="212"/>
      <c r="TJU3" s="46"/>
      <c r="TJV3" s="53"/>
      <c r="TJW3" s="53"/>
      <c r="TJX3" s="53"/>
      <c r="TJY3" s="53"/>
      <c r="TJZ3" s="53"/>
      <c r="TKA3" s="53"/>
      <c r="TKB3" s="53"/>
      <c r="TKC3" s="53"/>
      <c r="TKD3" s="53"/>
      <c r="TKE3" s="53"/>
      <c r="TKF3" s="53"/>
      <c r="TKG3" s="53"/>
      <c r="TKH3" s="53"/>
      <c r="TKI3" s="212"/>
      <c r="TKJ3" s="46"/>
      <c r="TKK3" s="53"/>
      <c r="TKL3" s="53"/>
      <c r="TKM3" s="53"/>
      <c r="TKN3" s="53"/>
      <c r="TKO3" s="53"/>
      <c r="TKP3" s="53"/>
      <c r="TKQ3" s="53"/>
      <c r="TKR3" s="53"/>
      <c r="TKS3" s="53"/>
      <c r="TKT3" s="53"/>
      <c r="TKU3" s="53"/>
      <c r="TKV3" s="53"/>
      <c r="TKW3" s="53"/>
      <c r="TKX3" s="212"/>
      <c r="TKY3" s="46"/>
      <c r="TKZ3" s="53"/>
      <c r="TLA3" s="53"/>
      <c r="TLB3" s="53"/>
      <c r="TLC3" s="53"/>
      <c r="TLD3" s="53"/>
      <c r="TLE3" s="53"/>
      <c r="TLF3" s="53"/>
      <c r="TLG3" s="53"/>
      <c r="TLH3" s="53"/>
      <c r="TLI3" s="53"/>
      <c r="TLJ3" s="53"/>
      <c r="TLK3" s="53"/>
      <c r="TLL3" s="53"/>
      <c r="TLM3" s="212"/>
      <c r="TLN3" s="46"/>
      <c r="TLO3" s="53"/>
      <c r="TLP3" s="53"/>
      <c r="TLQ3" s="53"/>
      <c r="TLR3" s="53"/>
      <c r="TLS3" s="53"/>
      <c r="TLT3" s="53"/>
      <c r="TLU3" s="53"/>
      <c r="TLV3" s="53"/>
      <c r="TLW3" s="53"/>
      <c r="TLX3" s="53"/>
      <c r="TLY3" s="53"/>
      <c r="TLZ3" s="53"/>
      <c r="TMA3" s="53"/>
      <c r="TMB3" s="212"/>
      <c r="TMC3" s="46"/>
      <c r="TMD3" s="53"/>
      <c r="TME3" s="53"/>
      <c r="TMF3" s="53"/>
      <c r="TMG3" s="53"/>
      <c r="TMH3" s="53"/>
      <c r="TMI3" s="53"/>
      <c r="TMJ3" s="53"/>
      <c r="TMK3" s="53"/>
      <c r="TML3" s="53"/>
      <c r="TMM3" s="53"/>
      <c r="TMN3" s="53"/>
      <c r="TMO3" s="53"/>
      <c r="TMP3" s="53"/>
      <c r="TMQ3" s="212"/>
      <c r="TMR3" s="46"/>
      <c r="TMS3" s="53"/>
      <c r="TMT3" s="53"/>
      <c r="TMU3" s="53"/>
      <c r="TMV3" s="53"/>
      <c r="TMW3" s="53"/>
      <c r="TMX3" s="53"/>
      <c r="TMY3" s="53"/>
      <c r="TMZ3" s="53"/>
      <c r="TNA3" s="53"/>
      <c r="TNB3" s="53"/>
      <c r="TNC3" s="53"/>
      <c r="TND3" s="53"/>
      <c r="TNE3" s="53"/>
      <c r="TNF3" s="212"/>
      <c r="TNG3" s="46"/>
      <c r="TNH3" s="53"/>
      <c r="TNI3" s="53"/>
      <c r="TNJ3" s="53"/>
      <c r="TNK3" s="53"/>
      <c r="TNL3" s="53"/>
      <c r="TNM3" s="53"/>
      <c r="TNN3" s="53"/>
      <c r="TNO3" s="53"/>
      <c r="TNP3" s="53"/>
      <c r="TNQ3" s="53"/>
      <c r="TNR3" s="53"/>
      <c r="TNS3" s="53"/>
      <c r="TNT3" s="53"/>
      <c r="TNU3" s="212"/>
      <c r="TNV3" s="46"/>
      <c r="TNW3" s="53"/>
      <c r="TNX3" s="53"/>
      <c r="TNY3" s="53"/>
      <c r="TNZ3" s="53"/>
      <c r="TOA3" s="53"/>
      <c r="TOB3" s="53"/>
      <c r="TOC3" s="53"/>
      <c r="TOD3" s="53"/>
      <c r="TOE3" s="53"/>
      <c r="TOF3" s="53"/>
      <c r="TOG3" s="53"/>
      <c r="TOH3" s="53"/>
      <c r="TOI3" s="53"/>
      <c r="TOJ3" s="212"/>
      <c r="TOK3" s="46"/>
      <c r="TOL3" s="53"/>
      <c r="TOM3" s="53"/>
      <c r="TON3" s="53"/>
      <c r="TOO3" s="53"/>
      <c r="TOP3" s="53"/>
      <c r="TOQ3" s="53"/>
      <c r="TOR3" s="53"/>
      <c r="TOS3" s="53"/>
      <c r="TOT3" s="53"/>
      <c r="TOU3" s="53"/>
      <c r="TOV3" s="53"/>
      <c r="TOW3" s="53"/>
      <c r="TOX3" s="53"/>
      <c r="TOY3" s="212"/>
      <c r="TOZ3" s="46"/>
      <c r="TPA3" s="53"/>
      <c r="TPB3" s="53"/>
      <c r="TPC3" s="53"/>
      <c r="TPD3" s="53"/>
      <c r="TPE3" s="53"/>
      <c r="TPF3" s="53"/>
      <c r="TPG3" s="53"/>
      <c r="TPH3" s="53"/>
      <c r="TPI3" s="53"/>
      <c r="TPJ3" s="53"/>
      <c r="TPK3" s="53"/>
      <c r="TPL3" s="53"/>
      <c r="TPM3" s="53"/>
      <c r="TPN3" s="212"/>
      <c r="TPO3" s="46"/>
      <c r="TPP3" s="53"/>
      <c r="TPQ3" s="53"/>
      <c r="TPR3" s="53"/>
      <c r="TPS3" s="53"/>
      <c r="TPT3" s="53"/>
      <c r="TPU3" s="53"/>
      <c r="TPV3" s="53"/>
      <c r="TPW3" s="53"/>
      <c r="TPX3" s="53"/>
      <c r="TPY3" s="53"/>
      <c r="TPZ3" s="53"/>
      <c r="TQA3" s="53"/>
      <c r="TQB3" s="53"/>
      <c r="TQC3" s="212"/>
      <c r="TQD3" s="46"/>
      <c r="TQE3" s="53"/>
      <c r="TQF3" s="53"/>
      <c r="TQG3" s="53"/>
      <c r="TQH3" s="53"/>
      <c r="TQI3" s="53"/>
      <c r="TQJ3" s="53"/>
      <c r="TQK3" s="53"/>
      <c r="TQL3" s="53"/>
      <c r="TQM3" s="53"/>
      <c r="TQN3" s="53"/>
      <c r="TQO3" s="53"/>
      <c r="TQP3" s="53"/>
      <c r="TQQ3" s="53"/>
      <c r="TQR3" s="212"/>
      <c r="TQS3" s="46"/>
      <c r="TQT3" s="53"/>
      <c r="TQU3" s="53"/>
      <c r="TQV3" s="53"/>
      <c r="TQW3" s="53"/>
      <c r="TQX3" s="53"/>
      <c r="TQY3" s="53"/>
      <c r="TQZ3" s="53"/>
      <c r="TRA3" s="53"/>
      <c r="TRB3" s="53"/>
      <c r="TRC3" s="53"/>
      <c r="TRD3" s="53"/>
      <c r="TRE3" s="53"/>
      <c r="TRF3" s="53"/>
      <c r="TRG3" s="212"/>
      <c r="TRH3" s="46"/>
      <c r="TRI3" s="53"/>
      <c r="TRJ3" s="53"/>
      <c r="TRK3" s="53"/>
      <c r="TRL3" s="53"/>
      <c r="TRM3" s="53"/>
      <c r="TRN3" s="53"/>
      <c r="TRO3" s="53"/>
      <c r="TRP3" s="53"/>
      <c r="TRQ3" s="53"/>
      <c r="TRR3" s="53"/>
      <c r="TRS3" s="53"/>
      <c r="TRT3" s="53"/>
      <c r="TRU3" s="53"/>
      <c r="TRV3" s="212"/>
      <c r="TRW3" s="46"/>
      <c r="TRX3" s="53"/>
      <c r="TRY3" s="53"/>
      <c r="TRZ3" s="53"/>
      <c r="TSA3" s="53"/>
      <c r="TSB3" s="53"/>
      <c r="TSC3" s="53"/>
      <c r="TSD3" s="53"/>
      <c r="TSE3" s="53"/>
      <c r="TSF3" s="53"/>
      <c r="TSG3" s="53"/>
      <c r="TSH3" s="53"/>
      <c r="TSI3" s="53"/>
      <c r="TSJ3" s="53"/>
      <c r="TSK3" s="212"/>
      <c r="TSL3" s="46"/>
      <c r="TSM3" s="53"/>
      <c r="TSN3" s="53"/>
      <c r="TSO3" s="53"/>
      <c r="TSP3" s="53"/>
      <c r="TSQ3" s="53"/>
      <c r="TSR3" s="53"/>
      <c r="TSS3" s="53"/>
      <c r="TST3" s="53"/>
      <c r="TSU3" s="53"/>
      <c r="TSV3" s="53"/>
      <c r="TSW3" s="53"/>
      <c r="TSX3" s="53"/>
      <c r="TSY3" s="53"/>
      <c r="TSZ3" s="212"/>
      <c r="TTA3" s="46"/>
      <c r="TTB3" s="53"/>
      <c r="TTC3" s="53"/>
      <c r="TTD3" s="53"/>
      <c r="TTE3" s="53"/>
      <c r="TTF3" s="53"/>
      <c r="TTG3" s="53"/>
      <c r="TTH3" s="53"/>
      <c r="TTI3" s="53"/>
      <c r="TTJ3" s="53"/>
      <c r="TTK3" s="53"/>
      <c r="TTL3" s="53"/>
      <c r="TTM3" s="53"/>
      <c r="TTN3" s="53"/>
      <c r="TTO3" s="212"/>
      <c r="TTP3" s="46"/>
      <c r="TTQ3" s="53"/>
      <c r="TTR3" s="53"/>
      <c r="TTS3" s="53"/>
      <c r="TTT3" s="53"/>
      <c r="TTU3" s="53"/>
      <c r="TTV3" s="53"/>
      <c r="TTW3" s="53"/>
      <c r="TTX3" s="53"/>
      <c r="TTY3" s="53"/>
      <c r="TTZ3" s="53"/>
      <c r="TUA3" s="53"/>
      <c r="TUB3" s="53"/>
      <c r="TUC3" s="53"/>
      <c r="TUD3" s="212"/>
      <c r="TUE3" s="46"/>
      <c r="TUF3" s="53"/>
      <c r="TUG3" s="53"/>
      <c r="TUH3" s="53"/>
      <c r="TUI3" s="53"/>
      <c r="TUJ3" s="53"/>
      <c r="TUK3" s="53"/>
      <c r="TUL3" s="53"/>
      <c r="TUM3" s="53"/>
      <c r="TUN3" s="53"/>
      <c r="TUO3" s="53"/>
      <c r="TUP3" s="53"/>
      <c r="TUQ3" s="53"/>
      <c r="TUR3" s="53"/>
      <c r="TUS3" s="212"/>
      <c r="TUT3" s="46"/>
      <c r="TUU3" s="53"/>
      <c r="TUV3" s="53"/>
      <c r="TUW3" s="53"/>
      <c r="TUX3" s="53"/>
      <c r="TUY3" s="53"/>
      <c r="TUZ3" s="53"/>
      <c r="TVA3" s="53"/>
      <c r="TVB3" s="53"/>
      <c r="TVC3" s="53"/>
      <c r="TVD3" s="53"/>
      <c r="TVE3" s="53"/>
      <c r="TVF3" s="53"/>
      <c r="TVG3" s="53"/>
      <c r="TVH3" s="212"/>
      <c r="TVI3" s="46"/>
      <c r="TVJ3" s="53"/>
      <c r="TVK3" s="53"/>
      <c r="TVL3" s="53"/>
      <c r="TVM3" s="53"/>
      <c r="TVN3" s="53"/>
      <c r="TVO3" s="53"/>
      <c r="TVP3" s="53"/>
      <c r="TVQ3" s="53"/>
      <c r="TVR3" s="53"/>
      <c r="TVS3" s="53"/>
      <c r="TVT3" s="53"/>
      <c r="TVU3" s="53"/>
      <c r="TVV3" s="53"/>
      <c r="TVW3" s="212"/>
      <c r="TVX3" s="46"/>
      <c r="TVY3" s="53"/>
      <c r="TVZ3" s="53"/>
      <c r="TWA3" s="53"/>
      <c r="TWB3" s="53"/>
      <c r="TWC3" s="53"/>
      <c r="TWD3" s="53"/>
      <c r="TWE3" s="53"/>
      <c r="TWF3" s="53"/>
      <c r="TWG3" s="53"/>
      <c r="TWH3" s="53"/>
      <c r="TWI3" s="53"/>
      <c r="TWJ3" s="53"/>
      <c r="TWK3" s="53"/>
      <c r="TWL3" s="212"/>
      <c r="TWM3" s="46"/>
      <c r="TWN3" s="53"/>
      <c r="TWO3" s="53"/>
      <c r="TWP3" s="53"/>
      <c r="TWQ3" s="53"/>
      <c r="TWR3" s="53"/>
      <c r="TWS3" s="53"/>
      <c r="TWT3" s="53"/>
      <c r="TWU3" s="53"/>
      <c r="TWV3" s="53"/>
      <c r="TWW3" s="53"/>
      <c r="TWX3" s="53"/>
      <c r="TWY3" s="53"/>
      <c r="TWZ3" s="53"/>
      <c r="TXA3" s="212"/>
      <c r="TXB3" s="46"/>
      <c r="TXC3" s="53"/>
      <c r="TXD3" s="53"/>
      <c r="TXE3" s="53"/>
      <c r="TXF3" s="53"/>
      <c r="TXG3" s="53"/>
      <c r="TXH3" s="53"/>
      <c r="TXI3" s="53"/>
      <c r="TXJ3" s="53"/>
      <c r="TXK3" s="53"/>
      <c r="TXL3" s="53"/>
      <c r="TXM3" s="53"/>
      <c r="TXN3" s="53"/>
      <c r="TXO3" s="53"/>
      <c r="TXP3" s="212"/>
      <c r="TXQ3" s="46"/>
      <c r="TXR3" s="53"/>
      <c r="TXS3" s="53"/>
      <c r="TXT3" s="53"/>
      <c r="TXU3" s="53"/>
      <c r="TXV3" s="53"/>
      <c r="TXW3" s="53"/>
      <c r="TXX3" s="53"/>
      <c r="TXY3" s="53"/>
      <c r="TXZ3" s="53"/>
      <c r="TYA3" s="53"/>
      <c r="TYB3" s="53"/>
      <c r="TYC3" s="53"/>
      <c r="TYD3" s="53"/>
      <c r="TYE3" s="212"/>
      <c r="TYF3" s="46"/>
      <c r="TYG3" s="53"/>
      <c r="TYH3" s="53"/>
      <c r="TYI3" s="53"/>
      <c r="TYJ3" s="53"/>
      <c r="TYK3" s="53"/>
      <c r="TYL3" s="53"/>
      <c r="TYM3" s="53"/>
      <c r="TYN3" s="53"/>
      <c r="TYO3" s="53"/>
      <c r="TYP3" s="53"/>
      <c r="TYQ3" s="53"/>
      <c r="TYR3" s="53"/>
      <c r="TYS3" s="53"/>
      <c r="TYT3" s="212"/>
      <c r="TYU3" s="46"/>
      <c r="TYV3" s="53"/>
      <c r="TYW3" s="53"/>
      <c r="TYX3" s="53"/>
      <c r="TYY3" s="53"/>
      <c r="TYZ3" s="53"/>
      <c r="TZA3" s="53"/>
      <c r="TZB3" s="53"/>
      <c r="TZC3" s="53"/>
      <c r="TZD3" s="53"/>
      <c r="TZE3" s="53"/>
      <c r="TZF3" s="53"/>
      <c r="TZG3" s="53"/>
      <c r="TZH3" s="53"/>
      <c r="TZI3" s="212"/>
      <c r="TZJ3" s="46"/>
      <c r="TZK3" s="53"/>
      <c r="TZL3" s="53"/>
      <c r="TZM3" s="53"/>
      <c r="TZN3" s="53"/>
      <c r="TZO3" s="53"/>
      <c r="TZP3" s="53"/>
      <c r="TZQ3" s="53"/>
      <c r="TZR3" s="53"/>
      <c r="TZS3" s="53"/>
      <c r="TZT3" s="53"/>
      <c r="TZU3" s="53"/>
      <c r="TZV3" s="53"/>
      <c r="TZW3" s="53"/>
      <c r="TZX3" s="212"/>
      <c r="TZY3" s="46"/>
      <c r="TZZ3" s="53"/>
      <c r="UAA3" s="53"/>
      <c r="UAB3" s="53"/>
      <c r="UAC3" s="53"/>
      <c r="UAD3" s="53"/>
      <c r="UAE3" s="53"/>
      <c r="UAF3" s="53"/>
      <c r="UAG3" s="53"/>
      <c r="UAH3" s="53"/>
      <c r="UAI3" s="53"/>
      <c r="UAJ3" s="53"/>
      <c r="UAK3" s="53"/>
      <c r="UAL3" s="53"/>
      <c r="UAM3" s="212"/>
      <c r="UAN3" s="46"/>
      <c r="UAO3" s="53"/>
      <c r="UAP3" s="53"/>
      <c r="UAQ3" s="53"/>
      <c r="UAR3" s="53"/>
      <c r="UAS3" s="53"/>
      <c r="UAT3" s="53"/>
      <c r="UAU3" s="53"/>
      <c r="UAV3" s="53"/>
      <c r="UAW3" s="53"/>
      <c r="UAX3" s="53"/>
      <c r="UAY3" s="53"/>
      <c r="UAZ3" s="53"/>
      <c r="UBA3" s="53"/>
      <c r="UBB3" s="212"/>
      <c r="UBC3" s="46"/>
      <c r="UBD3" s="53"/>
      <c r="UBE3" s="53"/>
      <c r="UBF3" s="53"/>
      <c r="UBG3" s="53"/>
      <c r="UBH3" s="53"/>
      <c r="UBI3" s="53"/>
      <c r="UBJ3" s="53"/>
      <c r="UBK3" s="53"/>
      <c r="UBL3" s="53"/>
      <c r="UBM3" s="53"/>
      <c r="UBN3" s="53"/>
      <c r="UBO3" s="53"/>
      <c r="UBP3" s="53"/>
      <c r="UBQ3" s="212"/>
      <c r="UBR3" s="46"/>
      <c r="UBS3" s="53"/>
      <c r="UBT3" s="53"/>
      <c r="UBU3" s="53"/>
      <c r="UBV3" s="53"/>
      <c r="UBW3" s="53"/>
      <c r="UBX3" s="53"/>
      <c r="UBY3" s="53"/>
      <c r="UBZ3" s="53"/>
      <c r="UCA3" s="53"/>
      <c r="UCB3" s="53"/>
      <c r="UCC3" s="53"/>
      <c r="UCD3" s="53"/>
      <c r="UCE3" s="53"/>
      <c r="UCF3" s="212"/>
      <c r="UCG3" s="46"/>
      <c r="UCH3" s="53"/>
      <c r="UCI3" s="53"/>
      <c r="UCJ3" s="53"/>
      <c r="UCK3" s="53"/>
      <c r="UCL3" s="53"/>
      <c r="UCM3" s="53"/>
      <c r="UCN3" s="53"/>
      <c r="UCO3" s="53"/>
      <c r="UCP3" s="53"/>
      <c r="UCQ3" s="53"/>
      <c r="UCR3" s="53"/>
      <c r="UCS3" s="53"/>
      <c r="UCT3" s="53"/>
      <c r="UCU3" s="212"/>
      <c r="UCV3" s="46"/>
      <c r="UCW3" s="53"/>
      <c r="UCX3" s="53"/>
      <c r="UCY3" s="53"/>
      <c r="UCZ3" s="53"/>
      <c r="UDA3" s="53"/>
      <c r="UDB3" s="53"/>
      <c r="UDC3" s="53"/>
      <c r="UDD3" s="53"/>
      <c r="UDE3" s="53"/>
      <c r="UDF3" s="53"/>
      <c r="UDG3" s="53"/>
      <c r="UDH3" s="53"/>
      <c r="UDI3" s="53"/>
      <c r="UDJ3" s="212"/>
      <c r="UDK3" s="46"/>
      <c r="UDL3" s="53"/>
      <c r="UDM3" s="53"/>
      <c r="UDN3" s="53"/>
      <c r="UDO3" s="53"/>
      <c r="UDP3" s="53"/>
      <c r="UDQ3" s="53"/>
      <c r="UDR3" s="53"/>
      <c r="UDS3" s="53"/>
      <c r="UDT3" s="53"/>
      <c r="UDU3" s="53"/>
      <c r="UDV3" s="53"/>
      <c r="UDW3" s="53"/>
      <c r="UDX3" s="53"/>
      <c r="UDY3" s="212"/>
      <c r="UDZ3" s="46"/>
      <c r="UEA3" s="53"/>
      <c r="UEB3" s="53"/>
      <c r="UEC3" s="53"/>
      <c r="UED3" s="53"/>
      <c r="UEE3" s="53"/>
      <c r="UEF3" s="53"/>
      <c r="UEG3" s="53"/>
      <c r="UEH3" s="53"/>
      <c r="UEI3" s="53"/>
      <c r="UEJ3" s="53"/>
      <c r="UEK3" s="53"/>
      <c r="UEL3" s="53"/>
      <c r="UEM3" s="53"/>
      <c r="UEN3" s="212"/>
      <c r="UEO3" s="46"/>
      <c r="UEP3" s="53"/>
      <c r="UEQ3" s="53"/>
      <c r="UER3" s="53"/>
      <c r="UES3" s="53"/>
      <c r="UET3" s="53"/>
      <c r="UEU3" s="53"/>
      <c r="UEV3" s="53"/>
      <c r="UEW3" s="53"/>
      <c r="UEX3" s="53"/>
      <c r="UEY3" s="53"/>
      <c r="UEZ3" s="53"/>
      <c r="UFA3" s="53"/>
      <c r="UFB3" s="53"/>
      <c r="UFC3" s="212"/>
      <c r="UFD3" s="46"/>
      <c r="UFE3" s="53"/>
      <c r="UFF3" s="53"/>
      <c r="UFG3" s="53"/>
      <c r="UFH3" s="53"/>
      <c r="UFI3" s="53"/>
      <c r="UFJ3" s="53"/>
      <c r="UFK3" s="53"/>
      <c r="UFL3" s="53"/>
      <c r="UFM3" s="53"/>
      <c r="UFN3" s="53"/>
      <c r="UFO3" s="53"/>
      <c r="UFP3" s="53"/>
      <c r="UFQ3" s="53"/>
      <c r="UFR3" s="212"/>
      <c r="UFS3" s="46"/>
      <c r="UFT3" s="53"/>
      <c r="UFU3" s="53"/>
      <c r="UFV3" s="53"/>
      <c r="UFW3" s="53"/>
      <c r="UFX3" s="53"/>
      <c r="UFY3" s="53"/>
      <c r="UFZ3" s="53"/>
      <c r="UGA3" s="53"/>
      <c r="UGB3" s="53"/>
      <c r="UGC3" s="53"/>
      <c r="UGD3" s="53"/>
      <c r="UGE3" s="53"/>
      <c r="UGF3" s="53"/>
      <c r="UGG3" s="212"/>
      <c r="UGH3" s="46"/>
      <c r="UGI3" s="53"/>
      <c r="UGJ3" s="53"/>
      <c r="UGK3" s="53"/>
      <c r="UGL3" s="53"/>
      <c r="UGM3" s="53"/>
      <c r="UGN3" s="53"/>
      <c r="UGO3" s="53"/>
      <c r="UGP3" s="53"/>
      <c r="UGQ3" s="53"/>
      <c r="UGR3" s="53"/>
      <c r="UGS3" s="53"/>
      <c r="UGT3" s="53"/>
      <c r="UGU3" s="53"/>
      <c r="UGV3" s="212"/>
      <c r="UGW3" s="46"/>
      <c r="UGX3" s="53"/>
      <c r="UGY3" s="53"/>
      <c r="UGZ3" s="53"/>
      <c r="UHA3" s="53"/>
      <c r="UHB3" s="53"/>
      <c r="UHC3" s="53"/>
      <c r="UHD3" s="53"/>
      <c r="UHE3" s="53"/>
      <c r="UHF3" s="53"/>
      <c r="UHG3" s="53"/>
      <c r="UHH3" s="53"/>
      <c r="UHI3" s="53"/>
      <c r="UHJ3" s="53"/>
      <c r="UHK3" s="212"/>
      <c r="UHL3" s="46"/>
      <c r="UHM3" s="53"/>
      <c r="UHN3" s="53"/>
      <c r="UHO3" s="53"/>
      <c r="UHP3" s="53"/>
      <c r="UHQ3" s="53"/>
      <c r="UHR3" s="53"/>
      <c r="UHS3" s="53"/>
      <c r="UHT3" s="53"/>
      <c r="UHU3" s="53"/>
      <c r="UHV3" s="53"/>
      <c r="UHW3" s="53"/>
      <c r="UHX3" s="53"/>
      <c r="UHY3" s="53"/>
      <c r="UHZ3" s="212"/>
      <c r="UIA3" s="46"/>
      <c r="UIB3" s="53"/>
      <c r="UIC3" s="53"/>
      <c r="UID3" s="53"/>
      <c r="UIE3" s="53"/>
      <c r="UIF3" s="53"/>
      <c r="UIG3" s="53"/>
      <c r="UIH3" s="53"/>
      <c r="UII3" s="53"/>
      <c r="UIJ3" s="53"/>
      <c r="UIK3" s="53"/>
      <c r="UIL3" s="53"/>
      <c r="UIM3" s="53"/>
      <c r="UIN3" s="53"/>
      <c r="UIO3" s="212"/>
      <c r="UIP3" s="46"/>
      <c r="UIQ3" s="53"/>
      <c r="UIR3" s="53"/>
      <c r="UIS3" s="53"/>
      <c r="UIT3" s="53"/>
      <c r="UIU3" s="53"/>
      <c r="UIV3" s="53"/>
      <c r="UIW3" s="53"/>
      <c r="UIX3" s="53"/>
      <c r="UIY3" s="53"/>
      <c r="UIZ3" s="53"/>
      <c r="UJA3" s="53"/>
      <c r="UJB3" s="53"/>
      <c r="UJC3" s="53"/>
      <c r="UJD3" s="212"/>
      <c r="UJE3" s="46"/>
      <c r="UJF3" s="53"/>
      <c r="UJG3" s="53"/>
      <c r="UJH3" s="53"/>
      <c r="UJI3" s="53"/>
      <c r="UJJ3" s="53"/>
      <c r="UJK3" s="53"/>
      <c r="UJL3" s="53"/>
      <c r="UJM3" s="53"/>
      <c r="UJN3" s="53"/>
      <c r="UJO3" s="53"/>
      <c r="UJP3" s="53"/>
      <c r="UJQ3" s="53"/>
      <c r="UJR3" s="53"/>
      <c r="UJS3" s="212"/>
      <c r="UJT3" s="46"/>
      <c r="UJU3" s="53"/>
      <c r="UJV3" s="53"/>
      <c r="UJW3" s="53"/>
      <c r="UJX3" s="53"/>
      <c r="UJY3" s="53"/>
      <c r="UJZ3" s="53"/>
      <c r="UKA3" s="53"/>
      <c r="UKB3" s="53"/>
      <c r="UKC3" s="53"/>
      <c r="UKD3" s="53"/>
      <c r="UKE3" s="53"/>
      <c r="UKF3" s="53"/>
      <c r="UKG3" s="53"/>
      <c r="UKH3" s="212"/>
      <c r="UKI3" s="46"/>
      <c r="UKJ3" s="53"/>
      <c r="UKK3" s="53"/>
      <c r="UKL3" s="53"/>
      <c r="UKM3" s="53"/>
      <c r="UKN3" s="53"/>
      <c r="UKO3" s="53"/>
      <c r="UKP3" s="53"/>
      <c r="UKQ3" s="53"/>
      <c r="UKR3" s="53"/>
      <c r="UKS3" s="53"/>
      <c r="UKT3" s="53"/>
      <c r="UKU3" s="53"/>
      <c r="UKV3" s="53"/>
      <c r="UKW3" s="212"/>
      <c r="UKX3" s="46"/>
      <c r="UKY3" s="53"/>
      <c r="UKZ3" s="53"/>
      <c r="ULA3" s="53"/>
      <c r="ULB3" s="53"/>
      <c r="ULC3" s="53"/>
      <c r="ULD3" s="53"/>
      <c r="ULE3" s="53"/>
      <c r="ULF3" s="53"/>
      <c r="ULG3" s="53"/>
      <c r="ULH3" s="53"/>
      <c r="ULI3" s="53"/>
      <c r="ULJ3" s="53"/>
      <c r="ULK3" s="53"/>
      <c r="ULL3" s="212"/>
      <c r="ULM3" s="46"/>
      <c r="ULN3" s="53"/>
      <c r="ULO3" s="53"/>
      <c r="ULP3" s="53"/>
      <c r="ULQ3" s="53"/>
      <c r="ULR3" s="53"/>
      <c r="ULS3" s="53"/>
      <c r="ULT3" s="53"/>
      <c r="ULU3" s="53"/>
      <c r="ULV3" s="53"/>
      <c r="ULW3" s="53"/>
      <c r="ULX3" s="53"/>
      <c r="ULY3" s="53"/>
      <c r="ULZ3" s="53"/>
      <c r="UMA3" s="212"/>
      <c r="UMB3" s="46"/>
      <c r="UMC3" s="53"/>
      <c r="UMD3" s="53"/>
      <c r="UME3" s="53"/>
      <c r="UMF3" s="53"/>
      <c r="UMG3" s="53"/>
      <c r="UMH3" s="53"/>
      <c r="UMI3" s="53"/>
      <c r="UMJ3" s="53"/>
      <c r="UMK3" s="53"/>
      <c r="UML3" s="53"/>
      <c r="UMM3" s="53"/>
      <c r="UMN3" s="53"/>
      <c r="UMO3" s="53"/>
      <c r="UMP3" s="212"/>
      <c r="UMQ3" s="46"/>
      <c r="UMR3" s="53"/>
      <c r="UMS3" s="53"/>
      <c r="UMT3" s="53"/>
      <c r="UMU3" s="53"/>
      <c r="UMV3" s="53"/>
      <c r="UMW3" s="53"/>
      <c r="UMX3" s="53"/>
      <c r="UMY3" s="53"/>
      <c r="UMZ3" s="53"/>
      <c r="UNA3" s="53"/>
      <c r="UNB3" s="53"/>
      <c r="UNC3" s="53"/>
      <c r="UND3" s="53"/>
      <c r="UNE3" s="212"/>
      <c r="UNF3" s="46"/>
      <c r="UNG3" s="53"/>
      <c r="UNH3" s="53"/>
      <c r="UNI3" s="53"/>
      <c r="UNJ3" s="53"/>
      <c r="UNK3" s="53"/>
      <c r="UNL3" s="53"/>
      <c r="UNM3" s="53"/>
      <c r="UNN3" s="53"/>
      <c r="UNO3" s="53"/>
      <c r="UNP3" s="53"/>
      <c r="UNQ3" s="53"/>
      <c r="UNR3" s="53"/>
      <c r="UNS3" s="53"/>
      <c r="UNT3" s="212"/>
      <c r="UNU3" s="46"/>
      <c r="UNV3" s="53"/>
      <c r="UNW3" s="53"/>
      <c r="UNX3" s="53"/>
      <c r="UNY3" s="53"/>
      <c r="UNZ3" s="53"/>
      <c r="UOA3" s="53"/>
      <c r="UOB3" s="53"/>
      <c r="UOC3" s="53"/>
      <c r="UOD3" s="53"/>
      <c r="UOE3" s="53"/>
      <c r="UOF3" s="53"/>
      <c r="UOG3" s="53"/>
      <c r="UOH3" s="53"/>
      <c r="UOI3" s="212"/>
      <c r="UOJ3" s="46"/>
      <c r="UOK3" s="53"/>
      <c r="UOL3" s="53"/>
      <c r="UOM3" s="53"/>
      <c r="UON3" s="53"/>
      <c r="UOO3" s="53"/>
      <c r="UOP3" s="53"/>
      <c r="UOQ3" s="53"/>
      <c r="UOR3" s="53"/>
      <c r="UOS3" s="53"/>
      <c r="UOT3" s="53"/>
      <c r="UOU3" s="53"/>
      <c r="UOV3" s="53"/>
      <c r="UOW3" s="53"/>
      <c r="UOX3" s="212"/>
      <c r="UOY3" s="46"/>
      <c r="UOZ3" s="53"/>
      <c r="UPA3" s="53"/>
      <c r="UPB3" s="53"/>
      <c r="UPC3" s="53"/>
      <c r="UPD3" s="53"/>
      <c r="UPE3" s="53"/>
      <c r="UPF3" s="53"/>
      <c r="UPG3" s="53"/>
      <c r="UPH3" s="53"/>
      <c r="UPI3" s="53"/>
      <c r="UPJ3" s="53"/>
      <c r="UPK3" s="53"/>
      <c r="UPL3" s="53"/>
      <c r="UPM3" s="212"/>
      <c r="UPN3" s="46"/>
      <c r="UPO3" s="53"/>
      <c r="UPP3" s="53"/>
      <c r="UPQ3" s="53"/>
      <c r="UPR3" s="53"/>
      <c r="UPS3" s="53"/>
      <c r="UPT3" s="53"/>
      <c r="UPU3" s="53"/>
      <c r="UPV3" s="53"/>
      <c r="UPW3" s="53"/>
      <c r="UPX3" s="53"/>
      <c r="UPY3" s="53"/>
      <c r="UPZ3" s="53"/>
      <c r="UQA3" s="53"/>
      <c r="UQB3" s="212"/>
      <c r="UQC3" s="46"/>
      <c r="UQD3" s="53"/>
      <c r="UQE3" s="53"/>
      <c r="UQF3" s="53"/>
      <c r="UQG3" s="53"/>
      <c r="UQH3" s="53"/>
      <c r="UQI3" s="53"/>
      <c r="UQJ3" s="53"/>
      <c r="UQK3" s="53"/>
      <c r="UQL3" s="53"/>
      <c r="UQM3" s="53"/>
      <c r="UQN3" s="53"/>
      <c r="UQO3" s="53"/>
      <c r="UQP3" s="53"/>
      <c r="UQQ3" s="212"/>
      <c r="UQR3" s="46"/>
      <c r="UQS3" s="53"/>
      <c r="UQT3" s="53"/>
      <c r="UQU3" s="53"/>
      <c r="UQV3" s="53"/>
      <c r="UQW3" s="53"/>
      <c r="UQX3" s="53"/>
      <c r="UQY3" s="53"/>
      <c r="UQZ3" s="53"/>
      <c r="URA3" s="53"/>
      <c r="URB3" s="53"/>
      <c r="URC3" s="53"/>
      <c r="URD3" s="53"/>
      <c r="URE3" s="53"/>
      <c r="URF3" s="212"/>
      <c r="URG3" s="46"/>
      <c r="URH3" s="53"/>
      <c r="URI3" s="53"/>
      <c r="URJ3" s="53"/>
      <c r="URK3" s="53"/>
      <c r="URL3" s="53"/>
      <c r="URM3" s="53"/>
      <c r="URN3" s="53"/>
      <c r="URO3" s="53"/>
      <c r="URP3" s="53"/>
      <c r="URQ3" s="53"/>
      <c r="URR3" s="53"/>
      <c r="URS3" s="53"/>
      <c r="URT3" s="53"/>
      <c r="URU3" s="212"/>
      <c r="URV3" s="46"/>
      <c r="URW3" s="53"/>
      <c r="URX3" s="53"/>
      <c r="URY3" s="53"/>
      <c r="URZ3" s="53"/>
      <c r="USA3" s="53"/>
      <c r="USB3" s="53"/>
      <c r="USC3" s="53"/>
      <c r="USD3" s="53"/>
      <c r="USE3" s="53"/>
      <c r="USF3" s="53"/>
      <c r="USG3" s="53"/>
      <c r="USH3" s="53"/>
      <c r="USI3" s="53"/>
      <c r="USJ3" s="212"/>
      <c r="USK3" s="46"/>
      <c r="USL3" s="53"/>
      <c r="USM3" s="53"/>
      <c r="USN3" s="53"/>
      <c r="USO3" s="53"/>
      <c r="USP3" s="53"/>
      <c r="USQ3" s="53"/>
      <c r="USR3" s="53"/>
      <c r="USS3" s="53"/>
      <c r="UST3" s="53"/>
      <c r="USU3" s="53"/>
      <c r="USV3" s="53"/>
      <c r="USW3" s="53"/>
      <c r="USX3" s="53"/>
      <c r="USY3" s="212"/>
      <c r="USZ3" s="46"/>
      <c r="UTA3" s="53"/>
      <c r="UTB3" s="53"/>
      <c r="UTC3" s="53"/>
      <c r="UTD3" s="53"/>
      <c r="UTE3" s="53"/>
      <c r="UTF3" s="53"/>
      <c r="UTG3" s="53"/>
      <c r="UTH3" s="53"/>
      <c r="UTI3" s="53"/>
      <c r="UTJ3" s="53"/>
      <c r="UTK3" s="53"/>
      <c r="UTL3" s="53"/>
      <c r="UTM3" s="53"/>
      <c r="UTN3" s="212"/>
      <c r="UTO3" s="46"/>
      <c r="UTP3" s="53"/>
      <c r="UTQ3" s="53"/>
      <c r="UTR3" s="53"/>
      <c r="UTS3" s="53"/>
      <c r="UTT3" s="53"/>
      <c r="UTU3" s="53"/>
      <c r="UTV3" s="53"/>
      <c r="UTW3" s="53"/>
      <c r="UTX3" s="53"/>
      <c r="UTY3" s="53"/>
      <c r="UTZ3" s="53"/>
      <c r="UUA3" s="53"/>
      <c r="UUB3" s="53"/>
      <c r="UUC3" s="212"/>
      <c r="UUD3" s="46"/>
      <c r="UUE3" s="53"/>
      <c r="UUF3" s="53"/>
      <c r="UUG3" s="53"/>
      <c r="UUH3" s="53"/>
      <c r="UUI3" s="53"/>
      <c r="UUJ3" s="53"/>
      <c r="UUK3" s="53"/>
      <c r="UUL3" s="53"/>
      <c r="UUM3" s="53"/>
      <c r="UUN3" s="53"/>
      <c r="UUO3" s="53"/>
      <c r="UUP3" s="53"/>
      <c r="UUQ3" s="53"/>
      <c r="UUR3" s="212"/>
      <c r="UUS3" s="46"/>
      <c r="UUT3" s="53"/>
      <c r="UUU3" s="53"/>
      <c r="UUV3" s="53"/>
      <c r="UUW3" s="53"/>
      <c r="UUX3" s="53"/>
      <c r="UUY3" s="53"/>
      <c r="UUZ3" s="53"/>
      <c r="UVA3" s="53"/>
      <c r="UVB3" s="53"/>
      <c r="UVC3" s="53"/>
      <c r="UVD3" s="53"/>
      <c r="UVE3" s="53"/>
      <c r="UVF3" s="53"/>
      <c r="UVG3" s="212"/>
      <c r="UVH3" s="46"/>
      <c r="UVI3" s="53"/>
      <c r="UVJ3" s="53"/>
      <c r="UVK3" s="53"/>
      <c r="UVL3" s="53"/>
      <c r="UVM3" s="53"/>
      <c r="UVN3" s="53"/>
      <c r="UVO3" s="53"/>
      <c r="UVP3" s="53"/>
      <c r="UVQ3" s="53"/>
      <c r="UVR3" s="53"/>
      <c r="UVS3" s="53"/>
      <c r="UVT3" s="53"/>
      <c r="UVU3" s="53"/>
      <c r="UVV3" s="212"/>
      <c r="UVW3" s="46"/>
      <c r="UVX3" s="53"/>
      <c r="UVY3" s="53"/>
      <c r="UVZ3" s="53"/>
      <c r="UWA3" s="53"/>
      <c r="UWB3" s="53"/>
      <c r="UWC3" s="53"/>
      <c r="UWD3" s="53"/>
      <c r="UWE3" s="53"/>
      <c r="UWF3" s="53"/>
      <c r="UWG3" s="53"/>
      <c r="UWH3" s="53"/>
      <c r="UWI3" s="53"/>
      <c r="UWJ3" s="53"/>
      <c r="UWK3" s="212"/>
      <c r="UWL3" s="46"/>
      <c r="UWM3" s="53"/>
      <c r="UWN3" s="53"/>
      <c r="UWO3" s="53"/>
      <c r="UWP3" s="53"/>
      <c r="UWQ3" s="53"/>
      <c r="UWR3" s="53"/>
      <c r="UWS3" s="53"/>
      <c r="UWT3" s="53"/>
      <c r="UWU3" s="53"/>
      <c r="UWV3" s="53"/>
      <c r="UWW3" s="53"/>
      <c r="UWX3" s="53"/>
      <c r="UWY3" s="53"/>
      <c r="UWZ3" s="212"/>
      <c r="UXA3" s="46"/>
      <c r="UXB3" s="53"/>
      <c r="UXC3" s="53"/>
      <c r="UXD3" s="53"/>
      <c r="UXE3" s="53"/>
      <c r="UXF3" s="53"/>
      <c r="UXG3" s="53"/>
      <c r="UXH3" s="53"/>
      <c r="UXI3" s="53"/>
      <c r="UXJ3" s="53"/>
      <c r="UXK3" s="53"/>
      <c r="UXL3" s="53"/>
      <c r="UXM3" s="53"/>
      <c r="UXN3" s="53"/>
      <c r="UXO3" s="212"/>
      <c r="UXP3" s="46"/>
      <c r="UXQ3" s="53"/>
      <c r="UXR3" s="53"/>
      <c r="UXS3" s="53"/>
      <c r="UXT3" s="53"/>
      <c r="UXU3" s="53"/>
      <c r="UXV3" s="53"/>
      <c r="UXW3" s="53"/>
      <c r="UXX3" s="53"/>
      <c r="UXY3" s="53"/>
      <c r="UXZ3" s="53"/>
      <c r="UYA3" s="53"/>
      <c r="UYB3" s="53"/>
      <c r="UYC3" s="53"/>
      <c r="UYD3" s="212"/>
      <c r="UYE3" s="46"/>
      <c r="UYF3" s="53"/>
      <c r="UYG3" s="53"/>
      <c r="UYH3" s="53"/>
      <c r="UYI3" s="53"/>
      <c r="UYJ3" s="53"/>
      <c r="UYK3" s="53"/>
      <c r="UYL3" s="53"/>
      <c r="UYM3" s="53"/>
      <c r="UYN3" s="53"/>
      <c r="UYO3" s="53"/>
      <c r="UYP3" s="53"/>
      <c r="UYQ3" s="53"/>
      <c r="UYR3" s="53"/>
      <c r="UYS3" s="212"/>
      <c r="UYT3" s="46"/>
      <c r="UYU3" s="53"/>
      <c r="UYV3" s="53"/>
      <c r="UYW3" s="53"/>
      <c r="UYX3" s="53"/>
      <c r="UYY3" s="53"/>
      <c r="UYZ3" s="53"/>
      <c r="UZA3" s="53"/>
      <c r="UZB3" s="53"/>
      <c r="UZC3" s="53"/>
      <c r="UZD3" s="53"/>
      <c r="UZE3" s="53"/>
      <c r="UZF3" s="53"/>
      <c r="UZG3" s="53"/>
      <c r="UZH3" s="212"/>
      <c r="UZI3" s="46"/>
      <c r="UZJ3" s="53"/>
      <c r="UZK3" s="53"/>
      <c r="UZL3" s="53"/>
      <c r="UZM3" s="53"/>
      <c r="UZN3" s="53"/>
      <c r="UZO3" s="53"/>
      <c r="UZP3" s="53"/>
      <c r="UZQ3" s="53"/>
      <c r="UZR3" s="53"/>
      <c r="UZS3" s="53"/>
      <c r="UZT3" s="53"/>
      <c r="UZU3" s="53"/>
      <c r="UZV3" s="53"/>
      <c r="UZW3" s="212"/>
      <c r="UZX3" s="46"/>
      <c r="UZY3" s="53"/>
      <c r="UZZ3" s="53"/>
      <c r="VAA3" s="53"/>
      <c r="VAB3" s="53"/>
      <c r="VAC3" s="53"/>
      <c r="VAD3" s="53"/>
      <c r="VAE3" s="53"/>
      <c r="VAF3" s="53"/>
      <c r="VAG3" s="53"/>
      <c r="VAH3" s="53"/>
      <c r="VAI3" s="53"/>
      <c r="VAJ3" s="53"/>
      <c r="VAK3" s="53"/>
      <c r="VAL3" s="212"/>
      <c r="VAM3" s="46"/>
      <c r="VAN3" s="53"/>
      <c r="VAO3" s="53"/>
      <c r="VAP3" s="53"/>
      <c r="VAQ3" s="53"/>
      <c r="VAR3" s="53"/>
      <c r="VAS3" s="53"/>
      <c r="VAT3" s="53"/>
      <c r="VAU3" s="53"/>
      <c r="VAV3" s="53"/>
      <c r="VAW3" s="53"/>
      <c r="VAX3" s="53"/>
      <c r="VAY3" s="53"/>
      <c r="VAZ3" s="53"/>
      <c r="VBA3" s="212"/>
      <c r="VBB3" s="46"/>
      <c r="VBC3" s="53"/>
      <c r="VBD3" s="53"/>
      <c r="VBE3" s="53"/>
      <c r="VBF3" s="53"/>
      <c r="VBG3" s="53"/>
      <c r="VBH3" s="53"/>
      <c r="VBI3" s="53"/>
      <c r="VBJ3" s="53"/>
      <c r="VBK3" s="53"/>
      <c r="VBL3" s="53"/>
      <c r="VBM3" s="53"/>
      <c r="VBN3" s="53"/>
      <c r="VBO3" s="53"/>
      <c r="VBP3" s="212"/>
      <c r="VBQ3" s="46"/>
      <c r="VBR3" s="53"/>
      <c r="VBS3" s="53"/>
      <c r="VBT3" s="53"/>
      <c r="VBU3" s="53"/>
      <c r="VBV3" s="53"/>
      <c r="VBW3" s="53"/>
      <c r="VBX3" s="53"/>
      <c r="VBY3" s="53"/>
      <c r="VBZ3" s="53"/>
      <c r="VCA3" s="53"/>
      <c r="VCB3" s="53"/>
      <c r="VCC3" s="53"/>
      <c r="VCD3" s="53"/>
      <c r="VCE3" s="212"/>
      <c r="VCF3" s="46"/>
      <c r="VCG3" s="53"/>
      <c r="VCH3" s="53"/>
      <c r="VCI3" s="53"/>
      <c r="VCJ3" s="53"/>
      <c r="VCK3" s="53"/>
      <c r="VCL3" s="53"/>
      <c r="VCM3" s="53"/>
      <c r="VCN3" s="53"/>
      <c r="VCO3" s="53"/>
      <c r="VCP3" s="53"/>
      <c r="VCQ3" s="53"/>
      <c r="VCR3" s="53"/>
      <c r="VCS3" s="53"/>
      <c r="VCT3" s="212"/>
      <c r="VCU3" s="46"/>
      <c r="VCV3" s="53"/>
      <c r="VCW3" s="53"/>
      <c r="VCX3" s="53"/>
      <c r="VCY3" s="53"/>
      <c r="VCZ3" s="53"/>
      <c r="VDA3" s="53"/>
      <c r="VDB3" s="53"/>
      <c r="VDC3" s="53"/>
      <c r="VDD3" s="53"/>
      <c r="VDE3" s="53"/>
      <c r="VDF3" s="53"/>
      <c r="VDG3" s="53"/>
      <c r="VDH3" s="53"/>
      <c r="VDI3" s="212"/>
      <c r="VDJ3" s="46"/>
      <c r="VDK3" s="53"/>
      <c r="VDL3" s="53"/>
      <c r="VDM3" s="53"/>
      <c r="VDN3" s="53"/>
      <c r="VDO3" s="53"/>
      <c r="VDP3" s="53"/>
      <c r="VDQ3" s="53"/>
      <c r="VDR3" s="53"/>
      <c r="VDS3" s="53"/>
      <c r="VDT3" s="53"/>
      <c r="VDU3" s="53"/>
      <c r="VDV3" s="53"/>
      <c r="VDW3" s="53"/>
      <c r="VDX3" s="212"/>
      <c r="VDY3" s="46"/>
      <c r="VDZ3" s="53"/>
      <c r="VEA3" s="53"/>
      <c r="VEB3" s="53"/>
      <c r="VEC3" s="53"/>
      <c r="VED3" s="53"/>
      <c r="VEE3" s="53"/>
      <c r="VEF3" s="53"/>
      <c r="VEG3" s="53"/>
      <c r="VEH3" s="53"/>
      <c r="VEI3" s="53"/>
      <c r="VEJ3" s="53"/>
      <c r="VEK3" s="53"/>
      <c r="VEL3" s="53"/>
      <c r="VEM3" s="212"/>
      <c r="VEN3" s="46"/>
      <c r="VEO3" s="53"/>
      <c r="VEP3" s="53"/>
      <c r="VEQ3" s="53"/>
      <c r="VER3" s="53"/>
      <c r="VES3" s="53"/>
      <c r="VET3" s="53"/>
      <c r="VEU3" s="53"/>
      <c r="VEV3" s="53"/>
      <c r="VEW3" s="53"/>
      <c r="VEX3" s="53"/>
      <c r="VEY3" s="53"/>
      <c r="VEZ3" s="53"/>
      <c r="VFA3" s="53"/>
      <c r="VFB3" s="212"/>
      <c r="VFC3" s="46"/>
      <c r="VFD3" s="53"/>
      <c r="VFE3" s="53"/>
      <c r="VFF3" s="53"/>
      <c r="VFG3" s="53"/>
      <c r="VFH3" s="53"/>
      <c r="VFI3" s="53"/>
      <c r="VFJ3" s="53"/>
      <c r="VFK3" s="53"/>
      <c r="VFL3" s="53"/>
      <c r="VFM3" s="53"/>
      <c r="VFN3" s="53"/>
      <c r="VFO3" s="53"/>
      <c r="VFP3" s="53"/>
      <c r="VFQ3" s="212"/>
      <c r="VFR3" s="46"/>
      <c r="VFS3" s="53"/>
      <c r="VFT3" s="53"/>
      <c r="VFU3" s="53"/>
      <c r="VFV3" s="53"/>
      <c r="VFW3" s="53"/>
      <c r="VFX3" s="53"/>
      <c r="VFY3" s="53"/>
      <c r="VFZ3" s="53"/>
      <c r="VGA3" s="53"/>
      <c r="VGB3" s="53"/>
      <c r="VGC3" s="53"/>
      <c r="VGD3" s="53"/>
      <c r="VGE3" s="53"/>
      <c r="VGF3" s="212"/>
      <c r="VGG3" s="46"/>
      <c r="VGH3" s="53"/>
      <c r="VGI3" s="53"/>
      <c r="VGJ3" s="53"/>
      <c r="VGK3" s="53"/>
      <c r="VGL3" s="53"/>
      <c r="VGM3" s="53"/>
      <c r="VGN3" s="53"/>
      <c r="VGO3" s="53"/>
      <c r="VGP3" s="53"/>
      <c r="VGQ3" s="53"/>
      <c r="VGR3" s="53"/>
      <c r="VGS3" s="53"/>
      <c r="VGT3" s="53"/>
      <c r="VGU3" s="212"/>
      <c r="VGV3" s="46"/>
      <c r="VGW3" s="53"/>
      <c r="VGX3" s="53"/>
      <c r="VGY3" s="53"/>
      <c r="VGZ3" s="53"/>
      <c r="VHA3" s="53"/>
      <c r="VHB3" s="53"/>
      <c r="VHC3" s="53"/>
      <c r="VHD3" s="53"/>
      <c r="VHE3" s="53"/>
      <c r="VHF3" s="53"/>
      <c r="VHG3" s="53"/>
      <c r="VHH3" s="53"/>
      <c r="VHI3" s="53"/>
      <c r="VHJ3" s="212"/>
      <c r="VHK3" s="46"/>
      <c r="VHL3" s="53"/>
      <c r="VHM3" s="53"/>
      <c r="VHN3" s="53"/>
      <c r="VHO3" s="53"/>
      <c r="VHP3" s="53"/>
      <c r="VHQ3" s="53"/>
      <c r="VHR3" s="53"/>
      <c r="VHS3" s="53"/>
      <c r="VHT3" s="53"/>
      <c r="VHU3" s="53"/>
      <c r="VHV3" s="53"/>
      <c r="VHW3" s="53"/>
      <c r="VHX3" s="53"/>
      <c r="VHY3" s="212"/>
      <c r="VHZ3" s="46"/>
      <c r="VIA3" s="53"/>
      <c r="VIB3" s="53"/>
      <c r="VIC3" s="53"/>
      <c r="VID3" s="53"/>
      <c r="VIE3" s="53"/>
      <c r="VIF3" s="53"/>
      <c r="VIG3" s="53"/>
      <c r="VIH3" s="53"/>
      <c r="VII3" s="53"/>
      <c r="VIJ3" s="53"/>
      <c r="VIK3" s="53"/>
      <c r="VIL3" s="53"/>
      <c r="VIM3" s="53"/>
      <c r="VIN3" s="212"/>
      <c r="VIO3" s="46"/>
      <c r="VIP3" s="53"/>
      <c r="VIQ3" s="53"/>
      <c r="VIR3" s="53"/>
      <c r="VIS3" s="53"/>
      <c r="VIT3" s="53"/>
      <c r="VIU3" s="53"/>
      <c r="VIV3" s="53"/>
      <c r="VIW3" s="53"/>
      <c r="VIX3" s="53"/>
      <c r="VIY3" s="53"/>
      <c r="VIZ3" s="53"/>
      <c r="VJA3" s="53"/>
      <c r="VJB3" s="53"/>
      <c r="VJC3" s="212"/>
      <c r="VJD3" s="46"/>
      <c r="VJE3" s="53"/>
      <c r="VJF3" s="53"/>
      <c r="VJG3" s="53"/>
      <c r="VJH3" s="53"/>
      <c r="VJI3" s="53"/>
      <c r="VJJ3" s="53"/>
      <c r="VJK3" s="53"/>
      <c r="VJL3" s="53"/>
      <c r="VJM3" s="53"/>
      <c r="VJN3" s="53"/>
      <c r="VJO3" s="53"/>
      <c r="VJP3" s="53"/>
      <c r="VJQ3" s="53"/>
      <c r="VJR3" s="212"/>
      <c r="VJS3" s="46"/>
      <c r="VJT3" s="53"/>
      <c r="VJU3" s="53"/>
      <c r="VJV3" s="53"/>
      <c r="VJW3" s="53"/>
      <c r="VJX3" s="53"/>
      <c r="VJY3" s="53"/>
      <c r="VJZ3" s="53"/>
      <c r="VKA3" s="53"/>
      <c r="VKB3" s="53"/>
      <c r="VKC3" s="53"/>
      <c r="VKD3" s="53"/>
      <c r="VKE3" s="53"/>
      <c r="VKF3" s="53"/>
      <c r="VKG3" s="212"/>
      <c r="VKH3" s="46"/>
      <c r="VKI3" s="53"/>
      <c r="VKJ3" s="53"/>
      <c r="VKK3" s="53"/>
      <c r="VKL3" s="53"/>
      <c r="VKM3" s="53"/>
      <c r="VKN3" s="53"/>
      <c r="VKO3" s="53"/>
      <c r="VKP3" s="53"/>
      <c r="VKQ3" s="53"/>
      <c r="VKR3" s="53"/>
      <c r="VKS3" s="53"/>
      <c r="VKT3" s="53"/>
      <c r="VKU3" s="53"/>
      <c r="VKV3" s="212"/>
      <c r="VKW3" s="46"/>
      <c r="VKX3" s="53"/>
      <c r="VKY3" s="53"/>
      <c r="VKZ3" s="53"/>
      <c r="VLA3" s="53"/>
      <c r="VLB3" s="53"/>
      <c r="VLC3" s="53"/>
      <c r="VLD3" s="53"/>
      <c r="VLE3" s="53"/>
      <c r="VLF3" s="53"/>
      <c r="VLG3" s="53"/>
      <c r="VLH3" s="53"/>
      <c r="VLI3" s="53"/>
      <c r="VLJ3" s="53"/>
      <c r="VLK3" s="212"/>
      <c r="VLL3" s="46"/>
      <c r="VLM3" s="53"/>
      <c r="VLN3" s="53"/>
      <c r="VLO3" s="53"/>
      <c r="VLP3" s="53"/>
      <c r="VLQ3" s="53"/>
      <c r="VLR3" s="53"/>
      <c r="VLS3" s="53"/>
      <c r="VLT3" s="53"/>
      <c r="VLU3" s="53"/>
      <c r="VLV3" s="53"/>
      <c r="VLW3" s="53"/>
      <c r="VLX3" s="53"/>
      <c r="VLY3" s="53"/>
      <c r="VLZ3" s="212"/>
      <c r="VMA3" s="46"/>
      <c r="VMB3" s="53"/>
      <c r="VMC3" s="53"/>
      <c r="VMD3" s="53"/>
      <c r="VME3" s="53"/>
      <c r="VMF3" s="53"/>
      <c r="VMG3" s="53"/>
      <c r="VMH3" s="53"/>
      <c r="VMI3" s="53"/>
      <c r="VMJ3" s="53"/>
      <c r="VMK3" s="53"/>
      <c r="VML3" s="53"/>
      <c r="VMM3" s="53"/>
      <c r="VMN3" s="53"/>
      <c r="VMO3" s="212"/>
      <c r="VMP3" s="46"/>
      <c r="VMQ3" s="53"/>
      <c r="VMR3" s="53"/>
      <c r="VMS3" s="53"/>
      <c r="VMT3" s="53"/>
      <c r="VMU3" s="53"/>
      <c r="VMV3" s="53"/>
      <c r="VMW3" s="53"/>
      <c r="VMX3" s="53"/>
      <c r="VMY3" s="53"/>
      <c r="VMZ3" s="53"/>
      <c r="VNA3" s="53"/>
      <c r="VNB3" s="53"/>
      <c r="VNC3" s="53"/>
      <c r="VND3" s="212"/>
      <c r="VNE3" s="46"/>
      <c r="VNF3" s="53"/>
      <c r="VNG3" s="53"/>
      <c r="VNH3" s="53"/>
      <c r="VNI3" s="53"/>
      <c r="VNJ3" s="53"/>
      <c r="VNK3" s="53"/>
      <c r="VNL3" s="53"/>
      <c r="VNM3" s="53"/>
      <c r="VNN3" s="53"/>
      <c r="VNO3" s="53"/>
      <c r="VNP3" s="53"/>
      <c r="VNQ3" s="53"/>
      <c r="VNR3" s="53"/>
      <c r="VNS3" s="212"/>
      <c r="VNT3" s="46"/>
      <c r="VNU3" s="53"/>
      <c r="VNV3" s="53"/>
      <c r="VNW3" s="53"/>
      <c r="VNX3" s="53"/>
      <c r="VNY3" s="53"/>
      <c r="VNZ3" s="53"/>
      <c r="VOA3" s="53"/>
      <c r="VOB3" s="53"/>
      <c r="VOC3" s="53"/>
      <c r="VOD3" s="53"/>
      <c r="VOE3" s="53"/>
      <c r="VOF3" s="53"/>
      <c r="VOG3" s="53"/>
      <c r="VOH3" s="212"/>
      <c r="VOI3" s="46"/>
      <c r="VOJ3" s="53"/>
      <c r="VOK3" s="53"/>
      <c r="VOL3" s="53"/>
      <c r="VOM3" s="53"/>
      <c r="VON3" s="53"/>
      <c r="VOO3" s="53"/>
      <c r="VOP3" s="53"/>
      <c r="VOQ3" s="53"/>
      <c r="VOR3" s="53"/>
      <c r="VOS3" s="53"/>
      <c r="VOT3" s="53"/>
      <c r="VOU3" s="53"/>
      <c r="VOV3" s="53"/>
      <c r="VOW3" s="212"/>
      <c r="VOX3" s="46"/>
      <c r="VOY3" s="53"/>
      <c r="VOZ3" s="53"/>
      <c r="VPA3" s="53"/>
      <c r="VPB3" s="53"/>
      <c r="VPC3" s="53"/>
      <c r="VPD3" s="53"/>
      <c r="VPE3" s="53"/>
      <c r="VPF3" s="53"/>
      <c r="VPG3" s="53"/>
      <c r="VPH3" s="53"/>
      <c r="VPI3" s="53"/>
      <c r="VPJ3" s="53"/>
      <c r="VPK3" s="53"/>
      <c r="VPL3" s="212"/>
      <c r="VPM3" s="46"/>
      <c r="VPN3" s="53"/>
      <c r="VPO3" s="53"/>
      <c r="VPP3" s="53"/>
      <c r="VPQ3" s="53"/>
      <c r="VPR3" s="53"/>
      <c r="VPS3" s="53"/>
      <c r="VPT3" s="53"/>
      <c r="VPU3" s="53"/>
      <c r="VPV3" s="53"/>
      <c r="VPW3" s="53"/>
      <c r="VPX3" s="53"/>
      <c r="VPY3" s="53"/>
      <c r="VPZ3" s="53"/>
      <c r="VQA3" s="212"/>
      <c r="VQB3" s="46"/>
      <c r="VQC3" s="53"/>
      <c r="VQD3" s="53"/>
      <c r="VQE3" s="53"/>
      <c r="VQF3" s="53"/>
      <c r="VQG3" s="53"/>
      <c r="VQH3" s="53"/>
      <c r="VQI3" s="53"/>
      <c r="VQJ3" s="53"/>
      <c r="VQK3" s="53"/>
      <c r="VQL3" s="53"/>
      <c r="VQM3" s="53"/>
      <c r="VQN3" s="53"/>
      <c r="VQO3" s="53"/>
      <c r="VQP3" s="212"/>
      <c r="VQQ3" s="46"/>
      <c r="VQR3" s="53"/>
      <c r="VQS3" s="53"/>
      <c r="VQT3" s="53"/>
      <c r="VQU3" s="53"/>
      <c r="VQV3" s="53"/>
      <c r="VQW3" s="53"/>
      <c r="VQX3" s="53"/>
      <c r="VQY3" s="53"/>
      <c r="VQZ3" s="53"/>
      <c r="VRA3" s="53"/>
      <c r="VRB3" s="53"/>
      <c r="VRC3" s="53"/>
      <c r="VRD3" s="53"/>
      <c r="VRE3" s="212"/>
      <c r="VRF3" s="46"/>
      <c r="VRG3" s="53"/>
      <c r="VRH3" s="53"/>
      <c r="VRI3" s="53"/>
      <c r="VRJ3" s="53"/>
      <c r="VRK3" s="53"/>
      <c r="VRL3" s="53"/>
      <c r="VRM3" s="53"/>
      <c r="VRN3" s="53"/>
      <c r="VRO3" s="53"/>
      <c r="VRP3" s="53"/>
      <c r="VRQ3" s="53"/>
      <c r="VRR3" s="53"/>
      <c r="VRS3" s="53"/>
      <c r="VRT3" s="212"/>
      <c r="VRU3" s="46"/>
      <c r="VRV3" s="53"/>
      <c r="VRW3" s="53"/>
      <c r="VRX3" s="53"/>
      <c r="VRY3" s="53"/>
      <c r="VRZ3" s="53"/>
      <c r="VSA3" s="53"/>
      <c r="VSB3" s="53"/>
      <c r="VSC3" s="53"/>
      <c r="VSD3" s="53"/>
      <c r="VSE3" s="53"/>
      <c r="VSF3" s="53"/>
      <c r="VSG3" s="53"/>
      <c r="VSH3" s="53"/>
      <c r="VSI3" s="212"/>
      <c r="VSJ3" s="46"/>
      <c r="VSK3" s="53"/>
      <c r="VSL3" s="53"/>
      <c r="VSM3" s="53"/>
      <c r="VSN3" s="53"/>
      <c r="VSO3" s="53"/>
      <c r="VSP3" s="53"/>
      <c r="VSQ3" s="53"/>
      <c r="VSR3" s="53"/>
      <c r="VSS3" s="53"/>
      <c r="VST3" s="53"/>
      <c r="VSU3" s="53"/>
      <c r="VSV3" s="53"/>
      <c r="VSW3" s="53"/>
      <c r="VSX3" s="212"/>
      <c r="VSY3" s="46"/>
      <c r="VSZ3" s="53"/>
      <c r="VTA3" s="53"/>
      <c r="VTB3" s="53"/>
      <c r="VTC3" s="53"/>
      <c r="VTD3" s="53"/>
      <c r="VTE3" s="53"/>
      <c r="VTF3" s="53"/>
      <c r="VTG3" s="53"/>
      <c r="VTH3" s="53"/>
      <c r="VTI3" s="53"/>
      <c r="VTJ3" s="53"/>
      <c r="VTK3" s="53"/>
      <c r="VTL3" s="53"/>
      <c r="VTM3" s="212"/>
      <c r="VTN3" s="46"/>
      <c r="VTO3" s="53"/>
      <c r="VTP3" s="53"/>
      <c r="VTQ3" s="53"/>
      <c r="VTR3" s="53"/>
      <c r="VTS3" s="53"/>
      <c r="VTT3" s="53"/>
      <c r="VTU3" s="53"/>
      <c r="VTV3" s="53"/>
      <c r="VTW3" s="53"/>
      <c r="VTX3" s="53"/>
      <c r="VTY3" s="53"/>
      <c r="VTZ3" s="53"/>
      <c r="VUA3" s="53"/>
      <c r="VUB3" s="212"/>
      <c r="VUC3" s="46"/>
      <c r="VUD3" s="53"/>
      <c r="VUE3" s="53"/>
      <c r="VUF3" s="53"/>
      <c r="VUG3" s="53"/>
      <c r="VUH3" s="53"/>
      <c r="VUI3" s="53"/>
      <c r="VUJ3" s="53"/>
      <c r="VUK3" s="53"/>
      <c r="VUL3" s="53"/>
      <c r="VUM3" s="53"/>
      <c r="VUN3" s="53"/>
      <c r="VUO3" s="53"/>
      <c r="VUP3" s="53"/>
      <c r="VUQ3" s="212"/>
      <c r="VUR3" s="46"/>
      <c r="VUS3" s="53"/>
      <c r="VUT3" s="53"/>
      <c r="VUU3" s="53"/>
      <c r="VUV3" s="53"/>
      <c r="VUW3" s="53"/>
      <c r="VUX3" s="53"/>
      <c r="VUY3" s="53"/>
      <c r="VUZ3" s="53"/>
      <c r="VVA3" s="53"/>
      <c r="VVB3" s="53"/>
      <c r="VVC3" s="53"/>
      <c r="VVD3" s="53"/>
      <c r="VVE3" s="53"/>
      <c r="VVF3" s="212"/>
      <c r="VVG3" s="46"/>
      <c r="VVH3" s="53"/>
      <c r="VVI3" s="53"/>
      <c r="VVJ3" s="53"/>
      <c r="VVK3" s="53"/>
      <c r="VVL3" s="53"/>
      <c r="VVM3" s="53"/>
      <c r="VVN3" s="53"/>
      <c r="VVO3" s="53"/>
      <c r="VVP3" s="53"/>
      <c r="VVQ3" s="53"/>
      <c r="VVR3" s="53"/>
      <c r="VVS3" s="53"/>
      <c r="VVT3" s="53"/>
      <c r="VVU3" s="212"/>
      <c r="VVV3" s="46"/>
      <c r="VVW3" s="53"/>
      <c r="VVX3" s="53"/>
      <c r="VVY3" s="53"/>
      <c r="VVZ3" s="53"/>
      <c r="VWA3" s="53"/>
      <c r="VWB3" s="53"/>
      <c r="VWC3" s="53"/>
      <c r="VWD3" s="53"/>
      <c r="VWE3" s="53"/>
      <c r="VWF3" s="53"/>
      <c r="VWG3" s="53"/>
      <c r="VWH3" s="53"/>
      <c r="VWI3" s="53"/>
      <c r="VWJ3" s="212"/>
      <c r="VWK3" s="46"/>
      <c r="VWL3" s="53"/>
      <c r="VWM3" s="53"/>
      <c r="VWN3" s="53"/>
      <c r="VWO3" s="53"/>
      <c r="VWP3" s="53"/>
      <c r="VWQ3" s="53"/>
      <c r="VWR3" s="53"/>
      <c r="VWS3" s="53"/>
      <c r="VWT3" s="53"/>
      <c r="VWU3" s="53"/>
      <c r="VWV3" s="53"/>
      <c r="VWW3" s="53"/>
      <c r="VWX3" s="53"/>
      <c r="VWY3" s="212"/>
      <c r="VWZ3" s="46"/>
      <c r="VXA3" s="53"/>
      <c r="VXB3" s="53"/>
      <c r="VXC3" s="53"/>
      <c r="VXD3" s="53"/>
      <c r="VXE3" s="53"/>
      <c r="VXF3" s="53"/>
      <c r="VXG3" s="53"/>
      <c r="VXH3" s="53"/>
      <c r="VXI3" s="53"/>
      <c r="VXJ3" s="53"/>
      <c r="VXK3" s="53"/>
      <c r="VXL3" s="53"/>
      <c r="VXM3" s="53"/>
      <c r="VXN3" s="212"/>
      <c r="VXO3" s="46"/>
      <c r="VXP3" s="53"/>
      <c r="VXQ3" s="53"/>
      <c r="VXR3" s="53"/>
      <c r="VXS3" s="53"/>
      <c r="VXT3" s="53"/>
      <c r="VXU3" s="53"/>
      <c r="VXV3" s="53"/>
      <c r="VXW3" s="53"/>
      <c r="VXX3" s="53"/>
      <c r="VXY3" s="53"/>
      <c r="VXZ3" s="53"/>
      <c r="VYA3" s="53"/>
      <c r="VYB3" s="53"/>
      <c r="VYC3" s="212"/>
      <c r="VYD3" s="46"/>
      <c r="VYE3" s="53"/>
      <c r="VYF3" s="53"/>
      <c r="VYG3" s="53"/>
      <c r="VYH3" s="53"/>
      <c r="VYI3" s="53"/>
      <c r="VYJ3" s="53"/>
      <c r="VYK3" s="53"/>
      <c r="VYL3" s="53"/>
      <c r="VYM3" s="53"/>
      <c r="VYN3" s="53"/>
      <c r="VYO3" s="53"/>
      <c r="VYP3" s="53"/>
      <c r="VYQ3" s="53"/>
      <c r="VYR3" s="212"/>
      <c r="VYS3" s="46"/>
      <c r="VYT3" s="53"/>
      <c r="VYU3" s="53"/>
      <c r="VYV3" s="53"/>
      <c r="VYW3" s="53"/>
      <c r="VYX3" s="53"/>
      <c r="VYY3" s="53"/>
      <c r="VYZ3" s="53"/>
      <c r="VZA3" s="53"/>
      <c r="VZB3" s="53"/>
      <c r="VZC3" s="53"/>
      <c r="VZD3" s="53"/>
      <c r="VZE3" s="53"/>
      <c r="VZF3" s="53"/>
      <c r="VZG3" s="212"/>
      <c r="VZH3" s="46"/>
      <c r="VZI3" s="53"/>
      <c r="VZJ3" s="53"/>
      <c r="VZK3" s="53"/>
      <c r="VZL3" s="53"/>
      <c r="VZM3" s="53"/>
      <c r="VZN3" s="53"/>
      <c r="VZO3" s="53"/>
      <c r="VZP3" s="53"/>
      <c r="VZQ3" s="53"/>
      <c r="VZR3" s="53"/>
      <c r="VZS3" s="53"/>
      <c r="VZT3" s="53"/>
      <c r="VZU3" s="53"/>
      <c r="VZV3" s="212"/>
      <c r="VZW3" s="46"/>
      <c r="VZX3" s="53"/>
      <c r="VZY3" s="53"/>
      <c r="VZZ3" s="53"/>
      <c r="WAA3" s="53"/>
      <c r="WAB3" s="53"/>
      <c r="WAC3" s="53"/>
      <c r="WAD3" s="53"/>
      <c r="WAE3" s="53"/>
      <c r="WAF3" s="53"/>
      <c r="WAG3" s="53"/>
      <c r="WAH3" s="53"/>
      <c r="WAI3" s="53"/>
      <c r="WAJ3" s="53"/>
      <c r="WAK3" s="212"/>
      <c r="WAL3" s="46"/>
      <c r="WAM3" s="53"/>
      <c r="WAN3" s="53"/>
      <c r="WAO3" s="53"/>
      <c r="WAP3" s="53"/>
      <c r="WAQ3" s="53"/>
      <c r="WAR3" s="53"/>
      <c r="WAS3" s="53"/>
      <c r="WAT3" s="53"/>
      <c r="WAU3" s="53"/>
      <c r="WAV3" s="53"/>
      <c r="WAW3" s="53"/>
      <c r="WAX3" s="53"/>
      <c r="WAY3" s="53"/>
      <c r="WAZ3" s="212"/>
      <c r="WBA3" s="46"/>
      <c r="WBB3" s="53"/>
      <c r="WBC3" s="53"/>
      <c r="WBD3" s="53"/>
      <c r="WBE3" s="53"/>
      <c r="WBF3" s="53"/>
      <c r="WBG3" s="53"/>
      <c r="WBH3" s="53"/>
      <c r="WBI3" s="53"/>
      <c r="WBJ3" s="53"/>
      <c r="WBK3" s="53"/>
      <c r="WBL3" s="53"/>
      <c r="WBM3" s="53"/>
      <c r="WBN3" s="53"/>
      <c r="WBO3" s="212"/>
      <c r="WBP3" s="46"/>
      <c r="WBQ3" s="53"/>
      <c r="WBR3" s="53"/>
      <c r="WBS3" s="53"/>
      <c r="WBT3" s="53"/>
      <c r="WBU3" s="53"/>
      <c r="WBV3" s="53"/>
      <c r="WBW3" s="53"/>
      <c r="WBX3" s="53"/>
      <c r="WBY3" s="53"/>
      <c r="WBZ3" s="53"/>
      <c r="WCA3" s="53"/>
      <c r="WCB3" s="53"/>
      <c r="WCC3" s="53"/>
      <c r="WCD3" s="212"/>
      <c r="WCE3" s="46"/>
      <c r="WCF3" s="53"/>
      <c r="WCG3" s="53"/>
      <c r="WCH3" s="53"/>
      <c r="WCI3" s="53"/>
      <c r="WCJ3" s="53"/>
      <c r="WCK3" s="53"/>
      <c r="WCL3" s="53"/>
      <c r="WCM3" s="53"/>
      <c r="WCN3" s="53"/>
      <c r="WCO3" s="53"/>
      <c r="WCP3" s="53"/>
      <c r="WCQ3" s="53"/>
      <c r="WCR3" s="53"/>
      <c r="WCS3" s="212"/>
      <c r="WCT3" s="46"/>
      <c r="WCU3" s="53"/>
      <c r="WCV3" s="53"/>
      <c r="WCW3" s="53"/>
      <c r="WCX3" s="53"/>
      <c r="WCY3" s="53"/>
      <c r="WCZ3" s="53"/>
      <c r="WDA3" s="53"/>
      <c r="WDB3" s="53"/>
      <c r="WDC3" s="53"/>
      <c r="WDD3" s="53"/>
      <c r="WDE3" s="53"/>
      <c r="WDF3" s="53"/>
      <c r="WDG3" s="53"/>
      <c r="WDH3" s="212"/>
      <c r="WDI3" s="46"/>
      <c r="WDJ3" s="53"/>
      <c r="WDK3" s="53"/>
      <c r="WDL3" s="53"/>
      <c r="WDM3" s="53"/>
      <c r="WDN3" s="53"/>
      <c r="WDO3" s="53"/>
      <c r="WDP3" s="53"/>
      <c r="WDQ3" s="53"/>
      <c r="WDR3" s="53"/>
      <c r="WDS3" s="53"/>
      <c r="WDT3" s="53"/>
      <c r="WDU3" s="53"/>
      <c r="WDV3" s="53"/>
      <c r="WDW3" s="212"/>
      <c r="WDX3" s="46"/>
      <c r="WDY3" s="53"/>
      <c r="WDZ3" s="53"/>
      <c r="WEA3" s="53"/>
      <c r="WEB3" s="53"/>
      <c r="WEC3" s="53"/>
      <c r="WED3" s="53"/>
      <c r="WEE3" s="53"/>
      <c r="WEF3" s="53"/>
      <c r="WEG3" s="53"/>
      <c r="WEH3" s="53"/>
      <c r="WEI3" s="53"/>
      <c r="WEJ3" s="53"/>
      <c r="WEK3" s="53"/>
      <c r="WEL3" s="212"/>
      <c r="WEM3" s="46"/>
      <c r="WEN3" s="53"/>
      <c r="WEO3" s="53"/>
      <c r="WEP3" s="53"/>
      <c r="WEQ3" s="53"/>
      <c r="WER3" s="53"/>
      <c r="WES3" s="53"/>
      <c r="WET3" s="53"/>
      <c r="WEU3" s="53"/>
      <c r="WEV3" s="53"/>
      <c r="WEW3" s="53"/>
      <c r="WEX3" s="53"/>
      <c r="WEY3" s="53"/>
      <c r="WEZ3" s="53"/>
      <c r="WFA3" s="212"/>
      <c r="WFB3" s="46"/>
      <c r="WFC3" s="53"/>
      <c r="WFD3" s="53"/>
      <c r="WFE3" s="53"/>
      <c r="WFF3" s="53"/>
      <c r="WFG3" s="53"/>
      <c r="WFH3" s="53"/>
      <c r="WFI3" s="53"/>
      <c r="WFJ3" s="53"/>
      <c r="WFK3" s="53"/>
      <c r="WFL3" s="53"/>
      <c r="WFM3" s="53"/>
      <c r="WFN3" s="53"/>
      <c r="WFO3" s="53"/>
      <c r="WFP3" s="212"/>
      <c r="WFQ3" s="46"/>
      <c r="WFR3" s="53"/>
      <c r="WFS3" s="53"/>
      <c r="WFT3" s="53"/>
      <c r="WFU3" s="53"/>
      <c r="WFV3" s="53"/>
      <c r="WFW3" s="53"/>
      <c r="WFX3" s="53"/>
      <c r="WFY3" s="53"/>
      <c r="WFZ3" s="53"/>
      <c r="WGA3" s="53"/>
      <c r="WGB3" s="53"/>
      <c r="WGC3" s="53"/>
      <c r="WGD3" s="53"/>
      <c r="WGE3" s="212"/>
      <c r="WGF3" s="46"/>
      <c r="WGG3" s="53"/>
      <c r="WGH3" s="53"/>
      <c r="WGI3" s="53"/>
      <c r="WGJ3" s="53"/>
      <c r="WGK3" s="53"/>
      <c r="WGL3" s="53"/>
      <c r="WGM3" s="53"/>
      <c r="WGN3" s="53"/>
      <c r="WGO3" s="53"/>
      <c r="WGP3" s="53"/>
      <c r="WGQ3" s="53"/>
      <c r="WGR3" s="53"/>
      <c r="WGS3" s="53"/>
      <c r="WGT3" s="212"/>
      <c r="WGU3" s="46"/>
      <c r="WGV3" s="53"/>
      <c r="WGW3" s="53"/>
      <c r="WGX3" s="53"/>
      <c r="WGY3" s="53"/>
      <c r="WGZ3" s="53"/>
      <c r="WHA3" s="53"/>
      <c r="WHB3" s="53"/>
      <c r="WHC3" s="53"/>
      <c r="WHD3" s="53"/>
      <c r="WHE3" s="53"/>
      <c r="WHF3" s="53"/>
      <c r="WHG3" s="53"/>
      <c r="WHH3" s="53"/>
      <c r="WHI3" s="212"/>
      <c r="WHJ3" s="46"/>
      <c r="WHK3" s="53"/>
      <c r="WHL3" s="53"/>
      <c r="WHM3" s="53"/>
      <c r="WHN3" s="53"/>
      <c r="WHO3" s="53"/>
      <c r="WHP3" s="53"/>
      <c r="WHQ3" s="53"/>
      <c r="WHR3" s="53"/>
      <c r="WHS3" s="53"/>
      <c r="WHT3" s="53"/>
      <c r="WHU3" s="53"/>
      <c r="WHV3" s="53"/>
      <c r="WHW3" s="53"/>
      <c r="WHX3" s="212"/>
      <c r="WHY3" s="46"/>
      <c r="WHZ3" s="53"/>
      <c r="WIA3" s="53"/>
      <c r="WIB3" s="53"/>
      <c r="WIC3" s="53"/>
      <c r="WID3" s="53"/>
      <c r="WIE3" s="53"/>
      <c r="WIF3" s="53"/>
      <c r="WIG3" s="53"/>
      <c r="WIH3" s="53"/>
      <c r="WII3" s="53"/>
      <c r="WIJ3" s="53"/>
      <c r="WIK3" s="53"/>
      <c r="WIL3" s="53"/>
      <c r="WIM3" s="212"/>
      <c r="WIN3" s="46"/>
      <c r="WIO3" s="53"/>
      <c r="WIP3" s="53"/>
      <c r="WIQ3" s="53"/>
      <c r="WIR3" s="53"/>
      <c r="WIS3" s="53"/>
      <c r="WIT3" s="53"/>
      <c r="WIU3" s="53"/>
      <c r="WIV3" s="53"/>
      <c r="WIW3" s="53"/>
      <c r="WIX3" s="53"/>
      <c r="WIY3" s="53"/>
      <c r="WIZ3" s="53"/>
      <c r="WJA3" s="53"/>
      <c r="WJB3" s="212"/>
      <c r="WJC3" s="46"/>
      <c r="WJD3" s="53"/>
      <c r="WJE3" s="53"/>
      <c r="WJF3" s="53"/>
      <c r="WJG3" s="53"/>
      <c r="WJH3" s="53"/>
      <c r="WJI3" s="53"/>
      <c r="WJJ3" s="53"/>
      <c r="WJK3" s="53"/>
      <c r="WJL3" s="53"/>
      <c r="WJM3" s="53"/>
      <c r="WJN3" s="53"/>
      <c r="WJO3" s="53"/>
      <c r="WJP3" s="53"/>
      <c r="WJQ3" s="212"/>
      <c r="WJR3" s="46"/>
      <c r="WJS3" s="53"/>
      <c r="WJT3" s="53"/>
      <c r="WJU3" s="53"/>
      <c r="WJV3" s="53"/>
      <c r="WJW3" s="53"/>
      <c r="WJX3" s="53"/>
      <c r="WJY3" s="53"/>
      <c r="WJZ3" s="53"/>
      <c r="WKA3" s="53"/>
      <c r="WKB3" s="53"/>
      <c r="WKC3" s="53"/>
      <c r="WKD3" s="53"/>
      <c r="WKE3" s="53"/>
      <c r="WKF3" s="212"/>
      <c r="WKG3" s="46"/>
      <c r="WKH3" s="53"/>
      <c r="WKI3" s="53"/>
      <c r="WKJ3" s="53"/>
      <c r="WKK3" s="53"/>
      <c r="WKL3" s="53"/>
      <c r="WKM3" s="53"/>
      <c r="WKN3" s="53"/>
      <c r="WKO3" s="53"/>
      <c r="WKP3" s="53"/>
      <c r="WKQ3" s="53"/>
      <c r="WKR3" s="53"/>
      <c r="WKS3" s="53"/>
      <c r="WKT3" s="53"/>
      <c r="WKU3" s="212"/>
      <c r="WKV3" s="46"/>
      <c r="WKW3" s="53"/>
      <c r="WKX3" s="53"/>
      <c r="WKY3" s="53"/>
      <c r="WKZ3" s="53"/>
      <c r="WLA3" s="53"/>
      <c r="WLB3" s="53"/>
      <c r="WLC3" s="53"/>
      <c r="WLD3" s="53"/>
      <c r="WLE3" s="53"/>
      <c r="WLF3" s="53"/>
      <c r="WLG3" s="53"/>
      <c r="WLH3" s="53"/>
      <c r="WLI3" s="53"/>
      <c r="WLJ3" s="212"/>
      <c r="WLK3" s="46"/>
      <c r="WLL3" s="53"/>
      <c r="WLM3" s="53"/>
      <c r="WLN3" s="53"/>
      <c r="WLO3" s="53"/>
      <c r="WLP3" s="53"/>
      <c r="WLQ3" s="53"/>
      <c r="WLR3" s="53"/>
      <c r="WLS3" s="53"/>
      <c r="WLT3" s="53"/>
      <c r="WLU3" s="53"/>
      <c r="WLV3" s="53"/>
      <c r="WLW3" s="53"/>
      <c r="WLX3" s="53"/>
      <c r="WLY3" s="212"/>
      <c r="WLZ3" s="46"/>
      <c r="WMA3" s="53"/>
      <c r="WMB3" s="53"/>
      <c r="WMC3" s="53"/>
      <c r="WMD3" s="53"/>
      <c r="WME3" s="53"/>
      <c r="WMF3" s="53"/>
      <c r="WMG3" s="53"/>
      <c r="WMH3" s="53"/>
      <c r="WMI3" s="53"/>
      <c r="WMJ3" s="53"/>
      <c r="WMK3" s="53"/>
      <c r="WML3" s="53"/>
      <c r="WMM3" s="53"/>
      <c r="WMN3" s="212"/>
      <c r="WMO3" s="46"/>
      <c r="WMP3" s="53"/>
      <c r="WMQ3" s="53"/>
      <c r="WMR3" s="53"/>
      <c r="WMS3" s="53"/>
      <c r="WMT3" s="53"/>
      <c r="WMU3" s="53"/>
      <c r="WMV3" s="53"/>
      <c r="WMW3" s="53"/>
      <c r="WMX3" s="53"/>
      <c r="WMY3" s="53"/>
      <c r="WMZ3" s="53"/>
      <c r="WNA3" s="53"/>
      <c r="WNB3" s="53"/>
      <c r="WNC3" s="212"/>
      <c r="WND3" s="46"/>
      <c r="WNE3" s="53"/>
      <c r="WNF3" s="53"/>
      <c r="WNG3" s="53"/>
      <c r="WNH3" s="53"/>
      <c r="WNI3" s="53"/>
      <c r="WNJ3" s="53"/>
      <c r="WNK3" s="53"/>
      <c r="WNL3" s="53"/>
      <c r="WNM3" s="53"/>
      <c r="WNN3" s="53"/>
      <c r="WNO3" s="53"/>
      <c r="WNP3" s="53"/>
      <c r="WNQ3" s="53"/>
      <c r="WNR3" s="212"/>
      <c r="WNS3" s="46"/>
      <c r="WNT3" s="53"/>
      <c r="WNU3" s="53"/>
      <c r="WNV3" s="53"/>
      <c r="WNW3" s="53"/>
      <c r="WNX3" s="53"/>
      <c r="WNY3" s="53"/>
      <c r="WNZ3" s="53"/>
      <c r="WOA3" s="53"/>
      <c r="WOB3" s="53"/>
      <c r="WOC3" s="53"/>
      <c r="WOD3" s="53"/>
      <c r="WOE3" s="53"/>
      <c r="WOF3" s="53"/>
      <c r="WOG3" s="212"/>
      <c r="WOH3" s="46"/>
      <c r="WOI3" s="53"/>
      <c r="WOJ3" s="53"/>
      <c r="WOK3" s="53"/>
      <c r="WOL3" s="53"/>
      <c r="WOM3" s="53"/>
      <c r="WON3" s="53"/>
      <c r="WOO3" s="53"/>
      <c r="WOP3" s="53"/>
      <c r="WOQ3" s="53"/>
      <c r="WOR3" s="53"/>
      <c r="WOS3" s="53"/>
      <c r="WOT3" s="53"/>
      <c r="WOU3" s="53"/>
      <c r="WOV3" s="212"/>
      <c r="WOW3" s="46"/>
      <c r="WOX3" s="53"/>
      <c r="WOY3" s="53"/>
      <c r="WOZ3" s="53"/>
      <c r="WPA3" s="53"/>
      <c r="WPB3" s="53"/>
      <c r="WPC3" s="53"/>
      <c r="WPD3" s="53"/>
      <c r="WPE3" s="53"/>
      <c r="WPF3" s="53"/>
      <c r="WPG3" s="53"/>
      <c r="WPH3" s="53"/>
      <c r="WPI3" s="53"/>
      <c r="WPJ3" s="53"/>
      <c r="WPK3" s="212"/>
      <c r="WPL3" s="46"/>
      <c r="WPM3" s="53"/>
      <c r="WPN3" s="53"/>
      <c r="WPO3" s="53"/>
      <c r="WPP3" s="53"/>
      <c r="WPQ3" s="53"/>
      <c r="WPR3" s="53"/>
      <c r="WPS3" s="53"/>
      <c r="WPT3" s="53"/>
      <c r="WPU3" s="53"/>
      <c r="WPV3" s="53"/>
      <c r="WPW3" s="53"/>
      <c r="WPX3" s="53"/>
      <c r="WPY3" s="53"/>
      <c r="WPZ3" s="212"/>
      <c r="WQA3" s="46"/>
      <c r="WQB3" s="53"/>
      <c r="WQC3" s="53"/>
      <c r="WQD3" s="53"/>
      <c r="WQE3" s="53"/>
      <c r="WQF3" s="53"/>
      <c r="WQG3" s="53"/>
      <c r="WQH3" s="53"/>
      <c r="WQI3" s="53"/>
      <c r="WQJ3" s="53"/>
      <c r="WQK3" s="53"/>
      <c r="WQL3" s="53"/>
      <c r="WQM3" s="53"/>
      <c r="WQN3" s="53"/>
      <c r="WQO3" s="212"/>
      <c r="WQP3" s="46"/>
      <c r="WQQ3" s="53"/>
      <c r="WQR3" s="53"/>
      <c r="WQS3" s="53"/>
      <c r="WQT3" s="53"/>
      <c r="WQU3" s="53"/>
      <c r="WQV3" s="53"/>
      <c r="WQW3" s="53"/>
      <c r="WQX3" s="53"/>
      <c r="WQY3" s="53"/>
      <c r="WQZ3" s="53"/>
      <c r="WRA3" s="53"/>
      <c r="WRB3" s="53"/>
      <c r="WRC3" s="53"/>
      <c r="WRD3" s="212"/>
      <c r="WRE3" s="46"/>
      <c r="WRF3" s="53"/>
      <c r="WRG3" s="53"/>
      <c r="WRH3" s="53"/>
      <c r="WRI3" s="53"/>
      <c r="WRJ3" s="53"/>
      <c r="WRK3" s="53"/>
      <c r="WRL3" s="53"/>
      <c r="WRM3" s="53"/>
      <c r="WRN3" s="53"/>
      <c r="WRO3" s="53"/>
      <c r="WRP3" s="53"/>
      <c r="WRQ3" s="53"/>
      <c r="WRR3" s="53"/>
      <c r="WRS3" s="212"/>
      <c r="WRT3" s="46"/>
      <c r="WRU3" s="53"/>
      <c r="WRV3" s="53"/>
      <c r="WRW3" s="53"/>
      <c r="WRX3" s="53"/>
      <c r="WRY3" s="53"/>
      <c r="WRZ3" s="53"/>
      <c r="WSA3" s="53"/>
      <c r="WSB3" s="53"/>
      <c r="WSC3" s="53"/>
      <c r="WSD3" s="53"/>
      <c r="WSE3" s="53"/>
      <c r="WSF3" s="53"/>
      <c r="WSG3" s="53"/>
      <c r="WSH3" s="212"/>
      <c r="WSI3" s="46"/>
      <c r="WSJ3" s="53"/>
      <c r="WSK3" s="53"/>
      <c r="WSL3" s="53"/>
      <c r="WSM3" s="53"/>
      <c r="WSN3" s="53"/>
      <c r="WSO3" s="53"/>
      <c r="WSP3" s="53"/>
      <c r="WSQ3" s="53"/>
      <c r="WSR3" s="53"/>
      <c r="WSS3" s="53"/>
      <c r="WST3" s="53"/>
      <c r="WSU3" s="53"/>
      <c r="WSV3" s="53"/>
      <c r="WSW3" s="212"/>
      <c r="WSX3" s="46"/>
      <c r="WSY3" s="53"/>
      <c r="WSZ3" s="53"/>
      <c r="WTA3" s="53"/>
      <c r="WTB3" s="53"/>
      <c r="WTC3" s="53"/>
      <c r="WTD3" s="53"/>
      <c r="WTE3" s="53"/>
      <c r="WTF3" s="53"/>
      <c r="WTG3" s="53"/>
      <c r="WTH3" s="53"/>
      <c r="WTI3" s="53"/>
      <c r="WTJ3" s="53"/>
      <c r="WTK3" s="53"/>
      <c r="WTL3" s="212"/>
      <c r="WTM3" s="46"/>
      <c r="WTN3" s="53"/>
      <c r="WTO3" s="53"/>
      <c r="WTP3" s="53"/>
      <c r="WTQ3" s="53"/>
      <c r="WTR3" s="53"/>
      <c r="WTS3" s="53"/>
      <c r="WTT3" s="53"/>
      <c r="WTU3" s="53"/>
      <c r="WTV3" s="53"/>
      <c r="WTW3" s="53"/>
      <c r="WTX3" s="53"/>
      <c r="WTY3" s="53"/>
      <c r="WTZ3" s="53"/>
      <c r="WUA3" s="212"/>
      <c r="WUB3" s="46"/>
      <c r="WUC3" s="53"/>
      <c r="WUD3" s="53"/>
      <c r="WUE3" s="53"/>
      <c r="WUF3" s="53"/>
      <c r="WUG3" s="53"/>
      <c r="WUH3" s="53"/>
      <c r="WUI3" s="53"/>
      <c r="WUJ3" s="53"/>
      <c r="WUK3" s="53"/>
      <c r="WUL3" s="53"/>
      <c r="WUM3" s="53"/>
      <c r="WUN3" s="53"/>
      <c r="WUO3" s="53"/>
      <c r="WUP3" s="212"/>
      <c r="WUQ3" s="46"/>
      <c r="WUR3" s="53"/>
      <c r="WUS3" s="53"/>
      <c r="WUT3" s="53"/>
      <c r="WUU3" s="53"/>
      <c r="WUV3" s="53"/>
      <c r="WUW3" s="53"/>
      <c r="WUX3" s="53"/>
      <c r="WUY3" s="53"/>
      <c r="WUZ3" s="53"/>
      <c r="WVA3" s="53"/>
      <c r="WVB3" s="53"/>
      <c r="WVC3" s="53"/>
      <c r="WVD3" s="53"/>
      <c r="WVE3" s="212"/>
      <c r="WVF3" s="46"/>
      <c r="WVG3" s="53"/>
      <c r="WVH3" s="53"/>
      <c r="WVI3" s="53"/>
      <c r="WVJ3" s="53"/>
      <c r="WVK3" s="53"/>
      <c r="WVL3" s="53"/>
      <c r="WVM3" s="53"/>
      <c r="WVN3" s="53"/>
      <c r="WVO3" s="53"/>
      <c r="WVP3" s="53"/>
      <c r="WVQ3" s="53"/>
      <c r="WVR3" s="53"/>
      <c r="WVS3" s="53"/>
      <c r="WVT3" s="212"/>
      <c r="WVU3" s="46"/>
      <c r="WVV3" s="53"/>
      <c r="WVW3" s="53"/>
      <c r="WVX3" s="53"/>
      <c r="WVY3" s="53"/>
      <c r="WVZ3" s="53"/>
      <c r="WWA3" s="53"/>
      <c r="WWB3" s="53"/>
      <c r="WWC3" s="53"/>
      <c r="WWD3" s="53"/>
      <c r="WWE3" s="53"/>
      <c r="WWF3" s="53"/>
      <c r="WWG3" s="53"/>
      <c r="WWH3" s="53"/>
      <c r="WWI3" s="212"/>
      <c r="WWJ3" s="46"/>
      <c r="WWK3" s="53"/>
      <c r="WWL3" s="53"/>
      <c r="WWM3" s="53"/>
      <c r="WWN3" s="53"/>
      <c r="WWO3" s="53"/>
      <c r="WWP3" s="53"/>
      <c r="WWQ3" s="53"/>
      <c r="WWR3" s="53"/>
      <c r="WWS3" s="53"/>
      <c r="WWT3" s="53"/>
      <c r="WWU3" s="53"/>
      <c r="WWV3" s="53"/>
      <c r="WWW3" s="53"/>
      <c r="WWX3" s="212"/>
      <c r="WWY3" s="46"/>
      <c r="WWZ3" s="53"/>
      <c r="WXA3" s="53"/>
      <c r="WXB3" s="53"/>
      <c r="WXC3" s="53"/>
      <c r="WXD3" s="53"/>
      <c r="WXE3" s="53"/>
      <c r="WXF3" s="53"/>
      <c r="WXG3" s="53"/>
      <c r="WXH3" s="53"/>
      <c r="WXI3" s="53"/>
      <c r="WXJ3" s="53"/>
      <c r="WXK3" s="53"/>
      <c r="WXL3" s="53"/>
      <c r="WXM3" s="212"/>
      <c r="WXN3" s="46"/>
      <c r="WXO3" s="53"/>
      <c r="WXP3" s="53"/>
      <c r="WXQ3" s="53"/>
      <c r="WXR3" s="53"/>
      <c r="WXS3" s="53"/>
      <c r="WXT3" s="53"/>
      <c r="WXU3" s="53"/>
      <c r="WXV3" s="53"/>
      <c r="WXW3" s="53"/>
      <c r="WXX3" s="53"/>
      <c r="WXY3" s="53"/>
      <c r="WXZ3" s="53"/>
      <c r="WYA3" s="53"/>
      <c r="WYB3" s="212"/>
      <c r="WYC3" s="46"/>
      <c r="WYD3" s="53"/>
      <c r="WYE3" s="53"/>
      <c r="WYF3" s="53"/>
      <c r="WYG3" s="53"/>
      <c r="WYH3" s="53"/>
      <c r="WYI3" s="53"/>
      <c r="WYJ3" s="53"/>
      <c r="WYK3" s="53"/>
      <c r="WYL3" s="53"/>
      <c r="WYM3" s="53"/>
      <c r="WYN3" s="53"/>
      <c r="WYO3" s="53"/>
      <c r="WYP3" s="53"/>
      <c r="WYQ3" s="212"/>
      <c r="WYR3" s="46"/>
      <c r="WYS3" s="53"/>
      <c r="WYT3" s="53"/>
      <c r="WYU3" s="53"/>
      <c r="WYV3" s="53"/>
      <c r="WYW3" s="53"/>
      <c r="WYX3" s="53"/>
      <c r="WYY3" s="53"/>
      <c r="WYZ3" s="53"/>
      <c r="WZA3" s="53"/>
      <c r="WZB3" s="53"/>
      <c r="WZC3" s="53"/>
      <c r="WZD3" s="53"/>
      <c r="WZE3" s="53"/>
      <c r="WZF3" s="212"/>
      <c r="WZG3" s="46"/>
      <c r="WZH3" s="53"/>
      <c r="WZI3" s="53"/>
      <c r="WZJ3" s="53"/>
      <c r="WZK3" s="53"/>
      <c r="WZL3" s="53"/>
      <c r="WZM3" s="53"/>
      <c r="WZN3" s="53"/>
      <c r="WZO3" s="53"/>
      <c r="WZP3" s="53"/>
      <c r="WZQ3" s="53"/>
      <c r="WZR3" s="53"/>
      <c r="WZS3" s="53"/>
      <c r="WZT3" s="53"/>
      <c r="WZU3" s="212"/>
      <c r="WZV3" s="46"/>
      <c r="WZW3" s="53"/>
      <c r="WZX3" s="53"/>
      <c r="WZY3" s="53"/>
      <c r="WZZ3" s="53"/>
      <c r="XAA3" s="53"/>
      <c r="XAB3" s="53"/>
      <c r="XAC3" s="53"/>
      <c r="XAD3" s="53"/>
      <c r="XAE3" s="53"/>
      <c r="XAF3" s="53"/>
      <c r="XAG3" s="53"/>
      <c r="XAH3" s="53"/>
      <c r="XAI3" s="53"/>
      <c r="XAJ3" s="212"/>
      <c r="XAK3" s="46"/>
      <c r="XAL3" s="53"/>
      <c r="XAM3" s="53"/>
      <c r="XAN3" s="53"/>
      <c r="XAO3" s="53"/>
      <c r="XAP3" s="53"/>
      <c r="XAQ3" s="53"/>
      <c r="XAR3" s="53"/>
      <c r="XAS3" s="53"/>
      <c r="XAT3" s="53"/>
      <c r="XAU3" s="53"/>
      <c r="XAV3" s="53"/>
      <c r="XAW3" s="53"/>
      <c r="XAX3" s="53"/>
      <c r="XAY3" s="212"/>
      <c r="XAZ3" s="46"/>
      <c r="XBA3" s="53"/>
      <c r="XBB3" s="53"/>
      <c r="XBC3" s="53"/>
      <c r="XBD3" s="53"/>
      <c r="XBE3" s="53"/>
      <c r="XBF3" s="53"/>
      <c r="XBG3" s="53"/>
      <c r="XBH3" s="53"/>
      <c r="XBI3" s="53"/>
      <c r="XBJ3" s="53"/>
      <c r="XBK3" s="53"/>
      <c r="XBL3" s="53"/>
      <c r="XBM3" s="53"/>
      <c r="XBN3" s="212"/>
      <c r="XBO3" s="46"/>
      <c r="XBP3" s="53"/>
      <c r="XBQ3" s="53"/>
      <c r="XBR3" s="53"/>
      <c r="XBS3" s="53"/>
      <c r="XBT3" s="53"/>
      <c r="XBU3" s="53"/>
      <c r="XBV3" s="53"/>
      <c r="XBW3" s="53"/>
      <c r="XBX3" s="53"/>
      <c r="XBY3" s="53"/>
      <c r="XBZ3" s="53"/>
      <c r="XCA3" s="53"/>
      <c r="XCB3" s="53"/>
      <c r="XCC3" s="212"/>
      <c r="XCD3" s="46"/>
      <c r="XCE3" s="53"/>
      <c r="XCF3" s="53"/>
      <c r="XCG3" s="53"/>
      <c r="XCH3" s="53"/>
      <c r="XCI3" s="53"/>
      <c r="XCJ3" s="53"/>
      <c r="XCK3" s="53"/>
      <c r="XCL3" s="53"/>
      <c r="XCM3" s="53"/>
      <c r="XCN3" s="53"/>
      <c r="XCO3" s="53"/>
      <c r="XCP3" s="53"/>
      <c r="XCQ3" s="53"/>
      <c r="XCR3" s="212"/>
      <c r="XCS3" s="46"/>
      <c r="XCT3" s="53"/>
      <c r="XCU3" s="53"/>
      <c r="XCV3" s="53"/>
      <c r="XCW3" s="53"/>
      <c r="XCX3" s="53"/>
      <c r="XCY3" s="53"/>
      <c r="XCZ3" s="53"/>
      <c r="XDA3" s="53"/>
      <c r="XDB3" s="53"/>
      <c r="XDC3" s="53"/>
      <c r="XDD3" s="53"/>
      <c r="XDE3" s="53"/>
      <c r="XDF3" s="53"/>
      <c r="XDG3" s="212"/>
      <c r="XDH3" s="46"/>
      <c r="XDI3" s="53"/>
      <c r="XDJ3" s="53"/>
      <c r="XDK3" s="53"/>
      <c r="XDL3" s="53"/>
      <c r="XDM3" s="53"/>
      <c r="XDN3" s="53"/>
      <c r="XDO3" s="53"/>
      <c r="XDP3" s="53"/>
      <c r="XDQ3" s="53"/>
      <c r="XDR3" s="53"/>
      <c r="XDS3" s="53"/>
      <c r="XDT3" s="53"/>
      <c r="XDU3" s="53"/>
      <c r="XDV3" s="212"/>
      <c r="XDW3" s="46"/>
      <c r="XDX3" s="53"/>
      <c r="XDY3" s="53"/>
      <c r="XDZ3" s="53"/>
      <c r="XEA3" s="53"/>
      <c r="XEB3" s="53"/>
      <c r="XEC3" s="53"/>
      <c r="XED3" s="53"/>
      <c r="XEE3" s="53"/>
      <c r="XEF3" s="53"/>
      <c r="XEG3" s="53"/>
      <c r="XEH3" s="53"/>
      <c r="XEI3" s="53"/>
      <c r="XEJ3" s="53"/>
      <c r="XEK3" s="212"/>
      <c r="XEL3" s="46"/>
      <c r="XEM3" s="53"/>
      <c r="XEN3" s="53"/>
      <c r="XEO3" s="53"/>
      <c r="XEP3" s="53"/>
      <c r="XEQ3" s="53"/>
      <c r="XER3" s="53"/>
      <c r="XES3" s="53"/>
      <c r="XET3" s="53"/>
      <c r="XEU3" s="53"/>
      <c r="XEV3" s="53"/>
      <c r="XEW3" s="53"/>
      <c r="XEX3" s="53"/>
      <c r="XEY3" s="53"/>
      <c r="XEZ3" s="212"/>
      <c r="XFA3" s="46"/>
      <c r="XFB3" s="53"/>
      <c r="XFC3" s="53"/>
      <c r="XFD3" s="53"/>
    </row>
    <row r="4" spans="1:16384" s="16" customFormat="1" ht="18.75">
      <c r="A4" s="214">
        <v>1</v>
      </c>
      <c r="B4" s="215">
        <v>1612000410</v>
      </c>
      <c r="C4" s="215" t="s">
        <v>889</v>
      </c>
      <c r="D4" s="215" t="s">
        <v>890</v>
      </c>
      <c r="E4" s="215" t="s">
        <v>891</v>
      </c>
      <c r="F4" s="215" t="s">
        <v>892</v>
      </c>
      <c r="G4" s="215">
        <v>87</v>
      </c>
      <c r="H4" s="216" t="s">
        <v>2421</v>
      </c>
      <c r="I4" s="217">
        <v>4165</v>
      </c>
      <c r="J4" s="217">
        <v>4921</v>
      </c>
      <c r="K4" s="217">
        <f>SUM(J4/G4)</f>
        <v>56.5632183908046</v>
      </c>
      <c r="L4" s="217">
        <f t="shared" ref="L4:L11" si="0">J4*12</f>
        <v>59052</v>
      </c>
      <c r="M4" s="218">
        <v>0</v>
      </c>
      <c r="N4" s="219">
        <f>L4+M4+92</f>
        <v>59144</v>
      </c>
      <c r="O4" s="220"/>
      <c r="P4" s="16" t="s">
        <v>2422</v>
      </c>
    </row>
    <row r="5" spans="1:16384" s="16" customFormat="1" ht="37.5">
      <c r="A5" s="214">
        <v>2</v>
      </c>
      <c r="B5" s="215">
        <v>1615000410</v>
      </c>
      <c r="C5" s="215" t="s">
        <v>889</v>
      </c>
      <c r="D5" s="215" t="s">
        <v>893</v>
      </c>
      <c r="E5" s="215" t="s">
        <v>894</v>
      </c>
      <c r="F5" s="215" t="s">
        <v>895</v>
      </c>
      <c r="G5" s="215">
        <v>166</v>
      </c>
      <c r="H5" s="216" t="s">
        <v>2423</v>
      </c>
      <c r="I5" s="217">
        <v>13974</v>
      </c>
      <c r="J5" s="217">
        <v>27948</v>
      </c>
      <c r="K5" s="217">
        <f>SUM(J5/G5)</f>
        <v>168.36144578313252</v>
      </c>
      <c r="L5" s="217">
        <f>+טבלה11037[[#This Row],[תשלום חודשי בשקלים כולל מע"מ והצמדה]]*12</f>
        <v>335376</v>
      </c>
      <c r="M5" s="218">
        <f>234*12</f>
        <v>2808</v>
      </c>
      <c r="N5" s="219">
        <f>L5+M5+92</f>
        <v>338276</v>
      </c>
      <c r="O5" s="220" t="s">
        <v>2424</v>
      </c>
      <c r="P5" s="16" t="s">
        <v>2425</v>
      </c>
    </row>
    <row r="6" spans="1:16384" s="16" customFormat="1" ht="56.25">
      <c r="A6" s="214">
        <v>3</v>
      </c>
      <c r="B6" s="215">
        <v>1617000410</v>
      </c>
      <c r="C6" s="215" t="s">
        <v>889</v>
      </c>
      <c r="D6" s="220" t="s">
        <v>896</v>
      </c>
      <c r="E6" s="215" t="s">
        <v>897</v>
      </c>
      <c r="F6" s="220" t="s">
        <v>898</v>
      </c>
      <c r="G6" s="215">
        <v>372</v>
      </c>
      <c r="H6" s="216">
        <v>44891</v>
      </c>
      <c r="I6" s="217">
        <v>24870</v>
      </c>
      <c r="J6" s="217">
        <v>29157</v>
      </c>
      <c r="K6" s="217">
        <f>J6/G6</f>
        <v>78.379032258064512</v>
      </c>
      <c r="L6" s="217">
        <f t="shared" si="0"/>
        <v>349884</v>
      </c>
      <c r="M6" s="218">
        <v>35128</v>
      </c>
      <c r="N6" s="219">
        <f>L6+M6+92</f>
        <v>385104</v>
      </c>
      <c r="O6" s="220" t="s">
        <v>2426</v>
      </c>
      <c r="P6" s="16" t="s">
        <v>2427</v>
      </c>
    </row>
    <row r="7" spans="1:16384" s="16" customFormat="1" ht="56.25">
      <c r="A7" s="214">
        <v>4</v>
      </c>
      <c r="B7" s="215">
        <v>1710000410</v>
      </c>
      <c r="C7" s="215" t="s">
        <v>899</v>
      </c>
      <c r="D7" s="215" t="s">
        <v>900</v>
      </c>
      <c r="E7" s="215" t="s">
        <v>380</v>
      </c>
      <c r="F7" s="215" t="s">
        <v>901</v>
      </c>
      <c r="G7" s="215">
        <v>495</v>
      </c>
      <c r="H7" s="216">
        <v>46112</v>
      </c>
      <c r="I7" s="217">
        <v>24555</v>
      </c>
      <c r="J7" s="217">
        <f>טבלה11037[[#This Row],[תשלום חודשי בשקלים לא כולל מע"מ והצמדה]]*1.17</f>
        <v>28729.35</v>
      </c>
      <c r="K7" s="217">
        <f>J7/G7</f>
        <v>58.039090909090909</v>
      </c>
      <c r="L7" s="217">
        <f t="shared" si="0"/>
        <v>344752.19999999995</v>
      </c>
      <c r="M7" s="218">
        <f>2970*1.17*12</f>
        <v>41698.799999999996</v>
      </c>
      <c r="N7" s="219">
        <f>M7+L7+549</f>
        <v>386999.99999999994</v>
      </c>
      <c r="O7" s="220" t="s">
        <v>2428</v>
      </c>
      <c r="P7" s="16" t="s">
        <v>2429</v>
      </c>
    </row>
    <row r="8" spans="1:16384" s="16" customFormat="1" ht="37.5">
      <c r="A8" s="214">
        <v>5</v>
      </c>
      <c r="B8" s="215">
        <v>1731000410</v>
      </c>
      <c r="C8" s="215" t="s">
        <v>902</v>
      </c>
      <c r="D8" s="215" t="s">
        <v>903</v>
      </c>
      <c r="E8" s="220" t="s">
        <v>904</v>
      </c>
      <c r="F8" s="215" t="s">
        <v>905</v>
      </c>
      <c r="G8" s="215">
        <v>130</v>
      </c>
      <c r="H8" s="216">
        <v>44696</v>
      </c>
      <c r="I8" s="217">
        <v>5775</v>
      </c>
      <c r="J8" s="217">
        <f>I8*1.17</f>
        <v>6756.75</v>
      </c>
      <c r="K8" s="217">
        <f>SUM(J8/G8)</f>
        <v>51.975000000000001</v>
      </c>
      <c r="L8" s="217">
        <f t="shared" si="0"/>
        <v>81081</v>
      </c>
      <c r="M8" s="218">
        <f>150*12</f>
        <v>1800</v>
      </c>
      <c r="N8" s="219">
        <f>M8+L8+119</f>
        <v>83000</v>
      </c>
      <c r="O8" s="220" t="s">
        <v>2430</v>
      </c>
      <c r="P8" s="16" t="s">
        <v>2431</v>
      </c>
    </row>
    <row r="9" spans="1:16384" s="16" customFormat="1" ht="37.5">
      <c r="A9" s="214">
        <v>6</v>
      </c>
      <c r="B9" s="215">
        <v>1734000410</v>
      </c>
      <c r="C9" s="215" t="s">
        <v>906</v>
      </c>
      <c r="D9" s="215" t="s">
        <v>907</v>
      </c>
      <c r="E9" s="220" t="s">
        <v>908</v>
      </c>
      <c r="F9" s="215" t="s">
        <v>909</v>
      </c>
      <c r="G9" s="215">
        <v>375</v>
      </c>
      <c r="H9" s="216">
        <v>44742</v>
      </c>
      <c r="I9" s="217">
        <v>34170</v>
      </c>
      <c r="J9" s="217">
        <v>39978</v>
      </c>
      <c r="K9" s="217">
        <f>SUM(J9/G9)</f>
        <v>106.608</v>
      </c>
      <c r="L9" s="217">
        <f t="shared" si="0"/>
        <v>479736</v>
      </c>
      <c r="M9" s="218">
        <f>815*12</f>
        <v>9780</v>
      </c>
      <c r="N9" s="219">
        <f>טבלה11037[[#This Row],[דמי ניהול/ אחזקה כולל מע"מ /ועד בית לשנה]]+טבלה11037[[#This Row],[סה"כ לשנה כולל מע"מ והצמדה]]+352</f>
        <v>489868</v>
      </c>
      <c r="O9" s="220" t="s">
        <v>2432</v>
      </c>
      <c r="P9" s="16" t="s">
        <v>2433</v>
      </c>
    </row>
    <row r="10" spans="1:16384" s="16" customFormat="1" ht="37.5">
      <c r="A10" s="214">
        <v>7</v>
      </c>
      <c r="B10" s="215">
        <v>1749000410</v>
      </c>
      <c r="C10" s="215" t="s">
        <v>344</v>
      </c>
      <c r="D10" s="220" t="s">
        <v>957</v>
      </c>
      <c r="E10" s="215" t="s">
        <v>958</v>
      </c>
      <c r="F10" s="220" t="s">
        <v>959</v>
      </c>
      <c r="G10" s="215">
        <v>208.5</v>
      </c>
      <c r="H10" s="216">
        <v>45648</v>
      </c>
      <c r="I10" s="217">
        <v>14595</v>
      </c>
      <c r="J10" s="217">
        <v>17076</v>
      </c>
      <c r="K10" s="217">
        <f>SUM(J10/G10)</f>
        <v>81.899280575539564</v>
      </c>
      <c r="L10" s="217">
        <f t="shared" si="0"/>
        <v>204912</v>
      </c>
      <c r="M10" s="218">
        <f>SUM(12*208.5)*1.17*12</f>
        <v>35128.079999999994</v>
      </c>
      <c r="N10" s="219">
        <f>L10+טבלה11037[[#This Row],[דמי ניהול/ אחזקה כולל מע"מ /ועד בית לשנה]]+161+799</f>
        <v>241000.08</v>
      </c>
      <c r="O10" s="220" t="s">
        <v>2430</v>
      </c>
      <c r="P10" s="16" t="s">
        <v>2434</v>
      </c>
    </row>
    <row r="11" spans="1:16384" s="16" customFormat="1" ht="37.5">
      <c r="A11" s="214">
        <v>8</v>
      </c>
      <c r="B11" s="215">
        <v>1780000410</v>
      </c>
      <c r="C11" s="215" t="s">
        <v>910</v>
      </c>
      <c r="D11" s="215" t="s">
        <v>911</v>
      </c>
      <c r="E11" s="215" t="s">
        <v>912</v>
      </c>
      <c r="F11" s="220" t="s">
        <v>913</v>
      </c>
      <c r="G11" s="215">
        <v>170</v>
      </c>
      <c r="H11" s="216">
        <v>44865</v>
      </c>
      <c r="I11" s="217">
        <v>6415</v>
      </c>
      <c r="J11" s="217">
        <v>7900</v>
      </c>
      <c r="K11" s="217">
        <f>SUM(J11/G11)</f>
        <v>46.470588235294116</v>
      </c>
      <c r="L11" s="217">
        <f t="shared" si="0"/>
        <v>94800</v>
      </c>
      <c r="M11" s="218">
        <v>0</v>
      </c>
      <c r="N11" s="219">
        <f>L11+140</f>
        <v>94940</v>
      </c>
      <c r="O11" s="220" t="s">
        <v>2435</v>
      </c>
      <c r="P11" s="16" t="s">
        <v>2436</v>
      </c>
    </row>
    <row r="12" spans="1:16384" s="16" customFormat="1" ht="33">
      <c r="A12" s="214">
        <v>9</v>
      </c>
      <c r="B12" s="221">
        <v>1782000410</v>
      </c>
      <c r="C12" s="221" t="s">
        <v>910</v>
      </c>
      <c r="D12" s="221"/>
      <c r="E12" s="221" t="s">
        <v>966</v>
      </c>
      <c r="F12" s="221"/>
      <c r="G12" s="221"/>
      <c r="H12" s="216"/>
      <c r="I12" s="217"/>
      <c r="J12" s="217"/>
      <c r="K12" s="222"/>
      <c r="L12" s="217"/>
      <c r="M12" s="218"/>
      <c r="N12" s="219">
        <v>113000</v>
      </c>
      <c r="O12" s="223" t="s">
        <v>2437</v>
      </c>
    </row>
    <row r="13" spans="1:16384" s="21" customFormat="1" ht="75">
      <c r="A13" s="214">
        <v>10</v>
      </c>
      <c r="B13" s="215">
        <v>1811000410</v>
      </c>
      <c r="C13" s="220" t="s">
        <v>952</v>
      </c>
      <c r="D13" s="215" t="s">
        <v>953</v>
      </c>
      <c r="E13" s="215" t="s">
        <v>954</v>
      </c>
      <c r="F13" s="215" t="s">
        <v>955</v>
      </c>
      <c r="G13" s="215">
        <v>1172</v>
      </c>
      <c r="H13" s="224" t="s">
        <v>956</v>
      </c>
      <c r="I13" s="217">
        <v>63874</v>
      </c>
      <c r="J13" s="222">
        <v>74732.5</v>
      </c>
      <c r="K13" s="217">
        <f>SUM(J13/G13)</f>
        <v>63.764931740614337</v>
      </c>
      <c r="L13" s="217">
        <f>J13*12</f>
        <v>896790</v>
      </c>
      <c r="M13" s="218">
        <v>68796</v>
      </c>
      <c r="N13" s="219">
        <f>+טבלה11037[[#This Row],[סה"כ לשנה כולל מע"מ והצמדה]]+טבלה11037[[#This Row],[דמי ניהול/ אחזקה כולל מע"מ /ועד בית לשנה]]+414</f>
        <v>966000</v>
      </c>
      <c r="O13" s="220" t="s">
        <v>2438</v>
      </c>
      <c r="P13" s="21" t="s">
        <v>2439</v>
      </c>
    </row>
    <row r="14" spans="1:16384" s="16" customFormat="1" ht="75">
      <c r="A14" s="214">
        <v>11</v>
      </c>
      <c r="B14" s="215">
        <v>1813200410</v>
      </c>
      <c r="C14" s="215" t="s">
        <v>914</v>
      </c>
      <c r="D14" s="220" t="s">
        <v>960</v>
      </c>
      <c r="E14" s="215" t="s">
        <v>961</v>
      </c>
      <c r="F14" s="220" t="s">
        <v>962</v>
      </c>
      <c r="G14" s="215"/>
      <c r="H14" s="216">
        <v>45868</v>
      </c>
      <c r="I14" s="217"/>
      <c r="J14" s="217"/>
      <c r="K14" s="222"/>
      <c r="L14" s="225" t="s">
        <v>963</v>
      </c>
      <c r="M14" s="218">
        <v>0</v>
      </c>
      <c r="N14" s="219">
        <f>74520+480</f>
        <v>75000</v>
      </c>
      <c r="O14" s="220" t="s">
        <v>2440</v>
      </c>
      <c r="P14" s="16" t="s">
        <v>2441</v>
      </c>
    </row>
    <row r="15" spans="1:16384" s="16" customFormat="1" ht="18.75">
      <c r="A15" s="214">
        <v>12</v>
      </c>
      <c r="B15" s="215">
        <v>1817200410</v>
      </c>
      <c r="C15" s="215" t="s">
        <v>914</v>
      </c>
      <c r="D15" s="215" t="s">
        <v>915</v>
      </c>
      <c r="E15" s="215" t="s">
        <v>613</v>
      </c>
      <c r="F15" s="215" t="s">
        <v>916</v>
      </c>
      <c r="G15" s="215">
        <v>745</v>
      </c>
      <c r="H15" s="216">
        <v>44804</v>
      </c>
      <c r="I15" s="217">
        <v>22627</v>
      </c>
      <c r="J15" s="217">
        <f>I15*1.17</f>
        <v>26473.59</v>
      </c>
      <c r="K15" s="217">
        <f>SUM(J15/G15)</f>
        <v>35.535020134228191</v>
      </c>
      <c r="L15" s="217">
        <f>J15*12</f>
        <v>317683.08</v>
      </c>
      <c r="M15" s="218">
        <v>0</v>
      </c>
      <c r="N15" s="219">
        <f>טבלה11037[[#This Row],[סה"כ לשנה כולל מע"מ והצמדה]]+834</f>
        <v>318517.08</v>
      </c>
      <c r="O15" s="220" t="s">
        <v>2442</v>
      </c>
      <c r="P15" s="16" t="s">
        <v>2443</v>
      </c>
    </row>
    <row r="16" spans="1:16384" s="16" customFormat="1" ht="18.75">
      <c r="A16" s="214">
        <v>13</v>
      </c>
      <c r="B16" s="215">
        <v>1841000410</v>
      </c>
      <c r="C16" s="215" t="s">
        <v>918</v>
      </c>
      <c r="D16" s="215" t="s">
        <v>919</v>
      </c>
      <c r="E16" s="215" t="s">
        <v>920</v>
      </c>
      <c r="F16" s="215" t="s">
        <v>921</v>
      </c>
      <c r="G16" s="215">
        <v>1230</v>
      </c>
      <c r="H16" s="216">
        <v>45765</v>
      </c>
      <c r="I16" s="217">
        <v>67035</v>
      </c>
      <c r="J16" s="226">
        <v>79079</v>
      </c>
      <c r="K16" s="217">
        <f>SUM(J16/G16)</f>
        <v>64.291869918699192</v>
      </c>
      <c r="L16" s="217">
        <f>J16*12</f>
        <v>948948</v>
      </c>
      <c r="M16" s="218">
        <v>0</v>
      </c>
      <c r="N16" s="219">
        <f>M16+L16+52</f>
        <v>949000</v>
      </c>
      <c r="O16" s="220" t="s">
        <v>2430</v>
      </c>
      <c r="P16" s="16" t="s">
        <v>2444</v>
      </c>
    </row>
    <row r="17" spans="1:16384" s="16" customFormat="1" ht="18.75">
      <c r="A17" s="214">
        <v>14</v>
      </c>
      <c r="B17" s="215">
        <v>1841000410</v>
      </c>
      <c r="C17" s="215" t="s">
        <v>918</v>
      </c>
      <c r="D17" s="215" t="s">
        <v>922</v>
      </c>
      <c r="E17" s="215" t="s">
        <v>2445</v>
      </c>
      <c r="F17" s="215" t="s">
        <v>923</v>
      </c>
      <c r="G17" s="215">
        <v>110</v>
      </c>
      <c r="H17" s="216">
        <v>44377</v>
      </c>
      <c r="I17" s="217">
        <v>6600</v>
      </c>
      <c r="J17" s="217">
        <v>7722</v>
      </c>
      <c r="K17" s="217">
        <f>J17/G17</f>
        <v>70.2</v>
      </c>
      <c r="L17" s="217">
        <f>טבלה11037[[#This Row],[תשלום חודשי בשקלים כולל מע"מ והצמדה]]*12</f>
        <v>92664</v>
      </c>
      <c r="M17" s="227">
        <v>0</v>
      </c>
      <c r="N17" s="219">
        <f>L17+טבלה11037[[#This Row],[דמי ניהול/ אחזקה כולל מע"מ /ועד בית לשנה]]+164</f>
        <v>92828</v>
      </c>
      <c r="O17" s="220" t="s">
        <v>2446</v>
      </c>
      <c r="P17" s="16" t="s">
        <v>2447</v>
      </c>
    </row>
    <row r="18" spans="1:16384" s="16" customFormat="1" ht="18.75">
      <c r="A18" s="214">
        <v>15</v>
      </c>
      <c r="B18" s="215">
        <v>1841000410</v>
      </c>
      <c r="C18" s="215" t="s">
        <v>918</v>
      </c>
      <c r="D18" s="215" t="s">
        <v>924</v>
      </c>
      <c r="E18" s="215" t="s">
        <v>2445</v>
      </c>
      <c r="F18" s="215" t="s">
        <v>923</v>
      </c>
      <c r="G18" s="215">
        <v>120</v>
      </c>
      <c r="H18" s="216">
        <v>44377</v>
      </c>
      <c r="I18" s="217">
        <v>7200</v>
      </c>
      <c r="J18" s="217">
        <v>8424</v>
      </c>
      <c r="K18" s="217">
        <v>60</v>
      </c>
      <c r="L18" s="217">
        <f>טבלה11037[[#This Row],[תשלום חודשי בשקלים כולל מע"מ והצמדה]]*12</f>
        <v>101088</v>
      </c>
      <c r="M18" s="227">
        <v>0</v>
      </c>
      <c r="N18" s="219">
        <f>טבלה11037[[#This Row],[תשלום חודשי בשקלים כולל מע"מ והצמדה]]*12+32</f>
        <v>101120</v>
      </c>
      <c r="O18" s="220" t="s">
        <v>2446</v>
      </c>
      <c r="P18" s="16" t="s">
        <v>2447</v>
      </c>
    </row>
    <row r="19" spans="1:16384" s="16" customFormat="1" ht="18.75">
      <c r="A19" s="214">
        <v>16</v>
      </c>
      <c r="B19" s="215">
        <v>1841000410</v>
      </c>
      <c r="C19" s="215" t="s">
        <v>918</v>
      </c>
      <c r="D19" s="215" t="s">
        <v>925</v>
      </c>
      <c r="E19" s="215" t="s">
        <v>2448</v>
      </c>
      <c r="F19" s="215" t="s">
        <v>926</v>
      </c>
      <c r="G19" s="215">
        <v>160</v>
      </c>
      <c r="H19" s="216">
        <v>44469</v>
      </c>
      <c r="I19" s="217">
        <v>9600</v>
      </c>
      <c r="J19" s="217">
        <v>11232</v>
      </c>
      <c r="K19" s="217">
        <v>60</v>
      </c>
      <c r="L19" s="217">
        <f>טבלה11037[[#This Row],[תשלום חודשי בשקלים כולל מע"מ והצמדה]]*12</f>
        <v>134784</v>
      </c>
      <c r="M19" s="218">
        <v>0</v>
      </c>
      <c r="N19" s="219">
        <f>L19+טבלה11037[[#This Row],[דמי ניהול/ אחזקה כולל מע"מ /ועד בית לשנה]]+256</f>
        <v>135040</v>
      </c>
      <c r="O19" s="220" t="s">
        <v>2446</v>
      </c>
      <c r="P19" s="16" t="s">
        <v>2449</v>
      </c>
    </row>
    <row r="20" spans="1:16384" s="16" customFormat="1" ht="18.75">
      <c r="A20" s="214">
        <v>17</v>
      </c>
      <c r="B20" s="215">
        <v>1841000410</v>
      </c>
      <c r="C20" s="215" t="s">
        <v>918</v>
      </c>
      <c r="D20" s="215" t="s">
        <v>907</v>
      </c>
      <c r="E20" s="215" t="s">
        <v>2450</v>
      </c>
      <c r="F20" s="215" t="s">
        <v>927</v>
      </c>
      <c r="G20" s="215">
        <v>323</v>
      </c>
      <c r="H20" s="216">
        <v>44469</v>
      </c>
      <c r="I20" s="217">
        <v>19380</v>
      </c>
      <c r="J20" s="217">
        <v>22675</v>
      </c>
      <c r="K20" s="217">
        <v>60</v>
      </c>
      <c r="L20" s="217">
        <f>טבלה11037[[#This Row],[תשלום חודשי בשקלים כולל מע"מ והצמדה]]*12</f>
        <v>272100</v>
      </c>
      <c r="M20" s="218">
        <v>0</v>
      </c>
      <c r="N20" s="219">
        <f>M20+L20+344</f>
        <v>272444</v>
      </c>
      <c r="O20" s="220" t="s">
        <v>2451</v>
      </c>
      <c r="P20" s="16" t="s">
        <v>2452</v>
      </c>
    </row>
    <row r="21" spans="1:16384" s="16" customFormat="1" ht="18.75">
      <c r="A21" s="214">
        <v>18</v>
      </c>
      <c r="B21" s="215">
        <v>1841000410</v>
      </c>
      <c r="C21" s="215" t="s">
        <v>918</v>
      </c>
      <c r="D21" s="215" t="s">
        <v>928</v>
      </c>
      <c r="E21" s="215" t="s">
        <v>929</v>
      </c>
      <c r="F21" s="215" t="s">
        <v>930</v>
      </c>
      <c r="G21" s="215">
        <v>80</v>
      </c>
      <c r="H21" s="216">
        <v>44469</v>
      </c>
      <c r="I21" s="217">
        <v>4800</v>
      </c>
      <c r="J21" s="217">
        <f>טבלה11037[[#This Row],[תשלום חודשי בשקלים לא כולל מע"מ והצמדה]]*1.17</f>
        <v>5616</v>
      </c>
      <c r="K21" s="217">
        <v>60</v>
      </c>
      <c r="L21" s="217">
        <f>J21*12</f>
        <v>67392</v>
      </c>
      <c r="M21" s="218">
        <v>0</v>
      </c>
      <c r="N21" s="219">
        <f>L21+M21+353</f>
        <v>67745</v>
      </c>
      <c r="O21" s="220" t="s">
        <v>2451</v>
      </c>
      <c r="P21" s="16" t="s">
        <v>2453</v>
      </c>
    </row>
    <row r="22" spans="1:16384" s="16" customFormat="1" ht="37.5">
      <c r="A22" s="214">
        <v>19</v>
      </c>
      <c r="B22" s="215">
        <v>1841000410</v>
      </c>
      <c r="C22" s="215" t="s">
        <v>918</v>
      </c>
      <c r="D22" s="220" t="s">
        <v>931</v>
      </c>
      <c r="E22" s="215" t="s">
        <v>932</v>
      </c>
      <c r="F22" s="215" t="s">
        <v>933</v>
      </c>
      <c r="G22" s="215">
        <v>200</v>
      </c>
      <c r="H22" s="216" t="s">
        <v>934</v>
      </c>
      <c r="I22" s="217">
        <v>540</v>
      </c>
      <c r="J22" s="217">
        <f>+טבלה11037[[#This Row],[תשלום חודשי בשקלים לא כולל מע"מ והצמדה]]*1.17</f>
        <v>631.79999999999995</v>
      </c>
      <c r="K22" s="217">
        <f>J22/G22</f>
        <v>3.1589999999999998</v>
      </c>
      <c r="L22" s="217">
        <f>J22*12</f>
        <v>7581.5999999999995</v>
      </c>
      <c r="M22" s="218" t="s">
        <v>917</v>
      </c>
      <c r="N22" s="219">
        <f>L22+416</f>
        <v>7997.5999999999995</v>
      </c>
      <c r="O22" s="220" t="s">
        <v>2430</v>
      </c>
      <c r="P22" s="16" t="s">
        <v>2454</v>
      </c>
    </row>
    <row r="23" spans="1:16384" s="16" customFormat="1" ht="37.5">
      <c r="A23" s="214">
        <v>20</v>
      </c>
      <c r="B23" s="215">
        <v>1841000410</v>
      </c>
      <c r="C23" s="215" t="s">
        <v>935</v>
      </c>
      <c r="D23" s="215" t="s">
        <v>936</v>
      </c>
      <c r="E23" s="220" t="s">
        <v>937</v>
      </c>
      <c r="F23" s="215" t="s">
        <v>938</v>
      </c>
      <c r="G23" s="215">
        <v>336</v>
      </c>
      <c r="H23" s="216">
        <v>44407</v>
      </c>
      <c r="I23" s="217">
        <v>10210</v>
      </c>
      <c r="J23" s="217">
        <v>13026</v>
      </c>
      <c r="K23" s="217">
        <f>SUM(J23/G23)</f>
        <v>38.767857142857146</v>
      </c>
      <c r="L23" s="217">
        <f>J23*12</f>
        <v>156312</v>
      </c>
      <c r="M23" s="218" t="s">
        <v>917</v>
      </c>
      <c r="N23" s="219">
        <f>L23+688</f>
        <v>157000</v>
      </c>
      <c r="O23" s="220" t="s">
        <v>2430</v>
      </c>
      <c r="P23" s="16" t="s">
        <v>2455</v>
      </c>
    </row>
    <row r="24" spans="1:16384" s="16" customFormat="1" ht="37.5">
      <c r="A24" s="214">
        <v>21</v>
      </c>
      <c r="B24" s="215">
        <v>1841000410</v>
      </c>
      <c r="C24" s="215" t="s">
        <v>918</v>
      </c>
      <c r="D24" s="220" t="s">
        <v>939</v>
      </c>
      <c r="E24" s="215" t="s">
        <v>940</v>
      </c>
      <c r="F24" s="215" t="s">
        <v>941</v>
      </c>
      <c r="G24" s="215">
        <v>100</v>
      </c>
      <c r="H24" s="216">
        <v>44561</v>
      </c>
      <c r="I24" s="217">
        <v>5000</v>
      </c>
      <c r="J24" s="217">
        <v>5000</v>
      </c>
      <c r="K24" s="217">
        <f>J24/G24</f>
        <v>50</v>
      </c>
      <c r="L24" s="217">
        <f>J24*12</f>
        <v>60000</v>
      </c>
      <c r="M24" s="218">
        <v>0</v>
      </c>
      <c r="N24" s="219">
        <f>טבלה11037[[#This Row],[סה"כ לשנה כולל מע"מ והצמדה]]</f>
        <v>60000</v>
      </c>
      <c r="O24" s="220" t="s">
        <v>2430</v>
      </c>
      <c r="P24" s="16" t="s">
        <v>2456</v>
      </c>
    </row>
    <row r="25" spans="1:16384" s="16" customFormat="1" ht="56.25">
      <c r="A25" s="214">
        <v>22</v>
      </c>
      <c r="B25" s="215">
        <v>1841000410</v>
      </c>
      <c r="C25" s="215" t="s">
        <v>918</v>
      </c>
      <c r="D25" s="220" t="s">
        <v>942</v>
      </c>
      <c r="E25" s="215" t="s">
        <v>943</v>
      </c>
      <c r="F25" s="215" t="s">
        <v>944</v>
      </c>
      <c r="G25" s="215">
        <v>100</v>
      </c>
      <c r="H25" s="216">
        <v>44561</v>
      </c>
      <c r="I25" s="217">
        <v>4500</v>
      </c>
      <c r="J25" s="217">
        <v>4500</v>
      </c>
      <c r="K25" s="217">
        <f>J25/G25</f>
        <v>45</v>
      </c>
      <c r="L25" s="217">
        <f>טבלה11037[[#This Row],[תשלום חודשי בשקלים לא כולל מע"מ והצמדה]]*12</f>
        <v>54000</v>
      </c>
      <c r="M25" s="218">
        <v>0</v>
      </c>
      <c r="N25" s="219">
        <v>54000</v>
      </c>
      <c r="O25" s="220" t="s">
        <v>2430</v>
      </c>
      <c r="P25" s="16" t="s">
        <v>2457</v>
      </c>
    </row>
    <row r="26" spans="1:16384" s="16" customFormat="1" ht="37.5">
      <c r="A26" s="214">
        <v>24</v>
      </c>
      <c r="B26" s="215" t="s">
        <v>945</v>
      </c>
      <c r="C26" s="215" t="s">
        <v>949</v>
      </c>
      <c r="D26" s="215" t="s">
        <v>911</v>
      </c>
      <c r="E26" s="215" t="s">
        <v>950</v>
      </c>
      <c r="F26" s="220" t="s">
        <v>951</v>
      </c>
      <c r="G26" s="215">
        <v>17</v>
      </c>
      <c r="H26" s="216">
        <v>44620</v>
      </c>
      <c r="I26" s="217">
        <v>0</v>
      </c>
      <c r="J26" s="217">
        <v>0</v>
      </c>
      <c r="K26" s="217">
        <v>0</v>
      </c>
      <c r="L26" s="217">
        <v>0</v>
      </c>
      <c r="M26" s="218">
        <v>0</v>
      </c>
      <c r="N26" s="219">
        <v>0</v>
      </c>
      <c r="O26" s="220" t="s">
        <v>2430</v>
      </c>
      <c r="P26" s="16" t="s">
        <v>2458</v>
      </c>
    </row>
    <row r="27" spans="1:16384" s="16" customFormat="1" ht="37.5">
      <c r="A27" s="214">
        <v>25</v>
      </c>
      <c r="B27" s="215" t="s">
        <v>945</v>
      </c>
      <c r="C27" s="215" t="s">
        <v>918</v>
      </c>
      <c r="D27" s="220" t="s">
        <v>946</v>
      </c>
      <c r="E27" s="215" t="s">
        <v>947</v>
      </c>
      <c r="F27" s="215" t="s">
        <v>948</v>
      </c>
      <c r="G27" s="215">
        <v>172</v>
      </c>
      <c r="H27" s="216">
        <v>44439</v>
      </c>
      <c r="I27" s="217">
        <v>8600</v>
      </c>
      <c r="J27" s="217">
        <v>8600</v>
      </c>
      <c r="K27" s="217">
        <v>50</v>
      </c>
      <c r="L27" s="217">
        <f>+טבלה11037[[#This Row],[תשלום חודשי בשקלים כולל מע"מ והצמדה]]*3</f>
        <v>25800</v>
      </c>
      <c r="M27" s="218">
        <v>0</v>
      </c>
      <c r="N27" s="219">
        <f>+טבלה11037[[#This Row],[דמי ניהול/ אחזקה כולל מע"מ /ועד בית לשנה]]+טבלה11037[[#This Row],[סה"כ לשנה כולל מע"מ והצמדה]]</f>
        <v>25800</v>
      </c>
      <c r="O27" s="220" t="s">
        <v>2459</v>
      </c>
      <c r="P27" s="16" t="s">
        <v>2454</v>
      </c>
    </row>
    <row r="28" spans="1:16384" s="16" customFormat="1" ht="19.5" thickBot="1">
      <c r="A28" s="214"/>
      <c r="B28" s="215" t="s">
        <v>2460</v>
      </c>
      <c r="C28" s="215" t="s">
        <v>918</v>
      </c>
      <c r="D28" s="220" t="s">
        <v>2461</v>
      </c>
      <c r="E28" s="215" t="s">
        <v>2462</v>
      </c>
      <c r="F28" s="215" t="s">
        <v>2466</v>
      </c>
      <c r="G28" s="215">
        <v>850</v>
      </c>
      <c r="H28" s="216">
        <v>45078</v>
      </c>
      <c r="I28" s="217">
        <v>51000</v>
      </c>
      <c r="J28" s="217">
        <v>51000</v>
      </c>
      <c r="K28" s="217">
        <v>60</v>
      </c>
      <c r="L28" s="217">
        <v>612000</v>
      </c>
      <c r="M28" s="218">
        <v>1000</v>
      </c>
      <c r="N28" s="219">
        <v>630000</v>
      </c>
      <c r="O28" s="220" t="s">
        <v>2463</v>
      </c>
    </row>
    <row r="29" spans="1:16384" s="213" customFormat="1" ht="20.25">
      <c r="A29" s="145" t="s">
        <v>4</v>
      </c>
      <c r="B29" s="161"/>
      <c r="C29" s="161"/>
      <c r="D29" s="161" t="s">
        <v>888</v>
      </c>
      <c r="E29" s="161"/>
      <c r="F29" s="161"/>
      <c r="G29" s="161"/>
      <c r="H29" s="161"/>
      <c r="I29" s="161"/>
      <c r="J29" s="161"/>
      <c r="K29" s="161"/>
      <c r="L29" s="161">
        <f>SUBTOTAL(109,M1:M27)</f>
        <v>195138.87999999998</v>
      </c>
      <c r="M29" s="161">
        <f>SUM(M4:M27)</f>
        <v>195138.87999999998</v>
      </c>
      <c r="N29" s="228">
        <f>SUBTOTAL(109,N4:N28)</f>
        <v>6103823.7599999998</v>
      </c>
      <c r="O29" s="207"/>
      <c r="P29" s="46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212"/>
      <c r="AE29" s="46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212"/>
      <c r="AT29" s="46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212"/>
      <c r="BI29" s="46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212"/>
      <c r="BX29" s="46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212"/>
      <c r="CM29" s="46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212"/>
      <c r="DB29" s="46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212"/>
      <c r="DQ29" s="46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212"/>
      <c r="EF29" s="46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212"/>
      <c r="EU29" s="46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212"/>
      <c r="FJ29" s="46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212"/>
      <c r="FY29" s="46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212"/>
      <c r="GN29" s="46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212"/>
      <c r="HC29" s="46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212"/>
      <c r="HR29" s="46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212"/>
      <c r="IG29" s="46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  <c r="IU29" s="212"/>
      <c r="IV29" s="46"/>
      <c r="IW29" s="53"/>
      <c r="IX29" s="53"/>
      <c r="IY29" s="53"/>
      <c r="IZ29" s="53"/>
      <c r="JA29" s="53"/>
      <c r="JB29" s="53"/>
      <c r="JC29" s="53"/>
      <c r="JD29" s="53"/>
      <c r="JE29" s="53"/>
      <c r="JF29" s="53"/>
      <c r="JG29" s="53"/>
      <c r="JH29" s="53"/>
      <c r="JI29" s="53"/>
      <c r="JJ29" s="212"/>
      <c r="JK29" s="46"/>
      <c r="JL29" s="53"/>
      <c r="JM29" s="53"/>
      <c r="JN29" s="53"/>
      <c r="JO29" s="53"/>
      <c r="JP29" s="53"/>
      <c r="JQ29" s="53"/>
      <c r="JR29" s="53"/>
      <c r="JS29" s="53"/>
      <c r="JT29" s="53"/>
      <c r="JU29" s="53"/>
      <c r="JV29" s="53"/>
      <c r="JW29" s="53"/>
      <c r="JX29" s="53"/>
      <c r="JY29" s="212"/>
      <c r="JZ29" s="46"/>
      <c r="KA29" s="53"/>
      <c r="KB29" s="53"/>
      <c r="KC29" s="53"/>
      <c r="KD29" s="53"/>
      <c r="KE29" s="53"/>
      <c r="KF29" s="53"/>
      <c r="KG29" s="53"/>
      <c r="KH29" s="53"/>
      <c r="KI29" s="53"/>
      <c r="KJ29" s="53"/>
      <c r="KK29" s="53"/>
      <c r="KL29" s="53"/>
      <c r="KM29" s="53"/>
      <c r="KN29" s="212"/>
      <c r="KO29" s="46"/>
      <c r="KP29" s="53"/>
      <c r="KQ29" s="53"/>
      <c r="KR29" s="53"/>
      <c r="KS29" s="53"/>
      <c r="KT29" s="53"/>
      <c r="KU29" s="53"/>
      <c r="KV29" s="53"/>
      <c r="KW29" s="53"/>
      <c r="KX29" s="53"/>
      <c r="KY29" s="53"/>
      <c r="KZ29" s="53"/>
      <c r="LA29" s="53"/>
      <c r="LB29" s="53"/>
      <c r="LC29" s="212"/>
      <c r="LD29" s="46"/>
      <c r="LE29" s="53"/>
      <c r="LF29" s="53"/>
      <c r="LG29" s="53"/>
      <c r="LH29" s="53"/>
      <c r="LI29" s="53"/>
      <c r="LJ29" s="53"/>
      <c r="LK29" s="53"/>
      <c r="LL29" s="53"/>
      <c r="LM29" s="53"/>
      <c r="LN29" s="53"/>
      <c r="LO29" s="53"/>
      <c r="LP29" s="53"/>
      <c r="LQ29" s="53"/>
      <c r="LR29" s="212"/>
      <c r="LS29" s="46"/>
      <c r="LT29" s="53"/>
      <c r="LU29" s="53"/>
      <c r="LV29" s="53"/>
      <c r="LW29" s="53"/>
      <c r="LX29" s="53"/>
      <c r="LY29" s="53"/>
      <c r="LZ29" s="53"/>
      <c r="MA29" s="53"/>
      <c r="MB29" s="53"/>
      <c r="MC29" s="53"/>
      <c r="MD29" s="53"/>
      <c r="ME29" s="53"/>
      <c r="MF29" s="53"/>
      <c r="MG29" s="212"/>
      <c r="MH29" s="46"/>
      <c r="MI29" s="53"/>
      <c r="MJ29" s="53"/>
      <c r="MK29" s="53"/>
      <c r="ML29" s="53"/>
      <c r="MM29" s="53"/>
      <c r="MN29" s="53"/>
      <c r="MO29" s="53"/>
      <c r="MP29" s="53"/>
      <c r="MQ29" s="53"/>
      <c r="MR29" s="53"/>
      <c r="MS29" s="53"/>
      <c r="MT29" s="53"/>
      <c r="MU29" s="53"/>
      <c r="MV29" s="212"/>
      <c r="MW29" s="46"/>
      <c r="MX29" s="53"/>
      <c r="MY29" s="53"/>
      <c r="MZ29" s="53"/>
      <c r="NA29" s="53"/>
      <c r="NB29" s="53"/>
      <c r="NC29" s="53"/>
      <c r="ND29" s="53"/>
      <c r="NE29" s="53"/>
      <c r="NF29" s="53"/>
      <c r="NG29" s="53"/>
      <c r="NH29" s="53"/>
      <c r="NI29" s="53"/>
      <c r="NJ29" s="53"/>
      <c r="NK29" s="212"/>
      <c r="NL29" s="46"/>
      <c r="NM29" s="53"/>
      <c r="NN29" s="53"/>
      <c r="NO29" s="53"/>
      <c r="NP29" s="53"/>
      <c r="NQ29" s="53"/>
      <c r="NR29" s="53"/>
      <c r="NS29" s="53"/>
      <c r="NT29" s="53"/>
      <c r="NU29" s="53"/>
      <c r="NV29" s="53"/>
      <c r="NW29" s="53"/>
      <c r="NX29" s="53"/>
      <c r="NY29" s="53"/>
      <c r="NZ29" s="212"/>
      <c r="OA29" s="46"/>
      <c r="OB29" s="53"/>
      <c r="OC29" s="53"/>
      <c r="OD29" s="53"/>
      <c r="OE29" s="53"/>
      <c r="OF29" s="53"/>
      <c r="OG29" s="53"/>
      <c r="OH29" s="53"/>
      <c r="OI29" s="53"/>
      <c r="OJ29" s="53"/>
      <c r="OK29" s="53"/>
      <c r="OL29" s="53"/>
      <c r="OM29" s="53"/>
      <c r="ON29" s="53"/>
      <c r="OO29" s="212"/>
      <c r="OP29" s="46"/>
      <c r="OQ29" s="53"/>
      <c r="OR29" s="53"/>
      <c r="OS29" s="53"/>
      <c r="OT29" s="53"/>
      <c r="OU29" s="53"/>
      <c r="OV29" s="53"/>
      <c r="OW29" s="53"/>
      <c r="OX29" s="53"/>
      <c r="OY29" s="53"/>
      <c r="OZ29" s="53"/>
      <c r="PA29" s="53"/>
      <c r="PB29" s="53"/>
      <c r="PC29" s="53"/>
      <c r="PD29" s="212"/>
      <c r="PE29" s="46"/>
      <c r="PF29" s="53"/>
      <c r="PG29" s="53"/>
      <c r="PH29" s="53"/>
      <c r="PI29" s="53"/>
      <c r="PJ29" s="53"/>
      <c r="PK29" s="53"/>
      <c r="PL29" s="53"/>
      <c r="PM29" s="53"/>
      <c r="PN29" s="53"/>
      <c r="PO29" s="53"/>
      <c r="PP29" s="53"/>
      <c r="PQ29" s="53"/>
      <c r="PR29" s="53"/>
      <c r="PS29" s="212"/>
      <c r="PT29" s="46"/>
      <c r="PU29" s="53"/>
      <c r="PV29" s="53"/>
      <c r="PW29" s="53"/>
      <c r="PX29" s="53"/>
      <c r="PY29" s="53"/>
      <c r="PZ29" s="53"/>
      <c r="QA29" s="53"/>
      <c r="QB29" s="53"/>
      <c r="QC29" s="53"/>
      <c r="QD29" s="53"/>
      <c r="QE29" s="53"/>
      <c r="QF29" s="53"/>
      <c r="QG29" s="53"/>
      <c r="QH29" s="212"/>
      <c r="QI29" s="46"/>
      <c r="QJ29" s="53"/>
      <c r="QK29" s="53"/>
      <c r="QL29" s="53"/>
      <c r="QM29" s="53"/>
      <c r="QN29" s="53"/>
      <c r="QO29" s="53"/>
      <c r="QP29" s="53"/>
      <c r="QQ29" s="53"/>
      <c r="QR29" s="53"/>
      <c r="QS29" s="53"/>
      <c r="QT29" s="53"/>
      <c r="QU29" s="53"/>
      <c r="QV29" s="53"/>
      <c r="QW29" s="212"/>
      <c r="QX29" s="46"/>
      <c r="QY29" s="53"/>
      <c r="QZ29" s="53"/>
      <c r="RA29" s="53"/>
      <c r="RB29" s="53"/>
      <c r="RC29" s="53"/>
      <c r="RD29" s="53"/>
      <c r="RE29" s="53"/>
      <c r="RF29" s="53"/>
      <c r="RG29" s="53"/>
      <c r="RH29" s="53"/>
      <c r="RI29" s="53"/>
      <c r="RJ29" s="53"/>
      <c r="RK29" s="53"/>
      <c r="RL29" s="212"/>
      <c r="RM29" s="46"/>
      <c r="RN29" s="53"/>
      <c r="RO29" s="53"/>
      <c r="RP29" s="53"/>
      <c r="RQ29" s="53"/>
      <c r="RR29" s="53"/>
      <c r="RS29" s="53"/>
      <c r="RT29" s="53"/>
      <c r="RU29" s="53"/>
      <c r="RV29" s="53"/>
      <c r="RW29" s="53"/>
      <c r="RX29" s="53"/>
      <c r="RY29" s="53"/>
      <c r="RZ29" s="53"/>
      <c r="SA29" s="212"/>
      <c r="SB29" s="46"/>
      <c r="SC29" s="53"/>
      <c r="SD29" s="53"/>
      <c r="SE29" s="53"/>
      <c r="SF29" s="53"/>
      <c r="SG29" s="53"/>
      <c r="SH29" s="53"/>
      <c r="SI29" s="53"/>
      <c r="SJ29" s="53"/>
      <c r="SK29" s="53"/>
      <c r="SL29" s="53"/>
      <c r="SM29" s="53"/>
      <c r="SN29" s="53"/>
      <c r="SO29" s="53"/>
      <c r="SP29" s="212"/>
      <c r="SQ29" s="46"/>
      <c r="SR29" s="53"/>
      <c r="SS29" s="53"/>
      <c r="ST29" s="53"/>
      <c r="SU29" s="53"/>
      <c r="SV29" s="53"/>
      <c r="SW29" s="53"/>
      <c r="SX29" s="53"/>
      <c r="SY29" s="53"/>
      <c r="SZ29" s="53"/>
      <c r="TA29" s="53"/>
      <c r="TB29" s="53"/>
      <c r="TC29" s="53"/>
      <c r="TD29" s="53"/>
      <c r="TE29" s="212"/>
      <c r="TF29" s="46"/>
      <c r="TG29" s="53"/>
      <c r="TH29" s="53"/>
      <c r="TI29" s="53"/>
      <c r="TJ29" s="53"/>
      <c r="TK29" s="53"/>
      <c r="TL29" s="53"/>
      <c r="TM29" s="53"/>
      <c r="TN29" s="53"/>
      <c r="TO29" s="53"/>
      <c r="TP29" s="53"/>
      <c r="TQ29" s="53"/>
      <c r="TR29" s="53"/>
      <c r="TS29" s="53"/>
      <c r="TT29" s="212"/>
      <c r="TU29" s="46"/>
      <c r="TV29" s="53"/>
      <c r="TW29" s="53"/>
      <c r="TX29" s="53"/>
      <c r="TY29" s="53"/>
      <c r="TZ29" s="53"/>
      <c r="UA29" s="53"/>
      <c r="UB29" s="53"/>
      <c r="UC29" s="53"/>
      <c r="UD29" s="53"/>
      <c r="UE29" s="53"/>
      <c r="UF29" s="53"/>
      <c r="UG29" s="53"/>
      <c r="UH29" s="53"/>
      <c r="UI29" s="212"/>
      <c r="UJ29" s="46"/>
      <c r="UK29" s="53"/>
      <c r="UL29" s="53"/>
      <c r="UM29" s="53"/>
      <c r="UN29" s="53"/>
      <c r="UO29" s="53"/>
      <c r="UP29" s="53"/>
      <c r="UQ29" s="53"/>
      <c r="UR29" s="53"/>
      <c r="US29" s="53"/>
      <c r="UT29" s="53"/>
      <c r="UU29" s="53"/>
      <c r="UV29" s="53"/>
      <c r="UW29" s="53"/>
      <c r="UX29" s="212"/>
      <c r="UY29" s="46"/>
      <c r="UZ29" s="53"/>
      <c r="VA29" s="53"/>
      <c r="VB29" s="53"/>
      <c r="VC29" s="53"/>
      <c r="VD29" s="53"/>
      <c r="VE29" s="53"/>
      <c r="VF29" s="53"/>
      <c r="VG29" s="53"/>
      <c r="VH29" s="53"/>
      <c r="VI29" s="53"/>
      <c r="VJ29" s="53"/>
      <c r="VK29" s="53"/>
      <c r="VL29" s="53"/>
      <c r="VM29" s="212"/>
      <c r="VN29" s="46"/>
      <c r="VO29" s="53"/>
      <c r="VP29" s="53"/>
      <c r="VQ29" s="53"/>
      <c r="VR29" s="53"/>
      <c r="VS29" s="53"/>
      <c r="VT29" s="53"/>
      <c r="VU29" s="53"/>
      <c r="VV29" s="53"/>
      <c r="VW29" s="53"/>
      <c r="VX29" s="53"/>
      <c r="VY29" s="53"/>
      <c r="VZ29" s="53"/>
      <c r="WA29" s="53"/>
      <c r="WB29" s="212"/>
      <c r="WC29" s="46"/>
      <c r="WD29" s="53"/>
      <c r="WE29" s="53"/>
      <c r="WF29" s="53"/>
      <c r="WG29" s="53"/>
      <c r="WH29" s="53"/>
      <c r="WI29" s="53"/>
      <c r="WJ29" s="53"/>
      <c r="WK29" s="53"/>
      <c r="WL29" s="53"/>
      <c r="WM29" s="53"/>
      <c r="WN29" s="53"/>
      <c r="WO29" s="53"/>
      <c r="WP29" s="53"/>
      <c r="WQ29" s="212"/>
      <c r="WR29" s="46"/>
      <c r="WS29" s="53"/>
      <c r="WT29" s="53"/>
      <c r="WU29" s="53"/>
      <c r="WV29" s="53"/>
      <c r="WW29" s="53"/>
      <c r="WX29" s="53"/>
      <c r="WY29" s="53"/>
      <c r="WZ29" s="53"/>
      <c r="XA29" s="53"/>
      <c r="XB29" s="53"/>
      <c r="XC29" s="53"/>
      <c r="XD29" s="53"/>
      <c r="XE29" s="53"/>
      <c r="XF29" s="212"/>
      <c r="XG29" s="46"/>
      <c r="XH29" s="53"/>
      <c r="XI29" s="53"/>
      <c r="XJ29" s="53"/>
      <c r="XK29" s="53"/>
      <c r="XL29" s="53"/>
      <c r="XM29" s="53"/>
      <c r="XN29" s="53"/>
      <c r="XO29" s="53"/>
      <c r="XP29" s="53"/>
      <c r="XQ29" s="53"/>
      <c r="XR29" s="53"/>
      <c r="XS29" s="53"/>
      <c r="XT29" s="53"/>
      <c r="XU29" s="212"/>
      <c r="XV29" s="46"/>
      <c r="XW29" s="53"/>
      <c r="XX29" s="53"/>
      <c r="XY29" s="53"/>
      <c r="XZ29" s="53"/>
      <c r="YA29" s="53"/>
      <c r="YB29" s="53"/>
      <c r="YC29" s="53"/>
      <c r="YD29" s="53"/>
      <c r="YE29" s="53"/>
      <c r="YF29" s="53"/>
      <c r="YG29" s="53"/>
      <c r="YH29" s="53"/>
      <c r="YI29" s="53"/>
      <c r="YJ29" s="212"/>
      <c r="YK29" s="46"/>
      <c r="YL29" s="53"/>
      <c r="YM29" s="53"/>
      <c r="YN29" s="53"/>
      <c r="YO29" s="53"/>
      <c r="YP29" s="53"/>
      <c r="YQ29" s="53"/>
      <c r="YR29" s="53"/>
      <c r="YS29" s="53"/>
      <c r="YT29" s="53"/>
      <c r="YU29" s="53"/>
      <c r="YV29" s="53"/>
      <c r="YW29" s="53"/>
      <c r="YX29" s="53"/>
      <c r="YY29" s="212"/>
      <c r="YZ29" s="46"/>
      <c r="ZA29" s="53"/>
      <c r="ZB29" s="53"/>
      <c r="ZC29" s="53"/>
      <c r="ZD29" s="53"/>
      <c r="ZE29" s="53"/>
      <c r="ZF29" s="53"/>
      <c r="ZG29" s="53"/>
      <c r="ZH29" s="53"/>
      <c r="ZI29" s="53"/>
      <c r="ZJ29" s="53"/>
      <c r="ZK29" s="53"/>
      <c r="ZL29" s="53"/>
      <c r="ZM29" s="53"/>
      <c r="ZN29" s="212"/>
      <c r="ZO29" s="46"/>
      <c r="ZP29" s="53"/>
      <c r="ZQ29" s="53"/>
      <c r="ZR29" s="53"/>
      <c r="ZS29" s="53"/>
      <c r="ZT29" s="53"/>
      <c r="ZU29" s="53"/>
      <c r="ZV29" s="53"/>
      <c r="ZW29" s="53"/>
      <c r="ZX29" s="53"/>
      <c r="ZY29" s="53"/>
      <c r="ZZ29" s="53"/>
      <c r="AAA29" s="53"/>
      <c r="AAB29" s="53"/>
      <c r="AAC29" s="212"/>
      <c r="AAD29" s="46"/>
      <c r="AAE29" s="53"/>
      <c r="AAF29" s="53"/>
      <c r="AAG29" s="53"/>
      <c r="AAH29" s="53"/>
      <c r="AAI29" s="53"/>
      <c r="AAJ29" s="53"/>
      <c r="AAK29" s="53"/>
      <c r="AAL29" s="53"/>
      <c r="AAM29" s="53"/>
      <c r="AAN29" s="53"/>
      <c r="AAO29" s="53"/>
      <c r="AAP29" s="53"/>
      <c r="AAQ29" s="53"/>
      <c r="AAR29" s="212"/>
      <c r="AAS29" s="46"/>
      <c r="AAT29" s="53"/>
      <c r="AAU29" s="53"/>
      <c r="AAV29" s="53"/>
      <c r="AAW29" s="53"/>
      <c r="AAX29" s="53"/>
      <c r="AAY29" s="53"/>
      <c r="AAZ29" s="53"/>
      <c r="ABA29" s="53"/>
      <c r="ABB29" s="53"/>
      <c r="ABC29" s="53"/>
      <c r="ABD29" s="53"/>
      <c r="ABE29" s="53"/>
      <c r="ABF29" s="53"/>
      <c r="ABG29" s="212"/>
      <c r="ABH29" s="46"/>
      <c r="ABI29" s="53"/>
      <c r="ABJ29" s="53"/>
      <c r="ABK29" s="53"/>
      <c r="ABL29" s="53"/>
      <c r="ABM29" s="53"/>
      <c r="ABN29" s="53"/>
      <c r="ABO29" s="53"/>
      <c r="ABP29" s="53"/>
      <c r="ABQ29" s="53"/>
      <c r="ABR29" s="53"/>
      <c r="ABS29" s="53"/>
      <c r="ABT29" s="53"/>
      <c r="ABU29" s="53"/>
      <c r="ABV29" s="212"/>
      <c r="ABW29" s="46"/>
      <c r="ABX29" s="53"/>
      <c r="ABY29" s="53"/>
      <c r="ABZ29" s="53"/>
      <c r="ACA29" s="53"/>
      <c r="ACB29" s="53"/>
      <c r="ACC29" s="53"/>
      <c r="ACD29" s="53"/>
      <c r="ACE29" s="53"/>
      <c r="ACF29" s="53"/>
      <c r="ACG29" s="53"/>
      <c r="ACH29" s="53"/>
      <c r="ACI29" s="53"/>
      <c r="ACJ29" s="53"/>
      <c r="ACK29" s="212"/>
      <c r="ACL29" s="46"/>
      <c r="ACM29" s="53"/>
      <c r="ACN29" s="53"/>
      <c r="ACO29" s="53"/>
      <c r="ACP29" s="53"/>
      <c r="ACQ29" s="53"/>
      <c r="ACR29" s="53"/>
      <c r="ACS29" s="53"/>
      <c r="ACT29" s="53"/>
      <c r="ACU29" s="53"/>
      <c r="ACV29" s="53"/>
      <c r="ACW29" s="53"/>
      <c r="ACX29" s="53"/>
      <c r="ACY29" s="53"/>
      <c r="ACZ29" s="212"/>
      <c r="ADA29" s="46"/>
      <c r="ADB29" s="53"/>
      <c r="ADC29" s="53"/>
      <c r="ADD29" s="53"/>
      <c r="ADE29" s="53"/>
      <c r="ADF29" s="53"/>
      <c r="ADG29" s="53"/>
      <c r="ADH29" s="53"/>
      <c r="ADI29" s="53"/>
      <c r="ADJ29" s="53"/>
      <c r="ADK29" s="53"/>
      <c r="ADL29" s="53"/>
      <c r="ADM29" s="53"/>
      <c r="ADN29" s="53"/>
      <c r="ADO29" s="212"/>
      <c r="ADP29" s="46"/>
      <c r="ADQ29" s="53"/>
      <c r="ADR29" s="53"/>
      <c r="ADS29" s="53"/>
      <c r="ADT29" s="53"/>
      <c r="ADU29" s="53"/>
      <c r="ADV29" s="53"/>
      <c r="ADW29" s="53"/>
      <c r="ADX29" s="53"/>
      <c r="ADY29" s="53"/>
      <c r="ADZ29" s="53"/>
      <c r="AEA29" s="53"/>
      <c r="AEB29" s="53"/>
      <c r="AEC29" s="53"/>
      <c r="AED29" s="212"/>
      <c r="AEE29" s="46"/>
      <c r="AEF29" s="53"/>
      <c r="AEG29" s="53"/>
      <c r="AEH29" s="53"/>
      <c r="AEI29" s="53"/>
      <c r="AEJ29" s="53"/>
      <c r="AEK29" s="53"/>
      <c r="AEL29" s="53"/>
      <c r="AEM29" s="53"/>
      <c r="AEN29" s="53"/>
      <c r="AEO29" s="53"/>
      <c r="AEP29" s="53"/>
      <c r="AEQ29" s="53"/>
      <c r="AER29" s="53"/>
      <c r="AES29" s="212"/>
      <c r="AET29" s="46"/>
      <c r="AEU29" s="53"/>
      <c r="AEV29" s="53"/>
      <c r="AEW29" s="53"/>
      <c r="AEX29" s="53"/>
      <c r="AEY29" s="53"/>
      <c r="AEZ29" s="53"/>
      <c r="AFA29" s="53"/>
      <c r="AFB29" s="53"/>
      <c r="AFC29" s="53"/>
      <c r="AFD29" s="53"/>
      <c r="AFE29" s="53"/>
      <c r="AFF29" s="53"/>
      <c r="AFG29" s="53"/>
      <c r="AFH29" s="212"/>
      <c r="AFI29" s="46"/>
      <c r="AFJ29" s="53"/>
      <c r="AFK29" s="53"/>
      <c r="AFL29" s="53"/>
      <c r="AFM29" s="53"/>
      <c r="AFN29" s="53"/>
      <c r="AFO29" s="53"/>
      <c r="AFP29" s="53"/>
      <c r="AFQ29" s="53"/>
      <c r="AFR29" s="53"/>
      <c r="AFS29" s="53"/>
      <c r="AFT29" s="53"/>
      <c r="AFU29" s="53"/>
      <c r="AFV29" s="53"/>
      <c r="AFW29" s="212"/>
      <c r="AFX29" s="46"/>
      <c r="AFY29" s="53"/>
      <c r="AFZ29" s="53"/>
      <c r="AGA29" s="53"/>
      <c r="AGB29" s="53"/>
      <c r="AGC29" s="53"/>
      <c r="AGD29" s="53"/>
      <c r="AGE29" s="53"/>
      <c r="AGF29" s="53"/>
      <c r="AGG29" s="53"/>
      <c r="AGH29" s="53"/>
      <c r="AGI29" s="53"/>
      <c r="AGJ29" s="53"/>
      <c r="AGK29" s="53"/>
      <c r="AGL29" s="212"/>
      <c r="AGM29" s="46"/>
      <c r="AGN29" s="53"/>
      <c r="AGO29" s="53"/>
      <c r="AGP29" s="53"/>
      <c r="AGQ29" s="53"/>
      <c r="AGR29" s="53"/>
      <c r="AGS29" s="53"/>
      <c r="AGT29" s="53"/>
      <c r="AGU29" s="53"/>
      <c r="AGV29" s="53"/>
      <c r="AGW29" s="53"/>
      <c r="AGX29" s="53"/>
      <c r="AGY29" s="53"/>
      <c r="AGZ29" s="53"/>
      <c r="AHA29" s="212"/>
      <c r="AHB29" s="46"/>
      <c r="AHC29" s="53"/>
      <c r="AHD29" s="53"/>
      <c r="AHE29" s="53"/>
      <c r="AHF29" s="53"/>
      <c r="AHG29" s="53"/>
      <c r="AHH29" s="53"/>
      <c r="AHI29" s="53"/>
      <c r="AHJ29" s="53"/>
      <c r="AHK29" s="53"/>
      <c r="AHL29" s="53"/>
      <c r="AHM29" s="53"/>
      <c r="AHN29" s="53"/>
      <c r="AHO29" s="53"/>
      <c r="AHP29" s="212"/>
      <c r="AHQ29" s="46"/>
      <c r="AHR29" s="53"/>
      <c r="AHS29" s="53"/>
      <c r="AHT29" s="53"/>
      <c r="AHU29" s="53"/>
      <c r="AHV29" s="53"/>
      <c r="AHW29" s="53"/>
      <c r="AHX29" s="53"/>
      <c r="AHY29" s="53"/>
      <c r="AHZ29" s="53"/>
      <c r="AIA29" s="53"/>
      <c r="AIB29" s="53"/>
      <c r="AIC29" s="53"/>
      <c r="AID29" s="53"/>
      <c r="AIE29" s="212"/>
      <c r="AIF29" s="46"/>
      <c r="AIG29" s="53"/>
      <c r="AIH29" s="53"/>
      <c r="AII29" s="53"/>
      <c r="AIJ29" s="53"/>
      <c r="AIK29" s="53"/>
      <c r="AIL29" s="53"/>
      <c r="AIM29" s="53"/>
      <c r="AIN29" s="53"/>
      <c r="AIO29" s="53"/>
      <c r="AIP29" s="53"/>
      <c r="AIQ29" s="53"/>
      <c r="AIR29" s="53"/>
      <c r="AIS29" s="53"/>
      <c r="AIT29" s="212"/>
      <c r="AIU29" s="46"/>
      <c r="AIV29" s="53"/>
      <c r="AIW29" s="53"/>
      <c r="AIX29" s="53"/>
      <c r="AIY29" s="53"/>
      <c r="AIZ29" s="53"/>
      <c r="AJA29" s="53"/>
      <c r="AJB29" s="53"/>
      <c r="AJC29" s="53"/>
      <c r="AJD29" s="53"/>
      <c r="AJE29" s="53"/>
      <c r="AJF29" s="53"/>
      <c r="AJG29" s="53"/>
      <c r="AJH29" s="53"/>
      <c r="AJI29" s="212"/>
      <c r="AJJ29" s="46"/>
      <c r="AJK29" s="53"/>
      <c r="AJL29" s="53"/>
      <c r="AJM29" s="53"/>
      <c r="AJN29" s="53"/>
      <c r="AJO29" s="53"/>
      <c r="AJP29" s="53"/>
      <c r="AJQ29" s="53"/>
      <c r="AJR29" s="53"/>
      <c r="AJS29" s="53"/>
      <c r="AJT29" s="53"/>
      <c r="AJU29" s="53"/>
      <c r="AJV29" s="53"/>
      <c r="AJW29" s="53"/>
      <c r="AJX29" s="212"/>
      <c r="AJY29" s="46"/>
      <c r="AJZ29" s="53"/>
      <c r="AKA29" s="53"/>
      <c r="AKB29" s="53"/>
      <c r="AKC29" s="53"/>
      <c r="AKD29" s="53"/>
      <c r="AKE29" s="53"/>
      <c r="AKF29" s="53"/>
      <c r="AKG29" s="53"/>
      <c r="AKH29" s="53"/>
      <c r="AKI29" s="53"/>
      <c r="AKJ29" s="53"/>
      <c r="AKK29" s="53"/>
      <c r="AKL29" s="53"/>
      <c r="AKM29" s="212"/>
      <c r="AKN29" s="46"/>
      <c r="AKO29" s="53"/>
      <c r="AKP29" s="53"/>
      <c r="AKQ29" s="53"/>
      <c r="AKR29" s="53"/>
      <c r="AKS29" s="53"/>
      <c r="AKT29" s="53"/>
      <c r="AKU29" s="53"/>
      <c r="AKV29" s="53"/>
      <c r="AKW29" s="53"/>
      <c r="AKX29" s="53"/>
      <c r="AKY29" s="53"/>
      <c r="AKZ29" s="53"/>
      <c r="ALA29" s="53"/>
      <c r="ALB29" s="212"/>
      <c r="ALC29" s="46"/>
      <c r="ALD29" s="53"/>
      <c r="ALE29" s="53"/>
      <c r="ALF29" s="53"/>
      <c r="ALG29" s="53"/>
      <c r="ALH29" s="53"/>
      <c r="ALI29" s="53"/>
      <c r="ALJ29" s="53"/>
      <c r="ALK29" s="53"/>
      <c r="ALL29" s="53"/>
      <c r="ALM29" s="53"/>
      <c r="ALN29" s="53"/>
      <c r="ALO29" s="53"/>
      <c r="ALP29" s="53"/>
      <c r="ALQ29" s="212"/>
      <c r="ALR29" s="46"/>
      <c r="ALS29" s="53"/>
      <c r="ALT29" s="53"/>
      <c r="ALU29" s="53"/>
      <c r="ALV29" s="53"/>
      <c r="ALW29" s="53"/>
      <c r="ALX29" s="53"/>
      <c r="ALY29" s="53"/>
      <c r="ALZ29" s="53"/>
      <c r="AMA29" s="53"/>
      <c r="AMB29" s="53"/>
      <c r="AMC29" s="53"/>
      <c r="AMD29" s="53"/>
      <c r="AME29" s="53"/>
      <c r="AMF29" s="212"/>
      <c r="AMG29" s="46"/>
      <c r="AMH29" s="53"/>
      <c r="AMI29" s="53"/>
      <c r="AMJ29" s="53"/>
      <c r="AMK29" s="53"/>
      <c r="AML29" s="53"/>
      <c r="AMM29" s="53"/>
      <c r="AMN29" s="53"/>
      <c r="AMO29" s="53"/>
      <c r="AMP29" s="53"/>
      <c r="AMQ29" s="53"/>
      <c r="AMR29" s="53"/>
      <c r="AMS29" s="53"/>
      <c r="AMT29" s="53"/>
      <c r="AMU29" s="212"/>
      <c r="AMV29" s="46"/>
      <c r="AMW29" s="53"/>
      <c r="AMX29" s="53"/>
      <c r="AMY29" s="53"/>
      <c r="AMZ29" s="53"/>
      <c r="ANA29" s="53"/>
      <c r="ANB29" s="53"/>
      <c r="ANC29" s="53"/>
      <c r="AND29" s="53"/>
      <c r="ANE29" s="53"/>
      <c r="ANF29" s="53"/>
      <c r="ANG29" s="53"/>
      <c r="ANH29" s="53"/>
      <c r="ANI29" s="53"/>
      <c r="ANJ29" s="212"/>
      <c r="ANK29" s="46"/>
      <c r="ANL29" s="53"/>
      <c r="ANM29" s="53"/>
      <c r="ANN29" s="53"/>
      <c r="ANO29" s="53"/>
      <c r="ANP29" s="53"/>
      <c r="ANQ29" s="53"/>
      <c r="ANR29" s="53"/>
      <c r="ANS29" s="53"/>
      <c r="ANT29" s="53"/>
      <c r="ANU29" s="53"/>
      <c r="ANV29" s="53"/>
      <c r="ANW29" s="53"/>
      <c r="ANX29" s="53"/>
      <c r="ANY29" s="212"/>
      <c r="ANZ29" s="46"/>
      <c r="AOA29" s="53"/>
      <c r="AOB29" s="53"/>
      <c r="AOC29" s="53"/>
      <c r="AOD29" s="53"/>
      <c r="AOE29" s="53"/>
      <c r="AOF29" s="53"/>
      <c r="AOG29" s="53"/>
      <c r="AOH29" s="53"/>
      <c r="AOI29" s="53"/>
      <c r="AOJ29" s="53"/>
      <c r="AOK29" s="53"/>
      <c r="AOL29" s="53"/>
      <c r="AOM29" s="53"/>
      <c r="AON29" s="212"/>
      <c r="AOO29" s="46"/>
      <c r="AOP29" s="53"/>
      <c r="AOQ29" s="53"/>
      <c r="AOR29" s="53"/>
      <c r="AOS29" s="53"/>
      <c r="AOT29" s="53"/>
      <c r="AOU29" s="53"/>
      <c r="AOV29" s="53"/>
      <c r="AOW29" s="53"/>
      <c r="AOX29" s="53"/>
      <c r="AOY29" s="53"/>
      <c r="AOZ29" s="53"/>
      <c r="APA29" s="53"/>
      <c r="APB29" s="53"/>
      <c r="APC29" s="212"/>
      <c r="APD29" s="46"/>
      <c r="APE29" s="53"/>
      <c r="APF29" s="53"/>
      <c r="APG29" s="53"/>
      <c r="APH29" s="53"/>
      <c r="API29" s="53"/>
      <c r="APJ29" s="53"/>
      <c r="APK29" s="53"/>
      <c r="APL29" s="53"/>
      <c r="APM29" s="53"/>
      <c r="APN29" s="53"/>
      <c r="APO29" s="53"/>
      <c r="APP29" s="53"/>
      <c r="APQ29" s="53"/>
      <c r="APR29" s="212"/>
      <c r="APS29" s="46"/>
      <c r="APT29" s="53"/>
      <c r="APU29" s="53"/>
      <c r="APV29" s="53"/>
      <c r="APW29" s="53"/>
      <c r="APX29" s="53"/>
      <c r="APY29" s="53"/>
      <c r="APZ29" s="53"/>
      <c r="AQA29" s="53"/>
      <c r="AQB29" s="53"/>
      <c r="AQC29" s="53"/>
      <c r="AQD29" s="53"/>
      <c r="AQE29" s="53"/>
      <c r="AQF29" s="53"/>
      <c r="AQG29" s="212"/>
      <c r="AQH29" s="46"/>
      <c r="AQI29" s="53"/>
      <c r="AQJ29" s="53"/>
      <c r="AQK29" s="53"/>
      <c r="AQL29" s="53"/>
      <c r="AQM29" s="53"/>
      <c r="AQN29" s="53"/>
      <c r="AQO29" s="53"/>
      <c r="AQP29" s="53"/>
      <c r="AQQ29" s="53"/>
      <c r="AQR29" s="53"/>
      <c r="AQS29" s="53"/>
      <c r="AQT29" s="53"/>
      <c r="AQU29" s="53"/>
      <c r="AQV29" s="212"/>
      <c r="AQW29" s="46"/>
      <c r="AQX29" s="53"/>
      <c r="AQY29" s="53"/>
      <c r="AQZ29" s="53"/>
      <c r="ARA29" s="53"/>
      <c r="ARB29" s="53"/>
      <c r="ARC29" s="53"/>
      <c r="ARD29" s="53"/>
      <c r="ARE29" s="53"/>
      <c r="ARF29" s="53"/>
      <c r="ARG29" s="53"/>
      <c r="ARH29" s="53"/>
      <c r="ARI29" s="53"/>
      <c r="ARJ29" s="53"/>
      <c r="ARK29" s="212"/>
      <c r="ARL29" s="46"/>
      <c r="ARM29" s="53"/>
      <c r="ARN29" s="53"/>
      <c r="ARO29" s="53"/>
      <c r="ARP29" s="53"/>
      <c r="ARQ29" s="53"/>
      <c r="ARR29" s="53"/>
      <c r="ARS29" s="53"/>
      <c r="ART29" s="53"/>
      <c r="ARU29" s="53"/>
      <c r="ARV29" s="53"/>
      <c r="ARW29" s="53"/>
      <c r="ARX29" s="53"/>
      <c r="ARY29" s="53"/>
      <c r="ARZ29" s="212"/>
      <c r="ASA29" s="46"/>
      <c r="ASB29" s="53"/>
      <c r="ASC29" s="53"/>
      <c r="ASD29" s="53"/>
      <c r="ASE29" s="53"/>
      <c r="ASF29" s="53"/>
      <c r="ASG29" s="53"/>
      <c r="ASH29" s="53"/>
      <c r="ASI29" s="53"/>
      <c r="ASJ29" s="53"/>
      <c r="ASK29" s="53"/>
      <c r="ASL29" s="53"/>
      <c r="ASM29" s="53"/>
      <c r="ASN29" s="53"/>
      <c r="ASO29" s="212"/>
      <c r="ASP29" s="46"/>
      <c r="ASQ29" s="53"/>
      <c r="ASR29" s="53"/>
      <c r="ASS29" s="53"/>
      <c r="AST29" s="53"/>
      <c r="ASU29" s="53"/>
      <c r="ASV29" s="53"/>
      <c r="ASW29" s="53"/>
      <c r="ASX29" s="53"/>
      <c r="ASY29" s="53"/>
      <c r="ASZ29" s="53"/>
      <c r="ATA29" s="53"/>
      <c r="ATB29" s="53"/>
      <c r="ATC29" s="53"/>
      <c r="ATD29" s="212"/>
      <c r="ATE29" s="46"/>
      <c r="ATF29" s="53"/>
      <c r="ATG29" s="53"/>
      <c r="ATH29" s="53"/>
      <c r="ATI29" s="53"/>
      <c r="ATJ29" s="53"/>
      <c r="ATK29" s="53"/>
      <c r="ATL29" s="53"/>
      <c r="ATM29" s="53"/>
      <c r="ATN29" s="53"/>
      <c r="ATO29" s="53"/>
      <c r="ATP29" s="53"/>
      <c r="ATQ29" s="53"/>
      <c r="ATR29" s="53"/>
      <c r="ATS29" s="212"/>
      <c r="ATT29" s="46"/>
      <c r="ATU29" s="53"/>
      <c r="ATV29" s="53"/>
      <c r="ATW29" s="53"/>
      <c r="ATX29" s="53"/>
      <c r="ATY29" s="53"/>
      <c r="ATZ29" s="53"/>
      <c r="AUA29" s="53"/>
      <c r="AUB29" s="53"/>
      <c r="AUC29" s="53"/>
      <c r="AUD29" s="53"/>
      <c r="AUE29" s="53"/>
      <c r="AUF29" s="53"/>
      <c r="AUG29" s="53"/>
      <c r="AUH29" s="212"/>
      <c r="AUI29" s="46"/>
      <c r="AUJ29" s="53"/>
      <c r="AUK29" s="53"/>
      <c r="AUL29" s="53"/>
      <c r="AUM29" s="53"/>
      <c r="AUN29" s="53"/>
      <c r="AUO29" s="53"/>
      <c r="AUP29" s="53"/>
      <c r="AUQ29" s="53"/>
      <c r="AUR29" s="53"/>
      <c r="AUS29" s="53"/>
      <c r="AUT29" s="53"/>
      <c r="AUU29" s="53"/>
      <c r="AUV29" s="53"/>
      <c r="AUW29" s="212"/>
      <c r="AUX29" s="46"/>
      <c r="AUY29" s="53"/>
      <c r="AUZ29" s="53"/>
      <c r="AVA29" s="53"/>
      <c r="AVB29" s="53"/>
      <c r="AVC29" s="53"/>
      <c r="AVD29" s="53"/>
      <c r="AVE29" s="53"/>
      <c r="AVF29" s="53"/>
      <c r="AVG29" s="53"/>
      <c r="AVH29" s="53"/>
      <c r="AVI29" s="53"/>
      <c r="AVJ29" s="53"/>
      <c r="AVK29" s="53"/>
      <c r="AVL29" s="212"/>
      <c r="AVM29" s="46"/>
      <c r="AVN29" s="53"/>
      <c r="AVO29" s="53"/>
      <c r="AVP29" s="53"/>
      <c r="AVQ29" s="53"/>
      <c r="AVR29" s="53"/>
      <c r="AVS29" s="53"/>
      <c r="AVT29" s="53"/>
      <c r="AVU29" s="53"/>
      <c r="AVV29" s="53"/>
      <c r="AVW29" s="53"/>
      <c r="AVX29" s="53"/>
      <c r="AVY29" s="53"/>
      <c r="AVZ29" s="53"/>
      <c r="AWA29" s="212"/>
      <c r="AWB29" s="46"/>
      <c r="AWC29" s="53"/>
      <c r="AWD29" s="53"/>
      <c r="AWE29" s="53"/>
      <c r="AWF29" s="53"/>
      <c r="AWG29" s="53"/>
      <c r="AWH29" s="53"/>
      <c r="AWI29" s="53"/>
      <c r="AWJ29" s="53"/>
      <c r="AWK29" s="53"/>
      <c r="AWL29" s="53"/>
      <c r="AWM29" s="53"/>
      <c r="AWN29" s="53"/>
      <c r="AWO29" s="53"/>
      <c r="AWP29" s="212"/>
      <c r="AWQ29" s="46"/>
      <c r="AWR29" s="53"/>
      <c r="AWS29" s="53"/>
      <c r="AWT29" s="53"/>
      <c r="AWU29" s="53"/>
      <c r="AWV29" s="53"/>
      <c r="AWW29" s="53"/>
      <c r="AWX29" s="53"/>
      <c r="AWY29" s="53"/>
      <c r="AWZ29" s="53"/>
      <c r="AXA29" s="53"/>
      <c r="AXB29" s="53"/>
      <c r="AXC29" s="53"/>
      <c r="AXD29" s="53"/>
      <c r="AXE29" s="212"/>
      <c r="AXF29" s="46"/>
      <c r="AXG29" s="53"/>
      <c r="AXH29" s="53"/>
      <c r="AXI29" s="53"/>
      <c r="AXJ29" s="53"/>
      <c r="AXK29" s="53"/>
      <c r="AXL29" s="53"/>
      <c r="AXM29" s="53"/>
      <c r="AXN29" s="53"/>
      <c r="AXO29" s="53"/>
      <c r="AXP29" s="53"/>
      <c r="AXQ29" s="53"/>
      <c r="AXR29" s="53"/>
      <c r="AXS29" s="53"/>
      <c r="AXT29" s="212"/>
      <c r="AXU29" s="46"/>
      <c r="AXV29" s="53"/>
      <c r="AXW29" s="53"/>
      <c r="AXX29" s="53"/>
      <c r="AXY29" s="53"/>
      <c r="AXZ29" s="53"/>
      <c r="AYA29" s="53"/>
      <c r="AYB29" s="53"/>
      <c r="AYC29" s="53"/>
      <c r="AYD29" s="53"/>
      <c r="AYE29" s="53"/>
      <c r="AYF29" s="53"/>
      <c r="AYG29" s="53"/>
      <c r="AYH29" s="53"/>
      <c r="AYI29" s="212"/>
      <c r="AYJ29" s="46"/>
      <c r="AYK29" s="53"/>
      <c r="AYL29" s="53"/>
      <c r="AYM29" s="53"/>
      <c r="AYN29" s="53"/>
      <c r="AYO29" s="53"/>
      <c r="AYP29" s="53"/>
      <c r="AYQ29" s="53"/>
      <c r="AYR29" s="53"/>
      <c r="AYS29" s="53"/>
      <c r="AYT29" s="53"/>
      <c r="AYU29" s="53"/>
      <c r="AYV29" s="53"/>
      <c r="AYW29" s="53"/>
      <c r="AYX29" s="212"/>
      <c r="AYY29" s="46"/>
      <c r="AYZ29" s="53"/>
      <c r="AZA29" s="53"/>
      <c r="AZB29" s="53"/>
      <c r="AZC29" s="53"/>
      <c r="AZD29" s="53"/>
      <c r="AZE29" s="53"/>
      <c r="AZF29" s="53"/>
      <c r="AZG29" s="53"/>
      <c r="AZH29" s="53"/>
      <c r="AZI29" s="53"/>
      <c r="AZJ29" s="53"/>
      <c r="AZK29" s="53"/>
      <c r="AZL29" s="53"/>
      <c r="AZM29" s="212"/>
      <c r="AZN29" s="46"/>
      <c r="AZO29" s="53"/>
      <c r="AZP29" s="53"/>
      <c r="AZQ29" s="53"/>
      <c r="AZR29" s="53"/>
      <c r="AZS29" s="53"/>
      <c r="AZT29" s="53"/>
      <c r="AZU29" s="53"/>
      <c r="AZV29" s="53"/>
      <c r="AZW29" s="53"/>
      <c r="AZX29" s="53"/>
      <c r="AZY29" s="53"/>
      <c r="AZZ29" s="53"/>
      <c r="BAA29" s="53"/>
      <c r="BAB29" s="212"/>
      <c r="BAC29" s="46"/>
      <c r="BAD29" s="53"/>
      <c r="BAE29" s="53"/>
      <c r="BAF29" s="53"/>
      <c r="BAG29" s="53"/>
      <c r="BAH29" s="53"/>
      <c r="BAI29" s="53"/>
      <c r="BAJ29" s="53"/>
      <c r="BAK29" s="53"/>
      <c r="BAL29" s="53"/>
      <c r="BAM29" s="53"/>
      <c r="BAN29" s="53"/>
      <c r="BAO29" s="53"/>
      <c r="BAP29" s="53"/>
      <c r="BAQ29" s="212"/>
      <c r="BAR29" s="46"/>
      <c r="BAS29" s="53"/>
      <c r="BAT29" s="53"/>
      <c r="BAU29" s="53"/>
      <c r="BAV29" s="53"/>
      <c r="BAW29" s="53"/>
      <c r="BAX29" s="53"/>
      <c r="BAY29" s="53"/>
      <c r="BAZ29" s="53"/>
      <c r="BBA29" s="53"/>
      <c r="BBB29" s="53"/>
      <c r="BBC29" s="53"/>
      <c r="BBD29" s="53"/>
      <c r="BBE29" s="53"/>
      <c r="BBF29" s="212"/>
      <c r="BBG29" s="46"/>
      <c r="BBH29" s="53"/>
      <c r="BBI29" s="53"/>
      <c r="BBJ29" s="53"/>
      <c r="BBK29" s="53"/>
      <c r="BBL29" s="53"/>
      <c r="BBM29" s="53"/>
      <c r="BBN29" s="53"/>
      <c r="BBO29" s="53"/>
      <c r="BBP29" s="53"/>
      <c r="BBQ29" s="53"/>
      <c r="BBR29" s="53"/>
      <c r="BBS29" s="53"/>
      <c r="BBT29" s="53"/>
      <c r="BBU29" s="212"/>
      <c r="BBV29" s="46"/>
      <c r="BBW29" s="53"/>
      <c r="BBX29" s="53"/>
      <c r="BBY29" s="53"/>
      <c r="BBZ29" s="53"/>
      <c r="BCA29" s="53"/>
      <c r="BCB29" s="53"/>
      <c r="BCC29" s="53"/>
      <c r="BCD29" s="53"/>
      <c r="BCE29" s="53"/>
      <c r="BCF29" s="53"/>
      <c r="BCG29" s="53"/>
      <c r="BCH29" s="53"/>
      <c r="BCI29" s="53"/>
      <c r="BCJ29" s="212"/>
      <c r="BCK29" s="46"/>
      <c r="BCL29" s="53"/>
      <c r="BCM29" s="53"/>
      <c r="BCN29" s="53"/>
      <c r="BCO29" s="53"/>
      <c r="BCP29" s="53"/>
      <c r="BCQ29" s="53"/>
      <c r="BCR29" s="53"/>
      <c r="BCS29" s="53"/>
      <c r="BCT29" s="53"/>
      <c r="BCU29" s="53"/>
      <c r="BCV29" s="53"/>
      <c r="BCW29" s="53"/>
      <c r="BCX29" s="53"/>
      <c r="BCY29" s="212"/>
      <c r="BCZ29" s="46"/>
      <c r="BDA29" s="53"/>
      <c r="BDB29" s="53"/>
      <c r="BDC29" s="53"/>
      <c r="BDD29" s="53"/>
      <c r="BDE29" s="53"/>
      <c r="BDF29" s="53"/>
      <c r="BDG29" s="53"/>
      <c r="BDH29" s="53"/>
      <c r="BDI29" s="53"/>
      <c r="BDJ29" s="53"/>
      <c r="BDK29" s="53"/>
      <c r="BDL29" s="53"/>
      <c r="BDM29" s="53"/>
      <c r="BDN29" s="212"/>
      <c r="BDO29" s="46"/>
      <c r="BDP29" s="53"/>
      <c r="BDQ29" s="53"/>
      <c r="BDR29" s="53"/>
      <c r="BDS29" s="53"/>
      <c r="BDT29" s="53"/>
      <c r="BDU29" s="53"/>
      <c r="BDV29" s="53"/>
      <c r="BDW29" s="53"/>
      <c r="BDX29" s="53"/>
      <c r="BDY29" s="53"/>
      <c r="BDZ29" s="53"/>
      <c r="BEA29" s="53"/>
      <c r="BEB29" s="53"/>
      <c r="BEC29" s="212"/>
      <c r="BED29" s="46"/>
      <c r="BEE29" s="53"/>
      <c r="BEF29" s="53"/>
      <c r="BEG29" s="53"/>
      <c r="BEH29" s="53"/>
      <c r="BEI29" s="53"/>
      <c r="BEJ29" s="53"/>
      <c r="BEK29" s="53"/>
      <c r="BEL29" s="53"/>
      <c r="BEM29" s="53"/>
      <c r="BEN29" s="53"/>
      <c r="BEO29" s="53"/>
      <c r="BEP29" s="53"/>
      <c r="BEQ29" s="53"/>
      <c r="BER29" s="212"/>
      <c r="BES29" s="46"/>
      <c r="BET29" s="53"/>
      <c r="BEU29" s="53"/>
      <c r="BEV29" s="53"/>
      <c r="BEW29" s="53"/>
      <c r="BEX29" s="53"/>
      <c r="BEY29" s="53"/>
      <c r="BEZ29" s="53"/>
      <c r="BFA29" s="53"/>
      <c r="BFB29" s="53"/>
      <c r="BFC29" s="53"/>
      <c r="BFD29" s="53"/>
      <c r="BFE29" s="53"/>
      <c r="BFF29" s="53"/>
      <c r="BFG29" s="212"/>
      <c r="BFH29" s="46"/>
      <c r="BFI29" s="53"/>
      <c r="BFJ29" s="53"/>
      <c r="BFK29" s="53"/>
      <c r="BFL29" s="53"/>
      <c r="BFM29" s="53"/>
      <c r="BFN29" s="53"/>
      <c r="BFO29" s="53"/>
      <c r="BFP29" s="53"/>
      <c r="BFQ29" s="53"/>
      <c r="BFR29" s="53"/>
      <c r="BFS29" s="53"/>
      <c r="BFT29" s="53"/>
      <c r="BFU29" s="53"/>
      <c r="BFV29" s="212"/>
      <c r="BFW29" s="46"/>
      <c r="BFX29" s="53"/>
      <c r="BFY29" s="53"/>
      <c r="BFZ29" s="53"/>
      <c r="BGA29" s="53"/>
      <c r="BGB29" s="53"/>
      <c r="BGC29" s="53"/>
      <c r="BGD29" s="53"/>
      <c r="BGE29" s="53"/>
      <c r="BGF29" s="53"/>
      <c r="BGG29" s="53"/>
      <c r="BGH29" s="53"/>
      <c r="BGI29" s="53"/>
      <c r="BGJ29" s="53"/>
      <c r="BGK29" s="212"/>
      <c r="BGL29" s="46"/>
      <c r="BGM29" s="53"/>
      <c r="BGN29" s="53"/>
      <c r="BGO29" s="53"/>
      <c r="BGP29" s="53"/>
      <c r="BGQ29" s="53"/>
      <c r="BGR29" s="53"/>
      <c r="BGS29" s="53"/>
      <c r="BGT29" s="53"/>
      <c r="BGU29" s="53"/>
      <c r="BGV29" s="53"/>
      <c r="BGW29" s="53"/>
      <c r="BGX29" s="53"/>
      <c r="BGY29" s="53"/>
      <c r="BGZ29" s="212"/>
      <c r="BHA29" s="46"/>
      <c r="BHB29" s="53"/>
      <c r="BHC29" s="53"/>
      <c r="BHD29" s="53"/>
      <c r="BHE29" s="53"/>
      <c r="BHF29" s="53"/>
      <c r="BHG29" s="53"/>
      <c r="BHH29" s="53"/>
      <c r="BHI29" s="53"/>
      <c r="BHJ29" s="53"/>
      <c r="BHK29" s="53"/>
      <c r="BHL29" s="53"/>
      <c r="BHM29" s="53"/>
      <c r="BHN29" s="53"/>
      <c r="BHO29" s="212"/>
      <c r="BHP29" s="46"/>
      <c r="BHQ29" s="53"/>
      <c r="BHR29" s="53"/>
      <c r="BHS29" s="53"/>
      <c r="BHT29" s="53"/>
      <c r="BHU29" s="53"/>
      <c r="BHV29" s="53"/>
      <c r="BHW29" s="53"/>
      <c r="BHX29" s="53"/>
      <c r="BHY29" s="53"/>
      <c r="BHZ29" s="53"/>
      <c r="BIA29" s="53"/>
      <c r="BIB29" s="53"/>
      <c r="BIC29" s="53"/>
      <c r="BID29" s="212"/>
      <c r="BIE29" s="46"/>
      <c r="BIF29" s="53"/>
      <c r="BIG29" s="53"/>
      <c r="BIH29" s="53"/>
      <c r="BII29" s="53"/>
      <c r="BIJ29" s="53"/>
      <c r="BIK29" s="53"/>
      <c r="BIL29" s="53"/>
      <c r="BIM29" s="53"/>
      <c r="BIN29" s="53"/>
      <c r="BIO29" s="53"/>
      <c r="BIP29" s="53"/>
      <c r="BIQ29" s="53"/>
      <c r="BIR29" s="53"/>
      <c r="BIS29" s="212"/>
      <c r="BIT29" s="46"/>
      <c r="BIU29" s="53"/>
      <c r="BIV29" s="53"/>
      <c r="BIW29" s="53"/>
      <c r="BIX29" s="53"/>
      <c r="BIY29" s="53"/>
      <c r="BIZ29" s="53"/>
      <c r="BJA29" s="53"/>
      <c r="BJB29" s="53"/>
      <c r="BJC29" s="53"/>
      <c r="BJD29" s="53"/>
      <c r="BJE29" s="53"/>
      <c r="BJF29" s="53"/>
      <c r="BJG29" s="53"/>
      <c r="BJH29" s="212"/>
      <c r="BJI29" s="46"/>
      <c r="BJJ29" s="53"/>
      <c r="BJK29" s="53"/>
      <c r="BJL29" s="53"/>
      <c r="BJM29" s="53"/>
      <c r="BJN29" s="53"/>
      <c r="BJO29" s="53"/>
      <c r="BJP29" s="53"/>
      <c r="BJQ29" s="53"/>
      <c r="BJR29" s="53"/>
      <c r="BJS29" s="53"/>
      <c r="BJT29" s="53"/>
      <c r="BJU29" s="53"/>
      <c r="BJV29" s="53"/>
      <c r="BJW29" s="212"/>
      <c r="BJX29" s="46"/>
      <c r="BJY29" s="53"/>
      <c r="BJZ29" s="53"/>
      <c r="BKA29" s="53"/>
      <c r="BKB29" s="53"/>
      <c r="BKC29" s="53"/>
      <c r="BKD29" s="53"/>
      <c r="BKE29" s="53"/>
      <c r="BKF29" s="53"/>
      <c r="BKG29" s="53"/>
      <c r="BKH29" s="53"/>
      <c r="BKI29" s="53"/>
      <c r="BKJ29" s="53"/>
      <c r="BKK29" s="53"/>
      <c r="BKL29" s="212"/>
      <c r="BKM29" s="46"/>
      <c r="BKN29" s="53"/>
      <c r="BKO29" s="53"/>
      <c r="BKP29" s="53"/>
      <c r="BKQ29" s="53"/>
      <c r="BKR29" s="53"/>
      <c r="BKS29" s="53"/>
      <c r="BKT29" s="53"/>
      <c r="BKU29" s="53"/>
      <c r="BKV29" s="53"/>
      <c r="BKW29" s="53"/>
      <c r="BKX29" s="53"/>
      <c r="BKY29" s="53"/>
      <c r="BKZ29" s="53"/>
      <c r="BLA29" s="212"/>
      <c r="BLB29" s="46"/>
      <c r="BLC29" s="53"/>
      <c r="BLD29" s="53"/>
      <c r="BLE29" s="53"/>
      <c r="BLF29" s="53"/>
      <c r="BLG29" s="53"/>
      <c r="BLH29" s="53"/>
      <c r="BLI29" s="53"/>
      <c r="BLJ29" s="53"/>
      <c r="BLK29" s="53"/>
      <c r="BLL29" s="53"/>
      <c r="BLM29" s="53"/>
      <c r="BLN29" s="53"/>
      <c r="BLO29" s="53"/>
      <c r="BLP29" s="212"/>
      <c r="BLQ29" s="46"/>
      <c r="BLR29" s="53"/>
      <c r="BLS29" s="53"/>
      <c r="BLT29" s="53"/>
      <c r="BLU29" s="53"/>
      <c r="BLV29" s="53"/>
      <c r="BLW29" s="53"/>
      <c r="BLX29" s="53"/>
      <c r="BLY29" s="53"/>
      <c r="BLZ29" s="53"/>
      <c r="BMA29" s="53"/>
      <c r="BMB29" s="53"/>
      <c r="BMC29" s="53"/>
      <c r="BMD29" s="53"/>
      <c r="BME29" s="212"/>
      <c r="BMF29" s="46"/>
      <c r="BMG29" s="53"/>
      <c r="BMH29" s="53"/>
      <c r="BMI29" s="53"/>
      <c r="BMJ29" s="53"/>
      <c r="BMK29" s="53"/>
      <c r="BML29" s="53"/>
      <c r="BMM29" s="53"/>
      <c r="BMN29" s="53"/>
      <c r="BMO29" s="53"/>
      <c r="BMP29" s="53"/>
      <c r="BMQ29" s="53"/>
      <c r="BMR29" s="53"/>
      <c r="BMS29" s="53"/>
      <c r="BMT29" s="212"/>
      <c r="BMU29" s="46"/>
      <c r="BMV29" s="53"/>
      <c r="BMW29" s="53"/>
      <c r="BMX29" s="53"/>
      <c r="BMY29" s="53"/>
      <c r="BMZ29" s="53"/>
      <c r="BNA29" s="53"/>
      <c r="BNB29" s="53"/>
      <c r="BNC29" s="53"/>
      <c r="BND29" s="53"/>
      <c r="BNE29" s="53"/>
      <c r="BNF29" s="53"/>
      <c r="BNG29" s="53"/>
      <c r="BNH29" s="53"/>
      <c r="BNI29" s="212"/>
      <c r="BNJ29" s="46"/>
      <c r="BNK29" s="53"/>
      <c r="BNL29" s="53"/>
      <c r="BNM29" s="53"/>
      <c r="BNN29" s="53"/>
      <c r="BNO29" s="53"/>
      <c r="BNP29" s="53"/>
      <c r="BNQ29" s="53"/>
      <c r="BNR29" s="53"/>
      <c r="BNS29" s="53"/>
      <c r="BNT29" s="53"/>
      <c r="BNU29" s="53"/>
      <c r="BNV29" s="53"/>
      <c r="BNW29" s="53"/>
      <c r="BNX29" s="212"/>
      <c r="BNY29" s="46"/>
      <c r="BNZ29" s="53"/>
      <c r="BOA29" s="53"/>
      <c r="BOB29" s="53"/>
      <c r="BOC29" s="53"/>
      <c r="BOD29" s="53"/>
      <c r="BOE29" s="53"/>
      <c r="BOF29" s="53"/>
      <c r="BOG29" s="53"/>
      <c r="BOH29" s="53"/>
      <c r="BOI29" s="53"/>
      <c r="BOJ29" s="53"/>
      <c r="BOK29" s="53"/>
      <c r="BOL29" s="53"/>
      <c r="BOM29" s="212"/>
      <c r="BON29" s="46"/>
      <c r="BOO29" s="53"/>
      <c r="BOP29" s="53"/>
      <c r="BOQ29" s="53"/>
      <c r="BOR29" s="53"/>
      <c r="BOS29" s="53"/>
      <c r="BOT29" s="53"/>
      <c r="BOU29" s="53"/>
      <c r="BOV29" s="53"/>
      <c r="BOW29" s="53"/>
      <c r="BOX29" s="53"/>
      <c r="BOY29" s="53"/>
      <c r="BOZ29" s="53"/>
      <c r="BPA29" s="53"/>
      <c r="BPB29" s="212"/>
      <c r="BPC29" s="46"/>
      <c r="BPD29" s="53"/>
      <c r="BPE29" s="53"/>
      <c r="BPF29" s="53"/>
      <c r="BPG29" s="53"/>
      <c r="BPH29" s="53"/>
      <c r="BPI29" s="53"/>
      <c r="BPJ29" s="53"/>
      <c r="BPK29" s="53"/>
      <c r="BPL29" s="53"/>
      <c r="BPM29" s="53"/>
      <c r="BPN29" s="53"/>
      <c r="BPO29" s="53"/>
      <c r="BPP29" s="53"/>
      <c r="BPQ29" s="212"/>
      <c r="BPR29" s="46"/>
      <c r="BPS29" s="53"/>
      <c r="BPT29" s="53"/>
      <c r="BPU29" s="53"/>
      <c r="BPV29" s="53"/>
      <c r="BPW29" s="53"/>
      <c r="BPX29" s="53"/>
      <c r="BPY29" s="53"/>
      <c r="BPZ29" s="53"/>
      <c r="BQA29" s="53"/>
      <c r="BQB29" s="53"/>
      <c r="BQC29" s="53"/>
      <c r="BQD29" s="53"/>
      <c r="BQE29" s="53"/>
      <c r="BQF29" s="212"/>
      <c r="BQG29" s="46"/>
      <c r="BQH29" s="53"/>
      <c r="BQI29" s="53"/>
      <c r="BQJ29" s="53"/>
      <c r="BQK29" s="53"/>
      <c r="BQL29" s="53"/>
      <c r="BQM29" s="53"/>
      <c r="BQN29" s="53"/>
      <c r="BQO29" s="53"/>
      <c r="BQP29" s="53"/>
      <c r="BQQ29" s="53"/>
      <c r="BQR29" s="53"/>
      <c r="BQS29" s="53"/>
      <c r="BQT29" s="53"/>
      <c r="BQU29" s="212"/>
      <c r="BQV29" s="46"/>
      <c r="BQW29" s="53"/>
      <c r="BQX29" s="53"/>
      <c r="BQY29" s="53"/>
      <c r="BQZ29" s="53"/>
      <c r="BRA29" s="53"/>
      <c r="BRB29" s="53"/>
      <c r="BRC29" s="53"/>
      <c r="BRD29" s="53"/>
      <c r="BRE29" s="53"/>
      <c r="BRF29" s="53"/>
      <c r="BRG29" s="53"/>
      <c r="BRH29" s="53"/>
      <c r="BRI29" s="53"/>
      <c r="BRJ29" s="212"/>
      <c r="BRK29" s="46"/>
      <c r="BRL29" s="53"/>
      <c r="BRM29" s="53"/>
      <c r="BRN29" s="53"/>
      <c r="BRO29" s="53"/>
      <c r="BRP29" s="53"/>
      <c r="BRQ29" s="53"/>
      <c r="BRR29" s="53"/>
      <c r="BRS29" s="53"/>
      <c r="BRT29" s="53"/>
      <c r="BRU29" s="53"/>
      <c r="BRV29" s="53"/>
      <c r="BRW29" s="53"/>
      <c r="BRX29" s="53"/>
      <c r="BRY29" s="212"/>
      <c r="BRZ29" s="46"/>
      <c r="BSA29" s="53"/>
      <c r="BSB29" s="53"/>
      <c r="BSC29" s="53"/>
      <c r="BSD29" s="53"/>
      <c r="BSE29" s="53"/>
      <c r="BSF29" s="53"/>
      <c r="BSG29" s="53"/>
      <c r="BSH29" s="53"/>
      <c r="BSI29" s="53"/>
      <c r="BSJ29" s="53"/>
      <c r="BSK29" s="53"/>
      <c r="BSL29" s="53"/>
      <c r="BSM29" s="53"/>
      <c r="BSN29" s="212"/>
      <c r="BSO29" s="46"/>
      <c r="BSP29" s="53"/>
      <c r="BSQ29" s="53"/>
      <c r="BSR29" s="53"/>
      <c r="BSS29" s="53"/>
      <c r="BST29" s="53"/>
      <c r="BSU29" s="53"/>
      <c r="BSV29" s="53"/>
      <c r="BSW29" s="53"/>
      <c r="BSX29" s="53"/>
      <c r="BSY29" s="53"/>
      <c r="BSZ29" s="53"/>
      <c r="BTA29" s="53"/>
      <c r="BTB29" s="53"/>
      <c r="BTC29" s="212"/>
      <c r="BTD29" s="46"/>
      <c r="BTE29" s="53"/>
      <c r="BTF29" s="53"/>
      <c r="BTG29" s="53"/>
      <c r="BTH29" s="53"/>
      <c r="BTI29" s="53"/>
      <c r="BTJ29" s="53"/>
      <c r="BTK29" s="53"/>
      <c r="BTL29" s="53"/>
      <c r="BTM29" s="53"/>
      <c r="BTN29" s="53"/>
      <c r="BTO29" s="53"/>
      <c r="BTP29" s="53"/>
      <c r="BTQ29" s="53"/>
      <c r="BTR29" s="212"/>
      <c r="BTS29" s="46"/>
      <c r="BTT29" s="53"/>
      <c r="BTU29" s="53"/>
      <c r="BTV29" s="53"/>
      <c r="BTW29" s="53"/>
      <c r="BTX29" s="53"/>
      <c r="BTY29" s="53"/>
      <c r="BTZ29" s="53"/>
      <c r="BUA29" s="53"/>
      <c r="BUB29" s="53"/>
      <c r="BUC29" s="53"/>
      <c r="BUD29" s="53"/>
      <c r="BUE29" s="53"/>
      <c r="BUF29" s="53"/>
      <c r="BUG29" s="212"/>
      <c r="BUH29" s="46"/>
      <c r="BUI29" s="53"/>
      <c r="BUJ29" s="53"/>
      <c r="BUK29" s="53"/>
      <c r="BUL29" s="53"/>
      <c r="BUM29" s="53"/>
      <c r="BUN29" s="53"/>
      <c r="BUO29" s="53"/>
      <c r="BUP29" s="53"/>
      <c r="BUQ29" s="53"/>
      <c r="BUR29" s="53"/>
      <c r="BUS29" s="53"/>
      <c r="BUT29" s="53"/>
      <c r="BUU29" s="53"/>
      <c r="BUV29" s="212"/>
      <c r="BUW29" s="46"/>
      <c r="BUX29" s="53"/>
      <c r="BUY29" s="53"/>
      <c r="BUZ29" s="53"/>
      <c r="BVA29" s="53"/>
      <c r="BVB29" s="53"/>
      <c r="BVC29" s="53"/>
      <c r="BVD29" s="53"/>
      <c r="BVE29" s="53"/>
      <c r="BVF29" s="53"/>
      <c r="BVG29" s="53"/>
      <c r="BVH29" s="53"/>
      <c r="BVI29" s="53"/>
      <c r="BVJ29" s="53"/>
      <c r="BVK29" s="212"/>
      <c r="BVL29" s="46"/>
      <c r="BVM29" s="53"/>
      <c r="BVN29" s="53"/>
      <c r="BVO29" s="53"/>
      <c r="BVP29" s="53"/>
      <c r="BVQ29" s="53"/>
      <c r="BVR29" s="53"/>
      <c r="BVS29" s="53"/>
      <c r="BVT29" s="53"/>
      <c r="BVU29" s="53"/>
      <c r="BVV29" s="53"/>
      <c r="BVW29" s="53"/>
      <c r="BVX29" s="53"/>
      <c r="BVY29" s="53"/>
      <c r="BVZ29" s="212"/>
      <c r="BWA29" s="46"/>
      <c r="BWB29" s="53"/>
      <c r="BWC29" s="53"/>
      <c r="BWD29" s="53"/>
      <c r="BWE29" s="53"/>
      <c r="BWF29" s="53"/>
      <c r="BWG29" s="53"/>
      <c r="BWH29" s="53"/>
      <c r="BWI29" s="53"/>
      <c r="BWJ29" s="53"/>
      <c r="BWK29" s="53"/>
      <c r="BWL29" s="53"/>
      <c r="BWM29" s="53"/>
      <c r="BWN29" s="53"/>
      <c r="BWO29" s="212"/>
      <c r="BWP29" s="46"/>
      <c r="BWQ29" s="53"/>
      <c r="BWR29" s="53"/>
      <c r="BWS29" s="53"/>
      <c r="BWT29" s="53"/>
      <c r="BWU29" s="53"/>
      <c r="BWV29" s="53"/>
      <c r="BWW29" s="53"/>
      <c r="BWX29" s="53"/>
      <c r="BWY29" s="53"/>
      <c r="BWZ29" s="53"/>
      <c r="BXA29" s="53"/>
      <c r="BXB29" s="53"/>
      <c r="BXC29" s="53"/>
      <c r="BXD29" s="212"/>
      <c r="BXE29" s="46"/>
      <c r="BXF29" s="53"/>
      <c r="BXG29" s="53"/>
      <c r="BXH29" s="53"/>
      <c r="BXI29" s="53"/>
      <c r="BXJ29" s="53"/>
      <c r="BXK29" s="53"/>
      <c r="BXL29" s="53"/>
      <c r="BXM29" s="53"/>
      <c r="BXN29" s="53"/>
      <c r="BXO29" s="53"/>
      <c r="BXP29" s="53"/>
      <c r="BXQ29" s="53"/>
      <c r="BXR29" s="53"/>
      <c r="BXS29" s="212"/>
      <c r="BXT29" s="46"/>
      <c r="BXU29" s="53"/>
      <c r="BXV29" s="53"/>
      <c r="BXW29" s="53"/>
      <c r="BXX29" s="53"/>
      <c r="BXY29" s="53"/>
      <c r="BXZ29" s="53"/>
      <c r="BYA29" s="53"/>
      <c r="BYB29" s="53"/>
      <c r="BYC29" s="53"/>
      <c r="BYD29" s="53"/>
      <c r="BYE29" s="53"/>
      <c r="BYF29" s="53"/>
      <c r="BYG29" s="53"/>
      <c r="BYH29" s="212"/>
      <c r="BYI29" s="46"/>
      <c r="BYJ29" s="53"/>
      <c r="BYK29" s="53"/>
      <c r="BYL29" s="53"/>
      <c r="BYM29" s="53"/>
      <c r="BYN29" s="53"/>
      <c r="BYO29" s="53"/>
      <c r="BYP29" s="53"/>
      <c r="BYQ29" s="53"/>
      <c r="BYR29" s="53"/>
      <c r="BYS29" s="53"/>
      <c r="BYT29" s="53"/>
      <c r="BYU29" s="53"/>
      <c r="BYV29" s="53"/>
      <c r="BYW29" s="212"/>
      <c r="BYX29" s="46"/>
      <c r="BYY29" s="53"/>
      <c r="BYZ29" s="53"/>
      <c r="BZA29" s="53"/>
      <c r="BZB29" s="53"/>
      <c r="BZC29" s="53"/>
      <c r="BZD29" s="53"/>
      <c r="BZE29" s="53"/>
      <c r="BZF29" s="53"/>
      <c r="BZG29" s="53"/>
      <c r="BZH29" s="53"/>
      <c r="BZI29" s="53"/>
      <c r="BZJ29" s="53"/>
      <c r="BZK29" s="53"/>
      <c r="BZL29" s="212"/>
      <c r="BZM29" s="46"/>
      <c r="BZN29" s="53"/>
      <c r="BZO29" s="53"/>
      <c r="BZP29" s="53"/>
      <c r="BZQ29" s="53"/>
      <c r="BZR29" s="53"/>
      <c r="BZS29" s="53"/>
      <c r="BZT29" s="53"/>
      <c r="BZU29" s="53"/>
      <c r="BZV29" s="53"/>
      <c r="BZW29" s="53"/>
      <c r="BZX29" s="53"/>
      <c r="BZY29" s="53"/>
      <c r="BZZ29" s="53"/>
      <c r="CAA29" s="212"/>
      <c r="CAB29" s="46"/>
      <c r="CAC29" s="53"/>
      <c r="CAD29" s="53"/>
      <c r="CAE29" s="53"/>
      <c r="CAF29" s="53"/>
      <c r="CAG29" s="53"/>
      <c r="CAH29" s="53"/>
      <c r="CAI29" s="53"/>
      <c r="CAJ29" s="53"/>
      <c r="CAK29" s="53"/>
      <c r="CAL29" s="53"/>
      <c r="CAM29" s="53"/>
      <c r="CAN29" s="53"/>
      <c r="CAO29" s="53"/>
      <c r="CAP29" s="212"/>
      <c r="CAQ29" s="46"/>
      <c r="CAR29" s="53"/>
      <c r="CAS29" s="53"/>
      <c r="CAT29" s="53"/>
      <c r="CAU29" s="53"/>
      <c r="CAV29" s="53"/>
      <c r="CAW29" s="53"/>
      <c r="CAX29" s="53"/>
      <c r="CAY29" s="53"/>
      <c r="CAZ29" s="53"/>
      <c r="CBA29" s="53"/>
      <c r="CBB29" s="53"/>
      <c r="CBC29" s="53"/>
      <c r="CBD29" s="53"/>
      <c r="CBE29" s="212"/>
      <c r="CBF29" s="46"/>
      <c r="CBG29" s="53"/>
      <c r="CBH29" s="53"/>
      <c r="CBI29" s="53"/>
      <c r="CBJ29" s="53"/>
      <c r="CBK29" s="53"/>
      <c r="CBL29" s="53"/>
      <c r="CBM29" s="53"/>
      <c r="CBN29" s="53"/>
      <c r="CBO29" s="53"/>
      <c r="CBP29" s="53"/>
      <c r="CBQ29" s="53"/>
      <c r="CBR29" s="53"/>
      <c r="CBS29" s="53"/>
      <c r="CBT29" s="212"/>
      <c r="CBU29" s="46"/>
      <c r="CBV29" s="53"/>
      <c r="CBW29" s="53"/>
      <c r="CBX29" s="53"/>
      <c r="CBY29" s="53"/>
      <c r="CBZ29" s="53"/>
      <c r="CCA29" s="53"/>
      <c r="CCB29" s="53"/>
      <c r="CCC29" s="53"/>
      <c r="CCD29" s="53"/>
      <c r="CCE29" s="53"/>
      <c r="CCF29" s="53"/>
      <c r="CCG29" s="53"/>
      <c r="CCH29" s="53"/>
      <c r="CCI29" s="212"/>
      <c r="CCJ29" s="46"/>
      <c r="CCK29" s="53"/>
      <c r="CCL29" s="53"/>
      <c r="CCM29" s="53"/>
      <c r="CCN29" s="53"/>
      <c r="CCO29" s="53"/>
      <c r="CCP29" s="53"/>
      <c r="CCQ29" s="53"/>
      <c r="CCR29" s="53"/>
      <c r="CCS29" s="53"/>
      <c r="CCT29" s="53"/>
      <c r="CCU29" s="53"/>
      <c r="CCV29" s="53"/>
      <c r="CCW29" s="53"/>
      <c r="CCX29" s="212"/>
      <c r="CCY29" s="46"/>
      <c r="CCZ29" s="53"/>
      <c r="CDA29" s="53"/>
      <c r="CDB29" s="53"/>
      <c r="CDC29" s="53"/>
      <c r="CDD29" s="53"/>
      <c r="CDE29" s="53"/>
      <c r="CDF29" s="53"/>
      <c r="CDG29" s="53"/>
      <c r="CDH29" s="53"/>
      <c r="CDI29" s="53"/>
      <c r="CDJ29" s="53"/>
      <c r="CDK29" s="53"/>
      <c r="CDL29" s="53"/>
      <c r="CDM29" s="212"/>
      <c r="CDN29" s="46"/>
      <c r="CDO29" s="53"/>
      <c r="CDP29" s="53"/>
      <c r="CDQ29" s="53"/>
      <c r="CDR29" s="53"/>
      <c r="CDS29" s="53"/>
      <c r="CDT29" s="53"/>
      <c r="CDU29" s="53"/>
      <c r="CDV29" s="53"/>
      <c r="CDW29" s="53"/>
      <c r="CDX29" s="53"/>
      <c r="CDY29" s="53"/>
      <c r="CDZ29" s="53"/>
      <c r="CEA29" s="53"/>
      <c r="CEB29" s="212"/>
      <c r="CEC29" s="46"/>
      <c r="CED29" s="53"/>
      <c r="CEE29" s="53"/>
      <c r="CEF29" s="53"/>
      <c r="CEG29" s="53"/>
      <c r="CEH29" s="53"/>
      <c r="CEI29" s="53"/>
      <c r="CEJ29" s="53"/>
      <c r="CEK29" s="53"/>
      <c r="CEL29" s="53"/>
      <c r="CEM29" s="53"/>
      <c r="CEN29" s="53"/>
      <c r="CEO29" s="53"/>
      <c r="CEP29" s="53"/>
      <c r="CEQ29" s="212"/>
      <c r="CER29" s="46"/>
      <c r="CES29" s="53"/>
      <c r="CET29" s="53"/>
      <c r="CEU29" s="53"/>
      <c r="CEV29" s="53"/>
      <c r="CEW29" s="53"/>
      <c r="CEX29" s="53"/>
      <c r="CEY29" s="53"/>
      <c r="CEZ29" s="53"/>
      <c r="CFA29" s="53"/>
      <c r="CFB29" s="53"/>
      <c r="CFC29" s="53"/>
      <c r="CFD29" s="53"/>
      <c r="CFE29" s="53"/>
      <c r="CFF29" s="212"/>
      <c r="CFG29" s="46"/>
      <c r="CFH29" s="53"/>
      <c r="CFI29" s="53"/>
      <c r="CFJ29" s="53"/>
      <c r="CFK29" s="53"/>
      <c r="CFL29" s="53"/>
      <c r="CFM29" s="53"/>
      <c r="CFN29" s="53"/>
      <c r="CFO29" s="53"/>
      <c r="CFP29" s="53"/>
      <c r="CFQ29" s="53"/>
      <c r="CFR29" s="53"/>
      <c r="CFS29" s="53"/>
      <c r="CFT29" s="53"/>
      <c r="CFU29" s="212"/>
      <c r="CFV29" s="46"/>
      <c r="CFW29" s="53"/>
      <c r="CFX29" s="53"/>
      <c r="CFY29" s="53"/>
      <c r="CFZ29" s="53"/>
      <c r="CGA29" s="53"/>
      <c r="CGB29" s="53"/>
      <c r="CGC29" s="53"/>
      <c r="CGD29" s="53"/>
      <c r="CGE29" s="53"/>
      <c r="CGF29" s="53"/>
      <c r="CGG29" s="53"/>
      <c r="CGH29" s="53"/>
      <c r="CGI29" s="53"/>
      <c r="CGJ29" s="212"/>
      <c r="CGK29" s="46"/>
      <c r="CGL29" s="53"/>
      <c r="CGM29" s="53"/>
      <c r="CGN29" s="53"/>
      <c r="CGO29" s="53"/>
      <c r="CGP29" s="53"/>
      <c r="CGQ29" s="53"/>
      <c r="CGR29" s="53"/>
      <c r="CGS29" s="53"/>
      <c r="CGT29" s="53"/>
      <c r="CGU29" s="53"/>
      <c r="CGV29" s="53"/>
      <c r="CGW29" s="53"/>
      <c r="CGX29" s="53"/>
      <c r="CGY29" s="212"/>
      <c r="CGZ29" s="46"/>
      <c r="CHA29" s="53"/>
      <c r="CHB29" s="53"/>
      <c r="CHC29" s="53"/>
      <c r="CHD29" s="53"/>
      <c r="CHE29" s="53"/>
      <c r="CHF29" s="53"/>
      <c r="CHG29" s="53"/>
      <c r="CHH29" s="53"/>
      <c r="CHI29" s="53"/>
      <c r="CHJ29" s="53"/>
      <c r="CHK29" s="53"/>
      <c r="CHL29" s="53"/>
      <c r="CHM29" s="53"/>
      <c r="CHN29" s="212"/>
      <c r="CHO29" s="46"/>
      <c r="CHP29" s="53"/>
      <c r="CHQ29" s="53"/>
      <c r="CHR29" s="53"/>
      <c r="CHS29" s="53"/>
      <c r="CHT29" s="53"/>
      <c r="CHU29" s="53"/>
      <c r="CHV29" s="53"/>
      <c r="CHW29" s="53"/>
      <c r="CHX29" s="53"/>
      <c r="CHY29" s="53"/>
      <c r="CHZ29" s="53"/>
      <c r="CIA29" s="53"/>
      <c r="CIB29" s="53"/>
      <c r="CIC29" s="212"/>
      <c r="CID29" s="46"/>
      <c r="CIE29" s="53"/>
      <c r="CIF29" s="53"/>
      <c r="CIG29" s="53"/>
      <c r="CIH29" s="53"/>
      <c r="CII29" s="53"/>
      <c r="CIJ29" s="53"/>
      <c r="CIK29" s="53"/>
      <c r="CIL29" s="53"/>
      <c r="CIM29" s="53"/>
      <c r="CIN29" s="53"/>
      <c r="CIO29" s="53"/>
      <c r="CIP29" s="53"/>
      <c r="CIQ29" s="53"/>
      <c r="CIR29" s="212"/>
      <c r="CIS29" s="46"/>
      <c r="CIT29" s="53"/>
      <c r="CIU29" s="53"/>
      <c r="CIV29" s="53"/>
      <c r="CIW29" s="53"/>
      <c r="CIX29" s="53"/>
      <c r="CIY29" s="53"/>
      <c r="CIZ29" s="53"/>
      <c r="CJA29" s="53"/>
      <c r="CJB29" s="53"/>
      <c r="CJC29" s="53"/>
      <c r="CJD29" s="53"/>
      <c r="CJE29" s="53"/>
      <c r="CJF29" s="53"/>
      <c r="CJG29" s="212"/>
      <c r="CJH29" s="46"/>
      <c r="CJI29" s="53"/>
      <c r="CJJ29" s="53"/>
      <c r="CJK29" s="53"/>
      <c r="CJL29" s="53"/>
      <c r="CJM29" s="53"/>
      <c r="CJN29" s="53"/>
      <c r="CJO29" s="53"/>
      <c r="CJP29" s="53"/>
      <c r="CJQ29" s="53"/>
      <c r="CJR29" s="53"/>
      <c r="CJS29" s="53"/>
      <c r="CJT29" s="53"/>
      <c r="CJU29" s="53"/>
      <c r="CJV29" s="212"/>
      <c r="CJW29" s="46"/>
      <c r="CJX29" s="53"/>
      <c r="CJY29" s="53"/>
      <c r="CJZ29" s="53"/>
      <c r="CKA29" s="53"/>
      <c r="CKB29" s="53"/>
      <c r="CKC29" s="53"/>
      <c r="CKD29" s="53"/>
      <c r="CKE29" s="53"/>
      <c r="CKF29" s="53"/>
      <c r="CKG29" s="53"/>
      <c r="CKH29" s="53"/>
      <c r="CKI29" s="53"/>
      <c r="CKJ29" s="53"/>
      <c r="CKK29" s="212"/>
      <c r="CKL29" s="46"/>
      <c r="CKM29" s="53"/>
      <c r="CKN29" s="53"/>
      <c r="CKO29" s="53"/>
      <c r="CKP29" s="53"/>
      <c r="CKQ29" s="53"/>
      <c r="CKR29" s="53"/>
      <c r="CKS29" s="53"/>
      <c r="CKT29" s="53"/>
      <c r="CKU29" s="53"/>
      <c r="CKV29" s="53"/>
      <c r="CKW29" s="53"/>
      <c r="CKX29" s="53"/>
      <c r="CKY29" s="53"/>
      <c r="CKZ29" s="212"/>
      <c r="CLA29" s="46"/>
      <c r="CLB29" s="53"/>
      <c r="CLC29" s="53"/>
      <c r="CLD29" s="53"/>
      <c r="CLE29" s="53"/>
      <c r="CLF29" s="53"/>
      <c r="CLG29" s="53"/>
      <c r="CLH29" s="53"/>
      <c r="CLI29" s="53"/>
      <c r="CLJ29" s="53"/>
      <c r="CLK29" s="53"/>
      <c r="CLL29" s="53"/>
      <c r="CLM29" s="53"/>
      <c r="CLN29" s="53"/>
      <c r="CLO29" s="212"/>
      <c r="CLP29" s="46"/>
      <c r="CLQ29" s="53"/>
      <c r="CLR29" s="53"/>
      <c r="CLS29" s="53"/>
      <c r="CLT29" s="53"/>
      <c r="CLU29" s="53"/>
      <c r="CLV29" s="53"/>
      <c r="CLW29" s="53"/>
      <c r="CLX29" s="53"/>
      <c r="CLY29" s="53"/>
      <c r="CLZ29" s="53"/>
      <c r="CMA29" s="53"/>
      <c r="CMB29" s="53"/>
      <c r="CMC29" s="53"/>
      <c r="CMD29" s="212"/>
      <c r="CME29" s="46"/>
      <c r="CMF29" s="53"/>
      <c r="CMG29" s="53"/>
      <c r="CMH29" s="53"/>
      <c r="CMI29" s="53"/>
      <c r="CMJ29" s="53"/>
      <c r="CMK29" s="53"/>
      <c r="CML29" s="53"/>
      <c r="CMM29" s="53"/>
      <c r="CMN29" s="53"/>
      <c r="CMO29" s="53"/>
      <c r="CMP29" s="53"/>
      <c r="CMQ29" s="53"/>
      <c r="CMR29" s="53"/>
      <c r="CMS29" s="212"/>
      <c r="CMT29" s="46"/>
      <c r="CMU29" s="53"/>
      <c r="CMV29" s="53"/>
      <c r="CMW29" s="53"/>
      <c r="CMX29" s="53"/>
      <c r="CMY29" s="53"/>
      <c r="CMZ29" s="53"/>
      <c r="CNA29" s="53"/>
      <c r="CNB29" s="53"/>
      <c r="CNC29" s="53"/>
      <c r="CND29" s="53"/>
      <c r="CNE29" s="53"/>
      <c r="CNF29" s="53"/>
      <c r="CNG29" s="53"/>
      <c r="CNH29" s="212"/>
      <c r="CNI29" s="46"/>
      <c r="CNJ29" s="53"/>
      <c r="CNK29" s="53"/>
      <c r="CNL29" s="53"/>
      <c r="CNM29" s="53"/>
      <c r="CNN29" s="53"/>
      <c r="CNO29" s="53"/>
      <c r="CNP29" s="53"/>
      <c r="CNQ29" s="53"/>
      <c r="CNR29" s="53"/>
      <c r="CNS29" s="53"/>
      <c r="CNT29" s="53"/>
      <c r="CNU29" s="53"/>
      <c r="CNV29" s="53"/>
      <c r="CNW29" s="212"/>
      <c r="CNX29" s="46"/>
      <c r="CNY29" s="53"/>
      <c r="CNZ29" s="53"/>
      <c r="COA29" s="53"/>
      <c r="COB29" s="53"/>
      <c r="COC29" s="53"/>
      <c r="COD29" s="53"/>
      <c r="COE29" s="53"/>
      <c r="COF29" s="53"/>
      <c r="COG29" s="53"/>
      <c r="COH29" s="53"/>
      <c r="COI29" s="53"/>
      <c r="COJ29" s="53"/>
      <c r="COK29" s="53"/>
      <c r="COL29" s="212"/>
      <c r="COM29" s="46"/>
      <c r="CON29" s="53"/>
      <c r="COO29" s="53"/>
      <c r="COP29" s="53"/>
      <c r="COQ29" s="53"/>
      <c r="COR29" s="53"/>
      <c r="COS29" s="53"/>
      <c r="COT29" s="53"/>
      <c r="COU29" s="53"/>
      <c r="COV29" s="53"/>
      <c r="COW29" s="53"/>
      <c r="COX29" s="53"/>
      <c r="COY29" s="53"/>
      <c r="COZ29" s="53"/>
      <c r="CPA29" s="212"/>
      <c r="CPB29" s="46"/>
      <c r="CPC29" s="53"/>
      <c r="CPD29" s="53"/>
      <c r="CPE29" s="53"/>
      <c r="CPF29" s="53"/>
      <c r="CPG29" s="53"/>
      <c r="CPH29" s="53"/>
      <c r="CPI29" s="53"/>
      <c r="CPJ29" s="53"/>
      <c r="CPK29" s="53"/>
      <c r="CPL29" s="53"/>
      <c r="CPM29" s="53"/>
      <c r="CPN29" s="53"/>
      <c r="CPO29" s="53"/>
      <c r="CPP29" s="212"/>
      <c r="CPQ29" s="46"/>
      <c r="CPR29" s="53"/>
      <c r="CPS29" s="53"/>
      <c r="CPT29" s="53"/>
      <c r="CPU29" s="53"/>
      <c r="CPV29" s="53"/>
      <c r="CPW29" s="53"/>
      <c r="CPX29" s="53"/>
      <c r="CPY29" s="53"/>
      <c r="CPZ29" s="53"/>
      <c r="CQA29" s="53"/>
      <c r="CQB29" s="53"/>
      <c r="CQC29" s="53"/>
      <c r="CQD29" s="53"/>
      <c r="CQE29" s="212"/>
      <c r="CQF29" s="46"/>
      <c r="CQG29" s="53"/>
      <c r="CQH29" s="53"/>
      <c r="CQI29" s="53"/>
      <c r="CQJ29" s="53"/>
      <c r="CQK29" s="53"/>
      <c r="CQL29" s="53"/>
      <c r="CQM29" s="53"/>
      <c r="CQN29" s="53"/>
      <c r="CQO29" s="53"/>
      <c r="CQP29" s="53"/>
      <c r="CQQ29" s="53"/>
      <c r="CQR29" s="53"/>
      <c r="CQS29" s="53"/>
      <c r="CQT29" s="212"/>
      <c r="CQU29" s="46"/>
      <c r="CQV29" s="53"/>
      <c r="CQW29" s="53"/>
      <c r="CQX29" s="53"/>
      <c r="CQY29" s="53"/>
      <c r="CQZ29" s="53"/>
      <c r="CRA29" s="53"/>
      <c r="CRB29" s="53"/>
      <c r="CRC29" s="53"/>
      <c r="CRD29" s="53"/>
      <c r="CRE29" s="53"/>
      <c r="CRF29" s="53"/>
      <c r="CRG29" s="53"/>
      <c r="CRH29" s="53"/>
      <c r="CRI29" s="212"/>
      <c r="CRJ29" s="46"/>
      <c r="CRK29" s="53"/>
      <c r="CRL29" s="53"/>
      <c r="CRM29" s="53"/>
      <c r="CRN29" s="53"/>
      <c r="CRO29" s="53"/>
      <c r="CRP29" s="53"/>
      <c r="CRQ29" s="53"/>
      <c r="CRR29" s="53"/>
      <c r="CRS29" s="53"/>
      <c r="CRT29" s="53"/>
      <c r="CRU29" s="53"/>
      <c r="CRV29" s="53"/>
      <c r="CRW29" s="53"/>
      <c r="CRX29" s="212"/>
      <c r="CRY29" s="46"/>
      <c r="CRZ29" s="53"/>
      <c r="CSA29" s="53"/>
      <c r="CSB29" s="53"/>
      <c r="CSC29" s="53"/>
      <c r="CSD29" s="53"/>
      <c r="CSE29" s="53"/>
      <c r="CSF29" s="53"/>
      <c r="CSG29" s="53"/>
      <c r="CSH29" s="53"/>
      <c r="CSI29" s="53"/>
      <c r="CSJ29" s="53"/>
      <c r="CSK29" s="53"/>
      <c r="CSL29" s="53"/>
      <c r="CSM29" s="212"/>
      <c r="CSN29" s="46"/>
      <c r="CSO29" s="53"/>
      <c r="CSP29" s="53"/>
      <c r="CSQ29" s="53"/>
      <c r="CSR29" s="53"/>
      <c r="CSS29" s="53"/>
      <c r="CST29" s="53"/>
      <c r="CSU29" s="53"/>
      <c r="CSV29" s="53"/>
      <c r="CSW29" s="53"/>
      <c r="CSX29" s="53"/>
      <c r="CSY29" s="53"/>
      <c r="CSZ29" s="53"/>
      <c r="CTA29" s="53"/>
      <c r="CTB29" s="212"/>
      <c r="CTC29" s="46"/>
      <c r="CTD29" s="53"/>
      <c r="CTE29" s="53"/>
      <c r="CTF29" s="53"/>
      <c r="CTG29" s="53"/>
      <c r="CTH29" s="53"/>
      <c r="CTI29" s="53"/>
      <c r="CTJ29" s="53"/>
      <c r="CTK29" s="53"/>
      <c r="CTL29" s="53"/>
      <c r="CTM29" s="53"/>
      <c r="CTN29" s="53"/>
      <c r="CTO29" s="53"/>
      <c r="CTP29" s="53"/>
      <c r="CTQ29" s="212"/>
      <c r="CTR29" s="46"/>
      <c r="CTS29" s="53"/>
      <c r="CTT29" s="53"/>
      <c r="CTU29" s="53"/>
      <c r="CTV29" s="53"/>
      <c r="CTW29" s="53"/>
      <c r="CTX29" s="53"/>
      <c r="CTY29" s="53"/>
      <c r="CTZ29" s="53"/>
      <c r="CUA29" s="53"/>
      <c r="CUB29" s="53"/>
      <c r="CUC29" s="53"/>
      <c r="CUD29" s="53"/>
      <c r="CUE29" s="53"/>
      <c r="CUF29" s="212"/>
      <c r="CUG29" s="46"/>
      <c r="CUH29" s="53"/>
      <c r="CUI29" s="53"/>
      <c r="CUJ29" s="53"/>
      <c r="CUK29" s="53"/>
      <c r="CUL29" s="53"/>
      <c r="CUM29" s="53"/>
      <c r="CUN29" s="53"/>
      <c r="CUO29" s="53"/>
      <c r="CUP29" s="53"/>
      <c r="CUQ29" s="53"/>
      <c r="CUR29" s="53"/>
      <c r="CUS29" s="53"/>
      <c r="CUT29" s="53"/>
      <c r="CUU29" s="212"/>
      <c r="CUV29" s="46"/>
      <c r="CUW29" s="53"/>
      <c r="CUX29" s="53"/>
      <c r="CUY29" s="53"/>
      <c r="CUZ29" s="53"/>
      <c r="CVA29" s="53"/>
      <c r="CVB29" s="53"/>
      <c r="CVC29" s="53"/>
      <c r="CVD29" s="53"/>
      <c r="CVE29" s="53"/>
      <c r="CVF29" s="53"/>
      <c r="CVG29" s="53"/>
      <c r="CVH29" s="53"/>
      <c r="CVI29" s="53"/>
      <c r="CVJ29" s="212"/>
      <c r="CVK29" s="46"/>
      <c r="CVL29" s="53"/>
      <c r="CVM29" s="53"/>
      <c r="CVN29" s="53"/>
      <c r="CVO29" s="53"/>
      <c r="CVP29" s="53"/>
      <c r="CVQ29" s="53"/>
      <c r="CVR29" s="53"/>
      <c r="CVS29" s="53"/>
      <c r="CVT29" s="53"/>
      <c r="CVU29" s="53"/>
      <c r="CVV29" s="53"/>
      <c r="CVW29" s="53"/>
      <c r="CVX29" s="53"/>
      <c r="CVY29" s="212"/>
      <c r="CVZ29" s="46"/>
      <c r="CWA29" s="53"/>
      <c r="CWB29" s="53"/>
      <c r="CWC29" s="53"/>
      <c r="CWD29" s="53"/>
      <c r="CWE29" s="53"/>
      <c r="CWF29" s="53"/>
      <c r="CWG29" s="53"/>
      <c r="CWH29" s="53"/>
      <c r="CWI29" s="53"/>
      <c r="CWJ29" s="53"/>
      <c r="CWK29" s="53"/>
      <c r="CWL29" s="53"/>
      <c r="CWM29" s="53"/>
      <c r="CWN29" s="212"/>
      <c r="CWO29" s="46"/>
      <c r="CWP29" s="53"/>
      <c r="CWQ29" s="53"/>
      <c r="CWR29" s="53"/>
      <c r="CWS29" s="53"/>
      <c r="CWT29" s="53"/>
      <c r="CWU29" s="53"/>
      <c r="CWV29" s="53"/>
      <c r="CWW29" s="53"/>
      <c r="CWX29" s="53"/>
      <c r="CWY29" s="53"/>
      <c r="CWZ29" s="53"/>
      <c r="CXA29" s="53"/>
      <c r="CXB29" s="53"/>
      <c r="CXC29" s="212"/>
      <c r="CXD29" s="46"/>
      <c r="CXE29" s="53"/>
      <c r="CXF29" s="53"/>
      <c r="CXG29" s="53"/>
      <c r="CXH29" s="53"/>
      <c r="CXI29" s="53"/>
      <c r="CXJ29" s="53"/>
      <c r="CXK29" s="53"/>
      <c r="CXL29" s="53"/>
      <c r="CXM29" s="53"/>
      <c r="CXN29" s="53"/>
      <c r="CXO29" s="53"/>
      <c r="CXP29" s="53"/>
      <c r="CXQ29" s="53"/>
      <c r="CXR29" s="212"/>
      <c r="CXS29" s="46"/>
      <c r="CXT29" s="53"/>
      <c r="CXU29" s="53"/>
      <c r="CXV29" s="53"/>
      <c r="CXW29" s="53"/>
      <c r="CXX29" s="53"/>
      <c r="CXY29" s="53"/>
      <c r="CXZ29" s="53"/>
      <c r="CYA29" s="53"/>
      <c r="CYB29" s="53"/>
      <c r="CYC29" s="53"/>
      <c r="CYD29" s="53"/>
      <c r="CYE29" s="53"/>
      <c r="CYF29" s="53"/>
      <c r="CYG29" s="212"/>
      <c r="CYH29" s="46"/>
      <c r="CYI29" s="53"/>
      <c r="CYJ29" s="53"/>
      <c r="CYK29" s="53"/>
      <c r="CYL29" s="53"/>
      <c r="CYM29" s="53"/>
      <c r="CYN29" s="53"/>
      <c r="CYO29" s="53"/>
      <c r="CYP29" s="53"/>
      <c r="CYQ29" s="53"/>
      <c r="CYR29" s="53"/>
      <c r="CYS29" s="53"/>
      <c r="CYT29" s="53"/>
      <c r="CYU29" s="53"/>
      <c r="CYV29" s="212"/>
      <c r="CYW29" s="46"/>
      <c r="CYX29" s="53"/>
      <c r="CYY29" s="53"/>
      <c r="CYZ29" s="53"/>
      <c r="CZA29" s="53"/>
      <c r="CZB29" s="53"/>
      <c r="CZC29" s="53"/>
      <c r="CZD29" s="53"/>
      <c r="CZE29" s="53"/>
      <c r="CZF29" s="53"/>
      <c r="CZG29" s="53"/>
      <c r="CZH29" s="53"/>
      <c r="CZI29" s="53"/>
      <c r="CZJ29" s="53"/>
      <c r="CZK29" s="212"/>
      <c r="CZL29" s="46"/>
      <c r="CZM29" s="53"/>
      <c r="CZN29" s="53"/>
      <c r="CZO29" s="53"/>
      <c r="CZP29" s="53"/>
      <c r="CZQ29" s="53"/>
      <c r="CZR29" s="53"/>
      <c r="CZS29" s="53"/>
      <c r="CZT29" s="53"/>
      <c r="CZU29" s="53"/>
      <c r="CZV29" s="53"/>
      <c r="CZW29" s="53"/>
      <c r="CZX29" s="53"/>
      <c r="CZY29" s="53"/>
      <c r="CZZ29" s="212"/>
      <c r="DAA29" s="46"/>
      <c r="DAB29" s="53"/>
      <c r="DAC29" s="53"/>
      <c r="DAD29" s="53"/>
      <c r="DAE29" s="53"/>
      <c r="DAF29" s="53"/>
      <c r="DAG29" s="53"/>
      <c r="DAH29" s="53"/>
      <c r="DAI29" s="53"/>
      <c r="DAJ29" s="53"/>
      <c r="DAK29" s="53"/>
      <c r="DAL29" s="53"/>
      <c r="DAM29" s="53"/>
      <c r="DAN29" s="53"/>
      <c r="DAO29" s="212"/>
      <c r="DAP29" s="46"/>
      <c r="DAQ29" s="53"/>
      <c r="DAR29" s="53"/>
      <c r="DAS29" s="53"/>
      <c r="DAT29" s="53"/>
      <c r="DAU29" s="53"/>
      <c r="DAV29" s="53"/>
      <c r="DAW29" s="53"/>
      <c r="DAX29" s="53"/>
      <c r="DAY29" s="53"/>
      <c r="DAZ29" s="53"/>
      <c r="DBA29" s="53"/>
      <c r="DBB29" s="53"/>
      <c r="DBC29" s="53"/>
      <c r="DBD29" s="212"/>
      <c r="DBE29" s="46"/>
      <c r="DBF29" s="53"/>
      <c r="DBG29" s="53"/>
      <c r="DBH29" s="53"/>
      <c r="DBI29" s="53"/>
      <c r="DBJ29" s="53"/>
      <c r="DBK29" s="53"/>
      <c r="DBL29" s="53"/>
      <c r="DBM29" s="53"/>
      <c r="DBN29" s="53"/>
      <c r="DBO29" s="53"/>
      <c r="DBP29" s="53"/>
      <c r="DBQ29" s="53"/>
      <c r="DBR29" s="53"/>
      <c r="DBS29" s="212"/>
      <c r="DBT29" s="46"/>
      <c r="DBU29" s="53"/>
      <c r="DBV29" s="53"/>
      <c r="DBW29" s="53"/>
      <c r="DBX29" s="53"/>
      <c r="DBY29" s="53"/>
      <c r="DBZ29" s="53"/>
      <c r="DCA29" s="53"/>
      <c r="DCB29" s="53"/>
      <c r="DCC29" s="53"/>
      <c r="DCD29" s="53"/>
      <c r="DCE29" s="53"/>
      <c r="DCF29" s="53"/>
      <c r="DCG29" s="53"/>
      <c r="DCH29" s="212"/>
      <c r="DCI29" s="46"/>
      <c r="DCJ29" s="53"/>
      <c r="DCK29" s="53"/>
      <c r="DCL29" s="53"/>
      <c r="DCM29" s="53"/>
      <c r="DCN29" s="53"/>
      <c r="DCO29" s="53"/>
      <c r="DCP29" s="53"/>
      <c r="DCQ29" s="53"/>
      <c r="DCR29" s="53"/>
      <c r="DCS29" s="53"/>
      <c r="DCT29" s="53"/>
      <c r="DCU29" s="53"/>
      <c r="DCV29" s="53"/>
      <c r="DCW29" s="212"/>
      <c r="DCX29" s="46"/>
      <c r="DCY29" s="53"/>
      <c r="DCZ29" s="53"/>
      <c r="DDA29" s="53"/>
      <c r="DDB29" s="53"/>
      <c r="DDC29" s="53"/>
      <c r="DDD29" s="53"/>
      <c r="DDE29" s="53"/>
      <c r="DDF29" s="53"/>
      <c r="DDG29" s="53"/>
      <c r="DDH29" s="53"/>
      <c r="DDI29" s="53"/>
      <c r="DDJ29" s="53"/>
      <c r="DDK29" s="53"/>
      <c r="DDL29" s="212"/>
      <c r="DDM29" s="46"/>
      <c r="DDN29" s="53"/>
      <c r="DDO29" s="53"/>
      <c r="DDP29" s="53"/>
      <c r="DDQ29" s="53"/>
      <c r="DDR29" s="53"/>
      <c r="DDS29" s="53"/>
      <c r="DDT29" s="53"/>
      <c r="DDU29" s="53"/>
      <c r="DDV29" s="53"/>
      <c r="DDW29" s="53"/>
      <c r="DDX29" s="53"/>
      <c r="DDY29" s="53"/>
      <c r="DDZ29" s="53"/>
      <c r="DEA29" s="212"/>
      <c r="DEB29" s="46"/>
      <c r="DEC29" s="53"/>
      <c r="DED29" s="53"/>
      <c r="DEE29" s="53"/>
      <c r="DEF29" s="53"/>
      <c r="DEG29" s="53"/>
      <c r="DEH29" s="53"/>
      <c r="DEI29" s="53"/>
      <c r="DEJ29" s="53"/>
      <c r="DEK29" s="53"/>
      <c r="DEL29" s="53"/>
      <c r="DEM29" s="53"/>
      <c r="DEN29" s="53"/>
      <c r="DEO29" s="53"/>
      <c r="DEP29" s="212"/>
      <c r="DEQ29" s="46"/>
      <c r="DER29" s="53"/>
      <c r="DES29" s="53"/>
      <c r="DET29" s="53"/>
      <c r="DEU29" s="53"/>
      <c r="DEV29" s="53"/>
      <c r="DEW29" s="53"/>
      <c r="DEX29" s="53"/>
      <c r="DEY29" s="53"/>
      <c r="DEZ29" s="53"/>
      <c r="DFA29" s="53"/>
      <c r="DFB29" s="53"/>
      <c r="DFC29" s="53"/>
      <c r="DFD29" s="53"/>
      <c r="DFE29" s="212"/>
      <c r="DFF29" s="46"/>
      <c r="DFG29" s="53"/>
      <c r="DFH29" s="53"/>
      <c r="DFI29" s="53"/>
      <c r="DFJ29" s="53"/>
      <c r="DFK29" s="53"/>
      <c r="DFL29" s="53"/>
      <c r="DFM29" s="53"/>
      <c r="DFN29" s="53"/>
      <c r="DFO29" s="53"/>
      <c r="DFP29" s="53"/>
      <c r="DFQ29" s="53"/>
      <c r="DFR29" s="53"/>
      <c r="DFS29" s="53"/>
      <c r="DFT29" s="212"/>
      <c r="DFU29" s="46"/>
      <c r="DFV29" s="53"/>
      <c r="DFW29" s="53"/>
      <c r="DFX29" s="53"/>
      <c r="DFY29" s="53"/>
      <c r="DFZ29" s="53"/>
      <c r="DGA29" s="53"/>
      <c r="DGB29" s="53"/>
      <c r="DGC29" s="53"/>
      <c r="DGD29" s="53"/>
      <c r="DGE29" s="53"/>
      <c r="DGF29" s="53"/>
      <c r="DGG29" s="53"/>
      <c r="DGH29" s="53"/>
      <c r="DGI29" s="212"/>
      <c r="DGJ29" s="46"/>
      <c r="DGK29" s="53"/>
      <c r="DGL29" s="53"/>
      <c r="DGM29" s="53"/>
      <c r="DGN29" s="53"/>
      <c r="DGO29" s="53"/>
      <c r="DGP29" s="53"/>
      <c r="DGQ29" s="53"/>
      <c r="DGR29" s="53"/>
      <c r="DGS29" s="53"/>
      <c r="DGT29" s="53"/>
      <c r="DGU29" s="53"/>
      <c r="DGV29" s="53"/>
      <c r="DGW29" s="53"/>
      <c r="DGX29" s="212"/>
      <c r="DGY29" s="46"/>
      <c r="DGZ29" s="53"/>
      <c r="DHA29" s="53"/>
      <c r="DHB29" s="53"/>
      <c r="DHC29" s="53"/>
      <c r="DHD29" s="53"/>
      <c r="DHE29" s="53"/>
      <c r="DHF29" s="53"/>
      <c r="DHG29" s="53"/>
      <c r="DHH29" s="53"/>
      <c r="DHI29" s="53"/>
      <c r="DHJ29" s="53"/>
      <c r="DHK29" s="53"/>
      <c r="DHL29" s="53"/>
      <c r="DHM29" s="212"/>
      <c r="DHN29" s="46"/>
      <c r="DHO29" s="53"/>
      <c r="DHP29" s="53"/>
      <c r="DHQ29" s="53"/>
      <c r="DHR29" s="53"/>
      <c r="DHS29" s="53"/>
      <c r="DHT29" s="53"/>
      <c r="DHU29" s="53"/>
      <c r="DHV29" s="53"/>
      <c r="DHW29" s="53"/>
      <c r="DHX29" s="53"/>
      <c r="DHY29" s="53"/>
      <c r="DHZ29" s="53"/>
      <c r="DIA29" s="53"/>
      <c r="DIB29" s="212"/>
      <c r="DIC29" s="46"/>
      <c r="DID29" s="53"/>
      <c r="DIE29" s="53"/>
      <c r="DIF29" s="53"/>
      <c r="DIG29" s="53"/>
      <c r="DIH29" s="53"/>
      <c r="DII29" s="53"/>
      <c r="DIJ29" s="53"/>
      <c r="DIK29" s="53"/>
      <c r="DIL29" s="53"/>
      <c r="DIM29" s="53"/>
      <c r="DIN29" s="53"/>
      <c r="DIO29" s="53"/>
      <c r="DIP29" s="53"/>
      <c r="DIQ29" s="212"/>
      <c r="DIR29" s="46"/>
      <c r="DIS29" s="53"/>
      <c r="DIT29" s="53"/>
      <c r="DIU29" s="53"/>
      <c r="DIV29" s="53"/>
      <c r="DIW29" s="53"/>
      <c r="DIX29" s="53"/>
      <c r="DIY29" s="53"/>
      <c r="DIZ29" s="53"/>
      <c r="DJA29" s="53"/>
      <c r="DJB29" s="53"/>
      <c r="DJC29" s="53"/>
      <c r="DJD29" s="53"/>
      <c r="DJE29" s="53"/>
      <c r="DJF29" s="212"/>
      <c r="DJG29" s="46"/>
      <c r="DJH29" s="53"/>
      <c r="DJI29" s="53"/>
      <c r="DJJ29" s="53"/>
      <c r="DJK29" s="53"/>
      <c r="DJL29" s="53"/>
      <c r="DJM29" s="53"/>
      <c r="DJN29" s="53"/>
      <c r="DJO29" s="53"/>
      <c r="DJP29" s="53"/>
      <c r="DJQ29" s="53"/>
      <c r="DJR29" s="53"/>
      <c r="DJS29" s="53"/>
      <c r="DJT29" s="53"/>
      <c r="DJU29" s="212"/>
      <c r="DJV29" s="46"/>
      <c r="DJW29" s="53"/>
      <c r="DJX29" s="53"/>
      <c r="DJY29" s="53"/>
      <c r="DJZ29" s="53"/>
      <c r="DKA29" s="53"/>
      <c r="DKB29" s="53"/>
      <c r="DKC29" s="53"/>
      <c r="DKD29" s="53"/>
      <c r="DKE29" s="53"/>
      <c r="DKF29" s="53"/>
      <c r="DKG29" s="53"/>
      <c r="DKH29" s="53"/>
      <c r="DKI29" s="53"/>
      <c r="DKJ29" s="212"/>
      <c r="DKK29" s="46"/>
      <c r="DKL29" s="53"/>
      <c r="DKM29" s="53"/>
      <c r="DKN29" s="53"/>
      <c r="DKO29" s="53"/>
      <c r="DKP29" s="53"/>
      <c r="DKQ29" s="53"/>
      <c r="DKR29" s="53"/>
      <c r="DKS29" s="53"/>
      <c r="DKT29" s="53"/>
      <c r="DKU29" s="53"/>
      <c r="DKV29" s="53"/>
      <c r="DKW29" s="53"/>
      <c r="DKX29" s="53"/>
      <c r="DKY29" s="212"/>
      <c r="DKZ29" s="46"/>
      <c r="DLA29" s="53"/>
      <c r="DLB29" s="53"/>
      <c r="DLC29" s="53"/>
      <c r="DLD29" s="53"/>
      <c r="DLE29" s="53"/>
      <c r="DLF29" s="53"/>
      <c r="DLG29" s="53"/>
      <c r="DLH29" s="53"/>
      <c r="DLI29" s="53"/>
      <c r="DLJ29" s="53"/>
      <c r="DLK29" s="53"/>
      <c r="DLL29" s="53"/>
      <c r="DLM29" s="53"/>
      <c r="DLN29" s="212"/>
      <c r="DLO29" s="46"/>
      <c r="DLP29" s="53"/>
      <c r="DLQ29" s="53"/>
      <c r="DLR29" s="53"/>
      <c r="DLS29" s="53"/>
      <c r="DLT29" s="53"/>
      <c r="DLU29" s="53"/>
      <c r="DLV29" s="53"/>
      <c r="DLW29" s="53"/>
      <c r="DLX29" s="53"/>
      <c r="DLY29" s="53"/>
      <c r="DLZ29" s="53"/>
      <c r="DMA29" s="53"/>
      <c r="DMB29" s="53"/>
      <c r="DMC29" s="212"/>
      <c r="DMD29" s="46"/>
      <c r="DME29" s="53"/>
      <c r="DMF29" s="53"/>
      <c r="DMG29" s="53"/>
      <c r="DMH29" s="53"/>
      <c r="DMI29" s="53"/>
      <c r="DMJ29" s="53"/>
      <c r="DMK29" s="53"/>
      <c r="DML29" s="53"/>
      <c r="DMM29" s="53"/>
      <c r="DMN29" s="53"/>
      <c r="DMO29" s="53"/>
      <c r="DMP29" s="53"/>
      <c r="DMQ29" s="53"/>
      <c r="DMR29" s="212"/>
      <c r="DMS29" s="46"/>
      <c r="DMT29" s="53"/>
      <c r="DMU29" s="53"/>
      <c r="DMV29" s="53"/>
      <c r="DMW29" s="53"/>
      <c r="DMX29" s="53"/>
      <c r="DMY29" s="53"/>
      <c r="DMZ29" s="53"/>
      <c r="DNA29" s="53"/>
      <c r="DNB29" s="53"/>
      <c r="DNC29" s="53"/>
      <c r="DND29" s="53"/>
      <c r="DNE29" s="53"/>
      <c r="DNF29" s="53"/>
      <c r="DNG29" s="212"/>
      <c r="DNH29" s="46"/>
      <c r="DNI29" s="53"/>
      <c r="DNJ29" s="53"/>
      <c r="DNK29" s="53"/>
      <c r="DNL29" s="53"/>
      <c r="DNM29" s="53"/>
      <c r="DNN29" s="53"/>
      <c r="DNO29" s="53"/>
      <c r="DNP29" s="53"/>
      <c r="DNQ29" s="53"/>
      <c r="DNR29" s="53"/>
      <c r="DNS29" s="53"/>
      <c r="DNT29" s="53"/>
      <c r="DNU29" s="53"/>
      <c r="DNV29" s="212"/>
      <c r="DNW29" s="46"/>
      <c r="DNX29" s="53"/>
      <c r="DNY29" s="53"/>
      <c r="DNZ29" s="53"/>
      <c r="DOA29" s="53"/>
      <c r="DOB29" s="53"/>
      <c r="DOC29" s="53"/>
      <c r="DOD29" s="53"/>
      <c r="DOE29" s="53"/>
      <c r="DOF29" s="53"/>
      <c r="DOG29" s="53"/>
      <c r="DOH29" s="53"/>
      <c r="DOI29" s="53"/>
      <c r="DOJ29" s="53"/>
      <c r="DOK29" s="212"/>
      <c r="DOL29" s="46"/>
      <c r="DOM29" s="53"/>
      <c r="DON29" s="53"/>
      <c r="DOO29" s="53"/>
      <c r="DOP29" s="53"/>
      <c r="DOQ29" s="53"/>
      <c r="DOR29" s="53"/>
      <c r="DOS29" s="53"/>
      <c r="DOT29" s="53"/>
      <c r="DOU29" s="53"/>
      <c r="DOV29" s="53"/>
      <c r="DOW29" s="53"/>
      <c r="DOX29" s="53"/>
      <c r="DOY29" s="53"/>
      <c r="DOZ29" s="212"/>
      <c r="DPA29" s="46"/>
      <c r="DPB29" s="53"/>
      <c r="DPC29" s="53"/>
      <c r="DPD29" s="53"/>
      <c r="DPE29" s="53"/>
      <c r="DPF29" s="53"/>
      <c r="DPG29" s="53"/>
      <c r="DPH29" s="53"/>
      <c r="DPI29" s="53"/>
      <c r="DPJ29" s="53"/>
      <c r="DPK29" s="53"/>
      <c r="DPL29" s="53"/>
      <c r="DPM29" s="53"/>
      <c r="DPN29" s="53"/>
      <c r="DPO29" s="212"/>
      <c r="DPP29" s="46"/>
      <c r="DPQ29" s="53"/>
      <c r="DPR29" s="53"/>
      <c r="DPS29" s="53"/>
      <c r="DPT29" s="53"/>
      <c r="DPU29" s="53"/>
      <c r="DPV29" s="53"/>
      <c r="DPW29" s="53"/>
      <c r="DPX29" s="53"/>
      <c r="DPY29" s="53"/>
      <c r="DPZ29" s="53"/>
      <c r="DQA29" s="53"/>
      <c r="DQB29" s="53"/>
      <c r="DQC29" s="53"/>
      <c r="DQD29" s="212"/>
      <c r="DQE29" s="46"/>
      <c r="DQF29" s="53"/>
      <c r="DQG29" s="53"/>
      <c r="DQH29" s="53"/>
      <c r="DQI29" s="53"/>
      <c r="DQJ29" s="53"/>
      <c r="DQK29" s="53"/>
      <c r="DQL29" s="53"/>
      <c r="DQM29" s="53"/>
      <c r="DQN29" s="53"/>
      <c r="DQO29" s="53"/>
      <c r="DQP29" s="53"/>
      <c r="DQQ29" s="53"/>
      <c r="DQR29" s="53"/>
      <c r="DQS29" s="212"/>
      <c r="DQT29" s="46"/>
      <c r="DQU29" s="53"/>
      <c r="DQV29" s="53"/>
      <c r="DQW29" s="53"/>
      <c r="DQX29" s="53"/>
      <c r="DQY29" s="53"/>
      <c r="DQZ29" s="53"/>
      <c r="DRA29" s="53"/>
      <c r="DRB29" s="53"/>
      <c r="DRC29" s="53"/>
      <c r="DRD29" s="53"/>
      <c r="DRE29" s="53"/>
      <c r="DRF29" s="53"/>
      <c r="DRG29" s="53"/>
      <c r="DRH29" s="212"/>
      <c r="DRI29" s="46"/>
      <c r="DRJ29" s="53"/>
      <c r="DRK29" s="53"/>
      <c r="DRL29" s="53"/>
      <c r="DRM29" s="53"/>
      <c r="DRN29" s="53"/>
      <c r="DRO29" s="53"/>
      <c r="DRP29" s="53"/>
      <c r="DRQ29" s="53"/>
      <c r="DRR29" s="53"/>
      <c r="DRS29" s="53"/>
      <c r="DRT29" s="53"/>
      <c r="DRU29" s="53"/>
      <c r="DRV29" s="53"/>
      <c r="DRW29" s="212"/>
      <c r="DRX29" s="46"/>
      <c r="DRY29" s="53"/>
      <c r="DRZ29" s="53"/>
      <c r="DSA29" s="53"/>
      <c r="DSB29" s="53"/>
      <c r="DSC29" s="53"/>
      <c r="DSD29" s="53"/>
      <c r="DSE29" s="53"/>
      <c r="DSF29" s="53"/>
      <c r="DSG29" s="53"/>
      <c r="DSH29" s="53"/>
      <c r="DSI29" s="53"/>
      <c r="DSJ29" s="53"/>
      <c r="DSK29" s="53"/>
      <c r="DSL29" s="212"/>
      <c r="DSM29" s="46"/>
      <c r="DSN29" s="53"/>
      <c r="DSO29" s="53"/>
      <c r="DSP29" s="53"/>
      <c r="DSQ29" s="53"/>
      <c r="DSR29" s="53"/>
      <c r="DSS29" s="53"/>
      <c r="DST29" s="53"/>
      <c r="DSU29" s="53"/>
      <c r="DSV29" s="53"/>
      <c r="DSW29" s="53"/>
      <c r="DSX29" s="53"/>
      <c r="DSY29" s="53"/>
      <c r="DSZ29" s="53"/>
      <c r="DTA29" s="212"/>
      <c r="DTB29" s="46"/>
      <c r="DTC29" s="53"/>
      <c r="DTD29" s="53"/>
      <c r="DTE29" s="53"/>
      <c r="DTF29" s="53"/>
      <c r="DTG29" s="53"/>
      <c r="DTH29" s="53"/>
      <c r="DTI29" s="53"/>
      <c r="DTJ29" s="53"/>
      <c r="DTK29" s="53"/>
      <c r="DTL29" s="53"/>
      <c r="DTM29" s="53"/>
      <c r="DTN29" s="53"/>
      <c r="DTO29" s="53"/>
      <c r="DTP29" s="212"/>
      <c r="DTQ29" s="46"/>
      <c r="DTR29" s="53"/>
      <c r="DTS29" s="53"/>
      <c r="DTT29" s="53"/>
      <c r="DTU29" s="53"/>
      <c r="DTV29" s="53"/>
      <c r="DTW29" s="53"/>
      <c r="DTX29" s="53"/>
      <c r="DTY29" s="53"/>
      <c r="DTZ29" s="53"/>
      <c r="DUA29" s="53"/>
      <c r="DUB29" s="53"/>
      <c r="DUC29" s="53"/>
      <c r="DUD29" s="53"/>
      <c r="DUE29" s="212"/>
      <c r="DUF29" s="46"/>
      <c r="DUG29" s="53"/>
      <c r="DUH29" s="53"/>
      <c r="DUI29" s="53"/>
      <c r="DUJ29" s="53"/>
      <c r="DUK29" s="53"/>
      <c r="DUL29" s="53"/>
      <c r="DUM29" s="53"/>
      <c r="DUN29" s="53"/>
      <c r="DUO29" s="53"/>
      <c r="DUP29" s="53"/>
      <c r="DUQ29" s="53"/>
      <c r="DUR29" s="53"/>
      <c r="DUS29" s="53"/>
      <c r="DUT29" s="212"/>
      <c r="DUU29" s="46"/>
      <c r="DUV29" s="53"/>
      <c r="DUW29" s="53"/>
      <c r="DUX29" s="53"/>
      <c r="DUY29" s="53"/>
      <c r="DUZ29" s="53"/>
      <c r="DVA29" s="53"/>
      <c r="DVB29" s="53"/>
      <c r="DVC29" s="53"/>
      <c r="DVD29" s="53"/>
      <c r="DVE29" s="53"/>
      <c r="DVF29" s="53"/>
      <c r="DVG29" s="53"/>
      <c r="DVH29" s="53"/>
      <c r="DVI29" s="212"/>
      <c r="DVJ29" s="46"/>
      <c r="DVK29" s="53"/>
      <c r="DVL29" s="53"/>
      <c r="DVM29" s="53"/>
      <c r="DVN29" s="53"/>
      <c r="DVO29" s="53"/>
      <c r="DVP29" s="53"/>
      <c r="DVQ29" s="53"/>
      <c r="DVR29" s="53"/>
      <c r="DVS29" s="53"/>
      <c r="DVT29" s="53"/>
      <c r="DVU29" s="53"/>
      <c r="DVV29" s="53"/>
      <c r="DVW29" s="53"/>
      <c r="DVX29" s="212"/>
      <c r="DVY29" s="46"/>
      <c r="DVZ29" s="53"/>
      <c r="DWA29" s="53"/>
      <c r="DWB29" s="53"/>
      <c r="DWC29" s="53"/>
      <c r="DWD29" s="53"/>
      <c r="DWE29" s="53"/>
      <c r="DWF29" s="53"/>
      <c r="DWG29" s="53"/>
      <c r="DWH29" s="53"/>
      <c r="DWI29" s="53"/>
      <c r="DWJ29" s="53"/>
      <c r="DWK29" s="53"/>
      <c r="DWL29" s="53"/>
      <c r="DWM29" s="212"/>
      <c r="DWN29" s="46"/>
      <c r="DWO29" s="53"/>
      <c r="DWP29" s="53"/>
      <c r="DWQ29" s="53"/>
      <c r="DWR29" s="53"/>
      <c r="DWS29" s="53"/>
      <c r="DWT29" s="53"/>
      <c r="DWU29" s="53"/>
      <c r="DWV29" s="53"/>
      <c r="DWW29" s="53"/>
      <c r="DWX29" s="53"/>
      <c r="DWY29" s="53"/>
      <c r="DWZ29" s="53"/>
      <c r="DXA29" s="53"/>
      <c r="DXB29" s="212"/>
      <c r="DXC29" s="46"/>
      <c r="DXD29" s="53"/>
      <c r="DXE29" s="53"/>
      <c r="DXF29" s="53"/>
      <c r="DXG29" s="53"/>
      <c r="DXH29" s="53"/>
      <c r="DXI29" s="53"/>
      <c r="DXJ29" s="53"/>
      <c r="DXK29" s="53"/>
      <c r="DXL29" s="53"/>
      <c r="DXM29" s="53"/>
      <c r="DXN29" s="53"/>
      <c r="DXO29" s="53"/>
      <c r="DXP29" s="53"/>
      <c r="DXQ29" s="212"/>
      <c r="DXR29" s="46"/>
      <c r="DXS29" s="53"/>
      <c r="DXT29" s="53"/>
      <c r="DXU29" s="53"/>
      <c r="DXV29" s="53"/>
      <c r="DXW29" s="53"/>
      <c r="DXX29" s="53"/>
      <c r="DXY29" s="53"/>
      <c r="DXZ29" s="53"/>
      <c r="DYA29" s="53"/>
      <c r="DYB29" s="53"/>
      <c r="DYC29" s="53"/>
      <c r="DYD29" s="53"/>
      <c r="DYE29" s="53"/>
      <c r="DYF29" s="212"/>
      <c r="DYG29" s="46"/>
      <c r="DYH29" s="53"/>
      <c r="DYI29" s="53"/>
      <c r="DYJ29" s="53"/>
      <c r="DYK29" s="53"/>
      <c r="DYL29" s="53"/>
      <c r="DYM29" s="53"/>
      <c r="DYN29" s="53"/>
      <c r="DYO29" s="53"/>
      <c r="DYP29" s="53"/>
      <c r="DYQ29" s="53"/>
      <c r="DYR29" s="53"/>
      <c r="DYS29" s="53"/>
      <c r="DYT29" s="53"/>
      <c r="DYU29" s="212"/>
      <c r="DYV29" s="46"/>
      <c r="DYW29" s="53"/>
      <c r="DYX29" s="53"/>
      <c r="DYY29" s="53"/>
      <c r="DYZ29" s="53"/>
      <c r="DZA29" s="53"/>
      <c r="DZB29" s="53"/>
      <c r="DZC29" s="53"/>
      <c r="DZD29" s="53"/>
      <c r="DZE29" s="53"/>
      <c r="DZF29" s="53"/>
      <c r="DZG29" s="53"/>
      <c r="DZH29" s="53"/>
      <c r="DZI29" s="53"/>
      <c r="DZJ29" s="212"/>
      <c r="DZK29" s="46"/>
      <c r="DZL29" s="53"/>
      <c r="DZM29" s="53"/>
      <c r="DZN29" s="53"/>
      <c r="DZO29" s="53"/>
      <c r="DZP29" s="53"/>
      <c r="DZQ29" s="53"/>
      <c r="DZR29" s="53"/>
      <c r="DZS29" s="53"/>
      <c r="DZT29" s="53"/>
      <c r="DZU29" s="53"/>
      <c r="DZV29" s="53"/>
      <c r="DZW29" s="53"/>
      <c r="DZX29" s="53"/>
      <c r="DZY29" s="212"/>
      <c r="DZZ29" s="46"/>
      <c r="EAA29" s="53"/>
      <c r="EAB29" s="53"/>
      <c r="EAC29" s="53"/>
      <c r="EAD29" s="53"/>
      <c r="EAE29" s="53"/>
      <c r="EAF29" s="53"/>
      <c r="EAG29" s="53"/>
      <c r="EAH29" s="53"/>
      <c r="EAI29" s="53"/>
      <c r="EAJ29" s="53"/>
      <c r="EAK29" s="53"/>
      <c r="EAL29" s="53"/>
      <c r="EAM29" s="53"/>
      <c r="EAN29" s="212"/>
      <c r="EAO29" s="46"/>
      <c r="EAP29" s="53"/>
      <c r="EAQ29" s="53"/>
      <c r="EAR29" s="53"/>
      <c r="EAS29" s="53"/>
      <c r="EAT29" s="53"/>
      <c r="EAU29" s="53"/>
      <c r="EAV29" s="53"/>
      <c r="EAW29" s="53"/>
      <c r="EAX29" s="53"/>
      <c r="EAY29" s="53"/>
      <c r="EAZ29" s="53"/>
      <c r="EBA29" s="53"/>
      <c r="EBB29" s="53"/>
      <c r="EBC29" s="212"/>
      <c r="EBD29" s="46"/>
      <c r="EBE29" s="53"/>
      <c r="EBF29" s="53"/>
      <c r="EBG29" s="53"/>
      <c r="EBH29" s="53"/>
      <c r="EBI29" s="53"/>
      <c r="EBJ29" s="53"/>
      <c r="EBK29" s="53"/>
      <c r="EBL29" s="53"/>
      <c r="EBM29" s="53"/>
      <c r="EBN29" s="53"/>
      <c r="EBO29" s="53"/>
      <c r="EBP29" s="53"/>
      <c r="EBQ29" s="53"/>
      <c r="EBR29" s="212"/>
      <c r="EBS29" s="46"/>
      <c r="EBT29" s="53"/>
      <c r="EBU29" s="53"/>
      <c r="EBV29" s="53"/>
      <c r="EBW29" s="53"/>
      <c r="EBX29" s="53"/>
      <c r="EBY29" s="53"/>
      <c r="EBZ29" s="53"/>
      <c r="ECA29" s="53"/>
      <c r="ECB29" s="53"/>
      <c r="ECC29" s="53"/>
      <c r="ECD29" s="53"/>
      <c r="ECE29" s="53"/>
      <c r="ECF29" s="53"/>
      <c r="ECG29" s="212"/>
      <c r="ECH29" s="46"/>
      <c r="ECI29" s="53"/>
      <c r="ECJ29" s="53"/>
      <c r="ECK29" s="53"/>
      <c r="ECL29" s="53"/>
      <c r="ECM29" s="53"/>
      <c r="ECN29" s="53"/>
      <c r="ECO29" s="53"/>
      <c r="ECP29" s="53"/>
      <c r="ECQ29" s="53"/>
      <c r="ECR29" s="53"/>
      <c r="ECS29" s="53"/>
      <c r="ECT29" s="53"/>
      <c r="ECU29" s="53"/>
      <c r="ECV29" s="212"/>
      <c r="ECW29" s="46"/>
      <c r="ECX29" s="53"/>
      <c r="ECY29" s="53"/>
      <c r="ECZ29" s="53"/>
      <c r="EDA29" s="53"/>
      <c r="EDB29" s="53"/>
      <c r="EDC29" s="53"/>
      <c r="EDD29" s="53"/>
      <c r="EDE29" s="53"/>
      <c r="EDF29" s="53"/>
      <c r="EDG29" s="53"/>
      <c r="EDH29" s="53"/>
      <c r="EDI29" s="53"/>
      <c r="EDJ29" s="53"/>
      <c r="EDK29" s="212"/>
      <c r="EDL29" s="46"/>
      <c r="EDM29" s="53"/>
      <c r="EDN29" s="53"/>
      <c r="EDO29" s="53"/>
      <c r="EDP29" s="53"/>
      <c r="EDQ29" s="53"/>
      <c r="EDR29" s="53"/>
      <c r="EDS29" s="53"/>
      <c r="EDT29" s="53"/>
      <c r="EDU29" s="53"/>
      <c r="EDV29" s="53"/>
      <c r="EDW29" s="53"/>
      <c r="EDX29" s="53"/>
      <c r="EDY29" s="53"/>
      <c r="EDZ29" s="212"/>
      <c r="EEA29" s="46"/>
      <c r="EEB29" s="53"/>
      <c r="EEC29" s="53"/>
      <c r="EED29" s="53"/>
      <c r="EEE29" s="53"/>
      <c r="EEF29" s="53"/>
      <c r="EEG29" s="53"/>
      <c r="EEH29" s="53"/>
      <c r="EEI29" s="53"/>
      <c r="EEJ29" s="53"/>
      <c r="EEK29" s="53"/>
      <c r="EEL29" s="53"/>
      <c r="EEM29" s="53"/>
      <c r="EEN29" s="53"/>
      <c r="EEO29" s="212"/>
      <c r="EEP29" s="46"/>
      <c r="EEQ29" s="53"/>
      <c r="EER29" s="53"/>
      <c r="EES29" s="53"/>
      <c r="EET29" s="53"/>
      <c r="EEU29" s="53"/>
      <c r="EEV29" s="53"/>
      <c r="EEW29" s="53"/>
      <c r="EEX29" s="53"/>
      <c r="EEY29" s="53"/>
      <c r="EEZ29" s="53"/>
      <c r="EFA29" s="53"/>
      <c r="EFB29" s="53"/>
      <c r="EFC29" s="53"/>
      <c r="EFD29" s="212"/>
      <c r="EFE29" s="46"/>
      <c r="EFF29" s="53"/>
      <c r="EFG29" s="53"/>
      <c r="EFH29" s="53"/>
      <c r="EFI29" s="53"/>
      <c r="EFJ29" s="53"/>
      <c r="EFK29" s="53"/>
      <c r="EFL29" s="53"/>
      <c r="EFM29" s="53"/>
      <c r="EFN29" s="53"/>
      <c r="EFO29" s="53"/>
      <c r="EFP29" s="53"/>
      <c r="EFQ29" s="53"/>
      <c r="EFR29" s="53"/>
      <c r="EFS29" s="212"/>
      <c r="EFT29" s="46"/>
      <c r="EFU29" s="53"/>
      <c r="EFV29" s="53"/>
      <c r="EFW29" s="53"/>
      <c r="EFX29" s="53"/>
      <c r="EFY29" s="53"/>
      <c r="EFZ29" s="53"/>
      <c r="EGA29" s="53"/>
      <c r="EGB29" s="53"/>
      <c r="EGC29" s="53"/>
      <c r="EGD29" s="53"/>
      <c r="EGE29" s="53"/>
      <c r="EGF29" s="53"/>
      <c r="EGG29" s="53"/>
      <c r="EGH29" s="212"/>
      <c r="EGI29" s="46"/>
      <c r="EGJ29" s="53"/>
      <c r="EGK29" s="53"/>
      <c r="EGL29" s="53"/>
      <c r="EGM29" s="53"/>
      <c r="EGN29" s="53"/>
      <c r="EGO29" s="53"/>
      <c r="EGP29" s="53"/>
      <c r="EGQ29" s="53"/>
      <c r="EGR29" s="53"/>
      <c r="EGS29" s="53"/>
      <c r="EGT29" s="53"/>
      <c r="EGU29" s="53"/>
      <c r="EGV29" s="53"/>
      <c r="EGW29" s="212"/>
      <c r="EGX29" s="46"/>
      <c r="EGY29" s="53"/>
      <c r="EGZ29" s="53"/>
      <c r="EHA29" s="53"/>
      <c r="EHB29" s="53"/>
      <c r="EHC29" s="53"/>
      <c r="EHD29" s="53"/>
      <c r="EHE29" s="53"/>
      <c r="EHF29" s="53"/>
      <c r="EHG29" s="53"/>
      <c r="EHH29" s="53"/>
      <c r="EHI29" s="53"/>
      <c r="EHJ29" s="53"/>
      <c r="EHK29" s="53"/>
      <c r="EHL29" s="212"/>
      <c r="EHM29" s="46"/>
      <c r="EHN29" s="53"/>
      <c r="EHO29" s="53"/>
      <c r="EHP29" s="53"/>
      <c r="EHQ29" s="53"/>
      <c r="EHR29" s="53"/>
      <c r="EHS29" s="53"/>
      <c r="EHT29" s="53"/>
      <c r="EHU29" s="53"/>
      <c r="EHV29" s="53"/>
      <c r="EHW29" s="53"/>
      <c r="EHX29" s="53"/>
      <c r="EHY29" s="53"/>
      <c r="EHZ29" s="53"/>
      <c r="EIA29" s="212"/>
      <c r="EIB29" s="46"/>
      <c r="EIC29" s="53"/>
      <c r="EID29" s="53"/>
      <c r="EIE29" s="53"/>
      <c r="EIF29" s="53"/>
      <c r="EIG29" s="53"/>
      <c r="EIH29" s="53"/>
      <c r="EII29" s="53"/>
      <c r="EIJ29" s="53"/>
      <c r="EIK29" s="53"/>
      <c r="EIL29" s="53"/>
      <c r="EIM29" s="53"/>
      <c r="EIN29" s="53"/>
      <c r="EIO29" s="53"/>
      <c r="EIP29" s="212"/>
      <c r="EIQ29" s="46"/>
      <c r="EIR29" s="53"/>
      <c r="EIS29" s="53"/>
      <c r="EIT29" s="53"/>
      <c r="EIU29" s="53"/>
      <c r="EIV29" s="53"/>
      <c r="EIW29" s="53"/>
      <c r="EIX29" s="53"/>
      <c r="EIY29" s="53"/>
      <c r="EIZ29" s="53"/>
      <c r="EJA29" s="53"/>
      <c r="EJB29" s="53"/>
      <c r="EJC29" s="53"/>
      <c r="EJD29" s="53"/>
      <c r="EJE29" s="212"/>
      <c r="EJF29" s="46"/>
      <c r="EJG29" s="53"/>
      <c r="EJH29" s="53"/>
      <c r="EJI29" s="53"/>
      <c r="EJJ29" s="53"/>
      <c r="EJK29" s="53"/>
      <c r="EJL29" s="53"/>
      <c r="EJM29" s="53"/>
      <c r="EJN29" s="53"/>
      <c r="EJO29" s="53"/>
      <c r="EJP29" s="53"/>
      <c r="EJQ29" s="53"/>
      <c r="EJR29" s="53"/>
      <c r="EJS29" s="53"/>
      <c r="EJT29" s="212"/>
      <c r="EJU29" s="46"/>
      <c r="EJV29" s="53"/>
      <c r="EJW29" s="53"/>
      <c r="EJX29" s="53"/>
      <c r="EJY29" s="53"/>
      <c r="EJZ29" s="53"/>
      <c r="EKA29" s="53"/>
      <c r="EKB29" s="53"/>
      <c r="EKC29" s="53"/>
      <c r="EKD29" s="53"/>
      <c r="EKE29" s="53"/>
      <c r="EKF29" s="53"/>
      <c r="EKG29" s="53"/>
      <c r="EKH29" s="53"/>
      <c r="EKI29" s="212"/>
      <c r="EKJ29" s="46"/>
      <c r="EKK29" s="53"/>
      <c r="EKL29" s="53"/>
      <c r="EKM29" s="53"/>
      <c r="EKN29" s="53"/>
      <c r="EKO29" s="53"/>
      <c r="EKP29" s="53"/>
      <c r="EKQ29" s="53"/>
      <c r="EKR29" s="53"/>
      <c r="EKS29" s="53"/>
      <c r="EKT29" s="53"/>
      <c r="EKU29" s="53"/>
      <c r="EKV29" s="53"/>
      <c r="EKW29" s="53"/>
      <c r="EKX29" s="212"/>
      <c r="EKY29" s="46"/>
      <c r="EKZ29" s="53"/>
      <c r="ELA29" s="53"/>
      <c r="ELB29" s="53"/>
      <c r="ELC29" s="53"/>
      <c r="ELD29" s="53"/>
      <c r="ELE29" s="53"/>
      <c r="ELF29" s="53"/>
      <c r="ELG29" s="53"/>
      <c r="ELH29" s="53"/>
      <c r="ELI29" s="53"/>
      <c r="ELJ29" s="53"/>
      <c r="ELK29" s="53"/>
      <c r="ELL29" s="53"/>
      <c r="ELM29" s="212"/>
      <c r="ELN29" s="46"/>
      <c r="ELO29" s="53"/>
      <c r="ELP29" s="53"/>
      <c r="ELQ29" s="53"/>
      <c r="ELR29" s="53"/>
      <c r="ELS29" s="53"/>
      <c r="ELT29" s="53"/>
      <c r="ELU29" s="53"/>
      <c r="ELV29" s="53"/>
      <c r="ELW29" s="53"/>
      <c r="ELX29" s="53"/>
      <c r="ELY29" s="53"/>
      <c r="ELZ29" s="53"/>
      <c r="EMA29" s="53"/>
      <c r="EMB29" s="212"/>
      <c r="EMC29" s="46"/>
      <c r="EMD29" s="53"/>
      <c r="EME29" s="53"/>
      <c r="EMF29" s="53"/>
      <c r="EMG29" s="53"/>
      <c r="EMH29" s="53"/>
      <c r="EMI29" s="53"/>
      <c r="EMJ29" s="53"/>
      <c r="EMK29" s="53"/>
      <c r="EML29" s="53"/>
      <c r="EMM29" s="53"/>
      <c r="EMN29" s="53"/>
      <c r="EMO29" s="53"/>
      <c r="EMP29" s="53"/>
      <c r="EMQ29" s="212"/>
      <c r="EMR29" s="46"/>
      <c r="EMS29" s="53"/>
      <c r="EMT29" s="53"/>
      <c r="EMU29" s="53"/>
      <c r="EMV29" s="53"/>
      <c r="EMW29" s="53"/>
      <c r="EMX29" s="53"/>
      <c r="EMY29" s="53"/>
      <c r="EMZ29" s="53"/>
      <c r="ENA29" s="53"/>
      <c r="ENB29" s="53"/>
      <c r="ENC29" s="53"/>
      <c r="END29" s="53"/>
      <c r="ENE29" s="53"/>
      <c r="ENF29" s="212"/>
      <c r="ENG29" s="46"/>
      <c r="ENH29" s="53"/>
      <c r="ENI29" s="53"/>
      <c r="ENJ29" s="53"/>
      <c r="ENK29" s="53"/>
      <c r="ENL29" s="53"/>
      <c r="ENM29" s="53"/>
      <c r="ENN29" s="53"/>
      <c r="ENO29" s="53"/>
      <c r="ENP29" s="53"/>
      <c r="ENQ29" s="53"/>
      <c r="ENR29" s="53"/>
      <c r="ENS29" s="53"/>
      <c r="ENT29" s="53"/>
      <c r="ENU29" s="212"/>
      <c r="ENV29" s="46"/>
      <c r="ENW29" s="53"/>
      <c r="ENX29" s="53"/>
      <c r="ENY29" s="53"/>
      <c r="ENZ29" s="53"/>
      <c r="EOA29" s="53"/>
      <c r="EOB29" s="53"/>
      <c r="EOC29" s="53"/>
      <c r="EOD29" s="53"/>
      <c r="EOE29" s="53"/>
      <c r="EOF29" s="53"/>
      <c r="EOG29" s="53"/>
      <c r="EOH29" s="53"/>
      <c r="EOI29" s="53"/>
      <c r="EOJ29" s="212"/>
      <c r="EOK29" s="46"/>
      <c r="EOL29" s="53"/>
      <c r="EOM29" s="53"/>
      <c r="EON29" s="53"/>
      <c r="EOO29" s="53"/>
      <c r="EOP29" s="53"/>
      <c r="EOQ29" s="53"/>
      <c r="EOR29" s="53"/>
      <c r="EOS29" s="53"/>
      <c r="EOT29" s="53"/>
      <c r="EOU29" s="53"/>
      <c r="EOV29" s="53"/>
      <c r="EOW29" s="53"/>
      <c r="EOX29" s="53"/>
      <c r="EOY29" s="212"/>
      <c r="EOZ29" s="46"/>
      <c r="EPA29" s="53"/>
      <c r="EPB29" s="53"/>
      <c r="EPC29" s="53"/>
      <c r="EPD29" s="53"/>
      <c r="EPE29" s="53"/>
      <c r="EPF29" s="53"/>
      <c r="EPG29" s="53"/>
      <c r="EPH29" s="53"/>
      <c r="EPI29" s="53"/>
      <c r="EPJ29" s="53"/>
      <c r="EPK29" s="53"/>
      <c r="EPL29" s="53"/>
      <c r="EPM29" s="53"/>
      <c r="EPN29" s="212"/>
      <c r="EPO29" s="46"/>
      <c r="EPP29" s="53"/>
      <c r="EPQ29" s="53"/>
      <c r="EPR29" s="53"/>
      <c r="EPS29" s="53"/>
      <c r="EPT29" s="53"/>
      <c r="EPU29" s="53"/>
      <c r="EPV29" s="53"/>
      <c r="EPW29" s="53"/>
      <c r="EPX29" s="53"/>
      <c r="EPY29" s="53"/>
      <c r="EPZ29" s="53"/>
      <c r="EQA29" s="53"/>
      <c r="EQB29" s="53"/>
      <c r="EQC29" s="212"/>
      <c r="EQD29" s="46"/>
      <c r="EQE29" s="53"/>
      <c r="EQF29" s="53"/>
      <c r="EQG29" s="53"/>
      <c r="EQH29" s="53"/>
      <c r="EQI29" s="53"/>
      <c r="EQJ29" s="53"/>
      <c r="EQK29" s="53"/>
      <c r="EQL29" s="53"/>
      <c r="EQM29" s="53"/>
      <c r="EQN29" s="53"/>
      <c r="EQO29" s="53"/>
      <c r="EQP29" s="53"/>
      <c r="EQQ29" s="53"/>
      <c r="EQR29" s="212"/>
      <c r="EQS29" s="46"/>
      <c r="EQT29" s="53"/>
      <c r="EQU29" s="53"/>
      <c r="EQV29" s="53"/>
      <c r="EQW29" s="53"/>
      <c r="EQX29" s="53"/>
      <c r="EQY29" s="53"/>
      <c r="EQZ29" s="53"/>
      <c r="ERA29" s="53"/>
      <c r="ERB29" s="53"/>
      <c r="ERC29" s="53"/>
      <c r="ERD29" s="53"/>
      <c r="ERE29" s="53"/>
      <c r="ERF29" s="53"/>
      <c r="ERG29" s="212"/>
      <c r="ERH29" s="46"/>
      <c r="ERI29" s="53"/>
      <c r="ERJ29" s="53"/>
      <c r="ERK29" s="53"/>
      <c r="ERL29" s="53"/>
      <c r="ERM29" s="53"/>
      <c r="ERN29" s="53"/>
      <c r="ERO29" s="53"/>
      <c r="ERP29" s="53"/>
      <c r="ERQ29" s="53"/>
      <c r="ERR29" s="53"/>
      <c r="ERS29" s="53"/>
      <c r="ERT29" s="53"/>
      <c r="ERU29" s="53"/>
      <c r="ERV29" s="212"/>
      <c r="ERW29" s="46"/>
      <c r="ERX29" s="53"/>
      <c r="ERY29" s="53"/>
      <c r="ERZ29" s="53"/>
      <c r="ESA29" s="53"/>
      <c r="ESB29" s="53"/>
      <c r="ESC29" s="53"/>
      <c r="ESD29" s="53"/>
      <c r="ESE29" s="53"/>
      <c r="ESF29" s="53"/>
      <c r="ESG29" s="53"/>
      <c r="ESH29" s="53"/>
      <c r="ESI29" s="53"/>
      <c r="ESJ29" s="53"/>
      <c r="ESK29" s="212"/>
      <c r="ESL29" s="46"/>
      <c r="ESM29" s="53"/>
      <c r="ESN29" s="53"/>
      <c r="ESO29" s="53"/>
      <c r="ESP29" s="53"/>
      <c r="ESQ29" s="53"/>
      <c r="ESR29" s="53"/>
      <c r="ESS29" s="53"/>
      <c r="EST29" s="53"/>
      <c r="ESU29" s="53"/>
      <c r="ESV29" s="53"/>
      <c r="ESW29" s="53"/>
      <c r="ESX29" s="53"/>
      <c r="ESY29" s="53"/>
      <c r="ESZ29" s="212"/>
      <c r="ETA29" s="46"/>
      <c r="ETB29" s="53"/>
      <c r="ETC29" s="53"/>
      <c r="ETD29" s="53"/>
      <c r="ETE29" s="53"/>
      <c r="ETF29" s="53"/>
      <c r="ETG29" s="53"/>
      <c r="ETH29" s="53"/>
      <c r="ETI29" s="53"/>
      <c r="ETJ29" s="53"/>
      <c r="ETK29" s="53"/>
      <c r="ETL29" s="53"/>
      <c r="ETM29" s="53"/>
      <c r="ETN29" s="53"/>
      <c r="ETO29" s="212"/>
      <c r="ETP29" s="46"/>
      <c r="ETQ29" s="53"/>
      <c r="ETR29" s="53"/>
      <c r="ETS29" s="53"/>
      <c r="ETT29" s="53"/>
      <c r="ETU29" s="53"/>
      <c r="ETV29" s="53"/>
      <c r="ETW29" s="53"/>
      <c r="ETX29" s="53"/>
      <c r="ETY29" s="53"/>
      <c r="ETZ29" s="53"/>
      <c r="EUA29" s="53"/>
      <c r="EUB29" s="53"/>
      <c r="EUC29" s="53"/>
      <c r="EUD29" s="212"/>
      <c r="EUE29" s="46"/>
      <c r="EUF29" s="53"/>
      <c r="EUG29" s="53"/>
      <c r="EUH29" s="53"/>
      <c r="EUI29" s="53"/>
      <c r="EUJ29" s="53"/>
      <c r="EUK29" s="53"/>
      <c r="EUL29" s="53"/>
      <c r="EUM29" s="53"/>
      <c r="EUN29" s="53"/>
      <c r="EUO29" s="53"/>
      <c r="EUP29" s="53"/>
      <c r="EUQ29" s="53"/>
      <c r="EUR29" s="53"/>
      <c r="EUS29" s="212"/>
      <c r="EUT29" s="46"/>
      <c r="EUU29" s="53"/>
      <c r="EUV29" s="53"/>
      <c r="EUW29" s="53"/>
      <c r="EUX29" s="53"/>
      <c r="EUY29" s="53"/>
      <c r="EUZ29" s="53"/>
      <c r="EVA29" s="53"/>
      <c r="EVB29" s="53"/>
      <c r="EVC29" s="53"/>
      <c r="EVD29" s="53"/>
      <c r="EVE29" s="53"/>
      <c r="EVF29" s="53"/>
      <c r="EVG29" s="53"/>
      <c r="EVH29" s="212"/>
      <c r="EVI29" s="46"/>
      <c r="EVJ29" s="53"/>
      <c r="EVK29" s="53"/>
      <c r="EVL29" s="53"/>
      <c r="EVM29" s="53"/>
      <c r="EVN29" s="53"/>
      <c r="EVO29" s="53"/>
      <c r="EVP29" s="53"/>
      <c r="EVQ29" s="53"/>
      <c r="EVR29" s="53"/>
      <c r="EVS29" s="53"/>
      <c r="EVT29" s="53"/>
      <c r="EVU29" s="53"/>
      <c r="EVV29" s="53"/>
      <c r="EVW29" s="212"/>
      <c r="EVX29" s="46"/>
      <c r="EVY29" s="53"/>
      <c r="EVZ29" s="53"/>
      <c r="EWA29" s="53"/>
      <c r="EWB29" s="53"/>
      <c r="EWC29" s="53"/>
      <c r="EWD29" s="53"/>
      <c r="EWE29" s="53"/>
      <c r="EWF29" s="53"/>
      <c r="EWG29" s="53"/>
      <c r="EWH29" s="53"/>
      <c r="EWI29" s="53"/>
      <c r="EWJ29" s="53"/>
      <c r="EWK29" s="53"/>
      <c r="EWL29" s="212"/>
      <c r="EWM29" s="46"/>
      <c r="EWN29" s="53"/>
      <c r="EWO29" s="53"/>
      <c r="EWP29" s="53"/>
      <c r="EWQ29" s="53"/>
      <c r="EWR29" s="53"/>
      <c r="EWS29" s="53"/>
      <c r="EWT29" s="53"/>
      <c r="EWU29" s="53"/>
      <c r="EWV29" s="53"/>
      <c r="EWW29" s="53"/>
      <c r="EWX29" s="53"/>
      <c r="EWY29" s="53"/>
      <c r="EWZ29" s="53"/>
      <c r="EXA29" s="212"/>
      <c r="EXB29" s="46"/>
      <c r="EXC29" s="53"/>
      <c r="EXD29" s="53"/>
      <c r="EXE29" s="53"/>
      <c r="EXF29" s="53"/>
      <c r="EXG29" s="53"/>
      <c r="EXH29" s="53"/>
      <c r="EXI29" s="53"/>
      <c r="EXJ29" s="53"/>
      <c r="EXK29" s="53"/>
      <c r="EXL29" s="53"/>
      <c r="EXM29" s="53"/>
      <c r="EXN29" s="53"/>
      <c r="EXO29" s="53"/>
      <c r="EXP29" s="212"/>
      <c r="EXQ29" s="46"/>
      <c r="EXR29" s="53"/>
      <c r="EXS29" s="53"/>
      <c r="EXT29" s="53"/>
      <c r="EXU29" s="53"/>
      <c r="EXV29" s="53"/>
      <c r="EXW29" s="53"/>
      <c r="EXX29" s="53"/>
      <c r="EXY29" s="53"/>
      <c r="EXZ29" s="53"/>
      <c r="EYA29" s="53"/>
      <c r="EYB29" s="53"/>
      <c r="EYC29" s="53"/>
      <c r="EYD29" s="53"/>
      <c r="EYE29" s="212"/>
      <c r="EYF29" s="46"/>
      <c r="EYG29" s="53"/>
      <c r="EYH29" s="53"/>
      <c r="EYI29" s="53"/>
      <c r="EYJ29" s="53"/>
      <c r="EYK29" s="53"/>
      <c r="EYL29" s="53"/>
      <c r="EYM29" s="53"/>
      <c r="EYN29" s="53"/>
      <c r="EYO29" s="53"/>
      <c r="EYP29" s="53"/>
      <c r="EYQ29" s="53"/>
      <c r="EYR29" s="53"/>
      <c r="EYS29" s="53"/>
      <c r="EYT29" s="212"/>
      <c r="EYU29" s="46"/>
      <c r="EYV29" s="53"/>
      <c r="EYW29" s="53"/>
      <c r="EYX29" s="53"/>
      <c r="EYY29" s="53"/>
      <c r="EYZ29" s="53"/>
      <c r="EZA29" s="53"/>
      <c r="EZB29" s="53"/>
      <c r="EZC29" s="53"/>
      <c r="EZD29" s="53"/>
      <c r="EZE29" s="53"/>
      <c r="EZF29" s="53"/>
      <c r="EZG29" s="53"/>
      <c r="EZH29" s="53"/>
      <c r="EZI29" s="212"/>
      <c r="EZJ29" s="46"/>
      <c r="EZK29" s="53"/>
      <c r="EZL29" s="53"/>
      <c r="EZM29" s="53"/>
      <c r="EZN29" s="53"/>
      <c r="EZO29" s="53"/>
      <c r="EZP29" s="53"/>
      <c r="EZQ29" s="53"/>
      <c r="EZR29" s="53"/>
      <c r="EZS29" s="53"/>
      <c r="EZT29" s="53"/>
      <c r="EZU29" s="53"/>
      <c r="EZV29" s="53"/>
      <c r="EZW29" s="53"/>
      <c r="EZX29" s="212"/>
      <c r="EZY29" s="46"/>
      <c r="EZZ29" s="53"/>
      <c r="FAA29" s="53"/>
      <c r="FAB29" s="53"/>
      <c r="FAC29" s="53"/>
      <c r="FAD29" s="53"/>
      <c r="FAE29" s="53"/>
      <c r="FAF29" s="53"/>
      <c r="FAG29" s="53"/>
      <c r="FAH29" s="53"/>
      <c r="FAI29" s="53"/>
      <c r="FAJ29" s="53"/>
      <c r="FAK29" s="53"/>
      <c r="FAL29" s="53"/>
      <c r="FAM29" s="212"/>
      <c r="FAN29" s="46"/>
      <c r="FAO29" s="53"/>
      <c r="FAP29" s="53"/>
      <c r="FAQ29" s="53"/>
      <c r="FAR29" s="53"/>
      <c r="FAS29" s="53"/>
      <c r="FAT29" s="53"/>
      <c r="FAU29" s="53"/>
      <c r="FAV29" s="53"/>
      <c r="FAW29" s="53"/>
      <c r="FAX29" s="53"/>
      <c r="FAY29" s="53"/>
      <c r="FAZ29" s="53"/>
      <c r="FBA29" s="53"/>
      <c r="FBB29" s="212"/>
      <c r="FBC29" s="46"/>
      <c r="FBD29" s="53"/>
      <c r="FBE29" s="53"/>
      <c r="FBF29" s="53"/>
      <c r="FBG29" s="53"/>
      <c r="FBH29" s="53"/>
      <c r="FBI29" s="53"/>
      <c r="FBJ29" s="53"/>
      <c r="FBK29" s="53"/>
      <c r="FBL29" s="53"/>
      <c r="FBM29" s="53"/>
      <c r="FBN29" s="53"/>
      <c r="FBO29" s="53"/>
      <c r="FBP29" s="53"/>
      <c r="FBQ29" s="212"/>
      <c r="FBR29" s="46"/>
      <c r="FBS29" s="53"/>
      <c r="FBT29" s="53"/>
      <c r="FBU29" s="53"/>
      <c r="FBV29" s="53"/>
      <c r="FBW29" s="53"/>
      <c r="FBX29" s="53"/>
      <c r="FBY29" s="53"/>
      <c r="FBZ29" s="53"/>
      <c r="FCA29" s="53"/>
      <c r="FCB29" s="53"/>
      <c r="FCC29" s="53"/>
      <c r="FCD29" s="53"/>
      <c r="FCE29" s="53"/>
      <c r="FCF29" s="212"/>
      <c r="FCG29" s="46"/>
      <c r="FCH29" s="53"/>
      <c r="FCI29" s="53"/>
      <c r="FCJ29" s="53"/>
      <c r="FCK29" s="53"/>
      <c r="FCL29" s="53"/>
      <c r="FCM29" s="53"/>
      <c r="FCN29" s="53"/>
      <c r="FCO29" s="53"/>
      <c r="FCP29" s="53"/>
      <c r="FCQ29" s="53"/>
      <c r="FCR29" s="53"/>
      <c r="FCS29" s="53"/>
      <c r="FCT29" s="53"/>
      <c r="FCU29" s="212"/>
      <c r="FCV29" s="46"/>
      <c r="FCW29" s="53"/>
      <c r="FCX29" s="53"/>
      <c r="FCY29" s="53"/>
      <c r="FCZ29" s="53"/>
      <c r="FDA29" s="53"/>
      <c r="FDB29" s="53"/>
      <c r="FDC29" s="53"/>
      <c r="FDD29" s="53"/>
      <c r="FDE29" s="53"/>
      <c r="FDF29" s="53"/>
      <c r="FDG29" s="53"/>
      <c r="FDH29" s="53"/>
      <c r="FDI29" s="53"/>
      <c r="FDJ29" s="212"/>
      <c r="FDK29" s="46"/>
      <c r="FDL29" s="53"/>
      <c r="FDM29" s="53"/>
      <c r="FDN29" s="53"/>
      <c r="FDO29" s="53"/>
      <c r="FDP29" s="53"/>
      <c r="FDQ29" s="53"/>
      <c r="FDR29" s="53"/>
      <c r="FDS29" s="53"/>
      <c r="FDT29" s="53"/>
      <c r="FDU29" s="53"/>
      <c r="FDV29" s="53"/>
      <c r="FDW29" s="53"/>
      <c r="FDX29" s="53"/>
      <c r="FDY29" s="212"/>
      <c r="FDZ29" s="46"/>
      <c r="FEA29" s="53"/>
      <c r="FEB29" s="53"/>
      <c r="FEC29" s="53"/>
      <c r="FED29" s="53"/>
      <c r="FEE29" s="53"/>
      <c r="FEF29" s="53"/>
      <c r="FEG29" s="53"/>
      <c r="FEH29" s="53"/>
      <c r="FEI29" s="53"/>
      <c r="FEJ29" s="53"/>
      <c r="FEK29" s="53"/>
      <c r="FEL29" s="53"/>
      <c r="FEM29" s="53"/>
      <c r="FEN29" s="212"/>
      <c r="FEO29" s="46"/>
      <c r="FEP29" s="53"/>
      <c r="FEQ29" s="53"/>
      <c r="FER29" s="53"/>
      <c r="FES29" s="53"/>
      <c r="FET29" s="53"/>
      <c r="FEU29" s="53"/>
      <c r="FEV29" s="53"/>
      <c r="FEW29" s="53"/>
      <c r="FEX29" s="53"/>
      <c r="FEY29" s="53"/>
      <c r="FEZ29" s="53"/>
      <c r="FFA29" s="53"/>
      <c r="FFB29" s="53"/>
      <c r="FFC29" s="212"/>
      <c r="FFD29" s="46"/>
      <c r="FFE29" s="53"/>
      <c r="FFF29" s="53"/>
      <c r="FFG29" s="53"/>
      <c r="FFH29" s="53"/>
      <c r="FFI29" s="53"/>
      <c r="FFJ29" s="53"/>
      <c r="FFK29" s="53"/>
      <c r="FFL29" s="53"/>
      <c r="FFM29" s="53"/>
      <c r="FFN29" s="53"/>
      <c r="FFO29" s="53"/>
      <c r="FFP29" s="53"/>
      <c r="FFQ29" s="53"/>
      <c r="FFR29" s="212"/>
      <c r="FFS29" s="46"/>
      <c r="FFT29" s="53"/>
      <c r="FFU29" s="53"/>
      <c r="FFV29" s="53"/>
      <c r="FFW29" s="53"/>
      <c r="FFX29" s="53"/>
      <c r="FFY29" s="53"/>
      <c r="FFZ29" s="53"/>
      <c r="FGA29" s="53"/>
      <c r="FGB29" s="53"/>
      <c r="FGC29" s="53"/>
      <c r="FGD29" s="53"/>
      <c r="FGE29" s="53"/>
      <c r="FGF29" s="53"/>
      <c r="FGG29" s="212"/>
      <c r="FGH29" s="46"/>
      <c r="FGI29" s="53"/>
      <c r="FGJ29" s="53"/>
      <c r="FGK29" s="53"/>
      <c r="FGL29" s="53"/>
      <c r="FGM29" s="53"/>
      <c r="FGN29" s="53"/>
      <c r="FGO29" s="53"/>
      <c r="FGP29" s="53"/>
      <c r="FGQ29" s="53"/>
      <c r="FGR29" s="53"/>
      <c r="FGS29" s="53"/>
      <c r="FGT29" s="53"/>
      <c r="FGU29" s="53"/>
      <c r="FGV29" s="212"/>
      <c r="FGW29" s="46"/>
      <c r="FGX29" s="53"/>
      <c r="FGY29" s="53"/>
      <c r="FGZ29" s="53"/>
      <c r="FHA29" s="53"/>
      <c r="FHB29" s="53"/>
      <c r="FHC29" s="53"/>
      <c r="FHD29" s="53"/>
      <c r="FHE29" s="53"/>
      <c r="FHF29" s="53"/>
      <c r="FHG29" s="53"/>
      <c r="FHH29" s="53"/>
      <c r="FHI29" s="53"/>
      <c r="FHJ29" s="53"/>
      <c r="FHK29" s="212"/>
      <c r="FHL29" s="46"/>
      <c r="FHM29" s="53"/>
      <c r="FHN29" s="53"/>
      <c r="FHO29" s="53"/>
      <c r="FHP29" s="53"/>
      <c r="FHQ29" s="53"/>
      <c r="FHR29" s="53"/>
      <c r="FHS29" s="53"/>
      <c r="FHT29" s="53"/>
      <c r="FHU29" s="53"/>
      <c r="FHV29" s="53"/>
      <c r="FHW29" s="53"/>
      <c r="FHX29" s="53"/>
      <c r="FHY29" s="53"/>
      <c r="FHZ29" s="212"/>
      <c r="FIA29" s="46"/>
      <c r="FIB29" s="53"/>
      <c r="FIC29" s="53"/>
      <c r="FID29" s="53"/>
      <c r="FIE29" s="53"/>
      <c r="FIF29" s="53"/>
      <c r="FIG29" s="53"/>
      <c r="FIH29" s="53"/>
      <c r="FII29" s="53"/>
      <c r="FIJ29" s="53"/>
      <c r="FIK29" s="53"/>
      <c r="FIL29" s="53"/>
      <c r="FIM29" s="53"/>
      <c r="FIN29" s="53"/>
      <c r="FIO29" s="212"/>
      <c r="FIP29" s="46"/>
      <c r="FIQ29" s="53"/>
      <c r="FIR29" s="53"/>
      <c r="FIS29" s="53"/>
      <c r="FIT29" s="53"/>
      <c r="FIU29" s="53"/>
      <c r="FIV29" s="53"/>
      <c r="FIW29" s="53"/>
      <c r="FIX29" s="53"/>
      <c r="FIY29" s="53"/>
      <c r="FIZ29" s="53"/>
      <c r="FJA29" s="53"/>
      <c r="FJB29" s="53"/>
      <c r="FJC29" s="53"/>
      <c r="FJD29" s="212"/>
      <c r="FJE29" s="46"/>
      <c r="FJF29" s="53"/>
      <c r="FJG29" s="53"/>
      <c r="FJH29" s="53"/>
      <c r="FJI29" s="53"/>
      <c r="FJJ29" s="53"/>
      <c r="FJK29" s="53"/>
      <c r="FJL29" s="53"/>
      <c r="FJM29" s="53"/>
      <c r="FJN29" s="53"/>
      <c r="FJO29" s="53"/>
      <c r="FJP29" s="53"/>
      <c r="FJQ29" s="53"/>
      <c r="FJR29" s="53"/>
      <c r="FJS29" s="212"/>
      <c r="FJT29" s="46"/>
      <c r="FJU29" s="53"/>
      <c r="FJV29" s="53"/>
      <c r="FJW29" s="53"/>
      <c r="FJX29" s="53"/>
      <c r="FJY29" s="53"/>
      <c r="FJZ29" s="53"/>
      <c r="FKA29" s="53"/>
      <c r="FKB29" s="53"/>
      <c r="FKC29" s="53"/>
      <c r="FKD29" s="53"/>
      <c r="FKE29" s="53"/>
      <c r="FKF29" s="53"/>
      <c r="FKG29" s="53"/>
      <c r="FKH29" s="212"/>
      <c r="FKI29" s="46"/>
      <c r="FKJ29" s="53"/>
      <c r="FKK29" s="53"/>
      <c r="FKL29" s="53"/>
      <c r="FKM29" s="53"/>
      <c r="FKN29" s="53"/>
      <c r="FKO29" s="53"/>
      <c r="FKP29" s="53"/>
      <c r="FKQ29" s="53"/>
      <c r="FKR29" s="53"/>
      <c r="FKS29" s="53"/>
      <c r="FKT29" s="53"/>
      <c r="FKU29" s="53"/>
      <c r="FKV29" s="53"/>
      <c r="FKW29" s="212"/>
      <c r="FKX29" s="46"/>
      <c r="FKY29" s="53"/>
      <c r="FKZ29" s="53"/>
      <c r="FLA29" s="53"/>
      <c r="FLB29" s="53"/>
      <c r="FLC29" s="53"/>
      <c r="FLD29" s="53"/>
      <c r="FLE29" s="53"/>
      <c r="FLF29" s="53"/>
      <c r="FLG29" s="53"/>
      <c r="FLH29" s="53"/>
      <c r="FLI29" s="53"/>
      <c r="FLJ29" s="53"/>
      <c r="FLK29" s="53"/>
      <c r="FLL29" s="212"/>
      <c r="FLM29" s="46"/>
      <c r="FLN29" s="53"/>
      <c r="FLO29" s="53"/>
      <c r="FLP29" s="53"/>
      <c r="FLQ29" s="53"/>
      <c r="FLR29" s="53"/>
      <c r="FLS29" s="53"/>
      <c r="FLT29" s="53"/>
      <c r="FLU29" s="53"/>
      <c r="FLV29" s="53"/>
      <c r="FLW29" s="53"/>
      <c r="FLX29" s="53"/>
      <c r="FLY29" s="53"/>
      <c r="FLZ29" s="53"/>
      <c r="FMA29" s="212"/>
      <c r="FMB29" s="46"/>
      <c r="FMC29" s="53"/>
      <c r="FMD29" s="53"/>
      <c r="FME29" s="53"/>
      <c r="FMF29" s="53"/>
      <c r="FMG29" s="53"/>
      <c r="FMH29" s="53"/>
      <c r="FMI29" s="53"/>
      <c r="FMJ29" s="53"/>
      <c r="FMK29" s="53"/>
      <c r="FML29" s="53"/>
      <c r="FMM29" s="53"/>
      <c r="FMN29" s="53"/>
      <c r="FMO29" s="53"/>
      <c r="FMP29" s="212"/>
      <c r="FMQ29" s="46"/>
      <c r="FMR29" s="53"/>
      <c r="FMS29" s="53"/>
      <c r="FMT29" s="53"/>
      <c r="FMU29" s="53"/>
      <c r="FMV29" s="53"/>
      <c r="FMW29" s="53"/>
      <c r="FMX29" s="53"/>
      <c r="FMY29" s="53"/>
      <c r="FMZ29" s="53"/>
      <c r="FNA29" s="53"/>
      <c r="FNB29" s="53"/>
      <c r="FNC29" s="53"/>
      <c r="FND29" s="53"/>
      <c r="FNE29" s="212"/>
      <c r="FNF29" s="46"/>
      <c r="FNG29" s="53"/>
      <c r="FNH29" s="53"/>
      <c r="FNI29" s="53"/>
      <c r="FNJ29" s="53"/>
      <c r="FNK29" s="53"/>
      <c r="FNL29" s="53"/>
      <c r="FNM29" s="53"/>
      <c r="FNN29" s="53"/>
      <c r="FNO29" s="53"/>
      <c r="FNP29" s="53"/>
      <c r="FNQ29" s="53"/>
      <c r="FNR29" s="53"/>
      <c r="FNS29" s="53"/>
      <c r="FNT29" s="212"/>
      <c r="FNU29" s="46"/>
      <c r="FNV29" s="53"/>
      <c r="FNW29" s="53"/>
      <c r="FNX29" s="53"/>
      <c r="FNY29" s="53"/>
      <c r="FNZ29" s="53"/>
      <c r="FOA29" s="53"/>
      <c r="FOB29" s="53"/>
      <c r="FOC29" s="53"/>
      <c r="FOD29" s="53"/>
      <c r="FOE29" s="53"/>
      <c r="FOF29" s="53"/>
      <c r="FOG29" s="53"/>
      <c r="FOH29" s="53"/>
      <c r="FOI29" s="212"/>
      <c r="FOJ29" s="46"/>
      <c r="FOK29" s="53"/>
      <c r="FOL29" s="53"/>
      <c r="FOM29" s="53"/>
      <c r="FON29" s="53"/>
      <c r="FOO29" s="53"/>
      <c r="FOP29" s="53"/>
      <c r="FOQ29" s="53"/>
      <c r="FOR29" s="53"/>
      <c r="FOS29" s="53"/>
      <c r="FOT29" s="53"/>
      <c r="FOU29" s="53"/>
      <c r="FOV29" s="53"/>
      <c r="FOW29" s="53"/>
      <c r="FOX29" s="212"/>
      <c r="FOY29" s="46"/>
      <c r="FOZ29" s="53"/>
      <c r="FPA29" s="53"/>
      <c r="FPB29" s="53"/>
      <c r="FPC29" s="53"/>
      <c r="FPD29" s="53"/>
      <c r="FPE29" s="53"/>
      <c r="FPF29" s="53"/>
      <c r="FPG29" s="53"/>
      <c r="FPH29" s="53"/>
      <c r="FPI29" s="53"/>
      <c r="FPJ29" s="53"/>
      <c r="FPK29" s="53"/>
      <c r="FPL29" s="53"/>
      <c r="FPM29" s="212"/>
      <c r="FPN29" s="46"/>
      <c r="FPO29" s="53"/>
      <c r="FPP29" s="53"/>
      <c r="FPQ29" s="53"/>
      <c r="FPR29" s="53"/>
      <c r="FPS29" s="53"/>
      <c r="FPT29" s="53"/>
      <c r="FPU29" s="53"/>
      <c r="FPV29" s="53"/>
      <c r="FPW29" s="53"/>
      <c r="FPX29" s="53"/>
      <c r="FPY29" s="53"/>
      <c r="FPZ29" s="53"/>
      <c r="FQA29" s="53"/>
      <c r="FQB29" s="212"/>
      <c r="FQC29" s="46"/>
      <c r="FQD29" s="53"/>
      <c r="FQE29" s="53"/>
      <c r="FQF29" s="53"/>
      <c r="FQG29" s="53"/>
      <c r="FQH29" s="53"/>
      <c r="FQI29" s="53"/>
      <c r="FQJ29" s="53"/>
      <c r="FQK29" s="53"/>
      <c r="FQL29" s="53"/>
      <c r="FQM29" s="53"/>
      <c r="FQN29" s="53"/>
      <c r="FQO29" s="53"/>
      <c r="FQP29" s="53"/>
      <c r="FQQ29" s="212"/>
      <c r="FQR29" s="46"/>
      <c r="FQS29" s="53"/>
      <c r="FQT29" s="53"/>
      <c r="FQU29" s="53"/>
      <c r="FQV29" s="53"/>
      <c r="FQW29" s="53"/>
      <c r="FQX29" s="53"/>
      <c r="FQY29" s="53"/>
      <c r="FQZ29" s="53"/>
      <c r="FRA29" s="53"/>
      <c r="FRB29" s="53"/>
      <c r="FRC29" s="53"/>
      <c r="FRD29" s="53"/>
      <c r="FRE29" s="53"/>
      <c r="FRF29" s="212"/>
      <c r="FRG29" s="46"/>
      <c r="FRH29" s="53"/>
      <c r="FRI29" s="53"/>
      <c r="FRJ29" s="53"/>
      <c r="FRK29" s="53"/>
      <c r="FRL29" s="53"/>
      <c r="FRM29" s="53"/>
      <c r="FRN29" s="53"/>
      <c r="FRO29" s="53"/>
      <c r="FRP29" s="53"/>
      <c r="FRQ29" s="53"/>
      <c r="FRR29" s="53"/>
      <c r="FRS29" s="53"/>
      <c r="FRT29" s="53"/>
      <c r="FRU29" s="212"/>
      <c r="FRV29" s="46"/>
      <c r="FRW29" s="53"/>
      <c r="FRX29" s="53"/>
      <c r="FRY29" s="53"/>
      <c r="FRZ29" s="53"/>
      <c r="FSA29" s="53"/>
      <c r="FSB29" s="53"/>
      <c r="FSC29" s="53"/>
      <c r="FSD29" s="53"/>
      <c r="FSE29" s="53"/>
      <c r="FSF29" s="53"/>
      <c r="FSG29" s="53"/>
      <c r="FSH29" s="53"/>
      <c r="FSI29" s="53"/>
      <c r="FSJ29" s="212"/>
      <c r="FSK29" s="46"/>
      <c r="FSL29" s="53"/>
      <c r="FSM29" s="53"/>
      <c r="FSN29" s="53"/>
      <c r="FSO29" s="53"/>
      <c r="FSP29" s="53"/>
      <c r="FSQ29" s="53"/>
      <c r="FSR29" s="53"/>
      <c r="FSS29" s="53"/>
      <c r="FST29" s="53"/>
      <c r="FSU29" s="53"/>
      <c r="FSV29" s="53"/>
      <c r="FSW29" s="53"/>
      <c r="FSX29" s="53"/>
      <c r="FSY29" s="212"/>
      <c r="FSZ29" s="46"/>
      <c r="FTA29" s="53"/>
      <c r="FTB29" s="53"/>
      <c r="FTC29" s="53"/>
      <c r="FTD29" s="53"/>
      <c r="FTE29" s="53"/>
      <c r="FTF29" s="53"/>
      <c r="FTG29" s="53"/>
      <c r="FTH29" s="53"/>
      <c r="FTI29" s="53"/>
      <c r="FTJ29" s="53"/>
      <c r="FTK29" s="53"/>
      <c r="FTL29" s="53"/>
      <c r="FTM29" s="53"/>
      <c r="FTN29" s="212"/>
      <c r="FTO29" s="46"/>
      <c r="FTP29" s="53"/>
      <c r="FTQ29" s="53"/>
      <c r="FTR29" s="53"/>
      <c r="FTS29" s="53"/>
      <c r="FTT29" s="53"/>
      <c r="FTU29" s="53"/>
      <c r="FTV29" s="53"/>
      <c r="FTW29" s="53"/>
      <c r="FTX29" s="53"/>
      <c r="FTY29" s="53"/>
      <c r="FTZ29" s="53"/>
      <c r="FUA29" s="53"/>
      <c r="FUB29" s="53"/>
      <c r="FUC29" s="212"/>
      <c r="FUD29" s="46"/>
      <c r="FUE29" s="53"/>
      <c r="FUF29" s="53"/>
      <c r="FUG29" s="53"/>
      <c r="FUH29" s="53"/>
      <c r="FUI29" s="53"/>
      <c r="FUJ29" s="53"/>
      <c r="FUK29" s="53"/>
      <c r="FUL29" s="53"/>
      <c r="FUM29" s="53"/>
      <c r="FUN29" s="53"/>
      <c r="FUO29" s="53"/>
      <c r="FUP29" s="53"/>
      <c r="FUQ29" s="53"/>
      <c r="FUR29" s="212"/>
      <c r="FUS29" s="46"/>
      <c r="FUT29" s="53"/>
      <c r="FUU29" s="53"/>
      <c r="FUV29" s="53"/>
      <c r="FUW29" s="53"/>
      <c r="FUX29" s="53"/>
      <c r="FUY29" s="53"/>
      <c r="FUZ29" s="53"/>
      <c r="FVA29" s="53"/>
      <c r="FVB29" s="53"/>
      <c r="FVC29" s="53"/>
      <c r="FVD29" s="53"/>
      <c r="FVE29" s="53"/>
      <c r="FVF29" s="53"/>
      <c r="FVG29" s="212"/>
      <c r="FVH29" s="46"/>
      <c r="FVI29" s="53"/>
      <c r="FVJ29" s="53"/>
      <c r="FVK29" s="53"/>
      <c r="FVL29" s="53"/>
      <c r="FVM29" s="53"/>
      <c r="FVN29" s="53"/>
      <c r="FVO29" s="53"/>
      <c r="FVP29" s="53"/>
      <c r="FVQ29" s="53"/>
      <c r="FVR29" s="53"/>
      <c r="FVS29" s="53"/>
      <c r="FVT29" s="53"/>
      <c r="FVU29" s="53"/>
      <c r="FVV29" s="212"/>
      <c r="FVW29" s="46"/>
      <c r="FVX29" s="53"/>
      <c r="FVY29" s="53"/>
      <c r="FVZ29" s="53"/>
      <c r="FWA29" s="53"/>
      <c r="FWB29" s="53"/>
      <c r="FWC29" s="53"/>
      <c r="FWD29" s="53"/>
      <c r="FWE29" s="53"/>
      <c r="FWF29" s="53"/>
      <c r="FWG29" s="53"/>
      <c r="FWH29" s="53"/>
      <c r="FWI29" s="53"/>
      <c r="FWJ29" s="53"/>
      <c r="FWK29" s="212"/>
      <c r="FWL29" s="46"/>
      <c r="FWM29" s="53"/>
      <c r="FWN29" s="53"/>
      <c r="FWO29" s="53"/>
      <c r="FWP29" s="53"/>
      <c r="FWQ29" s="53"/>
      <c r="FWR29" s="53"/>
      <c r="FWS29" s="53"/>
      <c r="FWT29" s="53"/>
      <c r="FWU29" s="53"/>
      <c r="FWV29" s="53"/>
      <c r="FWW29" s="53"/>
      <c r="FWX29" s="53"/>
      <c r="FWY29" s="53"/>
      <c r="FWZ29" s="212"/>
      <c r="FXA29" s="46"/>
      <c r="FXB29" s="53"/>
      <c r="FXC29" s="53"/>
      <c r="FXD29" s="53"/>
      <c r="FXE29" s="53"/>
      <c r="FXF29" s="53"/>
      <c r="FXG29" s="53"/>
      <c r="FXH29" s="53"/>
      <c r="FXI29" s="53"/>
      <c r="FXJ29" s="53"/>
      <c r="FXK29" s="53"/>
      <c r="FXL29" s="53"/>
      <c r="FXM29" s="53"/>
      <c r="FXN29" s="53"/>
      <c r="FXO29" s="212"/>
      <c r="FXP29" s="46"/>
      <c r="FXQ29" s="53"/>
      <c r="FXR29" s="53"/>
      <c r="FXS29" s="53"/>
      <c r="FXT29" s="53"/>
      <c r="FXU29" s="53"/>
      <c r="FXV29" s="53"/>
      <c r="FXW29" s="53"/>
      <c r="FXX29" s="53"/>
      <c r="FXY29" s="53"/>
      <c r="FXZ29" s="53"/>
      <c r="FYA29" s="53"/>
      <c r="FYB29" s="53"/>
      <c r="FYC29" s="53"/>
      <c r="FYD29" s="212"/>
      <c r="FYE29" s="46"/>
      <c r="FYF29" s="53"/>
      <c r="FYG29" s="53"/>
      <c r="FYH29" s="53"/>
      <c r="FYI29" s="53"/>
      <c r="FYJ29" s="53"/>
      <c r="FYK29" s="53"/>
      <c r="FYL29" s="53"/>
      <c r="FYM29" s="53"/>
      <c r="FYN29" s="53"/>
      <c r="FYO29" s="53"/>
      <c r="FYP29" s="53"/>
      <c r="FYQ29" s="53"/>
      <c r="FYR29" s="53"/>
      <c r="FYS29" s="212"/>
      <c r="FYT29" s="46"/>
      <c r="FYU29" s="53"/>
      <c r="FYV29" s="53"/>
      <c r="FYW29" s="53"/>
      <c r="FYX29" s="53"/>
      <c r="FYY29" s="53"/>
      <c r="FYZ29" s="53"/>
      <c r="FZA29" s="53"/>
      <c r="FZB29" s="53"/>
      <c r="FZC29" s="53"/>
      <c r="FZD29" s="53"/>
      <c r="FZE29" s="53"/>
      <c r="FZF29" s="53"/>
      <c r="FZG29" s="53"/>
      <c r="FZH29" s="212"/>
      <c r="FZI29" s="46"/>
      <c r="FZJ29" s="53"/>
      <c r="FZK29" s="53"/>
      <c r="FZL29" s="53"/>
      <c r="FZM29" s="53"/>
      <c r="FZN29" s="53"/>
      <c r="FZO29" s="53"/>
      <c r="FZP29" s="53"/>
      <c r="FZQ29" s="53"/>
      <c r="FZR29" s="53"/>
      <c r="FZS29" s="53"/>
      <c r="FZT29" s="53"/>
      <c r="FZU29" s="53"/>
      <c r="FZV29" s="53"/>
      <c r="FZW29" s="212"/>
      <c r="FZX29" s="46"/>
      <c r="FZY29" s="53"/>
      <c r="FZZ29" s="53"/>
      <c r="GAA29" s="53"/>
      <c r="GAB29" s="53"/>
      <c r="GAC29" s="53"/>
      <c r="GAD29" s="53"/>
      <c r="GAE29" s="53"/>
      <c r="GAF29" s="53"/>
      <c r="GAG29" s="53"/>
      <c r="GAH29" s="53"/>
      <c r="GAI29" s="53"/>
      <c r="GAJ29" s="53"/>
      <c r="GAK29" s="53"/>
      <c r="GAL29" s="212"/>
      <c r="GAM29" s="46"/>
      <c r="GAN29" s="53"/>
      <c r="GAO29" s="53"/>
      <c r="GAP29" s="53"/>
      <c r="GAQ29" s="53"/>
      <c r="GAR29" s="53"/>
      <c r="GAS29" s="53"/>
      <c r="GAT29" s="53"/>
      <c r="GAU29" s="53"/>
      <c r="GAV29" s="53"/>
      <c r="GAW29" s="53"/>
      <c r="GAX29" s="53"/>
      <c r="GAY29" s="53"/>
      <c r="GAZ29" s="53"/>
      <c r="GBA29" s="212"/>
      <c r="GBB29" s="46"/>
      <c r="GBC29" s="53"/>
      <c r="GBD29" s="53"/>
      <c r="GBE29" s="53"/>
      <c r="GBF29" s="53"/>
      <c r="GBG29" s="53"/>
      <c r="GBH29" s="53"/>
      <c r="GBI29" s="53"/>
      <c r="GBJ29" s="53"/>
      <c r="GBK29" s="53"/>
      <c r="GBL29" s="53"/>
      <c r="GBM29" s="53"/>
      <c r="GBN29" s="53"/>
      <c r="GBO29" s="53"/>
      <c r="GBP29" s="212"/>
      <c r="GBQ29" s="46"/>
      <c r="GBR29" s="53"/>
      <c r="GBS29" s="53"/>
      <c r="GBT29" s="53"/>
      <c r="GBU29" s="53"/>
      <c r="GBV29" s="53"/>
      <c r="GBW29" s="53"/>
      <c r="GBX29" s="53"/>
      <c r="GBY29" s="53"/>
      <c r="GBZ29" s="53"/>
      <c r="GCA29" s="53"/>
      <c r="GCB29" s="53"/>
      <c r="GCC29" s="53"/>
      <c r="GCD29" s="53"/>
      <c r="GCE29" s="212"/>
      <c r="GCF29" s="46"/>
      <c r="GCG29" s="53"/>
      <c r="GCH29" s="53"/>
      <c r="GCI29" s="53"/>
      <c r="GCJ29" s="53"/>
      <c r="GCK29" s="53"/>
      <c r="GCL29" s="53"/>
      <c r="GCM29" s="53"/>
      <c r="GCN29" s="53"/>
      <c r="GCO29" s="53"/>
      <c r="GCP29" s="53"/>
      <c r="GCQ29" s="53"/>
      <c r="GCR29" s="53"/>
      <c r="GCS29" s="53"/>
      <c r="GCT29" s="212"/>
      <c r="GCU29" s="46"/>
      <c r="GCV29" s="53"/>
      <c r="GCW29" s="53"/>
      <c r="GCX29" s="53"/>
      <c r="GCY29" s="53"/>
      <c r="GCZ29" s="53"/>
      <c r="GDA29" s="53"/>
      <c r="GDB29" s="53"/>
      <c r="GDC29" s="53"/>
      <c r="GDD29" s="53"/>
      <c r="GDE29" s="53"/>
      <c r="GDF29" s="53"/>
      <c r="GDG29" s="53"/>
      <c r="GDH29" s="53"/>
      <c r="GDI29" s="212"/>
      <c r="GDJ29" s="46"/>
      <c r="GDK29" s="53"/>
      <c r="GDL29" s="53"/>
      <c r="GDM29" s="53"/>
      <c r="GDN29" s="53"/>
      <c r="GDO29" s="53"/>
      <c r="GDP29" s="53"/>
      <c r="GDQ29" s="53"/>
      <c r="GDR29" s="53"/>
      <c r="GDS29" s="53"/>
      <c r="GDT29" s="53"/>
      <c r="GDU29" s="53"/>
      <c r="GDV29" s="53"/>
      <c r="GDW29" s="53"/>
      <c r="GDX29" s="212"/>
      <c r="GDY29" s="46"/>
      <c r="GDZ29" s="53"/>
      <c r="GEA29" s="53"/>
      <c r="GEB29" s="53"/>
      <c r="GEC29" s="53"/>
      <c r="GED29" s="53"/>
      <c r="GEE29" s="53"/>
      <c r="GEF29" s="53"/>
      <c r="GEG29" s="53"/>
      <c r="GEH29" s="53"/>
      <c r="GEI29" s="53"/>
      <c r="GEJ29" s="53"/>
      <c r="GEK29" s="53"/>
      <c r="GEL29" s="53"/>
      <c r="GEM29" s="212"/>
      <c r="GEN29" s="46"/>
      <c r="GEO29" s="53"/>
      <c r="GEP29" s="53"/>
      <c r="GEQ29" s="53"/>
      <c r="GER29" s="53"/>
      <c r="GES29" s="53"/>
      <c r="GET29" s="53"/>
      <c r="GEU29" s="53"/>
      <c r="GEV29" s="53"/>
      <c r="GEW29" s="53"/>
      <c r="GEX29" s="53"/>
      <c r="GEY29" s="53"/>
      <c r="GEZ29" s="53"/>
      <c r="GFA29" s="53"/>
      <c r="GFB29" s="212"/>
      <c r="GFC29" s="46"/>
      <c r="GFD29" s="53"/>
      <c r="GFE29" s="53"/>
      <c r="GFF29" s="53"/>
      <c r="GFG29" s="53"/>
      <c r="GFH29" s="53"/>
      <c r="GFI29" s="53"/>
      <c r="GFJ29" s="53"/>
      <c r="GFK29" s="53"/>
      <c r="GFL29" s="53"/>
      <c r="GFM29" s="53"/>
      <c r="GFN29" s="53"/>
      <c r="GFO29" s="53"/>
      <c r="GFP29" s="53"/>
      <c r="GFQ29" s="212"/>
      <c r="GFR29" s="46"/>
      <c r="GFS29" s="53"/>
      <c r="GFT29" s="53"/>
      <c r="GFU29" s="53"/>
      <c r="GFV29" s="53"/>
      <c r="GFW29" s="53"/>
      <c r="GFX29" s="53"/>
      <c r="GFY29" s="53"/>
      <c r="GFZ29" s="53"/>
      <c r="GGA29" s="53"/>
      <c r="GGB29" s="53"/>
      <c r="GGC29" s="53"/>
      <c r="GGD29" s="53"/>
      <c r="GGE29" s="53"/>
      <c r="GGF29" s="212"/>
      <c r="GGG29" s="46"/>
      <c r="GGH29" s="53"/>
      <c r="GGI29" s="53"/>
      <c r="GGJ29" s="53"/>
      <c r="GGK29" s="53"/>
      <c r="GGL29" s="53"/>
      <c r="GGM29" s="53"/>
      <c r="GGN29" s="53"/>
      <c r="GGO29" s="53"/>
      <c r="GGP29" s="53"/>
      <c r="GGQ29" s="53"/>
      <c r="GGR29" s="53"/>
      <c r="GGS29" s="53"/>
      <c r="GGT29" s="53"/>
      <c r="GGU29" s="212"/>
      <c r="GGV29" s="46"/>
      <c r="GGW29" s="53"/>
      <c r="GGX29" s="53"/>
      <c r="GGY29" s="53"/>
      <c r="GGZ29" s="53"/>
      <c r="GHA29" s="53"/>
      <c r="GHB29" s="53"/>
      <c r="GHC29" s="53"/>
      <c r="GHD29" s="53"/>
      <c r="GHE29" s="53"/>
      <c r="GHF29" s="53"/>
      <c r="GHG29" s="53"/>
      <c r="GHH29" s="53"/>
      <c r="GHI29" s="53"/>
      <c r="GHJ29" s="212"/>
      <c r="GHK29" s="46"/>
      <c r="GHL29" s="53"/>
      <c r="GHM29" s="53"/>
      <c r="GHN29" s="53"/>
      <c r="GHO29" s="53"/>
      <c r="GHP29" s="53"/>
      <c r="GHQ29" s="53"/>
      <c r="GHR29" s="53"/>
      <c r="GHS29" s="53"/>
      <c r="GHT29" s="53"/>
      <c r="GHU29" s="53"/>
      <c r="GHV29" s="53"/>
      <c r="GHW29" s="53"/>
      <c r="GHX29" s="53"/>
      <c r="GHY29" s="212"/>
      <c r="GHZ29" s="46"/>
      <c r="GIA29" s="53"/>
      <c r="GIB29" s="53"/>
      <c r="GIC29" s="53"/>
      <c r="GID29" s="53"/>
      <c r="GIE29" s="53"/>
      <c r="GIF29" s="53"/>
      <c r="GIG29" s="53"/>
      <c r="GIH29" s="53"/>
      <c r="GII29" s="53"/>
      <c r="GIJ29" s="53"/>
      <c r="GIK29" s="53"/>
      <c r="GIL29" s="53"/>
      <c r="GIM29" s="53"/>
      <c r="GIN29" s="212"/>
      <c r="GIO29" s="46"/>
      <c r="GIP29" s="53"/>
      <c r="GIQ29" s="53"/>
      <c r="GIR29" s="53"/>
      <c r="GIS29" s="53"/>
      <c r="GIT29" s="53"/>
      <c r="GIU29" s="53"/>
      <c r="GIV29" s="53"/>
      <c r="GIW29" s="53"/>
      <c r="GIX29" s="53"/>
      <c r="GIY29" s="53"/>
      <c r="GIZ29" s="53"/>
      <c r="GJA29" s="53"/>
      <c r="GJB29" s="53"/>
      <c r="GJC29" s="212"/>
      <c r="GJD29" s="46"/>
      <c r="GJE29" s="53"/>
      <c r="GJF29" s="53"/>
      <c r="GJG29" s="53"/>
      <c r="GJH29" s="53"/>
      <c r="GJI29" s="53"/>
      <c r="GJJ29" s="53"/>
      <c r="GJK29" s="53"/>
      <c r="GJL29" s="53"/>
      <c r="GJM29" s="53"/>
      <c r="GJN29" s="53"/>
      <c r="GJO29" s="53"/>
      <c r="GJP29" s="53"/>
      <c r="GJQ29" s="53"/>
      <c r="GJR29" s="212"/>
      <c r="GJS29" s="46"/>
      <c r="GJT29" s="53"/>
      <c r="GJU29" s="53"/>
      <c r="GJV29" s="53"/>
      <c r="GJW29" s="53"/>
      <c r="GJX29" s="53"/>
      <c r="GJY29" s="53"/>
      <c r="GJZ29" s="53"/>
      <c r="GKA29" s="53"/>
      <c r="GKB29" s="53"/>
      <c r="GKC29" s="53"/>
      <c r="GKD29" s="53"/>
      <c r="GKE29" s="53"/>
      <c r="GKF29" s="53"/>
      <c r="GKG29" s="212"/>
      <c r="GKH29" s="46"/>
      <c r="GKI29" s="53"/>
      <c r="GKJ29" s="53"/>
      <c r="GKK29" s="53"/>
      <c r="GKL29" s="53"/>
      <c r="GKM29" s="53"/>
      <c r="GKN29" s="53"/>
      <c r="GKO29" s="53"/>
      <c r="GKP29" s="53"/>
      <c r="GKQ29" s="53"/>
      <c r="GKR29" s="53"/>
      <c r="GKS29" s="53"/>
      <c r="GKT29" s="53"/>
      <c r="GKU29" s="53"/>
      <c r="GKV29" s="212"/>
      <c r="GKW29" s="46"/>
      <c r="GKX29" s="53"/>
      <c r="GKY29" s="53"/>
      <c r="GKZ29" s="53"/>
      <c r="GLA29" s="53"/>
      <c r="GLB29" s="53"/>
      <c r="GLC29" s="53"/>
      <c r="GLD29" s="53"/>
      <c r="GLE29" s="53"/>
      <c r="GLF29" s="53"/>
      <c r="GLG29" s="53"/>
      <c r="GLH29" s="53"/>
      <c r="GLI29" s="53"/>
      <c r="GLJ29" s="53"/>
      <c r="GLK29" s="212"/>
      <c r="GLL29" s="46"/>
      <c r="GLM29" s="53"/>
      <c r="GLN29" s="53"/>
      <c r="GLO29" s="53"/>
      <c r="GLP29" s="53"/>
      <c r="GLQ29" s="53"/>
      <c r="GLR29" s="53"/>
      <c r="GLS29" s="53"/>
      <c r="GLT29" s="53"/>
      <c r="GLU29" s="53"/>
      <c r="GLV29" s="53"/>
      <c r="GLW29" s="53"/>
      <c r="GLX29" s="53"/>
      <c r="GLY29" s="53"/>
      <c r="GLZ29" s="212"/>
      <c r="GMA29" s="46"/>
      <c r="GMB29" s="53"/>
      <c r="GMC29" s="53"/>
      <c r="GMD29" s="53"/>
      <c r="GME29" s="53"/>
      <c r="GMF29" s="53"/>
      <c r="GMG29" s="53"/>
      <c r="GMH29" s="53"/>
      <c r="GMI29" s="53"/>
      <c r="GMJ29" s="53"/>
      <c r="GMK29" s="53"/>
      <c r="GML29" s="53"/>
      <c r="GMM29" s="53"/>
      <c r="GMN29" s="53"/>
      <c r="GMO29" s="212"/>
      <c r="GMP29" s="46"/>
      <c r="GMQ29" s="53"/>
      <c r="GMR29" s="53"/>
      <c r="GMS29" s="53"/>
      <c r="GMT29" s="53"/>
      <c r="GMU29" s="53"/>
      <c r="GMV29" s="53"/>
      <c r="GMW29" s="53"/>
      <c r="GMX29" s="53"/>
      <c r="GMY29" s="53"/>
      <c r="GMZ29" s="53"/>
      <c r="GNA29" s="53"/>
      <c r="GNB29" s="53"/>
      <c r="GNC29" s="53"/>
      <c r="GND29" s="212"/>
      <c r="GNE29" s="46"/>
      <c r="GNF29" s="53"/>
      <c r="GNG29" s="53"/>
      <c r="GNH29" s="53"/>
      <c r="GNI29" s="53"/>
      <c r="GNJ29" s="53"/>
      <c r="GNK29" s="53"/>
      <c r="GNL29" s="53"/>
      <c r="GNM29" s="53"/>
      <c r="GNN29" s="53"/>
      <c r="GNO29" s="53"/>
      <c r="GNP29" s="53"/>
      <c r="GNQ29" s="53"/>
      <c r="GNR29" s="53"/>
      <c r="GNS29" s="212"/>
      <c r="GNT29" s="46"/>
      <c r="GNU29" s="53"/>
      <c r="GNV29" s="53"/>
      <c r="GNW29" s="53"/>
      <c r="GNX29" s="53"/>
      <c r="GNY29" s="53"/>
      <c r="GNZ29" s="53"/>
      <c r="GOA29" s="53"/>
      <c r="GOB29" s="53"/>
      <c r="GOC29" s="53"/>
      <c r="GOD29" s="53"/>
      <c r="GOE29" s="53"/>
      <c r="GOF29" s="53"/>
      <c r="GOG29" s="53"/>
      <c r="GOH29" s="212"/>
      <c r="GOI29" s="46"/>
      <c r="GOJ29" s="53"/>
      <c r="GOK29" s="53"/>
      <c r="GOL29" s="53"/>
      <c r="GOM29" s="53"/>
      <c r="GON29" s="53"/>
      <c r="GOO29" s="53"/>
      <c r="GOP29" s="53"/>
      <c r="GOQ29" s="53"/>
      <c r="GOR29" s="53"/>
      <c r="GOS29" s="53"/>
      <c r="GOT29" s="53"/>
      <c r="GOU29" s="53"/>
      <c r="GOV29" s="53"/>
      <c r="GOW29" s="212"/>
      <c r="GOX29" s="46"/>
      <c r="GOY29" s="53"/>
      <c r="GOZ29" s="53"/>
      <c r="GPA29" s="53"/>
      <c r="GPB29" s="53"/>
      <c r="GPC29" s="53"/>
      <c r="GPD29" s="53"/>
      <c r="GPE29" s="53"/>
      <c r="GPF29" s="53"/>
      <c r="GPG29" s="53"/>
      <c r="GPH29" s="53"/>
      <c r="GPI29" s="53"/>
      <c r="GPJ29" s="53"/>
      <c r="GPK29" s="53"/>
      <c r="GPL29" s="212"/>
      <c r="GPM29" s="46"/>
      <c r="GPN29" s="53"/>
      <c r="GPO29" s="53"/>
      <c r="GPP29" s="53"/>
      <c r="GPQ29" s="53"/>
      <c r="GPR29" s="53"/>
      <c r="GPS29" s="53"/>
      <c r="GPT29" s="53"/>
      <c r="GPU29" s="53"/>
      <c r="GPV29" s="53"/>
      <c r="GPW29" s="53"/>
      <c r="GPX29" s="53"/>
      <c r="GPY29" s="53"/>
      <c r="GPZ29" s="53"/>
      <c r="GQA29" s="212"/>
      <c r="GQB29" s="46"/>
      <c r="GQC29" s="53"/>
      <c r="GQD29" s="53"/>
      <c r="GQE29" s="53"/>
      <c r="GQF29" s="53"/>
      <c r="GQG29" s="53"/>
      <c r="GQH29" s="53"/>
      <c r="GQI29" s="53"/>
      <c r="GQJ29" s="53"/>
      <c r="GQK29" s="53"/>
      <c r="GQL29" s="53"/>
      <c r="GQM29" s="53"/>
      <c r="GQN29" s="53"/>
      <c r="GQO29" s="53"/>
      <c r="GQP29" s="212"/>
      <c r="GQQ29" s="46"/>
      <c r="GQR29" s="53"/>
      <c r="GQS29" s="53"/>
      <c r="GQT29" s="53"/>
      <c r="GQU29" s="53"/>
      <c r="GQV29" s="53"/>
      <c r="GQW29" s="53"/>
      <c r="GQX29" s="53"/>
      <c r="GQY29" s="53"/>
      <c r="GQZ29" s="53"/>
      <c r="GRA29" s="53"/>
      <c r="GRB29" s="53"/>
      <c r="GRC29" s="53"/>
      <c r="GRD29" s="53"/>
      <c r="GRE29" s="212"/>
      <c r="GRF29" s="46"/>
      <c r="GRG29" s="53"/>
      <c r="GRH29" s="53"/>
      <c r="GRI29" s="53"/>
      <c r="GRJ29" s="53"/>
      <c r="GRK29" s="53"/>
      <c r="GRL29" s="53"/>
      <c r="GRM29" s="53"/>
      <c r="GRN29" s="53"/>
      <c r="GRO29" s="53"/>
      <c r="GRP29" s="53"/>
      <c r="GRQ29" s="53"/>
      <c r="GRR29" s="53"/>
      <c r="GRS29" s="53"/>
      <c r="GRT29" s="212"/>
      <c r="GRU29" s="46"/>
      <c r="GRV29" s="53"/>
      <c r="GRW29" s="53"/>
      <c r="GRX29" s="53"/>
      <c r="GRY29" s="53"/>
      <c r="GRZ29" s="53"/>
      <c r="GSA29" s="53"/>
      <c r="GSB29" s="53"/>
      <c r="GSC29" s="53"/>
      <c r="GSD29" s="53"/>
      <c r="GSE29" s="53"/>
      <c r="GSF29" s="53"/>
      <c r="GSG29" s="53"/>
      <c r="GSH29" s="53"/>
      <c r="GSI29" s="212"/>
      <c r="GSJ29" s="46"/>
      <c r="GSK29" s="53"/>
      <c r="GSL29" s="53"/>
      <c r="GSM29" s="53"/>
      <c r="GSN29" s="53"/>
      <c r="GSO29" s="53"/>
      <c r="GSP29" s="53"/>
      <c r="GSQ29" s="53"/>
      <c r="GSR29" s="53"/>
      <c r="GSS29" s="53"/>
      <c r="GST29" s="53"/>
      <c r="GSU29" s="53"/>
      <c r="GSV29" s="53"/>
      <c r="GSW29" s="53"/>
      <c r="GSX29" s="212"/>
      <c r="GSY29" s="46"/>
      <c r="GSZ29" s="53"/>
      <c r="GTA29" s="53"/>
      <c r="GTB29" s="53"/>
      <c r="GTC29" s="53"/>
      <c r="GTD29" s="53"/>
      <c r="GTE29" s="53"/>
      <c r="GTF29" s="53"/>
      <c r="GTG29" s="53"/>
      <c r="GTH29" s="53"/>
      <c r="GTI29" s="53"/>
      <c r="GTJ29" s="53"/>
      <c r="GTK29" s="53"/>
      <c r="GTL29" s="53"/>
      <c r="GTM29" s="212"/>
      <c r="GTN29" s="46"/>
      <c r="GTO29" s="53"/>
      <c r="GTP29" s="53"/>
      <c r="GTQ29" s="53"/>
      <c r="GTR29" s="53"/>
      <c r="GTS29" s="53"/>
      <c r="GTT29" s="53"/>
      <c r="GTU29" s="53"/>
      <c r="GTV29" s="53"/>
      <c r="GTW29" s="53"/>
      <c r="GTX29" s="53"/>
      <c r="GTY29" s="53"/>
      <c r="GTZ29" s="53"/>
      <c r="GUA29" s="53"/>
      <c r="GUB29" s="212"/>
      <c r="GUC29" s="46"/>
      <c r="GUD29" s="53"/>
      <c r="GUE29" s="53"/>
      <c r="GUF29" s="53"/>
      <c r="GUG29" s="53"/>
      <c r="GUH29" s="53"/>
      <c r="GUI29" s="53"/>
      <c r="GUJ29" s="53"/>
      <c r="GUK29" s="53"/>
      <c r="GUL29" s="53"/>
      <c r="GUM29" s="53"/>
      <c r="GUN29" s="53"/>
      <c r="GUO29" s="53"/>
      <c r="GUP29" s="53"/>
      <c r="GUQ29" s="212"/>
      <c r="GUR29" s="46"/>
      <c r="GUS29" s="53"/>
      <c r="GUT29" s="53"/>
      <c r="GUU29" s="53"/>
      <c r="GUV29" s="53"/>
      <c r="GUW29" s="53"/>
      <c r="GUX29" s="53"/>
      <c r="GUY29" s="53"/>
      <c r="GUZ29" s="53"/>
      <c r="GVA29" s="53"/>
      <c r="GVB29" s="53"/>
      <c r="GVC29" s="53"/>
      <c r="GVD29" s="53"/>
      <c r="GVE29" s="53"/>
      <c r="GVF29" s="212"/>
      <c r="GVG29" s="46"/>
      <c r="GVH29" s="53"/>
      <c r="GVI29" s="53"/>
      <c r="GVJ29" s="53"/>
      <c r="GVK29" s="53"/>
      <c r="GVL29" s="53"/>
      <c r="GVM29" s="53"/>
      <c r="GVN29" s="53"/>
      <c r="GVO29" s="53"/>
      <c r="GVP29" s="53"/>
      <c r="GVQ29" s="53"/>
      <c r="GVR29" s="53"/>
      <c r="GVS29" s="53"/>
      <c r="GVT29" s="53"/>
      <c r="GVU29" s="212"/>
      <c r="GVV29" s="46"/>
      <c r="GVW29" s="53"/>
      <c r="GVX29" s="53"/>
      <c r="GVY29" s="53"/>
      <c r="GVZ29" s="53"/>
      <c r="GWA29" s="53"/>
      <c r="GWB29" s="53"/>
      <c r="GWC29" s="53"/>
      <c r="GWD29" s="53"/>
      <c r="GWE29" s="53"/>
      <c r="GWF29" s="53"/>
      <c r="GWG29" s="53"/>
      <c r="GWH29" s="53"/>
      <c r="GWI29" s="53"/>
      <c r="GWJ29" s="212"/>
      <c r="GWK29" s="46"/>
      <c r="GWL29" s="53"/>
      <c r="GWM29" s="53"/>
      <c r="GWN29" s="53"/>
      <c r="GWO29" s="53"/>
      <c r="GWP29" s="53"/>
      <c r="GWQ29" s="53"/>
      <c r="GWR29" s="53"/>
      <c r="GWS29" s="53"/>
      <c r="GWT29" s="53"/>
      <c r="GWU29" s="53"/>
      <c r="GWV29" s="53"/>
      <c r="GWW29" s="53"/>
      <c r="GWX29" s="53"/>
      <c r="GWY29" s="212"/>
      <c r="GWZ29" s="46"/>
      <c r="GXA29" s="53"/>
      <c r="GXB29" s="53"/>
      <c r="GXC29" s="53"/>
      <c r="GXD29" s="53"/>
      <c r="GXE29" s="53"/>
      <c r="GXF29" s="53"/>
      <c r="GXG29" s="53"/>
      <c r="GXH29" s="53"/>
      <c r="GXI29" s="53"/>
      <c r="GXJ29" s="53"/>
      <c r="GXK29" s="53"/>
      <c r="GXL29" s="53"/>
      <c r="GXM29" s="53"/>
      <c r="GXN29" s="212"/>
      <c r="GXO29" s="46"/>
      <c r="GXP29" s="53"/>
      <c r="GXQ29" s="53"/>
      <c r="GXR29" s="53"/>
      <c r="GXS29" s="53"/>
      <c r="GXT29" s="53"/>
      <c r="GXU29" s="53"/>
      <c r="GXV29" s="53"/>
      <c r="GXW29" s="53"/>
      <c r="GXX29" s="53"/>
      <c r="GXY29" s="53"/>
      <c r="GXZ29" s="53"/>
      <c r="GYA29" s="53"/>
      <c r="GYB29" s="53"/>
      <c r="GYC29" s="212"/>
      <c r="GYD29" s="46"/>
      <c r="GYE29" s="53"/>
      <c r="GYF29" s="53"/>
      <c r="GYG29" s="53"/>
      <c r="GYH29" s="53"/>
      <c r="GYI29" s="53"/>
      <c r="GYJ29" s="53"/>
      <c r="GYK29" s="53"/>
      <c r="GYL29" s="53"/>
      <c r="GYM29" s="53"/>
      <c r="GYN29" s="53"/>
      <c r="GYO29" s="53"/>
      <c r="GYP29" s="53"/>
      <c r="GYQ29" s="53"/>
      <c r="GYR29" s="212"/>
      <c r="GYS29" s="46"/>
      <c r="GYT29" s="53"/>
      <c r="GYU29" s="53"/>
      <c r="GYV29" s="53"/>
      <c r="GYW29" s="53"/>
      <c r="GYX29" s="53"/>
      <c r="GYY29" s="53"/>
      <c r="GYZ29" s="53"/>
      <c r="GZA29" s="53"/>
      <c r="GZB29" s="53"/>
      <c r="GZC29" s="53"/>
      <c r="GZD29" s="53"/>
      <c r="GZE29" s="53"/>
      <c r="GZF29" s="53"/>
      <c r="GZG29" s="212"/>
      <c r="GZH29" s="46"/>
      <c r="GZI29" s="53"/>
      <c r="GZJ29" s="53"/>
      <c r="GZK29" s="53"/>
      <c r="GZL29" s="53"/>
      <c r="GZM29" s="53"/>
      <c r="GZN29" s="53"/>
      <c r="GZO29" s="53"/>
      <c r="GZP29" s="53"/>
      <c r="GZQ29" s="53"/>
      <c r="GZR29" s="53"/>
      <c r="GZS29" s="53"/>
      <c r="GZT29" s="53"/>
      <c r="GZU29" s="53"/>
      <c r="GZV29" s="212"/>
      <c r="GZW29" s="46"/>
      <c r="GZX29" s="53"/>
      <c r="GZY29" s="53"/>
      <c r="GZZ29" s="53"/>
      <c r="HAA29" s="53"/>
      <c r="HAB29" s="53"/>
      <c r="HAC29" s="53"/>
      <c r="HAD29" s="53"/>
      <c r="HAE29" s="53"/>
      <c r="HAF29" s="53"/>
      <c r="HAG29" s="53"/>
      <c r="HAH29" s="53"/>
      <c r="HAI29" s="53"/>
      <c r="HAJ29" s="53"/>
      <c r="HAK29" s="212"/>
      <c r="HAL29" s="46"/>
      <c r="HAM29" s="53"/>
      <c r="HAN29" s="53"/>
      <c r="HAO29" s="53"/>
      <c r="HAP29" s="53"/>
      <c r="HAQ29" s="53"/>
      <c r="HAR29" s="53"/>
      <c r="HAS29" s="53"/>
      <c r="HAT29" s="53"/>
      <c r="HAU29" s="53"/>
      <c r="HAV29" s="53"/>
      <c r="HAW29" s="53"/>
      <c r="HAX29" s="53"/>
      <c r="HAY29" s="53"/>
      <c r="HAZ29" s="212"/>
      <c r="HBA29" s="46"/>
      <c r="HBB29" s="53"/>
      <c r="HBC29" s="53"/>
      <c r="HBD29" s="53"/>
      <c r="HBE29" s="53"/>
      <c r="HBF29" s="53"/>
      <c r="HBG29" s="53"/>
      <c r="HBH29" s="53"/>
      <c r="HBI29" s="53"/>
      <c r="HBJ29" s="53"/>
      <c r="HBK29" s="53"/>
      <c r="HBL29" s="53"/>
      <c r="HBM29" s="53"/>
      <c r="HBN29" s="53"/>
      <c r="HBO29" s="212"/>
      <c r="HBP29" s="46"/>
      <c r="HBQ29" s="53"/>
      <c r="HBR29" s="53"/>
      <c r="HBS29" s="53"/>
      <c r="HBT29" s="53"/>
      <c r="HBU29" s="53"/>
      <c r="HBV29" s="53"/>
      <c r="HBW29" s="53"/>
      <c r="HBX29" s="53"/>
      <c r="HBY29" s="53"/>
      <c r="HBZ29" s="53"/>
      <c r="HCA29" s="53"/>
      <c r="HCB29" s="53"/>
      <c r="HCC29" s="53"/>
      <c r="HCD29" s="212"/>
      <c r="HCE29" s="46"/>
      <c r="HCF29" s="53"/>
      <c r="HCG29" s="53"/>
      <c r="HCH29" s="53"/>
      <c r="HCI29" s="53"/>
      <c r="HCJ29" s="53"/>
      <c r="HCK29" s="53"/>
      <c r="HCL29" s="53"/>
      <c r="HCM29" s="53"/>
      <c r="HCN29" s="53"/>
      <c r="HCO29" s="53"/>
      <c r="HCP29" s="53"/>
      <c r="HCQ29" s="53"/>
      <c r="HCR29" s="53"/>
      <c r="HCS29" s="212"/>
      <c r="HCT29" s="46"/>
      <c r="HCU29" s="53"/>
      <c r="HCV29" s="53"/>
      <c r="HCW29" s="53"/>
      <c r="HCX29" s="53"/>
      <c r="HCY29" s="53"/>
      <c r="HCZ29" s="53"/>
      <c r="HDA29" s="53"/>
      <c r="HDB29" s="53"/>
      <c r="HDC29" s="53"/>
      <c r="HDD29" s="53"/>
      <c r="HDE29" s="53"/>
      <c r="HDF29" s="53"/>
      <c r="HDG29" s="53"/>
      <c r="HDH29" s="212"/>
      <c r="HDI29" s="46"/>
      <c r="HDJ29" s="53"/>
      <c r="HDK29" s="53"/>
      <c r="HDL29" s="53"/>
      <c r="HDM29" s="53"/>
      <c r="HDN29" s="53"/>
      <c r="HDO29" s="53"/>
      <c r="HDP29" s="53"/>
      <c r="HDQ29" s="53"/>
      <c r="HDR29" s="53"/>
      <c r="HDS29" s="53"/>
      <c r="HDT29" s="53"/>
      <c r="HDU29" s="53"/>
      <c r="HDV29" s="53"/>
      <c r="HDW29" s="212"/>
      <c r="HDX29" s="46"/>
      <c r="HDY29" s="53"/>
      <c r="HDZ29" s="53"/>
      <c r="HEA29" s="53"/>
      <c r="HEB29" s="53"/>
      <c r="HEC29" s="53"/>
      <c r="HED29" s="53"/>
      <c r="HEE29" s="53"/>
      <c r="HEF29" s="53"/>
      <c r="HEG29" s="53"/>
      <c r="HEH29" s="53"/>
      <c r="HEI29" s="53"/>
      <c r="HEJ29" s="53"/>
      <c r="HEK29" s="53"/>
      <c r="HEL29" s="212"/>
      <c r="HEM29" s="46"/>
      <c r="HEN29" s="53"/>
      <c r="HEO29" s="53"/>
      <c r="HEP29" s="53"/>
      <c r="HEQ29" s="53"/>
      <c r="HER29" s="53"/>
      <c r="HES29" s="53"/>
      <c r="HET29" s="53"/>
      <c r="HEU29" s="53"/>
      <c r="HEV29" s="53"/>
      <c r="HEW29" s="53"/>
      <c r="HEX29" s="53"/>
      <c r="HEY29" s="53"/>
      <c r="HEZ29" s="53"/>
      <c r="HFA29" s="212"/>
      <c r="HFB29" s="46"/>
      <c r="HFC29" s="53"/>
      <c r="HFD29" s="53"/>
      <c r="HFE29" s="53"/>
      <c r="HFF29" s="53"/>
      <c r="HFG29" s="53"/>
      <c r="HFH29" s="53"/>
      <c r="HFI29" s="53"/>
      <c r="HFJ29" s="53"/>
      <c r="HFK29" s="53"/>
      <c r="HFL29" s="53"/>
      <c r="HFM29" s="53"/>
      <c r="HFN29" s="53"/>
      <c r="HFO29" s="53"/>
      <c r="HFP29" s="212"/>
      <c r="HFQ29" s="46"/>
      <c r="HFR29" s="53"/>
      <c r="HFS29" s="53"/>
      <c r="HFT29" s="53"/>
      <c r="HFU29" s="53"/>
      <c r="HFV29" s="53"/>
      <c r="HFW29" s="53"/>
      <c r="HFX29" s="53"/>
      <c r="HFY29" s="53"/>
      <c r="HFZ29" s="53"/>
      <c r="HGA29" s="53"/>
      <c r="HGB29" s="53"/>
      <c r="HGC29" s="53"/>
      <c r="HGD29" s="53"/>
      <c r="HGE29" s="212"/>
      <c r="HGF29" s="46"/>
      <c r="HGG29" s="53"/>
      <c r="HGH29" s="53"/>
      <c r="HGI29" s="53"/>
      <c r="HGJ29" s="53"/>
      <c r="HGK29" s="53"/>
      <c r="HGL29" s="53"/>
      <c r="HGM29" s="53"/>
      <c r="HGN29" s="53"/>
      <c r="HGO29" s="53"/>
      <c r="HGP29" s="53"/>
      <c r="HGQ29" s="53"/>
      <c r="HGR29" s="53"/>
      <c r="HGS29" s="53"/>
      <c r="HGT29" s="212"/>
      <c r="HGU29" s="46"/>
      <c r="HGV29" s="53"/>
      <c r="HGW29" s="53"/>
      <c r="HGX29" s="53"/>
      <c r="HGY29" s="53"/>
      <c r="HGZ29" s="53"/>
      <c r="HHA29" s="53"/>
      <c r="HHB29" s="53"/>
      <c r="HHC29" s="53"/>
      <c r="HHD29" s="53"/>
      <c r="HHE29" s="53"/>
      <c r="HHF29" s="53"/>
      <c r="HHG29" s="53"/>
      <c r="HHH29" s="53"/>
      <c r="HHI29" s="212"/>
      <c r="HHJ29" s="46"/>
      <c r="HHK29" s="53"/>
      <c r="HHL29" s="53"/>
      <c r="HHM29" s="53"/>
      <c r="HHN29" s="53"/>
      <c r="HHO29" s="53"/>
      <c r="HHP29" s="53"/>
      <c r="HHQ29" s="53"/>
      <c r="HHR29" s="53"/>
      <c r="HHS29" s="53"/>
      <c r="HHT29" s="53"/>
      <c r="HHU29" s="53"/>
      <c r="HHV29" s="53"/>
      <c r="HHW29" s="53"/>
      <c r="HHX29" s="212"/>
      <c r="HHY29" s="46"/>
      <c r="HHZ29" s="53"/>
      <c r="HIA29" s="53"/>
      <c r="HIB29" s="53"/>
      <c r="HIC29" s="53"/>
      <c r="HID29" s="53"/>
      <c r="HIE29" s="53"/>
      <c r="HIF29" s="53"/>
      <c r="HIG29" s="53"/>
      <c r="HIH29" s="53"/>
      <c r="HII29" s="53"/>
      <c r="HIJ29" s="53"/>
      <c r="HIK29" s="53"/>
      <c r="HIL29" s="53"/>
      <c r="HIM29" s="212"/>
      <c r="HIN29" s="46"/>
      <c r="HIO29" s="53"/>
      <c r="HIP29" s="53"/>
      <c r="HIQ29" s="53"/>
      <c r="HIR29" s="53"/>
      <c r="HIS29" s="53"/>
      <c r="HIT29" s="53"/>
      <c r="HIU29" s="53"/>
      <c r="HIV29" s="53"/>
      <c r="HIW29" s="53"/>
      <c r="HIX29" s="53"/>
      <c r="HIY29" s="53"/>
      <c r="HIZ29" s="53"/>
      <c r="HJA29" s="53"/>
      <c r="HJB29" s="212"/>
      <c r="HJC29" s="46"/>
      <c r="HJD29" s="53"/>
      <c r="HJE29" s="53"/>
      <c r="HJF29" s="53"/>
      <c r="HJG29" s="53"/>
      <c r="HJH29" s="53"/>
      <c r="HJI29" s="53"/>
      <c r="HJJ29" s="53"/>
      <c r="HJK29" s="53"/>
      <c r="HJL29" s="53"/>
      <c r="HJM29" s="53"/>
      <c r="HJN29" s="53"/>
      <c r="HJO29" s="53"/>
      <c r="HJP29" s="53"/>
      <c r="HJQ29" s="212"/>
      <c r="HJR29" s="46"/>
      <c r="HJS29" s="53"/>
      <c r="HJT29" s="53"/>
      <c r="HJU29" s="53"/>
      <c r="HJV29" s="53"/>
      <c r="HJW29" s="53"/>
      <c r="HJX29" s="53"/>
      <c r="HJY29" s="53"/>
      <c r="HJZ29" s="53"/>
      <c r="HKA29" s="53"/>
      <c r="HKB29" s="53"/>
      <c r="HKC29" s="53"/>
      <c r="HKD29" s="53"/>
      <c r="HKE29" s="53"/>
      <c r="HKF29" s="212"/>
      <c r="HKG29" s="46"/>
      <c r="HKH29" s="53"/>
      <c r="HKI29" s="53"/>
      <c r="HKJ29" s="53"/>
      <c r="HKK29" s="53"/>
      <c r="HKL29" s="53"/>
      <c r="HKM29" s="53"/>
      <c r="HKN29" s="53"/>
      <c r="HKO29" s="53"/>
      <c r="HKP29" s="53"/>
      <c r="HKQ29" s="53"/>
      <c r="HKR29" s="53"/>
      <c r="HKS29" s="53"/>
      <c r="HKT29" s="53"/>
      <c r="HKU29" s="212"/>
      <c r="HKV29" s="46"/>
      <c r="HKW29" s="53"/>
      <c r="HKX29" s="53"/>
      <c r="HKY29" s="53"/>
      <c r="HKZ29" s="53"/>
      <c r="HLA29" s="53"/>
      <c r="HLB29" s="53"/>
      <c r="HLC29" s="53"/>
      <c r="HLD29" s="53"/>
      <c r="HLE29" s="53"/>
      <c r="HLF29" s="53"/>
      <c r="HLG29" s="53"/>
      <c r="HLH29" s="53"/>
      <c r="HLI29" s="53"/>
      <c r="HLJ29" s="212"/>
      <c r="HLK29" s="46"/>
      <c r="HLL29" s="53"/>
      <c r="HLM29" s="53"/>
      <c r="HLN29" s="53"/>
      <c r="HLO29" s="53"/>
      <c r="HLP29" s="53"/>
      <c r="HLQ29" s="53"/>
      <c r="HLR29" s="53"/>
      <c r="HLS29" s="53"/>
      <c r="HLT29" s="53"/>
      <c r="HLU29" s="53"/>
      <c r="HLV29" s="53"/>
      <c r="HLW29" s="53"/>
      <c r="HLX29" s="53"/>
      <c r="HLY29" s="212"/>
      <c r="HLZ29" s="46"/>
      <c r="HMA29" s="53"/>
      <c r="HMB29" s="53"/>
      <c r="HMC29" s="53"/>
      <c r="HMD29" s="53"/>
      <c r="HME29" s="53"/>
      <c r="HMF29" s="53"/>
      <c r="HMG29" s="53"/>
      <c r="HMH29" s="53"/>
      <c r="HMI29" s="53"/>
      <c r="HMJ29" s="53"/>
      <c r="HMK29" s="53"/>
      <c r="HML29" s="53"/>
      <c r="HMM29" s="53"/>
      <c r="HMN29" s="212"/>
      <c r="HMO29" s="46"/>
      <c r="HMP29" s="53"/>
      <c r="HMQ29" s="53"/>
      <c r="HMR29" s="53"/>
      <c r="HMS29" s="53"/>
      <c r="HMT29" s="53"/>
      <c r="HMU29" s="53"/>
      <c r="HMV29" s="53"/>
      <c r="HMW29" s="53"/>
      <c r="HMX29" s="53"/>
      <c r="HMY29" s="53"/>
      <c r="HMZ29" s="53"/>
      <c r="HNA29" s="53"/>
      <c r="HNB29" s="53"/>
      <c r="HNC29" s="212"/>
      <c r="HND29" s="46"/>
      <c r="HNE29" s="53"/>
      <c r="HNF29" s="53"/>
      <c r="HNG29" s="53"/>
      <c r="HNH29" s="53"/>
      <c r="HNI29" s="53"/>
      <c r="HNJ29" s="53"/>
      <c r="HNK29" s="53"/>
      <c r="HNL29" s="53"/>
      <c r="HNM29" s="53"/>
      <c r="HNN29" s="53"/>
      <c r="HNO29" s="53"/>
      <c r="HNP29" s="53"/>
      <c r="HNQ29" s="53"/>
      <c r="HNR29" s="212"/>
      <c r="HNS29" s="46"/>
      <c r="HNT29" s="53"/>
      <c r="HNU29" s="53"/>
      <c r="HNV29" s="53"/>
      <c r="HNW29" s="53"/>
      <c r="HNX29" s="53"/>
      <c r="HNY29" s="53"/>
      <c r="HNZ29" s="53"/>
      <c r="HOA29" s="53"/>
      <c r="HOB29" s="53"/>
      <c r="HOC29" s="53"/>
      <c r="HOD29" s="53"/>
      <c r="HOE29" s="53"/>
      <c r="HOF29" s="53"/>
      <c r="HOG29" s="212"/>
      <c r="HOH29" s="46"/>
      <c r="HOI29" s="53"/>
      <c r="HOJ29" s="53"/>
      <c r="HOK29" s="53"/>
      <c r="HOL29" s="53"/>
      <c r="HOM29" s="53"/>
      <c r="HON29" s="53"/>
      <c r="HOO29" s="53"/>
      <c r="HOP29" s="53"/>
      <c r="HOQ29" s="53"/>
      <c r="HOR29" s="53"/>
      <c r="HOS29" s="53"/>
      <c r="HOT29" s="53"/>
      <c r="HOU29" s="53"/>
      <c r="HOV29" s="212"/>
      <c r="HOW29" s="46"/>
      <c r="HOX29" s="53"/>
      <c r="HOY29" s="53"/>
      <c r="HOZ29" s="53"/>
      <c r="HPA29" s="53"/>
      <c r="HPB29" s="53"/>
      <c r="HPC29" s="53"/>
      <c r="HPD29" s="53"/>
      <c r="HPE29" s="53"/>
      <c r="HPF29" s="53"/>
      <c r="HPG29" s="53"/>
      <c r="HPH29" s="53"/>
      <c r="HPI29" s="53"/>
      <c r="HPJ29" s="53"/>
      <c r="HPK29" s="212"/>
      <c r="HPL29" s="46"/>
      <c r="HPM29" s="53"/>
      <c r="HPN29" s="53"/>
      <c r="HPO29" s="53"/>
      <c r="HPP29" s="53"/>
      <c r="HPQ29" s="53"/>
      <c r="HPR29" s="53"/>
      <c r="HPS29" s="53"/>
      <c r="HPT29" s="53"/>
      <c r="HPU29" s="53"/>
      <c r="HPV29" s="53"/>
      <c r="HPW29" s="53"/>
      <c r="HPX29" s="53"/>
      <c r="HPY29" s="53"/>
      <c r="HPZ29" s="212"/>
      <c r="HQA29" s="46"/>
      <c r="HQB29" s="53"/>
      <c r="HQC29" s="53"/>
      <c r="HQD29" s="53"/>
      <c r="HQE29" s="53"/>
      <c r="HQF29" s="53"/>
      <c r="HQG29" s="53"/>
      <c r="HQH29" s="53"/>
      <c r="HQI29" s="53"/>
      <c r="HQJ29" s="53"/>
      <c r="HQK29" s="53"/>
      <c r="HQL29" s="53"/>
      <c r="HQM29" s="53"/>
      <c r="HQN29" s="53"/>
      <c r="HQO29" s="212"/>
      <c r="HQP29" s="46"/>
      <c r="HQQ29" s="53"/>
      <c r="HQR29" s="53"/>
      <c r="HQS29" s="53"/>
      <c r="HQT29" s="53"/>
      <c r="HQU29" s="53"/>
      <c r="HQV29" s="53"/>
      <c r="HQW29" s="53"/>
      <c r="HQX29" s="53"/>
      <c r="HQY29" s="53"/>
      <c r="HQZ29" s="53"/>
      <c r="HRA29" s="53"/>
      <c r="HRB29" s="53"/>
      <c r="HRC29" s="53"/>
      <c r="HRD29" s="212"/>
      <c r="HRE29" s="46"/>
      <c r="HRF29" s="53"/>
      <c r="HRG29" s="53"/>
      <c r="HRH29" s="53"/>
      <c r="HRI29" s="53"/>
      <c r="HRJ29" s="53"/>
      <c r="HRK29" s="53"/>
      <c r="HRL29" s="53"/>
      <c r="HRM29" s="53"/>
      <c r="HRN29" s="53"/>
      <c r="HRO29" s="53"/>
      <c r="HRP29" s="53"/>
      <c r="HRQ29" s="53"/>
      <c r="HRR29" s="53"/>
      <c r="HRS29" s="212"/>
      <c r="HRT29" s="46"/>
      <c r="HRU29" s="53"/>
      <c r="HRV29" s="53"/>
      <c r="HRW29" s="53"/>
      <c r="HRX29" s="53"/>
      <c r="HRY29" s="53"/>
      <c r="HRZ29" s="53"/>
      <c r="HSA29" s="53"/>
      <c r="HSB29" s="53"/>
      <c r="HSC29" s="53"/>
      <c r="HSD29" s="53"/>
      <c r="HSE29" s="53"/>
      <c r="HSF29" s="53"/>
      <c r="HSG29" s="53"/>
      <c r="HSH29" s="212"/>
      <c r="HSI29" s="46"/>
      <c r="HSJ29" s="53"/>
      <c r="HSK29" s="53"/>
      <c r="HSL29" s="53"/>
      <c r="HSM29" s="53"/>
      <c r="HSN29" s="53"/>
      <c r="HSO29" s="53"/>
      <c r="HSP29" s="53"/>
      <c r="HSQ29" s="53"/>
      <c r="HSR29" s="53"/>
      <c r="HSS29" s="53"/>
      <c r="HST29" s="53"/>
      <c r="HSU29" s="53"/>
      <c r="HSV29" s="53"/>
      <c r="HSW29" s="212"/>
      <c r="HSX29" s="46"/>
      <c r="HSY29" s="53"/>
      <c r="HSZ29" s="53"/>
      <c r="HTA29" s="53"/>
      <c r="HTB29" s="53"/>
      <c r="HTC29" s="53"/>
      <c r="HTD29" s="53"/>
      <c r="HTE29" s="53"/>
      <c r="HTF29" s="53"/>
      <c r="HTG29" s="53"/>
      <c r="HTH29" s="53"/>
      <c r="HTI29" s="53"/>
      <c r="HTJ29" s="53"/>
      <c r="HTK29" s="53"/>
      <c r="HTL29" s="212"/>
      <c r="HTM29" s="46"/>
      <c r="HTN29" s="53"/>
      <c r="HTO29" s="53"/>
      <c r="HTP29" s="53"/>
      <c r="HTQ29" s="53"/>
      <c r="HTR29" s="53"/>
      <c r="HTS29" s="53"/>
      <c r="HTT29" s="53"/>
      <c r="HTU29" s="53"/>
      <c r="HTV29" s="53"/>
      <c r="HTW29" s="53"/>
      <c r="HTX29" s="53"/>
      <c r="HTY29" s="53"/>
      <c r="HTZ29" s="53"/>
      <c r="HUA29" s="212"/>
      <c r="HUB29" s="46"/>
      <c r="HUC29" s="53"/>
      <c r="HUD29" s="53"/>
      <c r="HUE29" s="53"/>
      <c r="HUF29" s="53"/>
      <c r="HUG29" s="53"/>
      <c r="HUH29" s="53"/>
      <c r="HUI29" s="53"/>
      <c r="HUJ29" s="53"/>
      <c r="HUK29" s="53"/>
      <c r="HUL29" s="53"/>
      <c r="HUM29" s="53"/>
      <c r="HUN29" s="53"/>
      <c r="HUO29" s="53"/>
      <c r="HUP29" s="212"/>
      <c r="HUQ29" s="46"/>
      <c r="HUR29" s="53"/>
      <c r="HUS29" s="53"/>
      <c r="HUT29" s="53"/>
      <c r="HUU29" s="53"/>
      <c r="HUV29" s="53"/>
      <c r="HUW29" s="53"/>
      <c r="HUX29" s="53"/>
      <c r="HUY29" s="53"/>
      <c r="HUZ29" s="53"/>
      <c r="HVA29" s="53"/>
      <c r="HVB29" s="53"/>
      <c r="HVC29" s="53"/>
      <c r="HVD29" s="53"/>
      <c r="HVE29" s="212"/>
      <c r="HVF29" s="46"/>
      <c r="HVG29" s="53"/>
      <c r="HVH29" s="53"/>
      <c r="HVI29" s="53"/>
      <c r="HVJ29" s="53"/>
      <c r="HVK29" s="53"/>
      <c r="HVL29" s="53"/>
      <c r="HVM29" s="53"/>
      <c r="HVN29" s="53"/>
      <c r="HVO29" s="53"/>
      <c r="HVP29" s="53"/>
      <c r="HVQ29" s="53"/>
      <c r="HVR29" s="53"/>
      <c r="HVS29" s="53"/>
      <c r="HVT29" s="212"/>
      <c r="HVU29" s="46"/>
      <c r="HVV29" s="53"/>
      <c r="HVW29" s="53"/>
      <c r="HVX29" s="53"/>
      <c r="HVY29" s="53"/>
      <c r="HVZ29" s="53"/>
      <c r="HWA29" s="53"/>
      <c r="HWB29" s="53"/>
      <c r="HWC29" s="53"/>
      <c r="HWD29" s="53"/>
      <c r="HWE29" s="53"/>
      <c r="HWF29" s="53"/>
      <c r="HWG29" s="53"/>
      <c r="HWH29" s="53"/>
      <c r="HWI29" s="212"/>
      <c r="HWJ29" s="46"/>
      <c r="HWK29" s="53"/>
      <c r="HWL29" s="53"/>
      <c r="HWM29" s="53"/>
      <c r="HWN29" s="53"/>
      <c r="HWO29" s="53"/>
      <c r="HWP29" s="53"/>
      <c r="HWQ29" s="53"/>
      <c r="HWR29" s="53"/>
      <c r="HWS29" s="53"/>
      <c r="HWT29" s="53"/>
      <c r="HWU29" s="53"/>
      <c r="HWV29" s="53"/>
      <c r="HWW29" s="53"/>
      <c r="HWX29" s="212"/>
      <c r="HWY29" s="46"/>
      <c r="HWZ29" s="53"/>
      <c r="HXA29" s="53"/>
      <c r="HXB29" s="53"/>
      <c r="HXC29" s="53"/>
      <c r="HXD29" s="53"/>
      <c r="HXE29" s="53"/>
      <c r="HXF29" s="53"/>
      <c r="HXG29" s="53"/>
      <c r="HXH29" s="53"/>
      <c r="HXI29" s="53"/>
      <c r="HXJ29" s="53"/>
      <c r="HXK29" s="53"/>
      <c r="HXL29" s="53"/>
      <c r="HXM29" s="212"/>
      <c r="HXN29" s="46"/>
      <c r="HXO29" s="53"/>
      <c r="HXP29" s="53"/>
      <c r="HXQ29" s="53"/>
      <c r="HXR29" s="53"/>
      <c r="HXS29" s="53"/>
      <c r="HXT29" s="53"/>
      <c r="HXU29" s="53"/>
      <c r="HXV29" s="53"/>
      <c r="HXW29" s="53"/>
      <c r="HXX29" s="53"/>
      <c r="HXY29" s="53"/>
      <c r="HXZ29" s="53"/>
      <c r="HYA29" s="53"/>
      <c r="HYB29" s="212"/>
      <c r="HYC29" s="46"/>
      <c r="HYD29" s="53"/>
      <c r="HYE29" s="53"/>
      <c r="HYF29" s="53"/>
      <c r="HYG29" s="53"/>
      <c r="HYH29" s="53"/>
      <c r="HYI29" s="53"/>
      <c r="HYJ29" s="53"/>
      <c r="HYK29" s="53"/>
      <c r="HYL29" s="53"/>
      <c r="HYM29" s="53"/>
      <c r="HYN29" s="53"/>
      <c r="HYO29" s="53"/>
      <c r="HYP29" s="53"/>
      <c r="HYQ29" s="212"/>
      <c r="HYR29" s="46"/>
      <c r="HYS29" s="53"/>
      <c r="HYT29" s="53"/>
      <c r="HYU29" s="53"/>
      <c r="HYV29" s="53"/>
      <c r="HYW29" s="53"/>
      <c r="HYX29" s="53"/>
      <c r="HYY29" s="53"/>
      <c r="HYZ29" s="53"/>
      <c r="HZA29" s="53"/>
      <c r="HZB29" s="53"/>
      <c r="HZC29" s="53"/>
      <c r="HZD29" s="53"/>
      <c r="HZE29" s="53"/>
      <c r="HZF29" s="212"/>
      <c r="HZG29" s="46"/>
      <c r="HZH29" s="53"/>
      <c r="HZI29" s="53"/>
      <c r="HZJ29" s="53"/>
      <c r="HZK29" s="53"/>
      <c r="HZL29" s="53"/>
      <c r="HZM29" s="53"/>
      <c r="HZN29" s="53"/>
      <c r="HZO29" s="53"/>
      <c r="HZP29" s="53"/>
      <c r="HZQ29" s="53"/>
      <c r="HZR29" s="53"/>
      <c r="HZS29" s="53"/>
      <c r="HZT29" s="53"/>
      <c r="HZU29" s="212"/>
      <c r="HZV29" s="46"/>
      <c r="HZW29" s="53"/>
      <c r="HZX29" s="53"/>
      <c r="HZY29" s="53"/>
      <c r="HZZ29" s="53"/>
      <c r="IAA29" s="53"/>
      <c r="IAB29" s="53"/>
      <c r="IAC29" s="53"/>
      <c r="IAD29" s="53"/>
      <c r="IAE29" s="53"/>
      <c r="IAF29" s="53"/>
      <c r="IAG29" s="53"/>
      <c r="IAH29" s="53"/>
      <c r="IAI29" s="53"/>
      <c r="IAJ29" s="212"/>
      <c r="IAK29" s="46"/>
      <c r="IAL29" s="53"/>
      <c r="IAM29" s="53"/>
      <c r="IAN29" s="53"/>
      <c r="IAO29" s="53"/>
      <c r="IAP29" s="53"/>
      <c r="IAQ29" s="53"/>
      <c r="IAR29" s="53"/>
      <c r="IAS29" s="53"/>
      <c r="IAT29" s="53"/>
      <c r="IAU29" s="53"/>
      <c r="IAV29" s="53"/>
      <c r="IAW29" s="53"/>
      <c r="IAX29" s="53"/>
      <c r="IAY29" s="212"/>
      <c r="IAZ29" s="46"/>
      <c r="IBA29" s="53"/>
      <c r="IBB29" s="53"/>
      <c r="IBC29" s="53"/>
      <c r="IBD29" s="53"/>
      <c r="IBE29" s="53"/>
      <c r="IBF29" s="53"/>
      <c r="IBG29" s="53"/>
      <c r="IBH29" s="53"/>
      <c r="IBI29" s="53"/>
      <c r="IBJ29" s="53"/>
      <c r="IBK29" s="53"/>
      <c r="IBL29" s="53"/>
      <c r="IBM29" s="53"/>
      <c r="IBN29" s="212"/>
      <c r="IBO29" s="46"/>
      <c r="IBP29" s="53"/>
      <c r="IBQ29" s="53"/>
      <c r="IBR29" s="53"/>
      <c r="IBS29" s="53"/>
      <c r="IBT29" s="53"/>
      <c r="IBU29" s="53"/>
      <c r="IBV29" s="53"/>
      <c r="IBW29" s="53"/>
      <c r="IBX29" s="53"/>
      <c r="IBY29" s="53"/>
      <c r="IBZ29" s="53"/>
      <c r="ICA29" s="53"/>
      <c r="ICB29" s="53"/>
      <c r="ICC29" s="212"/>
      <c r="ICD29" s="46"/>
      <c r="ICE29" s="53"/>
      <c r="ICF29" s="53"/>
      <c r="ICG29" s="53"/>
      <c r="ICH29" s="53"/>
      <c r="ICI29" s="53"/>
      <c r="ICJ29" s="53"/>
      <c r="ICK29" s="53"/>
      <c r="ICL29" s="53"/>
      <c r="ICM29" s="53"/>
      <c r="ICN29" s="53"/>
      <c r="ICO29" s="53"/>
      <c r="ICP29" s="53"/>
      <c r="ICQ29" s="53"/>
      <c r="ICR29" s="212"/>
      <c r="ICS29" s="46"/>
      <c r="ICT29" s="53"/>
      <c r="ICU29" s="53"/>
      <c r="ICV29" s="53"/>
      <c r="ICW29" s="53"/>
      <c r="ICX29" s="53"/>
      <c r="ICY29" s="53"/>
      <c r="ICZ29" s="53"/>
      <c r="IDA29" s="53"/>
      <c r="IDB29" s="53"/>
      <c r="IDC29" s="53"/>
      <c r="IDD29" s="53"/>
      <c r="IDE29" s="53"/>
      <c r="IDF29" s="53"/>
      <c r="IDG29" s="212"/>
      <c r="IDH29" s="46"/>
      <c r="IDI29" s="53"/>
      <c r="IDJ29" s="53"/>
      <c r="IDK29" s="53"/>
      <c r="IDL29" s="53"/>
      <c r="IDM29" s="53"/>
      <c r="IDN29" s="53"/>
      <c r="IDO29" s="53"/>
      <c r="IDP29" s="53"/>
      <c r="IDQ29" s="53"/>
      <c r="IDR29" s="53"/>
      <c r="IDS29" s="53"/>
      <c r="IDT29" s="53"/>
      <c r="IDU29" s="53"/>
      <c r="IDV29" s="212"/>
      <c r="IDW29" s="46"/>
      <c r="IDX29" s="53"/>
      <c r="IDY29" s="53"/>
      <c r="IDZ29" s="53"/>
      <c r="IEA29" s="53"/>
      <c r="IEB29" s="53"/>
      <c r="IEC29" s="53"/>
      <c r="IED29" s="53"/>
      <c r="IEE29" s="53"/>
      <c r="IEF29" s="53"/>
      <c r="IEG29" s="53"/>
      <c r="IEH29" s="53"/>
      <c r="IEI29" s="53"/>
      <c r="IEJ29" s="53"/>
      <c r="IEK29" s="212"/>
      <c r="IEL29" s="46"/>
      <c r="IEM29" s="53"/>
      <c r="IEN29" s="53"/>
      <c r="IEO29" s="53"/>
      <c r="IEP29" s="53"/>
      <c r="IEQ29" s="53"/>
      <c r="IER29" s="53"/>
      <c r="IES29" s="53"/>
      <c r="IET29" s="53"/>
      <c r="IEU29" s="53"/>
      <c r="IEV29" s="53"/>
      <c r="IEW29" s="53"/>
      <c r="IEX29" s="53"/>
      <c r="IEY29" s="53"/>
      <c r="IEZ29" s="212"/>
      <c r="IFA29" s="46"/>
      <c r="IFB29" s="53"/>
      <c r="IFC29" s="53"/>
      <c r="IFD29" s="53"/>
      <c r="IFE29" s="53"/>
      <c r="IFF29" s="53"/>
      <c r="IFG29" s="53"/>
      <c r="IFH29" s="53"/>
      <c r="IFI29" s="53"/>
      <c r="IFJ29" s="53"/>
      <c r="IFK29" s="53"/>
      <c r="IFL29" s="53"/>
      <c r="IFM29" s="53"/>
      <c r="IFN29" s="53"/>
      <c r="IFO29" s="212"/>
      <c r="IFP29" s="46"/>
      <c r="IFQ29" s="53"/>
      <c r="IFR29" s="53"/>
      <c r="IFS29" s="53"/>
      <c r="IFT29" s="53"/>
      <c r="IFU29" s="53"/>
      <c r="IFV29" s="53"/>
      <c r="IFW29" s="53"/>
      <c r="IFX29" s="53"/>
      <c r="IFY29" s="53"/>
      <c r="IFZ29" s="53"/>
      <c r="IGA29" s="53"/>
      <c r="IGB29" s="53"/>
      <c r="IGC29" s="53"/>
      <c r="IGD29" s="212"/>
      <c r="IGE29" s="46"/>
      <c r="IGF29" s="53"/>
      <c r="IGG29" s="53"/>
      <c r="IGH29" s="53"/>
      <c r="IGI29" s="53"/>
      <c r="IGJ29" s="53"/>
      <c r="IGK29" s="53"/>
      <c r="IGL29" s="53"/>
      <c r="IGM29" s="53"/>
      <c r="IGN29" s="53"/>
      <c r="IGO29" s="53"/>
      <c r="IGP29" s="53"/>
      <c r="IGQ29" s="53"/>
      <c r="IGR29" s="53"/>
      <c r="IGS29" s="212"/>
      <c r="IGT29" s="46"/>
      <c r="IGU29" s="53"/>
      <c r="IGV29" s="53"/>
      <c r="IGW29" s="53"/>
      <c r="IGX29" s="53"/>
      <c r="IGY29" s="53"/>
      <c r="IGZ29" s="53"/>
      <c r="IHA29" s="53"/>
      <c r="IHB29" s="53"/>
      <c r="IHC29" s="53"/>
      <c r="IHD29" s="53"/>
      <c r="IHE29" s="53"/>
      <c r="IHF29" s="53"/>
      <c r="IHG29" s="53"/>
      <c r="IHH29" s="212"/>
      <c r="IHI29" s="46"/>
      <c r="IHJ29" s="53"/>
      <c r="IHK29" s="53"/>
      <c r="IHL29" s="53"/>
      <c r="IHM29" s="53"/>
      <c r="IHN29" s="53"/>
      <c r="IHO29" s="53"/>
      <c r="IHP29" s="53"/>
      <c r="IHQ29" s="53"/>
      <c r="IHR29" s="53"/>
      <c r="IHS29" s="53"/>
      <c r="IHT29" s="53"/>
      <c r="IHU29" s="53"/>
      <c r="IHV29" s="53"/>
      <c r="IHW29" s="212"/>
      <c r="IHX29" s="46"/>
      <c r="IHY29" s="53"/>
      <c r="IHZ29" s="53"/>
      <c r="IIA29" s="53"/>
      <c r="IIB29" s="53"/>
      <c r="IIC29" s="53"/>
      <c r="IID29" s="53"/>
      <c r="IIE29" s="53"/>
      <c r="IIF29" s="53"/>
      <c r="IIG29" s="53"/>
      <c r="IIH29" s="53"/>
      <c r="III29" s="53"/>
      <c r="IIJ29" s="53"/>
      <c r="IIK29" s="53"/>
      <c r="IIL29" s="212"/>
      <c r="IIM29" s="46"/>
      <c r="IIN29" s="53"/>
      <c r="IIO29" s="53"/>
      <c r="IIP29" s="53"/>
      <c r="IIQ29" s="53"/>
      <c r="IIR29" s="53"/>
      <c r="IIS29" s="53"/>
      <c r="IIT29" s="53"/>
      <c r="IIU29" s="53"/>
      <c r="IIV29" s="53"/>
      <c r="IIW29" s="53"/>
      <c r="IIX29" s="53"/>
      <c r="IIY29" s="53"/>
      <c r="IIZ29" s="53"/>
      <c r="IJA29" s="212"/>
      <c r="IJB29" s="46"/>
      <c r="IJC29" s="53"/>
      <c r="IJD29" s="53"/>
      <c r="IJE29" s="53"/>
      <c r="IJF29" s="53"/>
      <c r="IJG29" s="53"/>
      <c r="IJH29" s="53"/>
      <c r="IJI29" s="53"/>
      <c r="IJJ29" s="53"/>
      <c r="IJK29" s="53"/>
      <c r="IJL29" s="53"/>
      <c r="IJM29" s="53"/>
      <c r="IJN29" s="53"/>
      <c r="IJO29" s="53"/>
      <c r="IJP29" s="212"/>
      <c r="IJQ29" s="46"/>
      <c r="IJR29" s="53"/>
      <c r="IJS29" s="53"/>
      <c r="IJT29" s="53"/>
      <c r="IJU29" s="53"/>
      <c r="IJV29" s="53"/>
      <c r="IJW29" s="53"/>
      <c r="IJX29" s="53"/>
      <c r="IJY29" s="53"/>
      <c r="IJZ29" s="53"/>
      <c r="IKA29" s="53"/>
      <c r="IKB29" s="53"/>
      <c r="IKC29" s="53"/>
      <c r="IKD29" s="53"/>
      <c r="IKE29" s="212"/>
      <c r="IKF29" s="46"/>
      <c r="IKG29" s="53"/>
      <c r="IKH29" s="53"/>
      <c r="IKI29" s="53"/>
      <c r="IKJ29" s="53"/>
      <c r="IKK29" s="53"/>
      <c r="IKL29" s="53"/>
      <c r="IKM29" s="53"/>
      <c r="IKN29" s="53"/>
      <c r="IKO29" s="53"/>
      <c r="IKP29" s="53"/>
      <c r="IKQ29" s="53"/>
      <c r="IKR29" s="53"/>
      <c r="IKS29" s="53"/>
      <c r="IKT29" s="212"/>
      <c r="IKU29" s="46"/>
      <c r="IKV29" s="53"/>
      <c r="IKW29" s="53"/>
      <c r="IKX29" s="53"/>
      <c r="IKY29" s="53"/>
      <c r="IKZ29" s="53"/>
      <c r="ILA29" s="53"/>
      <c r="ILB29" s="53"/>
      <c r="ILC29" s="53"/>
      <c r="ILD29" s="53"/>
      <c r="ILE29" s="53"/>
      <c r="ILF29" s="53"/>
      <c r="ILG29" s="53"/>
      <c r="ILH29" s="53"/>
      <c r="ILI29" s="212"/>
      <c r="ILJ29" s="46"/>
      <c r="ILK29" s="53"/>
      <c r="ILL29" s="53"/>
      <c r="ILM29" s="53"/>
      <c r="ILN29" s="53"/>
      <c r="ILO29" s="53"/>
      <c r="ILP29" s="53"/>
      <c r="ILQ29" s="53"/>
      <c r="ILR29" s="53"/>
      <c r="ILS29" s="53"/>
      <c r="ILT29" s="53"/>
      <c r="ILU29" s="53"/>
      <c r="ILV29" s="53"/>
      <c r="ILW29" s="53"/>
      <c r="ILX29" s="212"/>
      <c r="ILY29" s="46"/>
      <c r="ILZ29" s="53"/>
      <c r="IMA29" s="53"/>
      <c r="IMB29" s="53"/>
      <c r="IMC29" s="53"/>
      <c r="IMD29" s="53"/>
      <c r="IME29" s="53"/>
      <c r="IMF29" s="53"/>
      <c r="IMG29" s="53"/>
      <c r="IMH29" s="53"/>
      <c r="IMI29" s="53"/>
      <c r="IMJ29" s="53"/>
      <c r="IMK29" s="53"/>
      <c r="IML29" s="53"/>
      <c r="IMM29" s="212"/>
      <c r="IMN29" s="46"/>
      <c r="IMO29" s="53"/>
      <c r="IMP29" s="53"/>
      <c r="IMQ29" s="53"/>
      <c r="IMR29" s="53"/>
      <c r="IMS29" s="53"/>
      <c r="IMT29" s="53"/>
      <c r="IMU29" s="53"/>
      <c r="IMV29" s="53"/>
      <c r="IMW29" s="53"/>
      <c r="IMX29" s="53"/>
      <c r="IMY29" s="53"/>
      <c r="IMZ29" s="53"/>
      <c r="INA29" s="53"/>
      <c r="INB29" s="212"/>
      <c r="INC29" s="46"/>
      <c r="IND29" s="53"/>
      <c r="INE29" s="53"/>
      <c r="INF29" s="53"/>
      <c r="ING29" s="53"/>
      <c r="INH29" s="53"/>
      <c r="INI29" s="53"/>
      <c r="INJ29" s="53"/>
      <c r="INK29" s="53"/>
      <c r="INL29" s="53"/>
      <c r="INM29" s="53"/>
      <c r="INN29" s="53"/>
      <c r="INO29" s="53"/>
      <c r="INP29" s="53"/>
      <c r="INQ29" s="212"/>
      <c r="INR29" s="46"/>
      <c r="INS29" s="53"/>
      <c r="INT29" s="53"/>
      <c r="INU29" s="53"/>
      <c r="INV29" s="53"/>
      <c r="INW29" s="53"/>
      <c r="INX29" s="53"/>
      <c r="INY29" s="53"/>
      <c r="INZ29" s="53"/>
      <c r="IOA29" s="53"/>
      <c r="IOB29" s="53"/>
      <c r="IOC29" s="53"/>
      <c r="IOD29" s="53"/>
      <c r="IOE29" s="53"/>
      <c r="IOF29" s="212"/>
      <c r="IOG29" s="46"/>
      <c r="IOH29" s="53"/>
      <c r="IOI29" s="53"/>
      <c r="IOJ29" s="53"/>
      <c r="IOK29" s="53"/>
      <c r="IOL29" s="53"/>
      <c r="IOM29" s="53"/>
      <c r="ION29" s="53"/>
      <c r="IOO29" s="53"/>
      <c r="IOP29" s="53"/>
      <c r="IOQ29" s="53"/>
      <c r="IOR29" s="53"/>
      <c r="IOS29" s="53"/>
      <c r="IOT29" s="53"/>
      <c r="IOU29" s="212"/>
      <c r="IOV29" s="46"/>
      <c r="IOW29" s="53"/>
      <c r="IOX29" s="53"/>
      <c r="IOY29" s="53"/>
      <c r="IOZ29" s="53"/>
      <c r="IPA29" s="53"/>
      <c r="IPB29" s="53"/>
      <c r="IPC29" s="53"/>
      <c r="IPD29" s="53"/>
      <c r="IPE29" s="53"/>
      <c r="IPF29" s="53"/>
      <c r="IPG29" s="53"/>
      <c r="IPH29" s="53"/>
      <c r="IPI29" s="53"/>
      <c r="IPJ29" s="212"/>
      <c r="IPK29" s="46"/>
      <c r="IPL29" s="53"/>
      <c r="IPM29" s="53"/>
      <c r="IPN29" s="53"/>
      <c r="IPO29" s="53"/>
      <c r="IPP29" s="53"/>
      <c r="IPQ29" s="53"/>
      <c r="IPR29" s="53"/>
      <c r="IPS29" s="53"/>
      <c r="IPT29" s="53"/>
      <c r="IPU29" s="53"/>
      <c r="IPV29" s="53"/>
      <c r="IPW29" s="53"/>
      <c r="IPX29" s="53"/>
      <c r="IPY29" s="212"/>
      <c r="IPZ29" s="46"/>
      <c r="IQA29" s="53"/>
      <c r="IQB29" s="53"/>
      <c r="IQC29" s="53"/>
      <c r="IQD29" s="53"/>
      <c r="IQE29" s="53"/>
      <c r="IQF29" s="53"/>
      <c r="IQG29" s="53"/>
      <c r="IQH29" s="53"/>
      <c r="IQI29" s="53"/>
      <c r="IQJ29" s="53"/>
      <c r="IQK29" s="53"/>
      <c r="IQL29" s="53"/>
      <c r="IQM29" s="53"/>
      <c r="IQN29" s="212"/>
      <c r="IQO29" s="46"/>
      <c r="IQP29" s="53"/>
      <c r="IQQ29" s="53"/>
      <c r="IQR29" s="53"/>
      <c r="IQS29" s="53"/>
      <c r="IQT29" s="53"/>
      <c r="IQU29" s="53"/>
      <c r="IQV29" s="53"/>
      <c r="IQW29" s="53"/>
      <c r="IQX29" s="53"/>
      <c r="IQY29" s="53"/>
      <c r="IQZ29" s="53"/>
      <c r="IRA29" s="53"/>
      <c r="IRB29" s="53"/>
      <c r="IRC29" s="212"/>
      <c r="IRD29" s="46"/>
      <c r="IRE29" s="53"/>
      <c r="IRF29" s="53"/>
      <c r="IRG29" s="53"/>
      <c r="IRH29" s="53"/>
      <c r="IRI29" s="53"/>
      <c r="IRJ29" s="53"/>
      <c r="IRK29" s="53"/>
      <c r="IRL29" s="53"/>
      <c r="IRM29" s="53"/>
      <c r="IRN29" s="53"/>
      <c r="IRO29" s="53"/>
      <c r="IRP29" s="53"/>
      <c r="IRQ29" s="53"/>
      <c r="IRR29" s="212"/>
      <c r="IRS29" s="46"/>
      <c r="IRT29" s="53"/>
      <c r="IRU29" s="53"/>
      <c r="IRV29" s="53"/>
      <c r="IRW29" s="53"/>
      <c r="IRX29" s="53"/>
      <c r="IRY29" s="53"/>
      <c r="IRZ29" s="53"/>
      <c r="ISA29" s="53"/>
      <c r="ISB29" s="53"/>
      <c r="ISC29" s="53"/>
      <c r="ISD29" s="53"/>
      <c r="ISE29" s="53"/>
      <c r="ISF29" s="53"/>
      <c r="ISG29" s="212"/>
      <c r="ISH29" s="46"/>
      <c r="ISI29" s="53"/>
      <c r="ISJ29" s="53"/>
      <c r="ISK29" s="53"/>
      <c r="ISL29" s="53"/>
      <c r="ISM29" s="53"/>
      <c r="ISN29" s="53"/>
      <c r="ISO29" s="53"/>
      <c r="ISP29" s="53"/>
      <c r="ISQ29" s="53"/>
      <c r="ISR29" s="53"/>
      <c r="ISS29" s="53"/>
      <c r="IST29" s="53"/>
      <c r="ISU29" s="53"/>
      <c r="ISV29" s="212"/>
      <c r="ISW29" s="46"/>
      <c r="ISX29" s="53"/>
      <c r="ISY29" s="53"/>
      <c r="ISZ29" s="53"/>
      <c r="ITA29" s="53"/>
      <c r="ITB29" s="53"/>
      <c r="ITC29" s="53"/>
      <c r="ITD29" s="53"/>
      <c r="ITE29" s="53"/>
      <c r="ITF29" s="53"/>
      <c r="ITG29" s="53"/>
      <c r="ITH29" s="53"/>
      <c r="ITI29" s="53"/>
      <c r="ITJ29" s="53"/>
      <c r="ITK29" s="212"/>
      <c r="ITL29" s="46"/>
      <c r="ITM29" s="53"/>
      <c r="ITN29" s="53"/>
      <c r="ITO29" s="53"/>
      <c r="ITP29" s="53"/>
      <c r="ITQ29" s="53"/>
      <c r="ITR29" s="53"/>
      <c r="ITS29" s="53"/>
      <c r="ITT29" s="53"/>
      <c r="ITU29" s="53"/>
      <c r="ITV29" s="53"/>
      <c r="ITW29" s="53"/>
      <c r="ITX29" s="53"/>
      <c r="ITY29" s="53"/>
      <c r="ITZ29" s="212"/>
      <c r="IUA29" s="46"/>
      <c r="IUB29" s="53"/>
      <c r="IUC29" s="53"/>
      <c r="IUD29" s="53"/>
      <c r="IUE29" s="53"/>
      <c r="IUF29" s="53"/>
      <c r="IUG29" s="53"/>
      <c r="IUH29" s="53"/>
      <c r="IUI29" s="53"/>
      <c r="IUJ29" s="53"/>
      <c r="IUK29" s="53"/>
      <c r="IUL29" s="53"/>
      <c r="IUM29" s="53"/>
      <c r="IUN29" s="53"/>
      <c r="IUO29" s="212"/>
      <c r="IUP29" s="46"/>
      <c r="IUQ29" s="53"/>
      <c r="IUR29" s="53"/>
      <c r="IUS29" s="53"/>
      <c r="IUT29" s="53"/>
      <c r="IUU29" s="53"/>
      <c r="IUV29" s="53"/>
      <c r="IUW29" s="53"/>
      <c r="IUX29" s="53"/>
      <c r="IUY29" s="53"/>
      <c r="IUZ29" s="53"/>
      <c r="IVA29" s="53"/>
      <c r="IVB29" s="53"/>
      <c r="IVC29" s="53"/>
      <c r="IVD29" s="212"/>
      <c r="IVE29" s="46"/>
      <c r="IVF29" s="53"/>
      <c r="IVG29" s="53"/>
      <c r="IVH29" s="53"/>
      <c r="IVI29" s="53"/>
      <c r="IVJ29" s="53"/>
      <c r="IVK29" s="53"/>
      <c r="IVL29" s="53"/>
      <c r="IVM29" s="53"/>
      <c r="IVN29" s="53"/>
      <c r="IVO29" s="53"/>
      <c r="IVP29" s="53"/>
      <c r="IVQ29" s="53"/>
      <c r="IVR29" s="53"/>
      <c r="IVS29" s="212"/>
      <c r="IVT29" s="46"/>
      <c r="IVU29" s="53"/>
      <c r="IVV29" s="53"/>
      <c r="IVW29" s="53"/>
      <c r="IVX29" s="53"/>
      <c r="IVY29" s="53"/>
      <c r="IVZ29" s="53"/>
      <c r="IWA29" s="53"/>
      <c r="IWB29" s="53"/>
      <c r="IWC29" s="53"/>
      <c r="IWD29" s="53"/>
      <c r="IWE29" s="53"/>
      <c r="IWF29" s="53"/>
      <c r="IWG29" s="53"/>
      <c r="IWH29" s="212"/>
      <c r="IWI29" s="46"/>
      <c r="IWJ29" s="53"/>
      <c r="IWK29" s="53"/>
      <c r="IWL29" s="53"/>
      <c r="IWM29" s="53"/>
      <c r="IWN29" s="53"/>
      <c r="IWO29" s="53"/>
      <c r="IWP29" s="53"/>
      <c r="IWQ29" s="53"/>
      <c r="IWR29" s="53"/>
      <c r="IWS29" s="53"/>
      <c r="IWT29" s="53"/>
      <c r="IWU29" s="53"/>
      <c r="IWV29" s="53"/>
      <c r="IWW29" s="212"/>
      <c r="IWX29" s="46"/>
      <c r="IWY29" s="53"/>
      <c r="IWZ29" s="53"/>
      <c r="IXA29" s="53"/>
      <c r="IXB29" s="53"/>
      <c r="IXC29" s="53"/>
      <c r="IXD29" s="53"/>
      <c r="IXE29" s="53"/>
      <c r="IXF29" s="53"/>
      <c r="IXG29" s="53"/>
      <c r="IXH29" s="53"/>
      <c r="IXI29" s="53"/>
      <c r="IXJ29" s="53"/>
      <c r="IXK29" s="53"/>
      <c r="IXL29" s="212"/>
      <c r="IXM29" s="46"/>
      <c r="IXN29" s="53"/>
      <c r="IXO29" s="53"/>
      <c r="IXP29" s="53"/>
      <c r="IXQ29" s="53"/>
      <c r="IXR29" s="53"/>
      <c r="IXS29" s="53"/>
      <c r="IXT29" s="53"/>
      <c r="IXU29" s="53"/>
      <c r="IXV29" s="53"/>
      <c r="IXW29" s="53"/>
      <c r="IXX29" s="53"/>
      <c r="IXY29" s="53"/>
      <c r="IXZ29" s="53"/>
      <c r="IYA29" s="212"/>
      <c r="IYB29" s="46"/>
      <c r="IYC29" s="53"/>
      <c r="IYD29" s="53"/>
      <c r="IYE29" s="53"/>
      <c r="IYF29" s="53"/>
      <c r="IYG29" s="53"/>
      <c r="IYH29" s="53"/>
      <c r="IYI29" s="53"/>
      <c r="IYJ29" s="53"/>
      <c r="IYK29" s="53"/>
      <c r="IYL29" s="53"/>
      <c r="IYM29" s="53"/>
      <c r="IYN29" s="53"/>
      <c r="IYO29" s="53"/>
      <c r="IYP29" s="212"/>
      <c r="IYQ29" s="46"/>
      <c r="IYR29" s="53"/>
      <c r="IYS29" s="53"/>
      <c r="IYT29" s="53"/>
      <c r="IYU29" s="53"/>
      <c r="IYV29" s="53"/>
      <c r="IYW29" s="53"/>
      <c r="IYX29" s="53"/>
      <c r="IYY29" s="53"/>
      <c r="IYZ29" s="53"/>
      <c r="IZA29" s="53"/>
      <c r="IZB29" s="53"/>
      <c r="IZC29" s="53"/>
      <c r="IZD29" s="53"/>
      <c r="IZE29" s="212"/>
      <c r="IZF29" s="46"/>
      <c r="IZG29" s="53"/>
      <c r="IZH29" s="53"/>
      <c r="IZI29" s="53"/>
      <c r="IZJ29" s="53"/>
      <c r="IZK29" s="53"/>
      <c r="IZL29" s="53"/>
      <c r="IZM29" s="53"/>
      <c r="IZN29" s="53"/>
      <c r="IZO29" s="53"/>
      <c r="IZP29" s="53"/>
      <c r="IZQ29" s="53"/>
      <c r="IZR29" s="53"/>
      <c r="IZS29" s="53"/>
      <c r="IZT29" s="212"/>
      <c r="IZU29" s="46"/>
      <c r="IZV29" s="53"/>
      <c r="IZW29" s="53"/>
      <c r="IZX29" s="53"/>
      <c r="IZY29" s="53"/>
      <c r="IZZ29" s="53"/>
      <c r="JAA29" s="53"/>
      <c r="JAB29" s="53"/>
      <c r="JAC29" s="53"/>
      <c r="JAD29" s="53"/>
      <c r="JAE29" s="53"/>
      <c r="JAF29" s="53"/>
      <c r="JAG29" s="53"/>
      <c r="JAH29" s="53"/>
      <c r="JAI29" s="212"/>
      <c r="JAJ29" s="46"/>
      <c r="JAK29" s="53"/>
      <c r="JAL29" s="53"/>
      <c r="JAM29" s="53"/>
      <c r="JAN29" s="53"/>
      <c r="JAO29" s="53"/>
      <c r="JAP29" s="53"/>
      <c r="JAQ29" s="53"/>
      <c r="JAR29" s="53"/>
      <c r="JAS29" s="53"/>
      <c r="JAT29" s="53"/>
      <c r="JAU29" s="53"/>
      <c r="JAV29" s="53"/>
      <c r="JAW29" s="53"/>
      <c r="JAX29" s="212"/>
      <c r="JAY29" s="46"/>
      <c r="JAZ29" s="53"/>
      <c r="JBA29" s="53"/>
      <c r="JBB29" s="53"/>
      <c r="JBC29" s="53"/>
      <c r="JBD29" s="53"/>
      <c r="JBE29" s="53"/>
      <c r="JBF29" s="53"/>
      <c r="JBG29" s="53"/>
      <c r="JBH29" s="53"/>
      <c r="JBI29" s="53"/>
      <c r="JBJ29" s="53"/>
      <c r="JBK29" s="53"/>
      <c r="JBL29" s="53"/>
      <c r="JBM29" s="212"/>
      <c r="JBN29" s="46"/>
      <c r="JBO29" s="53"/>
      <c r="JBP29" s="53"/>
      <c r="JBQ29" s="53"/>
      <c r="JBR29" s="53"/>
      <c r="JBS29" s="53"/>
      <c r="JBT29" s="53"/>
      <c r="JBU29" s="53"/>
      <c r="JBV29" s="53"/>
      <c r="JBW29" s="53"/>
      <c r="JBX29" s="53"/>
      <c r="JBY29" s="53"/>
      <c r="JBZ29" s="53"/>
      <c r="JCA29" s="53"/>
      <c r="JCB29" s="212"/>
      <c r="JCC29" s="46"/>
      <c r="JCD29" s="53"/>
      <c r="JCE29" s="53"/>
      <c r="JCF29" s="53"/>
      <c r="JCG29" s="53"/>
      <c r="JCH29" s="53"/>
      <c r="JCI29" s="53"/>
      <c r="JCJ29" s="53"/>
      <c r="JCK29" s="53"/>
      <c r="JCL29" s="53"/>
      <c r="JCM29" s="53"/>
      <c r="JCN29" s="53"/>
      <c r="JCO29" s="53"/>
      <c r="JCP29" s="53"/>
      <c r="JCQ29" s="212"/>
      <c r="JCR29" s="46"/>
      <c r="JCS29" s="53"/>
      <c r="JCT29" s="53"/>
      <c r="JCU29" s="53"/>
      <c r="JCV29" s="53"/>
      <c r="JCW29" s="53"/>
      <c r="JCX29" s="53"/>
      <c r="JCY29" s="53"/>
      <c r="JCZ29" s="53"/>
      <c r="JDA29" s="53"/>
      <c r="JDB29" s="53"/>
      <c r="JDC29" s="53"/>
      <c r="JDD29" s="53"/>
      <c r="JDE29" s="53"/>
      <c r="JDF29" s="212"/>
      <c r="JDG29" s="46"/>
      <c r="JDH29" s="53"/>
      <c r="JDI29" s="53"/>
      <c r="JDJ29" s="53"/>
      <c r="JDK29" s="53"/>
      <c r="JDL29" s="53"/>
      <c r="JDM29" s="53"/>
      <c r="JDN29" s="53"/>
      <c r="JDO29" s="53"/>
      <c r="JDP29" s="53"/>
      <c r="JDQ29" s="53"/>
      <c r="JDR29" s="53"/>
      <c r="JDS29" s="53"/>
      <c r="JDT29" s="53"/>
      <c r="JDU29" s="212"/>
      <c r="JDV29" s="46"/>
      <c r="JDW29" s="53"/>
      <c r="JDX29" s="53"/>
      <c r="JDY29" s="53"/>
      <c r="JDZ29" s="53"/>
      <c r="JEA29" s="53"/>
      <c r="JEB29" s="53"/>
      <c r="JEC29" s="53"/>
      <c r="JED29" s="53"/>
      <c r="JEE29" s="53"/>
      <c r="JEF29" s="53"/>
      <c r="JEG29" s="53"/>
      <c r="JEH29" s="53"/>
      <c r="JEI29" s="53"/>
      <c r="JEJ29" s="212"/>
      <c r="JEK29" s="46"/>
      <c r="JEL29" s="53"/>
      <c r="JEM29" s="53"/>
      <c r="JEN29" s="53"/>
      <c r="JEO29" s="53"/>
      <c r="JEP29" s="53"/>
      <c r="JEQ29" s="53"/>
      <c r="JER29" s="53"/>
      <c r="JES29" s="53"/>
      <c r="JET29" s="53"/>
      <c r="JEU29" s="53"/>
      <c r="JEV29" s="53"/>
      <c r="JEW29" s="53"/>
      <c r="JEX29" s="53"/>
      <c r="JEY29" s="212"/>
      <c r="JEZ29" s="46"/>
      <c r="JFA29" s="53"/>
      <c r="JFB29" s="53"/>
      <c r="JFC29" s="53"/>
      <c r="JFD29" s="53"/>
      <c r="JFE29" s="53"/>
      <c r="JFF29" s="53"/>
      <c r="JFG29" s="53"/>
      <c r="JFH29" s="53"/>
      <c r="JFI29" s="53"/>
      <c r="JFJ29" s="53"/>
      <c r="JFK29" s="53"/>
      <c r="JFL29" s="53"/>
      <c r="JFM29" s="53"/>
      <c r="JFN29" s="212"/>
      <c r="JFO29" s="46"/>
      <c r="JFP29" s="53"/>
      <c r="JFQ29" s="53"/>
      <c r="JFR29" s="53"/>
      <c r="JFS29" s="53"/>
      <c r="JFT29" s="53"/>
      <c r="JFU29" s="53"/>
      <c r="JFV29" s="53"/>
      <c r="JFW29" s="53"/>
      <c r="JFX29" s="53"/>
      <c r="JFY29" s="53"/>
      <c r="JFZ29" s="53"/>
      <c r="JGA29" s="53"/>
      <c r="JGB29" s="53"/>
      <c r="JGC29" s="212"/>
      <c r="JGD29" s="46"/>
      <c r="JGE29" s="53"/>
      <c r="JGF29" s="53"/>
      <c r="JGG29" s="53"/>
      <c r="JGH29" s="53"/>
      <c r="JGI29" s="53"/>
      <c r="JGJ29" s="53"/>
      <c r="JGK29" s="53"/>
      <c r="JGL29" s="53"/>
      <c r="JGM29" s="53"/>
      <c r="JGN29" s="53"/>
      <c r="JGO29" s="53"/>
      <c r="JGP29" s="53"/>
      <c r="JGQ29" s="53"/>
      <c r="JGR29" s="212"/>
      <c r="JGS29" s="46"/>
      <c r="JGT29" s="53"/>
      <c r="JGU29" s="53"/>
      <c r="JGV29" s="53"/>
      <c r="JGW29" s="53"/>
      <c r="JGX29" s="53"/>
      <c r="JGY29" s="53"/>
      <c r="JGZ29" s="53"/>
      <c r="JHA29" s="53"/>
      <c r="JHB29" s="53"/>
      <c r="JHC29" s="53"/>
      <c r="JHD29" s="53"/>
      <c r="JHE29" s="53"/>
      <c r="JHF29" s="53"/>
      <c r="JHG29" s="212"/>
      <c r="JHH29" s="46"/>
      <c r="JHI29" s="53"/>
      <c r="JHJ29" s="53"/>
      <c r="JHK29" s="53"/>
      <c r="JHL29" s="53"/>
      <c r="JHM29" s="53"/>
      <c r="JHN29" s="53"/>
      <c r="JHO29" s="53"/>
      <c r="JHP29" s="53"/>
      <c r="JHQ29" s="53"/>
      <c r="JHR29" s="53"/>
      <c r="JHS29" s="53"/>
      <c r="JHT29" s="53"/>
      <c r="JHU29" s="53"/>
      <c r="JHV29" s="212"/>
      <c r="JHW29" s="46"/>
      <c r="JHX29" s="53"/>
      <c r="JHY29" s="53"/>
      <c r="JHZ29" s="53"/>
      <c r="JIA29" s="53"/>
      <c r="JIB29" s="53"/>
      <c r="JIC29" s="53"/>
      <c r="JID29" s="53"/>
      <c r="JIE29" s="53"/>
      <c r="JIF29" s="53"/>
      <c r="JIG29" s="53"/>
      <c r="JIH29" s="53"/>
      <c r="JII29" s="53"/>
      <c r="JIJ29" s="53"/>
      <c r="JIK29" s="212"/>
      <c r="JIL29" s="46"/>
      <c r="JIM29" s="53"/>
      <c r="JIN29" s="53"/>
      <c r="JIO29" s="53"/>
      <c r="JIP29" s="53"/>
      <c r="JIQ29" s="53"/>
      <c r="JIR29" s="53"/>
      <c r="JIS29" s="53"/>
      <c r="JIT29" s="53"/>
      <c r="JIU29" s="53"/>
      <c r="JIV29" s="53"/>
      <c r="JIW29" s="53"/>
      <c r="JIX29" s="53"/>
      <c r="JIY29" s="53"/>
      <c r="JIZ29" s="212"/>
      <c r="JJA29" s="46"/>
      <c r="JJB29" s="53"/>
      <c r="JJC29" s="53"/>
      <c r="JJD29" s="53"/>
      <c r="JJE29" s="53"/>
      <c r="JJF29" s="53"/>
      <c r="JJG29" s="53"/>
      <c r="JJH29" s="53"/>
      <c r="JJI29" s="53"/>
      <c r="JJJ29" s="53"/>
      <c r="JJK29" s="53"/>
      <c r="JJL29" s="53"/>
      <c r="JJM29" s="53"/>
      <c r="JJN29" s="53"/>
      <c r="JJO29" s="212"/>
      <c r="JJP29" s="46"/>
      <c r="JJQ29" s="53"/>
      <c r="JJR29" s="53"/>
      <c r="JJS29" s="53"/>
      <c r="JJT29" s="53"/>
      <c r="JJU29" s="53"/>
      <c r="JJV29" s="53"/>
      <c r="JJW29" s="53"/>
      <c r="JJX29" s="53"/>
      <c r="JJY29" s="53"/>
      <c r="JJZ29" s="53"/>
      <c r="JKA29" s="53"/>
      <c r="JKB29" s="53"/>
      <c r="JKC29" s="53"/>
      <c r="JKD29" s="212"/>
      <c r="JKE29" s="46"/>
      <c r="JKF29" s="53"/>
      <c r="JKG29" s="53"/>
      <c r="JKH29" s="53"/>
      <c r="JKI29" s="53"/>
      <c r="JKJ29" s="53"/>
      <c r="JKK29" s="53"/>
      <c r="JKL29" s="53"/>
      <c r="JKM29" s="53"/>
      <c r="JKN29" s="53"/>
      <c r="JKO29" s="53"/>
      <c r="JKP29" s="53"/>
      <c r="JKQ29" s="53"/>
      <c r="JKR29" s="53"/>
      <c r="JKS29" s="212"/>
      <c r="JKT29" s="46"/>
      <c r="JKU29" s="53"/>
      <c r="JKV29" s="53"/>
      <c r="JKW29" s="53"/>
      <c r="JKX29" s="53"/>
      <c r="JKY29" s="53"/>
      <c r="JKZ29" s="53"/>
      <c r="JLA29" s="53"/>
      <c r="JLB29" s="53"/>
      <c r="JLC29" s="53"/>
      <c r="JLD29" s="53"/>
      <c r="JLE29" s="53"/>
      <c r="JLF29" s="53"/>
      <c r="JLG29" s="53"/>
      <c r="JLH29" s="212"/>
      <c r="JLI29" s="46"/>
      <c r="JLJ29" s="53"/>
      <c r="JLK29" s="53"/>
      <c r="JLL29" s="53"/>
      <c r="JLM29" s="53"/>
      <c r="JLN29" s="53"/>
      <c r="JLO29" s="53"/>
      <c r="JLP29" s="53"/>
      <c r="JLQ29" s="53"/>
      <c r="JLR29" s="53"/>
      <c r="JLS29" s="53"/>
      <c r="JLT29" s="53"/>
      <c r="JLU29" s="53"/>
      <c r="JLV29" s="53"/>
      <c r="JLW29" s="212"/>
      <c r="JLX29" s="46"/>
      <c r="JLY29" s="53"/>
      <c r="JLZ29" s="53"/>
      <c r="JMA29" s="53"/>
      <c r="JMB29" s="53"/>
      <c r="JMC29" s="53"/>
      <c r="JMD29" s="53"/>
      <c r="JME29" s="53"/>
      <c r="JMF29" s="53"/>
      <c r="JMG29" s="53"/>
      <c r="JMH29" s="53"/>
      <c r="JMI29" s="53"/>
      <c r="JMJ29" s="53"/>
      <c r="JMK29" s="53"/>
      <c r="JML29" s="212"/>
      <c r="JMM29" s="46"/>
      <c r="JMN29" s="53"/>
      <c r="JMO29" s="53"/>
      <c r="JMP29" s="53"/>
      <c r="JMQ29" s="53"/>
      <c r="JMR29" s="53"/>
      <c r="JMS29" s="53"/>
      <c r="JMT29" s="53"/>
      <c r="JMU29" s="53"/>
      <c r="JMV29" s="53"/>
      <c r="JMW29" s="53"/>
      <c r="JMX29" s="53"/>
      <c r="JMY29" s="53"/>
      <c r="JMZ29" s="53"/>
      <c r="JNA29" s="212"/>
      <c r="JNB29" s="46"/>
      <c r="JNC29" s="53"/>
      <c r="JND29" s="53"/>
      <c r="JNE29" s="53"/>
      <c r="JNF29" s="53"/>
      <c r="JNG29" s="53"/>
      <c r="JNH29" s="53"/>
      <c r="JNI29" s="53"/>
      <c r="JNJ29" s="53"/>
      <c r="JNK29" s="53"/>
      <c r="JNL29" s="53"/>
      <c r="JNM29" s="53"/>
      <c r="JNN29" s="53"/>
      <c r="JNO29" s="53"/>
      <c r="JNP29" s="212"/>
      <c r="JNQ29" s="46"/>
      <c r="JNR29" s="53"/>
      <c r="JNS29" s="53"/>
      <c r="JNT29" s="53"/>
      <c r="JNU29" s="53"/>
      <c r="JNV29" s="53"/>
      <c r="JNW29" s="53"/>
      <c r="JNX29" s="53"/>
      <c r="JNY29" s="53"/>
      <c r="JNZ29" s="53"/>
      <c r="JOA29" s="53"/>
      <c r="JOB29" s="53"/>
      <c r="JOC29" s="53"/>
      <c r="JOD29" s="53"/>
      <c r="JOE29" s="212"/>
      <c r="JOF29" s="46"/>
      <c r="JOG29" s="53"/>
      <c r="JOH29" s="53"/>
      <c r="JOI29" s="53"/>
      <c r="JOJ29" s="53"/>
      <c r="JOK29" s="53"/>
      <c r="JOL29" s="53"/>
      <c r="JOM29" s="53"/>
      <c r="JON29" s="53"/>
      <c r="JOO29" s="53"/>
      <c r="JOP29" s="53"/>
      <c r="JOQ29" s="53"/>
      <c r="JOR29" s="53"/>
      <c r="JOS29" s="53"/>
      <c r="JOT29" s="212"/>
      <c r="JOU29" s="46"/>
      <c r="JOV29" s="53"/>
      <c r="JOW29" s="53"/>
      <c r="JOX29" s="53"/>
      <c r="JOY29" s="53"/>
      <c r="JOZ29" s="53"/>
      <c r="JPA29" s="53"/>
      <c r="JPB29" s="53"/>
      <c r="JPC29" s="53"/>
      <c r="JPD29" s="53"/>
      <c r="JPE29" s="53"/>
      <c r="JPF29" s="53"/>
      <c r="JPG29" s="53"/>
      <c r="JPH29" s="53"/>
      <c r="JPI29" s="212"/>
      <c r="JPJ29" s="46"/>
      <c r="JPK29" s="53"/>
      <c r="JPL29" s="53"/>
      <c r="JPM29" s="53"/>
      <c r="JPN29" s="53"/>
      <c r="JPO29" s="53"/>
      <c r="JPP29" s="53"/>
      <c r="JPQ29" s="53"/>
      <c r="JPR29" s="53"/>
      <c r="JPS29" s="53"/>
      <c r="JPT29" s="53"/>
      <c r="JPU29" s="53"/>
      <c r="JPV29" s="53"/>
      <c r="JPW29" s="53"/>
      <c r="JPX29" s="212"/>
      <c r="JPY29" s="46"/>
      <c r="JPZ29" s="53"/>
      <c r="JQA29" s="53"/>
      <c r="JQB29" s="53"/>
      <c r="JQC29" s="53"/>
      <c r="JQD29" s="53"/>
      <c r="JQE29" s="53"/>
      <c r="JQF29" s="53"/>
      <c r="JQG29" s="53"/>
      <c r="JQH29" s="53"/>
      <c r="JQI29" s="53"/>
      <c r="JQJ29" s="53"/>
      <c r="JQK29" s="53"/>
      <c r="JQL29" s="53"/>
      <c r="JQM29" s="212"/>
      <c r="JQN29" s="46"/>
      <c r="JQO29" s="53"/>
      <c r="JQP29" s="53"/>
      <c r="JQQ29" s="53"/>
      <c r="JQR29" s="53"/>
      <c r="JQS29" s="53"/>
      <c r="JQT29" s="53"/>
      <c r="JQU29" s="53"/>
      <c r="JQV29" s="53"/>
      <c r="JQW29" s="53"/>
      <c r="JQX29" s="53"/>
      <c r="JQY29" s="53"/>
      <c r="JQZ29" s="53"/>
      <c r="JRA29" s="53"/>
      <c r="JRB29" s="212"/>
      <c r="JRC29" s="46"/>
      <c r="JRD29" s="53"/>
      <c r="JRE29" s="53"/>
      <c r="JRF29" s="53"/>
      <c r="JRG29" s="53"/>
      <c r="JRH29" s="53"/>
      <c r="JRI29" s="53"/>
      <c r="JRJ29" s="53"/>
      <c r="JRK29" s="53"/>
      <c r="JRL29" s="53"/>
      <c r="JRM29" s="53"/>
      <c r="JRN29" s="53"/>
      <c r="JRO29" s="53"/>
      <c r="JRP29" s="53"/>
      <c r="JRQ29" s="212"/>
      <c r="JRR29" s="46"/>
      <c r="JRS29" s="53"/>
      <c r="JRT29" s="53"/>
      <c r="JRU29" s="53"/>
      <c r="JRV29" s="53"/>
      <c r="JRW29" s="53"/>
      <c r="JRX29" s="53"/>
      <c r="JRY29" s="53"/>
      <c r="JRZ29" s="53"/>
      <c r="JSA29" s="53"/>
      <c r="JSB29" s="53"/>
      <c r="JSC29" s="53"/>
      <c r="JSD29" s="53"/>
      <c r="JSE29" s="53"/>
      <c r="JSF29" s="212"/>
      <c r="JSG29" s="46"/>
      <c r="JSH29" s="53"/>
      <c r="JSI29" s="53"/>
      <c r="JSJ29" s="53"/>
      <c r="JSK29" s="53"/>
      <c r="JSL29" s="53"/>
      <c r="JSM29" s="53"/>
      <c r="JSN29" s="53"/>
      <c r="JSO29" s="53"/>
      <c r="JSP29" s="53"/>
      <c r="JSQ29" s="53"/>
      <c r="JSR29" s="53"/>
      <c r="JSS29" s="53"/>
      <c r="JST29" s="53"/>
      <c r="JSU29" s="212"/>
      <c r="JSV29" s="46"/>
      <c r="JSW29" s="53"/>
      <c r="JSX29" s="53"/>
      <c r="JSY29" s="53"/>
      <c r="JSZ29" s="53"/>
      <c r="JTA29" s="53"/>
      <c r="JTB29" s="53"/>
      <c r="JTC29" s="53"/>
      <c r="JTD29" s="53"/>
      <c r="JTE29" s="53"/>
      <c r="JTF29" s="53"/>
      <c r="JTG29" s="53"/>
      <c r="JTH29" s="53"/>
      <c r="JTI29" s="53"/>
      <c r="JTJ29" s="212"/>
      <c r="JTK29" s="46"/>
      <c r="JTL29" s="53"/>
      <c r="JTM29" s="53"/>
      <c r="JTN29" s="53"/>
      <c r="JTO29" s="53"/>
      <c r="JTP29" s="53"/>
      <c r="JTQ29" s="53"/>
      <c r="JTR29" s="53"/>
      <c r="JTS29" s="53"/>
      <c r="JTT29" s="53"/>
      <c r="JTU29" s="53"/>
      <c r="JTV29" s="53"/>
      <c r="JTW29" s="53"/>
      <c r="JTX29" s="53"/>
      <c r="JTY29" s="212"/>
      <c r="JTZ29" s="46"/>
      <c r="JUA29" s="53"/>
      <c r="JUB29" s="53"/>
      <c r="JUC29" s="53"/>
      <c r="JUD29" s="53"/>
      <c r="JUE29" s="53"/>
      <c r="JUF29" s="53"/>
      <c r="JUG29" s="53"/>
      <c r="JUH29" s="53"/>
      <c r="JUI29" s="53"/>
      <c r="JUJ29" s="53"/>
      <c r="JUK29" s="53"/>
      <c r="JUL29" s="53"/>
      <c r="JUM29" s="53"/>
      <c r="JUN29" s="212"/>
      <c r="JUO29" s="46"/>
      <c r="JUP29" s="53"/>
      <c r="JUQ29" s="53"/>
      <c r="JUR29" s="53"/>
      <c r="JUS29" s="53"/>
      <c r="JUT29" s="53"/>
      <c r="JUU29" s="53"/>
      <c r="JUV29" s="53"/>
      <c r="JUW29" s="53"/>
      <c r="JUX29" s="53"/>
      <c r="JUY29" s="53"/>
      <c r="JUZ29" s="53"/>
      <c r="JVA29" s="53"/>
      <c r="JVB29" s="53"/>
      <c r="JVC29" s="212"/>
      <c r="JVD29" s="46"/>
      <c r="JVE29" s="53"/>
      <c r="JVF29" s="53"/>
      <c r="JVG29" s="53"/>
      <c r="JVH29" s="53"/>
      <c r="JVI29" s="53"/>
      <c r="JVJ29" s="53"/>
      <c r="JVK29" s="53"/>
      <c r="JVL29" s="53"/>
      <c r="JVM29" s="53"/>
      <c r="JVN29" s="53"/>
      <c r="JVO29" s="53"/>
      <c r="JVP29" s="53"/>
      <c r="JVQ29" s="53"/>
      <c r="JVR29" s="212"/>
      <c r="JVS29" s="46"/>
      <c r="JVT29" s="53"/>
      <c r="JVU29" s="53"/>
      <c r="JVV29" s="53"/>
      <c r="JVW29" s="53"/>
      <c r="JVX29" s="53"/>
      <c r="JVY29" s="53"/>
      <c r="JVZ29" s="53"/>
      <c r="JWA29" s="53"/>
      <c r="JWB29" s="53"/>
      <c r="JWC29" s="53"/>
      <c r="JWD29" s="53"/>
      <c r="JWE29" s="53"/>
      <c r="JWF29" s="53"/>
      <c r="JWG29" s="212"/>
      <c r="JWH29" s="46"/>
      <c r="JWI29" s="53"/>
      <c r="JWJ29" s="53"/>
      <c r="JWK29" s="53"/>
      <c r="JWL29" s="53"/>
      <c r="JWM29" s="53"/>
      <c r="JWN29" s="53"/>
      <c r="JWO29" s="53"/>
      <c r="JWP29" s="53"/>
      <c r="JWQ29" s="53"/>
      <c r="JWR29" s="53"/>
      <c r="JWS29" s="53"/>
      <c r="JWT29" s="53"/>
      <c r="JWU29" s="53"/>
      <c r="JWV29" s="212"/>
      <c r="JWW29" s="46"/>
      <c r="JWX29" s="53"/>
      <c r="JWY29" s="53"/>
      <c r="JWZ29" s="53"/>
      <c r="JXA29" s="53"/>
      <c r="JXB29" s="53"/>
      <c r="JXC29" s="53"/>
      <c r="JXD29" s="53"/>
      <c r="JXE29" s="53"/>
      <c r="JXF29" s="53"/>
      <c r="JXG29" s="53"/>
      <c r="JXH29" s="53"/>
      <c r="JXI29" s="53"/>
      <c r="JXJ29" s="53"/>
      <c r="JXK29" s="212"/>
      <c r="JXL29" s="46"/>
      <c r="JXM29" s="53"/>
      <c r="JXN29" s="53"/>
      <c r="JXO29" s="53"/>
      <c r="JXP29" s="53"/>
      <c r="JXQ29" s="53"/>
      <c r="JXR29" s="53"/>
      <c r="JXS29" s="53"/>
      <c r="JXT29" s="53"/>
      <c r="JXU29" s="53"/>
      <c r="JXV29" s="53"/>
      <c r="JXW29" s="53"/>
      <c r="JXX29" s="53"/>
      <c r="JXY29" s="53"/>
      <c r="JXZ29" s="212"/>
      <c r="JYA29" s="46"/>
      <c r="JYB29" s="53"/>
      <c r="JYC29" s="53"/>
      <c r="JYD29" s="53"/>
      <c r="JYE29" s="53"/>
      <c r="JYF29" s="53"/>
      <c r="JYG29" s="53"/>
      <c r="JYH29" s="53"/>
      <c r="JYI29" s="53"/>
      <c r="JYJ29" s="53"/>
      <c r="JYK29" s="53"/>
      <c r="JYL29" s="53"/>
      <c r="JYM29" s="53"/>
      <c r="JYN29" s="53"/>
      <c r="JYO29" s="212"/>
      <c r="JYP29" s="46"/>
      <c r="JYQ29" s="53"/>
      <c r="JYR29" s="53"/>
      <c r="JYS29" s="53"/>
      <c r="JYT29" s="53"/>
      <c r="JYU29" s="53"/>
      <c r="JYV29" s="53"/>
      <c r="JYW29" s="53"/>
      <c r="JYX29" s="53"/>
      <c r="JYY29" s="53"/>
      <c r="JYZ29" s="53"/>
      <c r="JZA29" s="53"/>
      <c r="JZB29" s="53"/>
      <c r="JZC29" s="53"/>
      <c r="JZD29" s="212"/>
      <c r="JZE29" s="46"/>
      <c r="JZF29" s="53"/>
      <c r="JZG29" s="53"/>
      <c r="JZH29" s="53"/>
      <c r="JZI29" s="53"/>
      <c r="JZJ29" s="53"/>
      <c r="JZK29" s="53"/>
      <c r="JZL29" s="53"/>
      <c r="JZM29" s="53"/>
      <c r="JZN29" s="53"/>
      <c r="JZO29" s="53"/>
      <c r="JZP29" s="53"/>
      <c r="JZQ29" s="53"/>
      <c r="JZR29" s="53"/>
      <c r="JZS29" s="212"/>
      <c r="JZT29" s="46"/>
      <c r="JZU29" s="53"/>
      <c r="JZV29" s="53"/>
      <c r="JZW29" s="53"/>
      <c r="JZX29" s="53"/>
      <c r="JZY29" s="53"/>
      <c r="JZZ29" s="53"/>
      <c r="KAA29" s="53"/>
      <c r="KAB29" s="53"/>
      <c r="KAC29" s="53"/>
      <c r="KAD29" s="53"/>
      <c r="KAE29" s="53"/>
      <c r="KAF29" s="53"/>
      <c r="KAG29" s="53"/>
      <c r="KAH29" s="212"/>
      <c r="KAI29" s="46"/>
      <c r="KAJ29" s="53"/>
      <c r="KAK29" s="53"/>
      <c r="KAL29" s="53"/>
      <c r="KAM29" s="53"/>
      <c r="KAN29" s="53"/>
      <c r="KAO29" s="53"/>
      <c r="KAP29" s="53"/>
      <c r="KAQ29" s="53"/>
      <c r="KAR29" s="53"/>
      <c r="KAS29" s="53"/>
      <c r="KAT29" s="53"/>
      <c r="KAU29" s="53"/>
      <c r="KAV29" s="53"/>
      <c r="KAW29" s="212"/>
      <c r="KAX29" s="46"/>
      <c r="KAY29" s="53"/>
      <c r="KAZ29" s="53"/>
      <c r="KBA29" s="53"/>
      <c r="KBB29" s="53"/>
      <c r="KBC29" s="53"/>
      <c r="KBD29" s="53"/>
      <c r="KBE29" s="53"/>
      <c r="KBF29" s="53"/>
      <c r="KBG29" s="53"/>
      <c r="KBH29" s="53"/>
      <c r="KBI29" s="53"/>
      <c r="KBJ29" s="53"/>
      <c r="KBK29" s="53"/>
      <c r="KBL29" s="212"/>
      <c r="KBM29" s="46"/>
      <c r="KBN29" s="53"/>
      <c r="KBO29" s="53"/>
      <c r="KBP29" s="53"/>
      <c r="KBQ29" s="53"/>
      <c r="KBR29" s="53"/>
      <c r="KBS29" s="53"/>
      <c r="KBT29" s="53"/>
      <c r="KBU29" s="53"/>
      <c r="KBV29" s="53"/>
      <c r="KBW29" s="53"/>
      <c r="KBX29" s="53"/>
      <c r="KBY29" s="53"/>
      <c r="KBZ29" s="53"/>
      <c r="KCA29" s="212"/>
      <c r="KCB29" s="46"/>
      <c r="KCC29" s="53"/>
      <c r="KCD29" s="53"/>
      <c r="KCE29" s="53"/>
      <c r="KCF29" s="53"/>
      <c r="KCG29" s="53"/>
      <c r="KCH29" s="53"/>
      <c r="KCI29" s="53"/>
      <c r="KCJ29" s="53"/>
      <c r="KCK29" s="53"/>
      <c r="KCL29" s="53"/>
      <c r="KCM29" s="53"/>
      <c r="KCN29" s="53"/>
      <c r="KCO29" s="53"/>
      <c r="KCP29" s="212"/>
      <c r="KCQ29" s="46"/>
      <c r="KCR29" s="53"/>
      <c r="KCS29" s="53"/>
      <c r="KCT29" s="53"/>
      <c r="KCU29" s="53"/>
      <c r="KCV29" s="53"/>
      <c r="KCW29" s="53"/>
      <c r="KCX29" s="53"/>
      <c r="KCY29" s="53"/>
      <c r="KCZ29" s="53"/>
      <c r="KDA29" s="53"/>
      <c r="KDB29" s="53"/>
      <c r="KDC29" s="53"/>
      <c r="KDD29" s="53"/>
      <c r="KDE29" s="212"/>
      <c r="KDF29" s="46"/>
      <c r="KDG29" s="53"/>
      <c r="KDH29" s="53"/>
      <c r="KDI29" s="53"/>
      <c r="KDJ29" s="53"/>
      <c r="KDK29" s="53"/>
      <c r="KDL29" s="53"/>
      <c r="KDM29" s="53"/>
      <c r="KDN29" s="53"/>
      <c r="KDO29" s="53"/>
      <c r="KDP29" s="53"/>
      <c r="KDQ29" s="53"/>
      <c r="KDR29" s="53"/>
      <c r="KDS29" s="53"/>
      <c r="KDT29" s="212"/>
      <c r="KDU29" s="46"/>
      <c r="KDV29" s="53"/>
      <c r="KDW29" s="53"/>
      <c r="KDX29" s="53"/>
      <c r="KDY29" s="53"/>
      <c r="KDZ29" s="53"/>
      <c r="KEA29" s="53"/>
      <c r="KEB29" s="53"/>
      <c r="KEC29" s="53"/>
      <c r="KED29" s="53"/>
      <c r="KEE29" s="53"/>
      <c r="KEF29" s="53"/>
      <c r="KEG29" s="53"/>
      <c r="KEH29" s="53"/>
      <c r="KEI29" s="212"/>
      <c r="KEJ29" s="46"/>
      <c r="KEK29" s="53"/>
      <c r="KEL29" s="53"/>
      <c r="KEM29" s="53"/>
      <c r="KEN29" s="53"/>
      <c r="KEO29" s="53"/>
      <c r="KEP29" s="53"/>
      <c r="KEQ29" s="53"/>
      <c r="KER29" s="53"/>
      <c r="KES29" s="53"/>
      <c r="KET29" s="53"/>
      <c r="KEU29" s="53"/>
      <c r="KEV29" s="53"/>
      <c r="KEW29" s="53"/>
      <c r="KEX29" s="212"/>
      <c r="KEY29" s="46"/>
      <c r="KEZ29" s="53"/>
      <c r="KFA29" s="53"/>
      <c r="KFB29" s="53"/>
      <c r="KFC29" s="53"/>
      <c r="KFD29" s="53"/>
      <c r="KFE29" s="53"/>
      <c r="KFF29" s="53"/>
      <c r="KFG29" s="53"/>
      <c r="KFH29" s="53"/>
      <c r="KFI29" s="53"/>
      <c r="KFJ29" s="53"/>
      <c r="KFK29" s="53"/>
      <c r="KFL29" s="53"/>
      <c r="KFM29" s="212"/>
      <c r="KFN29" s="46"/>
      <c r="KFO29" s="53"/>
      <c r="KFP29" s="53"/>
      <c r="KFQ29" s="53"/>
      <c r="KFR29" s="53"/>
      <c r="KFS29" s="53"/>
      <c r="KFT29" s="53"/>
      <c r="KFU29" s="53"/>
      <c r="KFV29" s="53"/>
      <c r="KFW29" s="53"/>
      <c r="KFX29" s="53"/>
      <c r="KFY29" s="53"/>
      <c r="KFZ29" s="53"/>
      <c r="KGA29" s="53"/>
      <c r="KGB29" s="212"/>
      <c r="KGC29" s="46"/>
      <c r="KGD29" s="53"/>
      <c r="KGE29" s="53"/>
      <c r="KGF29" s="53"/>
      <c r="KGG29" s="53"/>
      <c r="KGH29" s="53"/>
      <c r="KGI29" s="53"/>
      <c r="KGJ29" s="53"/>
      <c r="KGK29" s="53"/>
      <c r="KGL29" s="53"/>
      <c r="KGM29" s="53"/>
      <c r="KGN29" s="53"/>
      <c r="KGO29" s="53"/>
      <c r="KGP29" s="53"/>
      <c r="KGQ29" s="212"/>
      <c r="KGR29" s="46"/>
      <c r="KGS29" s="53"/>
      <c r="KGT29" s="53"/>
      <c r="KGU29" s="53"/>
      <c r="KGV29" s="53"/>
      <c r="KGW29" s="53"/>
      <c r="KGX29" s="53"/>
      <c r="KGY29" s="53"/>
      <c r="KGZ29" s="53"/>
      <c r="KHA29" s="53"/>
      <c r="KHB29" s="53"/>
      <c r="KHC29" s="53"/>
      <c r="KHD29" s="53"/>
      <c r="KHE29" s="53"/>
      <c r="KHF29" s="212"/>
      <c r="KHG29" s="46"/>
      <c r="KHH29" s="53"/>
      <c r="KHI29" s="53"/>
      <c r="KHJ29" s="53"/>
      <c r="KHK29" s="53"/>
      <c r="KHL29" s="53"/>
      <c r="KHM29" s="53"/>
      <c r="KHN29" s="53"/>
      <c r="KHO29" s="53"/>
      <c r="KHP29" s="53"/>
      <c r="KHQ29" s="53"/>
      <c r="KHR29" s="53"/>
      <c r="KHS29" s="53"/>
      <c r="KHT29" s="53"/>
      <c r="KHU29" s="212"/>
      <c r="KHV29" s="46"/>
      <c r="KHW29" s="53"/>
      <c r="KHX29" s="53"/>
      <c r="KHY29" s="53"/>
      <c r="KHZ29" s="53"/>
      <c r="KIA29" s="53"/>
      <c r="KIB29" s="53"/>
      <c r="KIC29" s="53"/>
      <c r="KID29" s="53"/>
      <c r="KIE29" s="53"/>
      <c r="KIF29" s="53"/>
      <c r="KIG29" s="53"/>
      <c r="KIH29" s="53"/>
      <c r="KII29" s="53"/>
      <c r="KIJ29" s="212"/>
      <c r="KIK29" s="46"/>
      <c r="KIL29" s="53"/>
      <c r="KIM29" s="53"/>
      <c r="KIN29" s="53"/>
      <c r="KIO29" s="53"/>
      <c r="KIP29" s="53"/>
      <c r="KIQ29" s="53"/>
      <c r="KIR29" s="53"/>
      <c r="KIS29" s="53"/>
      <c r="KIT29" s="53"/>
      <c r="KIU29" s="53"/>
      <c r="KIV29" s="53"/>
      <c r="KIW29" s="53"/>
      <c r="KIX29" s="53"/>
      <c r="KIY29" s="212"/>
      <c r="KIZ29" s="46"/>
      <c r="KJA29" s="53"/>
      <c r="KJB29" s="53"/>
      <c r="KJC29" s="53"/>
      <c r="KJD29" s="53"/>
      <c r="KJE29" s="53"/>
      <c r="KJF29" s="53"/>
      <c r="KJG29" s="53"/>
      <c r="KJH29" s="53"/>
      <c r="KJI29" s="53"/>
      <c r="KJJ29" s="53"/>
      <c r="KJK29" s="53"/>
      <c r="KJL29" s="53"/>
      <c r="KJM29" s="53"/>
      <c r="KJN29" s="212"/>
      <c r="KJO29" s="46"/>
      <c r="KJP29" s="53"/>
      <c r="KJQ29" s="53"/>
      <c r="KJR29" s="53"/>
      <c r="KJS29" s="53"/>
      <c r="KJT29" s="53"/>
      <c r="KJU29" s="53"/>
      <c r="KJV29" s="53"/>
      <c r="KJW29" s="53"/>
      <c r="KJX29" s="53"/>
      <c r="KJY29" s="53"/>
      <c r="KJZ29" s="53"/>
      <c r="KKA29" s="53"/>
      <c r="KKB29" s="53"/>
      <c r="KKC29" s="212"/>
      <c r="KKD29" s="46"/>
      <c r="KKE29" s="53"/>
      <c r="KKF29" s="53"/>
      <c r="KKG29" s="53"/>
      <c r="KKH29" s="53"/>
      <c r="KKI29" s="53"/>
      <c r="KKJ29" s="53"/>
      <c r="KKK29" s="53"/>
      <c r="KKL29" s="53"/>
      <c r="KKM29" s="53"/>
      <c r="KKN29" s="53"/>
      <c r="KKO29" s="53"/>
      <c r="KKP29" s="53"/>
      <c r="KKQ29" s="53"/>
      <c r="KKR29" s="212"/>
      <c r="KKS29" s="46"/>
      <c r="KKT29" s="53"/>
      <c r="KKU29" s="53"/>
      <c r="KKV29" s="53"/>
      <c r="KKW29" s="53"/>
      <c r="KKX29" s="53"/>
      <c r="KKY29" s="53"/>
      <c r="KKZ29" s="53"/>
      <c r="KLA29" s="53"/>
      <c r="KLB29" s="53"/>
      <c r="KLC29" s="53"/>
      <c r="KLD29" s="53"/>
      <c r="KLE29" s="53"/>
      <c r="KLF29" s="53"/>
      <c r="KLG29" s="212"/>
      <c r="KLH29" s="46"/>
      <c r="KLI29" s="53"/>
      <c r="KLJ29" s="53"/>
      <c r="KLK29" s="53"/>
      <c r="KLL29" s="53"/>
      <c r="KLM29" s="53"/>
      <c r="KLN29" s="53"/>
      <c r="KLO29" s="53"/>
      <c r="KLP29" s="53"/>
      <c r="KLQ29" s="53"/>
      <c r="KLR29" s="53"/>
      <c r="KLS29" s="53"/>
      <c r="KLT29" s="53"/>
      <c r="KLU29" s="53"/>
      <c r="KLV29" s="212"/>
      <c r="KLW29" s="46"/>
      <c r="KLX29" s="53"/>
      <c r="KLY29" s="53"/>
      <c r="KLZ29" s="53"/>
      <c r="KMA29" s="53"/>
      <c r="KMB29" s="53"/>
      <c r="KMC29" s="53"/>
      <c r="KMD29" s="53"/>
      <c r="KME29" s="53"/>
      <c r="KMF29" s="53"/>
      <c r="KMG29" s="53"/>
      <c r="KMH29" s="53"/>
      <c r="KMI29" s="53"/>
      <c r="KMJ29" s="53"/>
      <c r="KMK29" s="212"/>
      <c r="KML29" s="46"/>
      <c r="KMM29" s="53"/>
      <c r="KMN29" s="53"/>
      <c r="KMO29" s="53"/>
      <c r="KMP29" s="53"/>
      <c r="KMQ29" s="53"/>
      <c r="KMR29" s="53"/>
      <c r="KMS29" s="53"/>
      <c r="KMT29" s="53"/>
      <c r="KMU29" s="53"/>
      <c r="KMV29" s="53"/>
      <c r="KMW29" s="53"/>
      <c r="KMX29" s="53"/>
      <c r="KMY29" s="53"/>
      <c r="KMZ29" s="212"/>
      <c r="KNA29" s="46"/>
      <c r="KNB29" s="53"/>
      <c r="KNC29" s="53"/>
      <c r="KND29" s="53"/>
      <c r="KNE29" s="53"/>
      <c r="KNF29" s="53"/>
      <c r="KNG29" s="53"/>
      <c r="KNH29" s="53"/>
      <c r="KNI29" s="53"/>
      <c r="KNJ29" s="53"/>
      <c r="KNK29" s="53"/>
      <c r="KNL29" s="53"/>
      <c r="KNM29" s="53"/>
      <c r="KNN29" s="53"/>
      <c r="KNO29" s="212"/>
      <c r="KNP29" s="46"/>
      <c r="KNQ29" s="53"/>
      <c r="KNR29" s="53"/>
      <c r="KNS29" s="53"/>
      <c r="KNT29" s="53"/>
      <c r="KNU29" s="53"/>
      <c r="KNV29" s="53"/>
      <c r="KNW29" s="53"/>
      <c r="KNX29" s="53"/>
      <c r="KNY29" s="53"/>
      <c r="KNZ29" s="53"/>
      <c r="KOA29" s="53"/>
      <c r="KOB29" s="53"/>
      <c r="KOC29" s="53"/>
      <c r="KOD29" s="212"/>
      <c r="KOE29" s="46"/>
      <c r="KOF29" s="53"/>
      <c r="KOG29" s="53"/>
      <c r="KOH29" s="53"/>
      <c r="KOI29" s="53"/>
      <c r="KOJ29" s="53"/>
      <c r="KOK29" s="53"/>
      <c r="KOL29" s="53"/>
      <c r="KOM29" s="53"/>
      <c r="KON29" s="53"/>
      <c r="KOO29" s="53"/>
      <c r="KOP29" s="53"/>
      <c r="KOQ29" s="53"/>
      <c r="KOR29" s="53"/>
      <c r="KOS29" s="212"/>
      <c r="KOT29" s="46"/>
      <c r="KOU29" s="53"/>
      <c r="KOV29" s="53"/>
      <c r="KOW29" s="53"/>
      <c r="KOX29" s="53"/>
      <c r="KOY29" s="53"/>
      <c r="KOZ29" s="53"/>
      <c r="KPA29" s="53"/>
      <c r="KPB29" s="53"/>
      <c r="KPC29" s="53"/>
      <c r="KPD29" s="53"/>
      <c r="KPE29" s="53"/>
      <c r="KPF29" s="53"/>
      <c r="KPG29" s="53"/>
      <c r="KPH29" s="212"/>
      <c r="KPI29" s="46"/>
      <c r="KPJ29" s="53"/>
      <c r="KPK29" s="53"/>
      <c r="KPL29" s="53"/>
      <c r="KPM29" s="53"/>
      <c r="KPN29" s="53"/>
      <c r="KPO29" s="53"/>
      <c r="KPP29" s="53"/>
      <c r="KPQ29" s="53"/>
      <c r="KPR29" s="53"/>
      <c r="KPS29" s="53"/>
      <c r="KPT29" s="53"/>
      <c r="KPU29" s="53"/>
      <c r="KPV29" s="53"/>
      <c r="KPW29" s="212"/>
      <c r="KPX29" s="46"/>
      <c r="KPY29" s="53"/>
      <c r="KPZ29" s="53"/>
      <c r="KQA29" s="53"/>
      <c r="KQB29" s="53"/>
      <c r="KQC29" s="53"/>
      <c r="KQD29" s="53"/>
      <c r="KQE29" s="53"/>
      <c r="KQF29" s="53"/>
      <c r="KQG29" s="53"/>
      <c r="KQH29" s="53"/>
      <c r="KQI29" s="53"/>
      <c r="KQJ29" s="53"/>
      <c r="KQK29" s="53"/>
      <c r="KQL29" s="212"/>
      <c r="KQM29" s="46"/>
      <c r="KQN29" s="53"/>
      <c r="KQO29" s="53"/>
      <c r="KQP29" s="53"/>
      <c r="KQQ29" s="53"/>
      <c r="KQR29" s="53"/>
      <c r="KQS29" s="53"/>
      <c r="KQT29" s="53"/>
      <c r="KQU29" s="53"/>
      <c r="KQV29" s="53"/>
      <c r="KQW29" s="53"/>
      <c r="KQX29" s="53"/>
      <c r="KQY29" s="53"/>
      <c r="KQZ29" s="53"/>
      <c r="KRA29" s="212"/>
      <c r="KRB29" s="46"/>
      <c r="KRC29" s="53"/>
      <c r="KRD29" s="53"/>
      <c r="KRE29" s="53"/>
      <c r="KRF29" s="53"/>
      <c r="KRG29" s="53"/>
      <c r="KRH29" s="53"/>
      <c r="KRI29" s="53"/>
      <c r="KRJ29" s="53"/>
      <c r="KRK29" s="53"/>
      <c r="KRL29" s="53"/>
      <c r="KRM29" s="53"/>
      <c r="KRN29" s="53"/>
      <c r="KRO29" s="53"/>
      <c r="KRP29" s="212"/>
      <c r="KRQ29" s="46"/>
      <c r="KRR29" s="53"/>
      <c r="KRS29" s="53"/>
      <c r="KRT29" s="53"/>
      <c r="KRU29" s="53"/>
      <c r="KRV29" s="53"/>
      <c r="KRW29" s="53"/>
      <c r="KRX29" s="53"/>
      <c r="KRY29" s="53"/>
      <c r="KRZ29" s="53"/>
      <c r="KSA29" s="53"/>
      <c r="KSB29" s="53"/>
      <c r="KSC29" s="53"/>
      <c r="KSD29" s="53"/>
      <c r="KSE29" s="212"/>
      <c r="KSF29" s="46"/>
      <c r="KSG29" s="53"/>
      <c r="KSH29" s="53"/>
      <c r="KSI29" s="53"/>
      <c r="KSJ29" s="53"/>
      <c r="KSK29" s="53"/>
      <c r="KSL29" s="53"/>
      <c r="KSM29" s="53"/>
      <c r="KSN29" s="53"/>
      <c r="KSO29" s="53"/>
      <c r="KSP29" s="53"/>
      <c r="KSQ29" s="53"/>
      <c r="KSR29" s="53"/>
      <c r="KSS29" s="53"/>
      <c r="KST29" s="212"/>
      <c r="KSU29" s="46"/>
      <c r="KSV29" s="53"/>
      <c r="KSW29" s="53"/>
      <c r="KSX29" s="53"/>
      <c r="KSY29" s="53"/>
      <c r="KSZ29" s="53"/>
      <c r="KTA29" s="53"/>
      <c r="KTB29" s="53"/>
      <c r="KTC29" s="53"/>
      <c r="KTD29" s="53"/>
      <c r="KTE29" s="53"/>
      <c r="KTF29" s="53"/>
      <c r="KTG29" s="53"/>
      <c r="KTH29" s="53"/>
      <c r="KTI29" s="212"/>
      <c r="KTJ29" s="46"/>
      <c r="KTK29" s="53"/>
      <c r="KTL29" s="53"/>
      <c r="KTM29" s="53"/>
      <c r="KTN29" s="53"/>
      <c r="KTO29" s="53"/>
      <c r="KTP29" s="53"/>
      <c r="KTQ29" s="53"/>
      <c r="KTR29" s="53"/>
      <c r="KTS29" s="53"/>
      <c r="KTT29" s="53"/>
      <c r="KTU29" s="53"/>
      <c r="KTV29" s="53"/>
      <c r="KTW29" s="53"/>
      <c r="KTX29" s="212"/>
      <c r="KTY29" s="46"/>
      <c r="KTZ29" s="53"/>
      <c r="KUA29" s="53"/>
      <c r="KUB29" s="53"/>
      <c r="KUC29" s="53"/>
      <c r="KUD29" s="53"/>
      <c r="KUE29" s="53"/>
      <c r="KUF29" s="53"/>
      <c r="KUG29" s="53"/>
      <c r="KUH29" s="53"/>
      <c r="KUI29" s="53"/>
      <c r="KUJ29" s="53"/>
      <c r="KUK29" s="53"/>
      <c r="KUL29" s="53"/>
      <c r="KUM29" s="212"/>
      <c r="KUN29" s="46"/>
      <c r="KUO29" s="53"/>
      <c r="KUP29" s="53"/>
      <c r="KUQ29" s="53"/>
      <c r="KUR29" s="53"/>
      <c r="KUS29" s="53"/>
      <c r="KUT29" s="53"/>
      <c r="KUU29" s="53"/>
      <c r="KUV29" s="53"/>
      <c r="KUW29" s="53"/>
      <c r="KUX29" s="53"/>
      <c r="KUY29" s="53"/>
      <c r="KUZ29" s="53"/>
      <c r="KVA29" s="53"/>
      <c r="KVB29" s="212"/>
      <c r="KVC29" s="46"/>
      <c r="KVD29" s="53"/>
      <c r="KVE29" s="53"/>
      <c r="KVF29" s="53"/>
      <c r="KVG29" s="53"/>
      <c r="KVH29" s="53"/>
      <c r="KVI29" s="53"/>
      <c r="KVJ29" s="53"/>
      <c r="KVK29" s="53"/>
      <c r="KVL29" s="53"/>
      <c r="KVM29" s="53"/>
      <c r="KVN29" s="53"/>
      <c r="KVO29" s="53"/>
      <c r="KVP29" s="53"/>
      <c r="KVQ29" s="212"/>
      <c r="KVR29" s="46"/>
      <c r="KVS29" s="53"/>
      <c r="KVT29" s="53"/>
      <c r="KVU29" s="53"/>
      <c r="KVV29" s="53"/>
      <c r="KVW29" s="53"/>
      <c r="KVX29" s="53"/>
      <c r="KVY29" s="53"/>
      <c r="KVZ29" s="53"/>
      <c r="KWA29" s="53"/>
      <c r="KWB29" s="53"/>
      <c r="KWC29" s="53"/>
      <c r="KWD29" s="53"/>
      <c r="KWE29" s="53"/>
      <c r="KWF29" s="212"/>
      <c r="KWG29" s="46"/>
      <c r="KWH29" s="53"/>
      <c r="KWI29" s="53"/>
      <c r="KWJ29" s="53"/>
      <c r="KWK29" s="53"/>
      <c r="KWL29" s="53"/>
      <c r="KWM29" s="53"/>
      <c r="KWN29" s="53"/>
      <c r="KWO29" s="53"/>
      <c r="KWP29" s="53"/>
      <c r="KWQ29" s="53"/>
      <c r="KWR29" s="53"/>
      <c r="KWS29" s="53"/>
      <c r="KWT29" s="53"/>
      <c r="KWU29" s="212"/>
      <c r="KWV29" s="46"/>
      <c r="KWW29" s="53"/>
      <c r="KWX29" s="53"/>
      <c r="KWY29" s="53"/>
      <c r="KWZ29" s="53"/>
      <c r="KXA29" s="53"/>
      <c r="KXB29" s="53"/>
      <c r="KXC29" s="53"/>
      <c r="KXD29" s="53"/>
      <c r="KXE29" s="53"/>
      <c r="KXF29" s="53"/>
      <c r="KXG29" s="53"/>
      <c r="KXH29" s="53"/>
      <c r="KXI29" s="53"/>
      <c r="KXJ29" s="212"/>
      <c r="KXK29" s="46"/>
      <c r="KXL29" s="53"/>
      <c r="KXM29" s="53"/>
      <c r="KXN29" s="53"/>
      <c r="KXO29" s="53"/>
      <c r="KXP29" s="53"/>
      <c r="KXQ29" s="53"/>
      <c r="KXR29" s="53"/>
      <c r="KXS29" s="53"/>
      <c r="KXT29" s="53"/>
      <c r="KXU29" s="53"/>
      <c r="KXV29" s="53"/>
      <c r="KXW29" s="53"/>
      <c r="KXX29" s="53"/>
      <c r="KXY29" s="212"/>
      <c r="KXZ29" s="46"/>
      <c r="KYA29" s="53"/>
      <c r="KYB29" s="53"/>
      <c r="KYC29" s="53"/>
      <c r="KYD29" s="53"/>
      <c r="KYE29" s="53"/>
      <c r="KYF29" s="53"/>
      <c r="KYG29" s="53"/>
      <c r="KYH29" s="53"/>
      <c r="KYI29" s="53"/>
      <c r="KYJ29" s="53"/>
      <c r="KYK29" s="53"/>
      <c r="KYL29" s="53"/>
      <c r="KYM29" s="53"/>
      <c r="KYN29" s="212"/>
      <c r="KYO29" s="46"/>
      <c r="KYP29" s="53"/>
      <c r="KYQ29" s="53"/>
      <c r="KYR29" s="53"/>
      <c r="KYS29" s="53"/>
      <c r="KYT29" s="53"/>
      <c r="KYU29" s="53"/>
      <c r="KYV29" s="53"/>
      <c r="KYW29" s="53"/>
      <c r="KYX29" s="53"/>
      <c r="KYY29" s="53"/>
      <c r="KYZ29" s="53"/>
      <c r="KZA29" s="53"/>
      <c r="KZB29" s="53"/>
      <c r="KZC29" s="212"/>
      <c r="KZD29" s="46"/>
      <c r="KZE29" s="53"/>
      <c r="KZF29" s="53"/>
      <c r="KZG29" s="53"/>
      <c r="KZH29" s="53"/>
      <c r="KZI29" s="53"/>
      <c r="KZJ29" s="53"/>
      <c r="KZK29" s="53"/>
      <c r="KZL29" s="53"/>
      <c r="KZM29" s="53"/>
      <c r="KZN29" s="53"/>
      <c r="KZO29" s="53"/>
      <c r="KZP29" s="53"/>
      <c r="KZQ29" s="53"/>
      <c r="KZR29" s="212"/>
      <c r="KZS29" s="46"/>
      <c r="KZT29" s="53"/>
      <c r="KZU29" s="53"/>
      <c r="KZV29" s="53"/>
      <c r="KZW29" s="53"/>
      <c r="KZX29" s="53"/>
      <c r="KZY29" s="53"/>
      <c r="KZZ29" s="53"/>
      <c r="LAA29" s="53"/>
      <c r="LAB29" s="53"/>
      <c r="LAC29" s="53"/>
      <c r="LAD29" s="53"/>
      <c r="LAE29" s="53"/>
      <c r="LAF29" s="53"/>
      <c r="LAG29" s="212"/>
      <c r="LAH29" s="46"/>
      <c r="LAI29" s="53"/>
      <c r="LAJ29" s="53"/>
      <c r="LAK29" s="53"/>
      <c r="LAL29" s="53"/>
      <c r="LAM29" s="53"/>
      <c r="LAN29" s="53"/>
      <c r="LAO29" s="53"/>
      <c r="LAP29" s="53"/>
      <c r="LAQ29" s="53"/>
      <c r="LAR29" s="53"/>
      <c r="LAS29" s="53"/>
      <c r="LAT29" s="53"/>
      <c r="LAU29" s="53"/>
      <c r="LAV29" s="212"/>
      <c r="LAW29" s="46"/>
      <c r="LAX29" s="53"/>
      <c r="LAY29" s="53"/>
      <c r="LAZ29" s="53"/>
      <c r="LBA29" s="53"/>
      <c r="LBB29" s="53"/>
      <c r="LBC29" s="53"/>
      <c r="LBD29" s="53"/>
      <c r="LBE29" s="53"/>
      <c r="LBF29" s="53"/>
      <c r="LBG29" s="53"/>
      <c r="LBH29" s="53"/>
      <c r="LBI29" s="53"/>
      <c r="LBJ29" s="53"/>
      <c r="LBK29" s="212"/>
      <c r="LBL29" s="46"/>
      <c r="LBM29" s="53"/>
      <c r="LBN29" s="53"/>
      <c r="LBO29" s="53"/>
      <c r="LBP29" s="53"/>
      <c r="LBQ29" s="53"/>
      <c r="LBR29" s="53"/>
      <c r="LBS29" s="53"/>
      <c r="LBT29" s="53"/>
      <c r="LBU29" s="53"/>
      <c r="LBV29" s="53"/>
      <c r="LBW29" s="53"/>
      <c r="LBX29" s="53"/>
      <c r="LBY29" s="53"/>
      <c r="LBZ29" s="212"/>
      <c r="LCA29" s="46"/>
      <c r="LCB29" s="53"/>
      <c r="LCC29" s="53"/>
      <c r="LCD29" s="53"/>
      <c r="LCE29" s="53"/>
      <c r="LCF29" s="53"/>
      <c r="LCG29" s="53"/>
      <c r="LCH29" s="53"/>
      <c r="LCI29" s="53"/>
      <c r="LCJ29" s="53"/>
      <c r="LCK29" s="53"/>
      <c r="LCL29" s="53"/>
      <c r="LCM29" s="53"/>
      <c r="LCN29" s="53"/>
      <c r="LCO29" s="212"/>
      <c r="LCP29" s="46"/>
      <c r="LCQ29" s="53"/>
      <c r="LCR29" s="53"/>
      <c r="LCS29" s="53"/>
      <c r="LCT29" s="53"/>
      <c r="LCU29" s="53"/>
      <c r="LCV29" s="53"/>
      <c r="LCW29" s="53"/>
      <c r="LCX29" s="53"/>
      <c r="LCY29" s="53"/>
      <c r="LCZ29" s="53"/>
      <c r="LDA29" s="53"/>
      <c r="LDB29" s="53"/>
      <c r="LDC29" s="53"/>
      <c r="LDD29" s="212"/>
      <c r="LDE29" s="46"/>
      <c r="LDF29" s="53"/>
      <c r="LDG29" s="53"/>
      <c r="LDH29" s="53"/>
      <c r="LDI29" s="53"/>
      <c r="LDJ29" s="53"/>
      <c r="LDK29" s="53"/>
      <c r="LDL29" s="53"/>
      <c r="LDM29" s="53"/>
      <c r="LDN29" s="53"/>
      <c r="LDO29" s="53"/>
      <c r="LDP29" s="53"/>
      <c r="LDQ29" s="53"/>
      <c r="LDR29" s="53"/>
      <c r="LDS29" s="212"/>
      <c r="LDT29" s="46"/>
      <c r="LDU29" s="53"/>
      <c r="LDV29" s="53"/>
      <c r="LDW29" s="53"/>
      <c r="LDX29" s="53"/>
      <c r="LDY29" s="53"/>
      <c r="LDZ29" s="53"/>
      <c r="LEA29" s="53"/>
      <c r="LEB29" s="53"/>
      <c r="LEC29" s="53"/>
      <c r="LED29" s="53"/>
      <c r="LEE29" s="53"/>
      <c r="LEF29" s="53"/>
      <c r="LEG29" s="53"/>
      <c r="LEH29" s="212"/>
      <c r="LEI29" s="46"/>
      <c r="LEJ29" s="53"/>
      <c r="LEK29" s="53"/>
      <c r="LEL29" s="53"/>
      <c r="LEM29" s="53"/>
      <c r="LEN29" s="53"/>
      <c r="LEO29" s="53"/>
      <c r="LEP29" s="53"/>
      <c r="LEQ29" s="53"/>
      <c r="LER29" s="53"/>
      <c r="LES29" s="53"/>
      <c r="LET29" s="53"/>
      <c r="LEU29" s="53"/>
      <c r="LEV29" s="53"/>
      <c r="LEW29" s="212"/>
      <c r="LEX29" s="46"/>
      <c r="LEY29" s="53"/>
      <c r="LEZ29" s="53"/>
      <c r="LFA29" s="53"/>
      <c r="LFB29" s="53"/>
      <c r="LFC29" s="53"/>
      <c r="LFD29" s="53"/>
      <c r="LFE29" s="53"/>
      <c r="LFF29" s="53"/>
      <c r="LFG29" s="53"/>
      <c r="LFH29" s="53"/>
      <c r="LFI29" s="53"/>
      <c r="LFJ29" s="53"/>
      <c r="LFK29" s="53"/>
      <c r="LFL29" s="212"/>
      <c r="LFM29" s="46"/>
      <c r="LFN29" s="53"/>
      <c r="LFO29" s="53"/>
      <c r="LFP29" s="53"/>
      <c r="LFQ29" s="53"/>
      <c r="LFR29" s="53"/>
      <c r="LFS29" s="53"/>
      <c r="LFT29" s="53"/>
      <c r="LFU29" s="53"/>
      <c r="LFV29" s="53"/>
      <c r="LFW29" s="53"/>
      <c r="LFX29" s="53"/>
      <c r="LFY29" s="53"/>
      <c r="LFZ29" s="53"/>
      <c r="LGA29" s="212"/>
      <c r="LGB29" s="46"/>
      <c r="LGC29" s="53"/>
      <c r="LGD29" s="53"/>
      <c r="LGE29" s="53"/>
      <c r="LGF29" s="53"/>
      <c r="LGG29" s="53"/>
      <c r="LGH29" s="53"/>
      <c r="LGI29" s="53"/>
      <c r="LGJ29" s="53"/>
      <c r="LGK29" s="53"/>
      <c r="LGL29" s="53"/>
      <c r="LGM29" s="53"/>
      <c r="LGN29" s="53"/>
      <c r="LGO29" s="53"/>
      <c r="LGP29" s="212"/>
      <c r="LGQ29" s="46"/>
      <c r="LGR29" s="53"/>
      <c r="LGS29" s="53"/>
      <c r="LGT29" s="53"/>
      <c r="LGU29" s="53"/>
      <c r="LGV29" s="53"/>
      <c r="LGW29" s="53"/>
      <c r="LGX29" s="53"/>
      <c r="LGY29" s="53"/>
      <c r="LGZ29" s="53"/>
      <c r="LHA29" s="53"/>
      <c r="LHB29" s="53"/>
      <c r="LHC29" s="53"/>
      <c r="LHD29" s="53"/>
      <c r="LHE29" s="212"/>
      <c r="LHF29" s="46"/>
      <c r="LHG29" s="53"/>
      <c r="LHH29" s="53"/>
      <c r="LHI29" s="53"/>
      <c r="LHJ29" s="53"/>
      <c r="LHK29" s="53"/>
      <c r="LHL29" s="53"/>
      <c r="LHM29" s="53"/>
      <c r="LHN29" s="53"/>
      <c r="LHO29" s="53"/>
      <c r="LHP29" s="53"/>
      <c r="LHQ29" s="53"/>
      <c r="LHR29" s="53"/>
      <c r="LHS29" s="53"/>
      <c r="LHT29" s="212"/>
      <c r="LHU29" s="46"/>
      <c r="LHV29" s="53"/>
      <c r="LHW29" s="53"/>
      <c r="LHX29" s="53"/>
      <c r="LHY29" s="53"/>
      <c r="LHZ29" s="53"/>
      <c r="LIA29" s="53"/>
      <c r="LIB29" s="53"/>
      <c r="LIC29" s="53"/>
      <c r="LID29" s="53"/>
      <c r="LIE29" s="53"/>
      <c r="LIF29" s="53"/>
      <c r="LIG29" s="53"/>
      <c r="LIH29" s="53"/>
      <c r="LII29" s="212"/>
      <c r="LIJ29" s="46"/>
      <c r="LIK29" s="53"/>
      <c r="LIL29" s="53"/>
      <c r="LIM29" s="53"/>
      <c r="LIN29" s="53"/>
      <c r="LIO29" s="53"/>
      <c r="LIP29" s="53"/>
      <c r="LIQ29" s="53"/>
      <c r="LIR29" s="53"/>
      <c r="LIS29" s="53"/>
      <c r="LIT29" s="53"/>
      <c r="LIU29" s="53"/>
      <c r="LIV29" s="53"/>
      <c r="LIW29" s="53"/>
      <c r="LIX29" s="212"/>
      <c r="LIY29" s="46"/>
      <c r="LIZ29" s="53"/>
      <c r="LJA29" s="53"/>
      <c r="LJB29" s="53"/>
      <c r="LJC29" s="53"/>
      <c r="LJD29" s="53"/>
      <c r="LJE29" s="53"/>
      <c r="LJF29" s="53"/>
      <c r="LJG29" s="53"/>
      <c r="LJH29" s="53"/>
      <c r="LJI29" s="53"/>
      <c r="LJJ29" s="53"/>
      <c r="LJK29" s="53"/>
      <c r="LJL29" s="53"/>
      <c r="LJM29" s="212"/>
      <c r="LJN29" s="46"/>
      <c r="LJO29" s="53"/>
      <c r="LJP29" s="53"/>
      <c r="LJQ29" s="53"/>
      <c r="LJR29" s="53"/>
      <c r="LJS29" s="53"/>
      <c r="LJT29" s="53"/>
      <c r="LJU29" s="53"/>
      <c r="LJV29" s="53"/>
      <c r="LJW29" s="53"/>
      <c r="LJX29" s="53"/>
      <c r="LJY29" s="53"/>
      <c r="LJZ29" s="53"/>
      <c r="LKA29" s="53"/>
      <c r="LKB29" s="212"/>
      <c r="LKC29" s="46"/>
      <c r="LKD29" s="53"/>
      <c r="LKE29" s="53"/>
      <c r="LKF29" s="53"/>
      <c r="LKG29" s="53"/>
      <c r="LKH29" s="53"/>
      <c r="LKI29" s="53"/>
      <c r="LKJ29" s="53"/>
      <c r="LKK29" s="53"/>
      <c r="LKL29" s="53"/>
      <c r="LKM29" s="53"/>
      <c r="LKN29" s="53"/>
      <c r="LKO29" s="53"/>
      <c r="LKP29" s="53"/>
      <c r="LKQ29" s="212"/>
      <c r="LKR29" s="46"/>
      <c r="LKS29" s="53"/>
      <c r="LKT29" s="53"/>
      <c r="LKU29" s="53"/>
      <c r="LKV29" s="53"/>
      <c r="LKW29" s="53"/>
      <c r="LKX29" s="53"/>
      <c r="LKY29" s="53"/>
      <c r="LKZ29" s="53"/>
      <c r="LLA29" s="53"/>
      <c r="LLB29" s="53"/>
      <c r="LLC29" s="53"/>
      <c r="LLD29" s="53"/>
      <c r="LLE29" s="53"/>
      <c r="LLF29" s="212"/>
      <c r="LLG29" s="46"/>
      <c r="LLH29" s="53"/>
      <c r="LLI29" s="53"/>
      <c r="LLJ29" s="53"/>
      <c r="LLK29" s="53"/>
      <c r="LLL29" s="53"/>
      <c r="LLM29" s="53"/>
      <c r="LLN29" s="53"/>
      <c r="LLO29" s="53"/>
      <c r="LLP29" s="53"/>
      <c r="LLQ29" s="53"/>
      <c r="LLR29" s="53"/>
      <c r="LLS29" s="53"/>
      <c r="LLT29" s="53"/>
      <c r="LLU29" s="212"/>
      <c r="LLV29" s="46"/>
      <c r="LLW29" s="53"/>
      <c r="LLX29" s="53"/>
      <c r="LLY29" s="53"/>
      <c r="LLZ29" s="53"/>
      <c r="LMA29" s="53"/>
      <c r="LMB29" s="53"/>
      <c r="LMC29" s="53"/>
      <c r="LMD29" s="53"/>
      <c r="LME29" s="53"/>
      <c r="LMF29" s="53"/>
      <c r="LMG29" s="53"/>
      <c r="LMH29" s="53"/>
      <c r="LMI29" s="53"/>
      <c r="LMJ29" s="212"/>
      <c r="LMK29" s="46"/>
      <c r="LML29" s="53"/>
      <c r="LMM29" s="53"/>
      <c r="LMN29" s="53"/>
      <c r="LMO29" s="53"/>
      <c r="LMP29" s="53"/>
      <c r="LMQ29" s="53"/>
      <c r="LMR29" s="53"/>
      <c r="LMS29" s="53"/>
      <c r="LMT29" s="53"/>
      <c r="LMU29" s="53"/>
      <c r="LMV29" s="53"/>
      <c r="LMW29" s="53"/>
      <c r="LMX29" s="53"/>
      <c r="LMY29" s="212"/>
      <c r="LMZ29" s="46"/>
      <c r="LNA29" s="53"/>
      <c r="LNB29" s="53"/>
      <c r="LNC29" s="53"/>
      <c r="LND29" s="53"/>
      <c r="LNE29" s="53"/>
      <c r="LNF29" s="53"/>
      <c r="LNG29" s="53"/>
      <c r="LNH29" s="53"/>
      <c r="LNI29" s="53"/>
      <c r="LNJ29" s="53"/>
      <c r="LNK29" s="53"/>
      <c r="LNL29" s="53"/>
      <c r="LNM29" s="53"/>
      <c r="LNN29" s="212"/>
      <c r="LNO29" s="46"/>
      <c r="LNP29" s="53"/>
      <c r="LNQ29" s="53"/>
      <c r="LNR29" s="53"/>
      <c r="LNS29" s="53"/>
      <c r="LNT29" s="53"/>
      <c r="LNU29" s="53"/>
      <c r="LNV29" s="53"/>
      <c r="LNW29" s="53"/>
      <c r="LNX29" s="53"/>
      <c r="LNY29" s="53"/>
      <c r="LNZ29" s="53"/>
      <c r="LOA29" s="53"/>
      <c r="LOB29" s="53"/>
      <c r="LOC29" s="212"/>
      <c r="LOD29" s="46"/>
      <c r="LOE29" s="53"/>
      <c r="LOF29" s="53"/>
      <c r="LOG29" s="53"/>
      <c r="LOH29" s="53"/>
      <c r="LOI29" s="53"/>
      <c r="LOJ29" s="53"/>
      <c r="LOK29" s="53"/>
      <c r="LOL29" s="53"/>
      <c r="LOM29" s="53"/>
      <c r="LON29" s="53"/>
      <c r="LOO29" s="53"/>
      <c r="LOP29" s="53"/>
      <c r="LOQ29" s="53"/>
      <c r="LOR29" s="212"/>
      <c r="LOS29" s="46"/>
      <c r="LOT29" s="53"/>
      <c r="LOU29" s="53"/>
      <c r="LOV29" s="53"/>
      <c r="LOW29" s="53"/>
      <c r="LOX29" s="53"/>
      <c r="LOY29" s="53"/>
      <c r="LOZ29" s="53"/>
      <c r="LPA29" s="53"/>
      <c r="LPB29" s="53"/>
      <c r="LPC29" s="53"/>
      <c r="LPD29" s="53"/>
      <c r="LPE29" s="53"/>
      <c r="LPF29" s="53"/>
      <c r="LPG29" s="212"/>
      <c r="LPH29" s="46"/>
      <c r="LPI29" s="53"/>
      <c r="LPJ29" s="53"/>
      <c r="LPK29" s="53"/>
      <c r="LPL29" s="53"/>
      <c r="LPM29" s="53"/>
      <c r="LPN29" s="53"/>
      <c r="LPO29" s="53"/>
      <c r="LPP29" s="53"/>
      <c r="LPQ29" s="53"/>
      <c r="LPR29" s="53"/>
      <c r="LPS29" s="53"/>
      <c r="LPT29" s="53"/>
      <c r="LPU29" s="53"/>
      <c r="LPV29" s="212"/>
      <c r="LPW29" s="46"/>
      <c r="LPX29" s="53"/>
      <c r="LPY29" s="53"/>
      <c r="LPZ29" s="53"/>
      <c r="LQA29" s="53"/>
      <c r="LQB29" s="53"/>
      <c r="LQC29" s="53"/>
      <c r="LQD29" s="53"/>
      <c r="LQE29" s="53"/>
      <c r="LQF29" s="53"/>
      <c r="LQG29" s="53"/>
      <c r="LQH29" s="53"/>
      <c r="LQI29" s="53"/>
      <c r="LQJ29" s="53"/>
      <c r="LQK29" s="212"/>
      <c r="LQL29" s="46"/>
      <c r="LQM29" s="53"/>
      <c r="LQN29" s="53"/>
      <c r="LQO29" s="53"/>
      <c r="LQP29" s="53"/>
      <c r="LQQ29" s="53"/>
      <c r="LQR29" s="53"/>
      <c r="LQS29" s="53"/>
      <c r="LQT29" s="53"/>
      <c r="LQU29" s="53"/>
      <c r="LQV29" s="53"/>
      <c r="LQW29" s="53"/>
      <c r="LQX29" s="53"/>
      <c r="LQY29" s="53"/>
      <c r="LQZ29" s="212"/>
      <c r="LRA29" s="46"/>
      <c r="LRB29" s="53"/>
      <c r="LRC29" s="53"/>
      <c r="LRD29" s="53"/>
      <c r="LRE29" s="53"/>
      <c r="LRF29" s="53"/>
      <c r="LRG29" s="53"/>
      <c r="LRH29" s="53"/>
      <c r="LRI29" s="53"/>
      <c r="LRJ29" s="53"/>
      <c r="LRK29" s="53"/>
      <c r="LRL29" s="53"/>
      <c r="LRM29" s="53"/>
      <c r="LRN29" s="53"/>
      <c r="LRO29" s="212"/>
      <c r="LRP29" s="46"/>
      <c r="LRQ29" s="53"/>
      <c r="LRR29" s="53"/>
      <c r="LRS29" s="53"/>
      <c r="LRT29" s="53"/>
      <c r="LRU29" s="53"/>
      <c r="LRV29" s="53"/>
      <c r="LRW29" s="53"/>
      <c r="LRX29" s="53"/>
      <c r="LRY29" s="53"/>
      <c r="LRZ29" s="53"/>
      <c r="LSA29" s="53"/>
      <c r="LSB29" s="53"/>
      <c r="LSC29" s="53"/>
      <c r="LSD29" s="212"/>
      <c r="LSE29" s="46"/>
      <c r="LSF29" s="53"/>
      <c r="LSG29" s="53"/>
      <c r="LSH29" s="53"/>
      <c r="LSI29" s="53"/>
      <c r="LSJ29" s="53"/>
      <c r="LSK29" s="53"/>
      <c r="LSL29" s="53"/>
      <c r="LSM29" s="53"/>
      <c r="LSN29" s="53"/>
      <c r="LSO29" s="53"/>
      <c r="LSP29" s="53"/>
      <c r="LSQ29" s="53"/>
      <c r="LSR29" s="53"/>
      <c r="LSS29" s="212"/>
      <c r="LST29" s="46"/>
      <c r="LSU29" s="53"/>
      <c r="LSV29" s="53"/>
      <c r="LSW29" s="53"/>
      <c r="LSX29" s="53"/>
      <c r="LSY29" s="53"/>
      <c r="LSZ29" s="53"/>
      <c r="LTA29" s="53"/>
      <c r="LTB29" s="53"/>
      <c r="LTC29" s="53"/>
      <c r="LTD29" s="53"/>
      <c r="LTE29" s="53"/>
      <c r="LTF29" s="53"/>
      <c r="LTG29" s="53"/>
      <c r="LTH29" s="212"/>
      <c r="LTI29" s="46"/>
      <c r="LTJ29" s="53"/>
      <c r="LTK29" s="53"/>
      <c r="LTL29" s="53"/>
      <c r="LTM29" s="53"/>
      <c r="LTN29" s="53"/>
      <c r="LTO29" s="53"/>
      <c r="LTP29" s="53"/>
      <c r="LTQ29" s="53"/>
      <c r="LTR29" s="53"/>
      <c r="LTS29" s="53"/>
      <c r="LTT29" s="53"/>
      <c r="LTU29" s="53"/>
      <c r="LTV29" s="53"/>
      <c r="LTW29" s="212"/>
      <c r="LTX29" s="46"/>
      <c r="LTY29" s="53"/>
      <c r="LTZ29" s="53"/>
      <c r="LUA29" s="53"/>
      <c r="LUB29" s="53"/>
      <c r="LUC29" s="53"/>
      <c r="LUD29" s="53"/>
      <c r="LUE29" s="53"/>
      <c r="LUF29" s="53"/>
      <c r="LUG29" s="53"/>
      <c r="LUH29" s="53"/>
      <c r="LUI29" s="53"/>
      <c r="LUJ29" s="53"/>
      <c r="LUK29" s="53"/>
      <c r="LUL29" s="212"/>
      <c r="LUM29" s="46"/>
      <c r="LUN29" s="53"/>
      <c r="LUO29" s="53"/>
      <c r="LUP29" s="53"/>
      <c r="LUQ29" s="53"/>
      <c r="LUR29" s="53"/>
      <c r="LUS29" s="53"/>
      <c r="LUT29" s="53"/>
      <c r="LUU29" s="53"/>
      <c r="LUV29" s="53"/>
      <c r="LUW29" s="53"/>
      <c r="LUX29" s="53"/>
      <c r="LUY29" s="53"/>
      <c r="LUZ29" s="53"/>
      <c r="LVA29" s="212"/>
      <c r="LVB29" s="46"/>
      <c r="LVC29" s="53"/>
      <c r="LVD29" s="53"/>
      <c r="LVE29" s="53"/>
      <c r="LVF29" s="53"/>
      <c r="LVG29" s="53"/>
      <c r="LVH29" s="53"/>
      <c r="LVI29" s="53"/>
      <c r="LVJ29" s="53"/>
      <c r="LVK29" s="53"/>
      <c r="LVL29" s="53"/>
      <c r="LVM29" s="53"/>
      <c r="LVN29" s="53"/>
      <c r="LVO29" s="53"/>
      <c r="LVP29" s="212"/>
      <c r="LVQ29" s="46"/>
      <c r="LVR29" s="53"/>
      <c r="LVS29" s="53"/>
      <c r="LVT29" s="53"/>
      <c r="LVU29" s="53"/>
      <c r="LVV29" s="53"/>
      <c r="LVW29" s="53"/>
      <c r="LVX29" s="53"/>
      <c r="LVY29" s="53"/>
      <c r="LVZ29" s="53"/>
      <c r="LWA29" s="53"/>
      <c r="LWB29" s="53"/>
      <c r="LWC29" s="53"/>
      <c r="LWD29" s="53"/>
      <c r="LWE29" s="212"/>
      <c r="LWF29" s="46"/>
      <c r="LWG29" s="53"/>
      <c r="LWH29" s="53"/>
      <c r="LWI29" s="53"/>
      <c r="LWJ29" s="53"/>
      <c r="LWK29" s="53"/>
      <c r="LWL29" s="53"/>
      <c r="LWM29" s="53"/>
      <c r="LWN29" s="53"/>
      <c r="LWO29" s="53"/>
      <c r="LWP29" s="53"/>
      <c r="LWQ29" s="53"/>
      <c r="LWR29" s="53"/>
      <c r="LWS29" s="53"/>
      <c r="LWT29" s="212"/>
      <c r="LWU29" s="46"/>
      <c r="LWV29" s="53"/>
      <c r="LWW29" s="53"/>
      <c r="LWX29" s="53"/>
      <c r="LWY29" s="53"/>
      <c r="LWZ29" s="53"/>
      <c r="LXA29" s="53"/>
      <c r="LXB29" s="53"/>
      <c r="LXC29" s="53"/>
      <c r="LXD29" s="53"/>
      <c r="LXE29" s="53"/>
      <c r="LXF29" s="53"/>
      <c r="LXG29" s="53"/>
      <c r="LXH29" s="53"/>
      <c r="LXI29" s="212"/>
      <c r="LXJ29" s="46"/>
      <c r="LXK29" s="53"/>
      <c r="LXL29" s="53"/>
      <c r="LXM29" s="53"/>
      <c r="LXN29" s="53"/>
      <c r="LXO29" s="53"/>
      <c r="LXP29" s="53"/>
      <c r="LXQ29" s="53"/>
      <c r="LXR29" s="53"/>
      <c r="LXS29" s="53"/>
      <c r="LXT29" s="53"/>
      <c r="LXU29" s="53"/>
      <c r="LXV29" s="53"/>
      <c r="LXW29" s="53"/>
      <c r="LXX29" s="212"/>
      <c r="LXY29" s="46"/>
      <c r="LXZ29" s="53"/>
      <c r="LYA29" s="53"/>
      <c r="LYB29" s="53"/>
      <c r="LYC29" s="53"/>
      <c r="LYD29" s="53"/>
      <c r="LYE29" s="53"/>
      <c r="LYF29" s="53"/>
      <c r="LYG29" s="53"/>
      <c r="LYH29" s="53"/>
      <c r="LYI29" s="53"/>
      <c r="LYJ29" s="53"/>
      <c r="LYK29" s="53"/>
      <c r="LYL29" s="53"/>
      <c r="LYM29" s="212"/>
      <c r="LYN29" s="46"/>
      <c r="LYO29" s="53"/>
      <c r="LYP29" s="53"/>
      <c r="LYQ29" s="53"/>
      <c r="LYR29" s="53"/>
      <c r="LYS29" s="53"/>
      <c r="LYT29" s="53"/>
      <c r="LYU29" s="53"/>
      <c r="LYV29" s="53"/>
      <c r="LYW29" s="53"/>
      <c r="LYX29" s="53"/>
      <c r="LYY29" s="53"/>
      <c r="LYZ29" s="53"/>
      <c r="LZA29" s="53"/>
      <c r="LZB29" s="212"/>
      <c r="LZC29" s="46"/>
      <c r="LZD29" s="53"/>
      <c r="LZE29" s="53"/>
      <c r="LZF29" s="53"/>
      <c r="LZG29" s="53"/>
      <c r="LZH29" s="53"/>
      <c r="LZI29" s="53"/>
      <c r="LZJ29" s="53"/>
      <c r="LZK29" s="53"/>
      <c r="LZL29" s="53"/>
      <c r="LZM29" s="53"/>
      <c r="LZN29" s="53"/>
      <c r="LZO29" s="53"/>
      <c r="LZP29" s="53"/>
      <c r="LZQ29" s="212"/>
      <c r="LZR29" s="46"/>
      <c r="LZS29" s="53"/>
      <c r="LZT29" s="53"/>
      <c r="LZU29" s="53"/>
      <c r="LZV29" s="53"/>
      <c r="LZW29" s="53"/>
      <c r="LZX29" s="53"/>
      <c r="LZY29" s="53"/>
      <c r="LZZ29" s="53"/>
      <c r="MAA29" s="53"/>
      <c r="MAB29" s="53"/>
      <c r="MAC29" s="53"/>
      <c r="MAD29" s="53"/>
      <c r="MAE29" s="53"/>
      <c r="MAF29" s="212"/>
      <c r="MAG29" s="46"/>
      <c r="MAH29" s="53"/>
      <c r="MAI29" s="53"/>
      <c r="MAJ29" s="53"/>
      <c r="MAK29" s="53"/>
      <c r="MAL29" s="53"/>
      <c r="MAM29" s="53"/>
      <c r="MAN29" s="53"/>
      <c r="MAO29" s="53"/>
      <c r="MAP29" s="53"/>
      <c r="MAQ29" s="53"/>
      <c r="MAR29" s="53"/>
      <c r="MAS29" s="53"/>
      <c r="MAT29" s="53"/>
      <c r="MAU29" s="212"/>
      <c r="MAV29" s="46"/>
      <c r="MAW29" s="53"/>
      <c r="MAX29" s="53"/>
      <c r="MAY29" s="53"/>
      <c r="MAZ29" s="53"/>
      <c r="MBA29" s="53"/>
      <c r="MBB29" s="53"/>
      <c r="MBC29" s="53"/>
      <c r="MBD29" s="53"/>
      <c r="MBE29" s="53"/>
      <c r="MBF29" s="53"/>
      <c r="MBG29" s="53"/>
      <c r="MBH29" s="53"/>
      <c r="MBI29" s="53"/>
      <c r="MBJ29" s="212"/>
      <c r="MBK29" s="46"/>
      <c r="MBL29" s="53"/>
      <c r="MBM29" s="53"/>
      <c r="MBN29" s="53"/>
      <c r="MBO29" s="53"/>
      <c r="MBP29" s="53"/>
      <c r="MBQ29" s="53"/>
      <c r="MBR29" s="53"/>
      <c r="MBS29" s="53"/>
      <c r="MBT29" s="53"/>
      <c r="MBU29" s="53"/>
      <c r="MBV29" s="53"/>
      <c r="MBW29" s="53"/>
      <c r="MBX29" s="53"/>
      <c r="MBY29" s="212"/>
      <c r="MBZ29" s="46"/>
      <c r="MCA29" s="53"/>
      <c r="MCB29" s="53"/>
      <c r="MCC29" s="53"/>
      <c r="MCD29" s="53"/>
      <c r="MCE29" s="53"/>
      <c r="MCF29" s="53"/>
      <c r="MCG29" s="53"/>
      <c r="MCH29" s="53"/>
      <c r="MCI29" s="53"/>
      <c r="MCJ29" s="53"/>
      <c r="MCK29" s="53"/>
      <c r="MCL29" s="53"/>
      <c r="MCM29" s="53"/>
      <c r="MCN29" s="212"/>
      <c r="MCO29" s="46"/>
      <c r="MCP29" s="53"/>
      <c r="MCQ29" s="53"/>
      <c r="MCR29" s="53"/>
      <c r="MCS29" s="53"/>
      <c r="MCT29" s="53"/>
      <c r="MCU29" s="53"/>
      <c r="MCV29" s="53"/>
      <c r="MCW29" s="53"/>
      <c r="MCX29" s="53"/>
      <c r="MCY29" s="53"/>
      <c r="MCZ29" s="53"/>
      <c r="MDA29" s="53"/>
      <c r="MDB29" s="53"/>
      <c r="MDC29" s="212"/>
      <c r="MDD29" s="46"/>
      <c r="MDE29" s="53"/>
      <c r="MDF29" s="53"/>
      <c r="MDG29" s="53"/>
      <c r="MDH29" s="53"/>
      <c r="MDI29" s="53"/>
      <c r="MDJ29" s="53"/>
      <c r="MDK29" s="53"/>
      <c r="MDL29" s="53"/>
      <c r="MDM29" s="53"/>
      <c r="MDN29" s="53"/>
      <c r="MDO29" s="53"/>
      <c r="MDP29" s="53"/>
      <c r="MDQ29" s="53"/>
      <c r="MDR29" s="212"/>
      <c r="MDS29" s="46"/>
      <c r="MDT29" s="53"/>
      <c r="MDU29" s="53"/>
      <c r="MDV29" s="53"/>
      <c r="MDW29" s="53"/>
      <c r="MDX29" s="53"/>
      <c r="MDY29" s="53"/>
      <c r="MDZ29" s="53"/>
      <c r="MEA29" s="53"/>
      <c r="MEB29" s="53"/>
      <c r="MEC29" s="53"/>
      <c r="MED29" s="53"/>
      <c r="MEE29" s="53"/>
      <c r="MEF29" s="53"/>
      <c r="MEG29" s="212"/>
      <c r="MEH29" s="46"/>
      <c r="MEI29" s="53"/>
      <c r="MEJ29" s="53"/>
      <c r="MEK29" s="53"/>
      <c r="MEL29" s="53"/>
      <c r="MEM29" s="53"/>
      <c r="MEN29" s="53"/>
      <c r="MEO29" s="53"/>
      <c r="MEP29" s="53"/>
      <c r="MEQ29" s="53"/>
      <c r="MER29" s="53"/>
      <c r="MES29" s="53"/>
      <c r="MET29" s="53"/>
      <c r="MEU29" s="53"/>
      <c r="MEV29" s="212"/>
      <c r="MEW29" s="46"/>
      <c r="MEX29" s="53"/>
      <c r="MEY29" s="53"/>
      <c r="MEZ29" s="53"/>
      <c r="MFA29" s="53"/>
      <c r="MFB29" s="53"/>
      <c r="MFC29" s="53"/>
      <c r="MFD29" s="53"/>
      <c r="MFE29" s="53"/>
      <c r="MFF29" s="53"/>
      <c r="MFG29" s="53"/>
      <c r="MFH29" s="53"/>
      <c r="MFI29" s="53"/>
      <c r="MFJ29" s="53"/>
      <c r="MFK29" s="212"/>
      <c r="MFL29" s="46"/>
      <c r="MFM29" s="53"/>
      <c r="MFN29" s="53"/>
      <c r="MFO29" s="53"/>
      <c r="MFP29" s="53"/>
      <c r="MFQ29" s="53"/>
      <c r="MFR29" s="53"/>
      <c r="MFS29" s="53"/>
      <c r="MFT29" s="53"/>
      <c r="MFU29" s="53"/>
      <c r="MFV29" s="53"/>
      <c r="MFW29" s="53"/>
      <c r="MFX29" s="53"/>
      <c r="MFY29" s="53"/>
      <c r="MFZ29" s="212"/>
      <c r="MGA29" s="46"/>
      <c r="MGB29" s="53"/>
      <c r="MGC29" s="53"/>
      <c r="MGD29" s="53"/>
      <c r="MGE29" s="53"/>
      <c r="MGF29" s="53"/>
      <c r="MGG29" s="53"/>
      <c r="MGH29" s="53"/>
      <c r="MGI29" s="53"/>
      <c r="MGJ29" s="53"/>
      <c r="MGK29" s="53"/>
      <c r="MGL29" s="53"/>
      <c r="MGM29" s="53"/>
      <c r="MGN29" s="53"/>
      <c r="MGO29" s="212"/>
      <c r="MGP29" s="46"/>
      <c r="MGQ29" s="53"/>
      <c r="MGR29" s="53"/>
      <c r="MGS29" s="53"/>
      <c r="MGT29" s="53"/>
      <c r="MGU29" s="53"/>
      <c r="MGV29" s="53"/>
      <c r="MGW29" s="53"/>
      <c r="MGX29" s="53"/>
      <c r="MGY29" s="53"/>
      <c r="MGZ29" s="53"/>
      <c r="MHA29" s="53"/>
      <c r="MHB29" s="53"/>
      <c r="MHC29" s="53"/>
      <c r="MHD29" s="212"/>
      <c r="MHE29" s="46"/>
      <c r="MHF29" s="53"/>
      <c r="MHG29" s="53"/>
      <c r="MHH29" s="53"/>
      <c r="MHI29" s="53"/>
      <c r="MHJ29" s="53"/>
      <c r="MHK29" s="53"/>
      <c r="MHL29" s="53"/>
      <c r="MHM29" s="53"/>
      <c r="MHN29" s="53"/>
      <c r="MHO29" s="53"/>
      <c r="MHP29" s="53"/>
      <c r="MHQ29" s="53"/>
      <c r="MHR29" s="53"/>
      <c r="MHS29" s="212"/>
      <c r="MHT29" s="46"/>
      <c r="MHU29" s="53"/>
      <c r="MHV29" s="53"/>
      <c r="MHW29" s="53"/>
      <c r="MHX29" s="53"/>
      <c r="MHY29" s="53"/>
      <c r="MHZ29" s="53"/>
      <c r="MIA29" s="53"/>
      <c r="MIB29" s="53"/>
      <c r="MIC29" s="53"/>
      <c r="MID29" s="53"/>
      <c r="MIE29" s="53"/>
      <c r="MIF29" s="53"/>
      <c r="MIG29" s="53"/>
      <c r="MIH29" s="212"/>
      <c r="MII29" s="46"/>
      <c r="MIJ29" s="53"/>
      <c r="MIK29" s="53"/>
      <c r="MIL29" s="53"/>
      <c r="MIM29" s="53"/>
      <c r="MIN29" s="53"/>
      <c r="MIO29" s="53"/>
      <c r="MIP29" s="53"/>
      <c r="MIQ29" s="53"/>
      <c r="MIR29" s="53"/>
      <c r="MIS29" s="53"/>
      <c r="MIT29" s="53"/>
      <c r="MIU29" s="53"/>
      <c r="MIV29" s="53"/>
      <c r="MIW29" s="212"/>
      <c r="MIX29" s="46"/>
      <c r="MIY29" s="53"/>
      <c r="MIZ29" s="53"/>
      <c r="MJA29" s="53"/>
      <c r="MJB29" s="53"/>
      <c r="MJC29" s="53"/>
      <c r="MJD29" s="53"/>
      <c r="MJE29" s="53"/>
      <c r="MJF29" s="53"/>
      <c r="MJG29" s="53"/>
      <c r="MJH29" s="53"/>
      <c r="MJI29" s="53"/>
      <c r="MJJ29" s="53"/>
      <c r="MJK29" s="53"/>
      <c r="MJL29" s="212"/>
      <c r="MJM29" s="46"/>
      <c r="MJN29" s="53"/>
      <c r="MJO29" s="53"/>
      <c r="MJP29" s="53"/>
      <c r="MJQ29" s="53"/>
      <c r="MJR29" s="53"/>
      <c r="MJS29" s="53"/>
      <c r="MJT29" s="53"/>
      <c r="MJU29" s="53"/>
      <c r="MJV29" s="53"/>
      <c r="MJW29" s="53"/>
      <c r="MJX29" s="53"/>
      <c r="MJY29" s="53"/>
      <c r="MJZ29" s="53"/>
      <c r="MKA29" s="212"/>
      <c r="MKB29" s="46"/>
      <c r="MKC29" s="53"/>
      <c r="MKD29" s="53"/>
      <c r="MKE29" s="53"/>
      <c r="MKF29" s="53"/>
      <c r="MKG29" s="53"/>
      <c r="MKH29" s="53"/>
      <c r="MKI29" s="53"/>
      <c r="MKJ29" s="53"/>
      <c r="MKK29" s="53"/>
      <c r="MKL29" s="53"/>
      <c r="MKM29" s="53"/>
      <c r="MKN29" s="53"/>
      <c r="MKO29" s="53"/>
      <c r="MKP29" s="212"/>
      <c r="MKQ29" s="46"/>
      <c r="MKR29" s="53"/>
      <c r="MKS29" s="53"/>
      <c r="MKT29" s="53"/>
      <c r="MKU29" s="53"/>
      <c r="MKV29" s="53"/>
      <c r="MKW29" s="53"/>
      <c r="MKX29" s="53"/>
      <c r="MKY29" s="53"/>
      <c r="MKZ29" s="53"/>
      <c r="MLA29" s="53"/>
      <c r="MLB29" s="53"/>
      <c r="MLC29" s="53"/>
      <c r="MLD29" s="53"/>
      <c r="MLE29" s="212"/>
      <c r="MLF29" s="46"/>
      <c r="MLG29" s="53"/>
      <c r="MLH29" s="53"/>
      <c r="MLI29" s="53"/>
      <c r="MLJ29" s="53"/>
      <c r="MLK29" s="53"/>
      <c r="MLL29" s="53"/>
      <c r="MLM29" s="53"/>
      <c r="MLN29" s="53"/>
      <c r="MLO29" s="53"/>
      <c r="MLP29" s="53"/>
      <c r="MLQ29" s="53"/>
      <c r="MLR29" s="53"/>
      <c r="MLS29" s="53"/>
      <c r="MLT29" s="212"/>
      <c r="MLU29" s="46"/>
      <c r="MLV29" s="53"/>
      <c r="MLW29" s="53"/>
      <c r="MLX29" s="53"/>
      <c r="MLY29" s="53"/>
      <c r="MLZ29" s="53"/>
      <c r="MMA29" s="53"/>
      <c r="MMB29" s="53"/>
      <c r="MMC29" s="53"/>
      <c r="MMD29" s="53"/>
      <c r="MME29" s="53"/>
      <c r="MMF29" s="53"/>
      <c r="MMG29" s="53"/>
      <c r="MMH29" s="53"/>
      <c r="MMI29" s="212"/>
      <c r="MMJ29" s="46"/>
      <c r="MMK29" s="53"/>
      <c r="MML29" s="53"/>
      <c r="MMM29" s="53"/>
      <c r="MMN29" s="53"/>
      <c r="MMO29" s="53"/>
      <c r="MMP29" s="53"/>
      <c r="MMQ29" s="53"/>
      <c r="MMR29" s="53"/>
      <c r="MMS29" s="53"/>
      <c r="MMT29" s="53"/>
      <c r="MMU29" s="53"/>
      <c r="MMV29" s="53"/>
      <c r="MMW29" s="53"/>
      <c r="MMX29" s="212"/>
      <c r="MMY29" s="46"/>
      <c r="MMZ29" s="53"/>
      <c r="MNA29" s="53"/>
      <c r="MNB29" s="53"/>
      <c r="MNC29" s="53"/>
      <c r="MND29" s="53"/>
      <c r="MNE29" s="53"/>
      <c r="MNF29" s="53"/>
      <c r="MNG29" s="53"/>
      <c r="MNH29" s="53"/>
      <c r="MNI29" s="53"/>
      <c r="MNJ29" s="53"/>
      <c r="MNK29" s="53"/>
      <c r="MNL29" s="53"/>
      <c r="MNM29" s="212"/>
      <c r="MNN29" s="46"/>
      <c r="MNO29" s="53"/>
      <c r="MNP29" s="53"/>
      <c r="MNQ29" s="53"/>
      <c r="MNR29" s="53"/>
      <c r="MNS29" s="53"/>
      <c r="MNT29" s="53"/>
      <c r="MNU29" s="53"/>
      <c r="MNV29" s="53"/>
      <c r="MNW29" s="53"/>
      <c r="MNX29" s="53"/>
      <c r="MNY29" s="53"/>
      <c r="MNZ29" s="53"/>
      <c r="MOA29" s="53"/>
      <c r="MOB29" s="212"/>
      <c r="MOC29" s="46"/>
      <c r="MOD29" s="53"/>
      <c r="MOE29" s="53"/>
      <c r="MOF29" s="53"/>
      <c r="MOG29" s="53"/>
      <c r="MOH29" s="53"/>
      <c r="MOI29" s="53"/>
      <c r="MOJ29" s="53"/>
      <c r="MOK29" s="53"/>
      <c r="MOL29" s="53"/>
      <c r="MOM29" s="53"/>
      <c r="MON29" s="53"/>
      <c r="MOO29" s="53"/>
      <c r="MOP29" s="53"/>
      <c r="MOQ29" s="212"/>
      <c r="MOR29" s="46"/>
      <c r="MOS29" s="53"/>
      <c r="MOT29" s="53"/>
      <c r="MOU29" s="53"/>
      <c r="MOV29" s="53"/>
      <c r="MOW29" s="53"/>
      <c r="MOX29" s="53"/>
      <c r="MOY29" s="53"/>
      <c r="MOZ29" s="53"/>
      <c r="MPA29" s="53"/>
      <c r="MPB29" s="53"/>
      <c r="MPC29" s="53"/>
      <c r="MPD29" s="53"/>
      <c r="MPE29" s="53"/>
      <c r="MPF29" s="212"/>
      <c r="MPG29" s="46"/>
      <c r="MPH29" s="53"/>
      <c r="MPI29" s="53"/>
      <c r="MPJ29" s="53"/>
      <c r="MPK29" s="53"/>
      <c r="MPL29" s="53"/>
      <c r="MPM29" s="53"/>
      <c r="MPN29" s="53"/>
      <c r="MPO29" s="53"/>
      <c r="MPP29" s="53"/>
      <c r="MPQ29" s="53"/>
      <c r="MPR29" s="53"/>
      <c r="MPS29" s="53"/>
      <c r="MPT29" s="53"/>
      <c r="MPU29" s="212"/>
      <c r="MPV29" s="46"/>
      <c r="MPW29" s="53"/>
      <c r="MPX29" s="53"/>
      <c r="MPY29" s="53"/>
      <c r="MPZ29" s="53"/>
      <c r="MQA29" s="53"/>
      <c r="MQB29" s="53"/>
      <c r="MQC29" s="53"/>
      <c r="MQD29" s="53"/>
      <c r="MQE29" s="53"/>
      <c r="MQF29" s="53"/>
      <c r="MQG29" s="53"/>
      <c r="MQH29" s="53"/>
      <c r="MQI29" s="53"/>
      <c r="MQJ29" s="212"/>
      <c r="MQK29" s="46"/>
      <c r="MQL29" s="53"/>
      <c r="MQM29" s="53"/>
      <c r="MQN29" s="53"/>
      <c r="MQO29" s="53"/>
      <c r="MQP29" s="53"/>
      <c r="MQQ29" s="53"/>
      <c r="MQR29" s="53"/>
      <c r="MQS29" s="53"/>
      <c r="MQT29" s="53"/>
      <c r="MQU29" s="53"/>
      <c r="MQV29" s="53"/>
      <c r="MQW29" s="53"/>
      <c r="MQX29" s="53"/>
      <c r="MQY29" s="212"/>
      <c r="MQZ29" s="46"/>
      <c r="MRA29" s="53"/>
      <c r="MRB29" s="53"/>
      <c r="MRC29" s="53"/>
      <c r="MRD29" s="53"/>
      <c r="MRE29" s="53"/>
      <c r="MRF29" s="53"/>
      <c r="MRG29" s="53"/>
      <c r="MRH29" s="53"/>
      <c r="MRI29" s="53"/>
      <c r="MRJ29" s="53"/>
      <c r="MRK29" s="53"/>
      <c r="MRL29" s="53"/>
      <c r="MRM29" s="53"/>
      <c r="MRN29" s="212"/>
      <c r="MRO29" s="46"/>
      <c r="MRP29" s="53"/>
      <c r="MRQ29" s="53"/>
      <c r="MRR29" s="53"/>
      <c r="MRS29" s="53"/>
      <c r="MRT29" s="53"/>
      <c r="MRU29" s="53"/>
      <c r="MRV29" s="53"/>
      <c r="MRW29" s="53"/>
      <c r="MRX29" s="53"/>
      <c r="MRY29" s="53"/>
      <c r="MRZ29" s="53"/>
      <c r="MSA29" s="53"/>
      <c r="MSB29" s="53"/>
      <c r="MSC29" s="212"/>
      <c r="MSD29" s="46"/>
      <c r="MSE29" s="53"/>
      <c r="MSF29" s="53"/>
      <c r="MSG29" s="53"/>
      <c r="MSH29" s="53"/>
      <c r="MSI29" s="53"/>
      <c r="MSJ29" s="53"/>
      <c r="MSK29" s="53"/>
      <c r="MSL29" s="53"/>
      <c r="MSM29" s="53"/>
      <c r="MSN29" s="53"/>
      <c r="MSO29" s="53"/>
      <c r="MSP29" s="53"/>
      <c r="MSQ29" s="53"/>
      <c r="MSR29" s="212"/>
      <c r="MSS29" s="46"/>
      <c r="MST29" s="53"/>
      <c r="MSU29" s="53"/>
      <c r="MSV29" s="53"/>
      <c r="MSW29" s="53"/>
      <c r="MSX29" s="53"/>
      <c r="MSY29" s="53"/>
      <c r="MSZ29" s="53"/>
      <c r="MTA29" s="53"/>
      <c r="MTB29" s="53"/>
      <c r="MTC29" s="53"/>
      <c r="MTD29" s="53"/>
      <c r="MTE29" s="53"/>
      <c r="MTF29" s="53"/>
      <c r="MTG29" s="212"/>
      <c r="MTH29" s="46"/>
      <c r="MTI29" s="53"/>
      <c r="MTJ29" s="53"/>
      <c r="MTK29" s="53"/>
      <c r="MTL29" s="53"/>
      <c r="MTM29" s="53"/>
      <c r="MTN29" s="53"/>
      <c r="MTO29" s="53"/>
      <c r="MTP29" s="53"/>
      <c r="MTQ29" s="53"/>
      <c r="MTR29" s="53"/>
      <c r="MTS29" s="53"/>
      <c r="MTT29" s="53"/>
      <c r="MTU29" s="53"/>
      <c r="MTV29" s="212"/>
      <c r="MTW29" s="46"/>
      <c r="MTX29" s="53"/>
      <c r="MTY29" s="53"/>
      <c r="MTZ29" s="53"/>
      <c r="MUA29" s="53"/>
      <c r="MUB29" s="53"/>
      <c r="MUC29" s="53"/>
      <c r="MUD29" s="53"/>
      <c r="MUE29" s="53"/>
      <c r="MUF29" s="53"/>
      <c r="MUG29" s="53"/>
      <c r="MUH29" s="53"/>
      <c r="MUI29" s="53"/>
      <c r="MUJ29" s="53"/>
      <c r="MUK29" s="212"/>
      <c r="MUL29" s="46"/>
      <c r="MUM29" s="53"/>
      <c r="MUN29" s="53"/>
      <c r="MUO29" s="53"/>
      <c r="MUP29" s="53"/>
      <c r="MUQ29" s="53"/>
      <c r="MUR29" s="53"/>
      <c r="MUS29" s="53"/>
      <c r="MUT29" s="53"/>
      <c r="MUU29" s="53"/>
      <c r="MUV29" s="53"/>
      <c r="MUW29" s="53"/>
      <c r="MUX29" s="53"/>
      <c r="MUY29" s="53"/>
      <c r="MUZ29" s="212"/>
      <c r="MVA29" s="46"/>
      <c r="MVB29" s="53"/>
      <c r="MVC29" s="53"/>
      <c r="MVD29" s="53"/>
      <c r="MVE29" s="53"/>
      <c r="MVF29" s="53"/>
      <c r="MVG29" s="53"/>
      <c r="MVH29" s="53"/>
      <c r="MVI29" s="53"/>
      <c r="MVJ29" s="53"/>
      <c r="MVK29" s="53"/>
      <c r="MVL29" s="53"/>
      <c r="MVM29" s="53"/>
      <c r="MVN29" s="53"/>
      <c r="MVO29" s="212"/>
      <c r="MVP29" s="46"/>
      <c r="MVQ29" s="53"/>
      <c r="MVR29" s="53"/>
      <c r="MVS29" s="53"/>
      <c r="MVT29" s="53"/>
      <c r="MVU29" s="53"/>
      <c r="MVV29" s="53"/>
      <c r="MVW29" s="53"/>
      <c r="MVX29" s="53"/>
      <c r="MVY29" s="53"/>
      <c r="MVZ29" s="53"/>
      <c r="MWA29" s="53"/>
      <c r="MWB29" s="53"/>
      <c r="MWC29" s="53"/>
      <c r="MWD29" s="212"/>
      <c r="MWE29" s="46"/>
      <c r="MWF29" s="53"/>
      <c r="MWG29" s="53"/>
      <c r="MWH29" s="53"/>
      <c r="MWI29" s="53"/>
      <c r="MWJ29" s="53"/>
      <c r="MWK29" s="53"/>
      <c r="MWL29" s="53"/>
      <c r="MWM29" s="53"/>
      <c r="MWN29" s="53"/>
      <c r="MWO29" s="53"/>
      <c r="MWP29" s="53"/>
      <c r="MWQ29" s="53"/>
      <c r="MWR29" s="53"/>
      <c r="MWS29" s="212"/>
      <c r="MWT29" s="46"/>
      <c r="MWU29" s="53"/>
      <c r="MWV29" s="53"/>
      <c r="MWW29" s="53"/>
      <c r="MWX29" s="53"/>
      <c r="MWY29" s="53"/>
      <c r="MWZ29" s="53"/>
      <c r="MXA29" s="53"/>
      <c r="MXB29" s="53"/>
      <c r="MXC29" s="53"/>
      <c r="MXD29" s="53"/>
      <c r="MXE29" s="53"/>
      <c r="MXF29" s="53"/>
      <c r="MXG29" s="53"/>
      <c r="MXH29" s="212"/>
      <c r="MXI29" s="46"/>
      <c r="MXJ29" s="53"/>
      <c r="MXK29" s="53"/>
      <c r="MXL29" s="53"/>
      <c r="MXM29" s="53"/>
      <c r="MXN29" s="53"/>
      <c r="MXO29" s="53"/>
      <c r="MXP29" s="53"/>
      <c r="MXQ29" s="53"/>
      <c r="MXR29" s="53"/>
      <c r="MXS29" s="53"/>
      <c r="MXT29" s="53"/>
      <c r="MXU29" s="53"/>
      <c r="MXV29" s="53"/>
      <c r="MXW29" s="212"/>
      <c r="MXX29" s="46"/>
      <c r="MXY29" s="53"/>
      <c r="MXZ29" s="53"/>
      <c r="MYA29" s="53"/>
      <c r="MYB29" s="53"/>
      <c r="MYC29" s="53"/>
      <c r="MYD29" s="53"/>
      <c r="MYE29" s="53"/>
      <c r="MYF29" s="53"/>
      <c r="MYG29" s="53"/>
      <c r="MYH29" s="53"/>
      <c r="MYI29" s="53"/>
      <c r="MYJ29" s="53"/>
      <c r="MYK29" s="53"/>
      <c r="MYL29" s="212"/>
      <c r="MYM29" s="46"/>
      <c r="MYN29" s="53"/>
      <c r="MYO29" s="53"/>
      <c r="MYP29" s="53"/>
      <c r="MYQ29" s="53"/>
      <c r="MYR29" s="53"/>
      <c r="MYS29" s="53"/>
      <c r="MYT29" s="53"/>
      <c r="MYU29" s="53"/>
      <c r="MYV29" s="53"/>
      <c r="MYW29" s="53"/>
      <c r="MYX29" s="53"/>
      <c r="MYY29" s="53"/>
      <c r="MYZ29" s="53"/>
      <c r="MZA29" s="212"/>
      <c r="MZB29" s="46"/>
      <c r="MZC29" s="53"/>
      <c r="MZD29" s="53"/>
      <c r="MZE29" s="53"/>
      <c r="MZF29" s="53"/>
      <c r="MZG29" s="53"/>
      <c r="MZH29" s="53"/>
      <c r="MZI29" s="53"/>
      <c r="MZJ29" s="53"/>
      <c r="MZK29" s="53"/>
      <c r="MZL29" s="53"/>
      <c r="MZM29" s="53"/>
      <c r="MZN29" s="53"/>
      <c r="MZO29" s="53"/>
      <c r="MZP29" s="212"/>
      <c r="MZQ29" s="46"/>
      <c r="MZR29" s="53"/>
      <c r="MZS29" s="53"/>
      <c r="MZT29" s="53"/>
      <c r="MZU29" s="53"/>
      <c r="MZV29" s="53"/>
      <c r="MZW29" s="53"/>
      <c r="MZX29" s="53"/>
      <c r="MZY29" s="53"/>
      <c r="MZZ29" s="53"/>
      <c r="NAA29" s="53"/>
      <c r="NAB29" s="53"/>
      <c r="NAC29" s="53"/>
      <c r="NAD29" s="53"/>
      <c r="NAE29" s="212"/>
      <c r="NAF29" s="46"/>
      <c r="NAG29" s="53"/>
      <c r="NAH29" s="53"/>
      <c r="NAI29" s="53"/>
      <c r="NAJ29" s="53"/>
      <c r="NAK29" s="53"/>
      <c r="NAL29" s="53"/>
      <c r="NAM29" s="53"/>
      <c r="NAN29" s="53"/>
      <c r="NAO29" s="53"/>
      <c r="NAP29" s="53"/>
      <c r="NAQ29" s="53"/>
      <c r="NAR29" s="53"/>
      <c r="NAS29" s="53"/>
      <c r="NAT29" s="212"/>
      <c r="NAU29" s="46"/>
      <c r="NAV29" s="53"/>
      <c r="NAW29" s="53"/>
      <c r="NAX29" s="53"/>
      <c r="NAY29" s="53"/>
      <c r="NAZ29" s="53"/>
      <c r="NBA29" s="53"/>
      <c r="NBB29" s="53"/>
      <c r="NBC29" s="53"/>
      <c r="NBD29" s="53"/>
      <c r="NBE29" s="53"/>
      <c r="NBF29" s="53"/>
      <c r="NBG29" s="53"/>
      <c r="NBH29" s="53"/>
      <c r="NBI29" s="212"/>
      <c r="NBJ29" s="46"/>
      <c r="NBK29" s="53"/>
      <c r="NBL29" s="53"/>
      <c r="NBM29" s="53"/>
      <c r="NBN29" s="53"/>
      <c r="NBO29" s="53"/>
      <c r="NBP29" s="53"/>
      <c r="NBQ29" s="53"/>
      <c r="NBR29" s="53"/>
      <c r="NBS29" s="53"/>
      <c r="NBT29" s="53"/>
      <c r="NBU29" s="53"/>
      <c r="NBV29" s="53"/>
      <c r="NBW29" s="53"/>
      <c r="NBX29" s="212"/>
      <c r="NBY29" s="46"/>
      <c r="NBZ29" s="53"/>
      <c r="NCA29" s="53"/>
      <c r="NCB29" s="53"/>
      <c r="NCC29" s="53"/>
      <c r="NCD29" s="53"/>
      <c r="NCE29" s="53"/>
      <c r="NCF29" s="53"/>
      <c r="NCG29" s="53"/>
      <c r="NCH29" s="53"/>
      <c r="NCI29" s="53"/>
      <c r="NCJ29" s="53"/>
      <c r="NCK29" s="53"/>
      <c r="NCL29" s="53"/>
      <c r="NCM29" s="212"/>
      <c r="NCN29" s="46"/>
      <c r="NCO29" s="53"/>
      <c r="NCP29" s="53"/>
      <c r="NCQ29" s="53"/>
      <c r="NCR29" s="53"/>
      <c r="NCS29" s="53"/>
      <c r="NCT29" s="53"/>
      <c r="NCU29" s="53"/>
      <c r="NCV29" s="53"/>
      <c r="NCW29" s="53"/>
      <c r="NCX29" s="53"/>
      <c r="NCY29" s="53"/>
      <c r="NCZ29" s="53"/>
      <c r="NDA29" s="53"/>
      <c r="NDB29" s="212"/>
      <c r="NDC29" s="46"/>
      <c r="NDD29" s="53"/>
      <c r="NDE29" s="53"/>
      <c r="NDF29" s="53"/>
      <c r="NDG29" s="53"/>
      <c r="NDH29" s="53"/>
      <c r="NDI29" s="53"/>
      <c r="NDJ29" s="53"/>
      <c r="NDK29" s="53"/>
      <c r="NDL29" s="53"/>
      <c r="NDM29" s="53"/>
      <c r="NDN29" s="53"/>
      <c r="NDO29" s="53"/>
      <c r="NDP29" s="53"/>
      <c r="NDQ29" s="212"/>
      <c r="NDR29" s="46"/>
      <c r="NDS29" s="53"/>
      <c r="NDT29" s="53"/>
      <c r="NDU29" s="53"/>
      <c r="NDV29" s="53"/>
      <c r="NDW29" s="53"/>
      <c r="NDX29" s="53"/>
      <c r="NDY29" s="53"/>
      <c r="NDZ29" s="53"/>
      <c r="NEA29" s="53"/>
      <c r="NEB29" s="53"/>
      <c r="NEC29" s="53"/>
      <c r="NED29" s="53"/>
      <c r="NEE29" s="53"/>
      <c r="NEF29" s="212"/>
      <c r="NEG29" s="46"/>
      <c r="NEH29" s="53"/>
      <c r="NEI29" s="53"/>
      <c r="NEJ29" s="53"/>
      <c r="NEK29" s="53"/>
      <c r="NEL29" s="53"/>
      <c r="NEM29" s="53"/>
      <c r="NEN29" s="53"/>
      <c r="NEO29" s="53"/>
      <c r="NEP29" s="53"/>
      <c r="NEQ29" s="53"/>
      <c r="NER29" s="53"/>
      <c r="NES29" s="53"/>
      <c r="NET29" s="53"/>
      <c r="NEU29" s="212"/>
      <c r="NEV29" s="46"/>
      <c r="NEW29" s="53"/>
      <c r="NEX29" s="53"/>
      <c r="NEY29" s="53"/>
      <c r="NEZ29" s="53"/>
      <c r="NFA29" s="53"/>
      <c r="NFB29" s="53"/>
      <c r="NFC29" s="53"/>
      <c r="NFD29" s="53"/>
      <c r="NFE29" s="53"/>
      <c r="NFF29" s="53"/>
      <c r="NFG29" s="53"/>
      <c r="NFH29" s="53"/>
      <c r="NFI29" s="53"/>
      <c r="NFJ29" s="212"/>
      <c r="NFK29" s="46"/>
      <c r="NFL29" s="53"/>
      <c r="NFM29" s="53"/>
      <c r="NFN29" s="53"/>
      <c r="NFO29" s="53"/>
      <c r="NFP29" s="53"/>
      <c r="NFQ29" s="53"/>
      <c r="NFR29" s="53"/>
      <c r="NFS29" s="53"/>
      <c r="NFT29" s="53"/>
      <c r="NFU29" s="53"/>
      <c r="NFV29" s="53"/>
      <c r="NFW29" s="53"/>
      <c r="NFX29" s="53"/>
      <c r="NFY29" s="212"/>
      <c r="NFZ29" s="46"/>
      <c r="NGA29" s="53"/>
      <c r="NGB29" s="53"/>
      <c r="NGC29" s="53"/>
      <c r="NGD29" s="53"/>
      <c r="NGE29" s="53"/>
      <c r="NGF29" s="53"/>
      <c r="NGG29" s="53"/>
      <c r="NGH29" s="53"/>
      <c r="NGI29" s="53"/>
      <c r="NGJ29" s="53"/>
      <c r="NGK29" s="53"/>
      <c r="NGL29" s="53"/>
      <c r="NGM29" s="53"/>
      <c r="NGN29" s="212"/>
      <c r="NGO29" s="46"/>
      <c r="NGP29" s="53"/>
      <c r="NGQ29" s="53"/>
      <c r="NGR29" s="53"/>
      <c r="NGS29" s="53"/>
      <c r="NGT29" s="53"/>
      <c r="NGU29" s="53"/>
      <c r="NGV29" s="53"/>
      <c r="NGW29" s="53"/>
      <c r="NGX29" s="53"/>
      <c r="NGY29" s="53"/>
      <c r="NGZ29" s="53"/>
      <c r="NHA29" s="53"/>
      <c r="NHB29" s="53"/>
      <c r="NHC29" s="212"/>
      <c r="NHD29" s="46"/>
      <c r="NHE29" s="53"/>
      <c r="NHF29" s="53"/>
      <c r="NHG29" s="53"/>
      <c r="NHH29" s="53"/>
      <c r="NHI29" s="53"/>
      <c r="NHJ29" s="53"/>
      <c r="NHK29" s="53"/>
      <c r="NHL29" s="53"/>
      <c r="NHM29" s="53"/>
      <c r="NHN29" s="53"/>
      <c r="NHO29" s="53"/>
      <c r="NHP29" s="53"/>
      <c r="NHQ29" s="53"/>
      <c r="NHR29" s="212"/>
      <c r="NHS29" s="46"/>
      <c r="NHT29" s="53"/>
      <c r="NHU29" s="53"/>
      <c r="NHV29" s="53"/>
      <c r="NHW29" s="53"/>
      <c r="NHX29" s="53"/>
      <c r="NHY29" s="53"/>
      <c r="NHZ29" s="53"/>
      <c r="NIA29" s="53"/>
      <c r="NIB29" s="53"/>
      <c r="NIC29" s="53"/>
      <c r="NID29" s="53"/>
      <c r="NIE29" s="53"/>
      <c r="NIF29" s="53"/>
      <c r="NIG29" s="212"/>
      <c r="NIH29" s="46"/>
      <c r="NII29" s="53"/>
      <c r="NIJ29" s="53"/>
      <c r="NIK29" s="53"/>
      <c r="NIL29" s="53"/>
      <c r="NIM29" s="53"/>
      <c r="NIN29" s="53"/>
      <c r="NIO29" s="53"/>
      <c r="NIP29" s="53"/>
      <c r="NIQ29" s="53"/>
      <c r="NIR29" s="53"/>
      <c r="NIS29" s="53"/>
      <c r="NIT29" s="53"/>
      <c r="NIU29" s="53"/>
      <c r="NIV29" s="212"/>
      <c r="NIW29" s="46"/>
      <c r="NIX29" s="53"/>
      <c r="NIY29" s="53"/>
      <c r="NIZ29" s="53"/>
      <c r="NJA29" s="53"/>
      <c r="NJB29" s="53"/>
      <c r="NJC29" s="53"/>
      <c r="NJD29" s="53"/>
      <c r="NJE29" s="53"/>
      <c r="NJF29" s="53"/>
      <c r="NJG29" s="53"/>
      <c r="NJH29" s="53"/>
      <c r="NJI29" s="53"/>
      <c r="NJJ29" s="53"/>
      <c r="NJK29" s="212"/>
      <c r="NJL29" s="46"/>
      <c r="NJM29" s="53"/>
      <c r="NJN29" s="53"/>
      <c r="NJO29" s="53"/>
      <c r="NJP29" s="53"/>
      <c r="NJQ29" s="53"/>
      <c r="NJR29" s="53"/>
      <c r="NJS29" s="53"/>
      <c r="NJT29" s="53"/>
      <c r="NJU29" s="53"/>
      <c r="NJV29" s="53"/>
      <c r="NJW29" s="53"/>
      <c r="NJX29" s="53"/>
      <c r="NJY29" s="53"/>
      <c r="NJZ29" s="212"/>
      <c r="NKA29" s="46"/>
      <c r="NKB29" s="53"/>
      <c r="NKC29" s="53"/>
      <c r="NKD29" s="53"/>
      <c r="NKE29" s="53"/>
      <c r="NKF29" s="53"/>
      <c r="NKG29" s="53"/>
      <c r="NKH29" s="53"/>
      <c r="NKI29" s="53"/>
      <c r="NKJ29" s="53"/>
      <c r="NKK29" s="53"/>
      <c r="NKL29" s="53"/>
      <c r="NKM29" s="53"/>
      <c r="NKN29" s="53"/>
      <c r="NKO29" s="212"/>
      <c r="NKP29" s="46"/>
      <c r="NKQ29" s="53"/>
      <c r="NKR29" s="53"/>
      <c r="NKS29" s="53"/>
      <c r="NKT29" s="53"/>
      <c r="NKU29" s="53"/>
      <c r="NKV29" s="53"/>
      <c r="NKW29" s="53"/>
      <c r="NKX29" s="53"/>
      <c r="NKY29" s="53"/>
      <c r="NKZ29" s="53"/>
      <c r="NLA29" s="53"/>
      <c r="NLB29" s="53"/>
      <c r="NLC29" s="53"/>
      <c r="NLD29" s="212"/>
      <c r="NLE29" s="46"/>
      <c r="NLF29" s="53"/>
      <c r="NLG29" s="53"/>
      <c r="NLH29" s="53"/>
      <c r="NLI29" s="53"/>
      <c r="NLJ29" s="53"/>
      <c r="NLK29" s="53"/>
      <c r="NLL29" s="53"/>
      <c r="NLM29" s="53"/>
      <c r="NLN29" s="53"/>
      <c r="NLO29" s="53"/>
      <c r="NLP29" s="53"/>
      <c r="NLQ29" s="53"/>
      <c r="NLR29" s="53"/>
      <c r="NLS29" s="212"/>
      <c r="NLT29" s="46"/>
      <c r="NLU29" s="53"/>
      <c r="NLV29" s="53"/>
      <c r="NLW29" s="53"/>
      <c r="NLX29" s="53"/>
      <c r="NLY29" s="53"/>
      <c r="NLZ29" s="53"/>
      <c r="NMA29" s="53"/>
      <c r="NMB29" s="53"/>
      <c r="NMC29" s="53"/>
      <c r="NMD29" s="53"/>
      <c r="NME29" s="53"/>
      <c r="NMF29" s="53"/>
      <c r="NMG29" s="53"/>
      <c r="NMH29" s="212"/>
      <c r="NMI29" s="46"/>
      <c r="NMJ29" s="53"/>
      <c r="NMK29" s="53"/>
      <c r="NML29" s="53"/>
      <c r="NMM29" s="53"/>
      <c r="NMN29" s="53"/>
      <c r="NMO29" s="53"/>
      <c r="NMP29" s="53"/>
      <c r="NMQ29" s="53"/>
      <c r="NMR29" s="53"/>
      <c r="NMS29" s="53"/>
      <c r="NMT29" s="53"/>
      <c r="NMU29" s="53"/>
      <c r="NMV29" s="53"/>
      <c r="NMW29" s="212"/>
      <c r="NMX29" s="46"/>
      <c r="NMY29" s="53"/>
      <c r="NMZ29" s="53"/>
      <c r="NNA29" s="53"/>
      <c r="NNB29" s="53"/>
      <c r="NNC29" s="53"/>
      <c r="NND29" s="53"/>
      <c r="NNE29" s="53"/>
      <c r="NNF29" s="53"/>
      <c r="NNG29" s="53"/>
      <c r="NNH29" s="53"/>
      <c r="NNI29" s="53"/>
      <c r="NNJ29" s="53"/>
      <c r="NNK29" s="53"/>
      <c r="NNL29" s="212"/>
      <c r="NNM29" s="46"/>
      <c r="NNN29" s="53"/>
      <c r="NNO29" s="53"/>
      <c r="NNP29" s="53"/>
      <c r="NNQ29" s="53"/>
      <c r="NNR29" s="53"/>
      <c r="NNS29" s="53"/>
      <c r="NNT29" s="53"/>
      <c r="NNU29" s="53"/>
      <c r="NNV29" s="53"/>
      <c r="NNW29" s="53"/>
      <c r="NNX29" s="53"/>
      <c r="NNY29" s="53"/>
      <c r="NNZ29" s="53"/>
      <c r="NOA29" s="212"/>
      <c r="NOB29" s="46"/>
      <c r="NOC29" s="53"/>
      <c r="NOD29" s="53"/>
      <c r="NOE29" s="53"/>
      <c r="NOF29" s="53"/>
      <c r="NOG29" s="53"/>
      <c r="NOH29" s="53"/>
      <c r="NOI29" s="53"/>
      <c r="NOJ29" s="53"/>
      <c r="NOK29" s="53"/>
      <c r="NOL29" s="53"/>
      <c r="NOM29" s="53"/>
      <c r="NON29" s="53"/>
      <c r="NOO29" s="53"/>
      <c r="NOP29" s="212"/>
      <c r="NOQ29" s="46"/>
      <c r="NOR29" s="53"/>
      <c r="NOS29" s="53"/>
      <c r="NOT29" s="53"/>
      <c r="NOU29" s="53"/>
      <c r="NOV29" s="53"/>
      <c r="NOW29" s="53"/>
      <c r="NOX29" s="53"/>
      <c r="NOY29" s="53"/>
      <c r="NOZ29" s="53"/>
      <c r="NPA29" s="53"/>
      <c r="NPB29" s="53"/>
      <c r="NPC29" s="53"/>
      <c r="NPD29" s="53"/>
      <c r="NPE29" s="212"/>
      <c r="NPF29" s="46"/>
      <c r="NPG29" s="53"/>
      <c r="NPH29" s="53"/>
      <c r="NPI29" s="53"/>
      <c r="NPJ29" s="53"/>
      <c r="NPK29" s="53"/>
      <c r="NPL29" s="53"/>
      <c r="NPM29" s="53"/>
      <c r="NPN29" s="53"/>
      <c r="NPO29" s="53"/>
      <c r="NPP29" s="53"/>
      <c r="NPQ29" s="53"/>
      <c r="NPR29" s="53"/>
      <c r="NPS29" s="53"/>
      <c r="NPT29" s="212"/>
      <c r="NPU29" s="46"/>
      <c r="NPV29" s="53"/>
      <c r="NPW29" s="53"/>
      <c r="NPX29" s="53"/>
      <c r="NPY29" s="53"/>
      <c r="NPZ29" s="53"/>
      <c r="NQA29" s="53"/>
      <c r="NQB29" s="53"/>
      <c r="NQC29" s="53"/>
      <c r="NQD29" s="53"/>
      <c r="NQE29" s="53"/>
      <c r="NQF29" s="53"/>
      <c r="NQG29" s="53"/>
      <c r="NQH29" s="53"/>
      <c r="NQI29" s="212"/>
      <c r="NQJ29" s="46"/>
      <c r="NQK29" s="53"/>
      <c r="NQL29" s="53"/>
      <c r="NQM29" s="53"/>
      <c r="NQN29" s="53"/>
      <c r="NQO29" s="53"/>
      <c r="NQP29" s="53"/>
      <c r="NQQ29" s="53"/>
      <c r="NQR29" s="53"/>
      <c r="NQS29" s="53"/>
      <c r="NQT29" s="53"/>
      <c r="NQU29" s="53"/>
      <c r="NQV29" s="53"/>
      <c r="NQW29" s="53"/>
      <c r="NQX29" s="212"/>
      <c r="NQY29" s="46"/>
      <c r="NQZ29" s="53"/>
      <c r="NRA29" s="53"/>
      <c r="NRB29" s="53"/>
      <c r="NRC29" s="53"/>
      <c r="NRD29" s="53"/>
      <c r="NRE29" s="53"/>
      <c r="NRF29" s="53"/>
      <c r="NRG29" s="53"/>
      <c r="NRH29" s="53"/>
      <c r="NRI29" s="53"/>
      <c r="NRJ29" s="53"/>
      <c r="NRK29" s="53"/>
      <c r="NRL29" s="53"/>
      <c r="NRM29" s="212"/>
      <c r="NRN29" s="46"/>
      <c r="NRO29" s="53"/>
      <c r="NRP29" s="53"/>
      <c r="NRQ29" s="53"/>
      <c r="NRR29" s="53"/>
      <c r="NRS29" s="53"/>
      <c r="NRT29" s="53"/>
      <c r="NRU29" s="53"/>
      <c r="NRV29" s="53"/>
      <c r="NRW29" s="53"/>
      <c r="NRX29" s="53"/>
      <c r="NRY29" s="53"/>
      <c r="NRZ29" s="53"/>
      <c r="NSA29" s="53"/>
      <c r="NSB29" s="212"/>
      <c r="NSC29" s="46"/>
      <c r="NSD29" s="53"/>
      <c r="NSE29" s="53"/>
      <c r="NSF29" s="53"/>
      <c r="NSG29" s="53"/>
      <c r="NSH29" s="53"/>
      <c r="NSI29" s="53"/>
      <c r="NSJ29" s="53"/>
      <c r="NSK29" s="53"/>
      <c r="NSL29" s="53"/>
      <c r="NSM29" s="53"/>
      <c r="NSN29" s="53"/>
      <c r="NSO29" s="53"/>
      <c r="NSP29" s="53"/>
      <c r="NSQ29" s="212"/>
      <c r="NSR29" s="46"/>
      <c r="NSS29" s="53"/>
      <c r="NST29" s="53"/>
      <c r="NSU29" s="53"/>
      <c r="NSV29" s="53"/>
      <c r="NSW29" s="53"/>
      <c r="NSX29" s="53"/>
      <c r="NSY29" s="53"/>
      <c r="NSZ29" s="53"/>
      <c r="NTA29" s="53"/>
      <c r="NTB29" s="53"/>
      <c r="NTC29" s="53"/>
      <c r="NTD29" s="53"/>
      <c r="NTE29" s="53"/>
      <c r="NTF29" s="212"/>
      <c r="NTG29" s="46"/>
      <c r="NTH29" s="53"/>
      <c r="NTI29" s="53"/>
      <c r="NTJ29" s="53"/>
      <c r="NTK29" s="53"/>
      <c r="NTL29" s="53"/>
      <c r="NTM29" s="53"/>
      <c r="NTN29" s="53"/>
      <c r="NTO29" s="53"/>
      <c r="NTP29" s="53"/>
      <c r="NTQ29" s="53"/>
      <c r="NTR29" s="53"/>
      <c r="NTS29" s="53"/>
      <c r="NTT29" s="53"/>
      <c r="NTU29" s="212"/>
      <c r="NTV29" s="46"/>
      <c r="NTW29" s="53"/>
      <c r="NTX29" s="53"/>
      <c r="NTY29" s="53"/>
      <c r="NTZ29" s="53"/>
      <c r="NUA29" s="53"/>
      <c r="NUB29" s="53"/>
      <c r="NUC29" s="53"/>
      <c r="NUD29" s="53"/>
      <c r="NUE29" s="53"/>
      <c r="NUF29" s="53"/>
      <c r="NUG29" s="53"/>
      <c r="NUH29" s="53"/>
      <c r="NUI29" s="53"/>
      <c r="NUJ29" s="212"/>
      <c r="NUK29" s="46"/>
      <c r="NUL29" s="53"/>
      <c r="NUM29" s="53"/>
      <c r="NUN29" s="53"/>
      <c r="NUO29" s="53"/>
      <c r="NUP29" s="53"/>
      <c r="NUQ29" s="53"/>
      <c r="NUR29" s="53"/>
      <c r="NUS29" s="53"/>
      <c r="NUT29" s="53"/>
      <c r="NUU29" s="53"/>
      <c r="NUV29" s="53"/>
      <c r="NUW29" s="53"/>
      <c r="NUX29" s="53"/>
      <c r="NUY29" s="212"/>
      <c r="NUZ29" s="46"/>
      <c r="NVA29" s="53"/>
      <c r="NVB29" s="53"/>
      <c r="NVC29" s="53"/>
      <c r="NVD29" s="53"/>
      <c r="NVE29" s="53"/>
      <c r="NVF29" s="53"/>
      <c r="NVG29" s="53"/>
      <c r="NVH29" s="53"/>
      <c r="NVI29" s="53"/>
      <c r="NVJ29" s="53"/>
      <c r="NVK29" s="53"/>
      <c r="NVL29" s="53"/>
      <c r="NVM29" s="53"/>
      <c r="NVN29" s="212"/>
      <c r="NVO29" s="46"/>
      <c r="NVP29" s="53"/>
      <c r="NVQ29" s="53"/>
      <c r="NVR29" s="53"/>
      <c r="NVS29" s="53"/>
      <c r="NVT29" s="53"/>
      <c r="NVU29" s="53"/>
      <c r="NVV29" s="53"/>
      <c r="NVW29" s="53"/>
      <c r="NVX29" s="53"/>
      <c r="NVY29" s="53"/>
      <c r="NVZ29" s="53"/>
      <c r="NWA29" s="53"/>
      <c r="NWB29" s="53"/>
      <c r="NWC29" s="212"/>
      <c r="NWD29" s="46"/>
      <c r="NWE29" s="53"/>
      <c r="NWF29" s="53"/>
      <c r="NWG29" s="53"/>
      <c r="NWH29" s="53"/>
      <c r="NWI29" s="53"/>
      <c r="NWJ29" s="53"/>
      <c r="NWK29" s="53"/>
      <c r="NWL29" s="53"/>
      <c r="NWM29" s="53"/>
      <c r="NWN29" s="53"/>
      <c r="NWO29" s="53"/>
      <c r="NWP29" s="53"/>
      <c r="NWQ29" s="53"/>
      <c r="NWR29" s="212"/>
      <c r="NWS29" s="46"/>
      <c r="NWT29" s="53"/>
      <c r="NWU29" s="53"/>
      <c r="NWV29" s="53"/>
      <c r="NWW29" s="53"/>
      <c r="NWX29" s="53"/>
      <c r="NWY29" s="53"/>
      <c r="NWZ29" s="53"/>
      <c r="NXA29" s="53"/>
      <c r="NXB29" s="53"/>
      <c r="NXC29" s="53"/>
      <c r="NXD29" s="53"/>
      <c r="NXE29" s="53"/>
      <c r="NXF29" s="53"/>
      <c r="NXG29" s="212"/>
      <c r="NXH29" s="46"/>
      <c r="NXI29" s="53"/>
      <c r="NXJ29" s="53"/>
      <c r="NXK29" s="53"/>
      <c r="NXL29" s="53"/>
      <c r="NXM29" s="53"/>
      <c r="NXN29" s="53"/>
      <c r="NXO29" s="53"/>
      <c r="NXP29" s="53"/>
      <c r="NXQ29" s="53"/>
      <c r="NXR29" s="53"/>
      <c r="NXS29" s="53"/>
      <c r="NXT29" s="53"/>
      <c r="NXU29" s="53"/>
      <c r="NXV29" s="212"/>
      <c r="NXW29" s="46"/>
      <c r="NXX29" s="53"/>
      <c r="NXY29" s="53"/>
      <c r="NXZ29" s="53"/>
      <c r="NYA29" s="53"/>
      <c r="NYB29" s="53"/>
      <c r="NYC29" s="53"/>
      <c r="NYD29" s="53"/>
      <c r="NYE29" s="53"/>
      <c r="NYF29" s="53"/>
      <c r="NYG29" s="53"/>
      <c r="NYH29" s="53"/>
      <c r="NYI29" s="53"/>
      <c r="NYJ29" s="53"/>
      <c r="NYK29" s="212"/>
      <c r="NYL29" s="46"/>
      <c r="NYM29" s="53"/>
      <c r="NYN29" s="53"/>
      <c r="NYO29" s="53"/>
      <c r="NYP29" s="53"/>
      <c r="NYQ29" s="53"/>
      <c r="NYR29" s="53"/>
      <c r="NYS29" s="53"/>
      <c r="NYT29" s="53"/>
      <c r="NYU29" s="53"/>
      <c r="NYV29" s="53"/>
      <c r="NYW29" s="53"/>
      <c r="NYX29" s="53"/>
      <c r="NYY29" s="53"/>
      <c r="NYZ29" s="212"/>
      <c r="NZA29" s="46"/>
      <c r="NZB29" s="53"/>
      <c r="NZC29" s="53"/>
      <c r="NZD29" s="53"/>
      <c r="NZE29" s="53"/>
      <c r="NZF29" s="53"/>
      <c r="NZG29" s="53"/>
      <c r="NZH29" s="53"/>
      <c r="NZI29" s="53"/>
      <c r="NZJ29" s="53"/>
      <c r="NZK29" s="53"/>
      <c r="NZL29" s="53"/>
      <c r="NZM29" s="53"/>
      <c r="NZN29" s="53"/>
      <c r="NZO29" s="212"/>
      <c r="NZP29" s="46"/>
      <c r="NZQ29" s="53"/>
      <c r="NZR29" s="53"/>
      <c r="NZS29" s="53"/>
      <c r="NZT29" s="53"/>
      <c r="NZU29" s="53"/>
      <c r="NZV29" s="53"/>
      <c r="NZW29" s="53"/>
      <c r="NZX29" s="53"/>
      <c r="NZY29" s="53"/>
      <c r="NZZ29" s="53"/>
      <c r="OAA29" s="53"/>
      <c r="OAB29" s="53"/>
      <c r="OAC29" s="53"/>
      <c r="OAD29" s="212"/>
      <c r="OAE29" s="46"/>
      <c r="OAF29" s="53"/>
      <c r="OAG29" s="53"/>
      <c r="OAH29" s="53"/>
      <c r="OAI29" s="53"/>
      <c r="OAJ29" s="53"/>
      <c r="OAK29" s="53"/>
      <c r="OAL29" s="53"/>
      <c r="OAM29" s="53"/>
      <c r="OAN29" s="53"/>
      <c r="OAO29" s="53"/>
      <c r="OAP29" s="53"/>
      <c r="OAQ29" s="53"/>
      <c r="OAR29" s="53"/>
      <c r="OAS29" s="212"/>
      <c r="OAT29" s="46"/>
      <c r="OAU29" s="53"/>
      <c r="OAV29" s="53"/>
      <c r="OAW29" s="53"/>
      <c r="OAX29" s="53"/>
      <c r="OAY29" s="53"/>
      <c r="OAZ29" s="53"/>
      <c r="OBA29" s="53"/>
      <c r="OBB29" s="53"/>
      <c r="OBC29" s="53"/>
      <c r="OBD29" s="53"/>
      <c r="OBE29" s="53"/>
      <c r="OBF29" s="53"/>
      <c r="OBG29" s="53"/>
      <c r="OBH29" s="212"/>
      <c r="OBI29" s="46"/>
      <c r="OBJ29" s="53"/>
      <c r="OBK29" s="53"/>
      <c r="OBL29" s="53"/>
      <c r="OBM29" s="53"/>
      <c r="OBN29" s="53"/>
      <c r="OBO29" s="53"/>
      <c r="OBP29" s="53"/>
      <c r="OBQ29" s="53"/>
      <c r="OBR29" s="53"/>
      <c r="OBS29" s="53"/>
      <c r="OBT29" s="53"/>
      <c r="OBU29" s="53"/>
      <c r="OBV29" s="53"/>
      <c r="OBW29" s="212"/>
      <c r="OBX29" s="46"/>
      <c r="OBY29" s="53"/>
      <c r="OBZ29" s="53"/>
      <c r="OCA29" s="53"/>
      <c r="OCB29" s="53"/>
      <c r="OCC29" s="53"/>
      <c r="OCD29" s="53"/>
      <c r="OCE29" s="53"/>
      <c r="OCF29" s="53"/>
      <c r="OCG29" s="53"/>
      <c r="OCH29" s="53"/>
      <c r="OCI29" s="53"/>
      <c r="OCJ29" s="53"/>
      <c r="OCK29" s="53"/>
      <c r="OCL29" s="212"/>
      <c r="OCM29" s="46"/>
      <c r="OCN29" s="53"/>
      <c r="OCO29" s="53"/>
      <c r="OCP29" s="53"/>
      <c r="OCQ29" s="53"/>
      <c r="OCR29" s="53"/>
      <c r="OCS29" s="53"/>
      <c r="OCT29" s="53"/>
      <c r="OCU29" s="53"/>
      <c r="OCV29" s="53"/>
      <c r="OCW29" s="53"/>
      <c r="OCX29" s="53"/>
      <c r="OCY29" s="53"/>
      <c r="OCZ29" s="53"/>
      <c r="ODA29" s="212"/>
      <c r="ODB29" s="46"/>
      <c r="ODC29" s="53"/>
      <c r="ODD29" s="53"/>
      <c r="ODE29" s="53"/>
      <c r="ODF29" s="53"/>
      <c r="ODG29" s="53"/>
      <c r="ODH29" s="53"/>
      <c r="ODI29" s="53"/>
      <c r="ODJ29" s="53"/>
      <c r="ODK29" s="53"/>
      <c r="ODL29" s="53"/>
      <c r="ODM29" s="53"/>
      <c r="ODN29" s="53"/>
      <c r="ODO29" s="53"/>
      <c r="ODP29" s="212"/>
      <c r="ODQ29" s="46"/>
      <c r="ODR29" s="53"/>
      <c r="ODS29" s="53"/>
      <c r="ODT29" s="53"/>
      <c r="ODU29" s="53"/>
      <c r="ODV29" s="53"/>
      <c r="ODW29" s="53"/>
      <c r="ODX29" s="53"/>
      <c r="ODY29" s="53"/>
      <c r="ODZ29" s="53"/>
      <c r="OEA29" s="53"/>
      <c r="OEB29" s="53"/>
      <c r="OEC29" s="53"/>
      <c r="OED29" s="53"/>
      <c r="OEE29" s="212"/>
      <c r="OEF29" s="46"/>
      <c r="OEG29" s="53"/>
      <c r="OEH29" s="53"/>
      <c r="OEI29" s="53"/>
      <c r="OEJ29" s="53"/>
      <c r="OEK29" s="53"/>
      <c r="OEL29" s="53"/>
      <c r="OEM29" s="53"/>
      <c r="OEN29" s="53"/>
      <c r="OEO29" s="53"/>
      <c r="OEP29" s="53"/>
      <c r="OEQ29" s="53"/>
      <c r="OER29" s="53"/>
      <c r="OES29" s="53"/>
      <c r="OET29" s="212"/>
      <c r="OEU29" s="46"/>
      <c r="OEV29" s="53"/>
      <c r="OEW29" s="53"/>
      <c r="OEX29" s="53"/>
      <c r="OEY29" s="53"/>
      <c r="OEZ29" s="53"/>
      <c r="OFA29" s="53"/>
      <c r="OFB29" s="53"/>
      <c r="OFC29" s="53"/>
      <c r="OFD29" s="53"/>
      <c r="OFE29" s="53"/>
      <c r="OFF29" s="53"/>
      <c r="OFG29" s="53"/>
      <c r="OFH29" s="53"/>
      <c r="OFI29" s="212"/>
      <c r="OFJ29" s="46"/>
      <c r="OFK29" s="53"/>
      <c r="OFL29" s="53"/>
      <c r="OFM29" s="53"/>
      <c r="OFN29" s="53"/>
      <c r="OFO29" s="53"/>
      <c r="OFP29" s="53"/>
      <c r="OFQ29" s="53"/>
      <c r="OFR29" s="53"/>
      <c r="OFS29" s="53"/>
      <c r="OFT29" s="53"/>
      <c r="OFU29" s="53"/>
      <c r="OFV29" s="53"/>
      <c r="OFW29" s="53"/>
      <c r="OFX29" s="212"/>
      <c r="OFY29" s="46"/>
      <c r="OFZ29" s="53"/>
      <c r="OGA29" s="53"/>
      <c r="OGB29" s="53"/>
      <c r="OGC29" s="53"/>
      <c r="OGD29" s="53"/>
      <c r="OGE29" s="53"/>
      <c r="OGF29" s="53"/>
      <c r="OGG29" s="53"/>
      <c r="OGH29" s="53"/>
      <c r="OGI29" s="53"/>
      <c r="OGJ29" s="53"/>
      <c r="OGK29" s="53"/>
      <c r="OGL29" s="53"/>
      <c r="OGM29" s="212"/>
      <c r="OGN29" s="46"/>
      <c r="OGO29" s="53"/>
      <c r="OGP29" s="53"/>
      <c r="OGQ29" s="53"/>
      <c r="OGR29" s="53"/>
      <c r="OGS29" s="53"/>
      <c r="OGT29" s="53"/>
      <c r="OGU29" s="53"/>
      <c r="OGV29" s="53"/>
      <c r="OGW29" s="53"/>
      <c r="OGX29" s="53"/>
      <c r="OGY29" s="53"/>
      <c r="OGZ29" s="53"/>
      <c r="OHA29" s="53"/>
      <c r="OHB29" s="212"/>
      <c r="OHC29" s="46"/>
      <c r="OHD29" s="53"/>
      <c r="OHE29" s="53"/>
      <c r="OHF29" s="53"/>
      <c r="OHG29" s="53"/>
      <c r="OHH29" s="53"/>
      <c r="OHI29" s="53"/>
      <c r="OHJ29" s="53"/>
      <c r="OHK29" s="53"/>
      <c r="OHL29" s="53"/>
      <c r="OHM29" s="53"/>
      <c r="OHN29" s="53"/>
      <c r="OHO29" s="53"/>
      <c r="OHP29" s="53"/>
      <c r="OHQ29" s="212"/>
      <c r="OHR29" s="46"/>
      <c r="OHS29" s="53"/>
      <c r="OHT29" s="53"/>
      <c r="OHU29" s="53"/>
      <c r="OHV29" s="53"/>
      <c r="OHW29" s="53"/>
      <c r="OHX29" s="53"/>
      <c r="OHY29" s="53"/>
      <c r="OHZ29" s="53"/>
      <c r="OIA29" s="53"/>
      <c r="OIB29" s="53"/>
      <c r="OIC29" s="53"/>
      <c r="OID29" s="53"/>
      <c r="OIE29" s="53"/>
      <c r="OIF29" s="212"/>
      <c r="OIG29" s="46"/>
      <c r="OIH29" s="53"/>
      <c r="OII29" s="53"/>
      <c r="OIJ29" s="53"/>
      <c r="OIK29" s="53"/>
      <c r="OIL29" s="53"/>
      <c r="OIM29" s="53"/>
      <c r="OIN29" s="53"/>
      <c r="OIO29" s="53"/>
      <c r="OIP29" s="53"/>
      <c r="OIQ29" s="53"/>
      <c r="OIR29" s="53"/>
      <c r="OIS29" s="53"/>
      <c r="OIT29" s="53"/>
      <c r="OIU29" s="212"/>
      <c r="OIV29" s="46"/>
      <c r="OIW29" s="53"/>
      <c r="OIX29" s="53"/>
      <c r="OIY29" s="53"/>
      <c r="OIZ29" s="53"/>
      <c r="OJA29" s="53"/>
      <c r="OJB29" s="53"/>
      <c r="OJC29" s="53"/>
      <c r="OJD29" s="53"/>
      <c r="OJE29" s="53"/>
      <c r="OJF29" s="53"/>
      <c r="OJG29" s="53"/>
      <c r="OJH29" s="53"/>
      <c r="OJI29" s="53"/>
      <c r="OJJ29" s="212"/>
      <c r="OJK29" s="46"/>
      <c r="OJL29" s="53"/>
      <c r="OJM29" s="53"/>
      <c r="OJN29" s="53"/>
      <c r="OJO29" s="53"/>
      <c r="OJP29" s="53"/>
      <c r="OJQ29" s="53"/>
      <c r="OJR29" s="53"/>
      <c r="OJS29" s="53"/>
      <c r="OJT29" s="53"/>
      <c r="OJU29" s="53"/>
      <c r="OJV29" s="53"/>
      <c r="OJW29" s="53"/>
      <c r="OJX29" s="53"/>
      <c r="OJY29" s="212"/>
      <c r="OJZ29" s="46"/>
      <c r="OKA29" s="53"/>
      <c r="OKB29" s="53"/>
      <c r="OKC29" s="53"/>
      <c r="OKD29" s="53"/>
      <c r="OKE29" s="53"/>
      <c r="OKF29" s="53"/>
      <c r="OKG29" s="53"/>
      <c r="OKH29" s="53"/>
      <c r="OKI29" s="53"/>
      <c r="OKJ29" s="53"/>
      <c r="OKK29" s="53"/>
      <c r="OKL29" s="53"/>
      <c r="OKM29" s="53"/>
      <c r="OKN29" s="212"/>
      <c r="OKO29" s="46"/>
      <c r="OKP29" s="53"/>
      <c r="OKQ29" s="53"/>
      <c r="OKR29" s="53"/>
      <c r="OKS29" s="53"/>
      <c r="OKT29" s="53"/>
      <c r="OKU29" s="53"/>
      <c r="OKV29" s="53"/>
      <c r="OKW29" s="53"/>
      <c r="OKX29" s="53"/>
      <c r="OKY29" s="53"/>
      <c r="OKZ29" s="53"/>
      <c r="OLA29" s="53"/>
      <c r="OLB29" s="53"/>
      <c r="OLC29" s="212"/>
      <c r="OLD29" s="46"/>
      <c r="OLE29" s="53"/>
      <c r="OLF29" s="53"/>
      <c r="OLG29" s="53"/>
      <c r="OLH29" s="53"/>
      <c r="OLI29" s="53"/>
      <c r="OLJ29" s="53"/>
      <c r="OLK29" s="53"/>
      <c r="OLL29" s="53"/>
      <c r="OLM29" s="53"/>
      <c r="OLN29" s="53"/>
      <c r="OLO29" s="53"/>
      <c r="OLP29" s="53"/>
      <c r="OLQ29" s="53"/>
      <c r="OLR29" s="212"/>
      <c r="OLS29" s="46"/>
      <c r="OLT29" s="53"/>
      <c r="OLU29" s="53"/>
      <c r="OLV29" s="53"/>
      <c r="OLW29" s="53"/>
      <c r="OLX29" s="53"/>
      <c r="OLY29" s="53"/>
      <c r="OLZ29" s="53"/>
      <c r="OMA29" s="53"/>
      <c r="OMB29" s="53"/>
      <c r="OMC29" s="53"/>
      <c r="OMD29" s="53"/>
      <c r="OME29" s="53"/>
      <c r="OMF29" s="53"/>
      <c r="OMG29" s="212"/>
      <c r="OMH29" s="46"/>
      <c r="OMI29" s="53"/>
      <c r="OMJ29" s="53"/>
      <c r="OMK29" s="53"/>
      <c r="OML29" s="53"/>
      <c r="OMM29" s="53"/>
      <c r="OMN29" s="53"/>
      <c r="OMO29" s="53"/>
      <c r="OMP29" s="53"/>
      <c r="OMQ29" s="53"/>
      <c r="OMR29" s="53"/>
      <c r="OMS29" s="53"/>
      <c r="OMT29" s="53"/>
      <c r="OMU29" s="53"/>
      <c r="OMV29" s="212"/>
      <c r="OMW29" s="46"/>
      <c r="OMX29" s="53"/>
      <c r="OMY29" s="53"/>
      <c r="OMZ29" s="53"/>
      <c r="ONA29" s="53"/>
      <c r="ONB29" s="53"/>
      <c r="ONC29" s="53"/>
      <c r="OND29" s="53"/>
      <c r="ONE29" s="53"/>
      <c r="ONF29" s="53"/>
      <c r="ONG29" s="53"/>
      <c r="ONH29" s="53"/>
      <c r="ONI29" s="53"/>
      <c r="ONJ29" s="53"/>
      <c r="ONK29" s="212"/>
      <c r="ONL29" s="46"/>
      <c r="ONM29" s="53"/>
      <c r="ONN29" s="53"/>
      <c r="ONO29" s="53"/>
      <c r="ONP29" s="53"/>
      <c r="ONQ29" s="53"/>
      <c r="ONR29" s="53"/>
      <c r="ONS29" s="53"/>
      <c r="ONT29" s="53"/>
      <c r="ONU29" s="53"/>
      <c r="ONV29" s="53"/>
      <c r="ONW29" s="53"/>
      <c r="ONX29" s="53"/>
      <c r="ONY29" s="53"/>
      <c r="ONZ29" s="212"/>
      <c r="OOA29" s="46"/>
      <c r="OOB29" s="53"/>
      <c r="OOC29" s="53"/>
      <c r="OOD29" s="53"/>
      <c r="OOE29" s="53"/>
      <c r="OOF29" s="53"/>
      <c r="OOG29" s="53"/>
      <c r="OOH29" s="53"/>
      <c r="OOI29" s="53"/>
      <c r="OOJ29" s="53"/>
      <c r="OOK29" s="53"/>
      <c r="OOL29" s="53"/>
      <c r="OOM29" s="53"/>
      <c r="OON29" s="53"/>
      <c r="OOO29" s="212"/>
      <c r="OOP29" s="46"/>
      <c r="OOQ29" s="53"/>
      <c r="OOR29" s="53"/>
      <c r="OOS29" s="53"/>
      <c r="OOT29" s="53"/>
      <c r="OOU29" s="53"/>
      <c r="OOV29" s="53"/>
      <c r="OOW29" s="53"/>
      <c r="OOX29" s="53"/>
      <c r="OOY29" s="53"/>
      <c r="OOZ29" s="53"/>
      <c r="OPA29" s="53"/>
      <c r="OPB29" s="53"/>
      <c r="OPC29" s="53"/>
      <c r="OPD29" s="212"/>
      <c r="OPE29" s="46"/>
      <c r="OPF29" s="53"/>
      <c r="OPG29" s="53"/>
      <c r="OPH29" s="53"/>
      <c r="OPI29" s="53"/>
      <c r="OPJ29" s="53"/>
      <c r="OPK29" s="53"/>
      <c r="OPL29" s="53"/>
      <c r="OPM29" s="53"/>
      <c r="OPN29" s="53"/>
      <c r="OPO29" s="53"/>
      <c r="OPP29" s="53"/>
      <c r="OPQ29" s="53"/>
      <c r="OPR29" s="53"/>
      <c r="OPS29" s="212"/>
      <c r="OPT29" s="46"/>
      <c r="OPU29" s="53"/>
      <c r="OPV29" s="53"/>
      <c r="OPW29" s="53"/>
      <c r="OPX29" s="53"/>
      <c r="OPY29" s="53"/>
      <c r="OPZ29" s="53"/>
      <c r="OQA29" s="53"/>
      <c r="OQB29" s="53"/>
      <c r="OQC29" s="53"/>
      <c r="OQD29" s="53"/>
      <c r="OQE29" s="53"/>
      <c r="OQF29" s="53"/>
      <c r="OQG29" s="53"/>
      <c r="OQH29" s="212"/>
      <c r="OQI29" s="46"/>
      <c r="OQJ29" s="53"/>
      <c r="OQK29" s="53"/>
      <c r="OQL29" s="53"/>
      <c r="OQM29" s="53"/>
      <c r="OQN29" s="53"/>
      <c r="OQO29" s="53"/>
      <c r="OQP29" s="53"/>
      <c r="OQQ29" s="53"/>
      <c r="OQR29" s="53"/>
      <c r="OQS29" s="53"/>
      <c r="OQT29" s="53"/>
      <c r="OQU29" s="53"/>
      <c r="OQV29" s="53"/>
      <c r="OQW29" s="212"/>
      <c r="OQX29" s="46"/>
      <c r="OQY29" s="53"/>
      <c r="OQZ29" s="53"/>
      <c r="ORA29" s="53"/>
      <c r="ORB29" s="53"/>
      <c r="ORC29" s="53"/>
      <c r="ORD29" s="53"/>
      <c r="ORE29" s="53"/>
      <c r="ORF29" s="53"/>
      <c r="ORG29" s="53"/>
      <c r="ORH29" s="53"/>
      <c r="ORI29" s="53"/>
      <c r="ORJ29" s="53"/>
      <c r="ORK29" s="53"/>
      <c r="ORL29" s="212"/>
      <c r="ORM29" s="46"/>
      <c r="ORN29" s="53"/>
      <c r="ORO29" s="53"/>
      <c r="ORP29" s="53"/>
      <c r="ORQ29" s="53"/>
      <c r="ORR29" s="53"/>
      <c r="ORS29" s="53"/>
      <c r="ORT29" s="53"/>
      <c r="ORU29" s="53"/>
      <c r="ORV29" s="53"/>
      <c r="ORW29" s="53"/>
      <c r="ORX29" s="53"/>
      <c r="ORY29" s="53"/>
      <c r="ORZ29" s="53"/>
      <c r="OSA29" s="212"/>
      <c r="OSB29" s="46"/>
      <c r="OSC29" s="53"/>
      <c r="OSD29" s="53"/>
      <c r="OSE29" s="53"/>
      <c r="OSF29" s="53"/>
      <c r="OSG29" s="53"/>
      <c r="OSH29" s="53"/>
      <c r="OSI29" s="53"/>
      <c r="OSJ29" s="53"/>
      <c r="OSK29" s="53"/>
      <c r="OSL29" s="53"/>
      <c r="OSM29" s="53"/>
      <c r="OSN29" s="53"/>
      <c r="OSO29" s="53"/>
      <c r="OSP29" s="212"/>
      <c r="OSQ29" s="46"/>
      <c r="OSR29" s="53"/>
      <c r="OSS29" s="53"/>
      <c r="OST29" s="53"/>
      <c r="OSU29" s="53"/>
      <c r="OSV29" s="53"/>
      <c r="OSW29" s="53"/>
      <c r="OSX29" s="53"/>
      <c r="OSY29" s="53"/>
      <c r="OSZ29" s="53"/>
      <c r="OTA29" s="53"/>
      <c r="OTB29" s="53"/>
      <c r="OTC29" s="53"/>
      <c r="OTD29" s="53"/>
      <c r="OTE29" s="212"/>
      <c r="OTF29" s="46"/>
      <c r="OTG29" s="53"/>
      <c r="OTH29" s="53"/>
      <c r="OTI29" s="53"/>
      <c r="OTJ29" s="53"/>
      <c r="OTK29" s="53"/>
      <c r="OTL29" s="53"/>
      <c r="OTM29" s="53"/>
      <c r="OTN29" s="53"/>
      <c r="OTO29" s="53"/>
      <c r="OTP29" s="53"/>
      <c r="OTQ29" s="53"/>
      <c r="OTR29" s="53"/>
      <c r="OTS29" s="53"/>
      <c r="OTT29" s="212"/>
      <c r="OTU29" s="46"/>
      <c r="OTV29" s="53"/>
      <c r="OTW29" s="53"/>
      <c r="OTX29" s="53"/>
      <c r="OTY29" s="53"/>
      <c r="OTZ29" s="53"/>
      <c r="OUA29" s="53"/>
      <c r="OUB29" s="53"/>
      <c r="OUC29" s="53"/>
      <c r="OUD29" s="53"/>
      <c r="OUE29" s="53"/>
      <c r="OUF29" s="53"/>
      <c r="OUG29" s="53"/>
      <c r="OUH29" s="53"/>
      <c r="OUI29" s="212"/>
      <c r="OUJ29" s="46"/>
      <c r="OUK29" s="53"/>
      <c r="OUL29" s="53"/>
      <c r="OUM29" s="53"/>
      <c r="OUN29" s="53"/>
      <c r="OUO29" s="53"/>
      <c r="OUP29" s="53"/>
      <c r="OUQ29" s="53"/>
      <c r="OUR29" s="53"/>
      <c r="OUS29" s="53"/>
      <c r="OUT29" s="53"/>
      <c r="OUU29" s="53"/>
      <c r="OUV29" s="53"/>
      <c r="OUW29" s="53"/>
      <c r="OUX29" s="212"/>
      <c r="OUY29" s="46"/>
      <c r="OUZ29" s="53"/>
      <c r="OVA29" s="53"/>
      <c r="OVB29" s="53"/>
      <c r="OVC29" s="53"/>
      <c r="OVD29" s="53"/>
      <c r="OVE29" s="53"/>
      <c r="OVF29" s="53"/>
      <c r="OVG29" s="53"/>
      <c r="OVH29" s="53"/>
      <c r="OVI29" s="53"/>
      <c r="OVJ29" s="53"/>
      <c r="OVK29" s="53"/>
      <c r="OVL29" s="53"/>
      <c r="OVM29" s="212"/>
      <c r="OVN29" s="46"/>
      <c r="OVO29" s="53"/>
      <c r="OVP29" s="53"/>
      <c r="OVQ29" s="53"/>
      <c r="OVR29" s="53"/>
      <c r="OVS29" s="53"/>
      <c r="OVT29" s="53"/>
      <c r="OVU29" s="53"/>
      <c r="OVV29" s="53"/>
      <c r="OVW29" s="53"/>
      <c r="OVX29" s="53"/>
      <c r="OVY29" s="53"/>
      <c r="OVZ29" s="53"/>
      <c r="OWA29" s="53"/>
      <c r="OWB29" s="212"/>
      <c r="OWC29" s="46"/>
      <c r="OWD29" s="53"/>
      <c r="OWE29" s="53"/>
      <c r="OWF29" s="53"/>
      <c r="OWG29" s="53"/>
      <c r="OWH29" s="53"/>
      <c r="OWI29" s="53"/>
      <c r="OWJ29" s="53"/>
      <c r="OWK29" s="53"/>
      <c r="OWL29" s="53"/>
      <c r="OWM29" s="53"/>
      <c r="OWN29" s="53"/>
      <c r="OWO29" s="53"/>
      <c r="OWP29" s="53"/>
      <c r="OWQ29" s="212"/>
      <c r="OWR29" s="46"/>
      <c r="OWS29" s="53"/>
      <c r="OWT29" s="53"/>
      <c r="OWU29" s="53"/>
      <c r="OWV29" s="53"/>
      <c r="OWW29" s="53"/>
      <c r="OWX29" s="53"/>
      <c r="OWY29" s="53"/>
      <c r="OWZ29" s="53"/>
      <c r="OXA29" s="53"/>
      <c r="OXB29" s="53"/>
      <c r="OXC29" s="53"/>
      <c r="OXD29" s="53"/>
      <c r="OXE29" s="53"/>
      <c r="OXF29" s="212"/>
      <c r="OXG29" s="46"/>
      <c r="OXH29" s="53"/>
      <c r="OXI29" s="53"/>
      <c r="OXJ29" s="53"/>
      <c r="OXK29" s="53"/>
      <c r="OXL29" s="53"/>
      <c r="OXM29" s="53"/>
      <c r="OXN29" s="53"/>
      <c r="OXO29" s="53"/>
      <c r="OXP29" s="53"/>
      <c r="OXQ29" s="53"/>
      <c r="OXR29" s="53"/>
      <c r="OXS29" s="53"/>
      <c r="OXT29" s="53"/>
      <c r="OXU29" s="212"/>
      <c r="OXV29" s="46"/>
      <c r="OXW29" s="53"/>
      <c r="OXX29" s="53"/>
      <c r="OXY29" s="53"/>
      <c r="OXZ29" s="53"/>
      <c r="OYA29" s="53"/>
      <c r="OYB29" s="53"/>
      <c r="OYC29" s="53"/>
      <c r="OYD29" s="53"/>
      <c r="OYE29" s="53"/>
      <c r="OYF29" s="53"/>
      <c r="OYG29" s="53"/>
      <c r="OYH29" s="53"/>
      <c r="OYI29" s="53"/>
      <c r="OYJ29" s="212"/>
      <c r="OYK29" s="46"/>
      <c r="OYL29" s="53"/>
      <c r="OYM29" s="53"/>
      <c r="OYN29" s="53"/>
      <c r="OYO29" s="53"/>
      <c r="OYP29" s="53"/>
      <c r="OYQ29" s="53"/>
      <c r="OYR29" s="53"/>
      <c r="OYS29" s="53"/>
      <c r="OYT29" s="53"/>
      <c r="OYU29" s="53"/>
      <c r="OYV29" s="53"/>
      <c r="OYW29" s="53"/>
      <c r="OYX29" s="53"/>
      <c r="OYY29" s="212"/>
      <c r="OYZ29" s="46"/>
      <c r="OZA29" s="53"/>
      <c r="OZB29" s="53"/>
      <c r="OZC29" s="53"/>
      <c r="OZD29" s="53"/>
      <c r="OZE29" s="53"/>
      <c r="OZF29" s="53"/>
      <c r="OZG29" s="53"/>
      <c r="OZH29" s="53"/>
      <c r="OZI29" s="53"/>
      <c r="OZJ29" s="53"/>
      <c r="OZK29" s="53"/>
      <c r="OZL29" s="53"/>
      <c r="OZM29" s="53"/>
      <c r="OZN29" s="212"/>
      <c r="OZO29" s="46"/>
      <c r="OZP29" s="53"/>
      <c r="OZQ29" s="53"/>
      <c r="OZR29" s="53"/>
      <c r="OZS29" s="53"/>
      <c r="OZT29" s="53"/>
      <c r="OZU29" s="53"/>
      <c r="OZV29" s="53"/>
      <c r="OZW29" s="53"/>
      <c r="OZX29" s="53"/>
      <c r="OZY29" s="53"/>
      <c r="OZZ29" s="53"/>
      <c r="PAA29" s="53"/>
      <c r="PAB29" s="53"/>
      <c r="PAC29" s="212"/>
      <c r="PAD29" s="46"/>
      <c r="PAE29" s="53"/>
      <c r="PAF29" s="53"/>
      <c r="PAG29" s="53"/>
      <c r="PAH29" s="53"/>
      <c r="PAI29" s="53"/>
      <c r="PAJ29" s="53"/>
      <c r="PAK29" s="53"/>
      <c r="PAL29" s="53"/>
      <c r="PAM29" s="53"/>
      <c r="PAN29" s="53"/>
      <c r="PAO29" s="53"/>
      <c r="PAP29" s="53"/>
      <c r="PAQ29" s="53"/>
      <c r="PAR29" s="212"/>
      <c r="PAS29" s="46"/>
      <c r="PAT29" s="53"/>
      <c r="PAU29" s="53"/>
      <c r="PAV29" s="53"/>
      <c r="PAW29" s="53"/>
      <c r="PAX29" s="53"/>
      <c r="PAY29" s="53"/>
      <c r="PAZ29" s="53"/>
      <c r="PBA29" s="53"/>
      <c r="PBB29" s="53"/>
      <c r="PBC29" s="53"/>
      <c r="PBD29" s="53"/>
      <c r="PBE29" s="53"/>
      <c r="PBF29" s="53"/>
      <c r="PBG29" s="212"/>
      <c r="PBH29" s="46"/>
      <c r="PBI29" s="53"/>
      <c r="PBJ29" s="53"/>
      <c r="PBK29" s="53"/>
      <c r="PBL29" s="53"/>
      <c r="PBM29" s="53"/>
      <c r="PBN29" s="53"/>
      <c r="PBO29" s="53"/>
      <c r="PBP29" s="53"/>
      <c r="PBQ29" s="53"/>
      <c r="PBR29" s="53"/>
      <c r="PBS29" s="53"/>
      <c r="PBT29" s="53"/>
      <c r="PBU29" s="53"/>
      <c r="PBV29" s="212"/>
      <c r="PBW29" s="46"/>
      <c r="PBX29" s="53"/>
      <c r="PBY29" s="53"/>
      <c r="PBZ29" s="53"/>
      <c r="PCA29" s="53"/>
      <c r="PCB29" s="53"/>
      <c r="PCC29" s="53"/>
      <c r="PCD29" s="53"/>
      <c r="PCE29" s="53"/>
      <c r="PCF29" s="53"/>
      <c r="PCG29" s="53"/>
      <c r="PCH29" s="53"/>
      <c r="PCI29" s="53"/>
      <c r="PCJ29" s="53"/>
      <c r="PCK29" s="212"/>
      <c r="PCL29" s="46"/>
      <c r="PCM29" s="53"/>
      <c r="PCN29" s="53"/>
      <c r="PCO29" s="53"/>
      <c r="PCP29" s="53"/>
      <c r="PCQ29" s="53"/>
      <c r="PCR29" s="53"/>
      <c r="PCS29" s="53"/>
      <c r="PCT29" s="53"/>
      <c r="PCU29" s="53"/>
      <c r="PCV29" s="53"/>
      <c r="PCW29" s="53"/>
      <c r="PCX29" s="53"/>
      <c r="PCY29" s="53"/>
      <c r="PCZ29" s="212"/>
      <c r="PDA29" s="46"/>
      <c r="PDB29" s="53"/>
      <c r="PDC29" s="53"/>
      <c r="PDD29" s="53"/>
      <c r="PDE29" s="53"/>
      <c r="PDF29" s="53"/>
      <c r="PDG29" s="53"/>
      <c r="PDH29" s="53"/>
      <c r="PDI29" s="53"/>
      <c r="PDJ29" s="53"/>
      <c r="PDK29" s="53"/>
      <c r="PDL29" s="53"/>
      <c r="PDM29" s="53"/>
      <c r="PDN29" s="53"/>
      <c r="PDO29" s="212"/>
      <c r="PDP29" s="46"/>
      <c r="PDQ29" s="53"/>
      <c r="PDR29" s="53"/>
      <c r="PDS29" s="53"/>
      <c r="PDT29" s="53"/>
      <c r="PDU29" s="53"/>
      <c r="PDV29" s="53"/>
      <c r="PDW29" s="53"/>
      <c r="PDX29" s="53"/>
      <c r="PDY29" s="53"/>
      <c r="PDZ29" s="53"/>
      <c r="PEA29" s="53"/>
      <c r="PEB29" s="53"/>
      <c r="PEC29" s="53"/>
      <c r="PED29" s="212"/>
      <c r="PEE29" s="46"/>
      <c r="PEF29" s="53"/>
      <c r="PEG29" s="53"/>
      <c r="PEH29" s="53"/>
      <c r="PEI29" s="53"/>
      <c r="PEJ29" s="53"/>
      <c r="PEK29" s="53"/>
      <c r="PEL29" s="53"/>
      <c r="PEM29" s="53"/>
      <c r="PEN29" s="53"/>
      <c r="PEO29" s="53"/>
      <c r="PEP29" s="53"/>
      <c r="PEQ29" s="53"/>
      <c r="PER29" s="53"/>
      <c r="PES29" s="212"/>
      <c r="PET29" s="46"/>
      <c r="PEU29" s="53"/>
      <c r="PEV29" s="53"/>
      <c r="PEW29" s="53"/>
      <c r="PEX29" s="53"/>
      <c r="PEY29" s="53"/>
      <c r="PEZ29" s="53"/>
      <c r="PFA29" s="53"/>
      <c r="PFB29" s="53"/>
      <c r="PFC29" s="53"/>
      <c r="PFD29" s="53"/>
      <c r="PFE29" s="53"/>
      <c r="PFF29" s="53"/>
      <c r="PFG29" s="53"/>
      <c r="PFH29" s="212"/>
      <c r="PFI29" s="46"/>
      <c r="PFJ29" s="53"/>
      <c r="PFK29" s="53"/>
      <c r="PFL29" s="53"/>
      <c r="PFM29" s="53"/>
      <c r="PFN29" s="53"/>
      <c r="PFO29" s="53"/>
      <c r="PFP29" s="53"/>
      <c r="PFQ29" s="53"/>
      <c r="PFR29" s="53"/>
      <c r="PFS29" s="53"/>
      <c r="PFT29" s="53"/>
      <c r="PFU29" s="53"/>
      <c r="PFV29" s="53"/>
      <c r="PFW29" s="212"/>
      <c r="PFX29" s="46"/>
      <c r="PFY29" s="53"/>
      <c r="PFZ29" s="53"/>
      <c r="PGA29" s="53"/>
      <c r="PGB29" s="53"/>
      <c r="PGC29" s="53"/>
      <c r="PGD29" s="53"/>
      <c r="PGE29" s="53"/>
      <c r="PGF29" s="53"/>
      <c r="PGG29" s="53"/>
      <c r="PGH29" s="53"/>
      <c r="PGI29" s="53"/>
      <c r="PGJ29" s="53"/>
      <c r="PGK29" s="53"/>
      <c r="PGL29" s="212"/>
      <c r="PGM29" s="46"/>
      <c r="PGN29" s="53"/>
      <c r="PGO29" s="53"/>
      <c r="PGP29" s="53"/>
      <c r="PGQ29" s="53"/>
      <c r="PGR29" s="53"/>
      <c r="PGS29" s="53"/>
      <c r="PGT29" s="53"/>
      <c r="PGU29" s="53"/>
      <c r="PGV29" s="53"/>
      <c r="PGW29" s="53"/>
      <c r="PGX29" s="53"/>
      <c r="PGY29" s="53"/>
      <c r="PGZ29" s="53"/>
      <c r="PHA29" s="212"/>
      <c r="PHB29" s="46"/>
      <c r="PHC29" s="53"/>
      <c r="PHD29" s="53"/>
      <c r="PHE29" s="53"/>
      <c r="PHF29" s="53"/>
      <c r="PHG29" s="53"/>
      <c r="PHH29" s="53"/>
      <c r="PHI29" s="53"/>
      <c r="PHJ29" s="53"/>
      <c r="PHK29" s="53"/>
      <c r="PHL29" s="53"/>
      <c r="PHM29" s="53"/>
      <c r="PHN29" s="53"/>
      <c r="PHO29" s="53"/>
      <c r="PHP29" s="212"/>
      <c r="PHQ29" s="46"/>
      <c r="PHR29" s="53"/>
      <c r="PHS29" s="53"/>
      <c r="PHT29" s="53"/>
      <c r="PHU29" s="53"/>
      <c r="PHV29" s="53"/>
      <c r="PHW29" s="53"/>
      <c r="PHX29" s="53"/>
      <c r="PHY29" s="53"/>
      <c r="PHZ29" s="53"/>
      <c r="PIA29" s="53"/>
      <c r="PIB29" s="53"/>
      <c r="PIC29" s="53"/>
      <c r="PID29" s="53"/>
      <c r="PIE29" s="212"/>
      <c r="PIF29" s="46"/>
      <c r="PIG29" s="53"/>
      <c r="PIH29" s="53"/>
      <c r="PII29" s="53"/>
      <c r="PIJ29" s="53"/>
      <c r="PIK29" s="53"/>
      <c r="PIL29" s="53"/>
      <c r="PIM29" s="53"/>
      <c r="PIN29" s="53"/>
      <c r="PIO29" s="53"/>
      <c r="PIP29" s="53"/>
      <c r="PIQ29" s="53"/>
      <c r="PIR29" s="53"/>
      <c r="PIS29" s="53"/>
      <c r="PIT29" s="212"/>
      <c r="PIU29" s="46"/>
      <c r="PIV29" s="53"/>
      <c r="PIW29" s="53"/>
      <c r="PIX29" s="53"/>
      <c r="PIY29" s="53"/>
      <c r="PIZ29" s="53"/>
      <c r="PJA29" s="53"/>
      <c r="PJB29" s="53"/>
      <c r="PJC29" s="53"/>
      <c r="PJD29" s="53"/>
      <c r="PJE29" s="53"/>
      <c r="PJF29" s="53"/>
      <c r="PJG29" s="53"/>
      <c r="PJH29" s="53"/>
      <c r="PJI29" s="212"/>
      <c r="PJJ29" s="46"/>
      <c r="PJK29" s="53"/>
      <c r="PJL29" s="53"/>
      <c r="PJM29" s="53"/>
      <c r="PJN29" s="53"/>
      <c r="PJO29" s="53"/>
      <c r="PJP29" s="53"/>
      <c r="PJQ29" s="53"/>
      <c r="PJR29" s="53"/>
      <c r="PJS29" s="53"/>
      <c r="PJT29" s="53"/>
      <c r="PJU29" s="53"/>
      <c r="PJV29" s="53"/>
      <c r="PJW29" s="53"/>
      <c r="PJX29" s="212"/>
      <c r="PJY29" s="46"/>
      <c r="PJZ29" s="53"/>
      <c r="PKA29" s="53"/>
      <c r="PKB29" s="53"/>
      <c r="PKC29" s="53"/>
      <c r="PKD29" s="53"/>
      <c r="PKE29" s="53"/>
      <c r="PKF29" s="53"/>
      <c r="PKG29" s="53"/>
      <c r="PKH29" s="53"/>
      <c r="PKI29" s="53"/>
      <c r="PKJ29" s="53"/>
      <c r="PKK29" s="53"/>
      <c r="PKL29" s="53"/>
      <c r="PKM29" s="212"/>
      <c r="PKN29" s="46"/>
      <c r="PKO29" s="53"/>
      <c r="PKP29" s="53"/>
      <c r="PKQ29" s="53"/>
      <c r="PKR29" s="53"/>
      <c r="PKS29" s="53"/>
      <c r="PKT29" s="53"/>
      <c r="PKU29" s="53"/>
      <c r="PKV29" s="53"/>
      <c r="PKW29" s="53"/>
      <c r="PKX29" s="53"/>
      <c r="PKY29" s="53"/>
      <c r="PKZ29" s="53"/>
      <c r="PLA29" s="53"/>
      <c r="PLB29" s="212"/>
      <c r="PLC29" s="46"/>
      <c r="PLD29" s="53"/>
      <c r="PLE29" s="53"/>
      <c r="PLF29" s="53"/>
      <c r="PLG29" s="53"/>
      <c r="PLH29" s="53"/>
      <c r="PLI29" s="53"/>
      <c r="PLJ29" s="53"/>
      <c r="PLK29" s="53"/>
      <c r="PLL29" s="53"/>
      <c r="PLM29" s="53"/>
      <c r="PLN29" s="53"/>
      <c r="PLO29" s="53"/>
      <c r="PLP29" s="53"/>
      <c r="PLQ29" s="212"/>
      <c r="PLR29" s="46"/>
      <c r="PLS29" s="53"/>
      <c r="PLT29" s="53"/>
      <c r="PLU29" s="53"/>
      <c r="PLV29" s="53"/>
      <c r="PLW29" s="53"/>
      <c r="PLX29" s="53"/>
      <c r="PLY29" s="53"/>
      <c r="PLZ29" s="53"/>
      <c r="PMA29" s="53"/>
      <c r="PMB29" s="53"/>
      <c r="PMC29" s="53"/>
      <c r="PMD29" s="53"/>
      <c r="PME29" s="53"/>
      <c r="PMF29" s="212"/>
      <c r="PMG29" s="46"/>
      <c r="PMH29" s="53"/>
      <c r="PMI29" s="53"/>
      <c r="PMJ29" s="53"/>
      <c r="PMK29" s="53"/>
      <c r="PML29" s="53"/>
      <c r="PMM29" s="53"/>
      <c r="PMN29" s="53"/>
      <c r="PMO29" s="53"/>
      <c r="PMP29" s="53"/>
      <c r="PMQ29" s="53"/>
      <c r="PMR29" s="53"/>
      <c r="PMS29" s="53"/>
      <c r="PMT29" s="53"/>
      <c r="PMU29" s="212"/>
      <c r="PMV29" s="46"/>
      <c r="PMW29" s="53"/>
      <c r="PMX29" s="53"/>
      <c r="PMY29" s="53"/>
      <c r="PMZ29" s="53"/>
      <c r="PNA29" s="53"/>
      <c r="PNB29" s="53"/>
      <c r="PNC29" s="53"/>
      <c r="PND29" s="53"/>
      <c r="PNE29" s="53"/>
      <c r="PNF29" s="53"/>
      <c r="PNG29" s="53"/>
      <c r="PNH29" s="53"/>
      <c r="PNI29" s="53"/>
      <c r="PNJ29" s="212"/>
      <c r="PNK29" s="46"/>
      <c r="PNL29" s="53"/>
      <c r="PNM29" s="53"/>
      <c r="PNN29" s="53"/>
      <c r="PNO29" s="53"/>
      <c r="PNP29" s="53"/>
      <c r="PNQ29" s="53"/>
      <c r="PNR29" s="53"/>
      <c r="PNS29" s="53"/>
      <c r="PNT29" s="53"/>
      <c r="PNU29" s="53"/>
      <c r="PNV29" s="53"/>
      <c r="PNW29" s="53"/>
      <c r="PNX29" s="53"/>
      <c r="PNY29" s="212"/>
      <c r="PNZ29" s="46"/>
      <c r="POA29" s="53"/>
      <c r="POB29" s="53"/>
      <c r="POC29" s="53"/>
      <c r="POD29" s="53"/>
      <c r="POE29" s="53"/>
      <c r="POF29" s="53"/>
      <c r="POG29" s="53"/>
      <c r="POH29" s="53"/>
      <c r="POI29" s="53"/>
      <c r="POJ29" s="53"/>
      <c r="POK29" s="53"/>
      <c r="POL29" s="53"/>
      <c r="POM29" s="53"/>
      <c r="PON29" s="212"/>
      <c r="POO29" s="46"/>
      <c r="POP29" s="53"/>
      <c r="POQ29" s="53"/>
      <c r="POR29" s="53"/>
      <c r="POS29" s="53"/>
      <c r="POT29" s="53"/>
      <c r="POU29" s="53"/>
      <c r="POV29" s="53"/>
      <c r="POW29" s="53"/>
      <c r="POX29" s="53"/>
      <c r="POY29" s="53"/>
      <c r="POZ29" s="53"/>
      <c r="PPA29" s="53"/>
      <c r="PPB29" s="53"/>
      <c r="PPC29" s="212"/>
      <c r="PPD29" s="46"/>
      <c r="PPE29" s="53"/>
      <c r="PPF29" s="53"/>
      <c r="PPG29" s="53"/>
      <c r="PPH29" s="53"/>
      <c r="PPI29" s="53"/>
      <c r="PPJ29" s="53"/>
      <c r="PPK29" s="53"/>
      <c r="PPL29" s="53"/>
      <c r="PPM29" s="53"/>
      <c r="PPN29" s="53"/>
      <c r="PPO29" s="53"/>
      <c r="PPP29" s="53"/>
      <c r="PPQ29" s="53"/>
      <c r="PPR29" s="212"/>
      <c r="PPS29" s="46"/>
      <c r="PPT29" s="53"/>
      <c r="PPU29" s="53"/>
      <c r="PPV29" s="53"/>
      <c r="PPW29" s="53"/>
      <c r="PPX29" s="53"/>
      <c r="PPY29" s="53"/>
      <c r="PPZ29" s="53"/>
      <c r="PQA29" s="53"/>
      <c r="PQB29" s="53"/>
      <c r="PQC29" s="53"/>
      <c r="PQD29" s="53"/>
      <c r="PQE29" s="53"/>
      <c r="PQF29" s="53"/>
      <c r="PQG29" s="212"/>
      <c r="PQH29" s="46"/>
      <c r="PQI29" s="53"/>
      <c r="PQJ29" s="53"/>
      <c r="PQK29" s="53"/>
      <c r="PQL29" s="53"/>
      <c r="PQM29" s="53"/>
      <c r="PQN29" s="53"/>
      <c r="PQO29" s="53"/>
      <c r="PQP29" s="53"/>
      <c r="PQQ29" s="53"/>
      <c r="PQR29" s="53"/>
      <c r="PQS29" s="53"/>
      <c r="PQT29" s="53"/>
      <c r="PQU29" s="53"/>
      <c r="PQV29" s="212"/>
      <c r="PQW29" s="46"/>
      <c r="PQX29" s="53"/>
      <c r="PQY29" s="53"/>
      <c r="PQZ29" s="53"/>
      <c r="PRA29" s="53"/>
      <c r="PRB29" s="53"/>
      <c r="PRC29" s="53"/>
      <c r="PRD29" s="53"/>
      <c r="PRE29" s="53"/>
      <c r="PRF29" s="53"/>
      <c r="PRG29" s="53"/>
      <c r="PRH29" s="53"/>
      <c r="PRI29" s="53"/>
      <c r="PRJ29" s="53"/>
      <c r="PRK29" s="212"/>
      <c r="PRL29" s="46"/>
      <c r="PRM29" s="53"/>
      <c r="PRN29" s="53"/>
      <c r="PRO29" s="53"/>
      <c r="PRP29" s="53"/>
      <c r="PRQ29" s="53"/>
      <c r="PRR29" s="53"/>
      <c r="PRS29" s="53"/>
      <c r="PRT29" s="53"/>
      <c r="PRU29" s="53"/>
      <c r="PRV29" s="53"/>
      <c r="PRW29" s="53"/>
      <c r="PRX29" s="53"/>
      <c r="PRY29" s="53"/>
      <c r="PRZ29" s="212"/>
      <c r="PSA29" s="46"/>
      <c r="PSB29" s="53"/>
      <c r="PSC29" s="53"/>
      <c r="PSD29" s="53"/>
      <c r="PSE29" s="53"/>
      <c r="PSF29" s="53"/>
      <c r="PSG29" s="53"/>
      <c r="PSH29" s="53"/>
      <c r="PSI29" s="53"/>
      <c r="PSJ29" s="53"/>
      <c r="PSK29" s="53"/>
      <c r="PSL29" s="53"/>
      <c r="PSM29" s="53"/>
      <c r="PSN29" s="53"/>
      <c r="PSO29" s="212"/>
      <c r="PSP29" s="46"/>
      <c r="PSQ29" s="53"/>
      <c r="PSR29" s="53"/>
      <c r="PSS29" s="53"/>
      <c r="PST29" s="53"/>
      <c r="PSU29" s="53"/>
      <c r="PSV29" s="53"/>
      <c r="PSW29" s="53"/>
      <c r="PSX29" s="53"/>
      <c r="PSY29" s="53"/>
      <c r="PSZ29" s="53"/>
      <c r="PTA29" s="53"/>
      <c r="PTB29" s="53"/>
      <c r="PTC29" s="53"/>
      <c r="PTD29" s="212"/>
      <c r="PTE29" s="46"/>
      <c r="PTF29" s="53"/>
      <c r="PTG29" s="53"/>
      <c r="PTH29" s="53"/>
      <c r="PTI29" s="53"/>
      <c r="PTJ29" s="53"/>
      <c r="PTK29" s="53"/>
      <c r="PTL29" s="53"/>
      <c r="PTM29" s="53"/>
      <c r="PTN29" s="53"/>
      <c r="PTO29" s="53"/>
      <c r="PTP29" s="53"/>
      <c r="PTQ29" s="53"/>
      <c r="PTR29" s="53"/>
      <c r="PTS29" s="212"/>
      <c r="PTT29" s="46"/>
      <c r="PTU29" s="53"/>
      <c r="PTV29" s="53"/>
      <c r="PTW29" s="53"/>
      <c r="PTX29" s="53"/>
      <c r="PTY29" s="53"/>
      <c r="PTZ29" s="53"/>
      <c r="PUA29" s="53"/>
      <c r="PUB29" s="53"/>
      <c r="PUC29" s="53"/>
      <c r="PUD29" s="53"/>
      <c r="PUE29" s="53"/>
      <c r="PUF29" s="53"/>
      <c r="PUG29" s="53"/>
      <c r="PUH29" s="212"/>
      <c r="PUI29" s="46"/>
      <c r="PUJ29" s="53"/>
      <c r="PUK29" s="53"/>
      <c r="PUL29" s="53"/>
      <c r="PUM29" s="53"/>
      <c r="PUN29" s="53"/>
      <c r="PUO29" s="53"/>
      <c r="PUP29" s="53"/>
      <c r="PUQ29" s="53"/>
      <c r="PUR29" s="53"/>
      <c r="PUS29" s="53"/>
      <c r="PUT29" s="53"/>
      <c r="PUU29" s="53"/>
      <c r="PUV29" s="53"/>
      <c r="PUW29" s="212"/>
      <c r="PUX29" s="46"/>
      <c r="PUY29" s="53"/>
      <c r="PUZ29" s="53"/>
      <c r="PVA29" s="53"/>
      <c r="PVB29" s="53"/>
      <c r="PVC29" s="53"/>
      <c r="PVD29" s="53"/>
      <c r="PVE29" s="53"/>
      <c r="PVF29" s="53"/>
      <c r="PVG29" s="53"/>
      <c r="PVH29" s="53"/>
      <c r="PVI29" s="53"/>
      <c r="PVJ29" s="53"/>
      <c r="PVK29" s="53"/>
      <c r="PVL29" s="212"/>
      <c r="PVM29" s="46"/>
      <c r="PVN29" s="53"/>
      <c r="PVO29" s="53"/>
      <c r="PVP29" s="53"/>
      <c r="PVQ29" s="53"/>
      <c r="PVR29" s="53"/>
      <c r="PVS29" s="53"/>
      <c r="PVT29" s="53"/>
      <c r="PVU29" s="53"/>
      <c r="PVV29" s="53"/>
      <c r="PVW29" s="53"/>
      <c r="PVX29" s="53"/>
      <c r="PVY29" s="53"/>
      <c r="PVZ29" s="53"/>
      <c r="PWA29" s="212"/>
      <c r="PWB29" s="46"/>
      <c r="PWC29" s="53"/>
      <c r="PWD29" s="53"/>
      <c r="PWE29" s="53"/>
      <c r="PWF29" s="53"/>
      <c r="PWG29" s="53"/>
      <c r="PWH29" s="53"/>
      <c r="PWI29" s="53"/>
      <c r="PWJ29" s="53"/>
      <c r="PWK29" s="53"/>
      <c r="PWL29" s="53"/>
      <c r="PWM29" s="53"/>
      <c r="PWN29" s="53"/>
      <c r="PWO29" s="53"/>
      <c r="PWP29" s="212"/>
      <c r="PWQ29" s="46"/>
      <c r="PWR29" s="53"/>
      <c r="PWS29" s="53"/>
      <c r="PWT29" s="53"/>
      <c r="PWU29" s="53"/>
      <c r="PWV29" s="53"/>
      <c r="PWW29" s="53"/>
      <c r="PWX29" s="53"/>
      <c r="PWY29" s="53"/>
      <c r="PWZ29" s="53"/>
      <c r="PXA29" s="53"/>
      <c r="PXB29" s="53"/>
      <c r="PXC29" s="53"/>
      <c r="PXD29" s="53"/>
      <c r="PXE29" s="212"/>
      <c r="PXF29" s="46"/>
      <c r="PXG29" s="53"/>
      <c r="PXH29" s="53"/>
      <c r="PXI29" s="53"/>
      <c r="PXJ29" s="53"/>
      <c r="PXK29" s="53"/>
      <c r="PXL29" s="53"/>
      <c r="PXM29" s="53"/>
      <c r="PXN29" s="53"/>
      <c r="PXO29" s="53"/>
      <c r="PXP29" s="53"/>
      <c r="PXQ29" s="53"/>
      <c r="PXR29" s="53"/>
      <c r="PXS29" s="53"/>
      <c r="PXT29" s="212"/>
      <c r="PXU29" s="46"/>
      <c r="PXV29" s="53"/>
      <c r="PXW29" s="53"/>
      <c r="PXX29" s="53"/>
      <c r="PXY29" s="53"/>
      <c r="PXZ29" s="53"/>
      <c r="PYA29" s="53"/>
      <c r="PYB29" s="53"/>
      <c r="PYC29" s="53"/>
      <c r="PYD29" s="53"/>
      <c r="PYE29" s="53"/>
      <c r="PYF29" s="53"/>
      <c r="PYG29" s="53"/>
      <c r="PYH29" s="53"/>
      <c r="PYI29" s="212"/>
      <c r="PYJ29" s="46"/>
      <c r="PYK29" s="53"/>
      <c r="PYL29" s="53"/>
      <c r="PYM29" s="53"/>
      <c r="PYN29" s="53"/>
      <c r="PYO29" s="53"/>
      <c r="PYP29" s="53"/>
      <c r="PYQ29" s="53"/>
      <c r="PYR29" s="53"/>
      <c r="PYS29" s="53"/>
      <c r="PYT29" s="53"/>
      <c r="PYU29" s="53"/>
      <c r="PYV29" s="53"/>
      <c r="PYW29" s="53"/>
      <c r="PYX29" s="212"/>
      <c r="PYY29" s="46"/>
      <c r="PYZ29" s="53"/>
      <c r="PZA29" s="53"/>
      <c r="PZB29" s="53"/>
      <c r="PZC29" s="53"/>
      <c r="PZD29" s="53"/>
      <c r="PZE29" s="53"/>
      <c r="PZF29" s="53"/>
      <c r="PZG29" s="53"/>
      <c r="PZH29" s="53"/>
      <c r="PZI29" s="53"/>
      <c r="PZJ29" s="53"/>
      <c r="PZK29" s="53"/>
      <c r="PZL29" s="53"/>
      <c r="PZM29" s="212"/>
      <c r="PZN29" s="46"/>
      <c r="PZO29" s="53"/>
      <c r="PZP29" s="53"/>
      <c r="PZQ29" s="53"/>
      <c r="PZR29" s="53"/>
      <c r="PZS29" s="53"/>
      <c r="PZT29" s="53"/>
      <c r="PZU29" s="53"/>
      <c r="PZV29" s="53"/>
      <c r="PZW29" s="53"/>
      <c r="PZX29" s="53"/>
      <c r="PZY29" s="53"/>
      <c r="PZZ29" s="53"/>
      <c r="QAA29" s="53"/>
      <c r="QAB29" s="212"/>
      <c r="QAC29" s="46"/>
      <c r="QAD29" s="53"/>
      <c r="QAE29" s="53"/>
      <c r="QAF29" s="53"/>
      <c r="QAG29" s="53"/>
      <c r="QAH29" s="53"/>
      <c r="QAI29" s="53"/>
      <c r="QAJ29" s="53"/>
      <c r="QAK29" s="53"/>
      <c r="QAL29" s="53"/>
      <c r="QAM29" s="53"/>
      <c r="QAN29" s="53"/>
      <c r="QAO29" s="53"/>
      <c r="QAP29" s="53"/>
      <c r="QAQ29" s="212"/>
      <c r="QAR29" s="46"/>
      <c r="QAS29" s="53"/>
      <c r="QAT29" s="53"/>
      <c r="QAU29" s="53"/>
      <c r="QAV29" s="53"/>
      <c r="QAW29" s="53"/>
      <c r="QAX29" s="53"/>
      <c r="QAY29" s="53"/>
      <c r="QAZ29" s="53"/>
      <c r="QBA29" s="53"/>
      <c r="QBB29" s="53"/>
      <c r="QBC29" s="53"/>
      <c r="QBD29" s="53"/>
      <c r="QBE29" s="53"/>
      <c r="QBF29" s="212"/>
      <c r="QBG29" s="46"/>
      <c r="QBH29" s="53"/>
      <c r="QBI29" s="53"/>
      <c r="QBJ29" s="53"/>
      <c r="QBK29" s="53"/>
      <c r="QBL29" s="53"/>
      <c r="QBM29" s="53"/>
      <c r="QBN29" s="53"/>
      <c r="QBO29" s="53"/>
      <c r="QBP29" s="53"/>
      <c r="QBQ29" s="53"/>
      <c r="QBR29" s="53"/>
      <c r="QBS29" s="53"/>
      <c r="QBT29" s="53"/>
      <c r="QBU29" s="212"/>
      <c r="QBV29" s="46"/>
      <c r="QBW29" s="53"/>
      <c r="QBX29" s="53"/>
      <c r="QBY29" s="53"/>
      <c r="QBZ29" s="53"/>
      <c r="QCA29" s="53"/>
      <c r="QCB29" s="53"/>
      <c r="QCC29" s="53"/>
      <c r="QCD29" s="53"/>
      <c r="QCE29" s="53"/>
      <c r="QCF29" s="53"/>
      <c r="QCG29" s="53"/>
      <c r="QCH29" s="53"/>
      <c r="QCI29" s="53"/>
      <c r="QCJ29" s="212"/>
      <c r="QCK29" s="46"/>
      <c r="QCL29" s="53"/>
      <c r="QCM29" s="53"/>
      <c r="QCN29" s="53"/>
      <c r="QCO29" s="53"/>
      <c r="QCP29" s="53"/>
      <c r="QCQ29" s="53"/>
      <c r="QCR29" s="53"/>
      <c r="QCS29" s="53"/>
      <c r="QCT29" s="53"/>
      <c r="QCU29" s="53"/>
      <c r="QCV29" s="53"/>
      <c r="QCW29" s="53"/>
      <c r="QCX29" s="53"/>
      <c r="QCY29" s="212"/>
      <c r="QCZ29" s="46"/>
      <c r="QDA29" s="53"/>
      <c r="QDB29" s="53"/>
      <c r="QDC29" s="53"/>
      <c r="QDD29" s="53"/>
      <c r="QDE29" s="53"/>
      <c r="QDF29" s="53"/>
      <c r="QDG29" s="53"/>
      <c r="QDH29" s="53"/>
      <c r="QDI29" s="53"/>
      <c r="QDJ29" s="53"/>
      <c r="QDK29" s="53"/>
      <c r="QDL29" s="53"/>
      <c r="QDM29" s="53"/>
      <c r="QDN29" s="212"/>
      <c r="QDO29" s="46"/>
      <c r="QDP29" s="53"/>
      <c r="QDQ29" s="53"/>
      <c r="QDR29" s="53"/>
      <c r="QDS29" s="53"/>
      <c r="QDT29" s="53"/>
      <c r="QDU29" s="53"/>
      <c r="QDV29" s="53"/>
      <c r="QDW29" s="53"/>
      <c r="QDX29" s="53"/>
      <c r="QDY29" s="53"/>
      <c r="QDZ29" s="53"/>
      <c r="QEA29" s="53"/>
      <c r="QEB29" s="53"/>
      <c r="QEC29" s="212"/>
      <c r="QED29" s="46"/>
      <c r="QEE29" s="53"/>
      <c r="QEF29" s="53"/>
      <c r="QEG29" s="53"/>
      <c r="QEH29" s="53"/>
      <c r="QEI29" s="53"/>
      <c r="QEJ29" s="53"/>
      <c r="QEK29" s="53"/>
      <c r="QEL29" s="53"/>
      <c r="QEM29" s="53"/>
      <c r="QEN29" s="53"/>
      <c r="QEO29" s="53"/>
      <c r="QEP29" s="53"/>
      <c r="QEQ29" s="53"/>
      <c r="QER29" s="212"/>
      <c r="QES29" s="46"/>
      <c r="QET29" s="53"/>
      <c r="QEU29" s="53"/>
      <c r="QEV29" s="53"/>
      <c r="QEW29" s="53"/>
      <c r="QEX29" s="53"/>
      <c r="QEY29" s="53"/>
      <c r="QEZ29" s="53"/>
      <c r="QFA29" s="53"/>
      <c r="QFB29" s="53"/>
      <c r="QFC29" s="53"/>
      <c r="QFD29" s="53"/>
      <c r="QFE29" s="53"/>
      <c r="QFF29" s="53"/>
      <c r="QFG29" s="212"/>
      <c r="QFH29" s="46"/>
      <c r="QFI29" s="53"/>
      <c r="QFJ29" s="53"/>
      <c r="QFK29" s="53"/>
      <c r="QFL29" s="53"/>
      <c r="QFM29" s="53"/>
      <c r="QFN29" s="53"/>
      <c r="QFO29" s="53"/>
      <c r="QFP29" s="53"/>
      <c r="QFQ29" s="53"/>
      <c r="QFR29" s="53"/>
      <c r="QFS29" s="53"/>
      <c r="QFT29" s="53"/>
      <c r="QFU29" s="53"/>
      <c r="QFV29" s="212"/>
      <c r="QFW29" s="46"/>
      <c r="QFX29" s="53"/>
      <c r="QFY29" s="53"/>
      <c r="QFZ29" s="53"/>
      <c r="QGA29" s="53"/>
      <c r="QGB29" s="53"/>
      <c r="QGC29" s="53"/>
      <c r="QGD29" s="53"/>
      <c r="QGE29" s="53"/>
      <c r="QGF29" s="53"/>
      <c r="QGG29" s="53"/>
      <c r="QGH29" s="53"/>
      <c r="QGI29" s="53"/>
      <c r="QGJ29" s="53"/>
      <c r="QGK29" s="212"/>
      <c r="QGL29" s="46"/>
      <c r="QGM29" s="53"/>
      <c r="QGN29" s="53"/>
      <c r="QGO29" s="53"/>
      <c r="QGP29" s="53"/>
      <c r="QGQ29" s="53"/>
      <c r="QGR29" s="53"/>
      <c r="QGS29" s="53"/>
      <c r="QGT29" s="53"/>
      <c r="QGU29" s="53"/>
      <c r="QGV29" s="53"/>
      <c r="QGW29" s="53"/>
      <c r="QGX29" s="53"/>
      <c r="QGY29" s="53"/>
      <c r="QGZ29" s="212"/>
      <c r="QHA29" s="46"/>
      <c r="QHB29" s="53"/>
      <c r="QHC29" s="53"/>
      <c r="QHD29" s="53"/>
      <c r="QHE29" s="53"/>
      <c r="QHF29" s="53"/>
      <c r="QHG29" s="53"/>
      <c r="QHH29" s="53"/>
      <c r="QHI29" s="53"/>
      <c r="QHJ29" s="53"/>
      <c r="QHK29" s="53"/>
      <c r="QHL29" s="53"/>
      <c r="QHM29" s="53"/>
      <c r="QHN29" s="53"/>
      <c r="QHO29" s="212"/>
      <c r="QHP29" s="46"/>
      <c r="QHQ29" s="53"/>
      <c r="QHR29" s="53"/>
      <c r="QHS29" s="53"/>
      <c r="QHT29" s="53"/>
      <c r="QHU29" s="53"/>
      <c r="QHV29" s="53"/>
      <c r="QHW29" s="53"/>
      <c r="QHX29" s="53"/>
      <c r="QHY29" s="53"/>
      <c r="QHZ29" s="53"/>
      <c r="QIA29" s="53"/>
      <c r="QIB29" s="53"/>
      <c r="QIC29" s="53"/>
      <c r="QID29" s="212"/>
      <c r="QIE29" s="46"/>
      <c r="QIF29" s="53"/>
      <c r="QIG29" s="53"/>
      <c r="QIH29" s="53"/>
      <c r="QII29" s="53"/>
      <c r="QIJ29" s="53"/>
      <c r="QIK29" s="53"/>
      <c r="QIL29" s="53"/>
      <c r="QIM29" s="53"/>
      <c r="QIN29" s="53"/>
      <c r="QIO29" s="53"/>
      <c r="QIP29" s="53"/>
      <c r="QIQ29" s="53"/>
      <c r="QIR29" s="53"/>
      <c r="QIS29" s="212"/>
      <c r="QIT29" s="46"/>
      <c r="QIU29" s="53"/>
      <c r="QIV29" s="53"/>
      <c r="QIW29" s="53"/>
      <c r="QIX29" s="53"/>
      <c r="QIY29" s="53"/>
      <c r="QIZ29" s="53"/>
      <c r="QJA29" s="53"/>
      <c r="QJB29" s="53"/>
      <c r="QJC29" s="53"/>
      <c r="QJD29" s="53"/>
      <c r="QJE29" s="53"/>
      <c r="QJF29" s="53"/>
      <c r="QJG29" s="53"/>
      <c r="QJH29" s="212"/>
      <c r="QJI29" s="46"/>
      <c r="QJJ29" s="53"/>
      <c r="QJK29" s="53"/>
      <c r="QJL29" s="53"/>
      <c r="QJM29" s="53"/>
      <c r="QJN29" s="53"/>
      <c r="QJO29" s="53"/>
      <c r="QJP29" s="53"/>
      <c r="QJQ29" s="53"/>
      <c r="QJR29" s="53"/>
      <c r="QJS29" s="53"/>
      <c r="QJT29" s="53"/>
      <c r="QJU29" s="53"/>
      <c r="QJV29" s="53"/>
      <c r="QJW29" s="212"/>
      <c r="QJX29" s="46"/>
      <c r="QJY29" s="53"/>
      <c r="QJZ29" s="53"/>
      <c r="QKA29" s="53"/>
      <c r="QKB29" s="53"/>
      <c r="QKC29" s="53"/>
      <c r="QKD29" s="53"/>
      <c r="QKE29" s="53"/>
      <c r="QKF29" s="53"/>
      <c r="QKG29" s="53"/>
      <c r="QKH29" s="53"/>
      <c r="QKI29" s="53"/>
      <c r="QKJ29" s="53"/>
      <c r="QKK29" s="53"/>
      <c r="QKL29" s="212"/>
      <c r="QKM29" s="46"/>
      <c r="QKN29" s="53"/>
      <c r="QKO29" s="53"/>
      <c r="QKP29" s="53"/>
      <c r="QKQ29" s="53"/>
      <c r="QKR29" s="53"/>
      <c r="QKS29" s="53"/>
      <c r="QKT29" s="53"/>
      <c r="QKU29" s="53"/>
      <c r="QKV29" s="53"/>
      <c r="QKW29" s="53"/>
      <c r="QKX29" s="53"/>
      <c r="QKY29" s="53"/>
      <c r="QKZ29" s="53"/>
      <c r="QLA29" s="212"/>
      <c r="QLB29" s="46"/>
      <c r="QLC29" s="53"/>
      <c r="QLD29" s="53"/>
      <c r="QLE29" s="53"/>
      <c r="QLF29" s="53"/>
      <c r="QLG29" s="53"/>
      <c r="QLH29" s="53"/>
      <c r="QLI29" s="53"/>
      <c r="QLJ29" s="53"/>
      <c r="QLK29" s="53"/>
      <c r="QLL29" s="53"/>
      <c r="QLM29" s="53"/>
      <c r="QLN29" s="53"/>
      <c r="QLO29" s="53"/>
      <c r="QLP29" s="212"/>
      <c r="QLQ29" s="46"/>
      <c r="QLR29" s="53"/>
      <c r="QLS29" s="53"/>
      <c r="QLT29" s="53"/>
      <c r="QLU29" s="53"/>
      <c r="QLV29" s="53"/>
      <c r="QLW29" s="53"/>
      <c r="QLX29" s="53"/>
      <c r="QLY29" s="53"/>
      <c r="QLZ29" s="53"/>
      <c r="QMA29" s="53"/>
      <c r="QMB29" s="53"/>
      <c r="QMC29" s="53"/>
      <c r="QMD29" s="53"/>
      <c r="QME29" s="212"/>
      <c r="QMF29" s="46"/>
      <c r="QMG29" s="53"/>
      <c r="QMH29" s="53"/>
      <c r="QMI29" s="53"/>
      <c r="QMJ29" s="53"/>
      <c r="QMK29" s="53"/>
      <c r="QML29" s="53"/>
      <c r="QMM29" s="53"/>
      <c r="QMN29" s="53"/>
      <c r="QMO29" s="53"/>
      <c r="QMP29" s="53"/>
      <c r="QMQ29" s="53"/>
      <c r="QMR29" s="53"/>
      <c r="QMS29" s="53"/>
      <c r="QMT29" s="212"/>
      <c r="QMU29" s="46"/>
      <c r="QMV29" s="53"/>
      <c r="QMW29" s="53"/>
      <c r="QMX29" s="53"/>
      <c r="QMY29" s="53"/>
      <c r="QMZ29" s="53"/>
      <c r="QNA29" s="53"/>
      <c r="QNB29" s="53"/>
      <c r="QNC29" s="53"/>
      <c r="QND29" s="53"/>
      <c r="QNE29" s="53"/>
      <c r="QNF29" s="53"/>
      <c r="QNG29" s="53"/>
      <c r="QNH29" s="53"/>
      <c r="QNI29" s="212"/>
      <c r="QNJ29" s="46"/>
      <c r="QNK29" s="53"/>
      <c r="QNL29" s="53"/>
      <c r="QNM29" s="53"/>
      <c r="QNN29" s="53"/>
      <c r="QNO29" s="53"/>
      <c r="QNP29" s="53"/>
      <c r="QNQ29" s="53"/>
      <c r="QNR29" s="53"/>
      <c r="QNS29" s="53"/>
      <c r="QNT29" s="53"/>
      <c r="QNU29" s="53"/>
      <c r="QNV29" s="53"/>
      <c r="QNW29" s="53"/>
      <c r="QNX29" s="212"/>
      <c r="QNY29" s="46"/>
      <c r="QNZ29" s="53"/>
      <c r="QOA29" s="53"/>
      <c r="QOB29" s="53"/>
      <c r="QOC29" s="53"/>
      <c r="QOD29" s="53"/>
      <c r="QOE29" s="53"/>
      <c r="QOF29" s="53"/>
      <c r="QOG29" s="53"/>
      <c r="QOH29" s="53"/>
      <c r="QOI29" s="53"/>
      <c r="QOJ29" s="53"/>
      <c r="QOK29" s="53"/>
      <c r="QOL29" s="53"/>
      <c r="QOM29" s="212"/>
      <c r="QON29" s="46"/>
      <c r="QOO29" s="53"/>
      <c r="QOP29" s="53"/>
      <c r="QOQ29" s="53"/>
      <c r="QOR29" s="53"/>
      <c r="QOS29" s="53"/>
      <c r="QOT29" s="53"/>
      <c r="QOU29" s="53"/>
      <c r="QOV29" s="53"/>
      <c r="QOW29" s="53"/>
      <c r="QOX29" s="53"/>
      <c r="QOY29" s="53"/>
      <c r="QOZ29" s="53"/>
      <c r="QPA29" s="53"/>
      <c r="QPB29" s="212"/>
      <c r="QPC29" s="46"/>
      <c r="QPD29" s="53"/>
      <c r="QPE29" s="53"/>
      <c r="QPF29" s="53"/>
      <c r="QPG29" s="53"/>
      <c r="QPH29" s="53"/>
      <c r="QPI29" s="53"/>
      <c r="QPJ29" s="53"/>
      <c r="QPK29" s="53"/>
      <c r="QPL29" s="53"/>
      <c r="QPM29" s="53"/>
      <c r="QPN29" s="53"/>
      <c r="QPO29" s="53"/>
      <c r="QPP29" s="53"/>
      <c r="QPQ29" s="212"/>
      <c r="QPR29" s="46"/>
      <c r="QPS29" s="53"/>
      <c r="QPT29" s="53"/>
      <c r="QPU29" s="53"/>
      <c r="QPV29" s="53"/>
      <c r="QPW29" s="53"/>
      <c r="QPX29" s="53"/>
      <c r="QPY29" s="53"/>
      <c r="QPZ29" s="53"/>
      <c r="QQA29" s="53"/>
      <c r="QQB29" s="53"/>
      <c r="QQC29" s="53"/>
      <c r="QQD29" s="53"/>
      <c r="QQE29" s="53"/>
      <c r="QQF29" s="212"/>
      <c r="QQG29" s="46"/>
      <c r="QQH29" s="53"/>
      <c r="QQI29" s="53"/>
      <c r="QQJ29" s="53"/>
      <c r="QQK29" s="53"/>
      <c r="QQL29" s="53"/>
      <c r="QQM29" s="53"/>
      <c r="QQN29" s="53"/>
      <c r="QQO29" s="53"/>
      <c r="QQP29" s="53"/>
      <c r="QQQ29" s="53"/>
      <c r="QQR29" s="53"/>
      <c r="QQS29" s="53"/>
      <c r="QQT29" s="53"/>
      <c r="QQU29" s="212"/>
      <c r="QQV29" s="46"/>
      <c r="QQW29" s="53"/>
      <c r="QQX29" s="53"/>
      <c r="QQY29" s="53"/>
      <c r="QQZ29" s="53"/>
      <c r="QRA29" s="53"/>
      <c r="QRB29" s="53"/>
      <c r="QRC29" s="53"/>
      <c r="QRD29" s="53"/>
      <c r="QRE29" s="53"/>
      <c r="QRF29" s="53"/>
      <c r="QRG29" s="53"/>
      <c r="QRH29" s="53"/>
      <c r="QRI29" s="53"/>
      <c r="QRJ29" s="212"/>
      <c r="QRK29" s="46"/>
      <c r="QRL29" s="53"/>
      <c r="QRM29" s="53"/>
      <c r="QRN29" s="53"/>
      <c r="QRO29" s="53"/>
      <c r="QRP29" s="53"/>
      <c r="QRQ29" s="53"/>
      <c r="QRR29" s="53"/>
      <c r="QRS29" s="53"/>
      <c r="QRT29" s="53"/>
      <c r="QRU29" s="53"/>
      <c r="QRV29" s="53"/>
      <c r="QRW29" s="53"/>
      <c r="QRX29" s="53"/>
      <c r="QRY29" s="212"/>
      <c r="QRZ29" s="46"/>
      <c r="QSA29" s="53"/>
      <c r="QSB29" s="53"/>
      <c r="QSC29" s="53"/>
      <c r="QSD29" s="53"/>
      <c r="QSE29" s="53"/>
      <c r="QSF29" s="53"/>
      <c r="QSG29" s="53"/>
      <c r="QSH29" s="53"/>
      <c r="QSI29" s="53"/>
      <c r="QSJ29" s="53"/>
      <c r="QSK29" s="53"/>
      <c r="QSL29" s="53"/>
      <c r="QSM29" s="53"/>
      <c r="QSN29" s="212"/>
      <c r="QSO29" s="46"/>
      <c r="QSP29" s="53"/>
      <c r="QSQ29" s="53"/>
      <c r="QSR29" s="53"/>
      <c r="QSS29" s="53"/>
      <c r="QST29" s="53"/>
      <c r="QSU29" s="53"/>
      <c r="QSV29" s="53"/>
      <c r="QSW29" s="53"/>
      <c r="QSX29" s="53"/>
      <c r="QSY29" s="53"/>
      <c r="QSZ29" s="53"/>
      <c r="QTA29" s="53"/>
      <c r="QTB29" s="53"/>
      <c r="QTC29" s="212"/>
      <c r="QTD29" s="46"/>
      <c r="QTE29" s="53"/>
      <c r="QTF29" s="53"/>
      <c r="QTG29" s="53"/>
      <c r="QTH29" s="53"/>
      <c r="QTI29" s="53"/>
      <c r="QTJ29" s="53"/>
      <c r="QTK29" s="53"/>
      <c r="QTL29" s="53"/>
      <c r="QTM29" s="53"/>
      <c r="QTN29" s="53"/>
      <c r="QTO29" s="53"/>
      <c r="QTP29" s="53"/>
      <c r="QTQ29" s="53"/>
      <c r="QTR29" s="212"/>
      <c r="QTS29" s="46"/>
      <c r="QTT29" s="53"/>
      <c r="QTU29" s="53"/>
      <c r="QTV29" s="53"/>
      <c r="QTW29" s="53"/>
      <c r="QTX29" s="53"/>
      <c r="QTY29" s="53"/>
      <c r="QTZ29" s="53"/>
      <c r="QUA29" s="53"/>
      <c r="QUB29" s="53"/>
      <c r="QUC29" s="53"/>
      <c r="QUD29" s="53"/>
      <c r="QUE29" s="53"/>
      <c r="QUF29" s="53"/>
      <c r="QUG29" s="212"/>
      <c r="QUH29" s="46"/>
      <c r="QUI29" s="53"/>
      <c r="QUJ29" s="53"/>
      <c r="QUK29" s="53"/>
      <c r="QUL29" s="53"/>
      <c r="QUM29" s="53"/>
      <c r="QUN29" s="53"/>
      <c r="QUO29" s="53"/>
      <c r="QUP29" s="53"/>
      <c r="QUQ29" s="53"/>
      <c r="QUR29" s="53"/>
      <c r="QUS29" s="53"/>
      <c r="QUT29" s="53"/>
      <c r="QUU29" s="53"/>
      <c r="QUV29" s="212"/>
      <c r="QUW29" s="46"/>
      <c r="QUX29" s="53"/>
      <c r="QUY29" s="53"/>
      <c r="QUZ29" s="53"/>
      <c r="QVA29" s="53"/>
      <c r="QVB29" s="53"/>
      <c r="QVC29" s="53"/>
      <c r="QVD29" s="53"/>
      <c r="QVE29" s="53"/>
      <c r="QVF29" s="53"/>
      <c r="QVG29" s="53"/>
      <c r="QVH29" s="53"/>
      <c r="QVI29" s="53"/>
      <c r="QVJ29" s="53"/>
      <c r="QVK29" s="212"/>
      <c r="QVL29" s="46"/>
      <c r="QVM29" s="53"/>
      <c r="QVN29" s="53"/>
      <c r="QVO29" s="53"/>
      <c r="QVP29" s="53"/>
      <c r="QVQ29" s="53"/>
      <c r="QVR29" s="53"/>
      <c r="QVS29" s="53"/>
      <c r="QVT29" s="53"/>
      <c r="QVU29" s="53"/>
      <c r="QVV29" s="53"/>
      <c r="QVW29" s="53"/>
      <c r="QVX29" s="53"/>
      <c r="QVY29" s="53"/>
      <c r="QVZ29" s="212"/>
      <c r="QWA29" s="46"/>
      <c r="QWB29" s="53"/>
      <c r="QWC29" s="53"/>
      <c r="QWD29" s="53"/>
      <c r="QWE29" s="53"/>
      <c r="QWF29" s="53"/>
      <c r="QWG29" s="53"/>
      <c r="QWH29" s="53"/>
      <c r="QWI29" s="53"/>
      <c r="QWJ29" s="53"/>
      <c r="QWK29" s="53"/>
      <c r="QWL29" s="53"/>
      <c r="QWM29" s="53"/>
      <c r="QWN29" s="53"/>
      <c r="QWO29" s="212"/>
      <c r="QWP29" s="46"/>
      <c r="QWQ29" s="53"/>
      <c r="QWR29" s="53"/>
      <c r="QWS29" s="53"/>
      <c r="QWT29" s="53"/>
      <c r="QWU29" s="53"/>
      <c r="QWV29" s="53"/>
      <c r="QWW29" s="53"/>
      <c r="QWX29" s="53"/>
      <c r="QWY29" s="53"/>
      <c r="QWZ29" s="53"/>
      <c r="QXA29" s="53"/>
      <c r="QXB29" s="53"/>
      <c r="QXC29" s="53"/>
      <c r="QXD29" s="212"/>
      <c r="QXE29" s="46"/>
      <c r="QXF29" s="53"/>
      <c r="QXG29" s="53"/>
      <c r="QXH29" s="53"/>
      <c r="QXI29" s="53"/>
      <c r="QXJ29" s="53"/>
      <c r="QXK29" s="53"/>
      <c r="QXL29" s="53"/>
      <c r="QXM29" s="53"/>
      <c r="QXN29" s="53"/>
      <c r="QXO29" s="53"/>
      <c r="QXP29" s="53"/>
      <c r="QXQ29" s="53"/>
      <c r="QXR29" s="53"/>
      <c r="QXS29" s="212"/>
      <c r="QXT29" s="46"/>
      <c r="QXU29" s="53"/>
      <c r="QXV29" s="53"/>
      <c r="QXW29" s="53"/>
      <c r="QXX29" s="53"/>
      <c r="QXY29" s="53"/>
      <c r="QXZ29" s="53"/>
      <c r="QYA29" s="53"/>
      <c r="QYB29" s="53"/>
      <c r="QYC29" s="53"/>
      <c r="QYD29" s="53"/>
      <c r="QYE29" s="53"/>
      <c r="QYF29" s="53"/>
      <c r="QYG29" s="53"/>
      <c r="QYH29" s="212"/>
      <c r="QYI29" s="46"/>
      <c r="QYJ29" s="53"/>
      <c r="QYK29" s="53"/>
      <c r="QYL29" s="53"/>
      <c r="QYM29" s="53"/>
      <c r="QYN29" s="53"/>
      <c r="QYO29" s="53"/>
      <c r="QYP29" s="53"/>
      <c r="QYQ29" s="53"/>
      <c r="QYR29" s="53"/>
      <c r="QYS29" s="53"/>
      <c r="QYT29" s="53"/>
      <c r="QYU29" s="53"/>
      <c r="QYV29" s="53"/>
      <c r="QYW29" s="212"/>
      <c r="QYX29" s="46"/>
      <c r="QYY29" s="53"/>
      <c r="QYZ29" s="53"/>
      <c r="QZA29" s="53"/>
      <c r="QZB29" s="53"/>
      <c r="QZC29" s="53"/>
      <c r="QZD29" s="53"/>
      <c r="QZE29" s="53"/>
      <c r="QZF29" s="53"/>
      <c r="QZG29" s="53"/>
      <c r="QZH29" s="53"/>
      <c r="QZI29" s="53"/>
      <c r="QZJ29" s="53"/>
      <c r="QZK29" s="53"/>
      <c r="QZL29" s="212"/>
      <c r="QZM29" s="46"/>
      <c r="QZN29" s="53"/>
      <c r="QZO29" s="53"/>
      <c r="QZP29" s="53"/>
      <c r="QZQ29" s="53"/>
      <c r="QZR29" s="53"/>
      <c r="QZS29" s="53"/>
      <c r="QZT29" s="53"/>
      <c r="QZU29" s="53"/>
      <c r="QZV29" s="53"/>
      <c r="QZW29" s="53"/>
      <c r="QZX29" s="53"/>
      <c r="QZY29" s="53"/>
      <c r="QZZ29" s="53"/>
      <c r="RAA29" s="212"/>
      <c r="RAB29" s="46"/>
      <c r="RAC29" s="53"/>
      <c r="RAD29" s="53"/>
      <c r="RAE29" s="53"/>
      <c r="RAF29" s="53"/>
      <c r="RAG29" s="53"/>
      <c r="RAH29" s="53"/>
      <c r="RAI29" s="53"/>
      <c r="RAJ29" s="53"/>
      <c r="RAK29" s="53"/>
      <c r="RAL29" s="53"/>
      <c r="RAM29" s="53"/>
      <c r="RAN29" s="53"/>
      <c r="RAO29" s="53"/>
      <c r="RAP29" s="212"/>
      <c r="RAQ29" s="46"/>
      <c r="RAR29" s="53"/>
      <c r="RAS29" s="53"/>
      <c r="RAT29" s="53"/>
      <c r="RAU29" s="53"/>
      <c r="RAV29" s="53"/>
      <c r="RAW29" s="53"/>
      <c r="RAX29" s="53"/>
      <c r="RAY29" s="53"/>
      <c r="RAZ29" s="53"/>
      <c r="RBA29" s="53"/>
      <c r="RBB29" s="53"/>
      <c r="RBC29" s="53"/>
      <c r="RBD29" s="53"/>
      <c r="RBE29" s="212"/>
      <c r="RBF29" s="46"/>
      <c r="RBG29" s="53"/>
      <c r="RBH29" s="53"/>
      <c r="RBI29" s="53"/>
      <c r="RBJ29" s="53"/>
      <c r="RBK29" s="53"/>
      <c r="RBL29" s="53"/>
      <c r="RBM29" s="53"/>
      <c r="RBN29" s="53"/>
      <c r="RBO29" s="53"/>
      <c r="RBP29" s="53"/>
      <c r="RBQ29" s="53"/>
      <c r="RBR29" s="53"/>
      <c r="RBS29" s="53"/>
      <c r="RBT29" s="212"/>
      <c r="RBU29" s="46"/>
      <c r="RBV29" s="53"/>
      <c r="RBW29" s="53"/>
      <c r="RBX29" s="53"/>
      <c r="RBY29" s="53"/>
      <c r="RBZ29" s="53"/>
      <c r="RCA29" s="53"/>
      <c r="RCB29" s="53"/>
      <c r="RCC29" s="53"/>
      <c r="RCD29" s="53"/>
      <c r="RCE29" s="53"/>
      <c r="RCF29" s="53"/>
      <c r="RCG29" s="53"/>
      <c r="RCH29" s="53"/>
      <c r="RCI29" s="212"/>
      <c r="RCJ29" s="46"/>
      <c r="RCK29" s="53"/>
      <c r="RCL29" s="53"/>
      <c r="RCM29" s="53"/>
      <c r="RCN29" s="53"/>
      <c r="RCO29" s="53"/>
      <c r="RCP29" s="53"/>
      <c r="RCQ29" s="53"/>
      <c r="RCR29" s="53"/>
      <c r="RCS29" s="53"/>
      <c r="RCT29" s="53"/>
      <c r="RCU29" s="53"/>
      <c r="RCV29" s="53"/>
      <c r="RCW29" s="53"/>
      <c r="RCX29" s="212"/>
      <c r="RCY29" s="46"/>
      <c r="RCZ29" s="53"/>
      <c r="RDA29" s="53"/>
      <c r="RDB29" s="53"/>
      <c r="RDC29" s="53"/>
      <c r="RDD29" s="53"/>
      <c r="RDE29" s="53"/>
      <c r="RDF29" s="53"/>
      <c r="RDG29" s="53"/>
      <c r="RDH29" s="53"/>
      <c r="RDI29" s="53"/>
      <c r="RDJ29" s="53"/>
      <c r="RDK29" s="53"/>
      <c r="RDL29" s="53"/>
      <c r="RDM29" s="212"/>
      <c r="RDN29" s="46"/>
      <c r="RDO29" s="53"/>
      <c r="RDP29" s="53"/>
      <c r="RDQ29" s="53"/>
      <c r="RDR29" s="53"/>
      <c r="RDS29" s="53"/>
      <c r="RDT29" s="53"/>
      <c r="RDU29" s="53"/>
      <c r="RDV29" s="53"/>
      <c r="RDW29" s="53"/>
      <c r="RDX29" s="53"/>
      <c r="RDY29" s="53"/>
      <c r="RDZ29" s="53"/>
      <c r="REA29" s="53"/>
      <c r="REB29" s="212"/>
      <c r="REC29" s="46"/>
      <c r="RED29" s="53"/>
      <c r="REE29" s="53"/>
      <c r="REF29" s="53"/>
      <c r="REG29" s="53"/>
      <c r="REH29" s="53"/>
      <c r="REI29" s="53"/>
      <c r="REJ29" s="53"/>
      <c r="REK29" s="53"/>
      <c r="REL29" s="53"/>
      <c r="REM29" s="53"/>
      <c r="REN29" s="53"/>
      <c r="REO29" s="53"/>
      <c r="REP29" s="53"/>
      <c r="REQ29" s="212"/>
      <c r="RER29" s="46"/>
      <c r="RES29" s="53"/>
      <c r="RET29" s="53"/>
      <c r="REU29" s="53"/>
      <c r="REV29" s="53"/>
      <c r="REW29" s="53"/>
      <c r="REX29" s="53"/>
      <c r="REY29" s="53"/>
      <c r="REZ29" s="53"/>
      <c r="RFA29" s="53"/>
      <c r="RFB29" s="53"/>
      <c r="RFC29" s="53"/>
      <c r="RFD29" s="53"/>
      <c r="RFE29" s="53"/>
      <c r="RFF29" s="212"/>
      <c r="RFG29" s="46"/>
      <c r="RFH29" s="53"/>
      <c r="RFI29" s="53"/>
      <c r="RFJ29" s="53"/>
      <c r="RFK29" s="53"/>
      <c r="RFL29" s="53"/>
      <c r="RFM29" s="53"/>
      <c r="RFN29" s="53"/>
      <c r="RFO29" s="53"/>
      <c r="RFP29" s="53"/>
      <c r="RFQ29" s="53"/>
      <c r="RFR29" s="53"/>
      <c r="RFS29" s="53"/>
      <c r="RFT29" s="53"/>
      <c r="RFU29" s="212"/>
      <c r="RFV29" s="46"/>
      <c r="RFW29" s="53"/>
      <c r="RFX29" s="53"/>
      <c r="RFY29" s="53"/>
      <c r="RFZ29" s="53"/>
      <c r="RGA29" s="53"/>
      <c r="RGB29" s="53"/>
      <c r="RGC29" s="53"/>
      <c r="RGD29" s="53"/>
      <c r="RGE29" s="53"/>
      <c r="RGF29" s="53"/>
      <c r="RGG29" s="53"/>
      <c r="RGH29" s="53"/>
      <c r="RGI29" s="53"/>
      <c r="RGJ29" s="212"/>
      <c r="RGK29" s="46"/>
      <c r="RGL29" s="53"/>
      <c r="RGM29" s="53"/>
      <c r="RGN29" s="53"/>
      <c r="RGO29" s="53"/>
      <c r="RGP29" s="53"/>
      <c r="RGQ29" s="53"/>
      <c r="RGR29" s="53"/>
      <c r="RGS29" s="53"/>
      <c r="RGT29" s="53"/>
      <c r="RGU29" s="53"/>
      <c r="RGV29" s="53"/>
      <c r="RGW29" s="53"/>
      <c r="RGX29" s="53"/>
      <c r="RGY29" s="212"/>
      <c r="RGZ29" s="46"/>
      <c r="RHA29" s="53"/>
      <c r="RHB29" s="53"/>
      <c r="RHC29" s="53"/>
      <c r="RHD29" s="53"/>
      <c r="RHE29" s="53"/>
      <c r="RHF29" s="53"/>
      <c r="RHG29" s="53"/>
      <c r="RHH29" s="53"/>
      <c r="RHI29" s="53"/>
      <c r="RHJ29" s="53"/>
      <c r="RHK29" s="53"/>
      <c r="RHL29" s="53"/>
      <c r="RHM29" s="53"/>
      <c r="RHN29" s="212"/>
      <c r="RHO29" s="46"/>
      <c r="RHP29" s="53"/>
      <c r="RHQ29" s="53"/>
      <c r="RHR29" s="53"/>
      <c r="RHS29" s="53"/>
      <c r="RHT29" s="53"/>
      <c r="RHU29" s="53"/>
      <c r="RHV29" s="53"/>
      <c r="RHW29" s="53"/>
      <c r="RHX29" s="53"/>
      <c r="RHY29" s="53"/>
      <c r="RHZ29" s="53"/>
      <c r="RIA29" s="53"/>
      <c r="RIB29" s="53"/>
      <c r="RIC29" s="212"/>
      <c r="RID29" s="46"/>
      <c r="RIE29" s="53"/>
      <c r="RIF29" s="53"/>
      <c r="RIG29" s="53"/>
      <c r="RIH29" s="53"/>
      <c r="RII29" s="53"/>
      <c r="RIJ29" s="53"/>
      <c r="RIK29" s="53"/>
      <c r="RIL29" s="53"/>
      <c r="RIM29" s="53"/>
      <c r="RIN29" s="53"/>
      <c r="RIO29" s="53"/>
      <c r="RIP29" s="53"/>
      <c r="RIQ29" s="53"/>
      <c r="RIR29" s="212"/>
      <c r="RIS29" s="46"/>
      <c r="RIT29" s="53"/>
      <c r="RIU29" s="53"/>
      <c r="RIV29" s="53"/>
      <c r="RIW29" s="53"/>
      <c r="RIX29" s="53"/>
      <c r="RIY29" s="53"/>
      <c r="RIZ29" s="53"/>
      <c r="RJA29" s="53"/>
      <c r="RJB29" s="53"/>
      <c r="RJC29" s="53"/>
      <c r="RJD29" s="53"/>
      <c r="RJE29" s="53"/>
      <c r="RJF29" s="53"/>
      <c r="RJG29" s="212"/>
      <c r="RJH29" s="46"/>
      <c r="RJI29" s="53"/>
      <c r="RJJ29" s="53"/>
      <c r="RJK29" s="53"/>
      <c r="RJL29" s="53"/>
      <c r="RJM29" s="53"/>
      <c r="RJN29" s="53"/>
      <c r="RJO29" s="53"/>
      <c r="RJP29" s="53"/>
      <c r="RJQ29" s="53"/>
      <c r="RJR29" s="53"/>
      <c r="RJS29" s="53"/>
      <c r="RJT29" s="53"/>
      <c r="RJU29" s="53"/>
      <c r="RJV29" s="212"/>
      <c r="RJW29" s="46"/>
      <c r="RJX29" s="53"/>
      <c r="RJY29" s="53"/>
      <c r="RJZ29" s="53"/>
      <c r="RKA29" s="53"/>
      <c r="RKB29" s="53"/>
      <c r="RKC29" s="53"/>
      <c r="RKD29" s="53"/>
      <c r="RKE29" s="53"/>
      <c r="RKF29" s="53"/>
      <c r="RKG29" s="53"/>
      <c r="RKH29" s="53"/>
      <c r="RKI29" s="53"/>
      <c r="RKJ29" s="53"/>
      <c r="RKK29" s="212"/>
      <c r="RKL29" s="46"/>
      <c r="RKM29" s="53"/>
      <c r="RKN29" s="53"/>
      <c r="RKO29" s="53"/>
      <c r="RKP29" s="53"/>
      <c r="RKQ29" s="53"/>
      <c r="RKR29" s="53"/>
      <c r="RKS29" s="53"/>
      <c r="RKT29" s="53"/>
      <c r="RKU29" s="53"/>
      <c r="RKV29" s="53"/>
      <c r="RKW29" s="53"/>
      <c r="RKX29" s="53"/>
      <c r="RKY29" s="53"/>
      <c r="RKZ29" s="212"/>
      <c r="RLA29" s="46"/>
      <c r="RLB29" s="53"/>
      <c r="RLC29" s="53"/>
      <c r="RLD29" s="53"/>
      <c r="RLE29" s="53"/>
      <c r="RLF29" s="53"/>
      <c r="RLG29" s="53"/>
      <c r="RLH29" s="53"/>
      <c r="RLI29" s="53"/>
      <c r="RLJ29" s="53"/>
      <c r="RLK29" s="53"/>
      <c r="RLL29" s="53"/>
      <c r="RLM29" s="53"/>
      <c r="RLN29" s="53"/>
      <c r="RLO29" s="212"/>
      <c r="RLP29" s="46"/>
      <c r="RLQ29" s="53"/>
      <c r="RLR29" s="53"/>
      <c r="RLS29" s="53"/>
      <c r="RLT29" s="53"/>
      <c r="RLU29" s="53"/>
      <c r="RLV29" s="53"/>
      <c r="RLW29" s="53"/>
      <c r="RLX29" s="53"/>
      <c r="RLY29" s="53"/>
      <c r="RLZ29" s="53"/>
      <c r="RMA29" s="53"/>
      <c r="RMB29" s="53"/>
      <c r="RMC29" s="53"/>
      <c r="RMD29" s="212"/>
      <c r="RME29" s="46"/>
      <c r="RMF29" s="53"/>
      <c r="RMG29" s="53"/>
      <c r="RMH29" s="53"/>
      <c r="RMI29" s="53"/>
      <c r="RMJ29" s="53"/>
      <c r="RMK29" s="53"/>
      <c r="RML29" s="53"/>
      <c r="RMM29" s="53"/>
      <c r="RMN29" s="53"/>
      <c r="RMO29" s="53"/>
      <c r="RMP29" s="53"/>
      <c r="RMQ29" s="53"/>
      <c r="RMR29" s="53"/>
      <c r="RMS29" s="212"/>
      <c r="RMT29" s="46"/>
      <c r="RMU29" s="53"/>
      <c r="RMV29" s="53"/>
      <c r="RMW29" s="53"/>
      <c r="RMX29" s="53"/>
      <c r="RMY29" s="53"/>
      <c r="RMZ29" s="53"/>
      <c r="RNA29" s="53"/>
      <c r="RNB29" s="53"/>
      <c r="RNC29" s="53"/>
      <c r="RND29" s="53"/>
      <c r="RNE29" s="53"/>
      <c r="RNF29" s="53"/>
      <c r="RNG29" s="53"/>
      <c r="RNH29" s="212"/>
      <c r="RNI29" s="46"/>
      <c r="RNJ29" s="53"/>
      <c r="RNK29" s="53"/>
      <c r="RNL29" s="53"/>
      <c r="RNM29" s="53"/>
      <c r="RNN29" s="53"/>
      <c r="RNO29" s="53"/>
      <c r="RNP29" s="53"/>
      <c r="RNQ29" s="53"/>
      <c r="RNR29" s="53"/>
      <c r="RNS29" s="53"/>
      <c r="RNT29" s="53"/>
      <c r="RNU29" s="53"/>
      <c r="RNV29" s="53"/>
      <c r="RNW29" s="212"/>
      <c r="RNX29" s="46"/>
      <c r="RNY29" s="53"/>
      <c r="RNZ29" s="53"/>
      <c r="ROA29" s="53"/>
      <c r="ROB29" s="53"/>
      <c r="ROC29" s="53"/>
      <c r="ROD29" s="53"/>
      <c r="ROE29" s="53"/>
      <c r="ROF29" s="53"/>
      <c r="ROG29" s="53"/>
      <c r="ROH29" s="53"/>
      <c r="ROI29" s="53"/>
      <c r="ROJ29" s="53"/>
      <c r="ROK29" s="53"/>
      <c r="ROL29" s="212"/>
      <c r="ROM29" s="46"/>
      <c r="RON29" s="53"/>
      <c r="ROO29" s="53"/>
      <c r="ROP29" s="53"/>
      <c r="ROQ29" s="53"/>
      <c r="ROR29" s="53"/>
      <c r="ROS29" s="53"/>
      <c r="ROT29" s="53"/>
      <c r="ROU29" s="53"/>
      <c r="ROV29" s="53"/>
      <c r="ROW29" s="53"/>
      <c r="ROX29" s="53"/>
      <c r="ROY29" s="53"/>
      <c r="ROZ29" s="53"/>
      <c r="RPA29" s="212"/>
      <c r="RPB29" s="46"/>
      <c r="RPC29" s="53"/>
      <c r="RPD29" s="53"/>
      <c r="RPE29" s="53"/>
      <c r="RPF29" s="53"/>
      <c r="RPG29" s="53"/>
      <c r="RPH29" s="53"/>
      <c r="RPI29" s="53"/>
      <c r="RPJ29" s="53"/>
      <c r="RPK29" s="53"/>
      <c r="RPL29" s="53"/>
      <c r="RPM29" s="53"/>
      <c r="RPN29" s="53"/>
      <c r="RPO29" s="53"/>
      <c r="RPP29" s="212"/>
      <c r="RPQ29" s="46"/>
      <c r="RPR29" s="53"/>
      <c r="RPS29" s="53"/>
      <c r="RPT29" s="53"/>
      <c r="RPU29" s="53"/>
      <c r="RPV29" s="53"/>
      <c r="RPW29" s="53"/>
      <c r="RPX29" s="53"/>
      <c r="RPY29" s="53"/>
      <c r="RPZ29" s="53"/>
      <c r="RQA29" s="53"/>
      <c r="RQB29" s="53"/>
      <c r="RQC29" s="53"/>
      <c r="RQD29" s="53"/>
      <c r="RQE29" s="212"/>
      <c r="RQF29" s="46"/>
      <c r="RQG29" s="53"/>
      <c r="RQH29" s="53"/>
      <c r="RQI29" s="53"/>
      <c r="RQJ29" s="53"/>
      <c r="RQK29" s="53"/>
      <c r="RQL29" s="53"/>
      <c r="RQM29" s="53"/>
      <c r="RQN29" s="53"/>
      <c r="RQO29" s="53"/>
      <c r="RQP29" s="53"/>
      <c r="RQQ29" s="53"/>
      <c r="RQR29" s="53"/>
      <c r="RQS29" s="53"/>
      <c r="RQT29" s="212"/>
      <c r="RQU29" s="46"/>
      <c r="RQV29" s="53"/>
      <c r="RQW29" s="53"/>
      <c r="RQX29" s="53"/>
      <c r="RQY29" s="53"/>
      <c r="RQZ29" s="53"/>
      <c r="RRA29" s="53"/>
      <c r="RRB29" s="53"/>
      <c r="RRC29" s="53"/>
      <c r="RRD29" s="53"/>
      <c r="RRE29" s="53"/>
      <c r="RRF29" s="53"/>
      <c r="RRG29" s="53"/>
      <c r="RRH29" s="53"/>
      <c r="RRI29" s="212"/>
      <c r="RRJ29" s="46"/>
      <c r="RRK29" s="53"/>
      <c r="RRL29" s="53"/>
      <c r="RRM29" s="53"/>
      <c r="RRN29" s="53"/>
      <c r="RRO29" s="53"/>
      <c r="RRP29" s="53"/>
      <c r="RRQ29" s="53"/>
      <c r="RRR29" s="53"/>
      <c r="RRS29" s="53"/>
      <c r="RRT29" s="53"/>
      <c r="RRU29" s="53"/>
      <c r="RRV29" s="53"/>
      <c r="RRW29" s="53"/>
      <c r="RRX29" s="212"/>
      <c r="RRY29" s="46"/>
      <c r="RRZ29" s="53"/>
      <c r="RSA29" s="53"/>
      <c r="RSB29" s="53"/>
      <c r="RSC29" s="53"/>
      <c r="RSD29" s="53"/>
      <c r="RSE29" s="53"/>
      <c r="RSF29" s="53"/>
      <c r="RSG29" s="53"/>
      <c r="RSH29" s="53"/>
      <c r="RSI29" s="53"/>
      <c r="RSJ29" s="53"/>
      <c r="RSK29" s="53"/>
      <c r="RSL29" s="53"/>
      <c r="RSM29" s="212"/>
      <c r="RSN29" s="46"/>
      <c r="RSO29" s="53"/>
      <c r="RSP29" s="53"/>
      <c r="RSQ29" s="53"/>
      <c r="RSR29" s="53"/>
      <c r="RSS29" s="53"/>
      <c r="RST29" s="53"/>
      <c r="RSU29" s="53"/>
      <c r="RSV29" s="53"/>
      <c r="RSW29" s="53"/>
      <c r="RSX29" s="53"/>
      <c r="RSY29" s="53"/>
      <c r="RSZ29" s="53"/>
      <c r="RTA29" s="53"/>
      <c r="RTB29" s="212"/>
      <c r="RTC29" s="46"/>
      <c r="RTD29" s="53"/>
      <c r="RTE29" s="53"/>
      <c r="RTF29" s="53"/>
      <c r="RTG29" s="53"/>
      <c r="RTH29" s="53"/>
      <c r="RTI29" s="53"/>
      <c r="RTJ29" s="53"/>
      <c r="RTK29" s="53"/>
      <c r="RTL29" s="53"/>
      <c r="RTM29" s="53"/>
      <c r="RTN29" s="53"/>
      <c r="RTO29" s="53"/>
      <c r="RTP29" s="53"/>
      <c r="RTQ29" s="212"/>
      <c r="RTR29" s="46"/>
      <c r="RTS29" s="53"/>
      <c r="RTT29" s="53"/>
      <c r="RTU29" s="53"/>
      <c r="RTV29" s="53"/>
      <c r="RTW29" s="53"/>
      <c r="RTX29" s="53"/>
      <c r="RTY29" s="53"/>
      <c r="RTZ29" s="53"/>
      <c r="RUA29" s="53"/>
      <c r="RUB29" s="53"/>
      <c r="RUC29" s="53"/>
      <c r="RUD29" s="53"/>
      <c r="RUE29" s="53"/>
      <c r="RUF29" s="212"/>
      <c r="RUG29" s="46"/>
      <c r="RUH29" s="53"/>
      <c r="RUI29" s="53"/>
      <c r="RUJ29" s="53"/>
      <c r="RUK29" s="53"/>
      <c r="RUL29" s="53"/>
      <c r="RUM29" s="53"/>
      <c r="RUN29" s="53"/>
      <c r="RUO29" s="53"/>
      <c r="RUP29" s="53"/>
      <c r="RUQ29" s="53"/>
      <c r="RUR29" s="53"/>
      <c r="RUS29" s="53"/>
      <c r="RUT29" s="53"/>
      <c r="RUU29" s="212"/>
      <c r="RUV29" s="46"/>
      <c r="RUW29" s="53"/>
      <c r="RUX29" s="53"/>
      <c r="RUY29" s="53"/>
      <c r="RUZ29" s="53"/>
      <c r="RVA29" s="53"/>
      <c r="RVB29" s="53"/>
      <c r="RVC29" s="53"/>
      <c r="RVD29" s="53"/>
      <c r="RVE29" s="53"/>
      <c r="RVF29" s="53"/>
      <c r="RVG29" s="53"/>
      <c r="RVH29" s="53"/>
      <c r="RVI29" s="53"/>
      <c r="RVJ29" s="212"/>
      <c r="RVK29" s="46"/>
      <c r="RVL29" s="53"/>
      <c r="RVM29" s="53"/>
      <c r="RVN29" s="53"/>
      <c r="RVO29" s="53"/>
      <c r="RVP29" s="53"/>
      <c r="RVQ29" s="53"/>
      <c r="RVR29" s="53"/>
      <c r="RVS29" s="53"/>
      <c r="RVT29" s="53"/>
      <c r="RVU29" s="53"/>
      <c r="RVV29" s="53"/>
      <c r="RVW29" s="53"/>
      <c r="RVX29" s="53"/>
      <c r="RVY29" s="212"/>
      <c r="RVZ29" s="46"/>
      <c r="RWA29" s="53"/>
      <c r="RWB29" s="53"/>
      <c r="RWC29" s="53"/>
      <c r="RWD29" s="53"/>
      <c r="RWE29" s="53"/>
      <c r="RWF29" s="53"/>
      <c r="RWG29" s="53"/>
      <c r="RWH29" s="53"/>
      <c r="RWI29" s="53"/>
      <c r="RWJ29" s="53"/>
      <c r="RWK29" s="53"/>
      <c r="RWL29" s="53"/>
      <c r="RWM29" s="53"/>
      <c r="RWN29" s="212"/>
      <c r="RWO29" s="46"/>
      <c r="RWP29" s="53"/>
      <c r="RWQ29" s="53"/>
      <c r="RWR29" s="53"/>
      <c r="RWS29" s="53"/>
      <c r="RWT29" s="53"/>
      <c r="RWU29" s="53"/>
      <c r="RWV29" s="53"/>
      <c r="RWW29" s="53"/>
      <c r="RWX29" s="53"/>
      <c r="RWY29" s="53"/>
      <c r="RWZ29" s="53"/>
      <c r="RXA29" s="53"/>
      <c r="RXB29" s="53"/>
      <c r="RXC29" s="212"/>
      <c r="RXD29" s="46"/>
      <c r="RXE29" s="53"/>
      <c r="RXF29" s="53"/>
      <c r="RXG29" s="53"/>
      <c r="RXH29" s="53"/>
      <c r="RXI29" s="53"/>
      <c r="RXJ29" s="53"/>
      <c r="RXK29" s="53"/>
      <c r="RXL29" s="53"/>
      <c r="RXM29" s="53"/>
      <c r="RXN29" s="53"/>
      <c r="RXO29" s="53"/>
      <c r="RXP29" s="53"/>
      <c r="RXQ29" s="53"/>
      <c r="RXR29" s="212"/>
      <c r="RXS29" s="46"/>
      <c r="RXT29" s="53"/>
      <c r="RXU29" s="53"/>
      <c r="RXV29" s="53"/>
      <c r="RXW29" s="53"/>
      <c r="RXX29" s="53"/>
      <c r="RXY29" s="53"/>
      <c r="RXZ29" s="53"/>
      <c r="RYA29" s="53"/>
      <c r="RYB29" s="53"/>
      <c r="RYC29" s="53"/>
      <c r="RYD29" s="53"/>
      <c r="RYE29" s="53"/>
      <c r="RYF29" s="53"/>
      <c r="RYG29" s="212"/>
      <c r="RYH29" s="46"/>
      <c r="RYI29" s="53"/>
      <c r="RYJ29" s="53"/>
      <c r="RYK29" s="53"/>
      <c r="RYL29" s="53"/>
      <c r="RYM29" s="53"/>
      <c r="RYN29" s="53"/>
      <c r="RYO29" s="53"/>
      <c r="RYP29" s="53"/>
      <c r="RYQ29" s="53"/>
      <c r="RYR29" s="53"/>
      <c r="RYS29" s="53"/>
      <c r="RYT29" s="53"/>
      <c r="RYU29" s="53"/>
      <c r="RYV29" s="212"/>
      <c r="RYW29" s="46"/>
      <c r="RYX29" s="53"/>
      <c r="RYY29" s="53"/>
      <c r="RYZ29" s="53"/>
      <c r="RZA29" s="53"/>
      <c r="RZB29" s="53"/>
      <c r="RZC29" s="53"/>
      <c r="RZD29" s="53"/>
      <c r="RZE29" s="53"/>
      <c r="RZF29" s="53"/>
      <c r="RZG29" s="53"/>
      <c r="RZH29" s="53"/>
      <c r="RZI29" s="53"/>
      <c r="RZJ29" s="53"/>
      <c r="RZK29" s="212"/>
      <c r="RZL29" s="46"/>
      <c r="RZM29" s="53"/>
      <c r="RZN29" s="53"/>
      <c r="RZO29" s="53"/>
      <c r="RZP29" s="53"/>
      <c r="RZQ29" s="53"/>
      <c r="RZR29" s="53"/>
      <c r="RZS29" s="53"/>
      <c r="RZT29" s="53"/>
      <c r="RZU29" s="53"/>
      <c r="RZV29" s="53"/>
      <c r="RZW29" s="53"/>
      <c r="RZX29" s="53"/>
      <c r="RZY29" s="53"/>
      <c r="RZZ29" s="212"/>
      <c r="SAA29" s="46"/>
      <c r="SAB29" s="53"/>
      <c r="SAC29" s="53"/>
      <c r="SAD29" s="53"/>
      <c r="SAE29" s="53"/>
      <c r="SAF29" s="53"/>
      <c r="SAG29" s="53"/>
      <c r="SAH29" s="53"/>
      <c r="SAI29" s="53"/>
      <c r="SAJ29" s="53"/>
      <c r="SAK29" s="53"/>
      <c r="SAL29" s="53"/>
      <c r="SAM29" s="53"/>
      <c r="SAN29" s="53"/>
      <c r="SAO29" s="212"/>
      <c r="SAP29" s="46"/>
      <c r="SAQ29" s="53"/>
      <c r="SAR29" s="53"/>
      <c r="SAS29" s="53"/>
      <c r="SAT29" s="53"/>
      <c r="SAU29" s="53"/>
      <c r="SAV29" s="53"/>
      <c r="SAW29" s="53"/>
      <c r="SAX29" s="53"/>
      <c r="SAY29" s="53"/>
      <c r="SAZ29" s="53"/>
      <c r="SBA29" s="53"/>
      <c r="SBB29" s="53"/>
      <c r="SBC29" s="53"/>
      <c r="SBD29" s="212"/>
      <c r="SBE29" s="46"/>
      <c r="SBF29" s="53"/>
      <c r="SBG29" s="53"/>
      <c r="SBH29" s="53"/>
      <c r="SBI29" s="53"/>
      <c r="SBJ29" s="53"/>
      <c r="SBK29" s="53"/>
      <c r="SBL29" s="53"/>
      <c r="SBM29" s="53"/>
      <c r="SBN29" s="53"/>
      <c r="SBO29" s="53"/>
      <c r="SBP29" s="53"/>
      <c r="SBQ29" s="53"/>
      <c r="SBR29" s="53"/>
      <c r="SBS29" s="212"/>
      <c r="SBT29" s="46"/>
      <c r="SBU29" s="53"/>
      <c r="SBV29" s="53"/>
      <c r="SBW29" s="53"/>
      <c r="SBX29" s="53"/>
      <c r="SBY29" s="53"/>
      <c r="SBZ29" s="53"/>
      <c r="SCA29" s="53"/>
      <c r="SCB29" s="53"/>
      <c r="SCC29" s="53"/>
      <c r="SCD29" s="53"/>
      <c r="SCE29" s="53"/>
      <c r="SCF29" s="53"/>
      <c r="SCG29" s="53"/>
      <c r="SCH29" s="212"/>
      <c r="SCI29" s="46"/>
      <c r="SCJ29" s="53"/>
      <c r="SCK29" s="53"/>
      <c r="SCL29" s="53"/>
      <c r="SCM29" s="53"/>
      <c r="SCN29" s="53"/>
      <c r="SCO29" s="53"/>
      <c r="SCP29" s="53"/>
      <c r="SCQ29" s="53"/>
      <c r="SCR29" s="53"/>
      <c r="SCS29" s="53"/>
      <c r="SCT29" s="53"/>
      <c r="SCU29" s="53"/>
      <c r="SCV29" s="53"/>
      <c r="SCW29" s="212"/>
      <c r="SCX29" s="46"/>
      <c r="SCY29" s="53"/>
      <c r="SCZ29" s="53"/>
      <c r="SDA29" s="53"/>
      <c r="SDB29" s="53"/>
      <c r="SDC29" s="53"/>
      <c r="SDD29" s="53"/>
      <c r="SDE29" s="53"/>
      <c r="SDF29" s="53"/>
      <c r="SDG29" s="53"/>
      <c r="SDH29" s="53"/>
      <c r="SDI29" s="53"/>
      <c r="SDJ29" s="53"/>
      <c r="SDK29" s="53"/>
      <c r="SDL29" s="212"/>
      <c r="SDM29" s="46"/>
      <c r="SDN29" s="53"/>
      <c r="SDO29" s="53"/>
      <c r="SDP29" s="53"/>
      <c r="SDQ29" s="53"/>
      <c r="SDR29" s="53"/>
      <c r="SDS29" s="53"/>
      <c r="SDT29" s="53"/>
      <c r="SDU29" s="53"/>
      <c r="SDV29" s="53"/>
      <c r="SDW29" s="53"/>
      <c r="SDX29" s="53"/>
      <c r="SDY29" s="53"/>
      <c r="SDZ29" s="53"/>
      <c r="SEA29" s="212"/>
      <c r="SEB29" s="46"/>
      <c r="SEC29" s="53"/>
      <c r="SED29" s="53"/>
      <c r="SEE29" s="53"/>
      <c r="SEF29" s="53"/>
      <c r="SEG29" s="53"/>
      <c r="SEH29" s="53"/>
      <c r="SEI29" s="53"/>
      <c r="SEJ29" s="53"/>
      <c r="SEK29" s="53"/>
      <c r="SEL29" s="53"/>
      <c r="SEM29" s="53"/>
      <c r="SEN29" s="53"/>
      <c r="SEO29" s="53"/>
      <c r="SEP29" s="212"/>
      <c r="SEQ29" s="46"/>
      <c r="SER29" s="53"/>
      <c r="SES29" s="53"/>
      <c r="SET29" s="53"/>
      <c r="SEU29" s="53"/>
      <c r="SEV29" s="53"/>
      <c r="SEW29" s="53"/>
      <c r="SEX29" s="53"/>
      <c r="SEY29" s="53"/>
      <c r="SEZ29" s="53"/>
      <c r="SFA29" s="53"/>
      <c r="SFB29" s="53"/>
      <c r="SFC29" s="53"/>
      <c r="SFD29" s="53"/>
      <c r="SFE29" s="212"/>
      <c r="SFF29" s="46"/>
      <c r="SFG29" s="53"/>
      <c r="SFH29" s="53"/>
      <c r="SFI29" s="53"/>
      <c r="SFJ29" s="53"/>
      <c r="SFK29" s="53"/>
      <c r="SFL29" s="53"/>
      <c r="SFM29" s="53"/>
      <c r="SFN29" s="53"/>
      <c r="SFO29" s="53"/>
      <c r="SFP29" s="53"/>
      <c r="SFQ29" s="53"/>
      <c r="SFR29" s="53"/>
      <c r="SFS29" s="53"/>
      <c r="SFT29" s="212"/>
      <c r="SFU29" s="46"/>
      <c r="SFV29" s="53"/>
      <c r="SFW29" s="53"/>
      <c r="SFX29" s="53"/>
      <c r="SFY29" s="53"/>
      <c r="SFZ29" s="53"/>
      <c r="SGA29" s="53"/>
      <c r="SGB29" s="53"/>
      <c r="SGC29" s="53"/>
      <c r="SGD29" s="53"/>
      <c r="SGE29" s="53"/>
      <c r="SGF29" s="53"/>
      <c r="SGG29" s="53"/>
      <c r="SGH29" s="53"/>
      <c r="SGI29" s="212"/>
      <c r="SGJ29" s="46"/>
      <c r="SGK29" s="53"/>
      <c r="SGL29" s="53"/>
      <c r="SGM29" s="53"/>
      <c r="SGN29" s="53"/>
      <c r="SGO29" s="53"/>
      <c r="SGP29" s="53"/>
      <c r="SGQ29" s="53"/>
      <c r="SGR29" s="53"/>
      <c r="SGS29" s="53"/>
      <c r="SGT29" s="53"/>
      <c r="SGU29" s="53"/>
      <c r="SGV29" s="53"/>
      <c r="SGW29" s="53"/>
      <c r="SGX29" s="212"/>
      <c r="SGY29" s="46"/>
      <c r="SGZ29" s="53"/>
      <c r="SHA29" s="53"/>
      <c r="SHB29" s="53"/>
      <c r="SHC29" s="53"/>
      <c r="SHD29" s="53"/>
      <c r="SHE29" s="53"/>
      <c r="SHF29" s="53"/>
      <c r="SHG29" s="53"/>
      <c r="SHH29" s="53"/>
      <c r="SHI29" s="53"/>
      <c r="SHJ29" s="53"/>
      <c r="SHK29" s="53"/>
      <c r="SHL29" s="53"/>
      <c r="SHM29" s="212"/>
      <c r="SHN29" s="46"/>
      <c r="SHO29" s="53"/>
      <c r="SHP29" s="53"/>
      <c r="SHQ29" s="53"/>
      <c r="SHR29" s="53"/>
      <c r="SHS29" s="53"/>
      <c r="SHT29" s="53"/>
      <c r="SHU29" s="53"/>
      <c r="SHV29" s="53"/>
      <c r="SHW29" s="53"/>
      <c r="SHX29" s="53"/>
      <c r="SHY29" s="53"/>
      <c r="SHZ29" s="53"/>
      <c r="SIA29" s="53"/>
      <c r="SIB29" s="212"/>
      <c r="SIC29" s="46"/>
      <c r="SID29" s="53"/>
      <c r="SIE29" s="53"/>
      <c r="SIF29" s="53"/>
      <c r="SIG29" s="53"/>
      <c r="SIH29" s="53"/>
      <c r="SII29" s="53"/>
      <c r="SIJ29" s="53"/>
      <c r="SIK29" s="53"/>
      <c r="SIL29" s="53"/>
      <c r="SIM29" s="53"/>
      <c r="SIN29" s="53"/>
      <c r="SIO29" s="53"/>
      <c r="SIP29" s="53"/>
      <c r="SIQ29" s="212"/>
      <c r="SIR29" s="46"/>
      <c r="SIS29" s="53"/>
      <c r="SIT29" s="53"/>
      <c r="SIU29" s="53"/>
      <c r="SIV29" s="53"/>
      <c r="SIW29" s="53"/>
      <c r="SIX29" s="53"/>
      <c r="SIY29" s="53"/>
      <c r="SIZ29" s="53"/>
      <c r="SJA29" s="53"/>
      <c r="SJB29" s="53"/>
      <c r="SJC29" s="53"/>
      <c r="SJD29" s="53"/>
      <c r="SJE29" s="53"/>
      <c r="SJF29" s="212"/>
      <c r="SJG29" s="46"/>
      <c r="SJH29" s="53"/>
      <c r="SJI29" s="53"/>
      <c r="SJJ29" s="53"/>
      <c r="SJK29" s="53"/>
      <c r="SJL29" s="53"/>
      <c r="SJM29" s="53"/>
      <c r="SJN29" s="53"/>
      <c r="SJO29" s="53"/>
      <c r="SJP29" s="53"/>
      <c r="SJQ29" s="53"/>
      <c r="SJR29" s="53"/>
      <c r="SJS29" s="53"/>
      <c r="SJT29" s="53"/>
      <c r="SJU29" s="212"/>
      <c r="SJV29" s="46"/>
      <c r="SJW29" s="53"/>
      <c r="SJX29" s="53"/>
      <c r="SJY29" s="53"/>
      <c r="SJZ29" s="53"/>
      <c r="SKA29" s="53"/>
      <c r="SKB29" s="53"/>
      <c r="SKC29" s="53"/>
      <c r="SKD29" s="53"/>
      <c r="SKE29" s="53"/>
      <c r="SKF29" s="53"/>
      <c r="SKG29" s="53"/>
      <c r="SKH29" s="53"/>
      <c r="SKI29" s="53"/>
      <c r="SKJ29" s="212"/>
      <c r="SKK29" s="46"/>
      <c r="SKL29" s="53"/>
      <c r="SKM29" s="53"/>
      <c r="SKN29" s="53"/>
      <c r="SKO29" s="53"/>
      <c r="SKP29" s="53"/>
      <c r="SKQ29" s="53"/>
      <c r="SKR29" s="53"/>
      <c r="SKS29" s="53"/>
      <c r="SKT29" s="53"/>
      <c r="SKU29" s="53"/>
      <c r="SKV29" s="53"/>
      <c r="SKW29" s="53"/>
      <c r="SKX29" s="53"/>
      <c r="SKY29" s="212"/>
      <c r="SKZ29" s="46"/>
      <c r="SLA29" s="53"/>
      <c r="SLB29" s="53"/>
      <c r="SLC29" s="53"/>
      <c r="SLD29" s="53"/>
      <c r="SLE29" s="53"/>
      <c r="SLF29" s="53"/>
      <c r="SLG29" s="53"/>
      <c r="SLH29" s="53"/>
      <c r="SLI29" s="53"/>
      <c r="SLJ29" s="53"/>
      <c r="SLK29" s="53"/>
      <c r="SLL29" s="53"/>
      <c r="SLM29" s="53"/>
      <c r="SLN29" s="212"/>
      <c r="SLO29" s="46"/>
      <c r="SLP29" s="53"/>
      <c r="SLQ29" s="53"/>
      <c r="SLR29" s="53"/>
      <c r="SLS29" s="53"/>
      <c r="SLT29" s="53"/>
      <c r="SLU29" s="53"/>
      <c r="SLV29" s="53"/>
      <c r="SLW29" s="53"/>
      <c r="SLX29" s="53"/>
      <c r="SLY29" s="53"/>
      <c r="SLZ29" s="53"/>
      <c r="SMA29" s="53"/>
      <c r="SMB29" s="53"/>
      <c r="SMC29" s="212"/>
      <c r="SMD29" s="46"/>
      <c r="SME29" s="53"/>
      <c r="SMF29" s="53"/>
      <c r="SMG29" s="53"/>
      <c r="SMH29" s="53"/>
      <c r="SMI29" s="53"/>
      <c r="SMJ29" s="53"/>
      <c r="SMK29" s="53"/>
      <c r="SML29" s="53"/>
      <c r="SMM29" s="53"/>
      <c r="SMN29" s="53"/>
      <c r="SMO29" s="53"/>
      <c r="SMP29" s="53"/>
      <c r="SMQ29" s="53"/>
      <c r="SMR29" s="212"/>
      <c r="SMS29" s="46"/>
      <c r="SMT29" s="53"/>
      <c r="SMU29" s="53"/>
      <c r="SMV29" s="53"/>
      <c r="SMW29" s="53"/>
      <c r="SMX29" s="53"/>
      <c r="SMY29" s="53"/>
      <c r="SMZ29" s="53"/>
      <c r="SNA29" s="53"/>
      <c r="SNB29" s="53"/>
      <c r="SNC29" s="53"/>
      <c r="SND29" s="53"/>
      <c r="SNE29" s="53"/>
      <c r="SNF29" s="53"/>
      <c r="SNG29" s="212"/>
      <c r="SNH29" s="46"/>
      <c r="SNI29" s="53"/>
      <c r="SNJ29" s="53"/>
      <c r="SNK29" s="53"/>
      <c r="SNL29" s="53"/>
      <c r="SNM29" s="53"/>
      <c r="SNN29" s="53"/>
      <c r="SNO29" s="53"/>
      <c r="SNP29" s="53"/>
      <c r="SNQ29" s="53"/>
      <c r="SNR29" s="53"/>
      <c r="SNS29" s="53"/>
      <c r="SNT29" s="53"/>
      <c r="SNU29" s="53"/>
      <c r="SNV29" s="212"/>
      <c r="SNW29" s="46"/>
      <c r="SNX29" s="53"/>
      <c r="SNY29" s="53"/>
      <c r="SNZ29" s="53"/>
      <c r="SOA29" s="53"/>
      <c r="SOB29" s="53"/>
      <c r="SOC29" s="53"/>
      <c r="SOD29" s="53"/>
      <c r="SOE29" s="53"/>
      <c r="SOF29" s="53"/>
      <c r="SOG29" s="53"/>
      <c r="SOH29" s="53"/>
      <c r="SOI29" s="53"/>
      <c r="SOJ29" s="53"/>
      <c r="SOK29" s="212"/>
      <c r="SOL29" s="46"/>
      <c r="SOM29" s="53"/>
      <c r="SON29" s="53"/>
      <c r="SOO29" s="53"/>
      <c r="SOP29" s="53"/>
      <c r="SOQ29" s="53"/>
      <c r="SOR29" s="53"/>
      <c r="SOS29" s="53"/>
      <c r="SOT29" s="53"/>
      <c r="SOU29" s="53"/>
      <c r="SOV29" s="53"/>
      <c r="SOW29" s="53"/>
      <c r="SOX29" s="53"/>
      <c r="SOY29" s="53"/>
      <c r="SOZ29" s="212"/>
      <c r="SPA29" s="46"/>
      <c r="SPB29" s="53"/>
      <c r="SPC29" s="53"/>
      <c r="SPD29" s="53"/>
      <c r="SPE29" s="53"/>
      <c r="SPF29" s="53"/>
      <c r="SPG29" s="53"/>
      <c r="SPH29" s="53"/>
      <c r="SPI29" s="53"/>
      <c r="SPJ29" s="53"/>
      <c r="SPK29" s="53"/>
      <c r="SPL29" s="53"/>
      <c r="SPM29" s="53"/>
      <c r="SPN29" s="53"/>
      <c r="SPO29" s="212"/>
      <c r="SPP29" s="46"/>
      <c r="SPQ29" s="53"/>
      <c r="SPR29" s="53"/>
      <c r="SPS29" s="53"/>
      <c r="SPT29" s="53"/>
      <c r="SPU29" s="53"/>
      <c r="SPV29" s="53"/>
      <c r="SPW29" s="53"/>
      <c r="SPX29" s="53"/>
      <c r="SPY29" s="53"/>
      <c r="SPZ29" s="53"/>
      <c r="SQA29" s="53"/>
      <c r="SQB29" s="53"/>
      <c r="SQC29" s="53"/>
      <c r="SQD29" s="212"/>
      <c r="SQE29" s="46"/>
      <c r="SQF29" s="53"/>
      <c r="SQG29" s="53"/>
      <c r="SQH29" s="53"/>
      <c r="SQI29" s="53"/>
      <c r="SQJ29" s="53"/>
      <c r="SQK29" s="53"/>
      <c r="SQL29" s="53"/>
      <c r="SQM29" s="53"/>
      <c r="SQN29" s="53"/>
      <c r="SQO29" s="53"/>
      <c r="SQP29" s="53"/>
      <c r="SQQ29" s="53"/>
      <c r="SQR29" s="53"/>
      <c r="SQS29" s="212"/>
      <c r="SQT29" s="46"/>
      <c r="SQU29" s="53"/>
      <c r="SQV29" s="53"/>
      <c r="SQW29" s="53"/>
      <c r="SQX29" s="53"/>
      <c r="SQY29" s="53"/>
      <c r="SQZ29" s="53"/>
      <c r="SRA29" s="53"/>
      <c r="SRB29" s="53"/>
      <c r="SRC29" s="53"/>
      <c r="SRD29" s="53"/>
      <c r="SRE29" s="53"/>
      <c r="SRF29" s="53"/>
      <c r="SRG29" s="53"/>
      <c r="SRH29" s="212"/>
      <c r="SRI29" s="46"/>
      <c r="SRJ29" s="53"/>
      <c r="SRK29" s="53"/>
      <c r="SRL29" s="53"/>
      <c r="SRM29" s="53"/>
      <c r="SRN29" s="53"/>
      <c r="SRO29" s="53"/>
      <c r="SRP29" s="53"/>
      <c r="SRQ29" s="53"/>
      <c r="SRR29" s="53"/>
      <c r="SRS29" s="53"/>
      <c r="SRT29" s="53"/>
      <c r="SRU29" s="53"/>
      <c r="SRV29" s="53"/>
      <c r="SRW29" s="212"/>
      <c r="SRX29" s="46"/>
      <c r="SRY29" s="53"/>
      <c r="SRZ29" s="53"/>
      <c r="SSA29" s="53"/>
      <c r="SSB29" s="53"/>
      <c r="SSC29" s="53"/>
      <c r="SSD29" s="53"/>
      <c r="SSE29" s="53"/>
      <c r="SSF29" s="53"/>
      <c r="SSG29" s="53"/>
      <c r="SSH29" s="53"/>
      <c r="SSI29" s="53"/>
      <c r="SSJ29" s="53"/>
      <c r="SSK29" s="53"/>
      <c r="SSL29" s="212"/>
      <c r="SSM29" s="46"/>
      <c r="SSN29" s="53"/>
      <c r="SSO29" s="53"/>
      <c r="SSP29" s="53"/>
      <c r="SSQ29" s="53"/>
      <c r="SSR29" s="53"/>
      <c r="SSS29" s="53"/>
      <c r="SST29" s="53"/>
      <c r="SSU29" s="53"/>
      <c r="SSV29" s="53"/>
      <c r="SSW29" s="53"/>
      <c r="SSX29" s="53"/>
      <c r="SSY29" s="53"/>
      <c r="SSZ29" s="53"/>
      <c r="STA29" s="212"/>
      <c r="STB29" s="46"/>
      <c r="STC29" s="53"/>
      <c r="STD29" s="53"/>
      <c r="STE29" s="53"/>
      <c r="STF29" s="53"/>
      <c r="STG29" s="53"/>
      <c r="STH29" s="53"/>
      <c r="STI29" s="53"/>
      <c r="STJ29" s="53"/>
      <c r="STK29" s="53"/>
      <c r="STL29" s="53"/>
      <c r="STM29" s="53"/>
      <c r="STN29" s="53"/>
      <c r="STO29" s="53"/>
      <c r="STP29" s="212"/>
      <c r="STQ29" s="46"/>
      <c r="STR29" s="53"/>
      <c r="STS29" s="53"/>
      <c r="STT29" s="53"/>
      <c r="STU29" s="53"/>
      <c r="STV29" s="53"/>
      <c r="STW29" s="53"/>
      <c r="STX29" s="53"/>
      <c r="STY29" s="53"/>
      <c r="STZ29" s="53"/>
      <c r="SUA29" s="53"/>
      <c r="SUB29" s="53"/>
      <c r="SUC29" s="53"/>
      <c r="SUD29" s="53"/>
      <c r="SUE29" s="212"/>
      <c r="SUF29" s="46"/>
      <c r="SUG29" s="53"/>
      <c r="SUH29" s="53"/>
      <c r="SUI29" s="53"/>
      <c r="SUJ29" s="53"/>
      <c r="SUK29" s="53"/>
      <c r="SUL29" s="53"/>
      <c r="SUM29" s="53"/>
      <c r="SUN29" s="53"/>
      <c r="SUO29" s="53"/>
      <c r="SUP29" s="53"/>
      <c r="SUQ29" s="53"/>
      <c r="SUR29" s="53"/>
      <c r="SUS29" s="53"/>
      <c r="SUT29" s="212"/>
      <c r="SUU29" s="46"/>
      <c r="SUV29" s="53"/>
      <c r="SUW29" s="53"/>
      <c r="SUX29" s="53"/>
      <c r="SUY29" s="53"/>
      <c r="SUZ29" s="53"/>
      <c r="SVA29" s="53"/>
      <c r="SVB29" s="53"/>
      <c r="SVC29" s="53"/>
      <c r="SVD29" s="53"/>
      <c r="SVE29" s="53"/>
      <c r="SVF29" s="53"/>
      <c r="SVG29" s="53"/>
      <c r="SVH29" s="53"/>
      <c r="SVI29" s="212"/>
      <c r="SVJ29" s="46"/>
      <c r="SVK29" s="53"/>
      <c r="SVL29" s="53"/>
      <c r="SVM29" s="53"/>
      <c r="SVN29" s="53"/>
      <c r="SVO29" s="53"/>
      <c r="SVP29" s="53"/>
      <c r="SVQ29" s="53"/>
      <c r="SVR29" s="53"/>
      <c r="SVS29" s="53"/>
      <c r="SVT29" s="53"/>
      <c r="SVU29" s="53"/>
      <c r="SVV29" s="53"/>
      <c r="SVW29" s="53"/>
      <c r="SVX29" s="212"/>
      <c r="SVY29" s="46"/>
      <c r="SVZ29" s="53"/>
      <c r="SWA29" s="53"/>
      <c r="SWB29" s="53"/>
      <c r="SWC29" s="53"/>
      <c r="SWD29" s="53"/>
      <c r="SWE29" s="53"/>
      <c r="SWF29" s="53"/>
      <c r="SWG29" s="53"/>
      <c r="SWH29" s="53"/>
      <c r="SWI29" s="53"/>
      <c r="SWJ29" s="53"/>
      <c r="SWK29" s="53"/>
      <c r="SWL29" s="53"/>
      <c r="SWM29" s="212"/>
      <c r="SWN29" s="46"/>
      <c r="SWO29" s="53"/>
      <c r="SWP29" s="53"/>
      <c r="SWQ29" s="53"/>
      <c r="SWR29" s="53"/>
      <c r="SWS29" s="53"/>
      <c r="SWT29" s="53"/>
      <c r="SWU29" s="53"/>
      <c r="SWV29" s="53"/>
      <c r="SWW29" s="53"/>
      <c r="SWX29" s="53"/>
      <c r="SWY29" s="53"/>
      <c r="SWZ29" s="53"/>
      <c r="SXA29" s="53"/>
      <c r="SXB29" s="212"/>
      <c r="SXC29" s="46"/>
      <c r="SXD29" s="53"/>
      <c r="SXE29" s="53"/>
      <c r="SXF29" s="53"/>
      <c r="SXG29" s="53"/>
      <c r="SXH29" s="53"/>
      <c r="SXI29" s="53"/>
      <c r="SXJ29" s="53"/>
      <c r="SXK29" s="53"/>
      <c r="SXL29" s="53"/>
      <c r="SXM29" s="53"/>
      <c r="SXN29" s="53"/>
      <c r="SXO29" s="53"/>
      <c r="SXP29" s="53"/>
      <c r="SXQ29" s="212"/>
      <c r="SXR29" s="46"/>
      <c r="SXS29" s="53"/>
      <c r="SXT29" s="53"/>
      <c r="SXU29" s="53"/>
      <c r="SXV29" s="53"/>
      <c r="SXW29" s="53"/>
      <c r="SXX29" s="53"/>
      <c r="SXY29" s="53"/>
      <c r="SXZ29" s="53"/>
      <c r="SYA29" s="53"/>
      <c r="SYB29" s="53"/>
      <c r="SYC29" s="53"/>
      <c r="SYD29" s="53"/>
      <c r="SYE29" s="53"/>
      <c r="SYF29" s="212"/>
      <c r="SYG29" s="46"/>
      <c r="SYH29" s="53"/>
      <c r="SYI29" s="53"/>
      <c r="SYJ29" s="53"/>
      <c r="SYK29" s="53"/>
      <c r="SYL29" s="53"/>
      <c r="SYM29" s="53"/>
      <c r="SYN29" s="53"/>
      <c r="SYO29" s="53"/>
      <c r="SYP29" s="53"/>
      <c r="SYQ29" s="53"/>
      <c r="SYR29" s="53"/>
      <c r="SYS29" s="53"/>
      <c r="SYT29" s="53"/>
      <c r="SYU29" s="212"/>
      <c r="SYV29" s="46"/>
      <c r="SYW29" s="53"/>
      <c r="SYX29" s="53"/>
      <c r="SYY29" s="53"/>
      <c r="SYZ29" s="53"/>
      <c r="SZA29" s="53"/>
      <c r="SZB29" s="53"/>
      <c r="SZC29" s="53"/>
      <c r="SZD29" s="53"/>
      <c r="SZE29" s="53"/>
      <c r="SZF29" s="53"/>
      <c r="SZG29" s="53"/>
      <c r="SZH29" s="53"/>
      <c r="SZI29" s="53"/>
      <c r="SZJ29" s="212"/>
      <c r="SZK29" s="46"/>
      <c r="SZL29" s="53"/>
      <c r="SZM29" s="53"/>
      <c r="SZN29" s="53"/>
      <c r="SZO29" s="53"/>
      <c r="SZP29" s="53"/>
      <c r="SZQ29" s="53"/>
      <c r="SZR29" s="53"/>
      <c r="SZS29" s="53"/>
      <c r="SZT29" s="53"/>
      <c r="SZU29" s="53"/>
      <c r="SZV29" s="53"/>
      <c r="SZW29" s="53"/>
      <c r="SZX29" s="53"/>
      <c r="SZY29" s="212"/>
      <c r="SZZ29" s="46"/>
      <c r="TAA29" s="53"/>
      <c r="TAB29" s="53"/>
      <c r="TAC29" s="53"/>
      <c r="TAD29" s="53"/>
      <c r="TAE29" s="53"/>
      <c r="TAF29" s="53"/>
      <c r="TAG29" s="53"/>
      <c r="TAH29" s="53"/>
      <c r="TAI29" s="53"/>
      <c r="TAJ29" s="53"/>
      <c r="TAK29" s="53"/>
      <c r="TAL29" s="53"/>
      <c r="TAM29" s="53"/>
      <c r="TAN29" s="212"/>
      <c r="TAO29" s="46"/>
      <c r="TAP29" s="53"/>
      <c r="TAQ29" s="53"/>
      <c r="TAR29" s="53"/>
      <c r="TAS29" s="53"/>
      <c r="TAT29" s="53"/>
      <c r="TAU29" s="53"/>
      <c r="TAV29" s="53"/>
      <c r="TAW29" s="53"/>
      <c r="TAX29" s="53"/>
      <c r="TAY29" s="53"/>
      <c r="TAZ29" s="53"/>
      <c r="TBA29" s="53"/>
      <c r="TBB29" s="53"/>
      <c r="TBC29" s="212"/>
      <c r="TBD29" s="46"/>
      <c r="TBE29" s="53"/>
      <c r="TBF29" s="53"/>
      <c r="TBG29" s="53"/>
      <c r="TBH29" s="53"/>
      <c r="TBI29" s="53"/>
      <c r="TBJ29" s="53"/>
      <c r="TBK29" s="53"/>
      <c r="TBL29" s="53"/>
      <c r="TBM29" s="53"/>
      <c r="TBN29" s="53"/>
      <c r="TBO29" s="53"/>
      <c r="TBP29" s="53"/>
      <c r="TBQ29" s="53"/>
      <c r="TBR29" s="212"/>
      <c r="TBS29" s="46"/>
      <c r="TBT29" s="53"/>
      <c r="TBU29" s="53"/>
      <c r="TBV29" s="53"/>
      <c r="TBW29" s="53"/>
      <c r="TBX29" s="53"/>
      <c r="TBY29" s="53"/>
      <c r="TBZ29" s="53"/>
      <c r="TCA29" s="53"/>
      <c r="TCB29" s="53"/>
      <c r="TCC29" s="53"/>
      <c r="TCD29" s="53"/>
      <c r="TCE29" s="53"/>
      <c r="TCF29" s="53"/>
      <c r="TCG29" s="212"/>
      <c r="TCH29" s="46"/>
      <c r="TCI29" s="53"/>
      <c r="TCJ29" s="53"/>
      <c r="TCK29" s="53"/>
      <c r="TCL29" s="53"/>
      <c r="TCM29" s="53"/>
      <c r="TCN29" s="53"/>
      <c r="TCO29" s="53"/>
      <c r="TCP29" s="53"/>
      <c r="TCQ29" s="53"/>
      <c r="TCR29" s="53"/>
      <c r="TCS29" s="53"/>
      <c r="TCT29" s="53"/>
      <c r="TCU29" s="53"/>
      <c r="TCV29" s="212"/>
      <c r="TCW29" s="46"/>
      <c r="TCX29" s="53"/>
      <c r="TCY29" s="53"/>
      <c r="TCZ29" s="53"/>
      <c r="TDA29" s="53"/>
      <c r="TDB29" s="53"/>
      <c r="TDC29" s="53"/>
      <c r="TDD29" s="53"/>
      <c r="TDE29" s="53"/>
      <c r="TDF29" s="53"/>
      <c r="TDG29" s="53"/>
      <c r="TDH29" s="53"/>
      <c r="TDI29" s="53"/>
      <c r="TDJ29" s="53"/>
      <c r="TDK29" s="212"/>
      <c r="TDL29" s="46"/>
      <c r="TDM29" s="53"/>
      <c r="TDN29" s="53"/>
      <c r="TDO29" s="53"/>
      <c r="TDP29" s="53"/>
      <c r="TDQ29" s="53"/>
      <c r="TDR29" s="53"/>
      <c r="TDS29" s="53"/>
      <c r="TDT29" s="53"/>
      <c r="TDU29" s="53"/>
      <c r="TDV29" s="53"/>
      <c r="TDW29" s="53"/>
      <c r="TDX29" s="53"/>
      <c r="TDY29" s="53"/>
      <c r="TDZ29" s="212"/>
      <c r="TEA29" s="46"/>
      <c r="TEB29" s="53"/>
      <c r="TEC29" s="53"/>
      <c r="TED29" s="53"/>
      <c r="TEE29" s="53"/>
      <c r="TEF29" s="53"/>
      <c r="TEG29" s="53"/>
      <c r="TEH29" s="53"/>
      <c r="TEI29" s="53"/>
      <c r="TEJ29" s="53"/>
      <c r="TEK29" s="53"/>
      <c r="TEL29" s="53"/>
      <c r="TEM29" s="53"/>
      <c r="TEN29" s="53"/>
      <c r="TEO29" s="212"/>
      <c r="TEP29" s="46"/>
      <c r="TEQ29" s="53"/>
      <c r="TER29" s="53"/>
      <c r="TES29" s="53"/>
      <c r="TET29" s="53"/>
      <c r="TEU29" s="53"/>
      <c r="TEV29" s="53"/>
      <c r="TEW29" s="53"/>
      <c r="TEX29" s="53"/>
      <c r="TEY29" s="53"/>
      <c r="TEZ29" s="53"/>
      <c r="TFA29" s="53"/>
      <c r="TFB29" s="53"/>
      <c r="TFC29" s="53"/>
      <c r="TFD29" s="212"/>
      <c r="TFE29" s="46"/>
      <c r="TFF29" s="53"/>
      <c r="TFG29" s="53"/>
      <c r="TFH29" s="53"/>
      <c r="TFI29" s="53"/>
      <c r="TFJ29" s="53"/>
      <c r="TFK29" s="53"/>
      <c r="TFL29" s="53"/>
      <c r="TFM29" s="53"/>
      <c r="TFN29" s="53"/>
      <c r="TFO29" s="53"/>
      <c r="TFP29" s="53"/>
      <c r="TFQ29" s="53"/>
      <c r="TFR29" s="53"/>
      <c r="TFS29" s="212"/>
      <c r="TFT29" s="46"/>
      <c r="TFU29" s="53"/>
      <c r="TFV29" s="53"/>
      <c r="TFW29" s="53"/>
      <c r="TFX29" s="53"/>
      <c r="TFY29" s="53"/>
      <c r="TFZ29" s="53"/>
      <c r="TGA29" s="53"/>
      <c r="TGB29" s="53"/>
      <c r="TGC29" s="53"/>
      <c r="TGD29" s="53"/>
      <c r="TGE29" s="53"/>
      <c r="TGF29" s="53"/>
      <c r="TGG29" s="53"/>
      <c r="TGH29" s="212"/>
      <c r="TGI29" s="46"/>
      <c r="TGJ29" s="53"/>
      <c r="TGK29" s="53"/>
      <c r="TGL29" s="53"/>
      <c r="TGM29" s="53"/>
      <c r="TGN29" s="53"/>
      <c r="TGO29" s="53"/>
      <c r="TGP29" s="53"/>
      <c r="TGQ29" s="53"/>
      <c r="TGR29" s="53"/>
      <c r="TGS29" s="53"/>
      <c r="TGT29" s="53"/>
      <c r="TGU29" s="53"/>
      <c r="TGV29" s="53"/>
      <c r="TGW29" s="212"/>
      <c r="TGX29" s="46"/>
      <c r="TGY29" s="53"/>
      <c r="TGZ29" s="53"/>
      <c r="THA29" s="53"/>
      <c r="THB29" s="53"/>
      <c r="THC29" s="53"/>
      <c r="THD29" s="53"/>
      <c r="THE29" s="53"/>
      <c r="THF29" s="53"/>
      <c r="THG29" s="53"/>
      <c r="THH29" s="53"/>
      <c r="THI29" s="53"/>
      <c r="THJ29" s="53"/>
      <c r="THK29" s="53"/>
      <c r="THL29" s="212"/>
      <c r="THM29" s="46"/>
      <c r="THN29" s="53"/>
      <c r="THO29" s="53"/>
      <c r="THP29" s="53"/>
      <c r="THQ29" s="53"/>
      <c r="THR29" s="53"/>
      <c r="THS29" s="53"/>
      <c r="THT29" s="53"/>
      <c r="THU29" s="53"/>
      <c r="THV29" s="53"/>
      <c r="THW29" s="53"/>
      <c r="THX29" s="53"/>
      <c r="THY29" s="53"/>
      <c r="THZ29" s="53"/>
      <c r="TIA29" s="212"/>
      <c r="TIB29" s="46"/>
      <c r="TIC29" s="53"/>
      <c r="TID29" s="53"/>
      <c r="TIE29" s="53"/>
      <c r="TIF29" s="53"/>
      <c r="TIG29" s="53"/>
      <c r="TIH29" s="53"/>
      <c r="TII29" s="53"/>
      <c r="TIJ29" s="53"/>
      <c r="TIK29" s="53"/>
      <c r="TIL29" s="53"/>
      <c r="TIM29" s="53"/>
      <c r="TIN29" s="53"/>
      <c r="TIO29" s="53"/>
      <c r="TIP29" s="212"/>
      <c r="TIQ29" s="46"/>
      <c r="TIR29" s="53"/>
      <c r="TIS29" s="53"/>
      <c r="TIT29" s="53"/>
      <c r="TIU29" s="53"/>
      <c r="TIV29" s="53"/>
      <c r="TIW29" s="53"/>
      <c r="TIX29" s="53"/>
      <c r="TIY29" s="53"/>
      <c r="TIZ29" s="53"/>
      <c r="TJA29" s="53"/>
      <c r="TJB29" s="53"/>
      <c r="TJC29" s="53"/>
      <c r="TJD29" s="53"/>
      <c r="TJE29" s="212"/>
      <c r="TJF29" s="46"/>
      <c r="TJG29" s="53"/>
      <c r="TJH29" s="53"/>
      <c r="TJI29" s="53"/>
      <c r="TJJ29" s="53"/>
      <c r="TJK29" s="53"/>
      <c r="TJL29" s="53"/>
      <c r="TJM29" s="53"/>
      <c r="TJN29" s="53"/>
      <c r="TJO29" s="53"/>
      <c r="TJP29" s="53"/>
      <c r="TJQ29" s="53"/>
      <c r="TJR29" s="53"/>
      <c r="TJS29" s="53"/>
      <c r="TJT29" s="212"/>
      <c r="TJU29" s="46"/>
      <c r="TJV29" s="53"/>
      <c r="TJW29" s="53"/>
      <c r="TJX29" s="53"/>
      <c r="TJY29" s="53"/>
      <c r="TJZ29" s="53"/>
      <c r="TKA29" s="53"/>
      <c r="TKB29" s="53"/>
      <c r="TKC29" s="53"/>
      <c r="TKD29" s="53"/>
      <c r="TKE29" s="53"/>
      <c r="TKF29" s="53"/>
      <c r="TKG29" s="53"/>
      <c r="TKH29" s="53"/>
      <c r="TKI29" s="212"/>
      <c r="TKJ29" s="46"/>
      <c r="TKK29" s="53"/>
      <c r="TKL29" s="53"/>
      <c r="TKM29" s="53"/>
      <c r="TKN29" s="53"/>
      <c r="TKO29" s="53"/>
      <c r="TKP29" s="53"/>
      <c r="TKQ29" s="53"/>
      <c r="TKR29" s="53"/>
      <c r="TKS29" s="53"/>
      <c r="TKT29" s="53"/>
      <c r="TKU29" s="53"/>
      <c r="TKV29" s="53"/>
      <c r="TKW29" s="53"/>
      <c r="TKX29" s="212"/>
      <c r="TKY29" s="46"/>
      <c r="TKZ29" s="53"/>
      <c r="TLA29" s="53"/>
      <c r="TLB29" s="53"/>
      <c r="TLC29" s="53"/>
      <c r="TLD29" s="53"/>
      <c r="TLE29" s="53"/>
      <c r="TLF29" s="53"/>
      <c r="TLG29" s="53"/>
      <c r="TLH29" s="53"/>
      <c r="TLI29" s="53"/>
      <c r="TLJ29" s="53"/>
      <c r="TLK29" s="53"/>
      <c r="TLL29" s="53"/>
      <c r="TLM29" s="212"/>
      <c r="TLN29" s="46"/>
      <c r="TLO29" s="53"/>
      <c r="TLP29" s="53"/>
      <c r="TLQ29" s="53"/>
      <c r="TLR29" s="53"/>
      <c r="TLS29" s="53"/>
      <c r="TLT29" s="53"/>
      <c r="TLU29" s="53"/>
      <c r="TLV29" s="53"/>
      <c r="TLW29" s="53"/>
      <c r="TLX29" s="53"/>
      <c r="TLY29" s="53"/>
      <c r="TLZ29" s="53"/>
      <c r="TMA29" s="53"/>
      <c r="TMB29" s="212"/>
      <c r="TMC29" s="46"/>
      <c r="TMD29" s="53"/>
      <c r="TME29" s="53"/>
      <c r="TMF29" s="53"/>
      <c r="TMG29" s="53"/>
      <c r="TMH29" s="53"/>
      <c r="TMI29" s="53"/>
      <c r="TMJ29" s="53"/>
      <c r="TMK29" s="53"/>
      <c r="TML29" s="53"/>
      <c r="TMM29" s="53"/>
      <c r="TMN29" s="53"/>
      <c r="TMO29" s="53"/>
      <c r="TMP29" s="53"/>
      <c r="TMQ29" s="212"/>
      <c r="TMR29" s="46"/>
      <c r="TMS29" s="53"/>
      <c r="TMT29" s="53"/>
      <c r="TMU29" s="53"/>
      <c r="TMV29" s="53"/>
      <c r="TMW29" s="53"/>
      <c r="TMX29" s="53"/>
      <c r="TMY29" s="53"/>
      <c r="TMZ29" s="53"/>
      <c r="TNA29" s="53"/>
      <c r="TNB29" s="53"/>
      <c r="TNC29" s="53"/>
      <c r="TND29" s="53"/>
      <c r="TNE29" s="53"/>
      <c r="TNF29" s="212"/>
      <c r="TNG29" s="46"/>
      <c r="TNH29" s="53"/>
      <c r="TNI29" s="53"/>
      <c r="TNJ29" s="53"/>
      <c r="TNK29" s="53"/>
      <c r="TNL29" s="53"/>
      <c r="TNM29" s="53"/>
      <c r="TNN29" s="53"/>
      <c r="TNO29" s="53"/>
      <c r="TNP29" s="53"/>
      <c r="TNQ29" s="53"/>
      <c r="TNR29" s="53"/>
      <c r="TNS29" s="53"/>
      <c r="TNT29" s="53"/>
      <c r="TNU29" s="212"/>
      <c r="TNV29" s="46"/>
      <c r="TNW29" s="53"/>
      <c r="TNX29" s="53"/>
      <c r="TNY29" s="53"/>
      <c r="TNZ29" s="53"/>
      <c r="TOA29" s="53"/>
      <c r="TOB29" s="53"/>
      <c r="TOC29" s="53"/>
      <c r="TOD29" s="53"/>
      <c r="TOE29" s="53"/>
      <c r="TOF29" s="53"/>
      <c r="TOG29" s="53"/>
      <c r="TOH29" s="53"/>
      <c r="TOI29" s="53"/>
      <c r="TOJ29" s="212"/>
      <c r="TOK29" s="46"/>
      <c r="TOL29" s="53"/>
      <c r="TOM29" s="53"/>
      <c r="TON29" s="53"/>
      <c r="TOO29" s="53"/>
      <c r="TOP29" s="53"/>
      <c r="TOQ29" s="53"/>
      <c r="TOR29" s="53"/>
      <c r="TOS29" s="53"/>
      <c r="TOT29" s="53"/>
      <c r="TOU29" s="53"/>
      <c r="TOV29" s="53"/>
      <c r="TOW29" s="53"/>
      <c r="TOX29" s="53"/>
      <c r="TOY29" s="212"/>
      <c r="TOZ29" s="46"/>
      <c r="TPA29" s="53"/>
      <c r="TPB29" s="53"/>
      <c r="TPC29" s="53"/>
      <c r="TPD29" s="53"/>
      <c r="TPE29" s="53"/>
      <c r="TPF29" s="53"/>
      <c r="TPG29" s="53"/>
      <c r="TPH29" s="53"/>
      <c r="TPI29" s="53"/>
      <c r="TPJ29" s="53"/>
      <c r="TPK29" s="53"/>
      <c r="TPL29" s="53"/>
      <c r="TPM29" s="53"/>
      <c r="TPN29" s="212"/>
      <c r="TPO29" s="46"/>
      <c r="TPP29" s="53"/>
      <c r="TPQ29" s="53"/>
      <c r="TPR29" s="53"/>
      <c r="TPS29" s="53"/>
      <c r="TPT29" s="53"/>
      <c r="TPU29" s="53"/>
      <c r="TPV29" s="53"/>
      <c r="TPW29" s="53"/>
      <c r="TPX29" s="53"/>
      <c r="TPY29" s="53"/>
      <c r="TPZ29" s="53"/>
      <c r="TQA29" s="53"/>
      <c r="TQB29" s="53"/>
      <c r="TQC29" s="212"/>
      <c r="TQD29" s="46"/>
      <c r="TQE29" s="53"/>
      <c r="TQF29" s="53"/>
      <c r="TQG29" s="53"/>
      <c r="TQH29" s="53"/>
      <c r="TQI29" s="53"/>
      <c r="TQJ29" s="53"/>
      <c r="TQK29" s="53"/>
      <c r="TQL29" s="53"/>
      <c r="TQM29" s="53"/>
      <c r="TQN29" s="53"/>
      <c r="TQO29" s="53"/>
      <c r="TQP29" s="53"/>
      <c r="TQQ29" s="53"/>
      <c r="TQR29" s="212"/>
      <c r="TQS29" s="46"/>
      <c r="TQT29" s="53"/>
      <c r="TQU29" s="53"/>
      <c r="TQV29" s="53"/>
      <c r="TQW29" s="53"/>
      <c r="TQX29" s="53"/>
      <c r="TQY29" s="53"/>
      <c r="TQZ29" s="53"/>
      <c r="TRA29" s="53"/>
      <c r="TRB29" s="53"/>
      <c r="TRC29" s="53"/>
      <c r="TRD29" s="53"/>
      <c r="TRE29" s="53"/>
      <c r="TRF29" s="53"/>
      <c r="TRG29" s="212"/>
      <c r="TRH29" s="46"/>
      <c r="TRI29" s="53"/>
      <c r="TRJ29" s="53"/>
      <c r="TRK29" s="53"/>
      <c r="TRL29" s="53"/>
      <c r="TRM29" s="53"/>
      <c r="TRN29" s="53"/>
      <c r="TRO29" s="53"/>
      <c r="TRP29" s="53"/>
      <c r="TRQ29" s="53"/>
      <c r="TRR29" s="53"/>
      <c r="TRS29" s="53"/>
      <c r="TRT29" s="53"/>
      <c r="TRU29" s="53"/>
      <c r="TRV29" s="212"/>
      <c r="TRW29" s="46"/>
      <c r="TRX29" s="53"/>
      <c r="TRY29" s="53"/>
      <c r="TRZ29" s="53"/>
      <c r="TSA29" s="53"/>
      <c r="TSB29" s="53"/>
      <c r="TSC29" s="53"/>
      <c r="TSD29" s="53"/>
      <c r="TSE29" s="53"/>
      <c r="TSF29" s="53"/>
      <c r="TSG29" s="53"/>
      <c r="TSH29" s="53"/>
      <c r="TSI29" s="53"/>
      <c r="TSJ29" s="53"/>
      <c r="TSK29" s="212"/>
      <c r="TSL29" s="46"/>
      <c r="TSM29" s="53"/>
      <c r="TSN29" s="53"/>
      <c r="TSO29" s="53"/>
      <c r="TSP29" s="53"/>
      <c r="TSQ29" s="53"/>
      <c r="TSR29" s="53"/>
      <c r="TSS29" s="53"/>
      <c r="TST29" s="53"/>
      <c r="TSU29" s="53"/>
      <c r="TSV29" s="53"/>
      <c r="TSW29" s="53"/>
      <c r="TSX29" s="53"/>
      <c r="TSY29" s="53"/>
      <c r="TSZ29" s="212"/>
      <c r="TTA29" s="46"/>
      <c r="TTB29" s="53"/>
      <c r="TTC29" s="53"/>
      <c r="TTD29" s="53"/>
      <c r="TTE29" s="53"/>
      <c r="TTF29" s="53"/>
      <c r="TTG29" s="53"/>
      <c r="TTH29" s="53"/>
      <c r="TTI29" s="53"/>
      <c r="TTJ29" s="53"/>
      <c r="TTK29" s="53"/>
      <c r="TTL29" s="53"/>
      <c r="TTM29" s="53"/>
      <c r="TTN29" s="53"/>
      <c r="TTO29" s="212"/>
      <c r="TTP29" s="46"/>
      <c r="TTQ29" s="53"/>
      <c r="TTR29" s="53"/>
      <c r="TTS29" s="53"/>
      <c r="TTT29" s="53"/>
      <c r="TTU29" s="53"/>
      <c r="TTV29" s="53"/>
      <c r="TTW29" s="53"/>
      <c r="TTX29" s="53"/>
      <c r="TTY29" s="53"/>
      <c r="TTZ29" s="53"/>
      <c r="TUA29" s="53"/>
      <c r="TUB29" s="53"/>
      <c r="TUC29" s="53"/>
      <c r="TUD29" s="212"/>
      <c r="TUE29" s="46"/>
      <c r="TUF29" s="53"/>
      <c r="TUG29" s="53"/>
      <c r="TUH29" s="53"/>
      <c r="TUI29" s="53"/>
      <c r="TUJ29" s="53"/>
      <c r="TUK29" s="53"/>
      <c r="TUL29" s="53"/>
      <c r="TUM29" s="53"/>
      <c r="TUN29" s="53"/>
      <c r="TUO29" s="53"/>
      <c r="TUP29" s="53"/>
      <c r="TUQ29" s="53"/>
      <c r="TUR29" s="53"/>
      <c r="TUS29" s="212"/>
      <c r="TUT29" s="46"/>
      <c r="TUU29" s="53"/>
      <c r="TUV29" s="53"/>
      <c r="TUW29" s="53"/>
      <c r="TUX29" s="53"/>
      <c r="TUY29" s="53"/>
      <c r="TUZ29" s="53"/>
      <c r="TVA29" s="53"/>
      <c r="TVB29" s="53"/>
      <c r="TVC29" s="53"/>
      <c r="TVD29" s="53"/>
      <c r="TVE29" s="53"/>
      <c r="TVF29" s="53"/>
      <c r="TVG29" s="53"/>
      <c r="TVH29" s="212"/>
      <c r="TVI29" s="46"/>
      <c r="TVJ29" s="53"/>
      <c r="TVK29" s="53"/>
      <c r="TVL29" s="53"/>
      <c r="TVM29" s="53"/>
      <c r="TVN29" s="53"/>
      <c r="TVO29" s="53"/>
      <c r="TVP29" s="53"/>
      <c r="TVQ29" s="53"/>
      <c r="TVR29" s="53"/>
      <c r="TVS29" s="53"/>
      <c r="TVT29" s="53"/>
      <c r="TVU29" s="53"/>
      <c r="TVV29" s="53"/>
      <c r="TVW29" s="212"/>
      <c r="TVX29" s="46"/>
      <c r="TVY29" s="53"/>
      <c r="TVZ29" s="53"/>
      <c r="TWA29" s="53"/>
      <c r="TWB29" s="53"/>
      <c r="TWC29" s="53"/>
      <c r="TWD29" s="53"/>
      <c r="TWE29" s="53"/>
      <c r="TWF29" s="53"/>
      <c r="TWG29" s="53"/>
      <c r="TWH29" s="53"/>
      <c r="TWI29" s="53"/>
      <c r="TWJ29" s="53"/>
      <c r="TWK29" s="53"/>
      <c r="TWL29" s="212"/>
      <c r="TWM29" s="46"/>
      <c r="TWN29" s="53"/>
      <c r="TWO29" s="53"/>
      <c r="TWP29" s="53"/>
      <c r="TWQ29" s="53"/>
      <c r="TWR29" s="53"/>
      <c r="TWS29" s="53"/>
      <c r="TWT29" s="53"/>
      <c r="TWU29" s="53"/>
      <c r="TWV29" s="53"/>
      <c r="TWW29" s="53"/>
      <c r="TWX29" s="53"/>
      <c r="TWY29" s="53"/>
      <c r="TWZ29" s="53"/>
      <c r="TXA29" s="212"/>
      <c r="TXB29" s="46"/>
      <c r="TXC29" s="53"/>
      <c r="TXD29" s="53"/>
      <c r="TXE29" s="53"/>
      <c r="TXF29" s="53"/>
      <c r="TXG29" s="53"/>
      <c r="TXH29" s="53"/>
      <c r="TXI29" s="53"/>
      <c r="TXJ29" s="53"/>
      <c r="TXK29" s="53"/>
      <c r="TXL29" s="53"/>
      <c r="TXM29" s="53"/>
      <c r="TXN29" s="53"/>
      <c r="TXO29" s="53"/>
      <c r="TXP29" s="212"/>
      <c r="TXQ29" s="46"/>
      <c r="TXR29" s="53"/>
      <c r="TXS29" s="53"/>
      <c r="TXT29" s="53"/>
      <c r="TXU29" s="53"/>
      <c r="TXV29" s="53"/>
      <c r="TXW29" s="53"/>
      <c r="TXX29" s="53"/>
      <c r="TXY29" s="53"/>
      <c r="TXZ29" s="53"/>
      <c r="TYA29" s="53"/>
      <c r="TYB29" s="53"/>
      <c r="TYC29" s="53"/>
      <c r="TYD29" s="53"/>
      <c r="TYE29" s="212"/>
      <c r="TYF29" s="46"/>
      <c r="TYG29" s="53"/>
      <c r="TYH29" s="53"/>
      <c r="TYI29" s="53"/>
      <c r="TYJ29" s="53"/>
      <c r="TYK29" s="53"/>
      <c r="TYL29" s="53"/>
      <c r="TYM29" s="53"/>
      <c r="TYN29" s="53"/>
      <c r="TYO29" s="53"/>
      <c r="TYP29" s="53"/>
      <c r="TYQ29" s="53"/>
      <c r="TYR29" s="53"/>
      <c r="TYS29" s="53"/>
      <c r="TYT29" s="212"/>
      <c r="TYU29" s="46"/>
      <c r="TYV29" s="53"/>
      <c r="TYW29" s="53"/>
      <c r="TYX29" s="53"/>
      <c r="TYY29" s="53"/>
      <c r="TYZ29" s="53"/>
      <c r="TZA29" s="53"/>
      <c r="TZB29" s="53"/>
      <c r="TZC29" s="53"/>
      <c r="TZD29" s="53"/>
      <c r="TZE29" s="53"/>
      <c r="TZF29" s="53"/>
      <c r="TZG29" s="53"/>
      <c r="TZH29" s="53"/>
      <c r="TZI29" s="212"/>
      <c r="TZJ29" s="46"/>
      <c r="TZK29" s="53"/>
      <c r="TZL29" s="53"/>
      <c r="TZM29" s="53"/>
      <c r="TZN29" s="53"/>
      <c r="TZO29" s="53"/>
      <c r="TZP29" s="53"/>
      <c r="TZQ29" s="53"/>
      <c r="TZR29" s="53"/>
      <c r="TZS29" s="53"/>
      <c r="TZT29" s="53"/>
      <c r="TZU29" s="53"/>
      <c r="TZV29" s="53"/>
      <c r="TZW29" s="53"/>
      <c r="TZX29" s="212"/>
      <c r="TZY29" s="46"/>
      <c r="TZZ29" s="53"/>
      <c r="UAA29" s="53"/>
      <c r="UAB29" s="53"/>
      <c r="UAC29" s="53"/>
      <c r="UAD29" s="53"/>
      <c r="UAE29" s="53"/>
      <c r="UAF29" s="53"/>
      <c r="UAG29" s="53"/>
      <c r="UAH29" s="53"/>
      <c r="UAI29" s="53"/>
      <c r="UAJ29" s="53"/>
      <c r="UAK29" s="53"/>
      <c r="UAL29" s="53"/>
      <c r="UAM29" s="212"/>
      <c r="UAN29" s="46"/>
      <c r="UAO29" s="53"/>
      <c r="UAP29" s="53"/>
      <c r="UAQ29" s="53"/>
      <c r="UAR29" s="53"/>
      <c r="UAS29" s="53"/>
      <c r="UAT29" s="53"/>
      <c r="UAU29" s="53"/>
      <c r="UAV29" s="53"/>
      <c r="UAW29" s="53"/>
      <c r="UAX29" s="53"/>
      <c r="UAY29" s="53"/>
      <c r="UAZ29" s="53"/>
      <c r="UBA29" s="53"/>
      <c r="UBB29" s="212"/>
      <c r="UBC29" s="46"/>
      <c r="UBD29" s="53"/>
      <c r="UBE29" s="53"/>
      <c r="UBF29" s="53"/>
      <c r="UBG29" s="53"/>
      <c r="UBH29" s="53"/>
      <c r="UBI29" s="53"/>
      <c r="UBJ29" s="53"/>
      <c r="UBK29" s="53"/>
      <c r="UBL29" s="53"/>
      <c r="UBM29" s="53"/>
      <c r="UBN29" s="53"/>
      <c r="UBO29" s="53"/>
      <c r="UBP29" s="53"/>
      <c r="UBQ29" s="212"/>
      <c r="UBR29" s="46"/>
      <c r="UBS29" s="53"/>
      <c r="UBT29" s="53"/>
      <c r="UBU29" s="53"/>
      <c r="UBV29" s="53"/>
      <c r="UBW29" s="53"/>
      <c r="UBX29" s="53"/>
      <c r="UBY29" s="53"/>
      <c r="UBZ29" s="53"/>
      <c r="UCA29" s="53"/>
      <c r="UCB29" s="53"/>
      <c r="UCC29" s="53"/>
      <c r="UCD29" s="53"/>
      <c r="UCE29" s="53"/>
      <c r="UCF29" s="212"/>
      <c r="UCG29" s="46"/>
      <c r="UCH29" s="53"/>
      <c r="UCI29" s="53"/>
      <c r="UCJ29" s="53"/>
      <c r="UCK29" s="53"/>
      <c r="UCL29" s="53"/>
      <c r="UCM29" s="53"/>
      <c r="UCN29" s="53"/>
      <c r="UCO29" s="53"/>
      <c r="UCP29" s="53"/>
      <c r="UCQ29" s="53"/>
      <c r="UCR29" s="53"/>
      <c r="UCS29" s="53"/>
      <c r="UCT29" s="53"/>
      <c r="UCU29" s="212"/>
      <c r="UCV29" s="46"/>
      <c r="UCW29" s="53"/>
      <c r="UCX29" s="53"/>
      <c r="UCY29" s="53"/>
      <c r="UCZ29" s="53"/>
      <c r="UDA29" s="53"/>
      <c r="UDB29" s="53"/>
      <c r="UDC29" s="53"/>
      <c r="UDD29" s="53"/>
      <c r="UDE29" s="53"/>
      <c r="UDF29" s="53"/>
      <c r="UDG29" s="53"/>
      <c r="UDH29" s="53"/>
      <c r="UDI29" s="53"/>
      <c r="UDJ29" s="212"/>
      <c r="UDK29" s="46"/>
      <c r="UDL29" s="53"/>
      <c r="UDM29" s="53"/>
      <c r="UDN29" s="53"/>
      <c r="UDO29" s="53"/>
      <c r="UDP29" s="53"/>
      <c r="UDQ29" s="53"/>
      <c r="UDR29" s="53"/>
      <c r="UDS29" s="53"/>
      <c r="UDT29" s="53"/>
      <c r="UDU29" s="53"/>
      <c r="UDV29" s="53"/>
      <c r="UDW29" s="53"/>
      <c r="UDX29" s="53"/>
      <c r="UDY29" s="212"/>
      <c r="UDZ29" s="46"/>
      <c r="UEA29" s="53"/>
      <c r="UEB29" s="53"/>
      <c r="UEC29" s="53"/>
      <c r="UED29" s="53"/>
      <c r="UEE29" s="53"/>
      <c r="UEF29" s="53"/>
      <c r="UEG29" s="53"/>
      <c r="UEH29" s="53"/>
      <c r="UEI29" s="53"/>
      <c r="UEJ29" s="53"/>
      <c r="UEK29" s="53"/>
      <c r="UEL29" s="53"/>
      <c r="UEM29" s="53"/>
      <c r="UEN29" s="212"/>
      <c r="UEO29" s="46"/>
      <c r="UEP29" s="53"/>
      <c r="UEQ29" s="53"/>
      <c r="UER29" s="53"/>
      <c r="UES29" s="53"/>
      <c r="UET29" s="53"/>
      <c r="UEU29" s="53"/>
      <c r="UEV29" s="53"/>
      <c r="UEW29" s="53"/>
      <c r="UEX29" s="53"/>
      <c r="UEY29" s="53"/>
      <c r="UEZ29" s="53"/>
      <c r="UFA29" s="53"/>
      <c r="UFB29" s="53"/>
      <c r="UFC29" s="212"/>
      <c r="UFD29" s="46"/>
      <c r="UFE29" s="53"/>
      <c r="UFF29" s="53"/>
      <c r="UFG29" s="53"/>
      <c r="UFH29" s="53"/>
      <c r="UFI29" s="53"/>
      <c r="UFJ29" s="53"/>
      <c r="UFK29" s="53"/>
      <c r="UFL29" s="53"/>
      <c r="UFM29" s="53"/>
      <c r="UFN29" s="53"/>
      <c r="UFO29" s="53"/>
      <c r="UFP29" s="53"/>
      <c r="UFQ29" s="53"/>
      <c r="UFR29" s="212"/>
      <c r="UFS29" s="46"/>
      <c r="UFT29" s="53"/>
      <c r="UFU29" s="53"/>
      <c r="UFV29" s="53"/>
      <c r="UFW29" s="53"/>
      <c r="UFX29" s="53"/>
      <c r="UFY29" s="53"/>
      <c r="UFZ29" s="53"/>
      <c r="UGA29" s="53"/>
      <c r="UGB29" s="53"/>
      <c r="UGC29" s="53"/>
      <c r="UGD29" s="53"/>
      <c r="UGE29" s="53"/>
      <c r="UGF29" s="53"/>
      <c r="UGG29" s="212"/>
      <c r="UGH29" s="46"/>
      <c r="UGI29" s="53"/>
      <c r="UGJ29" s="53"/>
      <c r="UGK29" s="53"/>
      <c r="UGL29" s="53"/>
      <c r="UGM29" s="53"/>
      <c r="UGN29" s="53"/>
      <c r="UGO29" s="53"/>
      <c r="UGP29" s="53"/>
      <c r="UGQ29" s="53"/>
      <c r="UGR29" s="53"/>
      <c r="UGS29" s="53"/>
      <c r="UGT29" s="53"/>
      <c r="UGU29" s="53"/>
      <c r="UGV29" s="212"/>
      <c r="UGW29" s="46"/>
      <c r="UGX29" s="53"/>
      <c r="UGY29" s="53"/>
      <c r="UGZ29" s="53"/>
      <c r="UHA29" s="53"/>
      <c r="UHB29" s="53"/>
      <c r="UHC29" s="53"/>
      <c r="UHD29" s="53"/>
      <c r="UHE29" s="53"/>
      <c r="UHF29" s="53"/>
      <c r="UHG29" s="53"/>
      <c r="UHH29" s="53"/>
      <c r="UHI29" s="53"/>
      <c r="UHJ29" s="53"/>
      <c r="UHK29" s="212"/>
      <c r="UHL29" s="46"/>
      <c r="UHM29" s="53"/>
      <c r="UHN29" s="53"/>
      <c r="UHO29" s="53"/>
      <c r="UHP29" s="53"/>
      <c r="UHQ29" s="53"/>
      <c r="UHR29" s="53"/>
      <c r="UHS29" s="53"/>
      <c r="UHT29" s="53"/>
      <c r="UHU29" s="53"/>
      <c r="UHV29" s="53"/>
      <c r="UHW29" s="53"/>
      <c r="UHX29" s="53"/>
      <c r="UHY29" s="53"/>
      <c r="UHZ29" s="212"/>
      <c r="UIA29" s="46"/>
      <c r="UIB29" s="53"/>
      <c r="UIC29" s="53"/>
      <c r="UID29" s="53"/>
      <c r="UIE29" s="53"/>
      <c r="UIF29" s="53"/>
      <c r="UIG29" s="53"/>
      <c r="UIH29" s="53"/>
      <c r="UII29" s="53"/>
      <c r="UIJ29" s="53"/>
      <c r="UIK29" s="53"/>
      <c r="UIL29" s="53"/>
      <c r="UIM29" s="53"/>
      <c r="UIN29" s="53"/>
      <c r="UIO29" s="212"/>
      <c r="UIP29" s="46"/>
      <c r="UIQ29" s="53"/>
      <c r="UIR29" s="53"/>
      <c r="UIS29" s="53"/>
      <c r="UIT29" s="53"/>
      <c r="UIU29" s="53"/>
      <c r="UIV29" s="53"/>
      <c r="UIW29" s="53"/>
      <c r="UIX29" s="53"/>
      <c r="UIY29" s="53"/>
      <c r="UIZ29" s="53"/>
      <c r="UJA29" s="53"/>
      <c r="UJB29" s="53"/>
      <c r="UJC29" s="53"/>
      <c r="UJD29" s="212"/>
      <c r="UJE29" s="46"/>
      <c r="UJF29" s="53"/>
      <c r="UJG29" s="53"/>
      <c r="UJH29" s="53"/>
      <c r="UJI29" s="53"/>
      <c r="UJJ29" s="53"/>
      <c r="UJK29" s="53"/>
      <c r="UJL29" s="53"/>
      <c r="UJM29" s="53"/>
      <c r="UJN29" s="53"/>
      <c r="UJO29" s="53"/>
      <c r="UJP29" s="53"/>
      <c r="UJQ29" s="53"/>
      <c r="UJR29" s="53"/>
      <c r="UJS29" s="212"/>
      <c r="UJT29" s="46"/>
      <c r="UJU29" s="53"/>
      <c r="UJV29" s="53"/>
      <c r="UJW29" s="53"/>
      <c r="UJX29" s="53"/>
      <c r="UJY29" s="53"/>
      <c r="UJZ29" s="53"/>
      <c r="UKA29" s="53"/>
      <c r="UKB29" s="53"/>
      <c r="UKC29" s="53"/>
      <c r="UKD29" s="53"/>
      <c r="UKE29" s="53"/>
      <c r="UKF29" s="53"/>
      <c r="UKG29" s="53"/>
      <c r="UKH29" s="212"/>
      <c r="UKI29" s="46"/>
      <c r="UKJ29" s="53"/>
      <c r="UKK29" s="53"/>
      <c r="UKL29" s="53"/>
      <c r="UKM29" s="53"/>
      <c r="UKN29" s="53"/>
      <c r="UKO29" s="53"/>
      <c r="UKP29" s="53"/>
      <c r="UKQ29" s="53"/>
      <c r="UKR29" s="53"/>
      <c r="UKS29" s="53"/>
      <c r="UKT29" s="53"/>
      <c r="UKU29" s="53"/>
      <c r="UKV29" s="53"/>
      <c r="UKW29" s="212"/>
      <c r="UKX29" s="46"/>
      <c r="UKY29" s="53"/>
      <c r="UKZ29" s="53"/>
      <c r="ULA29" s="53"/>
      <c r="ULB29" s="53"/>
      <c r="ULC29" s="53"/>
      <c r="ULD29" s="53"/>
      <c r="ULE29" s="53"/>
      <c r="ULF29" s="53"/>
      <c r="ULG29" s="53"/>
      <c r="ULH29" s="53"/>
      <c r="ULI29" s="53"/>
      <c r="ULJ29" s="53"/>
      <c r="ULK29" s="53"/>
      <c r="ULL29" s="212"/>
      <c r="ULM29" s="46"/>
      <c r="ULN29" s="53"/>
      <c r="ULO29" s="53"/>
      <c r="ULP29" s="53"/>
      <c r="ULQ29" s="53"/>
      <c r="ULR29" s="53"/>
      <c r="ULS29" s="53"/>
      <c r="ULT29" s="53"/>
      <c r="ULU29" s="53"/>
      <c r="ULV29" s="53"/>
      <c r="ULW29" s="53"/>
      <c r="ULX29" s="53"/>
      <c r="ULY29" s="53"/>
      <c r="ULZ29" s="53"/>
      <c r="UMA29" s="212"/>
      <c r="UMB29" s="46"/>
      <c r="UMC29" s="53"/>
      <c r="UMD29" s="53"/>
      <c r="UME29" s="53"/>
      <c r="UMF29" s="53"/>
      <c r="UMG29" s="53"/>
      <c r="UMH29" s="53"/>
      <c r="UMI29" s="53"/>
      <c r="UMJ29" s="53"/>
      <c r="UMK29" s="53"/>
      <c r="UML29" s="53"/>
      <c r="UMM29" s="53"/>
      <c r="UMN29" s="53"/>
      <c r="UMO29" s="53"/>
      <c r="UMP29" s="212"/>
      <c r="UMQ29" s="46"/>
      <c r="UMR29" s="53"/>
      <c r="UMS29" s="53"/>
      <c r="UMT29" s="53"/>
      <c r="UMU29" s="53"/>
      <c r="UMV29" s="53"/>
      <c r="UMW29" s="53"/>
      <c r="UMX29" s="53"/>
      <c r="UMY29" s="53"/>
      <c r="UMZ29" s="53"/>
      <c r="UNA29" s="53"/>
      <c r="UNB29" s="53"/>
      <c r="UNC29" s="53"/>
      <c r="UND29" s="53"/>
      <c r="UNE29" s="212"/>
      <c r="UNF29" s="46"/>
      <c r="UNG29" s="53"/>
      <c r="UNH29" s="53"/>
      <c r="UNI29" s="53"/>
      <c r="UNJ29" s="53"/>
      <c r="UNK29" s="53"/>
      <c r="UNL29" s="53"/>
      <c r="UNM29" s="53"/>
      <c r="UNN29" s="53"/>
      <c r="UNO29" s="53"/>
      <c r="UNP29" s="53"/>
      <c r="UNQ29" s="53"/>
      <c r="UNR29" s="53"/>
      <c r="UNS29" s="53"/>
      <c r="UNT29" s="212"/>
      <c r="UNU29" s="46"/>
      <c r="UNV29" s="53"/>
      <c r="UNW29" s="53"/>
      <c r="UNX29" s="53"/>
      <c r="UNY29" s="53"/>
      <c r="UNZ29" s="53"/>
      <c r="UOA29" s="53"/>
      <c r="UOB29" s="53"/>
      <c r="UOC29" s="53"/>
      <c r="UOD29" s="53"/>
      <c r="UOE29" s="53"/>
      <c r="UOF29" s="53"/>
      <c r="UOG29" s="53"/>
      <c r="UOH29" s="53"/>
      <c r="UOI29" s="212"/>
      <c r="UOJ29" s="46"/>
      <c r="UOK29" s="53"/>
      <c r="UOL29" s="53"/>
      <c r="UOM29" s="53"/>
      <c r="UON29" s="53"/>
      <c r="UOO29" s="53"/>
      <c r="UOP29" s="53"/>
      <c r="UOQ29" s="53"/>
      <c r="UOR29" s="53"/>
      <c r="UOS29" s="53"/>
      <c r="UOT29" s="53"/>
      <c r="UOU29" s="53"/>
      <c r="UOV29" s="53"/>
      <c r="UOW29" s="53"/>
      <c r="UOX29" s="212"/>
      <c r="UOY29" s="46"/>
      <c r="UOZ29" s="53"/>
      <c r="UPA29" s="53"/>
      <c r="UPB29" s="53"/>
      <c r="UPC29" s="53"/>
      <c r="UPD29" s="53"/>
      <c r="UPE29" s="53"/>
      <c r="UPF29" s="53"/>
      <c r="UPG29" s="53"/>
      <c r="UPH29" s="53"/>
      <c r="UPI29" s="53"/>
      <c r="UPJ29" s="53"/>
      <c r="UPK29" s="53"/>
      <c r="UPL29" s="53"/>
      <c r="UPM29" s="212"/>
      <c r="UPN29" s="46"/>
      <c r="UPO29" s="53"/>
      <c r="UPP29" s="53"/>
      <c r="UPQ29" s="53"/>
      <c r="UPR29" s="53"/>
      <c r="UPS29" s="53"/>
      <c r="UPT29" s="53"/>
      <c r="UPU29" s="53"/>
      <c r="UPV29" s="53"/>
      <c r="UPW29" s="53"/>
      <c r="UPX29" s="53"/>
      <c r="UPY29" s="53"/>
      <c r="UPZ29" s="53"/>
      <c r="UQA29" s="53"/>
      <c r="UQB29" s="212"/>
      <c r="UQC29" s="46"/>
      <c r="UQD29" s="53"/>
      <c r="UQE29" s="53"/>
      <c r="UQF29" s="53"/>
      <c r="UQG29" s="53"/>
      <c r="UQH29" s="53"/>
      <c r="UQI29" s="53"/>
      <c r="UQJ29" s="53"/>
      <c r="UQK29" s="53"/>
      <c r="UQL29" s="53"/>
      <c r="UQM29" s="53"/>
      <c r="UQN29" s="53"/>
      <c r="UQO29" s="53"/>
      <c r="UQP29" s="53"/>
      <c r="UQQ29" s="212"/>
      <c r="UQR29" s="46"/>
      <c r="UQS29" s="53"/>
      <c r="UQT29" s="53"/>
      <c r="UQU29" s="53"/>
      <c r="UQV29" s="53"/>
      <c r="UQW29" s="53"/>
      <c r="UQX29" s="53"/>
      <c r="UQY29" s="53"/>
      <c r="UQZ29" s="53"/>
      <c r="URA29" s="53"/>
      <c r="URB29" s="53"/>
      <c r="URC29" s="53"/>
      <c r="URD29" s="53"/>
      <c r="URE29" s="53"/>
      <c r="URF29" s="212"/>
      <c r="URG29" s="46"/>
      <c r="URH29" s="53"/>
      <c r="URI29" s="53"/>
      <c r="URJ29" s="53"/>
      <c r="URK29" s="53"/>
      <c r="URL29" s="53"/>
      <c r="URM29" s="53"/>
      <c r="URN29" s="53"/>
      <c r="URO29" s="53"/>
      <c r="URP29" s="53"/>
      <c r="URQ29" s="53"/>
      <c r="URR29" s="53"/>
      <c r="URS29" s="53"/>
      <c r="URT29" s="53"/>
      <c r="URU29" s="212"/>
      <c r="URV29" s="46"/>
      <c r="URW29" s="53"/>
      <c r="URX29" s="53"/>
      <c r="URY29" s="53"/>
      <c r="URZ29" s="53"/>
      <c r="USA29" s="53"/>
      <c r="USB29" s="53"/>
      <c r="USC29" s="53"/>
      <c r="USD29" s="53"/>
      <c r="USE29" s="53"/>
      <c r="USF29" s="53"/>
      <c r="USG29" s="53"/>
      <c r="USH29" s="53"/>
      <c r="USI29" s="53"/>
      <c r="USJ29" s="212"/>
      <c r="USK29" s="46"/>
      <c r="USL29" s="53"/>
      <c r="USM29" s="53"/>
      <c r="USN29" s="53"/>
      <c r="USO29" s="53"/>
      <c r="USP29" s="53"/>
      <c r="USQ29" s="53"/>
      <c r="USR29" s="53"/>
      <c r="USS29" s="53"/>
      <c r="UST29" s="53"/>
      <c r="USU29" s="53"/>
      <c r="USV29" s="53"/>
      <c r="USW29" s="53"/>
      <c r="USX29" s="53"/>
      <c r="USY29" s="212"/>
      <c r="USZ29" s="46"/>
      <c r="UTA29" s="53"/>
      <c r="UTB29" s="53"/>
      <c r="UTC29" s="53"/>
      <c r="UTD29" s="53"/>
      <c r="UTE29" s="53"/>
      <c r="UTF29" s="53"/>
      <c r="UTG29" s="53"/>
      <c r="UTH29" s="53"/>
      <c r="UTI29" s="53"/>
      <c r="UTJ29" s="53"/>
      <c r="UTK29" s="53"/>
      <c r="UTL29" s="53"/>
      <c r="UTM29" s="53"/>
      <c r="UTN29" s="212"/>
      <c r="UTO29" s="46"/>
      <c r="UTP29" s="53"/>
      <c r="UTQ29" s="53"/>
      <c r="UTR29" s="53"/>
      <c r="UTS29" s="53"/>
      <c r="UTT29" s="53"/>
      <c r="UTU29" s="53"/>
      <c r="UTV29" s="53"/>
      <c r="UTW29" s="53"/>
      <c r="UTX29" s="53"/>
      <c r="UTY29" s="53"/>
      <c r="UTZ29" s="53"/>
      <c r="UUA29" s="53"/>
      <c r="UUB29" s="53"/>
      <c r="UUC29" s="212"/>
      <c r="UUD29" s="46"/>
      <c r="UUE29" s="53"/>
      <c r="UUF29" s="53"/>
      <c r="UUG29" s="53"/>
      <c r="UUH29" s="53"/>
      <c r="UUI29" s="53"/>
      <c r="UUJ29" s="53"/>
      <c r="UUK29" s="53"/>
      <c r="UUL29" s="53"/>
      <c r="UUM29" s="53"/>
      <c r="UUN29" s="53"/>
      <c r="UUO29" s="53"/>
      <c r="UUP29" s="53"/>
      <c r="UUQ29" s="53"/>
      <c r="UUR29" s="212"/>
      <c r="UUS29" s="46"/>
      <c r="UUT29" s="53"/>
      <c r="UUU29" s="53"/>
      <c r="UUV29" s="53"/>
      <c r="UUW29" s="53"/>
      <c r="UUX29" s="53"/>
      <c r="UUY29" s="53"/>
      <c r="UUZ29" s="53"/>
      <c r="UVA29" s="53"/>
      <c r="UVB29" s="53"/>
      <c r="UVC29" s="53"/>
      <c r="UVD29" s="53"/>
      <c r="UVE29" s="53"/>
      <c r="UVF29" s="53"/>
      <c r="UVG29" s="212"/>
      <c r="UVH29" s="46"/>
      <c r="UVI29" s="53"/>
      <c r="UVJ29" s="53"/>
      <c r="UVK29" s="53"/>
      <c r="UVL29" s="53"/>
      <c r="UVM29" s="53"/>
      <c r="UVN29" s="53"/>
      <c r="UVO29" s="53"/>
      <c r="UVP29" s="53"/>
      <c r="UVQ29" s="53"/>
      <c r="UVR29" s="53"/>
      <c r="UVS29" s="53"/>
      <c r="UVT29" s="53"/>
      <c r="UVU29" s="53"/>
      <c r="UVV29" s="212"/>
      <c r="UVW29" s="46"/>
      <c r="UVX29" s="53"/>
      <c r="UVY29" s="53"/>
      <c r="UVZ29" s="53"/>
      <c r="UWA29" s="53"/>
      <c r="UWB29" s="53"/>
      <c r="UWC29" s="53"/>
      <c r="UWD29" s="53"/>
      <c r="UWE29" s="53"/>
      <c r="UWF29" s="53"/>
      <c r="UWG29" s="53"/>
      <c r="UWH29" s="53"/>
      <c r="UWI29" s="53"/>
      <c r="UWJ29" s="53"/>
      <c r="UWK29" s="212"/>
      <c r="UWL29" s="46"/>
      <c r="UWM29" s="53"/>
      <c r="UWN29" s="53"/>
      <c r="UWO29" s="53"/>
      <c r="UWP29" s="53"/>
      <c r="UWQ29" s="53"/>
      <c r="UWR29" s="53"/>
      <c r="UWS29" s="53"/>
      <c r="UWT29" s="53"/>
      <c r="UWU29" s="53"/>
      <c r="UWV29" s="53"/>
      <c r="UWW29" s="53"/>
      <c r="UWX29" s="53"/>
      <c r="UWY29" s="53"/>
      <c r="UWZ29" s="212"/>
      <c r="UXA29" s="46"/>
      <c r="UXB29" s="53"/>
      <c r="UXC29" s="53"/>
      <c r="UXD29" s="53"/>
      <c r="UXE29" s="53"/>
      <c r="UXF29" s="53"/>
      <c r="UXG29" s="53"/>
      <c r="UXH29" s="53"/>
      <c r="UXI29" s="53"/>
      <c r="UXJ29" s="53"/>
      <c r="UXK29" s="53"/>
      <c r="UXL29" s="53"/>
      <c r="UXM29" s="53"/>
      <c r="UXN29" s="53"/>
      <c r="UXO29" s="212"/>
      <c r="UXP29" s="46"/>
      <c r="UXQ29" s="53"/>
      <c r="UXR29" s="53"/>
      <c r="UXS29" s="53"/>
      <c r="UXT29" s="53"/>
      <c r="UXU29" s="53"/>
      <c r="UXV29" s="53"/>
      <c r="UXW29" s="53"/>
      <c r="UXX29" s="53"/>
      <c r="UXY29" s="53"/>
      <c r="UXZ29" s="53"/>
      <c r="UYA29" s="53"/>
      <c r="UYB29" s="53"/>
      <c r="UYC29" s="53"/>
      <c r="UYD29" s="212"/>
      <c r="UYE29" s="46"/>
      <c r="UYF29" s="53"/>
      <c r="UYG29" s="53"/>
      <c r="UYH29" s="53"/>
      <c r="UYI29" s="53"/>
      <c r="UYJ29" s="53"/>
      <c r="UYK29" s="53"/>
      <c r="UYL29" s="53"/>
      <c r="UYM29" s="53"/>
      <c r="UYN29" s="53"/>
      <c r="UYO29" s="53"/>
      <c r="UYP29" s="53"/>
      <c r="UYQ29" s="53"/>
      <c r="UYR29" s="53"/>
      <c r="UYS29" s="212"/>
      <c r="UYT29" s="46"/>
      <c r="UYU29" s="53"/>
      <c r="UYV29" s="53"/>
      <c r="UYW29" s="53"/>
      <c r="UYX29" s="53"/>
      <c r="UYY29" s="53"/>
      <c r="UYZ29" s="53"/>
      <c r="UZA29" s="53"/>
      <c r="UZB29" s="53"/>
      <c r="UZC29" s="53"/>
      <c r="UZD29" s="53"/>
      <c r="UZE29" s="53"/>
      <c r="UZF29" s="53"/>
      <c r="UZG29" s="53"/>
      <c r="UZH29" s="212"/>
      <c r="UZI29" s="46"/>
      <c r="UZJ29" s="53"/>
      <c r="UZK29" s="53"/>
      <c r="UZL29" s="53"/>
      <c r="UZM29" s="53"/>
      <c r="UZN29" s="53"/>
      <c r="UZO29" s="53"/>
      <c r="UZP29" s="53"/>
      <c r="UZQ29" s="53"/>
      <c r="UZR29" s="53"/>
      <c r="UZS29" s="53"/>
      <c r="UZT29" s="53"/>
      <c r="UZU29" s="53"/>
      <c r="UZV29" s="53"/>
      <c r="UZW29" s="212"/>
      <c r="UZX29" s="46"/>
      <c r="UZY29" s="53"/>
      <c r="UZZ29" s="53"/>
      <c r="VAA29" s="53"/>
      <c r="VAB29" s="53"/>
      <c r="VAC29" s="53"/>
      <c r="VAD29" s="53"/>
      <c r="VAE29" s="53"/>
      <c r="VAF29" s="53"/>
      <c r="VAG29" s="53"/>
      <c r="VAH29" s="53"/>
      <c r="VAI29" s="53"/>
      <c r="VAJ29" s="53"/>
      <c r="VAK29" s="53"/>
      <c r="VAL29" s="212"/>
      <c r="VAM29" s="46"/>
      <c r="VAN29" s="53"/>
      <c r="VAO29" s="53"/>
      <c r="VAP29" s="53"/>
      <c r="VAQ29" s="53"/>
      <c r="VAR29" s="53"/>
      <c r="VAS29" s="53"/>
      <c r="VAT29" s="53"/>
      <c r="VAU29" s="53"/>
      <c r="VAV29" s="53"/>
      <c r="VAW29" s="53"/>
      <c r="VAX29" s="53"/>
      <c r="VAY29" s="53"/>
      <c r="VAZ29" s="53"/>
      <c r="VBA29" s="212"/>
      <c r="VBB29" s="46"/>
      <c r="VBC29" s="53"/>
      <c r="VBD29" s="53"/>
      <c r="VBE29" s="53"/>
      <c r="VBF29" s="53"/>
      <c r="VBG29" s="53"/>
      <c r="VBH29" s="53"/>
      <c r="VBI29" s="53"/>
      <c r="VBJ29" s="53"/>
      <c r="VBK29" s="53"/>
      <c r="VBL29" s="53"/>
      <c r="VBM29" s="53"/>
      <c r="VBN29" s="53"/>
      <c r="VBO29" s="53"/>
      <c r="VBP29" s="212"/>
      <c r="VBQ29" s="46"/>
      <c r="VBR29" s="53"/>
      <c r="VBS29" s="53"/>
      <c r="VBT29" s="53"/>
      <c r="VBU29" s="53"/>
      <c r="VBV29" s="53"/>
      <c r="VBW29" s="53"/>
      <c r="VBX29" s="53"/>
      <c r="VBY29" s="53"/>
      <c r="VBZ29" s="53"/>
      <c r="VCA29" s="53"/>
      <c r="VCB29" s="53"/>
      <c r="VCC29" s="53"/>
      <c r="VCD29" s="53"/>
      <c r="VCE29" s="212"/>
      <c r="VCF29" s="46"/>
      <c r="VCG29" s="53"/>
      <c r="VCH29" s="53"/>
      <c r="VCI29" s="53"/>
      <c r="VCJ29" s="53"/>
      <c r="VCK29" s="53"/>
      <c r="VCL29" s="53"/>
      <c r="VCM29" s="53"/>
      <c r="VCN29" s="53"/>
      <c r="VCO29" s="53"/>
      <c r="VCP29" s="53"/>
      <c r="VCQ29" s="53"/>
      <c r="VCR29" s="53"/>
      <c r="VCS29" s="53"/>
      <c r="VCT29" s="212"/>
      <c r="VCU29" s="46"/>
      <c r="VCV29" s="53"/>
      <c r="VCW29" s="53"/>
      <c r="VCX29" s="53"/>
      <c r="VCY29" s="53"/>
      <c r="VCZ29" s="53"/>
      <c r="VDA29" s="53"/>
      <c r="VDB29" s="53"/>
      <c r="VDC29" s="53"/>
      <c r="VDD29" s="53"/>
      <c r="VDE29" s="53"/>
      <c r="VDF29" s="53"/>
      <c r="VDG29" s="53"/>
      <c r="VDH29" s="53"/>
      <c r="VDI29" s="212"/>
      <c r="VDJ29" s="46"/>
      <c r="VDK29" s="53"/>
      <c r="VDL29" s="53"/>
      <c r="VDM29" s="53"/>
      <c r="VDN29" s="53"/>
      <c r="VDO29" s="53"/>
      <c r="VDP29" s="53"/>
      <c r="VDQ29" s="53"/>
      <c r="VDR29" s="53"/>
      <c r="VDS29" s="53"/>
      <c r="VDT29" s="53"/>
      <c r="VDU29" s="53"/>
      <c r="VDV29" s="53"/>
      <c r="VDW29" s="53"/>
      <c r="VDX29" s="212"/>
      <c r="VDY29" s="46"/>
      <c r="VDZ29" s="53"/>
      <c r="VEA29" s="53"/>
      <c r="VEB29" s="53"/>
      <c r="VEC29" s="53"/>
      <c r="VED29" s="53"/>
      <c r="VEE29" s="53"/>
      <c r="VEF29" s="53"/>
      <c r="VEG29" s="53"/>
      <c r="VEH29" s="53"/>
      <c r="VEI29" s="53"/>
      <c r="VEJ29" s="53"/>
      <c r="VEK29" s="53"/>
      <c r="VEL29" s="53"/>
      <c r="VEM29" s="212"/>
      <c r="VEN29" s="46"/>
      <c r="VEO29" s="53"/>
      <c r="VEP29" s="53"/>
      <c r="VEQ29" s="53"/>
      <c r="VER29" s="53"/>
      <c r="VES29" s="53"/>
      <c r="VET29" s="53"/>
      <c r="VEU29" s="53"/>
      <c r="VEV29" s="53"/>
      <c r="VEW29" s="53"/>
      <c r="VEX29" s="53"/>
      <c r="VEY29" s="53"/>
      <c r="VEZ29" s="53"/>
      <c r="VFA29" s="53"/>
      <c r="VFB29" s="212"/>
      <c r="VFC29" s="46"/>
      <c r="VFD29" s="53"/>
      <c r="VFE29" s="53"/>
      <c r="VFF29" s="53"/>
      <c r="VFG29" s="53"/>
      <c r="VFH29" s="53"/>
      <c r="VFI29" s="53"/>
      <c r="VFJ29" s="53"/>
      <c r="VFK29" s="53"/>
      <c r="VFL29" s="53"/>
      <c r="VFM29" s="53"/>
      <c r="VFN29" s="53"/>
      <c r="VFO29" s="53"/>
      <c r="VFP29" s="53"/>
      <c r="VFQ29" s="212"/>
      <c r="VFR29" s="46"/>
      <c r="VFS29" s="53"/>
      <c r="VFT29" s="53"/>
      <c r="VFU29" s="53"/>
      <c r="VFV29" s="53"/>
      <c r="VFW29" s="53"/>
      <c r="VFX29" s="53"/>
      <c r="VFY29" s="53"/>
      <c r="VFZ29" s="53"/>
      <c r="VGA29" s="53"/>
      <c r="VGB29" s="53"/>
      <c r="VGC29" s="53"/>
      <c r="VGD29" s="53"/>
      <c r="VGE29" s="53"/>
      <c r="VGF29" s="212"/>
      <c r="VGG29" s="46"/>
      <c r="VGH29" s="53"/>
      <c r="VGI29" s="53"/>
      <c r="VGJ29" s="53"/>
      <c r="VGK29" s="53"/>
      <c r="VGL29" s="53"/>
      <c r="VGM29" s="53"/>
      <c r="VGN29" s="53"/>
      <c r="VGO29" s="53"/>
      <c r="VGP29" s="53"/>
      <c r="VGQ29" s="53"/>
      <c r="VGR29" s="53"/>
      <c r="VGS29" s="53"/>
      <c r="VGT29" s="53"/>
      <c r="VGU29" s="212"/>
      <c r="VGV29" s="46"/>
      <c r="VGW29" s="53"/>
      <c r="VGX29" s="53"/>
      <c r="VGY29" s="53"/>
      <c r="VGZ29" s="53"/>
      <c r="VHA29" s="53"/>
      <c r="VHB29" s="53"/>
      <c r="VHC29" s="53"/>
      <c r="VHD29" s="53"/>
      <c r="VHE29" s="53"/>
      <c r="VHF29" s="53"/>
      <c r="VHG29" s="53"/>
      <c r="VHH29" s="53"/>
      <c r="VHI29" s="53"/>
      <c r="VHJ29" s="212"/>
      <c r="VHK29" s="46"/>
      <c r="VHL29" s="53"/>
      <c r="VHM29" s="53"/>
      <c r="VHN29" s="53"/>
      <c r="VHO29" s="53"/>
      <c r="VHP29" s="53"/>
      <c r="VHQ29" s="53"/>
      <c r="VHR29" s="53"/>
      <c r="VHS29" s="53"/>
      <c r="VHT29" s="53"/>
      <c r="VHU29" s="53"/>
      <c r="VHV29" s="53"/>
      <c r="VHW29" s="53"/>
      <c r="VHX29" s="53"/>
      <c r="VHY29" s="212"/>
      <c r="VHZ29" s="46"/>
      <c r="VIA29" s="53"/>
      <c r="VIB29" s="53"/>
      <c r="VIC29" s="53"/>
      <c r="VID29" s="53"/>
      <c r="VIE29" s="53"/>
      <c r="VIF29" s="53"/>
      <c r="VIG29" s="53"/>
      <c r="VIH29" s="53"/>
      <c r="VII29" s="53"/>
      <c r="VIJ29" s="53"/>
      <c r="VIK29" s="53"/>
      <c r="VIL29" s="53"/>
      <c r="VIM29" s="53"/>
      <c r="VIN29" s="212"/>
      <c r="VIO29" s="46"/>
      <c r="VIP29" s="53"/>
      <c r="VIQ29" s="53"/>
      <c r="VIR29" s="53"/>
      <c r="VIS29" s="53"/>
      <c r="VIT29" s="53"/>
      <c r="VIU29" s="53"/>
      <c r="VIV29" s="53"/>
      <c r="VIW29" s="53"/>
      <c r="VIX29" s="53"/>
      <c r="VIY29" s="53"/>
      <c r="VIZ29" s="53"/>
      <c r="VJA29" s="53"/>
      <c r="VJB29" s="53"/>
      <c r="VJC29" s="212"/>
      <c r="VJD29" s="46"/>
      <c r="VJE29" s="53"/>
      <c r="VJF29" s="53"/>
      <c r="VJG29" s="53"/>
      <c r="VJH29" s="53"/>
      <c r="VJI29" s="53"/>
      <c r="VJJ29" s="53"/>
      <c r="VJK29" s="53"/>
      <c r="VJL29" s="53"/>
      <c r="VJM29" s="53"/>
      <c r="VJN29" s="53"/>
      <c r="VJO29" s="53"/>
      <c r="VJP29" s="53"/>
      <c r="VJQ29" s="53"/>
      <c r="VJR29" s="212"/>
      <c r="VJS29" s="46"/>
      <c r="VJT29" s="53"/>
      <c r="VJU29" s="53"/>
      <c r="VJV29" s="53"/>
      <c r="VJW29" s="53"/>
      <c r="VJX29" s="53"/>
      <c r="VJY29" s="53"/>
      <c r="VJZ29" s="53"/>
      <c r="VKA29" s="53"/>
      <c r="VKB29" s="53"/>
      <c r="VKC29" s="53"/>
      <c r="VKD29" s="53"/>
      <c r="VKE29" s="53"/>
      <c r="VKF29" s="53"/>
      <c r="VKG29" s="212"/>
      <c r="VKH29" s="46"/>
      <c r="VKI29" s="53"/>
      <c r="VKJ29" s="53"/>
      <c r="VKK29" s="53"/>
      <c r="VKL29" s="53"/>
      <c r="VKM29" s="53"/>
      <c r="VKN29" s="53"/>
      <c r="VKO29" s="53"/>
      <c r="VKP29" s="53"/>
      <c r="VKQ29" s="53"/>
      <c r="VKR29" s="53"/>
      <c r="VKS29" s="53"/>
      <c r="VKT29" s="53"/>
      <c r="VKU29" s="53"/>
      <c r="VKV29" s="212"/>
      <c r="VKW29" s="46"/>
      <c r="VKX29" s="53"/>
      <c r="VKY29" s="53"/>
      <c r="VKZ29" s="53"/>
      <c r="VLA29" s="53"/>
      <c r="VLB29" s="53"/>
      <c r="VLC29" s="53"/>
      <c r="VLD29" s="53"/>
      <c r="VLE29" s="53"/>
      <c r="VLF29" s="53"/>
      <c r="VLG29" s="53"/>
      <c r="VLH29" s="53"/>
      <c r="VLI29" s="53"/>
      <c r="VLJ29" s="53"/>
      <c r="VLK29" s="212"/>
      <c r="VLL29" s="46"/>
      <c r="VLM29" s="53"/>
      <c r="VLN29" s="53"/>
      <c r="VLO29" s="53"/>
      <c r="VLP29" s="53"/>
      <c r="VLQ29" s="53"/>
      <c r="VLR29" s="53"/>
      <c r="VLS29" s="53"/>
      <c r="VLT29" s="53"/>
      <c r="VLU29" s="53"/>
      <c r="VLV29" s="53"/>
      <c r="VLW29" s="53"/>
      <c r="VLX29" s="53"/>
      <c r="VLY29" s="53"/>
      <c r="VLZ29" s="212"/>
      <c r="VMA29" s="46"/>
      <c r="VMB29" s="53"/>
      <c r="VMC29" s="53"/>
      <c r="VMD29" s="53"/>
      <c r="VME29" s="53"/>
      <c r="VMF29" s="53"/>
      <c r="VMG29" s="53"/>
      <c r="VMH29" s="53"/>
      <c r="VMI29" s="53"/>
      <c r="VMJ29" s="53"/>
      <c r="VMK29" s="53"/>
      <c r="VML29" s="53"/>
      <c r="VMM29" s="53"/>
      <c r="VMN29" s="53"/>
      <c r="VMO29" s="212"/>
      <c r="VMP29" s="46"/>
      <c r="VMQ29" s="53"/>
      <c r="VMR29" s="53"/>
      <c r="VMS29" s="53"/>
      <c r="VMT29" s="53"/>
      <c r="VMU29" s="53"/>
      <c r="VMV29" s="53"/>
      <c r="VMW29" s="53"/>
      <c r="VMX29" s="53"/>
      <c r="VMY29" s="53"/>
      <c r="VMZ29" s="53"/>
      <c r="VNA29" s="53"/>
      <c r="VNB29" s="53"/>
      <c r="VNC29" s="53"/>
      <c r="VND29" s="212"/>
      <c r="VNE29" s="46"/>
      <c r="VNF29" s="53"/>
      <c r="VNG29" s="53"/>
      <c r="VNH29" s="53"/>
      <c r="VNI29" s="53"/>
      <c r="VNJ29" s="53"/>
      <c r="VNK29" s="53"/>
      <c r="VNL29" s="53"/>
      <c r="VNM29" s="53"/>
      <c r="VNN29" s="53"/>
      <c r="VNO29" s="53"/>
      <c r="VNP29" s="53"/>
      <c r="VNQ29" s="53"/>
      <c r="VNR29" s="53"/>
      <c r="VNS29" s="212"/>
      <c r="VNT29" s="46"/>
      <c r="VNU29" s="53"/>
      <c r="VNV29" s="53"/>
      <c r="VNW29" s="53"/>
      <c r="VNX29" s="53"/>
      <c r="VNY29" s="53"/>
      <c r="VNZ29" s="53"/>
      <c r="VOA29" s="53"/>
      <c r="VOB29" s="53"/>
      <c r="VOC29" s="53"/>
      <c r="VOD29" s="53"/>
      <c r="VOE29" s="53"/>
      <c r="VOF29" s="53"/>
      <c r="VOG29" s="53"/>
      <c r="VOH29" s="212"/>
      <c r="VOI29" s="46"/>
      <c r="VOJ29" s="53"/>
      <c r="VOK29" s="53"/>
      <c r="VOL29" s="53"/>
      <c r="VOM29" s="53"/>
      <c r="VON29" s="53"/>
      <c r="VOO29" s="53"/>
      <c r="VOP29" s="53"/>
      <c r="VOQ29" s="53"/>
      <c r="VOR29" s="53"/>
      <c r="VOS29" s="53"/>
      <c r="VOT29" s="53"/>
      <c r="VOU29" s="53"/>
      <c r="VOV29" s="53"/>
      <c r="VOW29" s="212"/>
      <c r="VOX29" s="46"/>
      <c r="VOY29" s="53"/>
      <c r="VOZ29" s="53"/>
      <c r="VPA29" s="53"/>
      <c r="VPB29" s="53"/>
      <c r="VPC29" s="53"/>
      <c r="VPD29" s="53"/>
      <c r="VPE29" s="53"/>
      <c r="VPF29" s="53"/>
      <c r="VPG29" s="53"/>
      <c r="VPH29" s="53"/>
      <c r="VPI29" s="53"/>
      <c r="VPJ29" s="53"/>
      <c r="VPK29" s="53"/>
      <c r="VPL29" s="212"/>
      <c r="VPM29" s="46"/>
      <c r="VPN29" s="53"/>
      <c r="VPO29" s="53"/>
      <c r="VPP29" s="53"/>
      <c r="VPQ29" s="53"/>
      <c r="VPR29" s="53"/>
      <c r="VPS29" s="53"/>
      <c r="VPT29" s="53"/>
      <c r="VPU29" s="53"/>
      <c r="VPV29" s="53"/>
      <c r="VPW29" s="53"/>
      <c r="VPX29" s="53"/>
      <c r="VPY29" s="53"/>
      <c r="VPZ29" s="53"/>
      <c r="VQA29" s="212"/>
      <c r="VQB29" s="46"/>
      <c r="VQC29" s="53"/>
      <c r="VQD29" s="53"/>
      <c r="VQE29" s="53"/>
      <c r="VQF29" s="53"/>
      <c r="VQG29" s="53"/>
      <c r="VQH29" s="53"/>
      <c r="VQI29" s="53"/>
      <c r="VQJ29" s="53"/>
      <c r="VQK29" s="53"/>
      <c r="VQL29" s="53"/>
      <c r="VQM29" s="53"/>
      <c r="VQN29" s="53"/>
      <c r="VQO29" s="53"/>
      <c r="VQP29" s="212"/>
      <c r="VQQ29" s="46"/>
      <c r="VQR29" s="53"/>
      <c r="VQS29" s="53"/>
      <c r="VQT29" s="53"/>
      <c r="VQU29" s="53"/>
      <c r="VQV29" s="53"/>
      <c r="VQW29" s="53"/>
      <c r="VQX29" s="53"/>
      <c r="VQY29" s="53"/>
      <c r="VQZ29" s="53"/>
      <c r="VRA29" s="53"/>
      <c r="VRB29" s="53"/>
      <c r="VRC29" s="53"/>
      <c r="VRD29" s="53"/>
      <c r="VRE29" s="212"/>
      <c r="VRF29" s="46"/>
      <c r="VRG29" s="53"/>
      <c r="VRH29" s="53"/>
      <c r="VRI29" s="53"/>
      <c r="VRJ29" s="53"/>
      <c r="VRK29" s="53"/>
      <c r="VRL29" s="53"/>
      <c r="VRM29" s="53"/>
      <c r="VRN29" s="53"/>
      <c r="VRO29" s="53"/>
      <c r="VRP29" s="53"/>
      <c r="VRQ29" s="53"/>
      <c r="VRR29" s="53"/>
      <c r="VRS29" s="53"/>
      <c r="VRT29" s="212"/>
      <c r="VRU29" s="46"/>
      <c r="VRV29" s="53"/>
      <c r="VRW29" s="53"/>
      <c r="VRX29" s="53"/>
      <c r="VRY29" s="53"/>
      <c r="VRZ29" s="53"/>
      <c r="VSA29" s="53"/>
      <c r="VSB29" s="53"/>
      <c r="VSC29" s="53"/>
      <c r="VSD29" s="53"/>
      <c r="VSE29" s="53"/>
      <c r="VSF29" s="53"/>
      <c r="VSG29" s="53"/>
      <c r="VSH29" s="53"/>
      <c r="VSI29" s="212"/>
      <c r="VSJ29" s="46"/>
      <c r="VSK29" s="53"/>
      <c r="VSL29" s="53"/>
      <c r="VSM29" s="53"/>
      <c r="VSN29" s="53"/>
      <c r="VSO29" s="53"/>
      <c r="VSP29" s="53"/>
      <c r="VSQ29" s="53"/>
      <c r="VSR29" s="53"/>
      <c r="VSS29" s="53"/>
      <c r="VST29" s="53"/>
      <c r="VSU29" s="53"/>
      <c r="VSV29" s="53"/>
      <c r="VSW29" s="53"/>
      <c r="VSX29" s="212"/>
      <c r="VSY29" s="46"/>
      <c r="VSZ29" s="53"/>
      <c r="VTA29" s="53"/>
      <c r="VTB29" s="53"/>
      <c r="VTC29" s="53"/>
      <c r="VTD29" s="53"/>
      <c r="VTE29" s="53"/>
      <c r="VTF29" s="53"/>
      <c r="VTG29" s="53"/>
      <c r="VTH29" s="53"/>
      <c r="VTI29" s="53"/>
      <c r="VTJ29" s="53"/>
      <c r="VTK29" s="53"/>
      <c r="VTL29" s="53"/>
      <c r="VTM29" s="212"/>
      <c r="VTN29" s="46"/>
      <c r="VTO29" s="53"/>
      <c r="VTP29" s="53"/>
      <c r="VTQ29" s="53"/>
      <c r="VTR29" s="53"/>
      <c r="VTS29" s="53"/>
      <c r="VTT29" s="53"/>
      <c r="VTU29" s="53"/>
      <c r="VTV29" s="53"/>
      <c r="VTW29" s="53"/>
      <c r="VTX29" s="53"/>
      <c r="VTY29" s="53"/>
      <c r="VTZ29" s="53"/>
      <c r="VUA29" s="53"/>
      <c r="VUB29" s="212"/>
      <c r="VUC29" s="46"/>
      <c r="VUD29" s="53"/>
      <c r="VUE29" s="53"/>
      <c r="VUF29" s="53"/>
      <c r="VUG29" s="53"/>
      <c r="VUH29" s="53"/>
      <c r="VUI29" s="53"/>
      <c r="VUJ29" s="53"/>
      <c r="VUK29" s="53"/>
      <c r="VUL29" s="53"/>
      <c r="VUM29" s="53"/>
      <c r="VUN29" s="53"/>
      <c r="VUO29" s="53"/>
      <c r="VUP29" s="53"/>
      <c r="VUQ29" s="212"/>
      <c r="VUR29" s="46"/>
      <c r="VUS29" s="53"/>
      <c r="VUT29" s="53"/>
      <c r="VUU29" s="53"/>
      <c r="VUV29" s="53"/>
      <c r="VUW29" s="53"/>
      <c r="VUX29" s="53"/>
      <c r="VUY29" s="53"/>
      <c r="VUZ29" s="53"/>
      <c r="VVA29" s="53"/>
      <c r="VVB29" s="53"/>
      <c r="VVC29" s="53"/>
      <c r="VVD29" s="53"/>
      <c r="VVE29" s="53"/>
      <c r="VVF29" s="212"/>
      <c r="VVG29" s="46"/>
      <c r="VVH29" s="53"/>
      <c r="VVI29" s="53"/>
      <c r="VVJ29" s="53"/>
      <c r="VVK29" s="53"/>
      <c r="VVL29" s="53"/>
      <c r="VVM29" s="53"/>
      <c r="VVN29" s="53"/>
      <c r="VVO29" s="53"/>
      <c r="VVP29" s="53"/>
      <c r="VVQ29" s="53"/>
      <c r="VVR29" s="53"/>
      <c r="VVS29" s="53"/>
      <c r="VVT29" s="53"/>
      <c r="VVU29" s="212"/>
      <c r="VVV29" s="46"/>
      <c r="VVW29" s="53"/>
      <c r="VVX29" s="53"/>
      <c r="VVY29" s="53"/>
      <c r="VVZ29" s="53"/>
      <c r="VWA29" s="53"/>
      <c r="VWB29" s="53"/>
      <c r="VWC29" s="53"/>
      <c r="VWD29" s="53"/>
      <c r="VWE29" s="53"/>
      <c r="VWF29" s="53"/>
      <c r="VWG29" s="53"/>
      <c r="VWH29" s="53"/>
      <c r="VWI29" s="53"/>
      <c r="VWJ29" s="212"/>
      <c r="VWK29" s="46"/>
      <c r="VWL29" s="53"/>
      <c r="VWM29" s="53"/>
      <c r="VWN29" s="53"/>
      <c r="VWO29" s="53"/>
      <c r="VWP29" s="53"/>
      <c r="VWQ29" s="53"/>
      <c r="VWR29" s="53"/>
      <c r="VWS29" s="53"/>
      <c r="VWT29" s="53"/>
      <c r="VWU29" s="53"/>
      <c r="VWV29" s="53"/>
      <c r="VWW29" s="53"/>
      <c r="VWX29" s="53"/>
      <c r="VWY29" s="212"/>
      <c r="VWZ29" s="46"/>
      <c r="VXA29" s="53"/>
      <c r="VXB29" s="53"/>
      <c r="VXC29" s="53"/>
      <c r="VXD29" s="53"/>
      <c r="VXE29" s="53"/>
      <c r="VXF29" s="53"/>
      <c r="VXG29" s="53"/>
      <c r="VXH29" s="53"/>
      <c r="VXI29" s="53"/>
      <c r="VXJ29" s="53"/>
      <c r="VXK29" s="53"/>
      <c r="VXL29" s="53"/>
      <c r="VXM29" s="53"/>
      <c r="VXN29" s="212"/>
      <c r="VXO29" s="46"/>
      <c r="VXP29" s="53"/>
      <c r="VXQ29" s="53"/>
      <c r="VXR29" s="53"/>
      <c r="VXS29" s="53"/>
      <c r="VXT29" s="53"/>
      <c r="VXU29" s="53"/>
      <c r="VXV29" s="53"/>
      <c r="VXW29" s="53"/>
      <c r="VXX29" s="53"/>
      <c r="VXY29" s="53"/>
      <c r="VXZ29" s="53"/>
      <c r="VYA29" s="53"/>
      <c r="VYB29" s="53"/>
      <c r="VYC29" s="212"/>
      <c r="VYD29" s="46"/>
      <c r="VYE29" s="53"/>
      <c r="VYF29" s="53"/>
      <c r="VYG29" s="53"/>
      <c r="VYH29" s="53"/>
      <c r="VYI29" s="53"/>
      <c r="VYJ29" s="53"/>
      <c r="VYK29" s="53"/>
      <c r="VYL29" s="53"/>
      <c r="VYM29" s="53"/>
      <c r="VYN29" s="53"/>
      <c r="VYO29" s="53"/>
      <c r="VYP29" s="53"/>
      <c r="VYQ29" s="53"/>
      <c r="VYR29" s="212"/>
      <c r="VYS29" s="46"/>
      <c r="VYT29" s="53"/>
      <c r="VYU29" s="53"/>
      <c r="VYV29" s="53"/>
      <c r="VYW29" s="53"/>
      <c r="VYX29" s="53"/>
      <c r="VYY29" s="53"/>
      <c r="VYZ29" s="53"/>
      <c r="VZA29" s="53"/>
      <c r="VZB29" s="53"/>
      <c r="VZC29" s="53"/>
      <c r="VZD29" s="53"/>
      <c r="VZE29" s="53"/>
      <c r="VZF29" s="53"/>
      <c r="VZG29" s="212"/>
      <c r="VZH29" s="46"/>
      <c r="VZI29" s="53"/>
      <c r="VZJ29" s="53"/>
      <c r="VZK29" s="53"/>
      <c r="VZL29" s="53"/>
      <c r="VZM29" s="53"/>
      <c r="VZN29" s="53"/>
      <c r="VZO29" s="53"/>
      <c r="VZP29" s="53"/>
      <c r="VZQ29" s="53"/>
      <c r="VZR29" s="53"/>
      <c r="VZS29" s="53"/>
      <c r="VZT29" s="53"/>
      <c r="VZU29" s="53"/>
      <c r="VZV29" s="212"/>
      <c r="VZW29" s="46"/>
      <c r="VZX29" s="53"/>
      <c r="VZY29" s="53"/>
      <c r="VZZ29" s="53"/>
      <c r="WAA29" s="53"/>
      <c r="WAB29" s="53"/>
      <c r="WAC29" s="53"/>
      <c r="WAD29" s="53"/>
      <c r="WAE29" s="53"/>
      <c r="WAF29" s="53"/>
      <c r="WAG29" s="53"/>
      <c r="WAH29" s="53"/>
      <c r="WAI29" s="53"/>
      <c r="WAJ29" s="53"/>
      <c r="WAK29" s="212"/>
      <c r="WAL29" s="46"/>
      <c r="WAM29" s="53"/>
      <c r="WAN29" s="53"/>
      <c r="WAO29" s="53"/>
      <c r="WAP29" s="53"/>
      <c r="WAQ29" s="53"/>
      <c r="WAR29" s="53"/>
      <c r="WAS29" s="53"/>
      <c r="WAT29" s="53"/>
      <c r="WAU29" s="53"/>
      <c r="WAV29" s="53"/>
      <c r="WAW29" s="53"/>
      <c r="WAX29" s="53"/>
      <c r="WAY29" s="53"/>
      <c r="WAZ29" s="212"/>
      <c r="WBA29" s="46"/>
      <c r="WBB29" s="53"/>
      <c r="WBC29" s="53"/>
      <c r="WBD29" s="53"/>
      <c r="WBE29" s="53"/>
      <c r="WBF29" s="53"/>
      <c r="WBG29" s="53"/>
      <c r="WBH29" s="53"/>
      <c r="WBI29" s="53"/>
      <c r="WBJ29" s="53"/>
      <c r="WBK29" s="53"/>
      <c r="WBL29" s="53"/>
      <c r="WBM29" s="53"/>
      <c r="WBN29" s="53"/>
      <c r="WBO29" s="212"/>
      <c r="WBP29" s="46"/>
      <c r="WBQ29" s="53"/>
      <c r="WBR29" s="53"/>
      <c r="WBS29" s="53"/>
      <c r="WBT29" s="53"/>
      <c r="WBU29" s="53"/>
      <c r="WBV29" s="53"/>
      <c r="WBW29" s="53"/>
      <c r="WBX29" s="53"/>
      <c r="WBY29" s="53"/>
      <c r="WBZ29" s="53"/>
      <c r="WCA29" s="53"/>
      <c r="WCB29" s="53"/>
      <c r="WCC29" s="53"/>
      <c r="WCD29" s="212"/>
      <c r="WCE29" s="46"/>
      <c r="WCF29" s="53"/>
      <c r="WCG29" s="53"/>
      <c r="WCH29" s="53"/>
      <c r="WCI29" s="53"/>
      <c r="WCJ29" s="53"/>
      <c r="WCK29" s="53"/>
      <c r="WCL29" s="53"/>
      <c r="WCM29" s="53"/>
      <c r="WCN29" s="53"/>
      <c r="WCO29" s="53"/>
      <c r="WCP29" s="53"/>
      <c r="WCQ29" s="53"/>
      <c r="WCR29" s="53"/>
      <c r="WCS29" s="212"/>
      <c r="WCT29" s="46"/>
      <c r="WCU29" s="53"/>
      <c r="WCV29" s="53"/>
      <c r="WCW29" s="53"/>
      <c r="WCX29" s="53"/>
      <c r="WCY29" s="53"/>
      <c r="WCZ29" s="53"/>
      <c r="WDA29" s="53"/>
      <c r="WDB29" s="53"/>
      <c r="WDC29" s="53"/>
      <c r="WDD29" s="53"/>
      <c r="WDE29" s="53"/>
      <c r="WDF29" s="53"/>
      <c r="WDG29" s="53"/>
      <c r="WDH29" s="212"/>
      <c r="WDI29" s="46"/>
      <c r="WDJ29" s="53"/>
      <c r="WDK29" s="53"/>
      <c r="WDL29" s="53"/>
      <c r="WDM29" s="53"/>
      <c r="WDN29" s="53"/>
      <c r="WDO29" s="53"/>
      <c r="WDP29" s="53"/>
      <c r="WDQ29" s="53"/>
      <c r="WDR29" s="53"/>
      <c r="WDS29" s="53"/>
      <c r="WDT29" s="53"/>
      <c r="WDU29" s="53"/>
      <c r="WDV29" s="53"/>
      <c r="WDW29" s="212"/>
      <c r="WDX29" s="46"/>
      <c r="WDY29" s="53"/>
      <c r="WDZ29" s="53"/>
      <c r="WEA29" s="53"/>
      <c r="WEB29" s="53"/>
      <c r="WEC29" s="53"/>
      <c r="WED29" s="53"/>
      <c r="WEE29" s="53"/>
      <c r="WEF29" s="53"/>
      <c r="WEG29" s="53"/>
      <c r="WEH29" s="53"/>
      <c r="WEI29" s="53"/>
      <c r="WEJ29" s="53"/>
      <c r="WEK29" s="53"/>
      <c r="WEL29" s="212"/>
      <c r="WEM29" s="46"/>
      <c r="WEN29" s="53"/>
      <c r="WEO29" s="53"/>
      <c r="WEP29" s="53"/>
      <c r="WEQ29" s="53"/>
      <c r="WER29" s="53"/>
      <c r="WES29" s="53"/>
      <c r="WET29" s="53"/>
      <c r="WEU29" s="53"/>
      <c r="WEV29" s="53"/>
      <c r="WEW29" s="53"/>
      <c r="WEX29" s="53"/>
      <c r="WEY29" s="53"/>
      <c r="WEZ29" s="53"/>
      <c r="WFA29" s="212"/>
      <c r="WFB29" s="46"/>
      <c r="WFC29" s="53"/>
      <c r="WFD29" s="53"/>
      <c r="WFE29" s="53"/>
      <c r="WFF29" s="53"/>
      <c r="WFG29" s="53"/>
      <c r="WFH29" s="53"/>
      <c r="WFI29" s="53"/>
      <c r="WFJ29" s="53"/>
      <c r="WFK29" s="53"/>
      <c r="WFL29" s="53"/>
      <c r="WFM29" s="53"/>
      <c r="WFN29" s="53"/>
      <c r="WFO29" s="53"/>
      <c r="WFP29" s="212"/>
      <c r="WFQ29" s="46"/>
      <c r="WFR29" s="53"/>
      <c r="WFS29" s="53"/>
      <c r="WFT29" s="53"/>
      <c r="WFU29" s="53"/>
      <c r="WFV29" s="53"/>
      <c r="WFW29" s="53"/>
      <c r="WFX29" s="53"/>
      <c r="WFY29" s="53"/>
      <c r="WFZ29" s="53"/>
      <c r="WGA29" s="53"/>
      <c r="WGB29" s="53"/>
      <c r="WGC29" s="53"/>
      <c r="WGD29" s="53"/>
      <c r="WGE29" s="212"/>
      <c r="WGF29" s="46"/>
      <c r="WGG29" s="53"/>
      <c r="WGH29" s="53"/>
      <c r="WGI29" s="53"/>
      <c r="WGJ29" s="53"/>
      <c r="WGK29" s="53"/>
      <c r="WGL29" s="53"/>
      <c r="WGM29" s="53"/>
      <c r="WGN29" s="53"/>
      <c r="WGO29" s="53"/>
      <c r="WGP29" s="53"/>
      <c r="WGQ29" s="53"/>
      <c r="WGR29" s="53"/>
      <c r="WGS29" s="53"/>
      <c r="WGT29" s="212"/>
      <c r="WGU29" s="46"/>
      <c r="WGV29" s="53"/>
      <c r="WGW29" s="53"/>
      <c r="WGX29" s="53"/>
      <c r="WGY29" s="53"/>
      <c r="WGZ29" s="53"/>
      <c r="WHA29" s="53"/>
      <c r="WHB29" s="53"/>
      <c r="WHC29" s="53"/>
      <c r="WHD29" s="53"/>
      <c r="WHE29" s="53"/>
      <c r="WHF29" s="53"/>
      <c r="WHG29" s="53"/>
      <c r="WHH29" s="53"/>
      <c r="WHI29" s="212"/>
      <c r="WHJ29" s="46"/>
      <c r="WHK29" s="53"/>
      <c r="WHL29" s="53"/>
      <c r="WHM29" s="53"/>
      <c r="WHN29" s="53"/>
      <c r="WHO29" s="53"/>
      <c r="WHP29" s="53"/>
      <c r="WHQ29" s="53"/>
      <c r="WHR29" s="53"/>
      <c r="WHS29" s="53"/>
      <c r="WHT29" s="53"/>
      <c r="WHU29" s="53"/>
      <c r="WHV29" s="53"/>
      <c r="WHW29" s="53"/>
      <c r="WHX29" s="212"/>
      <c r="WHY29" s="46"/>
      <c r="WHZ29" s="53"/>
      <c r="WIA29" s="53"/>
      <c r="WIB29" s="53"/>
      <c r="WIC29" s="53"/>
      <c r="WID29" s="53"/>
      <c r="WIE29" s="53"/>
      <c r="WIF29" s="53"/>
      <c r="WIG29" s="53"/>
      <c r="WIH29" s="53"/>
      <c r="WII29" s="53"/>
      <c r="WIJ29" s="53"/>
      <c r="WIK29" s="53"/>
      <c r="WIL29" s="53"/>
      <c r="WIM29" s="212"/>
      <c r="WIN29" s="46"/>
      <c r="WIO29" s="53"/>
      <c r="WIP29" s="53"/>
      <c r="WIQ29" s="53"/>
      <c r="WIR29" s="53"/>
      <c r="WIS29" s="53"/>
      <c r="WIT29" s="53"/>
      <c r="WIU29" s="53"/>
      <c r="WIV29" s="53"/>
      <c r="WIW29" s="53"/>
      <c r="WIX29" s="53"/>
      <c r="WIY29" s="53"/>
      <c r="WIZ29" s="53"/>
      <c r="WJA29" s="53"/>
      <c r="WJB29" s="212"/>
      <c r="WJC29" s="46"/>
      <c r="WJD29" s="53"/>
      <c r="WJE29" s="53"/>
      <c r="WJF29" s="53"/>
      <c r="WJG29" s="53"/>
      <c r="WJH29" s="53"/>
      <c r="WJI29" s="53"/>
      <c r="WJJ29" s="53"/>
      <c r="WJK29" s="53"/>
      <c r="WJL29" s="53"/>
      <c r="WJM29" s="53"/>
      <c r="WJN29" s="53"/>
      <c r="WJO29" s="53"/>
      <c r="WJP29" s="53"/>
      <c r="WJQ29" s="212"/>
      <c r="WJR29" s="46"/>
      <c r="WJS29" s="53"/>
      <c r="WJT29" s="53"/>
      <c r="WJU29" s="53"/>
      <c r="WJV29" s="53"/>
      <c r="WJW29" s="53"/>
      <c r="WJX29" s="53"/>
      <c r="WJY29" s="53"/>
      <c r="WJZ29" s="53"/>
      <c r="WKA29" s="53"/>
      <c r="WKB29" s="53"/>
      <c r="WKC29" s="53"/>
      <c r="WKD29" s="53"/>
      <c r="WKE29" s="53"/>
      <c r="WKF29" s="212"/>
      <c r="WKG29" s="46"/>
      <c r="WKH29" s="53"/>
      <c r="WKI29" s="53"/>
      <c r="WKJ29" s="53"/>
      <c r="WKK29" s="53"/>
      <c r="WKL29" s="53"/>
      <c r="WKM29" s="53"/>
      <c r="WKN29" s="53"/>
      <c r="WKO29" s="53"/>
      <c r="WKP29" s="53"/>
      <c r="WKQ29" s="53"/>
      <c r="WKR29" s="53"/>
      <c r="WKS29" s="53"/>
      <c r="WKT29" s="53"/>
      <c r="WKU29" s="212"/>
      <c r="WKV29" s="46"/>
      <c r="WKW29" s="53"/>
      <c r="WKX29" s="53"/>
      <c r="WKY29" s="53"/>
      <c r="WKZ29" s="53"/>
      <c r="WLA29" s="53"/>
      <c r="WLB29" s="53"/>
      <c r="WLC29" s="53"/>
      <c r="WLD29" s="53"/>
      <c r="WLE29" s="53"/>
      <c r="WLF29" s="53"/>
      <c r="WLG29" s="53"/>
      <c r="WLH29" s="53"/>
      <c r="WLI29" s="53"/>
      <c r="WLJ29" s="212"/>
      <c r="WLK29" s="46"/>
      <c r="WLL29" s="53"/>
      <c r="WLM29" s="53"/>
      <c r="WLN29" s="53"/>
      <c r="WLO29" s="53"/>
      <c r="WLP29" s="53"/>
      <c r="WLQ29" s="53"/>
      <c r="WLR29" s="53"/>
      <c r="WLS29" s="53"/>
      <c r="WLT29" s="53"/>
      <c r="WLU29" s="53"/>
      <c r="WLV29" s="53"/>
      <c r="WLW29" s="53"/>
      <c r="WLX29" s="53"/>
      <c r="WLY29" s="212"/>
      <c r="WLZ29" s="46"/>
      <c r="WMA29" s="53"/>
      <c r="WMB29" s="53"/>
      <c r="WMC29" s="53"/>
      <c r="WMD29" s="53"/>
      <c r="WME29" s="53"/>
      <c r="WMF29" s="53"/>
      <c r="WMG29" s="53"/>
      <c r="WMH29" s="53"/>
      <c r="WMI29" s="53"/>
      <c r="WMJ29" s="53"/>
      <c r="WMK29" s="53"/>
      <c r="WML29" s="53"/>
      <c r="WMM29" s="53"/>
      <c r="WMN29" s="212"/>
      <c r="WMO29" s="46"/>
      <c r="WMP29" s="53"/>
      <c r="WMQ29" s="53"/>
      <c r="WMR29" s="53"/>
      <c r="WMS29" s="53"/>
      <c r="WMT29" s="53"/>
      <c r="WMU29" s="53"/>
      <c r="WMV29" s="53"/>
      <c r="WMW29" s="53"/>
      <c r="WMX29" s="53"/>
      <c r="WMY29" s="53"/>
      <c r="WMZ29" s="53"/>
      <c r="WNA29" s="53"/>
      <c r="WNB29" s="53"/>
      <c r="WNC29" s="212"/>
      <c r="WND29" s="46"/>
      <c r="WNE29" s="53"/>
      <c r="WNF29" s="53"/>
      <c r="WNG29" s="53"/>
      <c r="WNH29" s="53"/>
      <c r="WNI29" s="53"/>
      <c r="WNJ29" s="53"/>
      <c r="WNK29" s="53"/>
      <c r="WNL29" s="53"/>
      <c r="WNM29" s="53"/>
      <c r="WNN29" s="53"/>
      <c r="WNO29" s="53"/>
      <c r="WNP29" s="53"/>
      <c r="WNQ29" s="53"/>
      <c r="WNR29" s="212"/>
      <c r="WNS29" s="46"/>
      <c r="WNT29" s="53"/>
      <c r="WNU29" s="53"/>
      <c r="WNV29" s="53"/>
      <c r="WNW29" s="53"/>
      <c r="WNX29" s="53"/>
      <c r="WNY29" s="53"/>
      <c r="WNZ29" s="53"/>
      <c r="WOA29" s="53"/>
      <c r="WOB29" s="53"/>
      <c r="WOC29" s="53"/>
      <c r="WOD29" s="53"/>
      <c r="WOE29" s="53"/>
      <c r="WOF29" s="53"/>
      <c r="WOG29" s="212"/>
      <c r="WOH29" s="46"/>
      <c r="WOI29" s="53"/>
      <c r="WOJ29" s="53"/>
      <c r="WOK29" s="53"/>
      <c r="WOL29" s="53"/>
      <c r="WOM29" s="53"/>
      <c r="WON29" s="53"/>
      <c r="WOO29" s="53"/>
      <c r="WOP29" s="53"/>
      <c r="WOQ29" s="53"/>
      <c r="WOR29" s="53"/>
      <c r="WOS29" s="53"/>
      <c r="WOT29" s="53"/>
      <c r="WOU29" s="53"/>
      <c r="WOV29" s="212"/>
      <c r="WOW29" s="46"/>
      <c r="WOX29" s="53"/>
      <c r="WOY29" s="53"/>
      <c r="WOZ29" s="53"/>
      <c r="WPA29" s="53"/>
      <c r="WPB29" s="53"/>
      <c r="WPC29" s="53"/>
      <c r="WPD29" s="53"/>
      <c r="WPE29" s="53"/>
      <c r="WPF29" s="53"/>
      <c r="WPG29" s="53"/>
      <c r="WPH29" s="53"/>
      <c r="WPI29" s="53"/>
      <c r="WPJ29" s="53"/>
      <c r="WPK29" s="212"/>
      <c r="WPL29" s="46"/>
      <c r="WPM29" s="53"/>
      <c r="WPN29" s="53"/>
      <c r="WPO29" s="53"/>
      <c r="WPP29" s="53"/>
      <c r="WPQ29" s="53"/>
      <c r="WPR29" s="53"/>
      <c r="WPS29" s="53"/>
      <c r="WPT29" s="53"/>
      <c r="WPU29" s="53"/>
      <c r="WPV29" s="53"/>
      <c r="WPW29" s="53"/>
      <c r="WPX29" s="53"/>
      <c r="WPY29" s="53"/>
      <c r="WPZ29" s="212"/>
      <c r="WQA29" s="46"/>
      <c r="WQB29" s="53"/>
      <c r="WQC29" s="53"/>
      <c r="WQD29" s="53"/>
      <c r="WQE29" s="53"/>
      <c r="WQF29" s="53"/>
      <c r="WQG29" s="53"/>
      <c r="WQH29" s="53"/>
      <c r="WQI29" s="53"/>
      <c r="WQJ29" s="53"/>
      <c r="WQK29" s="53"/>
      <c r="WQL29" s="53"/>
      <c r="WQM29" s="53"/>
      <c r="WQN29" s="53"/>
      <c r="WQO29" s="212"/>
      <c r="WQP29" s="46"/>
      <c r="WQQ29" s="53"/>
      <c r="WQR29" s="53"/>
      <c r="WQS29" s="53"/>
      <c r="WQT29" s="53"/>
      <c r="WQU29" s="53"/>
      <c r="WQV29" s="53"/>
      <c r="WQW29" s="53"/>
      <c r="WQX29" s="53"/>
      <c r="WQY29" s="53"/>
      <c r="WQZ29" s="53"/>
      <c r="WRA29" s="53"/>
      <c r="WRB29" s="53"/>
      <c r="WRC29" s="53"/>
      <c r="WRD29" s="212"/>
      <c r="WRE29" s="46"/>
      <c r="WRF29" s="53"/>
      <c r="WRG29" s="53"/>
      <c r="WRH29" s="53"/>
      <c r="WRI29" s="53"/>
      <c r="WRJ29" s="53"/>
      <c r="WRK29" s="53"/>
      <c r="WRL29" s="53"/>
      <c r="WRM29" s="53"/>
      <c r="WRN29" s="53"/>
      <c r="WRO29" s="53"/>
      <c r="WRP29" s="53"/>
      <c r="WRQ29" s="53"/>
      <c r="WRR29" s="53"/>
      <c r="WRS29" s="212"/>
      <c r="WRT29" s="46"/>
      <c r="WRU29" s="53"/>
      <c r="WRV29" s="53"/>
      <c r="WRW29" s="53"/>
      <c r="WRX29" s="53"/>
      <c r="WRY29" s="53"/>
      <c r="WRZ29" s="53"/>
      <c r="WSA29" s="53"/>
      <c r="WSB29" s="53"/>
      <c r="WSC29" s="53"/>
      <c r="WSD29" s="53"/>
      <c r="WSE29" s="53"/>
      <c r="WSF29" s="53"/>
      <c r="WSG29" s="53"/>
      <c r="WSH29" s="212"/>
      <c r="WSI29" s="46"/>
      <c r="WSJ29" s="53"/>
      <c r="WSK29" s="53"/>
      <c r="WSL29" s="53"/>
      <c r="WSM29" s="53"/>
      <c r="WSN29" s="53"/>
      <c r="WSO29" s="53"/>
      <c r="WSP29" s="53"/>
      <c r="WSQ29" s="53"/>
      <c r="WSR29" s="53"/>
      <c r="WSS29" s="53"/>
      <c r="WST29" s="53"/>
      <c r="WSU29" s="53"/>
      <c r="WSV29" s="53"/>
      <c r="WSW29" s="212"/>
      <c r="WSX29" s="46"/>
      <c r="WSY29" s="53"/>
      <c r="WSZ29" s="53"/>
      <c r="WTA29" s="53"/>
      <c r="WTB29" s="53"/>
      <c r="WTC29" s="53"/>
      <c r="WTD29" s="53"/>
      <c r="WTE29" s="53"/>
      <c r="WTF29" s="53"/>
      <c r="WTG29" s="53"/>
      <c r="WTH29" s="53"/>
      <c r="WTI29" s="53"/>
      <c r="WTJ29" s="53"/>
      <c r="WTK29" s="53"/>
      <c r="WTL29" s="212"/>
      <c r="WTM29" s="46"/>
      <c r="WTN29" s="53"/>
      <c r="WTO29" s="53"/>
      <c r="WTP29" s="53"/>
      <c r="WTQ29" s="53"/>
      <c r="WTR29" s="53"/>
      <c r="WTS29" s="53"/>
      <c r="WTT29" s="53"/>
      <c r="WTU29" s="53"/>
      <c r="WTV29" s="53"/>
      <c r="WTW29" s="53"/>
      <c r="WTX29" s="53"/>
      <c r="WTY29" s="53"/>
      <c r="WTZ29" s="53"/>
      <c r="WUA29" s="212"/>
      <c r="WUB29" s="46"/>
      <c r="WUC29" s="53"/>
      <c r="WUD29" s="53"/>
      <c r="WUE29" s="53"/>
      <c r="WUF29" s="53"/>
      <c r="WUG29" s="53"/>
      <c r="WUH29" s="53"/>
      <c r="WUI29" s="53"/>
      <c r="WUJ29" s="53"/>
      <c r="WUK29" s="53"/>
      <c r="WUL29" s="53"/>
      <c r="WUM29" s="53"/>
      <c r="WUN29" s="53"/>
      <c r="WUO29" s="53"/>
      <c r="WUP29" s="212"/>
      <c r="WUQ29" s="46"/>
      <c r="WUR29" s="53"/>
      <c r="WUS29" s="53"/>
      <c r="WUT29" s="53"/>
      <c r="WUU29" s="53"/>
      <c r="WUV29" s="53"/>
      <c r="WUW29" s="53"/>
      <c r="WUX29" s="53"/>
      <c r="WUY29" s="53"/>
      <c r="WUZ29" s="53"/>
      <c r="WVA29" s="53"/>
      <c r="WVB29" s="53"/>
      <c r="WVC29" s="53"/>
      <c r="WVD29" s="53"/>
      <c r="WVE29" s="212"/>
      <c r="WVF29" s="46"/>
      <c r="WVG29" s="53"/>
      <c r="WVH29" s="53"/>
      <c r="WVI29" s="53"/>
      <c r="WVJ29" s="53"/>
      <c r="WVK29" s="53"/>
      <c r="WVL29" s="53"/>
      <c r="WVM29" s="53"/>
      <c r="WVN29" s="53"/>
      <c r="WVO29" s="53"/>
      <c r="WVP29" s="53"/>
      <c r="WVQ29" s="53"/>
      <c r="WVR29" s="53"/>
      <c r="WVS29" s="53"/>
      <c r="WVT29" s="212"/>
      <c r="WVU29" s="46"/>
      <c r="WVV29" s="53"/>
      <c r="WVW29" s="53"/>
      <c r="WVX29" s="53"/>
      <c r="WVY29" s="53"/>
      <c r="WVZ29" s="53"/>
      <c r="WWA29" s="53"/>
      <c r="WWB29" s="53"/>
      <c r="WWC29" s="53"/>
      <c r="WWD29" s="53"/>
      <c r="WWE29" s="53"/>
      <c r="WWF29" s="53"/>
      <c r="WWG29" s="53"/>
      <c r="WWH29" s="53"/>
      <c r="WWI29" s="212"/>
      <c r="WWJ29" s="46"/>
      <c r="WWK29" s="53"/>
      <c r="WWL29" s="53"/>
      <c r="WWM29" s="53"/>
      <c r="WWN29" s="53"/>
      <c r="WWO29" s="53"/>
      <c r="WWP29" s="53"/>
      <c r="WWQ29" s="53"/>
      <c r="WWR29" s="53"/>
      <c r="WWS29" s="53"/>
      <c r="WWT29" s="53"/>
      <c r="WWU29" s="53"/>
      <c r="WWV29" s="53"/>
      <c r="WWW29" s="53"/>
      <c r="WWX29" s="212"/>
      <c r="WWY29" s="46"/>
      <c r="WWZ29" s="53"/>
      <c r="WXA29" s="53"/>
      <c r="WXB29" s="53"/>
      <c r="WXC29" s="53"/>
      <c r="WXD29" s="53"/>
      <c r="WXE29" s="53"/>
      <c r="WXF29" s="53"/>
      <c r="WXG29" s="53"/>
      <c r="WXH29" s="53"/>
      <c r="WXI29" s="53"/>
      <c r="WXJ29" s="53"/>
      <c r="WXK29" s="53"/>
      <c r="WXL29" s="53"/>
      <c r="WXM29" s="212"/>
      <c r="WXN29" s="46"/>
      <c r="WXO29" s="53"/>
      <c r="WXP29" s="53"/>
      <c r="WXQ29" s="53"/>
      <c r="WXR29" s="53"/>
      <c r="WXS29" s="53"/>
      <c r="WXT29" s="53"/>
      <c r="WXU29" s="53"/>
      <c r="WXV29" s="53"/>
      <c r="WXW29" s="53"/>
      <c r="WXX29" s="53"/>
      <c r="WXY29" s="53"/>
      <c r="WXZ29" s="53"/>
      <c r="WYA29" s="53"/>
      <c r="WYB29" s="212"/>
      <c r="WYC29" s="46"/>
      <c r="WYD29" s="53"/>
      <c r="WYE29" s="53"/>
      <c r="WYF29" s="53"/>
      <c r="WYG29" s="53"/>
      <c r="WYH29" s="53"/>
      <c r="WYI29" s="53"/>
      <c r="WYJ29" s="53"/>
      <c r="WYK29" s="53"/>
      <c r="WYL29" s="53"/>
      <c r="WYM29" s="53"/>
      <c r="WYN29" s="53"/>
      <c r="WYO29" s="53"/>
      <c r="WYP29" s="53"/>
      <c r="WYQ29" s="212"/>
      <c r="WYR29" s="46"/>
      <c r="WYS29" s="53"/>
      <c r="WYT29" s="53"/>
      <c r="WYU29" s="53"/>
      <c r="WYV29" s="53"/>
      <c r="WYW29" s="53"/>
      <c r="WYX29" s="53"/>
      <c r="WYY29" s="53"/>
      <c r="WYZ29" s="53"/>
      <c r="WZA29" s="53"/>
      <c r="WZB29" s="53"/>
      <c r="WZC29" s="53"/>
      <c r="WZD29" s="53"/>
      <c r="WZE29" s="53"/>
      <c r="WZF29" s="212"/>
      <c r="WZG29" s="46"/>
      <c r="WZH29" s="53"/>
      <c r="WZI29" s="53"/>
      <c r="WZJ29" s="53"/>
      <c r="WZK29" s="53"/>
      <c r="WZL29" s="53"/>
      <c r="WZM29" s="53"/>
      <c r="WZN29" s="53"/>
      <c r="WZO29" s="53"/>
      <c r="WZP29" s="53"/>
      <c r="WZQ29" s="53"/>
      <c r="WZR29" s="53"/>
      <c r="WZS29" s="53"/>
      <c r="WZT29" s="53"/>
      <c r="WZU29" s="212"/>
      <c r="WZV29" s="46"/>
      <c r="WZW29" s="53"/>
      <c r="WZX29" s="53"/>
      <c r="WZY29" s="53"/>
      <c r="WZZ29" s="53"/>
      <c r="XAA29" s="53"/>
      <c r="XAB29" s="53"/>
      <c r="XAC29" s="53"/>
      <c r="XAD29" s="53"/>
      <c r="XAE29" s="53"/>
      <c r="XAF29" s="53"/>
      <c r="XAG29" s="53"/>
      <c r="XAH29" s="53"/>
      <c r="XAI29" s="53"/>
      <c r="XAJ29" s="212"/>
      <c r="XAK29" s="46"/>
      <c r="XAL29" s="53"/>
      <c r="XAM29" s="53"/>
      <c r="XAN29" s="53"/>
      <c r="XAO29" s="53"/>
      <c r="XAP29" s="53"/>
      <c r="XAQ29" s="53"/>
      <c r="XAR29" s="53"/>
      <c r="XAS29" s="53"/>
      <c r="XAT29" s="53"/>
      <c r="XAU29" s="53"/>
      <c r="XAV29" s="53"/>
      <c r="XAW29" s="53"/>
      <c r="XAX29" s="53"/>
      <c r="XAY29" s="212"/>
      <c r="XAZ29" s="46"/>
      <c r="XBA29" s="53"/>
      <c r="XBB29" s="53"/>
      <c r="XBC29" s="53"/>
      <c r="XBD29" s="53"/>
      <c r="XBE29" s="53"/>
      <c r="XBF29" s="53"/>
      <c r="XBG29" s="53"/>
      <c r="XBH29" s="53"/>
      <c r="XBI29" s="53"/>
      <c r="XBJ29" s="53"/>
      <c r="XBK29" s="53"/>
      <c r="XBL29" s="53"/>
      <c r="XBM29" s="53"/>
      <c r="XBN29" s="212"/>
      <c r="XBO29" s="46"/>
      <c r="XBP29" s="53"/>
      <c r="XBQ29" s="53"/>
      <c r="XBR29" s="53"/>
      <c r="XBS29" s="53"/>
      <c r="XBT29" s="53"/>
      <c r="XBU29" s="53"/>
      <c r="XBV29" s="53"/>
      <c r="XBW29" s="53"/>
      <c r="XBX29" s="53"/>
      <c r="XBY29" s="53"/>
      <c r="XBZ29" s="53"/>
      <c r="XCA29" s="53"/>
      <c r="XCB29" s="53"/>
      <c r="XCC29" s="212"/>
      <c r="XCD29" s="46"/>
      <c r="XCE29" s="53"/>
      <c r="XCF29" s="53"/>
      <c r="XCG29" s="53"/>
      <c r="XCH29" s="53"/>
      <c r="XCI29" s="53"/>
      <c r="XCJ29" s="53"/>
      <c r="XCK29" s="53"/>
      <c r="XCL29" s="53"/>
      <c r="XCM29" s="53"/>
      <c r="XCN29" s="53"/>
      <c r="XCO29" s="53"/>
      <c r="XCP29" s="53"/>
      <c r="XCQ29" s="53"/>
      <c r="XCR29" s="212"/>
      <c r="XCS29" s="46"/>
      <c r="XCT29" s="53"/>
      <c r="XCU29" s="53"/>
      <c r="XCV29" s="53"/>
      <c r="XCW29" s="53"/>
      <c r="XCX29" s="53"/>
      <c r="XCY29" s="53"/>
      <c r="XCZ29" s="53"/>
      <c r="XDA29" s="53"/>
      <c r="XDB29" s="53"/>
      <c r="XDC29" s="53"/>
      <c r="XDD29" s="53"/>
      <c r="XDE29" s="53"/>
      <c r="XDF29" s="53"/>
      <c r="XDG29" s="212"/>
      <c r="XDH29" s="46"/>
      <c r="XDI29" s="53"/>
      <c r="XDJ29" s="53"/>
      <c r="XDK29" s="53"/>
      <c r="XDL29" s="53"/>
      <c r="XDM29" s="53"/>
      <c r="XDN29" s="53"/>
      <c r="XDO29" s="53"/>
      <c r="XDP29" s="53"/>
      <c r="XDQ29" s="53"/>
      <c r="XDR29" s="53"/>
      <c r="XDS29" s="53"/>
      <c r="XDT29" s="53"/>
      <c r="XDU29" s="53"/>
      <c r="XDV29" s="212"/>
      <c r="XDW29" s="46"/>
      <c r="XDX29" s="53"/>
      <c r="XDY29" s="53"/>
      <c r="XDZ29" s="53"/>
      <c r="XEA29" s="53"/>
      <c r="XEB29" s="53"/>
      <c r="XEC29" s="53"/>
      <c r="XED29" s="53"/>
      <c r="XEE29" s="53"/>
      <c r="XEF29" s="53"/>
      <c r="XEG29" s="53"/>
      <c r="XEH29" s="53"/>
      <c r="XEI29" s="53"/>
      <c r="XEJ29" s="53"/>
      <c r="XEK29" s="212"/>
      <c r="XEL29" s="46"/>
      <c r="XEM29" s="53"/>
      <c r="XEN29" s="53"/>
      <c r="XEO29" s="53"/>
      <c r="XEP29" s="53"/>
      <c r="XEQ29" s="53"/>
      <c r="XER29" s="53"/>
      <c r="XES29" s="53"/>
      <c r="XET29" s="53"/>
      <c r="XEU29" s="53"/>
      <c r="XEV29" s="53"/>
      <c r="XEW29" s="53"/>
      <c r="XEX29" s="53"/>
      <c r="XEY29" s="53"/>
      <c r="XEZ29" s="212"/>
      <c r="XFA29" s="46"/>
      <c r="XFB29" s="53"/>
      <c r="XFC29" s="53"/>
      <c r="XFD29" s="53"/>
    </row>
    <row r="31" spans="1:16384">
      <c r="D31" s="17"/>
      <c r="N31" s="209"/>
    </row>
    <row r="32" spans="1:16384">
      <c r="B32" s="10" t="s">
        <v>2464</v>
      </c>
    </row>
    <row r="35" spans="1:16" s="15" customFormat="1">
      <c r="A35" s="10"/>
      <c r="B35" s="17"/>
      <c r="C35" s="17"/>
      <c r="D35" s="10"/>
      <c r="E35" s="10"/>
      <c r="F35" s="10"/>
      <c r="G35" s="10"/>
      <c r="H35" s="18"/>
      <c r="I35" s="19"/>
      <c r="J35" s="19"/>
      <c r="K35" s="20"/>
      <c r="L35" s="20"/>
      <c r="M35" s="19"/>
      <c r="N35" s="209"/>
      <c r="P35" s="10"/>
    </row>
    <row r="36" spans="1:16" s="15" customFormat="1">
      <c r="A36" s="10"/>
      <c r="B36" s="10"/>
      <c r="C36" s="10"/>
      <c r="D36" s="10"/>
      <c r="E36" s="10"/>
      <c r="F36" s="10"/>
      <c r="G36" s="10"/>
      <c r="H36" s="18"/>
      <c r="I36" s="19"/>
      <c r="J36" s="19"/>
      <c r="K36" s="20"/>
      <c r="L36" s="20"/>
      <c r="M36" s="19"/>
      <c r="N36" s="209"/>
      <c r="P36" s="10"/>
    </row>
  </sheetData>
  <mergeCells count="1">
    <mergeCell ref="A1:N1"/>
  </mergeCells>
  <pageMargins left="0.51181102362204722" right="0.51181102362204722" top="0.74803149606299213" bottom="0.74803149606299213" header="0.31496062992125984" footer="0.31496062992125984"/>
  <pageSetup paperSize="9" scale="48" firstPageNumber="87" orientation="landscape" useFirstPageNumber="1" r:id="rId1"/>
  <headerFooter>
    <oddFooter>&amp;L&amp;16&amp;P&amp;C&amp;16לאישור מועצת העיר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rightToLeft="1" topLeftCell="A35" workbookViewId="0">
      <selection activeCell="C42" sqref="C42"/>
    </sheetView>
  </sheetViews>
  <sheetFormatPr defaultRowHeight="15"/>
  <cols>
    <col min="1" max="1" width="17.75" style="756" customWidth="1"/>
    <col min="2" max="2" width="13.5" style="757" bestFit="1" customWidth="1"/>
    <col min="3" max="3" width="10.5" style="756" bestFit="1" customWidth="1"/>
    <col min="5" max="6" width="10.875" bestFit="1" customWidth="1"/>
    <col min="8" max="8" width="10.875" bestFit="1" customWidth="1"/>
  </cols>
  <sheetData>
    <row r="1" spans="1:3">
      <c r="A1" s="825" t="s">
        <v>3520</v>
      </c>
      <c r="B1" s="825" t="s">
        <v>2999</v>
      </c>
      <c r="C1" s="825" t="s">
        <v>3852</v>
      </c>
    </row>
    <row r="2" spans="1:3">
      <c r="A2" s="756">
        <v>1611000110</v>
      </c>
      <c r="B2" s="757">
        <v>3736000</v>
      </c>
      <c r="C2" s="957">
        <v>3736000</v>
      </c>
    </row>
    <row r="3" spans="1:3">
      <c r="A3" s="756">
        <v>1611100110</v>
      </c>
      <c r="B3" s="757">
        <v>3885000</v>
      </c>
      <c r="C3" s="957">
        <v>3885000</v>
      </c>
    </row>
    <row r="4" spans="1:3">
      <c r="A4" s="756">
        <v>1612000110</v>
      </c>
      <c r="B4" s="757">
        <v>946000</v>
      </c>
      <c r="C4" s="957">
        <v>946000</v>
      </c>
    </row>
    <row r="5" spans="1:3">
      <c r="A5" s="756">
        <v>1614000110</v>
      </c>
      <c r="B5" s="757">
        <v>380000</v>
      </c>
      <c r="C5" s="957">
        <v>380000</v>
      </c>
    </row>
    <row r="6" spans="1:3">
      <c r="A6" s="756">
        <v>1613000110</v>
      </c>
      <c r="B6" s="757">
        <v>2455000</v>
      </c>
      <c r="C6" s="957">
        <v>2455000</v>
      </c>
    </row>
    <row r="7" spans="1:3">
      <c r="A7" s="756">
        <v>1618000110</v>
      </c>
      <c r="B7" s="757">
        <v>738000</v>
      </c>
      <c r="C7" s="957">
        <v>738000</v>
      </c>
    </row>
    <row r="8" spans="1:3">
      <c r="A8" s="756">
        <v>1722000110</v>
      </c>
      <c r="B8" s="757">
        <v>2135000</v>
      </c>
      <c r="C8" s="957">
        <v>2135000</v>
      </c>
    </row>
    <row r="9" spans="1:3">
      <c r="A9" s="756">
        <v>1722400110</v>
      </c>
      <c r="B9" s="757">
        <v>457000</v>
      </c>
      <c r="C9" s="957">
        <v>457000</v>
      </c>
    </row>
    <row r="10" spans="1:3">
      <c r="A10" s="756">
        <v>1723000110</v>
      </c>
      <c r="B10" s="757">
        <v>531000</v>
      </c>
      <c r="C10" s="957">
        <v>531000</v>
      </c>
    </row>
    <row r="11" spans="1:3">
      <c r="A11" s="756">
        <v>1782000110</v>
      </c>
      <c r="B11" s="757">
        <v>655000</v>
      </c>
      <c r="C11" s="957">
        <v>655000</v>
      </c>
    </row>
    <row r="12" spans="1:3">
      <c r="A12" s="756">
        <v>1615000110</v>
      </c>
      <c r="B12" s="757">
        <v>3338000</v>
      </c>
      <c r="C12" s="957">
        <v>3338000</v>
      </c>
    </row>
    <row r="13" spans="1:3">
      <c r="A13" s="756">
        <v>1615100110</v>
      </c>
      <c r="B13" s="757">
        <v>255000</v>
      </c>
      <c r="C13" s="957">
        <v>255000</v>
      </c>
    </row>
    <row r="14" spans="1:3">
      <c r="A14" s="756">
        <v>1616000110</v>
      </c>
      <c r="B14" s="757">
        <v>517501</v>
      </c>
      <c r="C14" s="957">
        <v>518000</v>
      </c>
    </row>
    <row r="15" spans="1:3">
      <c r="A15" s="756">
        <v>1616100110</v>
      </c>
      <c r="B15" s="757">
        <v>860000</v>
      </c>
      <c r="C15" s="957">
        <v>860000</v>
      </c>
    </row>
    <row r="16" spans="1:3">
      <c r="A16" s="756">
        <v>1761000110</v>
      </c>
      <c r="B16" s="757">
        <v>2240000</v>
      </c>
      <c r="C16" s="957">
        <v>2240000</v>
      </c>
    </row>
    <row r="17" spans="1:3">
      <c r="A17" s="756">
        <v>1617000110</v>
      </c>
      <c r="B17" s="757">
        <v>3390000</v>
      </c>
      <c r="C17" s="957">
        <v>3390000</v>
      </c>
    </row>
    <row r="18" spans="1:3">
      <c r="A18" s="756">
        <v>1731000110</v>
      </c>
      <c r="B18" s="757">
        <v>7427000</v>
      </c>
      <c r="C18" s="957">
        <v>7427000</v>
      </c>
    </row>
    <row r="19" spans="1:3">
      <c r="A19" s="756">
        <v>1732000110</v>
      </c>
      <c r="B19" s="757">
        <v>2852000</v>
      </c>
      <c r="C19" s="957">
        <v>2852000</v>
      </c>
    </row>
    <row r="20" spans="1:3">
      <c r="A20" s="756">
        <v>1733000110</v>
      </c>
      <c r="B20" s="757">
        <v>2253000</v>
      </c>
      <c r="C20" s="957">
        <v>2253000</v>
      </c>
    </row>
    <row r="21" spans="1:3">
      <c r="A21" s="756">
        <v>1734000110</v>
      </c>
      <c r="B21" s="757">
        <v>1651000</v>
      </c>
      <c r="C21" s="957">
        <v>1651000</v>
      </c>
    </row>
    <row r="22" spans="1:3">
      <c r="A22" s="756">
        <v>1764000110</v>
      </c>
      <c r="B22" s="757">
        <v>355000</v>
      </c>
      <c r="C22" s="957">
        <v>355000</v>
      </c>
    </row>
    <row r="23" spans="1:3">
      <c r="A23" s="756">
        <v>1621000110</v>
      </c>
      <c r="B23" s="757">
        <v>1692000</v>
      </c>
      <c r="C23" s="957">
        <f t="shared" ref="C23" si="0">ROUND(B23,-3)</f>
        <v>1692000</v>
      </c>
    </row>
    <row r="24" spans="1:3">
      <c r="A24" s="756">
        <v>1621300110</v>
      </c>
      <c r="B24" s="757">
        <v>3087000</v>
      </c>
      <c r="C24" s="757">
        <v>3087000</v>
      </c>
    </row>
    <row r="25" spans="1:3">
      <c r="A25" s="756">
        <v>1623000110</v>
      </c>
      <c r="B25" s="757">
        <v>5115000</v>
      </c>
      <c r="C25" s="957">
        <v>5115000</v>
      </c>
    </row>
    <row r="26" spans="1:3">
      <c r="A26" s="756">
        <v>1749000110</v>
      </c>
      <c r="B26" s="757">
        <v>2187000</v>
      </c>
      <c r="C26" s="957">
        <v>2187000</v>
      </c>
    </row>
    <row r="27" spans="1:3">
      <c r="A27" s="756">
        <v>1735000110</v>
      </c>
      <c r="B27" s="757">
        <v>1431000</v>
      </c>
      <c r="C27" s="957">
        <v>1431000</v>
      </c>
    </row>
    <row r="28" spans="1:3">
      <c r="A28" s="756">
        <v>1710000110</v>
      </c>
      <c r="B28" s="757">
        <v>2155000</v>
      </c>
      <c r="C28" s="957">
        <v>2155000</v>
      </c>
    </row>
    <row r="29" spans="1:3">
      <c r="A29" s="756">
        <v>1711000110</v>
      </c>
      <c r="B29" s="757">
        <v>798000</v>
      </c>
      <c r="C29" s="957">
        <v>798000</v>
      </c>
    </row>
    <row r="30" spans="1:3">
      <c r="A30" s="756">
        <v>1713000110</v>
      </c>
      <c r="B30" s="757">
        <v>5838000</v>
      </c>
      <c r="C30" s="957">
        <v>5838000</v>
      </c>
    </row>
    <row r="31" spans="1:3">
      <c r="A31" s="756">
        <v>1714200110</v>
      </c>
      <c r="B31" s="757">
        <v>1679000</v>
      </c>
      <c r="C31" s="957">
        <v>1679000</v>
      </c>
    </row>
    <row r="32" spans="1:3">
      <c r="A32" s="756">
        <v>1742000110</v>
      </c>
      <c r="B32" s="757">
        <v>1884000</v>
      </c>
      <c r="C32" s="957">
        <v>1884000</v>
      </c>
    </row>
    <row r="33" spans="1:4">
      <c r="A33" s="756">
        <v>1743000110</v>
      </c>
      <c r="B33" s="757">
        <v>3509000</v>
      </c>
      <c r="C33" s="957">
        <v>3509000</v>
      </c>
    </row>
    <row r="34" spans="1:4">
      <c r="A34" s="756">
        <v>1746000110</v>
      </c>
      <c r="B34" s="757">
        <v>1945000</v>
      </c>
      <c r="C34" s="957">
        <v>1945000</v>
      </c>
    </row>
    <row r="35" spans="1:4">
      <c r="A35" s="756">
        <v>1772000110</v>
      </c>
      <c r="B35" s="757">
        <v>1402000</v>
      </c>
      <c r="C35" s="957">
        <v>1402000</v>
      </c>
    </row>
    <row r="36" spans="1:4">
      <c r="A36" s="756">
        <v>1791000110</v>
      </c>
      <c r="B36" s="757">
        <v>396000</v>
      </c>
      <c r="C36" s="957">
        <v>396000</v>
      </c>
    </row>
    <row r="37" spans="1:4">
      <c r="A37" s="756">
        <v>1941000110</v>
      </c>
      <c r="B37" s="757">
        <v>682000</v>
      </c>
      <c r="C37" s="957">
        <v>682000</v>
      </c>
    </row>
    <row r="38" spans="1:4">
      <c r="A38" s="756">
        <v>1752000110</v>
      </c>
      <c r="B38" s="757">
        <v>7831000</v>
      </c>
      <c r="C38" s="957">
        <f>B38</f>
        <v>7831000</v>
      </c>
      <c r="D38" s="957"/>
    </row>
    <row r="39" spans="1:4">
      <c r="A39" s="756">
        <v>1752100110</v>
      </c>
      <c r="B39" s="757">
        <v>818000</v>
      </c>
      <c r="C39" s="957">
        <v>818000</v>
      </c>
      <c r="D39" s="957"/>
    </row>
    <row r="40" spans="1:4">
      <c r="A40" s="756">
        <v>1780000110</v>
      </c>
      <c r="B40" s="757">
        <v>1255000</v>
      </c>
      <c r="C40" s="957">
        <v>1255000</v>
      </c>
      <c r="D40" s="957"/>
    </row>
    <row r="41" spans="1:4">
      <c r="A41" s="756">
        <v>1781000110</v>
      </c>
      <c r="B41" s="957">
        <v>5261000</v>
      </c>
      <c r="C41" s="957">
        <f>B41</f>
        <v>5261000</v>
      </c>
      <c r="D41" s="957"/>
    </row>
    <row r="42" spans="1:4">
      <c r="A42" s="756">
        <v>1722300110</v>
      </c>
      <c r="B42" s="757">
        <v>2568000</v>
      </c>
      <c r="C42" s="957">
        <f>B42</f>
        <v>2568000</v>
      </c>
    </row>
    <row r="43" spans="1:4">
      <c r="A43" s="756">
        <v>1870000110</v>
      </c>
      <c r="B43" s="757">
        <v>736000</v>
      </c>
      <c r="C43" s="957">
        <v>736000</v>
      </c>
    </row>
    <row r="44" spans="1:4">
      <c r="A44" s="756">
        <v>1783000110</v>
      </c>
      <c r="B44" s="757">
        <v>1371000</v>
      </c>
      <c r="C44" s="957">
        <v>1371000</v>
      </c>
    </row>
    <row r="45" spans="1:4">
      <c r="A45" s="756">
        <v>1784000110</v>
      </c>
      <c r="B45" s="757">
        <v>1405000</v>
      </c>
      <c r="C45" s="957">
        <v>1405000</v>
      </c>
    </row>
    <row r="46" spans="1:4">
      <c r="A46" s="756">
        <v>1747000110</v>
      </c>
      <c r="B46" s="757">
        <v>9778000</v>
      </c>
      <c r="C46" s="957">
        <v>9778000</v>
      </c>
    </row>
    <row r="47" spans="1:4">
      <c r="A47" s="756">
        <v>1766000110</v>
      </c>
      <c r="B47" s="757">
        <v>175000</v>
      </c>
      <c r="C47" s="957">
        <v>175000</v>
      </c>
    </row>
    <row r="48" spans="1:4">
      <c r="A48" s="756">
        <v>1825000110</v>
      </c>
      <c r="B48" s="757">
        <v>770000</v>
      </c>
      <c r="C48" s="957">
        <v>770000</v>
      </c>
    </row>
    <row r="49" spans="1:5">
      <c r="A49" s="756">
        <v>1827000110</v>
      </c>
      <c r="B49" s="757">
        <v>1086000</v>
      </c>
      <c r="C49" s="957">
        <v>1086000</v>
      </c>
    </row>
    <row r="50" spans="1:5">
      <c r="A50" s="756">
        <v>1823000110</v>
      </c>
      <c r="B50" s="757">
        <v>3025000</v>
      </c>
      <c r="C50" s="957">
        <v>3025000</v>
      </c>
    </row>
    <row r="51" spans="1:5">
      <c r="A51" s="756">
        <v>1829300110</v>
      </c>
      <c r="B51" s="757">
        <v>1894000</v>
      </c>
      <c r="C51" s="957">
        <v>1894000</v>
      </c>
    </row>
    <row r="52" spans="1:5">
      <c r="A52" s="756">
        <v>1860000110</v>
      </c>
      <c r="B52" s="757">
        <v>1209000</v>
      </c>
      <c r="C52" s="957">
        <v>1209000</v>
      </c>
    </row>
    <row r="53" spans="1:5">
      <c r="A53" s="756">
        <v>1822000110</v>
      </c>
      <c r="B53" s="757">
        <v>416000</v>
      </c>
      <c r="C53" s="957">
        <v>416000</v>
      </c>
    </row>
    <row r="54" spans="1:5">
      <c r="A54" s="756">
        <v>1828100110</v>
      </c>
      <c r="B54" s="757">
        <v>690000</v>
      </c>
      <c r="C54" s="957">
        <v>690000</v>
      </c>
    </row>
    <row r="55" spans="1:5">
      <c r="A55" s="756">
        <v>1828200110</v>
      </c>
      <c r="B55" s="757">
        <v>2184000</v>
      </c>
      <c r="C55" s="957">
        <v>2184000</v>
      </c>
    </row>
    <row r="56" spans="1:5">
      <c r="A56" s="756">
        <v>1828300110</v>
      </c>
      <c r="B56" s="757">
        <v>323000</v>
      </c>
      <c r="C56" s="957">
        <v>323000</v>
      </c>
    </row>
    <row r="57" spans="1:5">
      <c r="A57" s="756">
        <v>1828400110</v>
      </c>
      <c r="B57" s="757">
        <v>577000</v>
      </c>
      <c r="C57" s="957">
        <v>577000</v>
      </c>
    </row>
    <row r="58" spans="1:5" s="566" customFormat="1">
      <c r="A58" s="29">
        <v>1744000110</v>
      </c>
      <c r="B58" s="41">
        <v>370000</v>
      </c>
      <c r="C58" s="957">
        <v>370000</v>
      </c>
    </row>
    <row r="59" spans="1:5" s="566" customFormat="1">
      <c r="A59" s="29">
        <v>1811000110</v>
      </c>
      <c r="B59" s="41">
        <v>12432000</v>
      </c>
      <c r="C59" s="957">
        <v>12432000</v>
      </c>
      <c r="E59" s="518">
        <v>1811000110</v>
      </c>
    </row>
    <row r="60" spans="1:5" s="566" customFormat="1">
      <c r="A60" s="29">
        <v>1812000110</v>
      </c>
      <c r="B60" s="41">
        <v>117000</v>
      </c>
      <c r="C60" s="957">
        <v>117000</v>
      </c>
      <c r="E60" s="518">
        <v>1812000110</v>
      </c>
    </row>
    <row r="61" spans="1:5" s="566" customFormat="1">
      <c r="A61" s="29">
        <v>1812100110</v>
      </c>
      <c r="B61" s="41">
        <v>31005210</v>
      </c>
      <c r="C61" s="957">
        <v>31005000</v>
      </c>
      <c r="E61" s="518">
        <v>1812100110</v>
      </c>
    </row>
    <row r="62" spans="1:5" s="566" customFormat="1">
      <c r="A62" s="29">
        <v>1812200110</v>
      </c>
      <c r="B62" s="41">
        <v>12848200</v>
      </c>
      <c r="C62" s="957">
        <v>12848000</v>
      </c>
      <c r="E62" s="518">
        <v>1812200110</v>
      </c>
    </row>
    <row r="63" spans="1:5" s="566" customFormat="1">
      <c r="A63" s="29">
        <v>1812300110</v>
      </c>
      <c r="B63" s="41">
        <v>7651600</v>
      </c>
      <c r="C63" s="957">
        <v>7652000</v>
      </c>
      <c r="E63" s="518">
        <v>1812300110</v>
      </c>
    </row>
    <row r="64" spans="1:5" s="566" customFormat="1">
      <c r="A64" s="29">
        <v>1813100110</v>
      </c>
      <c r="B64" s="41">
        <v>20180700</v>
      </c>
      <c r="C64" s="957">
        <v>20181000</v>
      </c>
      <c r="E64" s="518">
        <v>1813100110</v>
      </c>
    </row>
    <row r="65" spans="1:8" s="566" customFormat="1">
      <c r="A65" s="29">
        <v>1813200110</v>
      </c>
      <c r="B65" s="41">
        <v>13388100</v>
      </c>
      <c r="C65" s="957">
        <v>13388000</v>
      </c>
      <c r="E65" s="518">
        <v>1813200110</v>
      </c>
    </row>
    <row r="66" spans="1:8" s="566" customFormat="1">
      <c r="A66" s="29">
        <v>1813600110</v>
      </c>
      <c r="B66" s="41">
        <v>17712130</v>
      </c>
      <c r="C66" s="957">
        <v>17712000</v>
      </c>
      <c r="E66" s="518">
        <v>1813600110</v>
      </c>
    </row>
    <row r="67" spans="1:8" s="566" customFormat="1">
      <c r="A67" s="29">
        <v>1817300110</v>
      </c>
      <c r="B67" s="41">
        <v>5513000</v>
      </c>
      <c r="C67" s="957">
        <v>5513000</v>
      </c>
    </row>
    <row r="68" spans="1:8" s="566" customFormat="1">
      <c r="A68" s="29">
        <v>1817400110</v>
      </c>
      <c r="B68" s="41">
        <v>567240</v>
      </c>
      <c r="C68" s="957">
        <v>567000</v>
      </c>
    </row>
    <row r="69" spans="1:8" s="566" customFormat="1">
      <c r="A69" s="29">
        <v>1813000110</v>
      </c>
      <c r="B69" s="41">
        <v>73900.000000000015</v>
      </c>
      <c r="C69" s="957">
        <v>74000</v>
      </c>
    </row>
    <row r="70" spans="1:8" s="566" customFormat="1">
      <c r="A70" s="29">
        <v>1813300110</v>
      </c>
      <c r="B70" s="41">
        <v>2957400</v>
      </c>
      <c r="C70" s="957">
        <v>2957000</v>
      </c>
      <c r="E70" s="518">
        <v>1813300110</v>
      </c>
    </row>
    <row r="71" spans="1:8" s="566" customFormat="1">
      <c r="A71" s="29">
        <v>1813700110</v>
      </c>
      <c r="B71" s="41">
        <v>141000</v>
      </c>
      <c r="C71" s="957">
        <v>141000</v>
      </c>
      <c r="E71" s="518">
        <v>1813700110</v>
      </c>
    </row>
    <row r="72" spans="1:8" s="566" customFormat="1">
      <c r="A72" s="29">
        <v>1812600110</v>
      </c>
      <c r="B72" s="41">
        <v>760640</v>
      </c>
      <c r="C72" s="957">
        <v>761000</v>
      </c>
      <c r="F72" s="518">
        <v>1812600110</v>
      </c>
      <c r="H72" s="518">
        <v>1817200110</v>
      </c>
    </row>
    <row r="73" spans="1:8" s="566" customFormat="1">
      <c r="A73" s="29">
        <v>1815000110</v>
      </c>
      <c r="B73" s="41">
        <v>543000</v>
      </c>
      <c r="C73" s="957">
        <v>543000</v>
      </c>
      <c r="E73" s="518">
        <v>1815000110</v>
      </c>
      <c r="H73" s="518">
        <v>1817300110</v>
      </c>
    </row>
    <row r="74" spans="1:8" s="566" customFormat="1">
      <c r="A74" s="29">
        <v>1813400110</v>
      </c>
      <c r="B74" s="41">
        <v>761000</v>
      </c>
      <c r="C74" s="957">
        <v>761000</v>
      </c>
      <c r="H74" s="518">
        <v>1817400110</v>
      </c>
    </row>
    <row r="75" spans="1:8" s="566" customFormat="1">
      <c r="A75" s="29">
        <v>1817200110</v>
      </c>
      <c r="B75" s="41">
        <v>120000</v>
      </c>
      <c r="C75" s="957">
        <v>120000</v>
      </c>
      <c r="E75" s="518">
        <v>1813400110</v>
      </c>
    </row>
    <row r="76" spans="1:8" s="566" customFormat="1">
      <c r="A76" s="933">
        <v>1841000110</v>
      </c>
      <c r="B76" s="943">
        <v>24702000</v>
      </c>
      <c r="C76" s="957">
        <v>24702000</v>
      </c>
    </row>
    <row r="77" spans="1:8" s="566" customFormat="1">
      <c r="A77" s="933">
        <v>1842100110</v>
      </c>
      <c r="B77" s="943">
        <v>186000</v>
      </c>
      <c r="C77" s="957">
        <v>186000</v>
      </c>
    </row>
    <row r="78" spans="1:8" s="566" customFormat="1">
      <c r="A78" s="933">
        <v>1842200110</v>
      </c>
      <c r="B78" s="943">
        <v>195000</v>
      </c>
      <c r="C78" s="957">
        <v>195000</v>
      </c>
    </row>
    <row r="79" spans="1:8" s="566" customFormat="1">
      <c r="A79" s="933">
        <v>1842300110</v>
      </c>
      <c r="B79" s="943">
        <v>488000</v>
      </c>
      <c r="C79" s="957">
        <v>488000</v>
      </c>
    </row>
    <row r="80" spans="1:8" s="566" customFormat="1">
      <c r="A80" s="933">
        <v>1842400110</v>
      </c>
      <c r="B80" s="943">
        <v>1060000</v>
      </c>
      <c r="C80" s="957">
        <v>1060000</v>
      </c>
    </row>
    <row r="81" spans="1:3" s="566" customFormat="1">
      <c r="A81" s="933">
        <v>1842500110</v>
      </c>
      <c r="B81" s="943">
        <v>103000</v>
      </c>
      <c r="C81" s="957">
        <v>103000</v>
      </c>
    </row>
    <row r="82" spans="1:3" s="566" customFormat="1">
      <c r="A82" s="933">
        <v>1842600110</v>
      </c>
      <c r="B82" s="943">
        <v>306000</v>
      </c>
      <c r="C82" s="957">
        <v>306000</v>
      </c>
    </row>
    <row r="83" spans="1:3" s="566" customFormat="1">
      <c r="A83" s="933">
        <v>1843400110</v>
      </c>
      <c r="B83" s="943">
        <v>790000</v>
      </c>
      <c r="C83" s="957">
        <v>790000</v>
      </c>
    </row>
    <row r="84" spans="1:3" s="566" customFormat="1">
      <c r="A84" s="933">
        <v>1843500110</v>
      </c>
      <c r="B84" s="943">
        <v>665000</v>
      </c>
      <c r="C84" s="957">
        <v>665000</v>
      </c>
    </row>
    <row r="85" spans="1:3" s="566" customFormat="1">
      <c r="A85" s="933">
        <v>1843600110</v>
      </c>
      <c r="B85" s="943">
        <v>64000</v>
      </c>
      <c r="C85" s="957">
        <v>64000</v>
      </c>
    </row>
    <row r="86" spans="1:3" s="566" customFormat="1">
      <c r="A86" s="933">
        <v>1843800110</v>
      </c>
      <c r="B86" s="943">
        <v>378000</v>
      </c>
      <c r="C86" s="957">
        <v>378000</v>
      </c>
    </row>
    <row r="87" spans="1:3" s="566" customFormat="1">
      <c r="A87" s="933">
        <v>1843900110</v>
      </c>
      <c r="B87" s="943">
        <v>73000</v>
      </c>
      <c r="C87" s="957">
        <v>73000</v>
      </c>
    </row>
    <row r="88" spans="1:3" s="566" customFormat="1">
      <c r="A88" s="933">
        <v>1845400110</v>
      </c>
      <c r="B88" s="943">
        <v>2141000</v>
      </c>
      <c r="C88" s="957">
        <v>2141000</v>
      </c>
    </row>
    <row r="89" spans="1:3" s="566" customFormat="1">
      <c r="A89" s="933">
        <v>1846300110</v>
      </c>
      <c r="B89" s="943">
        <v>70000</v>
      </c>
      <c r="C89" s="957">
        <v>70000</v>
      </c>
    </row>
    <row r="90" spans="1:3" s="566" customFormat="1">
      <c r="A90" s="933">
        <v>1846600110</v>
      </c>
      <c r="B90" s="943">
        <v>1179000</v>
      </c>
      <c r="C90" s="957">
        <v>1179000</v>
      </c>
    </row>
    <row r="91" spans="1:3" s="566" customFormat="1">
      <c r="A91" s="933">
        <v>1846700110</v>
      </c>
      <c r="B91" s="943">
        <v>257000</v>
      </c>
      <c r="C91" s="957">
        <v>257000</v>
      </c>
    </row>
    <row r="92" spans="1:3" s="566" customFormat="1">
      <c r="A92" s="933">
        <v>1846800110</v>
      </c>
      <c r="B92" s="943">
        <v>155000</v>
      </c>
      <c r="C92" s="957">
        <v>155000</v>
      </c>
    </row>
    <row r="93" spans="1:3" s="566" customFormat="1">
      <c r="A93" s="933">
        <v>1847100110</v>
      </c>
      <c r="B93" s="943">
        <v>228000</v>
      </c>
      <c r="C93" s="957">
        <v>228000</v>
      </c>
    </row>
    <row r="94" spans="1:3" s="566" customFormat="1">
      <c r="A94" s="933">
        <v>1847200110</v>
      </c>
      <c r="B94" s="943">
        <v>184000</v>
      </c>
      <c r="C94" s="957">
        <v>184000</v>
      </c>
    </row>
    <row r="95" spans="1:3">
      <c r="A95" s="933">
        <v>1847400110</v>
      </c>
      <c r="B95" s="943">
        <v>271000</v>
      </c>
      <c r="C95" s="957">
        <v>271000</v>
      </c>
    </row>
    <row r="96" spans="1:3">
      <c r="A96" s="933">
        <v>1847410110</v>
      </c>
      <c r="B96" s="943">
        <v>1255000</v>
      </c>
      <c r="C96" s="957">
        <v>1255000</v>
      </c>
    </row>
    <row r="97" spans="1:3">
      <c r="A97" s="933">
        <v>1847420110</v>
      </c>
      <c r="B97" s="943">
        <v>200000</v>
      </c>
      <c r="C97" s="957">
        <v>200000</v>
      </c>
    </row>
    <row r="98" spans="1:3">
      <c r="A98" s="933">
        <v>1847500110</v>
      </c>
      <c r="B98" s="943">
        <v>256000</v>
      </c>
      <c r="C98" s="957">
        <v>256000</v>
      </c>
    </row>
    <row r="99" spans="1:3">
      <c r="A99" s="933">
        <v>1847600110</v>
      </c>
      <c r="B99" s="943">
        <v>763000</v>
      </c>
      <c r="C99" s="957">
        <v>763000</v>
      </c>
    </row>
    <row r="100" spans="1:3">
      <c r="A100" s="933">
        <v>1847810110</v>
      </c>
      <c r="B100" s="943">
        <v>78000</v>
      </c>
      <c r="C100" s="957">
        <v>78000</v>
      </c>
    </row>
    <row r="101" spans="1:3">
      <c r="A101" s="933">
        <v>1847800110</v>
      </c>
      <c r="B101" s="943">
        <v>156000</v>
      </c>
      <c r="C101" s="957">
        <v>156000</v>
      </c>
    </row>
    <row r="102" spans="1:3">
      <c r="A102" s="933">
        <v>1847900110</v>
      </c>
      <c r="B102" s="943">
        <v>703000</v>
      </c>
      <c r="C102" s="957">
        <v>703000</v>
      </c>
    </row>
    <row r="103" spans="1:3">
      <c r="A103" s="933">
        <v>1843700110</v>
      </c>
      <c r="B103" s="943">
        <v>125000</v>
      </c>
      <c r="C103" s="957">
        <v>125000</v>
      </c>
    </row>
    <row r="104" spans="1:3">
      <c r="A104" s="934">
        <v>1980000110</v>
      </c>
      <c r="B104" s="757">
        <v>44700000</v>
      </c>
      <c r="C104" s="957">
        <v>44700000</v>
      </c>
    </row>
    <row r="108" spans="1:3">
      <c r="C108" s="957">
        <f>SUM(C2:C107)</f>
        <v>327102000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31</vt:i4>
      </vt:variant>
      <vt:variant>
        <vt:lpstr>טווחים בעלי שם</vt:lpstr>
      </vt:variant>
      <vt:variant>
        <vt:i4>20</vt:i4>
      </vt:variant>
    </vt:vector>
  </HeadingPairs>
  <TitlesOfParts>
    <vt:vector size="51" baseType="lpstr">
      <vt:lpstr>סיכום (1)</vt:lpstr>
      <vt:lpstr>נספח 1 - התקציב הרגיל (2)</vt:lpstr>
      <vt:lpstr>ריכוז תקבולים ותשלומים 2022 3</vt:lpstr>
      <vt:lpstr>ריכוז תקבולים ותשלומים 2023 4</vt:lpstr>
      <vt:lpstr>תשלומים לפי אגפים5</vt:lpstr>
      <vt:lpstr>תקבולים לפי סעיפים 6</vt:lpstr>
      <vt:lpstr>תשלומים לפי סעיפים 7</vt:lpstr>
      <vt:lpstr>הכנסות </vt:lpstr>
      <vt:lpstr>הוצאות </vt:lpstr>
      <vt:lpstr>תקציב 2022</vt:lpstr>
      <vt:lpstr>מותנה 37</vt:lpstr>
      <vt:lpstr>רזרבה38 </vt:lpstr>
      <vt:lpstr>39שכירויות 2023</vt:lpstr>
      <vt:lpstr>רכב 2023</vt:lpstr>
      <vt:lpstr>אומדן 28.11.2022</vt:lpstr>
      <vt:lpstr>גמלאים 2023</vt:lpstr>
      <vt:lpstr>רזרבה מותנה</vt:lpstr>
      <vt:lpstr>רווחה </vt:lpstr>
      <vt:lpstr>ארנונה </vt:lpstr>
      <vt:lpstr>הנדסה</vt:lpstr>
      <vt:lpstr>מלוות</vt:lpstr>
      <vt:lpstr>חופים</vt:lpstr>
      <vt:lpstr>אכיפה</vt:lpstr>
      <vt:lpstr>שרי</vt:lpstr>
      <vt:lpstr>שלומית</vt:lpstr>
      <vt:lpstr>כרמית </vt:lpstr>
      <vt:lpstr>חינוך</vt:lpstr>
      <vt:lpstr> גמלאים 78-82</vt:lpstr>
      <vt:lpstr> רכב 83-86</vt:lpstr>
      <vt:lpstr>שכירויות 87</vt:lpstr>
      <vt:lpstr>שכר סיכום</vt:lpstr>
      <vt:lpstr>' גמלאים 78-82'!WPrint_Area_W</vt:lpstr>
      <vt:lpstr>'39שכירויות 2023'!WPrint_Area_W</vt:lpstr>
      <vt:lpstr>'אומדן 28.11.2022'!WPrint_Area_W</vt:lpstr>
      <vt:lpstr>'גמלאים 2023'!WPrint_Area_W</vt:lpstr>
      <vt:lpstr>'הוצאות '!WPrint_Area_W</vt:lpstr>
      <vt:lpstr>'הכנסות '!WPrint_Area_W</vt:lpstr>
      <vt:lpstr>הנדסה!WPrint_Area_W</vt:lpstr>
      <vt:lpstr>'נספח 1 - התקציב הרגיל (2)'!WPrint_Area_W</vt:lpstr>
      <vt:lpstr>'רזרבה38 '!WPrint_Area_W</vt:lpstr>
      <vt:lpstr>'ריכוז תקבולים ותשלומים 2022 3'!WPrint_Area_W</vt:lpstr>
      <vt:lpstr>'ריכוז תקבולים ותשלומים 2023 4'!WPrint_Area_W</vt:lpstr>
      <vt:lpstr>'שכירויות 87'!WPrint_Area_W</vt:lpstr>
      <vt:lpstr>'תקבולים לפי סעיפים 6'!WPrint_Area_W</vt:lpstr>
      <vt:lpstr>'תשלומים לפי אגפים5'!WPrint_Area_W</vt:lpstr>
      <vt:lpstr>'תשלומים לפי סעיפים 7'!WPrint_Area_W</vt:lpstr>
      <vt:lpstr>' גמלאים 78-82'!WPrint_TitlesW</vt:lpstr>
      <vt:lpstr>' רכב 83-86'!WPrint_TitlesW</vt:lpstr>
      <vt:lpstr>'אומדן 28.11.2022'!WPrint_TitlesW</vt:lpstr>
      <vt:lpstr>'הוצאות '!WPrint_TitlesW</vt:lpstr>
      <vt:lpstr>'הכנסות 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נעמי חייט</dc:creator>
  <cp:lastModifiedBy>מיכל ונונו</cp:lastModifiedBy>
  <cp:lastPrinted>2022-12-14T14:15:39Z</cp:lastPrinted>
  <dcterms:created xsi:type="dcterms:W3CDTF">2020-10-07T06:24:02Z</dcterms:created>
  <dcterms:modified xsi:type="dcterms:W3CDTF">2023-01-04T05:04:30Z</dcterms:modified>
</cp:coreProperties>
</file>